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Financial Data\EKush Growth Fund\EGF NAV\2026\03\2026.03.25\"/>
    </mc:Choice>
  </mc:AlternateContent>
  <xr:revisionPtr revIDLastSave="0" documentId="13_ncr:1_{CF7E9B95-2777-4C98-9996-EC61BA4FBBCA}" xr6:coauthVersionLast="47" xr6:coauthVersionMax="47" xr10:uidLastSave="{00000000-0000-0000-0000-000000000000}"/>
  <bookViews>
    <workbookView xWindow="-120" yWindow="-120" windowWidth="29040" windowHeight="15840" tabRatio="884" activeTab="7" xr2:uid="{00000000-000D-0000-FFFF-FFFF00000000}"/>
  </bookViews>
  <sheets>
    <sheet name="DASHBOARD" sheetId="18" r:id="rId1"/>
    <sheet name="INVESTORS" sheetId="13" r:id="rId2"/>
    <sheet name="Data Validation" sheetId="19" state="hidden" r:id="rId3"/>
    <sheet name="LS" sheetId="6" r:id="rId4"/>
    <sheet name="SIP" sheetId="16" r:id="rId5"/>
    <sheet name="Dividend &amp; Tax" sheetId="21" r:id="rId6"/>
    <sheet name="TAX CERTIFICATE" sheetId="15" r:id="rId7"/>
    <sheet name="T. History" sheetId="20" r:id="rId8"/>
  </sheets>
  <externalReferences>
    <externalReference r:id="rId9"/>
    <externalReference r:id="rId10"/>
    <externalReference r:id="rId11"/>
    <externalReference r:id="rId12"/>
  </externalReferences>
  <definedNames>
    <definedName name="_xlcn.WorksheetConnection_2021.10.21INVESTORS.xlsxDivAndTax1" hidden="1">DivAndTax[]</definedName>
    <definedName name="_xlcn.WorksheetConnection_2021.10.21INVESTORS.xlsxLS1" hidden="1">LS[]</definedName>
    <definedName name="_xlcn.WorksheetConnection_2021.10.21INVESTORS.xlsxSIP1" hidden="1">SIP[]</definedName>
    <definedName name="ExternalData_1" localSheetId="1" hidden="1">INVESTORS!$A$1:$B$723</definedName>
    <definedName name="ExternalData_1" localSheetId="6" hidden="1">'TAX CERTIFICATE'!$A$1:$A$582</definedName>
    <definedName name="NAV_MKT" localSheetId="5">[1]LS!$T$1</definedName>
    <definedName name="NAV_MKT" localSheetId="7">[2]LS!$T$1</definedName>
    <definedName name="NAV_MKT">LS!$T$1</definedName>
    <definedName name="NEW_TCV">[3]Portfolio!$F$38</definedName>
    <definedName name="NEW_TMV">[3]Portfolio!$H$38</definedName>
    <definedName name="TCV_STOCKS" localSheetId="5">#REF!</definedName>
    <definedName name="TCV_STOCKS" localSheetId="7">#REF!</definedName>
    <definedName name="TCV_STOCKS">#REF!</definedName>
    <definedName name="TMV_STOCKS" localSheetId="5">#REF!</definedName>
    <definedName name="TMV_STOCKS" localSheetId="7">#REF!</definedName>
    <definedName name="TMV_STOCK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P" name="SIP" connection="WorksheetConnection_2021.10.21 INVESTORS'.xlsx!SIP"/>
          <x15:modelTable id="LS" name="LS" connection="WorksheetConnection_2021.10.21 INVESTORS'.xlsx!LS"/>
          <x15:modelTable id="DivAndTax" name="DivAndTax" connection="WorksheetConnection_2021.10.21 INVESTORS'.xlsx!DivAndTax"/>
        </x15:modelTables>
        <x15:modelRelationships>
          <x15:modelRelationship fromTable="LS" fromColumn="Investor ID" toTable="DivAndTax" toColumn="Investor ID"/>
          <x15:modelRelationship fromTable="SIP" fromColumn="Investor ID" toTable="DivAndTax" toColumn="Investor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ivAndTax" columnName="Date Value" columnId="Date Value">
                <x16:calculatedTimeColumn columnName="Date Value (Month Index)" columnId="Date Value (Month Index)" contentType="monthsindex" isSelected="1"/>
                <x16:calculatedTimeColumn columnName="Date Value (Month)" columnId="Date Valu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1" i="20" l="1"/>
  <c r="L131" i="20"/>
  <c r="O773" i="6"/>
  <c r="E773" i="6"/>
  <c r="F773" i="6" a="1"/>
  <c r="F773" i="6" s="1"/>
  <c r="H773" i="6"/>
  <c r="I773" i="6" s="1"/>
  <c r="J773" i="6"/>
  <c r="R773" i="6"/>
  <c r="T773" i="6"/>
  <c r="V773" i="6" a="1"/>
  <c r="V773" i="6" s="1"/>
  <c r="W773" i="6"/>
  <c r="X773" i="6"/>
  <c r="N773" i="6" l="1"/>
  <c r="P773" i="6"/>
  <c r="P194" i="16"/>
  <c r="P195" i="16"/>
  <c r="P193" i="16"/>
  <c r="N193" i="16" s="1"/>
  <c r="D194" i="16"/>
  <c r="D195" i="16"/>
  <c r="E194" i="16" a="1"/>
  <c r="E194" i="16" s="1"/>
  <c r="E195" i="16" a="1"/>
  <c r="E195" i="16" s="1"/>
  <c r="G194" i="16"/>
  <c r="H194" i="16" s="1"/>
  <c r="G195" i="16"/>
  <c r="H195" i="16" s="1"/>
  <c r="I194" i="16"/>
  <c r="I195" i="16"/>
  <c r="N194" i="16"/>
  <c r="M194" i="16" s="1"/>
  <c r="N195" i="16"/>
  <c r="M195" i="16" s="1"/>
  <c r="O194" i="16"/>
  <c r="O195" i="16"/>
  <c r="Q194" i="16"/>
  <c r="Q195" i="16"/>
  <c r="S194" i="16"/>
  <c r="S195" i="16"/>
  <c r="T194" i="16"/>
  <c r="T195" i="16"/>
  <c r="U194" i="16" a="1"/>
  <c r="U194" i="16" s="1"/>
  <c r="U195" i="16" a="1"/>
  <c r="U195" i="16" s="1"/>
  <c r="V194" i="16"/>
  <c r="V195" i="16"/>
  <c r="W194" i="16"/>
  <c r="W195" i="16"/>
  <c r="D193" i="16"/>
  <c r="E193" i="16" a="1"/>
  <c r="E193" i="16" s="1"/>
  <c r="G193" i="16"/>
  <c r="H193" i="16" s="1"/>
  <c r="I193" i="16"/>
  <c r="Q193" i="16"/>
  <c r="S193" i="16"/>
  <c r="U193" i="16" a="1"/>
  <c r="U193" i="16" s="1"/>
  <c r="V193" i="16"/>
  <c r="O772" i="6"/>
  <c r="N772" i="6" s="1"/>
  <c r="E772" i="6"/>
  <c r="F772" i="6" a="1"/>
  <c r="F772" i="6" s="1"/>
  <c r="H772" i="6"/>
  <c r="I772" i="6" s="1"/>
  <c r="J772" i="6"/>
  <c r="T772" i="6"/>
  <c r="W772" i="6"/>
  <c r="E771" i="6"/>
  <c r="F771" i="6" a="1"/>
  <c r="F771" i="6" s="1"/>
  <c r="H771" i="6"/>
  <c r="I771" i="6" s="1"/>
  <c r="J771" i="6"/>
  <c r="O771" i="6"/>
  <c r="R771" i="6"/>
  <c r="T771" i="6"/>
  <c r="V771" i="6" a="1"/>
  <c r="V771" i="6" s="1"/>
  <c r="W771" i="6"/>
  <c r="R772" i="6" l="1"/>
  <c r="M193" i="16"/>
  <c r="N771" i="6"/>
  <c r="O770" i="6"/>
  <c r="E770" i="6"/>
  <c r="F770" i="6" a="1"/>
  <c r="F770" i="6" s="1"/>
  <c r="H770" i="6"/>
  <c r="I770" i="6" s="1"/>
  <c r="J770" i="6"/>
  <c r="T770" i="6"/>
  <c r="W770" i="6"/>
  <c r="O769" i="6"/>
  <c r="E769" i="6"/>
  <c r="F769" i="6" a="1"/>
  <c r="F769" i="6" s="1"/>
  <c r="H769" i="6"/>
  <c r="I769" i="6" s="1"/>
  <c r="J769" i="6"/>
  <c r="R769" i="6"/>
  <c r="T769" i="6"/>
  <c r="V769" i="6" a="1"/>
  <c r="V769" i="6" s="1"/>
  <c r="W769" i="6"/>
  <c r="N192" i="16"/>
  <c r="D192" i="16"/>
  <c r="E192" i="16" a="1"/>
  <c r="E192" i="16" s="1"/>
  <c r="G192" i="16"/>
  <c r="H192" i="16" s="1"/>
  <c r="I192" i="16"/>
  <c r="Q192" i="16"/>
  <c r="S192" i="16"/>
  <c r="U192" i="16" a="1"/>
  <c r="U192" i="16" s="1"/>
  <c r="V192" i="16"/>
  <c r="N191" i="16"/>
  <c r="D191" i="16"/>
  <c r="E191" i="16" a="1"/>
  <c r="E191" i="16" s="1"/>
  <c r="G191" i="16"/>
  <c r="H191" i="16" s="1"/>
  <c r="I191" i="16"/>
  <c r="Q191" i="16"/>
  <c r="S191" i="16"/>
  <c r="U191" i="16" a="1"/>
  <c r="U191" i="16" s="1"/>
  <c r="V191" i="16"/>
  <c r="D190" i="16"/>
  <c r="E190" i="16" a="1"/>
  <c r="E190" i="16" s="1"/>
  <c r="G190" i="16"/>
  <c r="H190" i="16" s="1"/>
  <c r="I190" i="16"/>
  <c r="N190" i="16"/>
  <c r="Q190" i="16"/>
  <c r="S190" i="16"/>
  <c r="U190" i="16" a="1"/>
  <c r="U190" i="16" s="1"/>
  <c r="V190" i="16"/>
  <c r="D189" i="16"/>
  <c r="E189" i="16" a="1"/>
  <c r="E189" i="16" s="1"/>
  <c r="G189" i="16"/>
  <c r="H189" i="16" s="1"/>
  <c r="I189" i="16"/>
  <c r="N189" i="16"/>
  <c r="Q189" i="16"/>
  <c r="S189" i="16"/>
  <c r="U189" i="16" a="1"/>
  <c r="U189" i="16" s="1"/>
  <c r="V189" i="16"/>
  <c r="D188" i="16"/>
  <c r="E188" i="16" a="1"/>
  <c r="E188" i="16" s="1"/>
  <c r="G188" i="16"/>
  <c r="H188" i="16" s="1"/>
  <c r="I188" i="16"/>
  <c r="N188" i="16"/>
  <c r="M188" i="16" s="1"/>
  <c r="Q188" i="16"/>
  <c r="S188" i="16"/>
  <c r="U188" i="16" a="1"/>
  <c r="U188" i="16" s="1"/>
  <c r="V188" i="16"/>
  <c r="D187" i="16"/>
  <c r="E187" i="16" a="1"/>
  <c r="E187" i="16" s="1"/>
  <c r="G187" i="16"/>
  <c r="H187" i="16" s="1"/>
  <c r="I187" i="16"/>
  <c r="N187" i="16"/>
  <c r="Q187" i="16"/>
  <c r="S187" i="16"/>
  <c r="U187" i="16" a="1"/>
  <c r="U187" i="16" s="1"/>
  <c r="V187" i="16"/>
  <c r="R768" i="6"/>
  <c r="E768" i="6"/>
  <c r="F768" i="6" a="1"/>
  <c r="F768" i="6" s="1"/>
  <c r="H768" i="6"/>
  <c r="I768" i="6" s="1"/>
  <c r="J768" i="6"/>
  <c r="T768" i="6"/>
  <c r="W768" i="6"/>
  <c r="O766" i="6"/>
  <c r="E766" i="6"/>
  <c r="F766" i="6" a="1"/>
  <c r="F766" i="6" s="1"/>
  <c r="H766" i="6"/>
  <c r="I766" i="6" s="1"/>
  <c r="J766" i="6"/>
  <c r="R766" i="6"/>
  <c r="T766" i="6"/>
  <c r="W766" i="6"/>
  <c r="O767" i="6"/>
  <c r="E767" i="6"/>
  <c r="F767" i="6" a="1"/>
  <c r="F767" i="6" s="1"/>
  <c r="H767" i="6"/>
  <c r="I767" i="6" s="1"/>
  <c r="J767" i="6"/>
  <c r="T767" i="6"/>
  <c r="V767" i="6" a="1"/>
  <c r="V767" i="6" s="1"/>
  <c r="W767" i="6"/>
  <c r="O765" i="6"/>
  <c r="E765" i="6"/>
  <c r="F765" i="6" a="1"/>
  <c r="F765" i="6" s="1"/>
  <c r="H765" i="6"/>
  <c r="I765" i="6" s="1"/>
  <c r="J765" i="6"/>
  <c r="R765" i="6"/>
  <c r="T765" i="6"/>
  <c r="W765" i="6"/>
  <c r="O764" i="6"/>
  <c r="E764" i="6"/>
  <c r="F764" i="6" a="1"/>
  <c r="F764" i="6" s="1"/>
  <c r="H764" i="6"/>
  <c r="I764" i="6" s="1"/>
  <c r="J764" i="6"/>
  <c r="T764" i="6"/>
  <c r="V764" i="6" a="1"/>
  <c r="V764" i="6" s="1"/>
  <c r="W764" i="6"/>
  <c r="O763" i="6"/>
  <c r="E763" i="6"/>
  <c r="F763" i="6" a="1"/>
  <c r="F763" i="6" s="1"/>
  <c r="H763" i="6"/>
  <c r="I763" i="6" s="1"/>
  <c r="J763" i="6"/>
  <c r="T763" i="6"/>
  <c r="W763" i="6"/>
  <c r="O762" i="6"/>
  <c r="N762" i="6" s="1"/>
  <c r="Q761" i="6"/>
  <c r="O761" i="6" s="1"/>
  <c r="E721" i="13"/>
  <c r="AG721" i="13" s="1" a="1"/>
  <c r="AG721" i="13" s="1"/>
  <c r="E722" i="13"/>
  <c r="H722" i="13" s="1"/>
  <c r="E723" i="13"/>
  <c r="G723" i="13" s="1"/>
  <c r="F720" i="13"/>
  <c r="K720" i="13" s="1"/>
  <c r="F721" i="13"/>
  <c r="I721" i="13" s="1"/>
  <c r="F722" i="13"/>
  <c r="I722" i="13" s="1"/>
  <c r="F723" i="13"/>
  <c r="K723" i="13" s="1"/>
  <c r="L720" i="13"/>
  <c r="AH720" i="13" s="1" a="1"/>
  <c r="AH720" i="13" s="1"/>
  <c r="L721" i="13"/>
  <c r="O721" i="13" s="1"/>
  <c r="L722" i="13"/>
  <c r="AH722" i="13" s="1" a="1"/>
  <c r="AH722" i="13" s="1"/>
  <c r="L723" i="13"/>
  <c r="AH723" i="13" s="1" a="1"/>
  <c r="AH723" i="13" s="1"/>
  <c r="M720" i="13"/>
  <c r="R720" i="13" s="1"/>
  <c r="M721" i="13"/>
  <c r="R721" i="13" s="1"/>
  <c r="M722" i="13"/>
  <c r="P722" i="13" s="1"/>
  <c r="M723" i="13"/>
  <c r="P723" i="13" s="1"/>
  <c r="V721" i="13"/>
  <c r="V722" i="13"/>
  <c r="V723" i="13"/>
  <c r="W720" i="13"/>
  <c r="W721" i="13"/>
  <c r="W722" i="13"/>
  <c r="W723" i="13"/>
  <c r="X720" i="13"/>
  <c r="X721" i="13"/>
  <c r="X722" i="13"/>
  <c r="X723" i="13"/>
  <c r="Y720" i="13"/>
  <c r="Y721" i="13"/>
  <c r="Y722" i="13"/>
  <c r="Y723" i="13"/>
  <c r="AC720" i="13"/>
  <c r="AC721" i="13"/>
  <c r="AC722" i="13"/>
  <c r="AC723" i="13"/>
  <c r="AJ720" i="13"/>
  <c r="AJ721" i="13"/>
  <c r="AJ722" i="13"/>
  <c r="AJ723" i="13"/>
  <c r="AO720" i="13"/>
  <c r="AO721" i="13"/>
  <c r="AO722" i="13"/>
  <c r="AO723" i="13"/>
  <c r="AR720" i="13"/>
  <c r="AR721" i="13"/>
  <c r="AR722" i="13"/>
  <c r="AR723" i="13"/>
  <c r="AS720" i="13"/>
  <c r="AS721" i="13"/>
  <c r="AS722" i="13"/>
  <c r="AS723" i="13"/>
  <c r="E762" i="6"/>
  <c r="F762" i="6" a="1"/>
  <c r="F762" i="6" s="1"/>
  <c r="H762" i="6"/>
  <c r="I762" i="6" s="1"/>
  <c r="J762" i="6"/>
  <c r="T762" i="6"/>
  <c r="V762" i="6" a="1"/>
  <c r="V762" i="6" s="1"/>
  <c r="W762" i="6"/>
  <c r="V720" i="13" s="1"/>
  <c r="E761" i="6"/>
  <c r="F761" i="6" a="1"/>
  <c r="F761" i="6" s="1"/>
  <c r="H761" i="6"/>
  <c r="I761" i="6" s="1"/>
  <c r="J761" i="6"/>
  <c r="T761" i="6"/>
  <c r="V761" i="6" a="1"/>
  <c r="V761" i="6" s="1"/>
  <c r="W761" i="6"/>
  <c r="E760" i="6"/>
  <c r="F760" i="6" a="1"/>
  <c r="F760" i="6" s="1"/>
  <c r="H760" i="6"/>
  <c r="I760" i="6" s="1"/>
  <c r="J760" i="6"/>
  <c r="O760" i="6"/>
  <c r="R760" i="6"/>
  <c r="T760" i="6"/>
  <c r="W760" i="6"/>
  <c r="E759" i="6"/>
  <c r="F759" i="6" a="1"/>
  <c r="F759" i="6" s="1"/>
  <c r="H759" i="6"/>
  <c r="I759" i="6" s="1"/>
  <c r="J759" i="6"/>
  <c r="O759" i="6"/>
  <c r="R759" i="6"/>
  <c r="T759" i="6"/>
  <c r="W759" i="6"/>
  <c r="E758" i="6"/>
  <c r="F758" i="6" a="1"/>
  <c r="F758" i="6" s="1"/>
  <c r="H758" i="6"/>
  <c r="I758" i="6" s="1"/>
  <c r="J758" i="6"/>
  <c r="O758" i="6"/>
  <c r="R758" i="6"/>
  <c r="T758" i="6"/>
  <c r="W758" i="6"/>
  <c r="E714" i="13"/>
  <c r="G714" i="13" s="1"/>
  <c r="AL714" i="13" s="1"/>
  <c r="E715" i="13"/>
  <c r="G715" i="13" s="1"/>
  <c r="E716" i="13"/>
  <c r="H716" i="13" s="1"/>
  <c r="E717" i="13"/>
  <c r="H717" i="13" s="1"/>
  <c r="E718" i="13"/>
  <c r="G718" i="13" s="1"/>
  <c r="AL718" i="13" s="1"/>
  <c r="F714" i="13"/>
  <c r="I714" i="13" s="1"/>
  <c r="F715" i="13"/>
  <c r="I715" i="13" s="1"/>
  <c r="F716" i="13"/>
  <c r="I716" i="13" s="1"/>
  <c r="F717" i="13"/>
  <c r="K717" i="13" s="1"/>
  <c r="F718" i="13"/>
  <c r="I718" i="13" s="1"/>
  <c r="F719" i="13"/>
  <c r="I719" i="13" s="1"/>
  <c r="L714" i="13"/>
  <c r="O714" i="13" s="1"/>
  <c r="L715" i="13"/>
  <c r="O715" i="13" s="1"/>
  <c r="L716" i="13"/>
  <c r="O716" i="13" s="1"/>
  <c r="L717" i="13"/>
  <c r="AH717" i="13" s="1" a="1"/>
  <c r="AH717" i="13" s="1"/>
  <c r="L718" i="13"/>
  <c r="O718" i="13" s="1"/>
  <c r="L719" i="13"/>
  <c r="O719" i="13" s="1"/>
  <c r="M714" i="13"/>
  <c r="R714" i="13" s="1"/>
  <c r="M715" i="13"/>
  <c r="P715" i="13" s="1"/>
  <c r="M716" i="13"/>
  <c r="P716" i="13" s="1"/>
  <c r="M717" i="13"/>
  <c r="P717" i="13" s="1"/>
  <c r="M718" i="13"/>
  <c r="P718" i="13" s="1"/>
  <c r="M719" i="13"/>
  <c r="R719" i="13" s="1"/>
  <c r="V714" i="13"/>
  <c r="V715" i="13"/>
  <c r="V716" i="13"/>
  <c r="V717" i="13"/>
  <c r="V718" i="13"/>
  <c r="W714" i="13"/>
  <c r="W715" i="13"/>
  <c r="W716" i="13"/>
  <c r="W717" i="13"/>
  <c r="W718" i="13"/>
  <c r="W719" i="13"/>
  <c r="X714" i="13"/>
  <c r="X715" i="13"/>
  <c r="X716" i="13"/>
  <c r="X717" i="13"/>
  <c r="X718" i="13"/>
  <c r="X719" i="13"/>
  <c r="Y714" i="13"/>
  <c r="Y715" i="13"/>
  <c r="Y716" i="13"/>
  <c r="Y717" i="13"/>
  <c r="Y718" i="13"/>
  <c r="Y719" i="13"/>
  <c r="AC714" i="13"/>
  <c r="AC715" i="13"/>
  <c r="AC716" i="13"/>
  <c r="AC717" i="13"/>
  <c r="AC718" i="13"/>
  <c r="AC719" i="13"/>
  <c r="AJ714" i="13"/>
  <c r="AJ715" i="13"/>
  <c r="AJ716" i="13"/>
  <c r="AJ717" i="13"/>
  <c r="AJ718" i="13"/>
  <c r="AJ719" i="13"/>
  <c r="AO714" i="13"/>
  <c r="AO715" i="13"/>
  <c r="AO716" i="13"/>
  <c r="AO717" i="13"/>
  <c r="AO718" i="13"/>
  <c r="AO719" i="13"/>
  <c r="AR714" i="13"/>
  <c r="AR715" i="13"/>
  <c r="AR716" i="13"/>
  <c r="AR717" i="13"/>
  <c r="AR718" i="13"/>
  <c r="AR719" i="13"/>
  <c r="AS714" i="13"/>
  <c r="AS715" i="13"/>
  <c r="AS716" i="13"/>
  <c r="AS717" i="13"/>
  <c r="AS718" i="13"/>
  <c r="AS719" i="13"/>
  <c r="N717" i="13" l="1"/>
  <c r="Q717" i="13" s="1"/>
  <c r="R770" i="6"/>
  <c r="N770" i="6"/>
  <c r="R761" i="6"/>
  <c r="N769" i="6"/>
  <c r="O768" i="6"/>
  <c r="N768" i="6" s="1"/>
  <c r="N720" i="13"/>
  <c r="Q720" i="13" s="1"/>
  <c r="N716" i="13"/>
  <c r="AM716" i="13" s="1"/>
  <c r="M192" i="16"/>
  <c r="N715" i="13"/>
  <c r="Q715" i="13" s="1"/>
  <c r="N714" i="13"/>
  <c r="Q714" i="13" s="1"/>
  <c r="N721" i="13"/>
  <c r="Q721" i="13" s="1"/>
  <c r="M191" i="16"/>
  <c r="AH716" i="13" a="1"/>
  <c r="AH716" i="13" s="1"/>
  <c r="AH721" i="13" a="1"/>
  <c r="AH721" i="13" s="1"/>
  <c r="M190" i="16"/>
  <c r="P720" i="13"/>
  <c r="O720" i="13"/>
  <c r="M189" i="16"/>
  <c r="AH719" i="13" a="1"/>
  <c r="AH719" i="13" s="1"/>
  <c r="N718" i="13"/>
  <c r="Q718" i="13" s="1"/>
  <c r="N723" i="13"/>
  <c r="O723" i="13"/>
  <c r="R722" i="13"/>
  <c r="O722" i="13"/>
  <c r="N722" i="13"/>
  <c r="P721" i="13"/>
  <c r="M187" i="16"/>
  <c r="I720" i="13"/>
  <c r="R767" i="6"/>
  <c r="N766" i="6"/>
  <c r="R764" i="6"/>
  <c r="N767" i="6"/>
  <c r="N765" i="6"/>
  <c r="R762" i="6"/>
  <c r="N764" i="6"/>
  <c r="Z720" i="13"/>
  <c r="R763" i="6"/>
  <c r="Z721" i="13"/>
  <c r="N761" i="6"/>
  <c r="N763" i="6"/>
  <c r="N719" i="13"/>
  <c r="Q719" i="13" s="1"/>
  <c r="T720" i="13"/>
  <c r="AP720" i="13"/>
  <c r="S721" i="13"/>
  <c r="AH715" i="13" a="1"/>
  <c r="AH715" i="13" s="1"/>
  <c r="S723" i="13"/>
  <c r="AG722" i="13" a="1"/>
  <c r="AG722" i="13" s="1"/>
  <c r="Z722" i="13"/>
  <c r="G722" i="13"/>
  <c r="Z723" i="13"/>
  <c r="X762" i="6"/>
  <c r="K722" i="13"/>
  <c r="H721" i="13"/>
  <c r="E720" i="13"/>
  <c r="G721" i="13"/>
  <c r="P762" i="6"/>
  <c r="S762" i="6" s="1"/>
  <c r="T721" i="13"/>
  <c r="K721" i="13"/>
  <c r="AP721" i="13" s="1"/>
  <c r="T722" i="13"/>
  <c r="S722" i="13"/>
  <c r="I723" i="13"/>
  <c r="J723" i="13"/>
  <c r="AL723" i="13"/>
  <c r="AG723" i="13" a="1"/>
  <c r="AG723" i="13" s="1"/>
  <c r="T723" i="13"/>
  <c r="R723" i="13"/>
  <c r="AP723" i="13" s="1"/>
  <c r="H723" i="13"/>
  <c r="O717" i="13"/>
  <c r="AG718" i="13" a="1"/>
  <c r="AG718" i="13" s="1"/>
  <c r="AG714" i="13" a="1"/>
  <c r="AG714" i="13" s="1"/>
  <c r="H718" i="13"/>
  <c r="H714" i="13"/>
  <c r="AH714" i="13" a="1"/>
  <c r="AH714" i="13" s="1"/>
  <c r="AH718" i="13" a="1"/>
  <c r="AH718" i="13" s="1"/>
  <c r="S714" i="13"/>
  <c r="N759" i="6"/>
  <c r="N760" i="6"/>
  <c r="AG715" i="13" a="1"/>
  <c r="AG715" i="13" s="1"/>
  <c r="N758" i="6"/>
  <c r="R715" i="13"/>
  <c r="AM717" i="13"/>
  <c r="P719" i="13"/>
  <c r="AL715" i="13"/>
  <c r="J715" i="13"/>
  <c r="R718" i="13"/>
  <c r="P714" i="13"/>
  <c r="Z714" i="13"/>
  <c r="T714" i="13"/>
  <c r="G716" i="13"/>
  <c r="J718" i="13"/>
  <c r="H715" i="13"/>
  <c r="G717" i="13"/>
  <c r="Z715" i="13"/>
  <c r="Z717" i="13"/>
  <c r="Z718" i="13"/>
  <c r="J714" i="13"/>
  <c r="Z716" i="13"/>
  <c r="K716" i="13"/>
  <c r="AG716" i="13" a="1"/>
  <c r="AG716" i="13" s="1"/>
  <c r="K714" i="13"/>
  <c r="AP714" i="13" s="1"/>
  <c r="I717" i="13"/>
  <c r="T718" i="13"/>
  <c r="AG717" i="13" a="1"/>
  <c r="AG717" i="13" s="1"/>
  <c r="S716" i="13"/>
  <c r="T719" i="13"/>
  <c r="S717" i="13"/>
  <c r="T715" i="13"/>
  <c r="T717" i="13"/>
  <c r="S715" i="13"/>
  <c r="R717" i="13"/>
  <c r="AP717" i="13" s="1"/>
  <c r="K719" i="13"/>
  <c r="AP719" i="13" s="1"/>
  <c r="K715" i="13"/>
  <c r="T716" i="13"/>
  <c r="S718" i="13"/>
  <c r="AA718" i="13" s="1"/>
  <c r="R716" i="13"/>
  <c r="K718" i="13"/>
  <c r="AM715" i="13" l="1"/>
  <c r="Q716" i="13"/>
  <c r="AM720" i="13"/>
  <c r="AM714" i="13"/>
  <c r="AD715" i="13"/>
  <c r="AD714" i="13"/>
  <c r="AM721" i="13"/>
  <c r="AD718" i="13"/>
  <c r="AM718" i="13"/>
  <c r="AM719" i="13"/>
  <c r="AP722" i="13"/>
  <c r="Q723" i="13"/>
  <c r="AD723" i="13" s="1"/>
  <c r="AM723" i="13"/>
  <c r="AM722" i="13"/>
  <c r="Q722" i="13"/>
  <c r="AA722" i="13"/>
  <c r="AK722" i="13" s="1"/>
  <c r="AA723" i="13"/>
  <c r="AE723" i="13" s="1"/>
  <c r="AA721" i="13"/>
  <c r="AK721" i="13" s="1"/>
  <c r="J722" i="13"/>
  <c r="AD722" i="13" s="1"/>
  <c r="AL722" i="13"/>
  <c r="S720" i="13"/>
  <c r="AA720" i="13" s="1"/>
  <c r="H720" i="13"/>
  <c r="G720" i="13"/>
  <c r="J721" i="13"/>
  <c r="AD721" i="13" s="1"/>
  <c r="AL721" i="13"/>
  <c r="AA714" i="13"/>
  <c r="AI714" i="13" s="1"/>
  <c r="AP718" i="13"/>
  <c r="AP715" i="13"/>
  <c r="AP716" i="13"/>
  <c r="J716" i="13"/>
  <c r="AD716" i="13" s="1"/>
  <c r="AL716" i="13"/>
  <c r="AA715" i="13"/>
  <c r="AB715" i="13" s="1"/>
  <c r="AA717" i="13"/>
  <c r="AB717" i="13" s="1"/>
  <c r="J717" i="13"/>
  <c r="AD717" i="13" s="1"/>
  <c r="AL717" i="13"/>
  <c r="AA716" i="13"/>
  <c r="AK716" i="13" s="1"/>
  <c r="AE718" i="13"/>
  <c r="AK718" i="13"/>
  <c r="AI718" i="13"/>
  <c r="AB718" i="13"/>
  <c r="AF718" i="13"/>
  <c r="AQ718" i="13" l="1"/>
  <c r="AE717" i="13"/>
  <c r="AE714" i="13"/>
  <c r="AB722" i="13"/>
  <c r="AE722" i="13"/>
  <c r="AB723" i="13"/>
  <c r="AI722" i="13"/>
  <c r="AF723" i="13"/>
  <c r="AF722" i="13"/>
  <c r="AK723" i="13"/>
  <c r="AQ723" i="13" s="1"/>
  <c r="AI723" i="13"/>
  <c r="AQ722" i="13"/>
  <c r="AI721" i="13"/>
  <c r="AE721" i="13"/>
  <c r="AF721" i="13"/>
  <c r="AB721" i="13"/>
  <c r="AK714" i="13"/>
  <c r="AQ714" i="13" s="1"/>
  <c r="AF720" i="13"/>
  <c r="AK720" i="13"/>
  <c r="AE720" i="13"/>
  <c r="AB720" i="13"/>
  <c r="AL720" i="13"/>
  <c r="AQ721" i="13"/>
  <c r="AB714" i="13"/>
  <c r="AF714" i="13"/>
  <c r="AI716" i="13"/>
  <c r="AK717" i="13"/>
  <c r="AQ717" i="13" s="1"/>
  <c r="AE715" i="13"/>
  <c r="AK715" i="13"/>
  <c r="AQ715" i="13" s="1"/>
  <c r="AE716" i="13"/>
  <c r="AQ716" i="13"/>
  <c r="AI715" i="13"/>
  <c r="AF716" i="13"/>
  <c r="AF715" i="13"/>
  <c r="AB716" i="13"/>
  <c r="AI717" i="13"/>
  <c r="AF717" i="13"/>
  <c r="E757" i="6"/>
  <c r="F757" i="6" a="1"/>
  <c r="F757" i="6" s="1"/>
  <c r="H757" i="6"/>
  <c r="I757" i="6" s="1"/>
  <c r="J757" i="6"/>
  <c r="O757" i="6"/>
  <c r="P757" i="6" s="1"/>
  <c r="R757" i="6"/>
  <c r="T757" i="6"/>
  <c r="V757" i="6" a="1"/>
  <c r="V757" i="6" s="1"/>
  <c r="W757" i="6"/>
  <c r="V719" i="13" s="1"/>
  <c r="Z719" i="13" s="1"/>
  <c r="N757" i="6" l="1"/>
  <c r="S757" i="6" s="1"/>
  <c r="E719" i="13"/>
  <c r="X757" i="6"/>
  <c r="Q186" i="16"/>
  <c r="N185" i="16"/>
  <c r="M185" i="16" s="1"/>
  <c r="N184" i="16"/>
  <c r="Q183" i="16"/>
  <c r="D183" i="16"/>
  <c r="D184" i="16"/>
  <c r="D185" i="16"/>
  <c r="D186" i="16"/>
  <c r="E183" i="16" a="1"/>
  <c r="E183" i="16" s="1"/>
  <c r="E184" i="16" a="1"/>
  <c r="E184" i="16" s="1"/>
  <c r="E185" i="16" a="1"/>
  <c r="E185" i="16" s="1"/>
  <c r="E186" i="16" a="1"/>
  <c r="E186" i="16" s="1"/>
  <c r="G183" i="16"/>
  <c r="H183" i="16" s="1"/>
  <c r="G184" i="16"/>
  <c r="H184" i="16" s="1"/>
  <c r="G185" i="16"/>
  <c r="H185" i="16" s="1"/>
  <c r="G186" i="16"/>
  <c r="H186" i="16" s="1"/>
  <c r="I183" i="16"/>
  <c r="I184" i="16"/>
  <c r="I185" i="16"/>
  <c r="I186" i="16"/>
  <c r="N186" i="16"/>
  <c r="M186" i="16" s="1"/>
  <c r="S183" i="16"/>
  <c r="S184" i="16"/>
  <c r="S185" i="16"/>
  <c r="S186" i="16"/>
  <c r="U185" i="16" a="1"/>
  <c r="U185" i="16" s="1"/>
  <c r="U186" i="16" a="1"/>
  <c r="U186" i="16" s="1"/>
  <c r="V183" i="16"/>
  <c r="V184" i="16"/>
  <c r="V185" i="16"/>
  <c r="V186" i="16"/>
  <c r="W186" i="16"/>
  <c r="N174" i="16"/>
  <c r="M174" i="16" s="1"/>
  <c r="N176" i="16"/>
  <c r="O176" i="16" s="1"/>
  <c r="N178" i="16"/>
  <c r="M178" i="16" s="1"/>
  <c r="N180" i="16"/>
  <c r="Q182" i="16"/>
  <c r="D172" i="16"/>
  <c r="D173" i="16"/>
  <c r="D174" i="16"/>
  <c r="D175" i="16"/>
  <c r="D176" i="16"/>
  <c r="D177" i="16"/>
  <c r="D178" i="16"/>
  <c r="D179" i="16"/>
  <c r="D180" i="16"/>
  <c r="D181" i="16"/>
  <c r="D182" i="16"/>
  <c r="E172" i="16" a="1"/>
  <c r="E172" i="16" s="1"/>
  <c r="E173" i="16" a="1"/>
  <c r="E173" i="16" s="1"/>
  <c r="E174" i="16" a="1"/>
  <c r="E174" i="16" s="1"/>
  <c r="E175" i="16" a="1"/>
  <c r="E175" i="16" s="1"/>
  <c r="E176" i="16" a="1"/>
  <c r="E176" i="16" s="1"/>
  <c r="E177" i="16" a="1"/>
  <c r="E177" i="16" s="1"/>
  <c r="E178" i="16" a="1"/>
  <c r="E178" i="16" s="1"/>
  <c r="E179" i="16" a="1"/>
  <c r="E179" i="16" s="1"/>
  <c r="E180" i="16" a="1"/>
  <c r="E180" i="16" s="1"/>
  <c r="E181" i="16" a="1"/>
  <c r="E181" i="16" s="1"/>
  <c r="E182" i="16" a="1"/>
  <c r="E182" i="16" s="1"/>
  <c r="G172" i="16"/>
  <c r="H172" i="16" s="1"/>
  <c r="G173" i="16"/>
  <c r="H173" i="16" s="1"/>
  <c r="G174" i="16"/>
  <c r="H174" i="16" s="1"/>
  <c r="G175" i="16"/>
  <c r="H175" i="16" s="1"/>
  <c r="G176" i="16"/>
  <c r="H176" i="16" s="1"/>
  <c r="G177" i="16"/>
  <c r="H177" i="16" s="1"/>
  <c r="G178" i="16"/>
  <c r="H178" i="16" s="1"/>
  <c r="G179" i="16"/>
  <c r="H179" i="16" s="1"/>
  <c r="G180" i="16"/>
  <c r="H180" i="16" s="1"/>
  <c r="G181" i="16"/>
  <c r="H181" i="16" s="1"/>
  <c r="G182" i="16"/>
  <c r="H182" i="16" s="1"/>
  <c r="I172" i="16"/>
  <c r="I173" i="16"/>
  <c r="I174" i="16"/>
  <c r="I175" i="16"/>
  <c r="I176" i="16"/>
  <c r="I177" i="16"/>
  <c r="I178" i="16"/>
  <c r="I179" i="16"/>
  <c r="I180" i="16"/>
  <c r="I181" i="16"/>
  <c r="I182" i="16"/>
  <c r="N172" i="16"/>
  <c r="N173" i="16"/>
  <c r="M173" i="16" s="1"/>
  <c r="N175" i="16"/>
  <c r="M175" i="16" s="1"/>
  <c r="N177" i="16"/>
  <c r="M177" i="16" s="1"/>
  <c r="N179" i="16"/>
  <c r="M179" i="16" s="1"/>
  <c r="N181" i="16"/>
  <c r="M181" i="16" s="1"/>
  <c r="N182" i="16"/>
  <c r="M182" i="16" s="1"/>
  <c r="Q172" i="16"/>
  <c r="Q173" i="16"/>
  <c r="Q174" i="16"/>
  <c r="Q175" i="16"/>
  <c r="Q177" i="16"/>
  <c r="Q179" i="16"/>
  <c r="Q181" i="16"/>
  <c r="S172" i="16"/>
  <c r="S173" i="16"/>
  <c r="S174" i="16"/>
  <c r="S175" i="16"/>
  <c r="S176" i="16"/>
  <c r="S177" i="16"/>
  <c r="S178" i="16"/>
  <c r="S179" i="16"/>
  <c r="S180" i="16"/>
  <c r="S181" i="16"/>
  <c r="S182" i="16"/>
  <c r="U172" i="16" a="1"/>
  <c r="U172" i="16" s="1"/>
  <c r="U173" i="16" a="1"/>
  <c r="U173" i="16" s="1"/>
  <c r="U174" i="16" a="1"/>
  <c r="U174" i="16" s="1"/>
  <c r="U175" i="16" a="1"/>
  <c r="U175" i="16" s="1"/>
  <c r="U176" i="16" a="1"/>
  <c r="U176" i="16" s="1"/>
  <c r="U177" i="16" a="1"/>
  <c r="U177" i="16" s="1"/>
  <c r="U178" i="16" a="1"/>
  <c r="U178" i="16" s="1"/>
  <c r="U179" i="16" a="1"/>
  <c r="U179" i="16" s="1"/>
  <c r="U180" i="16" a="1"/>
  <c r="U180" i="16" s="1"/>
  <c r="U181" i="16" a="1"/>
  <c r="U181" i="16" s="1"/>
  <c r="U182" i="16" a="1"/>
  <c r="U182" i="16" s="1"/>
  <c r="V172" i="16"/>
  <c r="V173" i="16"/>
  <c r="V174" i="16"/>
  <c r="W174" i="16" s="1"/>
  <c r="V175" i="16"/>
  <c r="W175" i="16" s="1"/>
  <c r="V176" i="16"/>
  <c r="W176" i="16" s="1"/>
  <c r="V177" i="16"/>
  <c r="W177" i="16" s="1"/>
  <c r="V178" i="16"/>
  <c r="V179" i="16"/>
  <c r="V180" i="16"/>
  <c r="V181" i="16"/>
  <c r="W181" i="16" s="1"/>
  <c r="V182" i="16"/>
  <c r="W182" i="16" s="1"/>
  <c r="O175" i="16" l="1"/>
  <c r="R175" i="16" s="1"/>
  <c r="G719" i="13"/>
  <c r="H719" i="13"/>
  <c r="S719" i="13"/>
  <c r="AA719" i="13" s="1"/>
  <c r="O181" i="16"/>
  <c r="R181" i="16" s="1"/>
  <c r="N183" i="16"/>
  <c r="M183" i="16" s="1"/>
  <c r="Q185" i="16"/>
  <c r="O186" i="16"/>
  <c r="R186" i="16" s="1"/>
  <c r="M184" i="16"/>
  <c r="Q184" i="16"/>
  <c r="Q178" i="16"/>
  <c r="O177" i="16"/>
  <c r="R177" i="16" s="1"/>
  <c r="W184" i="16"/>
  <c r="O184" i="16"/>
  <c r="Q180" i="16"/>
  <c r="Q176" i="16"/>
  <c r="O182" i="16"/>
  <c r="R182" i="16" s="1"/>
  <c r="O174" i="16"/>
  <c r="R174" i="16" s="1"/>
  <c r="M180" i="16"/>
  <c r="M176" i="16"/>
  <c r="R176" i="16" s="1"/>
  <c r="M172" i="16"/>
  <c r="E756" i="6"/>
  <c r="F756" i="6" a="1"/>
  <c r="F756" i="6" s="1"/>
  <c r="H756" i="6"/>
  <c r="I756" i="6" s="1"/>
  <c r="J756" i="6"/>
  <c r="O756" i="6"/>
  <c r="N756" i="6" s="1"/>
  <c r="R756" i="6"/>
  <c r="T756" i="6"/>
  <c r="W756" i="6"/>
  <c r="E755" i="6"/>
  <c r="F755" i="6" a="1"/>
  <c r="F755" i="6" s="1"/>
  <c r="H755" i="6"/>
  <c r="I755" i="6" s="1"/>
  <c r="J755" i="6"/>
  <c r="O755" i="6"/>
  <c r="N755" i="6" s="1"/>
  <c r="R755" i="6"/>
  <c r="T755" i="6"/>
  <c r="W755" i="6"/>
  <c r="Q754" i="6"/>
  <c r="O754" i="6" s="1"/>
  <c r="N754" i="6" s="1"/>
  <c r="E754" i="6"/>
  <c r="F754" i="6" a="1"/>
  <c r="F754" i="6" s="1"/>
  <c r="H754" i="6"/>
  <c r="I754" i="6" s="1"/>
  <c r="J754" i="6"/>
  <c r="T754" i="6"/>
  <c r="V754" i="6" a="1"/>
  <c r="V754" i="6" s="1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7" i="6"/>
  <c r="Q748" i="6"/>
  <c r="Q751" i="6"/>
  <c r="AE719" i="13" l="1"/>
  <c r="AB719" i="13"/>
  <c r="AK719" i="13"/>
  <c r="AF719" i="13"/>
  <c r="AL719" i="13"/>
  <c r="W754" i="6"/>
  <c r="R754" i="6"/>
  <c r="E680" i="6"/>
  <c r="F680" i="6" a="1"/>
  <c r="F680" i="6" s="1"/>
  <c r="H680" i="6"/>
  <c r="I680" i="6" s="1"/>
  <c r="J680" i="6"/>
  <c r="O680" i="6"/>
  <c r="N680" i="6" s="1"/>
  <c r="R680" i="6"/>
  <c r="T680" i="6"/>
  <c r="V680" i="6" a="1"/>
  <c r="V680" i="6" s="1"/>
  <c r="W680" i="6"/>
  <c r="E753" i="6" l="1"/>
  <c r="F753" i="6" a="1"/>
  <c r="F753" i="6" s="1"/>
  <c r="H753" i="6"/>
  <c r="I753" i="6" s="1"/>
  <c r="J753" i="6"/>
  <c r="O753" i="6"/>
  <c r="N753" i="6" s="1"/>
  <c r="R753" i="6"/>
  <c r="T753" i="6"/>
  <c r="W753" i="6"/>
  <c r="O711" i="6"/>
  <c r="E711" i="6"/>
  <c r="F711" i="6" a="1"/>
  <c r="F711" i="6" s="1"/>
  <c r="H711" i="6"/>
  <c r="I711" i="6" s="1"/>
  <c r="J711" i="6"/>
  <c r="T711" i="6"/>
  <c r="V711" i="6" a="1"/>
  <c r="V711" i="6" s="1"/>
  <c r="W711" i="6"/>
  <c r="R711" i="6" l="1"/>
  <c r="N711" i="6"/>
  <c r="O737" i="6" l="1"/>
  <c r="R739" i="6"/>
  <c r="O741" i="6"/>
  <c r="P741" i="6" s="1"/>
  <c r="O743" i="6"/>
  <c r="R745" i="6"/>
  <c r="H681" i="6"/>
  <c r="I681" i="6" s="1"/>
  <c r="J681" i="6"/>
  <c r="H682" i="6"/>
  <c r="I682" i="6" s="1"/>
  <c r="J682" i="6"/>
  <c r="H683" i="6"/>
  <c r="I683" i="6" s="1"/>
  <c r="J683" i="6"/>
  <c r="H684" i="6"/>
  <c r="I684" i="6" s="1"/>
  <c r="J684" i="6"/>
  <c r="H685" i="6"/>
  <c r="I685" i="6" s="1"/>
  <c r="J685" i="6"/>
  <c r="H686" i="6"/>
  <c r="I686" i="6" s="1"/>
  <c r="J686" i="6"/>
  <c r="H687" i="6"/>
  <c r="I687" i="6" s="1"/>
  <c r="J687" i="6"/>
  <c r="H688" i="6"/>
  <c r="I688" i="6" s="1"/>
  <c r="J688" i="6"/>
  <c r="H689" i="6"/>
  <c r="I689" i="6" s="1"/>
  <c r="J689" i="6"/>
  <c r="H690" i="6"/>
  <c r="I690" i="6" s="1"/>
  <c r="J690" i="6"/>
  <c r="H691" i="6"/>
  <c r="I691" i="6" s="1"/>
  <c r="J691" i="6"/>
  <c r="H692" i="6"/>
  <c r="I692" i="6" s="1"/>
  <c r="J692" i="6"/>
  <c r="H693" i="6"/>
  <c r="I693" i="6" s="1"/>
  <c r="J693" i="6"/>
  <c r="H694" i="6"/>
  <c r="I694" i="6" s="1"/>
  <c r="J694" i="6"/>
  <c r="H695" i="6"/>
  <c r="I695" i="6" s="1"/>
  <c r="J695" i="6"/>
  <c r="H696" i="6"/>
  <c r="I696" i="6" s="1"/>
  <c r="J696" i="6"/>
  <c r="H697" i="6"/>
  <c r="I697" i="6" s="1"/>
  <c r="J697" i="6"/>
  <c r="H698" i="6"/>
  <c r="I698" i="6" s="1"/>
  <c r="J698" i="6"/>
  <c r="H699" i="6"/>
  <c r="I699" i="6" s="1"/>
  <c r="J699" i="6"/>
  <c r="H700" i="6"/>
  <c r="I700" i="6" s="1"/>
  <c r="J700" i="6"/>
  <c r="H701" i="6"/>
  <c r="I701" i="6" s="1"/>
  <c r="J701" i="6"/>
  <c r="H702" i="6"/>
  <c r="I702" i="6" s="1"/>
  <c r="J702" i="6"/>
  <c r="H703" i="6"/>
  <c r="I703" i="6" s="1"/>
  <c r="J703" i="6"/>
  <c r="H704" i="6"/>
  <c r="I704" i="6" s="1"/>
  <c r="J704" i="6"/>
  <c r="H705" i="6"/>
  <c r="I705" i="6" s="1"/>
  <c r="J705" i="6"/>
  <c r="H706" i="6"/>
  <c r="I706" i="6" s="1"/>
  <c r="J706" i="6"/>
  <c r="H707" i="6"/>
  <c r="I707" i="6" s="1"/>
  <c r="J707" i="6"/>
  <c r="H708" i="6"/>
  <c r="I708" i="6" s="1"/>
  <c r="J708" i="6"/>
  <c r="H709" i="6"/>
  <c r="I709" i="6" s="1"/>
  <c r="J709" i="6"/>
  <c r="H710" i="6"/>
  <c r="I710" i="6" s="1"/>
  <c r="J710" i="6"/>
  <c r="H712" i="6"/>
  <c r="I712" i="6" s="1"/>
  <c r="J712" i="6"/>
  <c r="H713" i="6"/>
  <c r="I713" i="6" s="1"/>
  <c r="J713" i="6"/>
  <c r="H714" i="6"/>
  <c r="I714" i="6" s="1"/>
  <c r="J714" i="6"/>
  <c r="H715" i="6"/>
  <c r="I715" i="6" s="1"/>
  <c r="J715" i="6"/>
  <c r="H716" i="6"/>
  <c r="I716" i="6" s="1"/>
  <c r="J716" i="6"/>
  <c r="H717" i="6"/>
  <c r="I717" i="6" s="1"/>
  <c r="J717" i="6"/>
  <c r="H718" i="6"/>
  <c r="I718" i="6" s="1"/>
  <c r="J718" i="6"/>
  <c r="H719" i="6"/>
  <c r="I719" i="6" s="1"/>
  <c r="J719" i="6"/>
  <c r="H720" i="6"/>
  <c r="I720" i="6" s="1"/>
  <c r="J720" i="6"/>
  <c r="H721" i="6"/>
  <c r="I721" i="6" s="1"/>
  <c r="J721" i="6"/>
  <c r="H722" i="6"/>
  <c r="I722" i="6" s="1"/>
  <c r="J722" i="6"/>
  <c r="H723" i="6"/>
  <c r="I723" i="6" s="1"/>
  <c r="J723" i="6"/>
  <c r="H724" i="6"/>
  <c r="I724" i="6" s="1"/>
  <c r="J724" i="6"/>
  <c r="H725" i="6"/>
  <c r="I725" i="6" s="1"/>
  <c r="J725" i="6"/>
  <c r="H726" i="6"/>
  <c r="I726" i="6" s="1"/>
  <c r="J726" i="6"/>
  <c r="H727" i="6"/>
  <c r="I727" i="6" s="1"/>
  <c r="J727" i="6"/>
  <c r="H728" i="6"/>
  <c r="I728" i="6" s="1"/>
  <c r="J728" i="6"/>
  <c r="H729" i="6"/>
  <c r="I729" i="6" s="1"/>
  <c r="J729" i="6"/>
  <c r="H730" i="6"/>
  <c r="I730" i="6" s="1"/>
  <c r="J730" i="6"/>
  <c r="H731" i="6"/>
  <c r="I731" i="6" s="1"/>
  <c r="J731" i="6"/>
  <c r="H732" i="6"/>
  <c r="I732" i="6" s="1"/>
  <c r="J732" i="6"/>
  <c r="H733" i="6"/>
  <c r="I733" i="6" s="1"/>
  <c r="J733" i="6"/>
  <c r="H734" i="6"/>
  <c r="I734" i="6" s="1"/>
  <c r="J734" i="6"/>
  <c r="H735" i="6"/>
  <c r="I735" i="6" s="1"/>
  <c r="J735" i="6"/>
  <c r="E736" i="6"/>
  <c r="F736" i="6" a="1"/>
  <c r="F736" i="6" s="1"/>
  <c r="H736" i="6"/>
  <c r="I736" i="6" s="1"/>
  <c r="J736" i="6"/>
  <c r="O736" i="6"/>
  <c r="N736" i="6" s="1"/>
  <c r="R736" i="6"/>
  <c r="T736" i="6"/>
  <c r="V736" i="6" a="1"/>
  <c r="V736" i="6" s="1"/>
  <c r="W736" i="6"/>
  <c r="E737" i="6"/>
  <c r="F737" i="6" a="1"/>
  <c r="F737" i="6" s="1"/>
  <c r="H737" i="6"/>
  <c r="I737" i="6" s="1"/>
  <c r="J737" i="6"/>
  <c r="T737" i="6"/>
  <c r="V737" i="6" a="1"/>
  <c r="V737" i="6" s="1"/>
  <c r="W737" i="6"/>
  <c r="E738" i="6"/>
  <c r="F738" i="6" a="1"/>
  <c r="F738" i="6" s="1"/>
  <c r="H738" i="6"/>
  <c r="I738" i="6" s="1"/>
  <c r="J738" i="6"/>
  <c r="O738" i="6"/>
  <c r="N738" i="6" s="1"/>
  <c r="R738" i="6"/>
  <c r="T738" i="6"/>
  <c r="V738" i="6" a="1"/>
  <c r="V738" i="6" s="1"/>
  <c r="W738" i="6"/>
  <c r="E739" i="6"/>
  <c r="F739" i="6" a="1"/>
  <c r="F739" i="6" s="1"/>
  <c r="H739" i="6"/>
  <c r="I739" i="6" s="1"/>
  <c r="J739" i="6"/>
  <c r="O739" i="6"/>
  <c r="N739" i="6" s="1"/>
  <c r="T739" i="6"/>
  <c r="V739" i="6" a="1"/>
  <c r="V739" i="6" s="1"/>
  <c r="W739" i="6"/>
  <c r="E740" i="6"/>
  <c r="F740" i="6" a="1"/>
  <c r="F740" i="6" s="1"/>
  <c r="H740" i="6"/>
  <c r="I740" i="6" s="1"/>
  <c r="J740" i="6"/>
  <c r="O740" i="6"/>
  <c r="N740" i="6" s="1"/>
  <c r="R740" i="6"/>
  <c r="T740" i="6"/>
  <c r="V740" i="6" a="1"/>
  <c r="V740" i="6" s="1"/>
  <c r="W740" i="6"/>
  <c r="E741" i="6"/>
  <c r="F741" i="6" a="1"/>
  <c r="F741" i="6" s="1"/>
  <c r="H741" i="6"/>
  <c r="I741" i="6" s="1"/>
  <c r="J741" i="6"/>
  <c r="T741" i="6"/>
  <c r="V741" i="6" a="1"/>
  <c r="V741" i="6" s="1"/>
  <c r="E742" i="6"/>
  <c r="F742" i="6" a="1"/>
  <c r="F742" i="6" s="1"/>
  <c r="H742" i="6"/>
  <c r="I742" i="6" s="1"/>
  <c r="J742" i="6"/>
  <c r="O742" i="6"/>
  <c r="N742" i="6" s="1"/>
  <c r="R742" i="6"/>
  <c r="T742" i="6"/>
  <c r="V742" i="6" a="1"/>
  <c r="V742" i="6" s="1"/>
  <c r="W742" i="6"/>
  <c r="E743" i="6"/>
  <c r="F743" i="6" a="1"/>
  <c r="F743" i="6" s="1"/>
  <c r="H743" i="6"/>
  <c r="I743" i="6" s="1"/>
  <c r="J743" i="6"/>
  <c r="T743" i="6"/>
  <c r="V743" i="6" a="1"/>
  <c r="V743" i="6" s="1"/>
  <c r="E744" i="6"/>
  <c r="F744" i="6" a="1"/>
  <c r="F744" i="6" s="1"/>
  <c r="H744" i="6"/>
  <c r="I744" i="6" s="1"/>
  <c r="J744" i="6"/>
  <c r="O744" i="6"/>
  <c r="N744" i="6" s="1"/>
  <c r="R744" i="6"/>
  <c r="T744" i="6"/>
  <c r="V744" i="6" a="1"/>
  <c r="V744" i="6" s="1"/>
  <c r="W744" i="6"/>
  <c r="X744" i="6" s="1"/>
  <c r="E745" i="6"/>
  <c r="F745" i="6" a="1"/>
  <c r="F745" i="6" s="1"/>
  <c r="H745" i="6"/>
  <c r="I745" i="6" s="1"/>
  <c r="J745" i="6"/>
  <c r="O745" i="6"/>
  <c r="T745" i="6"/>
  <c r="V745" i="6" a="1"/>
  <c r="V745" i="6" s="1"/>
  <c r="W745" i="6"/>
  <c r="N743" i="6" l="1"/>
  <c r="W741" i="6"/>
  <c r="X741" i="6" s="1"/>
  <c r="W743" i="6"/>
  <c r="P744" i="6"/>
  <c r="S744" i="6" s="1"/>
  <c r="R743" i="6"/>
  <c r="R741" i="6"/>
  <c r="R737" i="6"/>
  <c r="P743" i="6"/>
  <c r="N745" i="6"/>
  <c r="N741" i="6"/>
  <c r="S741" i="6" s="1"/>
  <c r="N737" i="6"/>
  <c r="S743" i="6" l="1"/>
  <c r="X743" i="6"/>
  <c r="E688" i="6"/>
  <c r="F688" i="6" a="1"/>
  <c r="F688" i="6" s="1"/>
  <c r="T688" i="6"/>
  <c r="V688" i="6" a="1"/>
  <c r="V688" i="6" s="1"/>
  <c r="E689" i="6"/>
  <c r="F689" i="6" a="1"/>
  <c r="F689" i="6" s="1"/>
  <c r="T689" i="6"/>
  <c r="V689" i="6" a="1"/>
  <c r="V689" i="6" s="1"/>
  <c r="E690" i="6"/>
  <c r="F690" i="6" a="1"/>
  <c r="F690" i="6" s="1"/>
  <c r="T690" i="6"/>
  <c r="V690" i="6" a="1"/>
  <c r="V690" i="6" s="1"/>
  <c r="W690" i="6"/>
  <c r="E691" i="6"/>
  <c r="F691" i="6" a="1"/>
  <c r="F691" i="6" s="1"/>
  <c r="T691" i="6"/>
  <c r="V691" i="6" a="1"/>
  <c r="V691" i="6" s="1"/>
  <c r="D171" i="16" l="1"/>
  <c r="E171" i="16" a="1"/>
  <c r="E171" i="16" s="1"/>
  <c r="G171" i="16"/>
  <c r="H171" i="16" s="1"/>
  <c r="I171" i="16"/>
  <c r="N171" i="16"/>
  <c r="O171" i="16" s="1"/>
  <c r="Q171" i="16"/>
  <c r="S171" i="16"/>
  <c r="U171" i="16" a="1"/>
  <c r="U171" i="16" s="1"/>
  <c r="V171" i="16"/>
  <c r="W171" i="16" s="1"/>
  <c r="M171" i="16" l="1"/>
  <c r="R171" i="16" s="1"/>
  <c r="E709" i="13"/>
  <c r="H709" i="13" s="1"/>
  <c r="E710" i="13"/>
  <c r="G710" i="13" s="1"/>
  <c r="J710" i="13" s="1"/>
  <c r="E712" i="13"/>
  <c r="G712" i="13" s="1"/>
  <c r="E713" i="13"/>
  <c r="G713" i="13" s="1"/>
  <c r="AL713" i="13" s="1"/>
  <c r="F709" i="13"/>
  <c r="F710" i="13"/>
  <c r="K710" i="13" s="1"/>
  <c r="F711" i="13"/>
  <c r="K711" i="13" s="1"/>
  <c r="F712" i="13"/>
  <c r="K712" i="13" s="1"/>
  <c r="F713" i="13"/>
  <c r="I713" i="13" s="1"/>
  <c r="L709" i="13"/>
  <c r="L710" i="13"/>
  <c r="N710" i="13" s="1"/>
  <c r="L711" i="13"/>
  <c r="O711" i="13" s="1"/>
  <c r="L712" i="13"/>
  <c r="L713" i="13"/>
  <c r="N713" i="13" s="1"/>
  <c r="M709" i="13"/>
  <c r="R709" i="13" s="1"/>
  <c r="M710" i="13"/>
  <c r="P710" i="13" s="1"/>
  <c r="M711" i="13"/>
  <c r="R711" i="13" s="1"/>
  <c r="M712" i="13"/>
  <c r="R712" i="13" s="1"/>
  <c r="M713" i="13"/>
  <c r="R713" i="13" s="1"/>
  <c r="N711" i="13"/>
  <c r="Q711" i="13" s="1"/>
  <c r="V709" i="13"/>
  <c r="V710" i="13"/>
  <c r="V712" i="13"/>
  <c r="V713" i="13"/>
  <c r="W709" i="13"/>
  <c r="W710" i="13"/>
  <c r="W711" i="13"/>
  <c r="W712" i="13"/>
  <c r="W713" i="13"/>
  <c r="X709" i="13"/>
  <c r="X710" i="13"/>
  <c r="X711" i="13"/>
  <c r="X712" i="13"/>
  <c r="X713" i="13"/>
  <c r="Y709" i="13"/>
  <c r="Y710" i="13"/>
  <c r="Y711" i="13"/>
  <c r="Y712" i="13"/>
  <c r="Y713" i="13"/>
  <c r="AC709" i="13"/>
  <c r="AC710" i="13"/>
  <c r="AC711" i="13"/>
  <c r="AC712" i="13"/>
  <c r="AC713" i="13"/>
  <c r="AJ709" i="13"/>
  <c r="AJ710" i="13"/>
  <c r="AJ711" i="13"/>
  <c r="AJ712" i="13"/>
  <c r="AJ713" i="13"/>
  <c r="AO709" i="13"/>
  <c r="AO710" i="13"/>
  <c r="AO711" i="13"/>
  <c r="AO712" i="13"/>
  <c r="AO713" i="13"/>
  <c r="AR709" i="13"/>
  <c r="AR710" i="13"/>
  <c r="AR711" i="13"/>
  <c r="AR712" i="13"/>
  <c r="AR713" i="13"/>
  <c r="AS709" i="13"/>
  <c r="AS710" i="13"/>
  <c r="AS711" i="13"/>
  <c r="AS712" i="13"/>
  <c r="AS713" i="13"/>
  <c r="AG713" i="13" l="1" a="1"/>
  <c r="AG713" i="13" s="1"/>
  <c r="N709" i="13"/>
  <c r="AM709" i="13" s="1"/>
  <c r="AG709" i="13" a="1"/>
  <c r="AG709" i="13" s="1"/>
  <c r="P713" i="13"/>
  <c r="O710" i="13"/>
  <c r="AH710" i="13" a="1"/>
  <c r="AH710" i="13" s="1"/>
  <c r="H713" i="13"/>
  <c r="G709" i="13"/>
  <c r="AL709" i="13" s="1"/>
  <c r="J713" i="13"/>
  <c r="S710" i="13"/>
  <c r="H710" i="13"/>
  <c r="T709" i="13"/>
  <c r="P709" i="13"/>
  <c r="K709" i="13"/>
  <c r="AP709" i="13" s="1"/>
  <c r="I712" i="13"/>
  <c r="I709" i="13"/>
  <c r="I710" i="13"/>
  <c r="T713" i="13"/>
  <c r="AG710" i="13" a="1"/>
  <c r="AG710" i="13" s="1"/>
  <c r="N712" i="13"/>
  <c r="AM712" i="13" s="1"/>
  <c r="P711" i="13"/>
  <c r="AM711" i="13"/>
  <c r="AH711" i="13" a="1"/>
  <c r="AH711" i="13" s="1"/>
  <c r="O712" i="13"/>
  <c r="Z709" i="13"/>
  <c r="AP711" i="13"/>
  <c r="AH713" i="13" a="1"/>
  <c r="AH713" i="13" s="1"/>
  <c r="Z710" i="13"/>
  <c r="Z712" i="13"/>
  <c r="Z713" i="13"/>
  <c r="AP712" i="13"/>
  <c r="AL710" i="13"/>
  <c r="AG712" i="13" a="1"/>
  <c r="AG712" i="13" s="1"/>
  <c r="Q713" i="13"/>
  <c r="AM713" i="13"/>
  <c r="J712" i="13"/>
  <c r="AL712" i="13"/>
  <c r="Q710" i="13"/>
  <c r="AD710" i="13" s="1"/>
  <c r="AM710" i="13"/>
  <c r="T712" i="13"/>
  <c r="S713" i="13"/>
  <c r="S709" i="13"/>
  <c r="R710" i="13"/>
  <c r="AP710" i="13" s="1"/>
  <c r="P712" i="13"/>
  <c r="O713" i="13"/>
  <c r="O709" i="13"/>
  <c r="K713" i="13"/>
  <c r="AP713" i="13" s="1"/>
  <c r="I711" i="13"/>
  <c r="H712" i="13"/>
  <c r="T711" i="13"/>
  <c r="S712" i="13"/>
  <c r="T710" i="13"/>
  <c r="AD713" i="13" l="1"/>
  <c r="J709" i="13"/>
  <c r="AA710" i="13"/>
  <c r="AI710" i="13" s="1"/>
  <c r="AA709" i="13"/>
  <c r="AA713" i="13"/>
  <c r="AK713" i="13" s="1"/>
  <c r="AA712" i="13"/>
  <c r="AQ713" i="13" l="1"/>
  <c r="AB710" i="13"/>
  <c r="AB709" i="13"/>
  <c r="AE710" i="13"/>
  <c r="AK709" i="13"/>
  <c r="AE713" i="13"/>
  <c r="AF709" i="13"/>
  <c r="AE709" i="13"/>
  <c r="AI713" i="13"/>
  <c r="AK710" i="13"/>
  <c r="AQ710" i="13" s="1"/>
  <c r="AB713" i="13"/>
  <c r="AF710" i="13"/>
  <c r="AF713" i="13"/>
  <c r="AB712" i="13"/>
  <c r="AF712" i="13"/>
  <c r="AE712" i="13"/>
  <c r="AK712" i="13"/>
  <c r="E752" i="6" l="1"/>
  <c r="F752" i="6" a="1"/>
  <c r="F752" i="6" s="1"/>
  <c r="H752" i="6"/>
  <c r="I752" i="6" s="1"/>
  <c r="J752" i="6"/>
  <c r="O752" i="6"/>
  <c r="R752" i="6"/>
  <c r="T752" i="6"/>
  <c r="W752" i="6"/>
  <c r="E751" i="6"/>
  <c r="F751" i="6" a="1"/>
  <c r="F751" i="6" s="1"/>
  <c r="H751" i="6"/>
  <c r="I751" i="6" s="1"/>
  <c r="J751" i="6"/>
  <c r="O751" i="6"/>
  <c r="R751" i="6"/>
  <c r="T751" i="6"/>
  <c r="V751" i="6" a="1"/>
  <c r="V751" i="6" s="1"/>
  <c r="W751" i="6"/>
  <c r="E750" i="6"/>
  <c r="F750" i="6" a="1"/>
  <c r="F750" i="6" s="1"/>
  <c r="H750" i="6"/>
  <c r="I750" i="6" s="1"/>
  <c r="J750" i="6"/>
  <c r="O750" i="6"/>
  <c r="R750" i="6"/>
  <c r="T750" i="6"/>
  <c r="W750" i="6"/>
  <c r="E749" i="6"/>
  <c r="F749" i="6" a="1"/>
  <c r="F749" i="6" s="1"/>
  <c r="H749" i="6"/>
  <c r="I749" i="6" s="1"/>
  <c r="J749" i="6"/>
  <c r="O749" i="6"/>
  <c r="R749" i="6"/>
  <c r="T749" i="6"/>
  <c r="W749" i="6"/>
  <c r="R748" i="6"/>
  <c r="O747" i="6"/>
  <c r="E747" i="6"/>
  <c r="E748" i="6"/>
  <c r="F747" i="6" a="1"/>
  <c r="F747" i="6" s="1"/>
  <c r="F748" i="6" a="1"/>
  <c r="F748" i="6" s="1"/>
  <c r="H747" i="6"/>
  <c r="I747" i="6" s="1"/>
  <c r="H748" i="6"/>
  <c r="I748" i="6" s="1"/>
  <c r="J747" i="6"/>
  <c r="J748" i="6"/>
  <c r="T747" i="6"/>
  <c r="T748" i="6"/>
  <c r="V748" i="6" a="1"/>
  <c r="V748" i="6" s="1"/>
  <c r="W747" i="6"/>
  <c r="W748" i="6"/>
  <c r="V711" i="13" s="1"/>
  <c r="Z711" i="13" s="1"/>
  <c r="N747" i="6" l="1"/>
  <c r="N752" i="6"/>
  <c r="R747" i="6"/>
  <c r="N751" i="6"/>
  <c r="N750" i="6"/>
  <c r="N749" i="6"/>
  <c r="O748" i="6"/>
  <c r="E681" i="6"/>
  <c r="F681" i="6" a="1"/>
  <c r="F681" i="6" s="1"/>
  <c r="T681" i="6"/>
  <c r="V681" i="6" a="1"/>
  <c r="V681" i="6" s="1"/>
  <c r="W681" i="6"/>
  <c r="E682" i="6"/>
  <c r="F682" i="6" a="1"/>
  <c r="F682" i="6" s="1"/>
  <c r="T682" i="6"/>
  <c r="V682" i="6" a="1"/>
  <c r="V682" i="6" s="1"/>
  <c r="W682" i="6"/>
  <c r="E683" i="6"/>
  <c r="F683" i="6" a="1"/>
  <c r="F683" i="6" s="1"/>
  <c r="T683" i="6"/>
  <c r="V683" i="6" a="1"/>
  <c r="V683" i="6" s="1"/>
  <c r="W683" i="6"/>
  <c r="E684" i="6"/>
  <c r="F684" i="6" a="1"/>
  <c r="F684" i="6" s="1"/>
  <c r="T684" i="6"/>
  <c r="V684" i="6" a="1"/>
  <c r="V684" i="6" s="1"/>
  <c r="W684" i="6"/>
  <c r="E685" i="6"/>
  <c r="F685" i="6" a="1"/>
  <c r="F685" i="6" s="1"/>
  <c r="T685" i="6"/>
  <c r="V685" i="6" a="1"/>
  <c r="V685" i="6" s="1"/>
  <c r="W685" i="6"/>
  <c r="E686" i="6"/>
  <c r="F686" i="6" a="1"/>
  <c r="F686" i="6" s="1"/>
  <c r="T686" i="6"/>
  <c r="V686" i="6" a="1"/>
  <c r="V686" i="6" s="1"/>
  <c r="E687" i="6"/>
  <c r="F687" i="6" a="1"/>
  <c r="F687" i="6" s="1"/>
  <c r="T687" i="6"/>
  <c r="V687" i="6" a="1"/>
  <c r="V687" i="6" s="1"/>
  <c r="W687" i="6"/>
  <c r="E692" i="6"/>
  <c r="F692" i="6" a="1"/>
  <c r="F692" i="6" s="1"/>
  <c r="T692" i="6"/>
  <c r="V692" i="6" a="1"/>
  <c r="V692" i="6" s="1"/>
  <c r="W692" i="6"/>
  <c r="E693" i="6"/>
  <c r="F693" i="6" a="1"/>
  <c r="F693" i="6" s="1"/>
  <c r="T693" i="6"/>
  <c r="V693" i="6" a="1"/>
  <c r="V693" i="6" s="1"/>
  <c r="W693" i="6"/>
  <c r="E694" i="6"/>
  <c r="F694" i="6" a="1"/>
  <c r="F694" i="6" s="1"/>
  <c r="T694" i="6"/>
  <c r="V694" i="6" a="1"/>
  <c r="V694" i="6" s="1"/>
  <c r="E695" i="6"/>
  <c r="F695" i="6" a="1"/>
  <c r="F695" i="6" s="1"/>
  <c r="T695" i="6"/>
  <c r="V695" i="6" a="1"/>
  <c r="V695" i="6" s="1"/>
  <c r="W695" i="6"/>
  <c r="E696" i="6"/>
  <c r="F696" i="6" a="1"/>
  <c r="F696" i="6" s="1"/>
  <c r="T696" i="6"/>
  <c r="V696" i="6" a="1"/>
  <c r="V696" i="6" s="1"/>
  <c r="E697" i="6"/>
  <c r="F697" i="6" a="1"/>
  <c r="F697" i="6" s="1"/>
  <c r="T697" i="6"/>
  <c r="V697" i="6" a="1"/>
  <c r="V697" i="6" s="1"/>
  <c r="W697" i="6"/>
  <c r="E698" i="6"/>
  <c r="F698" i="6" a="1"/>
  <c r="F698" i="6" s="1"/>
  <c r="T698" i="6"/>
  <c r="V698" i="6" a="1"/>
  <c r="V698" i="6" s="1"/>
  <c r="W698" i="6"/>
  <c r="E699" i="6"/>
  <c r="F699" i="6" a="1"/>
  <c r="F699" i="6" s="1"/>
  <c r="T699" i="6"/>
  <c r="V699" i="6" a="1"/>
  <c r="V699" i="6" s="1"/>
  <c r="W699" i="6"/>
  <c r="E700" i="6"/>
  <c r="F700" i="6" a="1"/>
  <c r="F700" i="6" s="1"/>
  <c r="T700" i="6"/>
  <c r="V700" i="6" a="1"/>
  <c r="V700" i="6" s="1"/>
  <c r="E701" i="6"/>
  <c r="F701" i="6" a="1"/>
  <c r="F701" i="6" s="1"/>
  <c r="T701" i="6"/>
  <c r="V701" i="6" a="1"/>
  <c r="V701" i="6" s="1"/>
  <c r="W701" i="6"/>
  <c r="E702" i="6"/>
  <c r="F702" i="6" a="1"/>
  <c r="F702" i="6" s="1"/>
  <c r="T702" i="6"/>
  <c r="V702" i="6" a="1"/>
  <c r="V702" i="6" s="1"/>
  <c r="W702" i="6"/>
  <c r="E703" i="6"/>
  <c r="F703" i="6" a="1"/>
  <c r="F703" i="6" s="1"/>
  <c r="T703" i="6"/>
  <c r="V703" i="6" a="1"/>
  <c r="V703" i="6" s="1"/>
  <c r="W703" i="6"/>
  <c r="E704" i="6"/>
  <c r="F704" i="6" a="1"/>
  <c r="F704" i="6" s="1"/>
  <c r="T704" i="6"/>
  <c r="V704" i="6" a="1"/>
  <c r="V704" i="6" s="1"/>
  <c r="W704" i="6"/>
  <c r="E705" i="6"/>
  <c r="F705" i="6" a="1"/>
  <c r="F705" i="6" s="1"/>
  <c r="T705" i="6"/>
  <c r="V705" i="6" a="1"/>
  <c r="V705" i="6" s="1"/>
  <c r="E706" i="6"/>
  <c r="F706" i="6" a="1"/>
  <c r="F706" i="6" s="1"/>
  <c r="T706" i="6"/>
  <c r="V706" i="6" a="1"/>
  <c r="V706" i="6" s="1"/>
  <c r="W706" i="6"/>
  <c r="E707" i="6"/>
  <c r="F707" i="6" a="1"/>
  <c r="F707" i="6" s="1"/>
  <c r="T707" i="6"/>
  <c r="V707" i="6" a="1"/>
  <c r="V707" i="6" s="1"/>
  <c r="W707" i="6"/>
  <c r="E708" i="6"/>
  <c r="F708" i="6" a="1"/>
  <c r="F708" i="6" s="1"/>
  <c r="T708" i="6"/>
  <c r="V708" i="6" a="1"/>
  <c r="V708" i="6" s="1"/>
  <c r="E709" i="6"/>
  <c r="F709" i="6" a="1"/>
  <c r="F709" i="6" s="1"/>
  <c r="T709" i="6"/>
  <c r="V709" i="6" a="1"/>
  <c r="V709" i="6" s="1"/>
  <c r="W709" i="6"/>
  <c r="E710" i="6"/>
  <c r="F710" i="6" a="1"/>
  <c r="F710" i="6" s="1"/>
  <c r="T710" i="6"/>
  <c r="V710" i="6" a="1"/>
  <c r="V710" i="6" s="1"/>
  <c r="W710" i="6"/>
  <c r="E712" i="6"/>
  <c r="F712" i="6" a="1"/>
  <c r="F712" i="6" s="1"/>
  <c r="T712" i="6"/>
  <c r="V712" i="6" a="1"/>
  <c r="V712" i="6" s="1"/>
  <c r="W712" i="6"/>
  <c r="E713" i="6"/>
  <c r="F713" i="6" a="1"/>
  <c r="F713" i="6" s="1"/>
  <c r="T713" i="6"/>
  <c r="V713" i="6" a="1"/>
  <c r="V713" i="6" s="1"/>
  <c r="E714" i="6"/>
  <c r="F714" i="6" a="1"/>
  <c r="F714" i="6" s="1"/>
  <c r="T714" i="6"/>
  <c r="V714" i="6" a="1"/>
  <c r="V714" i="6" s="1"/>
  <c r="E715" i="6"/>
  <c r="F715" i="6" a="1"/>
  <c r="F715" i="6" s="1"/>
  <c r="T715" i="6"/>
  <c r="V715" i="6" a="1"/>
  <c r="V715" i="6" s="1"/>
  <c r="W715" i="6"/>
  <c r="E716" i="6"/>
  <c r="F716" i="6" a="1"/>
  <c r="F716" i="6" s="1"/>
  <c r="T716" i="6"/>
  <c r="V716" i="6" a="1"/>
  <c r="V716" i="6" s="1"/>
  <c r="W716" i="6"/>
  <c r="E717" i="6"/>
  <c r="F717" i="6" a="1"/>
  <c r="F717" i="6" s="1"/>
  <c r="T717" i="6"/>
  <c r="V717" i="6" a="1"/>
  <c r="V717" i="6" s="1"/>
  <c r="W717" i="6"/>
  <c r="E718" i="6"/>
  <c r="F718" i="6" a="1"/>
  <c r="F718" i="6" s="1"/>
  <c r="T718" i="6"/>
  <c r="V718" i="6" a="1"/>
  <c r="V718" i="6" s="1"/>
  <c r="W718" i="6"/>
  <c r="E719" i="6"/>
  <c r="F719" i="6" a="1"/>
  <c r="F719" i="6" s="1"/>
  <c r="T719" i="6"/>
  <c r="V719" i="6" a="1"/>
  <c r="V719" i="6" s="1"/>
  <c r="E720" i="6"/>
  <c r="F720" i="6" a="1"/>
  <c r="F720" i="6" s="1"/>
  <c r="T720" i="6"/>
  <c r="V720" i="6" a="1"/>
  <c r="V720" i="6" s="1"/>
  <c r="W720" i="6"/>
  <c r="E721" i="6"/>
  <c r="F721" i="6" a="1"/>
  <c r="F721" i="6" s="1"/>
  <c r="T721" i="6"/>
  <c r="V721" i="6" a="1"/>
  <c r="V721" i="6" s="1"/>
  <c r="W721" i="6"/>
  <c r="E722" i="6"/>
  <c r="F722" i="6" a="1"/>
  <c r="F722" i="6" s="1"/>
  <c r="T722" i="6"/>
  <c r="V722" i="6" a="1"/>
  <c r="V722" i="6" s="1"/>
  <c r="E723" i="6"/>
  <c r="F723" i="6" a="1"/>
  <c r="F723" i="6" s="1"/>
  <c r="T723" i="6"/>
  <c r="V723" i="6" a="1"/>
  <c r="V723" i="6" s="1"/>
  <c r="W723" i="6"/>
  <c r="E724" i="6"/>
  <c r="F724" i="6" a="1"/>
  <c r="F724" i="6" s="1"/>
  <c r="T724" i="6"/>
  <c r="V724" i="6" a="1"/>
  <c r="V724" i="6" s="1"/>
  <c r="W724" i="6"/>
  <c r="E725" i="6"/>
  <c r="F725" i="6" a="1"/>
  <c r="F725" i="6" s="1"/>
  <c r="T725" i="6"/>
  <c r="V725" i="6" a="1"/>
  <c r="V725" i="6" s="1"/>
  <c r="E726" i="6"/>
  <c r="F726" i="6" a="1"/>
  <c r="F726" i="6" s="1"/>
  <c r="T726" i="6"/>
  <c r="V726" i="6" a="1"/>
  <c r="V726" i="6" s="1"/>
  <c r="W726" i="6"/>
  <c r="E727" i="6"/>
  <c r="F727" i="6" a="1"/>
  <c r="F727" i="6" s="1"/>
  <c r="T727" i="6"/>
  <c r="V727" i="6" a="1"/>
  <c r="V727" i="6" s="1"/>
  <c r="E728" i="6"/>
  <c r="F728" i="6" a="1"/>
  <c r="F728" i="6" s="1"/>
  <c r="T728" i="6"/>
  <c r="V728" i="6" a="1"/>
  <c r="V728" i="6" s="1"/>
  <c r="W728" i="6"/>
  <c r="E729" i="6"/>
  <c r="F729" i="6" a="1"/>
  <c r="F729" i="6" s="1"/>
  <c r="T729" i="6"/>
  <c r="V729" i="6" a="1"/>
  <c r="V729" i="6" s="1"/>
  <c r="E730" i="6"/>
  <c r="F730" i="6" a="1"/>
  <c r="F730" i="6" s="1"/>
  <c r="T730" i="6"/>
  <c r="V730" i="6" a="1"/>
  <c r="V730" i="6" s="1"/>
  <c r="E731" i="6"/>
  <c r="F731" i="6" a="1"/>
  <c r="F731" i="6" s="1"/>
  <c r="T731" i="6"/>
  <c r="V731" i="6" a="1"/>
  <c r="V731" i="6" s="1"/>
  <c r="W731" i="6"/>
  <c r="E732" i="6"/>
  <c r="F732" i="6" a="1"/>
  <c r="F732" i="6" s="1"/>
  <c r="T732" i="6"/>
  <c r="V732" i="6" a="1"/>
  <c r="V732" i="6" s="1"/>
  <c r="E733" i="6"/>
  <c r="F733" i="6" a="1"/>
  <c r="F733" i="6" s="1"/>
  <c r="T733" i="6"/>
  <c r="V733" i="6" a="1"/>
  <c r="V733" i="6" s="1"/>
  <c r="E734" i="6"/>
  <c r="F734" i="6" a="1"/>
  <c r="F734" i="6" s="1"/>
  <c r="T734" i="6"/>
  <c r="V734" i="6" a="1"/>
  <c r="V734" i="6" s="1"/>
  <c r="E735" i="6"/>
  <c r="F735" i="6" a="1"/>
  <c r="F735" i="6" s="1"/>
  <c r="T735" i="6"/>
  <c r="V735" i="6" a="1"/>
  <c r="V735" i="6" s="1"/>
  <c r="Q170" i="16"/>
  <c r="Q169" i="16"/>
  <c r="Q168" i="16"/>
  <c r="Q167" i="16"/>
  <c r="Q164" i="16"/>
  <c r="Q166" i="16"/>
  <c r="Q163" i="16"/>
  <c r="Q162" i="16"/>
  <c r="Q3" i="16"/>
  <c r="Q4" i="16"/>
  <c r="Q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105" i="16"/>
  <c r="Q106" i="16"/>
  <c r="Q107" i="16"/>
  <c r="Q108" i="16"/>
  <c r="Q109" i="16"/>
  <c r="Q110" i="16"/>
  <c r="Q111" i="16"/>
  <c r="Q112" i="16"/>
  <c r="Q113" i="16"/>
  <c r="Q114" i="16"/>
  <c r="Q115" i="16"/>
  <c r="Q116" i="16"/>
  <c r="Q117" i="16"/>
  <c r="Q118" i="16"/>
  <c r="Q119" i="16"/>
  <c r="Q120" i="16"/>
  <c r="Q121" i="16"/>
  <c r="Q122" i="16"/>
  <c r="Q123" i="16"/>
  <c r="Q124" i="16"/>
  <c r="Q125" i="16"/>
  <c r="Q126" i="16"/>
  <c r="Q127" i="16"/>
  <c r="Q128" i="16"/>
  <c r="Q129" i="16"/>
  <c r="Q130" i="16"/>
  <c r="Q131" i="16"/>
  <c r="Q132" i="16"/>
  <c r="Q133" i="16"/>
  <c r="Q134" i="16"/>
  <c r="Q135" i="16"/>
  <c r="Q136" i="16"/>
  <c r="Q137" i="16"/>
  <c r="Q138" i="16"/>
  <c r="Q139" i="16"/>
  <c r="Q140" i="16"/>
  <c r="Q141" i="16"/>
  <c r="Q142" i="16"/>
  <c r="Q143" i="16"/>
  <c r="Q144" i="16"/>
  <c r="Q145" i="16"/>
  <c r="Q146" i="16"/>
  <c r="Q147" i="16"/>
  <c r="Q148" i="16"/>
  <c r="Q149" i="16"/>
  <c r="Q150" i="16"/>
  <c r="Q165" i="16"/>
  <c r="Q158" i="16"/>
  <c r="Q159" i="16"/>
  <c r="Q160" i="16"/>
  <c r="Q161" i="16"/>
  <c r="Q157" i="16"/>
  <c r="Q156" i="16"/>
  <c r="Q155" i="16"/>
  <c r="Q154" i="16"/>
  <c r="Q152" i="16"/>
  <c r="Q153" i="16"/>
  <c r="Q151" i="16"/>
  <c r="N748" i="6" l="1"/>
  <c r="E711" i="13"/>
  <c r="P748" i="6"/>
  <c r="U176" i="21"/>
  <c r="U177" i="21"/>
  <c r="U178" i="21"/>
  <c r="U179" i="21"/>
  <c r="U180" i="21"/>
  <c r="U181" i="21"/>
  <c r="U182" i="21"/>
  <c r="U183" i="21"/>
  <c r="U184" i="21"/>
  <c r="U185" i="21"/>
  <c r="U186" i="21"/>
  <c r="U188" i="21"/>
  <c r="U189" i="21"/>
  <c r="U190" i="21"/>
  <c r="U191" i="21"/>
  <c r="U192" i="21"/>
  <c r="U193" i="21"/>
  <c r="U194" i="21"/>
  <c r="U195" i="21"/>
  <c r="U196" i="21"/>
  <c r="U197" i="21"/>
  <c r="U198" i="21"/>
  <c r="U200" i="21"/>
  <c r="U201" i="21"/>
  <c r="U202" i="21"/>
  <c r="U203" i="21"/>
  <c r="U204" i="21"/>
  <c r="U206" i="21"/>
  <c r="U207" i="21"/>
  <c r="U208" i="21"/>
  <c r="U209" i="21"/>
  <c r="U210" i="21"/>
  <c r="U211" i="21"/>
  <c r="U212" i="21"/>
  <c r="U213" i="21"/>
  <c r="U214" i="21"/>
  <c r="U215" i="21"/>
  <c r="U216" i="21"/>
  <c r="U217" i="21"/>
  <c r="U218" i="21"/>
  <c r="U219" i="21"/>
  <c r="U220" i="21"/>
  <c r="U221" i="21"/>
  <c r="U222" i="21"/>
  <c r="U223" i="21"/>
  <c r="U224" i="21"/>
  <c r="U225" i="21"/>
  <c r="U226" i="21"/>
  <c r="U227" i="21"/>
  <c r="U228" i="21"/>
  <c r="U229" i="21"/>
  <c r="U230" i="21"/>
  <c r="U231" i="21"/>
  <c r="U232" i="21"/>
  <c r="U233" i="21"/>
  <c r="U234" i="21"/>
  <c r="U235" i="21"/>
  <c r="U236" i="21"/>
  <c r="U237" i="21"/>
  <c r="U238" i="21"/>
  <c r="U239" i="21"/>
  <c r="U240" i="21"/>
  <c r="U241" i="21"/>
  <c r="U242" i="21"/>
  <c r="U243" i="21"/>
  <c r="U244" i="21"/>
  <c r="U245" i="21"/>
  <c r="U246" i="21"/>
  <c r="U247" i="21"/>
  <c r="U248" i="21"/>
  <c r="U249" i="21"/>
  <c r="U250" i="21"/>
  <c r="U251" i="21"/>
  <c r="U252" i="21"/>
  <c r="U253" i="21"/>
  <c r="U254" i="21"/>
  <c r="U255" i="21"/>
  <c r="U256" i="21"/>
  <c r="U257" i="21"/>
  <c r="U258" i="21"/>
  <c r="U259" i="21"/>
  <c r="U260" i="21"/>
  <c r="U261" i="21"/>
  <c r="U262" i="21"/>
  <c r="U263" i="21"/>
  <c r="U264" i="21"/>
  <c r="U265" i="21"/>
  <c r="U266" i="21"/>
  <c r="U267" i="21"/>
  <c r="U268" i="21"/>
  <c r="U269" i="21"/>
  <c r="U270" i="21"/>
  <c r="U271" i="21"/>
  <c r="U272" i="21"/>
  <c r="U273" i="21"/>
  <c r="U175" i="21"/>
  <c r="U187" i="21"/>
  <c r="U199" i="21"/>
  <c r="U205" i="21"/>
  <c r="D273" i="21"/>
  <c r="H273" i="21"/>
  <c r="I273" i="21"/>
  <c r="L273" i="21"/>
  <c r="T273" i="21"/>
  <c r="D272" i="21"/>
  <c r="H272" i="21"/>
  <c r="I272" i="21"/>
  <c r="L272" i="21"/>
  <c r="T272" i="21"/>
  <c r="D270" i="21"/>
  <c r="D271" i="21"/>
  <c r="H270" i="21"/>
  <c r="H271" i="21"/>
  <c r="I270" i="21"/>
  <c r="I271" i="21"/>
  <c r="L270" i="21"/>
  <c r="L271" i="21"/>
  <c r="T270" i="21"/>
  <c r="T271" i="21"/>
  <c r="D268" i="21"/>
  <c r="D269" i="21"/>
  <c r="H268" i="21"/>
  <c r="H269" i="21"/>
  <c r="I268" i="21"/>
  <c r="I269" i="21"/>
  <c r="L268" i="21"/>
  <c r="L269" i="21"/>
  <c r="T268" i="21"/>
  <c r="T269" i="21"/>
  <c r="D267" i="21"/>
  <c r="H267" i="21"/>
  <c r="I267" i="21"/>
  <c r="L267" i="21"/>
  <c r="T267" i="21"/>
  <c r="D265" i="21"/>
  <c r="D266" i="21"/>
  <c r="H265" i="21"/>
  <c r="H266" i="21"/>
  <c r="I265" i="21"/>
  <c r="I266" i="21"/>
  <c r="L265" i="21"/>
  <c r="L266" i="21"/>
  <c r="M266" i="21" s="1"/>
  <c r="T265" i="21"/>
  <c r="T266" i="21"/>
  <c r="D264" i="21"/>
  <c r="H264" i="21"/>
  <c r="I264" i="21"/>
  <c r="L264" i="21"/>
  <c r="M264" i="21" s="1"/>
  <c r="T264" i="21"/>
  <c r="D263" i="21"/>
  <c r="H263" i="21"/>
  <c r="I263" i="21"/>
  <c r="L263" i="21"/>
  <c r="T263" i="21"/>
  <c r="D262" i="21"/>
  <c r="H262" i="21"/>
  <c r="I262" i="21"/>
  <c r="L262" i="21"/>
  <c r="T262" i="21"/>
  <c r="D261" i="21"/>
  <c r="H261" i="21"/>
  <c r="I261" i="21"/>
  <c r="L261" i="21"/>
  <c r="T261" i="21"/>
  <c r="D260" i="21"/>
  <c r="H260" i="21"/>
  <c r="I260" i="21"/>
  <c r="L260" i="21"/>
  <c r="M260" i="21" s="1"/>
  <c r="T260" i="21"/>
  <c r="D259" i="21"/>
  <c r="H259" i="21"/>
  <c r="I259" i="21"/>
  <c r="L259" i="21"/>
  <c r="M259" i="21" s="1"/>
  <c r="T259" i="21"/>
  <c r="D258" i="21"/>
  <c r="H258" i="21"/>
  <c r="I258" i="21"/>
  <c r="L258" i="21"/>
  <c r="M258" i="21" s="1"/>
  <c r="T258" i="21"/>
  <c r="D257" i="21"/>
  <c r="H257" i="21"/>
  <c r="I257" i="21"/>
  <c r="L257" i="21"/>
  <c r="M257" i="21" s="1"/>
  <c r="T257" i="21"/>
  <c r="D256" i="21"/>
  <c r="H256" i="21"/>
  <c r="I256" i="21"/>
  <c r="L256" i="21"/>
  <c r="M256" i="21" s="1"/>
  <c r="T256" i="21"/>
  <c r="D254" i="21"/>
  <c r="D255" i="21"/>
  <c r="H254" i="21"/>
  <c r="H255" i="21"/>
  <c r="I254" i="21"/>
  <c r="I255" i="21"/>
  <c r="L254" i="21"/>
  <c r="M254" i="21" s="1"/>
  <c r="L255" i="21"/>
  <c r="M255" i="21" s="1"/>
  <c r="T254" i="21"/>
  <c r="T255" i="21"/>
  <c r="D253" i="21"/>
  <c r="H253" i="21"/>
  <c r="I253" i="21"/>
  <c r="L253" i="21"/>
  <c r="T253" i="21"/>
  <c r="D252" i="21"/>
  <c r="H252" i="21"/>
  <c r="I252" i="21"/>
  <c r="L252" i="21"/>
  <c r="T252" i="21"/>
  <c r="D251" i="21"/>
  <c r="H251" i="21"/>
  <c r="I251" i="21"/>
  <c r="L251" i="21"/>
  <c r="T251" i="21"/>
  <c r="D249" i="21"/>
  <c r="D250" i="21"/>
  <c r="H249" i="21"/>
  <c r="H250" i="21"/>
  <c r="I249" i="21"/>
  <c r="I250" i="21"/>
  <c r="L249" i="21"/>
  <c r="M249" i="21" s="1"/>
  <c r="L250" i="21"/>
  <c r="T249" i="21"/>
  <c r="T250" i="21"/>
  <c r="D248" i="21"/>
  <c r="H248" i="21"/>
  <c r="I248" i="21"/>
  <c r="L248" i="21"/>
  <c r="T248" i="21"/>
  <c r="D246" i="21"/>
  <c r="D247" i="21"/>
  <c r="H246" i="21"/>
  <c r="H247" i="21"/>
  <c r="I246" i="21"/>
  <c r="I247" i="21"/>
  <c r="L246" i="21"/>
  <c r="M246" i="21" s="1"/>
  <c r="L247" i="21"/>
  <c r="M247" i="21" s="1"/>
  <c r="T246" i="21"/>
  <c r="T247" i="21"/>
  <c r="D245" i="21"/>
  <c r="H245" i="21"/>
  <c r="I245" i="21"/>
  <c r="L245" i="21"/>
  <c r="M245" i="21" s="1"/>
  <c r="T245" i="21"/>
  <c r="D244" i="21"/>
  <c r="H244" i="21"/>
  <c r="I244" i="21"/>
  <c r="L244" i="21"/>
  <c r="T244" i="21"/>
  <c r="D243" i="21"/>
  <c r="H243" i="21"/>
  <c r="I243" i="21"/>
  <c r="L243" i="21"/>
  <c r="T243" i="21"/>
  <c r="D242" i="21"/>
  <c r="H242" i="21"/>
  <c r="I242" i="21"/>
  <c r="L242" i="21"/>
  <c r="T242" i="21"/>
  <c r="D241" i="21"/>
  <c r="H241" i="21"/>
  <c r="I241" i="21"/>
  <c r="L241" i="21"/>
  <c r="M241" i="21" s="1"/>
  <c r="T241" i="21"/>
  <c r="D240" i="21"/>
  <c r="H240" i="21"/>
  <c r="I240" i="21"/>
  <c r="L240" i="21"/>
  <c r="M240" i="21" s="1"/>
  <c r="T240" i="21"/>
  <c r="D238" i="21"/>
  <c r="D239" i="21"/>
  <c r="H238" i="21"/>
  <c r="H239" i="21"/>
  <c r="I238" i="21"/>
  <c r="I239" i="21"/>
  <c r="L238" i="21"/>
  <c r="L239" i="21"/>
  <c r="T238" i="21"/>
  <c r="T239" i="21"/>
  <c r="D233" i="21"/>
  <c r="D234" i="21"/>
  <c r="D235" i="21"/>
  <c r="D236" i="21"/>
  <c r="D237" i="21"/>
  <c r="H233" i="21"/>
  <c r="H234" i="21"/>
  <c r="H235" i="21"/>
  <c r="H236" i="21"/>
  <c r="H237" i="21"/>
  <c r="I233" i="21"/>
  <c r="I234" i="21"/>
  <c r="I235" i="21"/>
  <c r="I236" i="21"/>
  <c r="I237" i="21"/>
  <c r="L233" i="21"/>
  <c r="M233" i="21" s="1"/>
  <c r="L234" i="21"/>
  <c r="M234" i="21" s="1"/>
  <c r="L235" i="21"/>
  <c r="M235" i="21" s="1"/>
  <c r="L236" i="21"/>
  <c r="M236" i="21" s="1"/>
  <c r="L237" i="21"/>
  <c r="M237" i="21" s="1"/>
  <c r="T233" i="21"/>
  <c r="T234" i="21"/>
  <c r="T235" i="21"/>
  <c r="T236" i="21"/>
  <c r="T237" i="21"/>
  <c r="D230" i="21"/>
  <c r="D231" i="21"/>
  <c r="D232" i="21"/>
  <c r="H230" i="21"/>
  <c r="H231" i="21"/>
  <c r="H232" i="21"/>
  <c r="I230" i="21"/>
  <c r="I231" i="21"/>
  <c r="I232" i="21"/>
  <c r="L230" i="21"/>
  <c r="L231" i="21"/>
  <c r="M231" i="21" s="1"/>
  <c r="L232" i="21"/>
  <c r="M232" i="21" s="1"/>
  <c r="T230" i="21"/>
  <c r="T231" i="21"/>
  <c r="T232" i="21"/>
  <c r="D224" i="21"/>
  <c r="D225" i="21"/>
  <c r="D226" i="21"/>
  <c r="D227" i="21"/>
  <c r="D228" i="21"/>
  <c r="D229" i="21"/>
  <c r="H224" i="21"/>
  <c r="H225" i="21"/>
  <c r="H226" i="21"/>
  <c r="H227" i="21"/>
  <c r="H228" i="21"/>
  <c r="H229" i="21"/>
  <c r="I224" i="21"/>
  <c r="I225" i="21"/>
  <c r="I226" i="21"/>
  <c r="I227" i="21"/>
  <c r="I228" i="21"/>
  <c r="I229" i="21"/>
  <c r="L224" i="21"/>
  <c r="M224" i="21" s="1"/>
  <c r="L225" i="21"/>
  <c r="M225" i="21" s="1"/>
  <c r="L226" i="21"/>
  <c r="M226" i="21" s="1"/>
  <c r="L227" i="21"/>
  <c r="M227" i="21" s="1"/>
  <c r="L228" i="21"/>
  <c r="L229" i="21"/>
  <c r="M229" i="21" s="1"/>
  <c r="T224" i="21"/>
  <c r="T225" i="21"/>
  <c r="T226" i="21"/>
  <c r="T227" i="21"/>
  <c r="T228" i="21"/>
  <c r="T229" i="21"/>
  <c r="D223" i="21"/>
  <c r="H223" i="21"/>
  <c r="I223" i="21"/>
  <c r="L223" i="21"/>
  <c r="T223" i="21"/>
  <c r="D222" i="21"/>
  <c r="H222" i="21"/>
  <c r="I222" i="21"/>
  <c r="L222" i="21"/>
  <c r="M222" i="21" s="1"/>
  <c r="T222" i="21"/>
  <c r="D221" i="21"/>
  <c r="H221" i="21"/>
  <c r="I221" i="21"/>
  <c r="L221" i="21"/>
  <c r="T221" i="21"/>
  <c r="D220" i="21"/>
  <c r="H220" i="21"/>
  <c r="I220" i="21"/>
  <c r="L220" i="21"/>
  <c r="T220" i="21"/>
  <c r="D219" i="21"/>
  <c r="H219" i="21"/>
  <c r="I219" i="21"/>
  <c r="L219" i="21"/>
  <c r="M219" i="21" s="1"/>
  <c r="T219" i="21"/>
  <c r="D218" i="21"/>
  <c r="H218" i="21"/>
  <c r="I218" i="21"/>
  <c r="L218" i="21"/>
  <c r="M218" i="21" s="1"/>
  <c r="T218" i="21"/>
  <c r="D216" i="21"/>
  <c r="D217" i="21"/>
  <c r="H216" i="21"/>
  <c r="H217" i="21"/>
  <c r="I216" i="21"/>
  <c r="I217" i="21"/>
  <c r="L216" i="21"/>
  <c r="L217" i="21"/>
  <c r="T216" i="21"/>
  <c r="T217" i="21"/>
  <c r="D215" i="21"/>
  <c r="H215" i="21"/>
  <c r="I215" i="21"/>
  <c r="L215" i="21"/>
  <c r="M215" i="21" s="1"/>
  <c r="T215" i="21"/>
  <c r="D214" i="21"/>
  <c r="H214" i="21"/>
  <c r="I214" i="21"/>
  <c r="L214" i="21"/>
  <c r="T214" i="21"/>
  <c r="D213" i="21"/>
  <c r="H213" i="21"/>
  <c r="I213" i="21"/>
  <c r="L213" i="21"/>
  <c r="M213" i="21" s="1"/>
  <c r="T213" i="21"/>
  <c r="D212" i="21"/>
  <c r="H212" i="21"/>
  <c r="I212" i="21"/>
  <c r="L212" i="21"/>
  <c r="M212" i="21" s="1"/>
  <c r="T212" i="21"/>
  <c r="D210" i="21"/>
  <c r="D211" i="21"/>
  <c r="H210" i="21"/>
  <c r="H211" i="21"/>
  <c r="I210" i="21"/>
  <c r="I211" i="21"/>
  <c r="L210" i="21"/>
  <c r="L211" i="21"/>
  <c r="T210" i="21"/>
  <c r="T211" i="21"/>
  <c r="D209" i="21"/>
  <c r="H209" i="21"/>
  <c r="I209" i="21"/>
  <c r="L209" i="21"/>
  <c r="T209" i="21"/>
  <c r="D208" i="21"/>
  <c r="H208" i="21"/>
  <c r="I208" i="21"/>
  <c r="L208" i="21"/>
  <c r="M208" i="21" s="1"/>
  <c r="T208" i="21"/>
  <c r="D207" i="21"/>
  <c r="H207" i="21"/>
  <c r="I207" i="21"/>
  <c r="L207" i="21"/>
  <c r="M207" i="21" s="1"/>
  <c r="T207" i="21"/>
  <c r="D206" i="21"/>
  <c r="H206" i="21"/>
  <c r="I206" i="21"/>
  <c r="L206" i="21"/>
  <c r="M206" i="21" s="1"/>
  <c r="T206" i="21"/>
  <c r="D205" i="21"/>
  <c r="H205" i="21"/>
  <c r="I205" i="21"/>
  <c r="L205" i="21"/>
  <c r="M205" i="21" s="1"/>
  <c r="T205" i="21"/>
  <c r="D204" i="21"/>
  <c r="H204" i="21"/>
  <c r="I204" i="21"/>
  <c r="L204" i="21"/>
  <c r="T204" i="21"/>
  <c r="D203" i="21"/>
  <c r="H203" i="21"/>
  <c r="I203" i="21"/>
  <c r="L203" i="21"/>
  <c r="T203" i="21"/>
  <c r="D199" i="21"/>
  <c r="D200" i="21"/>
  <c r="D201" i="21"/>
  <c r="D202" i="21"/>
  <c r="H199" i="21"/>
  <c r="H200" i="21"/>
  <c r="H201" i="21"/>
  <c r="H202" i="21"/>
  <c r="I199" i="21"/>
  <c r="I200" i="21"/>
  <c r="I201" i="21"/>
  <c r="I202" i="21"/>
  <c r="L199" i="21"/>
  <c r="L200" i="21"/>
  <c r="M200" i="21" s="1"/>
  <c r="L201" i="21"/>
  <c r="M201" i="21" s="1"/>
  <c r="L202" i="21"/>
  <c r="M199" i="21"/>
  <c r="T199" i="21"/>
  <c r="T200" i="21"/>
  <c r="T201" i="21"/>
  <c r="T202" i="21"/>
  <c r="D197" i="21"/>
  <c r="D198" i="21"/>
  <c r="H197" i="21"/>
  <c r="H198" i="21"/>
  <c r="I197" i="21"/>
  <c r="I198" i="21"/>
  <c r="L197" i="21"/>
  <c r="L198" i="21"/>
  <c r="T197" i="21"/>
  <c r="T198" i="21"/>
  <c r="D196" i="21"/>
  <c r="H196" i="21"/>
  <c r="I196" i="21"/>
  <c r="L196" i="21"/>
  <c r="M196" i="21" s="1"/>
  <c r="T196" i="21"/>
  <c r="D193" i="21"/>
  <c r="D194" i="21"/>
  <c r="D195" i="21"/>
  <c r="H193" i="21"/>
  <c r="H194" i="21"/>
  <c r="H195" i="21"/>
  <c r="I193" i="21"/>
  <c r="I194" i="21"/>
  <c r="I195" i="21"/>
  <c r="L193" i="21"/>
  <c r="M193" i="21" s="1"/>
  <c r="L194" i="21"/>
  <c r="L195" i="21"/>
  <c r="T193" i="21"/>
  <c r="T194" i="21"/>
  <c r="T195" i="21"/>
  <c r="D192" i="21"/>
  <c r="H192" i="21"/>
  <c r="I192" i="21"/>
  <c r="L192" i="21"/>
  <c r="T192" i="21"/>
  <c r="D190" i="21"/>
  <c r="D191" i="21"/>
  <c r="H190" i="21"/>
  <c r="H191" i="21"/>
  <c r="I190" i="21"/>
  <c r="I191" i="21"/>
  <c r="L190" i="21"/>
  <c r="M190" i="21" s="1"/>
  <c r="L191" i="21"/>
  <c r="M191" i="21" s="1"/>
  <c r="T190" i="21"/>
  <c r="T191" i="21"/>
  <c r="D189" i="21"/>
  <c r="H189" i="21"/>
  <c r="I189" i="21"/>
  <c r="L189" i="21"/>
  <c r="M189" i="21" s="1"/>
  <c r="T189" i="21"/>
  <c r="D188" i="21"/>
  <c r="H188" i="21"/>
  <c r="I188" i="21"/>
  <c r="L188" i="21"/>
  <c r="T188" i="21"/>
  <c r="D186" i="21"/>
  <c r="D187" i="21"/>
  <c r="H186" i="21"/>
  <c r="H187" i="21"/>
  <c r="I186" i="21"/>
  <c r="I187" i="21"/>
  <c r="L186" i="21"/>
  <c r="L187" i="21"/>
  <c r="M187" i="21" s="1"/>
  <c r="T186" i="21"/>
  <c r="T187" i="21"/>
  <c r="D185" i="21"/>
  <c r="H185" i="21"/>
  <c r="I185" i="21"/>
  <c r="L185" i="21"/>
  <c r="T185" i="21"/>
  <c r="D184" i="21"/>
  <c r="H184" i="21"/>
  <c r="I184" i="21"/>
  <c r="L184" i="21"/>
  <c r="T184" i="21"/>
  <c r="D183" i="21"/>
  <c r="H183" i="21"/>
  <c r="I183" i="21"/>
  <c r="L183" i="21"/>
  <c r="M183" i="21" s="1"/>
  <c r="T183" i="21"/>
  <c r="D182" i="21"/>
  <c r="H182" i="21"/>
  <c r="I182" i="21"/>
  <c r="L182" i="21"/>
  <c r="M182" i="21" s="1"/>
  <c r="T182" i="21"/>
  <c r="D181" i="21"/>
  <c r="H181" i="21"/>
  <c r="I181" i="21"/>
  <c r="L181" i="21"/>
  <c r="M181" i="21" s="1"/>
  <c r="T181" i="21"/>
  <c r="D180" i="21"/>
  <c r="H180" i="21"/>
  <c r="I180" i="21"/>
  <c r="L180" i="21"/>
  <c r="M180" i="21" s="1"/>
  <c r="T180" i="21"/>
  <c r="D179" i="21"/>
  <c r="H179" i="21"/>
  <c r="I179" i="21"/>
  <c r="L179" i="21"/>
  <c r="T179" i="21"/>
  <c r="D178" i="21"/>
  <c r="H178" i="21"/>
  <c r="I178" i="21"/>
  <c r="L178" i="21"/>
  <c r="T178" i="21"/>
  <c r="D177" i="21"/>
  <c r="H177" i="21"/>
  <c r="I177" i="21"/>
  <c r="L177" i="21"/>
  <c r="T177" i="21"/>
  <c r="D176" i="21"/>
  <c r="H176" i="21"/>
  <c r="I176" i="21"/>
  <c r="L176" i="21"/>
  <c r="T176" i="21"/>
  <c r="D175" i="21"/>
  <c r="H175" i="21"/>
  <c r="I175" i="21"/>
  <c r="L175" i="21"/>
  <c r="T175" i="21"/>
  <c r="O689" i="6" l="1"/>
  <c r="W689" i="6" s="1"/>
  <c r="O690" i="6"/>
  <c r="O691" i="6"/>
  <c r="W691" i="6" s="1"/>
  <c r="O688" i="6"/>
  <c r="H711" i="13"/>
  <c r="G711" i="13"/>
  <c r="AL711" i="13" s="1"/>
  <c r="S711" i="13"/>
  <c r="AA711" i="13" s="1"/>
  <c r="N199" i="21" a="1"/>
  <c r="N199" i="21" s="1"/>
  <c r="O199" i="21" s="1"/>
  <c r="P199" i="21" s="1"/>
  <c r="N201" i="21" a="1"/>
  <c r="N201" i="21" s="1"/>
  <c r="O201" i="21" s="1"/>
  <c r="P201" i="21" s="1"/>
  <c r="N240" i="21" a="1"/>
  <c r="N240" i="21" s="1"/>
  <c r="O240" i="21" s="1"/>
  <c r="P240" i="21" s="1"/>
  <c r="N257" i="21" a="1"/>
  <c r="N257" i="21" s="1"/>
  <c r="O257" i="21" s="1"/>
  <c r="P257" i="21" s="1"/>
  <c r="M203" i="21"/>
  <c r="N203" i="21" s="1" a="1"/>
  <c r="N203" i="21" s="1"/>
  <c r="O203" i="21" s="1"/>
  <c r="P203" i="21" s="1"/>
  <c r="M217" i="21"/>
  <c r="N217" i="21" s="1" a="1"/>
  <c r="N217" i="21" s="1"/>
  <c r="O217" i="21" s="1"/>
  <c r="P217" i="21" s="1"/>
  <c r="M253" i="21"/>
  <c r="N253" i="21" s="1" a="1"/>
  <c r="N253" i="21" s="1"/>
  <c r="O253" i="21" s="1"/>
  <c r="P253" i="21" s="1"/>
  <c r="M261" i="21"/>
  <c r="N261" i="21" s="1" a="1"/>
  <c r="N261" i="21" s="1"/>
  <c r="O261" i="21" s="1"/>
  <c r="P261" i="21" s="1"/>
  <c r="M269" i="21"/>
  <c r="N269" i="21" s="1" a="1"/>
  <c r="N269" i="21" s="1"/>
  <c r="O269" i="21" s="1"/>
  <c r="P269" i="21" s="1"/>
  <c r="M273" i="21"/>
  <c r="N273" i="21" s="1" a="1"/>
  <c r="N273" i="21" s="1"/>
  <c r="O273" i="21" s="1"/>
  <c r="P273" i="21" s="1"/>
  <c r="M176" i="21"/>
  <c r="N176" i="21" s="1" a="1"/>
  <c r="N176" i="21" s="1"/>
  <c r="M186" i="21"/>
  <c r="N186" i="21" s="1" a="1"/>
  <c r="N186" i="21" s="1"/>
  <c r="O186" i="21" s="1"/>
  <c r="P186" i="21" s="1"/>
  <c r="M188" i="21"/>
  <c r="N188" i="21" s="1" a="1"/>
  <c r="N188" i="21" s="1"/>
  <c r="O188" i="21" s="1"/>
  <c r="P188" i="21" s="1"/>
  <c r="M192" i="21"/>
  <c r="N192" i="21" s="1" a="1"/>
  <c r="N192" i="21" s="1"/>
  <c r="O192" i="21" s="1"/>
  <c r="P192" i="21" s="1"/>
  <c r="M194" i="21"/>
  <c r="N194" i="21" s="1" a="1"/>
  <c r="N194" i="21" s="1"/>
  <c r="M221" i="21"/>
  <c r="N221" i="21" s="1" a="1"/>
  <c r="N221" i="21" s="1"/>
  <c r="O221" i="21" s="1"/>
  <c r="P221" i="21" s="1"/>
  <c r="M177" i="21"/>
  <c r="N177" i="21" s="1" a="1"/>
  <c r="N177" i="21" s="1"/>
  <c r="O177" i="21" s="1"/>
  <c r="P177" i="21" s="1"/>
  <c r="M185" i="21"/>
  <c r="N185" i="21" s="1" a="1"/>
  <c r="N185" i="21" s="1"/>
  <c r="O185" i="21" s="1"/>
  <c r="P185" i="21" s="1"/>
  <c r="N187" i="21" a="1"/>
  <c r="N187" i="21" s="1"/>
  <c r="O187" i="21" s="1"/>
  <c r="P187" i="21" s="1"/>
  <c r="M204" i="21"/>
  <c r="N204" i="21" s="1" a="1"/>
  <c r="N204" i="21" s="1"/>
  <c r="O204" i="21" s="1"/>
  <c r="P204" i="21" s="1"/>
  <c r="M214" i="21"/>
  <c r="N214" i="21" s="1" a="1"/>
  <c r="N214" i="21" s="1"/>
  <c r="O214" i="21" s="1"/>
  <c r="P214" i="21" s="1"/>
  <c r="M216" i="21"/>
  <c r="N216" i="21" s="1" a="1"/>
  <c r="N216" i="21" s="1"/>
  <c r="O216" i="21" s="1"/>
  <c r="P216" i="21" s="1"/>
  <c r="M228" i="21"/>
  <c r="N228" i="21" s="1" a="1"/>
  <c r="N228" i="21" s="1"/>
  <c r="O228" i="21" s="1"/>
  <c r="P228" i="21" s="1"/>
  <c r="M230" i="21"/>
  <c r="N230" i="21" s="1" a="1"/>
  <c r="N230" i="21" s="1"/>
  <c r="O230" i="21" s="1"/>
  <c r="P230" i="21" s="1"/>
  <c r="M242" i="21"/>
  <c r="N242" i="21" s="1" a="1"/>
  <c r="N242" i="21" s="1"/>
  <c r="O242" i="21" s="1"/>
  <c r="P242" i="21" s="1"/>
  <c r="M250" i="21"/>
  <c r="N250" i="21" s="1" a="1"/>
  <c r="N250" i="21" s="1"/>
  <c r="O250" i="21" s="1"/>
  <c r="P250" i="21" s="1"/>
  <c r="M262" i="21"/>
  <c r="N262" i="21" s="1" a="1"/>
  <c r="N262" i="21" s="1"/>
  <c r="O262" i="21" s="1"/>
  <c r="P262" i="21" s="1"/>
  <c r="M268" i="21"/>
  <c r="N268" i="21" s="1" a="1"/>
  <c r="N268" i="21" s="1"/>
  <c r="O268" i="21" s="1"/>
  <c r="P268" i="21" s="1"/>
  <c r="M178" i="21"/>
  <c r="N178" i="21" s="1" a="1"/>
  <c r="N178" i="21" s="1"/>
  <c r="O178" i="21" s="1"/>
  <c r="P178" i="21" s="1"/>
  <c r="M198" i="21"/>
  <c r="N198" i="21" s="1" a="1"/>
  <c r="N198" i="21" s="1"/>
  <c r="O198" i="21" s="1"/>
  <c r="P198" i="21" s="1"/>
  <c r="R700" i="6"/>
  <c r="O700" i="6"/>
  <c r="M211" i="21"/>
  <c r="N211" i="21" s="1" a="1"/>
  <c r="N211" i="21" s="1"/>
  <c r="O211" i="21" s="1"/>
  <c r="P211" i="21" s="1"/>
  <c r="M223" i="21"/>
  <c r="N223" i="21" s="1" a="1"/>
  <c r="N223" i="21" s="1"/>
  <c r="O223" i="21" s="1"/>
  <c r="P223" i="21" s="1"/>
  <c r="M243" i="21"/>
  <c r="N243" i="21" s="1" a="1"/>
  <c r="N243" i="21" s="1"/>
  <c r="O243" i="21" s="1"/>
  <c r="P243" i="21" s="1"/>
  <c r="M251" i="21"/>
  <c r="N251" i="21" s="1" a="1"/>
  <c r="N251" i="21" s="1"/>
  <c r="O251" i="21" s="1"/>
  <c r="P251" i="21" s="1"/>
  <c r="M263" i="21"/>
  <c r="N263" i="21" s="1" a="1"/>
  <c r="N263" i="21" s="1"/>
  <c r="O263" i="21" s="1"/>
  <c r="P263" i="21" s="1"/>
  <c r="M265" i="21"/>
  <c r="N265" i="21" s="1" a="1"/>
  <c r="N265" i="21" s="1"/>
  <c r="O265" i="21" s="1"/>
  <c r="P265" i="21" s="1"/>
  <c r="M267" i="21"/>
  <c r="N267" i="21" s="1" a="1"/>
  <c r="N267" i="21" s="1"/>
  <c r="O267" i="21" s="1"/>
  <c r="P267" i="21" s="1"/>
  <c r="M271" i="21"/>
  <c r="N271" i="21" s="1" a="1"/>
  <c r="N271" i="21" s="1"/>
  <c r="O271" i="21" s="1"/>
  <c r="P271" i="21" s="1"/>
  <c r="M184" i="21"/>
  <c r="N184" i="21" s="1" a="1"/>
  <c r="N184" i="21" s="1"/>
  <c r="O184" i="21" s="1"/>
  <c r="P184" i="21" s="1"/>
  <c r="M239" i="21"/>
  <c r="N239" i="21" s="1" a="1"/>
  <c r="N239" i="21" s="1"/>
  <c r="M175" i="21"/>
  <c r="N175" i="21" s="1" a="1"/>
  <c r="N175" i="21" s="1"/>
  <c r="O175" i="21" s="1"/>
  <c r="P175" i="21" s="1"/>
  <c r="M179" i="21"/>
  <c r="N179" i="21" s="1" a="1"/>
  <c r="N179" i="21" s="1"/>
  <c r="O179" i="21" s="1"/>
  <c r="P179" i="21" s="1"/>
  <c r="M195" i="21"/>
  <c r="N195" i="21" s="1" a="1"/>
  <c r="N195" i="21" s="1"/>
  <c r="O195" i="21" s="1"/>
  <c r="P195" i="21" s="1"/>
  <c r="M197" i="21"/>
  <c r="N197" i="21" s="1" a="1"/>
  <c r="N197" i="21" s="1"/>
  <c r="O197" i="21" s="1"/>
  <c r="P197" i="21" s="1"/>
  <c r="M202" i="21"/>
  <c r="N202" i="21" s="1" a="1"/>
  <c r="N202" i="21" s="1"/>
  <c r="O202" i="21" s="1"/>
  <c r="P202" i="21" s="1"/>
  <c r="M209" i="21"/>
  <c r="N209" i="21" s="1" a="1"/>
  <c r="N209" i="21" s="1"/>
  <c r="O209" i="21" s="1"/>
  <c r="P209" i="21" s="1"/>
  <c r="M210" i="21"/>
  <c r="N210" i="21" s="1" a="1"/>
  <c r="N210" i="21" s="1"/>
  <c r="O210" i="21" s="1"/>
  <c r="P210" i="21" s="1"/>
  <c r="M220" i="21"/>
  <c r="N220" i="21" s="1" a="1"/>
  <c r="N220" i="21" s="1"/>
  <c r="O220" i="21" s="1"/>
  <c r="P220" i="21" s="1"/>
  <c r="M238" i="21"/>
  <c r="N238" i="21" s="1" a="1"/>
  <c r="N238" i="21" s="1"/>
  <c r="O238" i="21" s="1"/>
  <c r="P238" i="21" s="1"/>
  <c r="M244" i="21"/>
  <c r="N244" i="21" s="1" a="1"/>
  <c r="N244" i="21" s="1"/>
  <c r="O244" i="21" s="1"/>
  <c r="P244" i="21" s="1"/>
  <c r="M248" i="21"/>
  <c r="N248" i="21" s="1" a="1"/>
  <c r="N248" i="21" s="1"/>
  <c r="O248" i="21" s="1"/>
  <c r="P248" i="21" s="1"/>
  <c r="M252" i="21"/>
  <c r="N252" i="21" s="1" a="1"/>
  <c r="N252" i="21" s="1"/>
  <c r="O252" i="21" s="1"/>
  <c r="P252" i="21" s="1"/>
  <c r="M270" i="21"/>
  <c r="N270" i="21" s="1" a="1"/>
  <c r="N270" i="21" s="1"/>
  <c r="O270" i="21" s="1"/>
  <c r="P270" i="21" s="1"/>
  <c r="M272" i="21"/>
  <c r="N272" i="21" s="1" a="1"/>
  <c r="N272" i="21" s="1"/>
  <c r="O272" i="21" s="1"/>
  <c r="P272" i="21" s="1"/>
  <c r="N231" i="21" a="1"/>
  <c r="N231" i="21" s="1"/>
  <c r="O231" i="21" s="1"/>
  <c r="P231" i="21" s="1"/>
  <c r="N245" i="21" a="1"/>
  <c r="N245" i="21" s="1"/>
  <c r="O245" i="21" s="1"/>
  <c r="P245" i="21" s="1"/>
  <c r="N207" i="21" a="1"/>
  <c r="N207" i="21" s="1"/>
  <c r="O207" i="21" s="1"/>
  <c r="P207" i="21" s="1"/>
  <c r="N236" i="21" a="1"/>
  <c r="N236" i="21" s="1"/>
  <c r="O236" i="21" s="1"/>
  <c r="P236" i="21" s="1"/>
  <c r="N266" i="21" a="1"/>
  <c r="N266" i="21" s="1"/>
  <c r="O266" i="21" s="1"/>
  <c r="P266" i="21" s="1"/>
  <c r="N215" i="21" a="1"/>
  <c r="N215" i="21" s="1"/>
  <c r="O215" i="21" s="1"/>
  <c r="P215" i="21" s="1"/>
  <c r="N247" i="21" a="1"/>
  <c r="N247" i="21" s="1"/>
  <c r="O247" i="21" s="1"/>
  <c r="P247" i="21" s="1"/>
  <c r="N255" i="21" a="1"/>
  <c r="N255" i="21" s="1"/>
  <c r="O255" i="21" s="1"/>
  <c r="P255" i="21" s="1"/>
  <c r="N218" i="21" a="1"/>
  <c r="N218" i="21" s="1"/>
  <c r="O218" i="21" s="1"/>
  <c r="P218" i="21" s="1"/>
  <c r="N222" i="21" a="1"/>
  <c r="N222" i="21" s="1"/>
  <c r="O222" i="21" s="1"/>
  <c r="P222" i="21" s="1"/>
  <c r="N182" i="21" a="1"/>
  <c r="N182" i="21" s="1"/>
  <c r="O182" i="21" s="1"/>
  <c r="P182" i="21" s="1"/>
  <c r="N200" i="21" a="1"/>
  <c r="N200" i="21" s="1"/>
  <c r="O200" i="21" s="1"/>
  <c r="P200" i="21" s="1"/>
  <c r="N235" i="21" a="1"/>
  <c r="N235" i="21" s="1"/>
  <c r="O235" i="21" s="1"/>
  <c r="P235" i="21" s="1"/>
  <c r="N219" i="21" a="1"/>
  <c r="N219" i="21" s="1"/>
  <c r="O219" i="21" s="1"/>
  <c r="P219" i="21" s="1"/>
  <c r="N183" i="21" a="1"/>
  <c r="N183" i="21" s="1"/>
  <c r="O183" i="21" s="1"/>
  <c r="P183" i="21" s="1"/>
  <c r="N191" i="21" a="1"/>
  <c r="N191" i="21" s="1"/>
  <c r="O191" i="21" s="1"/>
  <c r="P191" i="21" s="1"/>
  <c r="N206" i="21" a="1"/>
  <c r="N206" i="21" s="1"/>
  <c r="O206" i="21" s="1"/>
  <c r="P206" i="21" s="1"/>
  <c r="N212" i="21" a="1"/>
  <c r="N212" i="21" s="1"/>
  <c r="O212" i="21" s="1"/>
  <c r="P212" i="21" s="1"/>
  <c r="N226" i="21" a="1"/>
  <c r="N226" i="21" s="1"/>
  <c r="O226" i="21" s="1"/>
  <c r="P226" i="21" s="1"/>
  <c r="N234" i="21" a="1"/>
  <c r="N234" i="21" s="1"/>
  <c r="O234" i="21" s="1"/>
  <c r="P234" i="21" s="1"/>
  <c r="N246" i="21" a="1"/>
  <c r="N246" i="21" s="1"/>
  <c r="O246" i="21" s="1"/>
  <c r="P246" i="21" s="1"/>
  <c r="N254" i="21" a="1"/>
  <c r="N254" i="21" s="1"/>
  <c r="O254" i="21" s="1"/>
  <c r="P254" i="21" s="1"/>
  <c r="N259" i="21" a="1"/>
  <c r="N259" i="21" s="1"/>
  <c r="O259" i="21" s="1"/>
  <c r="P259" i="21" s="1"/>
  <c r="N264" i="21" a="1"/>
  <c r="N264" i="21" s="1"/>
  <c r="O264" i="21" s="1"/>
  <c r="P264" i="21" s="1"/>
  <c r="N180" i="21" a="1"/>
  <c r="N180" i="21" s="1"/>
  <c r="O180" i="21" s="1"/>
  <c r="P180" i="21" s="1"/>
  <c r="N190" i="21" a="1"/>
  <c r="N190" i="21" s="1"/>
  <c r="O190" i="21" s="1"/>
  <c r="P190" i="21" s="1"/>
  <c r="N196" i="21" a="1"/>
  <c r="N196" i="21" s="1"/>
  <c r="O196" i="21" s="1"/>
  <c r="P196" i="21" s="1"/>
  <c r="N213" i="21" a="1"/>
  <c r="N213" i="21" s="1"/>
  <c r="O213" i="21" s="1"/>
  <c r="P213" i="21" s="1"/>
  <c r="N229" i="21" a="1"/>
  <c r="N229" i="21" s="1"/>
  <c r="O229" i="21" s="1"/>
  <c r="P229" i="21" s="1"/>
  <c r="N225" i="21" a="1"/>
  <c r="N225" i="21" s="1"/>
  <c r="O225" i="21" s="1"/>
  <c r="P225" i="21" s="1"/>
  <c r="N227" i="21" a="1"/>
  <c r="N227" i="21" s="1"/>
  <c r="O227" i="21" s="1"/>
  <c r="P227" i="21" s="1"/>
  <c r="N237" i="21" a="1"/>
  <c r="N237" i="21" s="1"/>
  <c r="O237" i="21" s="1"/>
  <c r="P237" i="21" s="1"/>
  <c r="N233" i="21" a="1"/>
  <c r="N233" i="21" s="1"/>
  <c r="O233" i="21" s="1"/>
  <c r="P233" i="21" s="1"/>
  <c r="N241" i="21" a="1"/>
  <c r="N241" i="21" s="1"/>
  <c r="O241" i="21" s="1"/>
  <c r="P241" i="21" s="1"/>
  <c r="N258" i="21" a="1"/>
  <c r="N258" i="21" s="1"/>
  <c r="O258" i="21" s="1"/>
  <c r="P258" i="21" s="1"/>
  <c r="N232" i="21" a="1"/>
  <c r="N232" i="21" s="1"/>
  <c r="O232" i="21" s="1"/>
  <c r="P232" i="21" s="1"/>
  <c r="N224" i="21" a="1"/>
  <c r="N224" i="21" s="1"/>
  <c r="O224" i="21" s="1"/>
  <c r="P224" i="21" s="1"/>
  <c r="N208" i="21" a="1"/>
  <c r="N208" i="21" s="1"/>
  <c r="O208" i="21" s="1"/>
  <c r="P208" i="21" s="1"/>
  <c r="N181" i="21" a="1"/>
  <c r="N181" i="21" s="1"/>
  <c r="O181" i="21" s="1"/>
  <c r="P181" i="21" s="1"/>
  <c r="N205" i="21" a="1"/>
  <c r="N205" i="21" s="1"/>
  <c r="O205" i="21" s="1"/>
  <c r="P205" i="21" s="1"/>
  <c r="N249" i="21" a="1"/>
  <c r="N249" i="21" s="1"/>
  <c r="O249" i="21" s="1"/>
  <c r="P249" i="21" s="1"/>
  <c r="N189" i="21" a="1"/>
  <c r="N189" i="21" s="1"/>
  <c r="O189" i="21" s="1"/>
  <c r="P189" i="21" s="1"/>
  <c r="N193" i="21" a="1"/>
  <c r="N193" i="21" s="1"/>
  <c r="O193" i="21" s="1"/>
  <c r="P193" i="21" s="1"/>
  <c r="N256" i="21" a="1"/>
  <c r="N256" i="21" s="1"/>
  <c r="O256" i="21" s="1"/>
  <c r="P256" i="21" s="1"/>
  <c r="N260" i="21" a="1"/>
  <c r="N260" i="21" s="1"/>
  <c r="O260" i="21" s="1"/>
  <c r="P260" i="21" s="1"/>
  <c r="W688" i="6" l="1"/>
  <c r="N700" i="6"/>
  <c r="W700" i="6"/>
  <c r="N689" i="6"/>
  <c r="R688" i="6"/>
  <c r="R690" i="6"/>
  <c r="R689" i="6"/>
  <c r="N691" i="6"/>
  <c r="N690" i="6"/>
  <c r="N688" i="6"/>
  <c r="R691" i="6"/>
  <c r="AB711" i="13"/>
  <c r="AK711" i="13"/>
  <c r="AF711" i="13"/>
  <c r="AE711" i="13"/>
  <c r="O194" i="21"/>
  <c r="P194" i="21" s="1"/>
  <c r="O176" i="21"/>
  <c r="P176" i="21" s="1"/>
  <c r="O239" i="21"/>
  <c r="P239" i="21" s="1"/>
  <c r="O696" i="6"/>
  <c r="O694" i="6"/>
  <c r="O683" i="6"/>
  <c r="N683" i="6" s="1"/>
  <c r="O709" i="6"/>
  <c r="N709" i="6" s="1"/>
  <c r="O734" i="6"/>
  <c r="W734" i="6" s="1"/>
  <c r="O723" i="6"/>
  <c r="N723" i="6" s="1"/>
  <c r="O719" i="6"/>
  <c r="O710" i="6"/>
  <c r="N710" i="6" s="1"/>
  <c r="O704" i="6"/>
  <c r="N704" i="6" s="1"/>
  <c r="O698" i="6"/>
  <c r="N698" i="6" s="1"/>
  <c r="O686" i="6"/>
  <c r="R716" i="6"/>
  <c r="O716" i="6"/>
  <c r="N716" i="6" s="1"/>
  <c r="O733" i="6"/>
  <c r="O728" i="6"/>
  <c r="N728" i="6" s="1"/>
  <c r="O722" i="6"/>
  <c r="W722" i="6" s="1"/>
  <c r="O713" i="6"/>
  <c r="O685" i="6"/>
  <c r="N685" i="6" s="1"/>
  <c r="O726" i="6"/>
  <c r="N726" i="6" s="1"/>
  <c r="O717" i="6"/>
  <c r="N717" i="6" s="1"/>
  <c r="O714" i="6"/>
  <c r="O707" i="6"/>
  <c r="N707" i="6" s="1"/>
  <c r="O731" i="6"/>
  <c r="O712" i="6"/>
  <c r="N712" i="6" s="1"/>
  <c r="O695" i="6"/>
  <c r="N695" i="6" s="1"/>
  <c r="O693" i="6"/>
  <c r="N693" i="6" s="1"/>
  <c r="O702" i="6"/>
  <c r="N702" i="6" s="1"/>
  <c r="O732" i="6"/>
  <c r="W732" i="6" s="1"/>
  <c r="O720" i="6"/>
  <c r="O715" i="6"/>
  <c r="N715" i="6" s="1"/>
  <c r="O705" i="6"/>
  <c r="O701" i="6"/>
  <c r="N701" i="6" s="1"/>
  <c r="O697" i="6"/>
  <c r="N697" i="6" s="1"/>
  <c r="O682" i="6"/>
  <c r="N682" i="6" s="1"/>
  <c r="O687" i="6"/>
  <c r="N687" i="6" s="1"/>
  <c r="O729" i="6"/>
  <c r="O727" i="6"/>
  <c r="O718" i="6"/>
  <c r="N718" i="6" s="1"/>
  <c r="O706" i="6"/>
  <c r="N706" i="6" s="1"/>
  <c r="O699" i="6"/>
  <c r="N699" i="6" s="1"/>
  <c r="O730" i="6"/>
  <c r="W730" i="6" s="1"/>
  <c r="O721" i="6"/>
  <c r="N721" i="6" s="1"/>
  <c r="O703" i="6"/>
  <c r="N703" i="6" s="1"/>
  <c r="O684" i="6"/>
  <c r="N684" i="6" s="1"/>
  <c r="O735" i="6"/>
  <c r="O725" i="6"/>
  <c r="D174" i="21"/>
  <c r="H174" i="21"/>
  <c r="I174" i="21"/>
  <c r="L174" i="21"/>
  <c r="T174" i="21"/>
  <c r="U174" i="21"/>
  <c r="N731" i="6" l="1"/>
  <c r="N686" i="6"/>
  <c r="W686" i="6"/>
  <c r="N727" i="6"/>
  <c r="W727" i="6"/>
  <c r="N694" i="6"/>
  <c r="W694" i="6"/>
  <c r="N696" i="6"/>
  <c r="W696" i="6"/>
  <c r="N705" i="6"/>
  <c r="W705" i="6"/>
  <c r="N713" i="6"/>
  <c r="W713" i="6"/>
  <c r="N714" i="6"/>
  <c r="W714" i="6"/>
  <c r="N719" i="6"/>
  <c r="W719" i="6"/>
  <c r="N725" i="6"/>
  <c r="W725" i="6"/>
  <c r="N729" i="6"/>
  <c r="W729" i="6"/>
  <c r="N733" i="6"/>
  <c r="W733" i="6"/>
  <c r="N735" i="6"/>
  <c r="W735" i="6"/>
  <c r="N722" i="6"/>
  <c r="R713" i="6"/>
  <c r="R701" i="6"/>
  <c r="R734" i="6"/>
  <c r="R727" i="6"/>
  <c r="R717" i="6"/>
  <c r="R706" i="6"/>
  <c r="R697" i="6"/>
  <c r="R702" i="6"/>
  <c r="R712" i="6"/>
  <c r="R710" i="6"/>
  <c r="N734" i="6"/>
  <c r="R721" i="6"/>
  <c r="R699" i="6"/>
  <c r="R728" i="6"/>
  <c r="R735" i="6"/>
  <c r="R687" i="6"/>
  <c r="R720" i="6"/>
  <c r="R723" i="6"/>
  <c r="R694" i="6"/>
  <c r="R704" i="6"/>
  <c r="R729" i="6"/>
  <c r="R682" i="6"/>
  <c r="R715" i="6"/>
  <c r="R733" i="6"/>
  <c r="R686" i="6"/>
  <c r="R683" i="6"/>
  <c r="R725" i="6"/>
  <c r="R684" i="6"/>
  <c r="R730" i="6"/>
  <c r="R705" i="6"/>
  <c r="N720" i="6"/>
  <c r="N732" i="6"/>
  <c r="R714" i="6"/>
  <c r="R685" i="6"/>
  <c r="R722" i="6"/>
  <c r="R698" i="6"/>
  <c r="R719" i="6"/>
  <c r="R709" i="6"/>
  <c r="R696" i="6"/>
  <c r="R693" i="6"/>
  <c r="R724" i="6"/>
  <c r="O724" i="6"/>
  <c r="N724" i="6" s="1"/>
  <c r="R707" i="6"/>
  <c r="R726" i="6"/>
  <c r="N730" i="6"/>
  <c r="R708" i="6"/>
  <c r="O708" i="6"/>
  <c r="M174" i="21"/>
  <c r="R703" i="6"/>
  <c r="R718" i="6"/>
  <c r="R732" i="6"/>
  <c r="R695" i="6"/>
  <c r="R731" i="6"/>
  <c r="R692" i="6"/>
  <c r="O692" i="6"/>
  <c r="N174" i="21" a="1"/>
  <c r="N174" i="21" s="1"/>
  <c r="O174" i="21" s="1"/>
  <c r="P174" i="21" s="1"/>
  <c r="N692" i="6" l="1"/>
  <c r="N708" i="6"/>
  <c r="W708" i="6"/>
  <c r="O681" i="6"/>
  <c r="N681" i="6" s="1"/>
  <c r="O746" i="6"/>
  <c r="E746" i="6"/>
  <c r="F746" i="6" a="1"/>
  <c r="F746" i="6" s="1"/>
  <c r="H746" i="6"/>
  <c r="I746" i="6" s="1"/>
  <c r="J746" i="6"/>
  <c r="T746" i="6"/>
  <c r="W746" i="6"/>
  <c r="N170" i="16"/>
  <c r="N169" i="16"/>
  <c r="D170" i="16"/>
  <c r="E170" i="16" a="1"/>
  <c r="E170" i="16" s="1"/>
  <c r="G170" i="16"/>
  <c r="H170" i="16" s="1"/>
  <c r="I170" i="16"/>
  <c r="S170" i="16"/>
  <c r="U170" i="16" a="1"/>
  <c r="U170" i="16" s="1"/>
  <c r="V170" i="16"/>
  <c r="D169" i="16"/>
  <c r="E169" i="16" a="1"/>
  <c r="E169" i="16" s="1"/>
  <c r="G169" i="16"/>
  <c r="H169" i="16" s="1"/>
  <c r="I169" i="16"/>
  <c r="S169" i="16"/>
  <c r="U169" i="16" a="1"/>
  <c r="U169" i="16" s="1"/>
  <c r="N168" i="16"/>
  <c r="D168" i="16"/>
  <c r="E168" i="16" a="1"/>
  <c r="E168" i="16" s="1"/>
  <c r="G168" i="16"/>
  <c r="H168" i="16" s="1"/>
  <c r="I168" i="16"/>
  <c r="S168" i="16"/>
  <c r="U168" i="16" a="1"/>
  <c r="U168" i="16" s="1"/>
  <c r="V168" i="16"/>
  <c r="O679" i="6"/>
  <c r="E679" i="6"/>
  <c r="F679" i="6" a="1"/>
  <c r="F679" i="6" s="1"/>
  <c r="H679" i="6"/>
  <c r="I679" i="6" s="1"/>
  <c r="J679" i="6"/>
  <c r="R679" i="6"/>
  <c r="T679" i="6"/>
  <c r="V679" i="6" a="1"/>
  <c r="V679" i="6" s="1"/>
  <c r="W679" i="6"/>
  <c r="D167" i="16"/>
  <c r="E167" i="16" a="1"/>
  <c r="E167" i="16" s="1"/>
  <c r="G167" i="16"/>
  <c r="H167" i="16" s="1"/>
  <c r="I167" i="16"/>
  <c r="N167" i="16"/>
  <c r="S167" i="16"/>
  <c r="U167" i="16" a="1"/>
  <c r="U167" i="16" s="1"/>
  <c r="O169" i="16" l="1"/>
  <c r="O193" i="16"/>
  <c r="O167" i="16"/>
  <c r="O191" i="16"/>
  <c r="V169" i="16"/>
  <c r="V167" i="16"/>
  <c r="R681" i="6"/>
  <c r="N746" i="6"/>
  <c r="R746" i="6"/>
  <c r="M170" i="16"/>
  <c r="M169" i="16"/>
  <c r="M168" i="16"/>
  <c r="N679" i="6"/>
  <c r="M167" i="16"/>
  <c r="R169" i="16" l="1"/>
  <c r="W169" i="16"/>
  <c r="W193" i="16"/>
  <c r="R167" i="16"/>
  <c r="W167" i="16"/>
  <c r="W191" i="16"/>
  <c r="E701" i="13"/>
  <c r="H701" i="13" s="1"/>
  <c r="E702" i="13"/>
  <c r="H702" i="13" s="1"/>
  <c r="E703" i="13"/>
  <c r="AG703" i="13" s="1" a="1"/>
  <c r="AG703" i="13" s="1"/>
  <c r="E704" i="13"/>
  <c r="AG704" i="13" s="1" a="1"/>
  <c r="AG704" i="13" s="1"/>
  <c r="E705" i="13"/>
  <c r="H705" i="13" s="1"/>
  <c r="E706" i="13"/>
  <c r="G706" i="13" s="1"/>
  <c r="E707" i="13"/>
  <c r="H707" i="13" s="1"/>
  <c r="E708" i="13"/>
  <c r="AG708" i="13" s="1" a="1"/>
  <c r="AG708" i="13" s="1"/>
  <c r="F701" i="13"/>
  <c r="I701" i="13" s="1"/>
  <c r="F702" i="13"/>
  <c r="K702" i="13" s="1"/>
  <c r="F703" i="13"/>
  <c r="F704" i="13"/>
  <c r="K704" i="13" s="1"/>
  <c r="F705" i="13"/>
  <c r="I705" i="13" s="1"/>
  <c r="F706" i="13"/>
  <c r="I706" i="13" s="1"/>
  <c r="F707" i="13"/>
  <c r="I707" i="13" s="1"/>
  <c r="F708" i="13"/>
  <c r="I708" i="13" s="1"/>
  <c r="G701" i="13"/>
  <c r="J701" i="13" s="1"/>
  <c r="L701" i="13"/>
  <c r="O701" i="13" s="1"/>
  <c r="L702" i="13"/>
  <c r="L703" i="13"/>
  <c r="L704" i="13"/>
  <c r="L705" i="13"/>
  <c r="L706" i="13"/>
  <c r="L707" i="13"/>
  <c r="L708" i="13"/>
  <c r="M701" i="13"/>
  <c r="R701" i="13" s="1"/>
  <c r="M702" i="13"/>
  <c r="R702" i="13" s="1"/>
  <c r="M703" i="13"/>
  <c r="R703" i="13" s="1"/>
  <c r="M704" i="13"/>
  <c r="R704" i="13" s="1"/>
  <c r="M705" i="13"/>
  <c r="P705" i="13" s="1"/>
  <c r="M706" i="13"/>
  <c r="R706" i="13" s="1"/>
  <c r="M707" i="13"/>
  <c r="P707" i="13" s="1"/>
  <c r="M708" i="13"/>
  <c r="P708" i="13" s="1"/>
  <c r="N701" i="13"/>
  <c r="Q701" i="13" s="1"/>
  <c r="V701" i="13"/>
  <c r="V702" i="13"/>
  <c r="V703" i="13"/>
  <c r="V704" i="13"/>
  <c r="V705" i="13"/>
  <c r="V706" i="13"/>
  <c r="V707" i="13"/>
  <c r="V708" i="13"/>
  <c r="W701" i="13"/>
  <c r="W702" i="13"/>
  <c r="W703" i="13"/>
  <c r="W704" i="13"/>
  <c r="W705" i="13"/>
  <c r="W706" i="13"/>
  <c r="W707" i="13"/>
  <c r="W708" i="13"/>
  <c r="X701" i="13"/>
  <c r="X702" i="13"/>
  <c r="X703" i="13"/>
  <c r="X704" i="13"/>
  <c r="X705" i="13"/>
  <c r="X706" i="13"/>
  <c r="X707" i="13"/>
  <c r="X708" i="13"/>
  <c r="Y701" i="13"/>
  <c r="Y702" i="13"/>
  <c r="Y703" i="13"/>
  <c r="Y704" i="13"/>
  <c r="Y705" i="13"/>
  <c r="Y706" i="13"/>
  <c r="Y707" i="13"/>
  <c r="Y708" i="13"/>
  <c r="AC701" i="13"/>
  <c r="AC702" i="13"/>
  <c r="AC703" i="13"/>
  <c r="AC704" i="13"/>
  <c r="AC705" i="13"/>
  <c r="AC706" i="13"/>
  <c r="AC707" i="13"/>
  <c r="AC708" i="13"/>
  <c r="AJ701" i="13"/>
  <c r="AJ702" i="13"/>
  <c r="AJ703" i="13"/>
  <c r="AJ704" i="13"/>
  <c r="AJ705" i="13"/>
  <c r="AJ706" i="13"/>
  <c r="AJ707" i="13"/>
  <c r="AJ708" i="13"/>
  <c r="AO701" i="13"/>
  <c r="AO702" i="13"/>
  <c r="AO703" i="13"/>
  <c r="AO704" i="13"/>
  <c r="AO705" i="13"/>
  <c r="AO706" i="13"/>
  <c r="AO707" i="13"/>
  <c r="AO708" i="13"/>
  <c r="AR701" i="13"/>
  <c r="AR702" i="13"/>
  <c r="AR703" i="13"/>
  <c r="AR704" i="13"/>
  <c r="AR705" i="13"/>
  <c r="AR706" i="13"/>
  <c r="AR707" i="13"/>
  <c r="AR708" i="13"/>
  <c r="AS701" i="13"/>
  <c r="AS702" i="13"/>
  <c r="AS703" i="13"/>
  <c r="AS704" i="13"/>
  <c r="AS705" i="13"/>
  <c r="AS706" i="13"/>
  <c r="AS707" i="13"/>
  <c r="AS708" i="13"/>
  <c r="G702" i="13" l="1"/>
  <c r="J702" i="13" s="1"/>
  <c r="AG701" i="13" a="1"/>
  <c r="AG701" i="13" s="1"/>
  <c r="G705" i="13"/>
  <c r="J705" i="13" s="1"/>
  <c r="G703" i="13"/>
  <c r="AL703" i="13" s="1"/>
  <c r="AG702" i="13" a="1"/>
  <c r="AG702" i="13" s="1"/>
  <c r="AH707" i="13" a="1"/>
  <c r="AH707" i="13" s="1"/>
  <c r="S707" i="13"/>
  <c r="AH703" i="13" a="1"/>
  <c r="AH703" i="13" s="1"/>
  <c r="S703" i="13"/>
  <c r="AH706" i="13" a="1"/>
  <c r="AH706" i="13" s="1"/>
  <c r="S706" i="13"/>
  <c r="AH702" i="13" a="1"/>
  <c r="AH702" i="13" s="1"/>
  <c r="S702" i="13"/>
  <c r="O705" i="13"/>
  <c r="S705" i="13"/>
  <c r="AH701" i="13" a="1"/>
  <c r="AH701" i="13" s="1"/>
  <c r="S701" i="13"/>
  <c r="O708" i="13"/>
  <c r="S708" i="13"/>
  <c r="AH704" i="13" a="1"/>
  <c r="AH704" i="13" s="1"/>
  <c r="S704" i="13"/>
  <c r="N704" i="13"/>
  <c r="Q704" i="13" s="1"/>
  <c r="AL701" i="13"/>
  <c r="N703" i="13"/>
  <c r="Q703" i="13" s="1"/>
  <c r="O702" i="13"/>
  <c r="N702" i="13"/>
  <c r="Q702" i="13" s="1"/>
  <c r="O706" i="13"/>
  <c r="P701" i="13"/>
  <c r="O704" i="13"/>
  <c r="N706" i="13"/>
  <c r="Q706" i="13" s="1"/>
  <c r="O703" i="13"/>
  <c r="N707" i="13"/>
  <c r="AM707" i="13" s="1"/>
  <c r="O707" i="13"/>
  <c r="I702" i="13"/>
  <c r="AG707" i="13" a="1"/>
  <c r="AG707" i="13" s="1"/>
  <c r="K706" i="13"/>
  <c r="AP706" i="13" s="1"/>
  <c r="Z707" i="13"/>
  <c r="G704" i="13"/>
  <c r="J704" i="13" s="1"/>
  <c r="N708" i="13"/>
  <c r="AM708" i="13" s="1"/>
  <c r="AM701" i="13"/>
  <c r="P704" i="13"/>
  <c r="N705" i="13"/>
  <c r="AM705" i="13" s="1"/>
  <c r="P703" i="13"/>
  <c r="T702" i="13"/>
  <c r="P702" i="13"/>
  <c r="Z703" i="13"/>
  <c r="T703" i="13"/>
  <c r="R707" i="13"/>
  <c r="Z701" i="13"/>
  <c r="T701" i="13"/>
  <c r="Z702" i="13"/>
  <c r="Z706" i="13"/>
  <c r="Z708" i="13"/>
  <c r="H704" i="13"/>
  <c r="G708" i="13"/>
  <c r="J708" i="13" s="1"/>
  <c r="I704" i="13"/>
  <c r="H708" i="13"/>
  <c r="H703" i="13"/>
  <c r="G707" i="13"/>
  <c r="T707" i="13"/>
  <c r="I703" i="13"/>
  <c r="AL706" i="13"/>
  <c r="J706" i="13"/>
  <c r="AG706" i="13" a="1"/>
  <c r="AG706" i="13" s="1"/>
  <c r="Z704" i="13"/>
  <c r="K703" i="13"/>
  <c r="AP703" i="13" s="1"/>
  <c r="H706" i="13"/>
  <c r="K707" i="13"/>
  <c r="AP704" i="13"/>
  <c r="AG705" i="13" a="1"/>
  <c r="AG705" i="13" s="1"/>
  <c r="K701" i="13"/>
  <c r="AP701" i="13" s="1"/>
  <c r="Z705" i="13"/>
  <c r="AD701" i="13"/>
  <c r="AP702" i="13"/>
  <c r="T704" i="13"/>
  <c r="T706" i="13"/>
  <c r="P706" i="13"/>
  <c r="R705" i="13"/>
  <c r="K705" i="13"/>
  <c r="T708" i="13"/>
  <c r="R708" i="13"/>
  <c r="K708" i="13"/>
  <c r="T705" i="13"/>
  <c r="AD702" i="13" l="1"/>
  <c r="AL702" i="13"/>
  <c r="Q707" i="13"/>
  <c r="J703" i="13"/>
  <c r="AD703" i="13" s="1"/>
  <c r="AM704" i="13"/>
  <c r="AL705" i="13"/>
  <c r="AD704" i="13"/>
  <c r="AM702" i="13"/>
  <c r="AM703" i="13"/>
  <c r="AL708" i="13"/>
  <c r="AD706" i="13"/>
  <c r="AM706" i="13"/>
  <c r="AL704" i="13"/>
  <c r="AA701" i="13"/>
  <c r="AI701" i="13" s="1"/>
  <c r="AA702" i="13"/>
  <c r="AB702" i="13" s="1"/>
  <c r="AA703" i="13"/>
  <c r="AB703" i="13" s="1"/>
  <c r="AP707" i="13"/>
  <c r="AA707" i="13"/>
  <c r="AE707" i="13" s="1"/>
  <c r="AA705" i="13"/>
  <c r="AE705" i="13" s="1"/>
  <c r="AA708" i="13"/>
  <c r="AK708" i="13" s="1"/>
  <c r="J707" i="13"/>
  <c r="AL707" i="13"/>
  <c r="AA706" i="13"/>
  <c r="AB706" i="13" s="1"/>
  <c r="AA704" i="13"/>
  <c r="AE704" i="13" s="1"/>
  <c r="AP705" i="13"/>
  <c r="AP708" i="13"/>
  <c r="AD707" i="13" l="1"/>
  <c r="AK701" i="13"/>
  <c r="AQ701" i="13" s="1"/>
  <c r="AF701" i="13"/>
  <c r="AI703" i="13"/>
  <c r="AF703" i="13"/>
  <c r="AK705" i="13"/>
  <c r="AE702" i="13"/>
  <c r="AK703" i="13"/>
  <c r="AQ703" i="13" s="1"/>
  <c r="AI702" i="13"/>
  <c r="AF708" i="13"/>
  <c r="AK702" i="13"/>
  <c r="AQ702" i="13" s="1"/>
  <c r="AB701" i="13"/>
  <c r="AE701" i="13"/>
  <c r="AB705" i="13"/>
  <c r="AF702" i="13"/>
  <c r="AE703" i="13"/>
  <c r="AE706" i="13"/>
  <c r="AK706" i="13"/>
  <c r="AQ706" i="13" s="1"/>
  <c r="AF706" i="13"/>
  <c r="AB704" i="13"/>
  <c r="AK707" i="13"/>
  <c r="AF707" i="13"/>
  <c r="AB707" i="13"/>
  <c r="AI706" i="13"/>
  <c r="AI707" i="13"/>
  <c r="AF705" i="13"/>
  <c r="AB708" i="13"/>
  <c r="AF704" i="13"/>
  <c r="AE708" i="13"/>
  <c r="AK704" i="13"/>
  <c r="AQ704" i="13" s="1"/>
  <c r="AI704" i="13"/>
  <c r="D166" i="16"/>
  <c r="E166" i="16" a="1"/>
  <c r="E166" i="16" s="1"/>
  <c r="G166" i="16"/>
  <c r="H166" i="16" s="1"/>
  <c r="I166" i="16"/>
  <c r="N166" i="16"/>
  <c r="M166" i="16" s="1"/>
  <c r="S166" i="16"/>
  <c r="U166" i="16" a="1"/>
  <c r="U166" i="16" s="1"/>
  <c r="D165" i="16"/>
  <c r="E165" i="16" a="1"/>
  <c r="E165" i="16" s="1"/>
  <c r="G165" i="16"/>
  <c r="H165" i="16" s="1"/>
  <c r="I165" i="16"/>
  <c r="N165" i="16"/>
  <c r="V165" i="16" s="1"/>
  <c r="S165" i="16"/>
  <c r="U165" i="16" a="1"/>
  <c r="U165" i="16" s="1"/>
  <c r="D164" i="16"/>
  <c r="E164" i="16" a="1"/>
  <c r="E164" i="16" s="1"/>
  <c r="G164" i="16"/>
  <c r="H164" i="16" s="1"/>
  <c r="I164" i="16"/>
  <c r="N164" i="16"/>
  <c r="S164" i="16"/>
  <c r="U164" i="16" a="1"/>
  <c r="U164" i="16" s="1"/>
  <c r="V164" i="16"/>
  <c r="D163" i="16"/>
  <c r="E163" i="16" a="1"/>
  <c r="E163" i="16" s="1"/>
  <c r="G163" i="16"/>
  <c r="H163" i="16" s="1"/>
  <c r="I163" i="16"/>
  <c r="N163" i="16"/>
  <c r="M163" i="16" s="1"/>
  <c r="S163" i="16"/>
  <c r="U163" i="16" a="1"/>
  <c r="U163" i="16" s="1"/>
  <c r="AQ707" i="13" l="1"/>
  <c r="V166" i="16"/>
  <c r="V163" i="16"/>
  <c r="M165" i="16"/>
  <c r="M164" i="16"/>
  <c r="O678" i="6" l="1"/>
  <c r="E678" i="6"/>
  <c r="F678" i="6" a="1"/>
  <c r="F678" i="6" s="1"/>
  <c r="H678" i="6"/>
  <c r="I678" i="6" s="1"/>
  <c r="J678" i="6"/>
  <c r="R678" i="6"/>
  <c r="T678" i="6"/>
  <c r="V678" i="6" a="1"/>
  <c r="V678" i="6" s="1"/>
  <c r="W678" i="6"/>
  <c r="R674" i="6"/>
  <c r="R677" i="6"/>
  <c r="R668" i="6"/>
  <c r="R669" i="6"/>
  <c r="R670" i="6"/>
  <c r="R671" i="6"/>
  <c r="R672" i="6"/>
  <c r="R673" i="6"/>
  <c r="R675" i="6"/>
  <c r="R676" i="6"/>
  <c r="E677" i="6"/>
  <c r="F677" i="6" a="1"/>
  <c r="F677" i="6" s="1"/>
  <c r="H677" i="6"/>
  <c r="I677" i="6" s="1"/>
  <c r="J677" i="6"/>
  <c r="O677" i="6"/>
  <c r="W677" i="6" s="1"/>
  <c r="T677" i="6"/>
  <c r="V677" i="6" a="1"/>
  <c r="V677" i="6" s="1"/>
  <c r="E675" i="6"/>
  <c r="E676" i="6"/>
  <c r="F675" i="6" a="1"/>
  <c r="F675" i="6" s="1"/>
  <c r="F676" i="6" a="1"/>
  <c r="F676" i="6" s="1"/>
  <c r="H675" i="6"/>
  <c r="I675" i="6" s="1"/>
  <c r="H676" i="6"/>
  <c r="I676" i="6" s="1"/>
  <c r="J675" i="6"/>
  <c r="J676" i="6"/>
  <c r="O675" i="6"/>
  <c r="N675" i="6" s="1"/>
  <c r="O676" i="6"/>
  <c r="N676" i="6" s="1"/>
  <c r="T675" i="6"/>
  <c r="T676" i="6"/>
  <c r="V675" i="6" a="1"/>
  <c r="V675" i="6" s="1"/>
  <c r="V676" i="6" a="1"/>
  <c r="V676" i="6" s="1"/>
  <c r="W676" i="6" l="1"/>
  <c r="W675" i="6"/>
  <c r="N678" i="6"/>
  <c r="N677" i="6"/>
  <c r="N162" i="16" l="1"/>
  <c r="M162" i="16" s="1"/>
  <c r="D162" i="16"/>
  <c r="E162" i="16" a="1"/>
  <c r="E162" i="16" s="1"/>
  <c r="G162" i="16"/>
  <c r="H162" i="16" s="1"/>
  <c r="I162" i="16"/>
  <c r="S162" i="16"/>
  <c r="U162" i="16" a="1"/>
  <c r="U162" i="16" s="1"/>
  <c r="V162" i="16"/>
  <c r="E673" i="6" l="1"/>
  <c r="E674" i="6"/>
  <c r="F673" i="6" a="1"/>
  <c r="F673" i="6" s="1"/>
  <c r="F674" i="6" a="1"/>
  <c r="F674" i="6" s="1"/>
  <c r="H673" i="6"/>
  <c r="I673" i="6" s="1"/>
  <c r="H674" i="6"/>
  <c r="I674" i="6" s="1"/>
  <c r="J673" i="6"/>
  <c r="J674" i="6"/>
  <c r="O673" i="6"/>
  <c r="W673" i="6" s="1"/>
  <c r="O674" i="6"/>
  <c r="N674" i="6" s="1"/>
  <c r="T673" i="6"/>
  <c r="T674" i="6"/>
  <c r="V673" i="6" a="1"/>
  <c r="V673" i="6" s="1"/>
  <c r="V674" i="6" a="1"/>
  <c r="V674" i="6" s="1"/>
  <c r="E672" i="6"/>
  <c r="F672" i="6" a="1"/>
  <c r="F672" i="6" s="1"/>
  <c r="H672" i="6"/>
  <c r="I672" i="6" s="1"/>
  <c r="J672" i="6"/>
  <c r="O672" i="6"/>
  <c r="W672" i="6" s="1"/>
  <c r="T672" i="6"/>
  <c r="V672" i="6" a="1"/>
  <c r="V672" i="6" s="1"/>
  <c r="E671" i="6"/>
  <c r="F671" i="6" a="1"/>
  <c r="F671" i="6" s="1"/>
  <c r="H671" i="6"/>
  <c r="I671" i="6" s="1"/>
  <c r="J671" i="6"/>
  <c r="O671" i="6"/>
  <c r="W671" i="6" s="1"/>
  <c r="T671" i="6"/>
  <c r="V671" i="6" a="1"/>
  <c r="V671" i="6" s="1"/>
  <c r="O669" i="6"/>
  <c r="N669" i="6" s="1"/>
  <c r="E668" i="6"/>
  <c r="E669" i="6"/>
  <c r="E670" i="6"/>
  <c r="F668" i="6" a="1"/>
  <c r="F668" i="6" s="1"/>
  <c r="F669" i="6" a="1"/>
  <c r="F669" i="6" s="1"/>
  <c r="F670" i="6" a="1"/>
  <c r="F670" i="6" s="1"/>
  <c r="H668" i="6"/>
  <c r="I668" i="6" s="1"/>
  <c r="H669" i="6"/>
  <c r="I669" i="6" s="1"/>
  <c r="H670" i="6"/>
  <c r="I670" i="6" s="1"/>
  <c r="J668" i="6"/>
  <c r="J669" i="6"/>
  <c r="J670" i="6"/>
  <c r="O668" i="6"/>
  <c r="O670" i="6"/>
  <c r="N670" i="6" s="1"/>
  <c r="T668" i="6"/>
  <c r="T669" i="6"/>
  <c r="T670" i="6"/>
  <c r="V668" i="6" a="1"/>
  <c r="V668" i="6" s="1"/>
  <c r="V669" i="6" a="1"/>
  <c r="V669" i="6" s="1"/>
  <c r="V670" i="6" a="1"/>
  <c r="V670" i="6" s="1"/>
  <c r="W668" i="6"/>
  <c r="W669" i="6" l="1"/>
  <c r="W670" i="6"/>
  <c r="W674" i="6"/>
  <c r="N672" i="6"/>
  <c r="N673" i="6"/>
  <c r="N671" i="6"/>
  <c r="N668" i="6"/>
  <c r="O667" i="6" l="1"/>
  <c r="E667" i="6"/>
  <c r="F667" i="6" a="1"/>
  <c r="F667" i="6" s="1"/>
  <c r="H667" i="6"/>
  <c r="I667" i="6" s="1"/>
  <c r="J667" i="6"/>
  <c r="T667" i="6"/>
  <c r="V667" i="6" a="1"/>
  <c r="V667" i="6" s="1"/>
  <c r="W667" i="6"/>
  <c r="R667" i="6" l="1"/>
  <c r="N667" i="6"/>
  <c r="N161" i="16" l="1"/>
  <c r="D161" i="16"/>
  <c r="E161" i="16" a="1"/>
  <c r="E161" i="16" s="1"/>
  <c r="G161" i="16"/>
  <c r="H161" i="16" s="1"/>
  <c r="I161" i="16"/>
  <c r="S161" i="16"/>
  <c r="U161" i="16" a="1"/>
  <c r="U161" i="16" s="1"/>
  <c r="V161" i="16"/>
  <c r="D160" i="16"/>
  <c r="E160" i="16" a="1"/>
  <c r="E160" i="16" s="1"/>
  <c r="G160" i="16"/>
  <c r="H160" i="16" s="1"/>
  <c r="I160" i="16"/>
  <c r="N160" i="16"/>
  <c r="S160" i="16"/>
  <c r="U160" i="16" a="1"/>
  <c r="U160" i="16" s="1"/>
  <c r="V160" i="16"/>
  <c r="D159" i="16"/>
  <c r="E159" i="16" a="1"/>
  <c r="E159" i="16" s="1"/>
  <c r="G159" i="16"/>
  <c r="H159" i="16" s="1"/>
  <c r="I159" i="16"/>
  <c r="N159" i="16"/>
  <c r="V159" i="16" s="1"/>
  <c r="S159" i="16"/>
  <c r="U159" i="16" a="1"/>
  <c r="U159" i="16" s="1"/>
  <c r="D158" i="16"/>
  <c r="E158" i="16" a="1"/>
  <c r="E158" i="16" s="1"/>
  <c r="G158" i="16"/>
  <c r="H158" i="16" s="1"/>
  <c r="I158" i="16"/>
  <c r="N158" i="16"/>
  <c r="M158" i="16" s="1"/>
  <c r="S158" i="16"/>
  <c r="U158" i="16" a="1"/>
  <c r="U158" i="16" s="1"/>
  <c r="D157" i="16"/>
  <c r="E157" i="16" a="1"/>
  <c r="E157" i="16" s="1"/>
  <c r="G157" i="16"/>
  <c r="H157" i="16" s="1"/>
  <c r="I157" i="16"/>
  <c r="N157" i="16"/>
  <c r="M157" i="16" s="1"/>
  <c r="S157" i="16"/>
  <c r="U157" i="16" a="1"/>
  <c r="U157" i="16" s="1"/>
  <c r="V157" i="16"/>
  <c r="W160" i="16" l="1"/>
  <c r="W178" i="16"/>
  <c r="W161" i="16"/>
  <c r="W179" i="16"/>
  <c r="O160" i="16"/>
  <c r="O178" i="16"/>
  <c r="O161" i="16"/>
  <c r="O179" i="16"/>
  <c r="V158" i="16"/>
  <c r="M161" i="16"/>
  <c r="M160" i="16"/>
  <c r="M159" i="16"/>
  <c r="E666" i="6"/>
  <c r="F666" i="6" a="1"/>
  <c r="F666" i="6" s="1"/>
  <c r="H666" i="6"/>
  <c r="I666" i="6" s="1"/>
  <c r="J666" i="6"/>
  <c r="O666" i="6"/>
  <c r="P666" i="6" s="1"/>
  <c r="R666" i="6"/>
  <c r="T666" i="6"/>
  <c r="V666" i="6" a="1"/>
  <c r="V666" i="6" s="1"/>
  <c r="W666" i="6"/>
  <c r="X666" i="6" s="1"/>
  <c r="O665" i="6"/>
  <c r="W665" i="6" s="1"/>
  <c r="E665" i="6"/>
  <c r="F665" i="6" a="1"/>
  <c r="F665" i="6" s="1"/>
  <c r="H665" i="6"/>
  <c r="I665" i="6" s="1"/>
  <c r="J665" i="6"/>
  <c r="T665" i="6"/>
  <c r="V665" i="6" a="1"/>
  <c r="V665" i="6" s="1"/>
  <c r="R160" i="16" l="1"/>
  <c r="R161" i="16"/>
  <c r="N665" i="6"/>
  <c r="R665" i="6"/>
  <c r="N666" i="6"/>
  <c r="S666" i="6" s="1"/>
  <c r="R663" i="6"/>
  <c r="E663" i="6"/>
  <c r="E664" i="6"/>
  <c r="F663" i="6" a="1"/>
  <c r="F663" i="6" s="1"/>
  <c r="F664" i="6" a="1"/>
  <c r="F664" i="6" s="1"/>
  <c r="H663" i="6"/>
  <c r="I663" i="6" s="1"/>
  <c r="H664" i="6"/>
  <c r="I664" i="6" s="1"/>
  <c r="J663" i="6"/>
  <c r="J664" i="6"/>
  <c r="O663" i="6"/>
  <c r="N663" i="6" s="1"/>
  <c r="O664" i="6"/>
  <c r="N664" i="6" s="1"/>
  <c r="R664" i="6"/>
  <c r="T663" i="6"/>
  <c r="T664" i="6"/>
  <c r="V663" i="6" a="1"/>
  <c r="V663" i="6" s="1"/>
  <c r="V664" i="6" a="1"/>
  <c r="V664" i="6" s="1"/>
  <c r="W663" i="6"/>
  <c r="W664" i="6"/>
  <c r="E700" i="13" l="1"/>
  <c r="G700" i="13" s="1"/>
  <c r="F700" i="13"/>
  <c r="K700" i="13" s="1"/>
  <c r="L700" i="13"/>
  <c r="M700" i="13"/>
  <c r="P700" i="13" s="1"/>
  <c r="V700" i="13"/>
  <c r="W700" i="13"/>
  <c r="X700" i="13"/>
  <c r="Y700" i="13"/>
  <c r="AC700" i="13"/>
  <c r="AJ700" i="13"/>
  <c r="AO700" i="13"/>
  <c r="AR700" i="13"/>
  <c r="AS700" i="13"/>
  <c r="O700" i="13" l="1"/>
  <c r="S700" i="13"/>
  <c r="R700" i="13"/>
  <c r="AP700" i="13" s="1"/>
  <c r="AH700" i="13" a="1"/>
  <c r="AH700" i="13" s="1"/>
  <c r="N700" i="13"/>
  <c r="Q700" i="13" s="1"/>
  <c r="Z700" i="13"/>
  <c r="J700" i="13"/>
  <c r="AL700" i="13"/>
  <c r="I700" i="13"/>
  <c r="AG700" i="13" a="1"/>
  <c r="AG700" i="13" s="1"/>
  <c r="T700" i="13"/>
  <c r="H700" i="13"/>
  <c r="AA700" i="13" l="1"/>
  <c r="AB700" i="13" s="1"/>
  <c r="AM700" i="13"/>
  <c r="AD700" i="13"/>
  <c r="AF700" i="13" l="1"/>
  <c r="AK700" i="13"/>
  <c r="AQ700" i="13" s="1"/>
  <c r="AE700" i="13"/>
  <c r="AI700" i="13"/>
  <c r="E695" i="13"/>
  <c r="G695" i="13" s="1"/>
  <c r="E696" i="13"/>
  <c r="H696" i="13" s="1"/>
  <c r="E697" i="13"/>
  <c r="G697" i="13" s="1"/>
  <c r="E698" i="13"/>
  <c r="G698" i="13" s="1"/>
  <c r="E699" i="13"/>
  <c r="G699" i="13" s="1"/>
  <c r="F695" i="13"/>
  <c r="I695" i="13" s="1"/>
  <c r="F696" i="13"/>
  <c r="K696" i="13" s="1"/>
  <c r="F697" i="13"/>
  <c r="K697" i="13" s="1"/>
  <c r="F698" i="13"/>
  <c r="F699" i="13"/>
  <c r="K699" i="13" s="1"/>
  <c r="L695" i="13"/>
  <c r="L696" i="13"/>
  <c r="L697" i="13"/>
  <c r="L698" i="13"/>
  <c r="L699" i="13"/>
  <c r="M695" i="13"/>
  <c r="P695" i="13" s="1"/>
  <c r="M696" i="13"/>
  <c r="R696" i="13" s="1"/>
  <c r="M697" i="13"/>
  <c r="R697" i="13" s="1"/>
  <c r="M698" i="13"/>
  <c r="R698" i="13" s="1"/>
  <c r="M699" i="13"/>
  <c r="R699" i="13" s="1"/>
  <c r="V695" i="13"/>
  <c r="V696" i="13"/>
  <c r="V697" i="13"/>
  <c r="V698" i="13"/>
  <c r="V699" i="13"/>
  <c r="W695" i="13"/>
  <c r="W696" i="13"/>
  <c r="W697" i="13"/>
  <c r="W698" i="13"/>
  <c r="W699" i="13"/>
  <c r="X695" i="13"/>
  <c r="X696" i="13"/>
  <c r="X697" i="13"/>
  <c r="X698" i="13"/>
  <c r="X699" i="13"/>
  <c r="Y695" i="13"/>
  <c r="Y696" i="13"/>
  <c r="Y697" i="13"/>
  <c r="Y698" i="13"/>
  <c r="Y699" i="13"/>
  <c r="AC695" i="13"/>
  <c r="AC696" i="13"/>
  <c r="AC697" i="13"/>
  <c r="AC698" i="13"/>
  <c r="AC699" i="13"/>
  <c r="AJ695" i="13"/>
  <c r="AJ696" i="13"/>
  <c r="AJ697" i="13"/>
  <c r="AJ698" i="13"/>
  <c r="AJ699" i="13"/>
  <c r="AO695" i="13"/>
  <c r="AO696" i="13"/>
  <c r="AO697" i="13"/>
  <c r="AO698" i="13"/>
  <c r="AO699" i="13"/>
  <c r="AR695" i="13"/>
  <c r="AR696" i="13"/>
  <c r="AR697" i="13"/>
  <c r="AR698" i="13"/>
  <c r="AR699" i="13"/>
  <c r="AS695" i="13"/>
  <c r="AS696" i="13"/>
  <c r="AS697" i="13"/>
  <c r="AS698" i="13"/>
  <c r="AS699" i="13"/>
  <c r="N156" i="16"/>
  <c r="D156" i="16"/>
  <c r="E156" i="16" a="1"/>
  <c r="E156" i="16" s="1"/>
  <c r="G156" i="16"/>
  <c r="H156" i="16" s="1"/>
  <c r="I156" i="16"/>
  <c r="S156" i="16"/>
  <c r="U156" i="16" a="1"/>
  <c r="U156" i="16" s="1"/>
  <c r="V156" i="16"/>
  <c r="O662" i="6"/>
  <c r="E662" i="6"/>
  <c r="F662" i="6" a="1"/>
  <c r="F662" i="6" s="1"/>
  <c r="H662" i="6"/>
  <c r="I662" i="6" s="1"/>
  <c r="J662" i="6"/>
  <c r="R662" i="6"/>
  <c r="T662" i="6"/>
  <c r="V662" i="6" a="1"/>
  <c r="V662" i="6" s="1"/>
  <c r="W662" i="6"/>
  <c r="E689" i="13"/>
  <c r="AG689" i="13" s="1" a="1"/>
  <c r="AG689" i="13" s="1"/>
  <c r="E690" i="13"/>
  <c r="H690" i="13" s="1"/>
  <c r="E691" i="13"/>
  <c r="H691" i="13" s="1"/>
  <c r="E692" i="13"/>
  <c r="H692" i="13" s="1"/>
  <c r="E693" i="13"/>
  <c r="AG693" i="13" s="1" a="1"/>
  <c r="AG693" i="13" s="1"/>
  <c r="E694" i="13"/>
  <c r="H694" i="13" s="1"/>
  <c r="F689" i="13"/>
  <c r="I689" i="13" s="1"/>
  <c r="F690" i="13"/>
  <c r="I690" i="13" s="1"/>
  <c r="F691" i="13"/>
  <c r="K691" i="13" s="1"/>
  <c r="F692" i="13"/>
  <c r="I692" i="13" s="1"/>
  <c r="F693" i="13"/>
  <c r="I693" i="13" s="1"/>
  <c r="F694" i="13"/>
  <c r="I694" i="13" s="1"/>
  <c r="L690" i="13"/>
  <c r="L691" i="13"/>
  <c r="L692" i="13"/>
  <c r="L693" i="13"/>
  <c r="L694" i="13"/>
  <c r="M689" i="13"/>
  <c r="P689" i="13" s="1"/>
  <c r="M690" i="13"/>
  <c r="R690" i="13" s="1"/>
  <c r="M691" i="13"/>
  <c r="P691" i="13" s="1"/>
  <c r="M692" i="13"/>
  <c r="P692" i="13" s="1"/>
  <c r="M693" i="13"/>
  <c r="R693" i="13" s="1"/>
  <c r="M694" i="13"/>
  <c r="P694" i="13" s="1"/>
  <c r="V689" i="13"/>
  <c r="V690" i="13"/>
  <c r="V691" i="13"/>
  <c r="V692" i="13"/>
  <c r="V693" i="13"/>
  <c r="V694" i="13"/>
  <c r="W689" i="13"/>
  <c r="W690" i="13"/>
  <c r="W691" i="13"/>
  <c r="W692" i="13"/>
  <c r="W693" i="13"/>
  <c r="W694" i="13"/>
  <c r="X689" i="13"/>
  <c r="X690" i="13"/>
  <c r="X691" i="13"/>
  <c r="X692" i="13"/>
  <c r="X693" i="13"/>
  <c r="X694" i="13"/>
  <c r="Y690" i="13"/>
  <c r="Y691" i="13"/>
  <c r="Y692" i="13"/>
  <c r="Y693" i="13"/>
  <c r="Y694" i="13"/>
  <c r="AC689" i="13"/>
  <c r="AC690" i="13"/>
  <c r="AC691" i="13"/>
  <c r="AC692" i="13"/>
  <c r="AC693" i="13"/>
  <c r="AC694" i="13"/>
  <c r="AJ689" i="13"/>
  <c r="AJ690" i="13"/>
  <c r="AJ691" i="13"/>
  <c r="AJ692" i="13"/>
  <c r="AJ693" i="13"/>
  <c r="AJ694" i="13"/>
  <c r="AO689" i="13"/>
  <c r="AO690" i="13"/>
  <c r="AO691" i="13"/>
  <c r="AO692" i="13"/>
  <c r="AO693" i="13"/>
  <c r="AO694" i="13"/>
  <c r="AR689" i="13"/>
  <c r="AR690" i="13"/>
  <c r="AR691" i="13"/>
  <c r="AR692" i="13"/>
  <c r="AR693" i="13"/>
  <c r="AR694" i="13"/>
  <c r="AS689" i="13"/>
  <c r="AS690" i="13"/>
  <c r="AS691" i="13"/>
  <c r="AS692" i="13"/>
  <c r="AS693" i="13"/>
  <c r="AS694" i="13"/>
  <c r="N696" i="13" l="1"/>
  <c r="Q696" i="13" s="1"/>
  <c r="S696" i="13"/>
  <c r="O690" i="13"/>
  <c r="S690" i="13"/>
  <c r="N699" i="13"/>
  <c r="AM699" i="13" s="1"/>
  <c r="S699" i="13"/>
  <c r="N695" i="13"/>
  <c r="Q695" i="13" s="1"/>
  <c r="S695" i="13"/>
  <c r="O691" i="13"/>
  <c r="S691" i="13"/>
  <c r="O694" i="13"/>
  <c r="S694" i="13"/>
  <c r="N693" i="13"/>
  <c r="Q693" i="13" s="1"/>
  <c r="S693" i="13"/>
  <c r="O698" i="13"/>
  <c r="S698" i="13"/>
  <c r="O692" i="13"/>
  <c r="S692" i="13"/>
  <c r="O697" i="13"/>
  <c r="S697" i="13"/>
  <c r="AH695" i="13" a="1"/>
  <c r="AH695" i="13" s="1"/>
  <c r="AG697" i="13" a="1"/>
  <c r="AG697" i="13" s="1"/>
  <c r="AG696" i="13" a="1"/>
  <c r="AG696" i="13" s="1"/>
  <c r="G696" i="13"/>
  <c r="J696" i="13" s="1"/>
  <c r="N698" i="13"/>
  <c r="AM698" i="13" s="1"/>
  <c r="G690" i="13"/>
  <c r="AL690" i="13" s="1"/>
  <c r="G691" i="13"/>
  <c r="J691" i="13" s="1"/>
  <c r="G692" i="13"/>
  <c r="J692" i="13" s="1"/>
  <c r="G689" i="13"/>
  <c r="AL689" i="13" s="1"/>
  <c r="AG695" i="13" a="1"/>
  <c r="AG695" i="13" s="1"/>
  <c r="AG698" i="13" a="1"/>
  <c r="AG698" i="13" s="1"/>
  <c r="I699" i="13"/>
  <c r="H697" i="13"/>
  <c r="K695" i="13"/>
  <c r="H695" i="13"/>
  <c r="J697" i="13"/>
  <c r="AL697" i="13"/>
  <c r="I696" i="13"/>
  <c r="AH699" i="13" a="1"/>
  <c r="AH699" i="13" s="1"/>
  <c r="N697" i="13"/>
  <c r="Q697" i="13" s="1"/>
  <c r="Z697" i="13"/>
  <c r="T699" i="13"/>
  <c r="P699" i="13"/>
  <c r="AH698" i="13" a="1"/>
  <c r="AH698" i="13" s="1"/>
  <c r="Z696" i="13"/>
  <c r="P697" i="13"/>
  <c r="T698" i="13"/>
  <c r="J695" i="13"/>
  <c r="AL695" i="13"/>
  <c r="AH697" i="13" a="1"/>
  <c r="AH697" i="13" s="1"/>
  <c r="Z698" i="13"/>
  <c r="Z699" i="13"/>
  <c r="Z695" i="13"/>
  <c r="T695" i="13"/>
  <c r="R695" i="13"/>
  <c r="P696" i="13"/>
  <c r="O696" i="13"/>
  <c r="AH696" i="13" a="1"/>
  <c r="AH696" i="13" s="1"/>
  <c r="K698" i="13"/>
  <c r="AP698" i="13" s="1"/>
  <c r="H699" i="13"/>
  <c r="AG699" i="13" a="1"/>
  <c r="AG699" i="13" s="1"/>
  <c r="T696" i="13"/>
  <c r="I698" i="13"/>
  <c r="AP697" i="13"/>
  <c r="AM696" i="13"/>
  <c r="J698" i="13"/>
  <c r="AL698" i="13"/>
  <c r="AP699" i="13"/>
  <c r="AP696" i="13"/>
  <c r="J699" i="13"/>
  <c r="AL699" i="13"/>
  <c r="P698" i="13"/>
  <c r="O699" i="13"/>
  <c r="O695" i="13"/>
  <c r="I697" i="13"/>
  <c r="H698" i="13"/>
  <c r="T697" i="13"/>
  <c r="AG690" i="13" a="1"/>
  <c r="AG690" i="13" s="1"/>
  <c r="K692" i="13"/>
  <c r="AG694" i="13" a="1"/>
  <c r="AG694" i="13" s="1"/>
  <c r="G694" i="13"/>
  <c r="J694" i="13" s="1"/>
  <c r="AG691" i="13" a="1"/>
  <c r="AG691" i="13" s="1"/>
  <c r="AH691" i="13" a="1"/>
  <c r="AH691" i="13" s="1"/>
  <c r="AH692" i="13" a="1"/>
  <c r="AH692" i="13" s="1"/>
  <c r="AH690" i="13" a="1"/>
  <c r="AH690" i="13" s="1"/>
  <c r="M156" i="16"/>
  <c r="N694" i="13"/>
  <c r="Q694" i="13" s="1"/>
  <c r="AH693" i="13" a="1"/>
  <c r="AH693" i="13" s="1"/>
  <c r="R689" i="13"/>
  <c r="P690" i="13"/>
  <c r="N692" i="13"/>
  <c r="N691" i="13"/>
  <c r="N690" i="13"/>
  <c r="Q690" i="13" s="1"/>
  <c r="O693" i="13"/>
  <c r="P693" i="13"/>
  <c r="R694" i="13"/>
  <c r="T690" i="13"/>
  <c r="H693" i="13"/>
  <c r="G693" i="13"/>
  <c r="AL693" i="13" s="1"/>
  <c r="AH694" i="13" a="1"/>
  <c r="AH694" i="13" s="1"/>
  <c r="K689" i="13"/>
  <c r="I691" i="13"/>
  <c r="H689" i="13"/>
  <c r="Z692" i="13"/>
  <c r="Z691" i="13"/>
  <c r="Z693" i="13"/>
  <c r="T689" i="13"/>
  <c r="N662" i="6"/>
  <c r="AG692" i="13" a="1"/>
  <c r="AG692" i="13" s="1"/>
  <c r="Z694" i="13"/>
  <c r="Z690" i="13"/>
  <c r="T694" i="13"/>
  <c r="T693" i="13"/>
  <c r="T692" i="13"/>
  <c r="R692" i="13"/>
  <c r="K694" i="13"/>
  <c r="K690" i="13"/>
  <c r="AP690" i="13" s="1"/>
  <c r="T691" i="13"/>
  <c r="R691" i="13"/>
  <c r="AP691" i="13" s="1"/>
  <c r="K693" i="13"/>
  <c r="AP693" i="13" s="1"/>
  <c r="N155" i="16"/>
  <c r="D155" i="16"/>
  <c r="E155" i="16" a="1"/>
  <c r="E155" i="16" s="1"/>
  <c r="G155" i="16"/>
  <c r="H155" i="16" s="1"/>
  <c r="I155" i="16"/>
  <c r="S155" i="16"/>
  <c r="U155" i="16" a="1"/>
  <c r="U155" i="16" s="1"/>
  <c r="O163" i="16" l="1"/>
  <c r="O188" i="16"/>
  <c r="Q699" i="13"/>
  <c r="AM695" i="13"/>
  <c r="AM693" i="13"/>
  <c r="V155" i="16"/>
  <c r="AA699" i="13"/>
  <c r="AE699" i="13" s="1"/>
  <c r="AL696" i="13"/>
  <c r="Q698" i="13"/>
  <c r="AD698" i="13" s="1"/>
  <c r="AD696" i="13"/>
  <c r="J689" i="13"/>
  <c r="J690" i="13"/>
  <c r="AD690" i="13" s="1"/>
  <c r="AL691" i="13"/>
  <c r="AL692" i="13"/>
  <c r="AP695" i="13"/>
  <c r="AD697" i="13"/>
  <c r="AA696" i="13"/>
  <c r="AK696" i="13" s="1"/>
  <c r="AD695" i="13"/>
  <c r="AA695" i="13"/>
  <c r="AI695" i="13" s="1"/>
  <c r="AM697" i="13"/>
  <c r="AA698" i="13"/>
  <c r="AE698" i="13" s="1"/>
  <c r="AA697" i="13"/>
  <c r="AF697" i="13" s="1"/>
  <c r="AD699" i="13"/>
  <c r="AM690" i="13"/>
  <c r="AP692" i="13"/>
  <c r="AL694" i="13"/>
  <c r="AD694" i="13"/>
  <c r="J693" i="13"/>
  <c r="AD693" i="13" s="1"/>
  <c r="AP694" i="13"/>
  <c r="AA690" i="13"/>
  <c r="AB690" i="13" s="1"/>
  <c r="AM694" i="13"/>
  <c r="AP689" i="13"/>
  <c r="Q691" i="13"/>
  <c r="AD691" i="13" s="1"/>
  <c r="AM691" i="13"/>
  <c r="Q692" i="13"/>
  <c r="AD692" i="13" s="1"/>
  <c r="AM692" i="13"/>
  <c r="AA694" i="13"/>
  <c r="AI694" i="13" s="1"/>
  <c r="O155" i="16"/>
  <c r="L689" i="13"/>
  <c r="S689" i="13" s="1"/>
  <c r="AA693" i="13"/>
  <c r="AE693" i="13" s="1"/>
  <c r="AA691" i="13"/>
  <c r="AF691" i="13" s="1"/>
  <c r="AA692" i="13"/>
  <c r="AE692" i="13" s="1"/>
  <c r="M155" i="16"/>
  <c r="L148" i="20" a="1"/>
  <c r="L148" i="20" s="1"/>
  <c r="N148" i="20" a="1"/>
  <c r="N148" i="20" s="1"/>
  <c r="O148" i="20" a="1"/>
  <c r="O148" i="20" s="1"/>
  <c r="P148" i="20" a="1"/>
  <c r="P148" i="20" s="1"/>
  <c r="L149" i="20" a="1"/>
  <c r="L149" i="20" s="1"/>
  <c r="N149" i="20" a="1"/>
  <c r="N149" i="20" s="1"/>
  <c r="O149" i="20" a="1"/>
  <c r="O149" i="20" s="1"/>
  <c r="P149" i="20" a="1"/>
  <c r="P149" i="20" s="1"/>
  <c r="L150" i="20" a="1"/>
  <c r="L150" i="20" s="1"/>
  <c r="N150" i="20" a="1"/>
  <c r="N150" i="20" s="1"/>
  <c r="O150" i="20" a="1"/>
  <c r="O150" i="20" s="1"/>
  <c r="P150" i="20" a="1"/>
  <c r="P150" i="20" s="1"/>
  <c r="L151" i="20" a="1"/>
  <c r="L151" i="20" s="1"/>
  <c r="N151" i="20" a="1"/>
  <c r="N151" i="20" s="1"/>
  <c r="O151" i="20" a="1"/>
  <c r="O151" i="20" s="1"/>
  <c r="P151" i="20" a="1"/>
  <c r="P151" i="20" s="1"/>
  <c r="L152" i="20" a="1"/>
  <c r="L152" i="20" s="1"/>
  <c r="N152" i="20" a="1"/>
  <c r="N152" i="20" s="1"/>
  <c r="O152" i="20" a="1"/>
  <c r="O152" i="20" s="1"/>
  <c r="P152" i="20" a="1"/>
  <c r="P152" i="20" s="1"/>
  <c r="L153" i="20" a="1"/>
  <c r="L153" i="20" s="1"/>
  <c r="N153" i="20" a="1"/>
  <c r="N153" i="20" s="1"/>
  <c r="O153" i="20" a="1"/>
  <c r="O153" i="20" s="1"/>
  <c r="P153" i="20" a="1"/>
  <c r="P153" i="20" s="1"/>
  <c r="L154" i="20" a="1"/>
  <c r="L154" i="20" s="1"/>
  <c r="N154" i="20" a="1"/>
  <c r="N154" i="20" s="1"/>
  <c r="O154" i="20" a="1"/>
  <c r="O154" i="20" s="1"/>
  <c r="P154" i="20" a="1"/>
  <c r="P154" i="20" s="1"/>
  <c r="L155" i="20" a="1"/>
  <c r="L155" i="20" s="1"/>
  <c r="N155" i="20" a="1"/>
  <c r="N155" i="20" s="1"/>
  <c r="O155" i="20" a="1"/>
  <c r="O155" i="20" s="1"/>
  <c r="P155" i="20" a="1"/>
  <c r="P155" i="20" s="1"/>
  <c r="L156" i="20" a="1"/>
  <c r="L156" i="20" s="1"/>
  <c r="N156" i="20" a="1"/>
  <c r="N156" i="20" s="1"/>
  <c r="O156" i="20" a="1"/>
  <c r="O156" i="20" s="1"/>
  <c r="P156" i="20" a="1"/>
  <c r="P156" i="20" s="1"/>
  <c r="L157" i="20" a="1"/>
  <c r="L157" i="20" s="1"/>
  <c r="N157" i="20" a="1"/>
  <c r="N157" i="20" s="1"/>
  <c r="O157" i="20" a="1"/>
  <c r="O157" i="20" s="1"/>
  <c r="P157" i="20" a="1"/>
  <c r="P157" i="20" s="1"/>
  <c r="L158" i="20" a="1"/>
  <c r="L158" i="20" s="1"/>
  <c r="N158" i="20" a="1"/>
  <c r="N158" i="20" s="1"/>
  <c r="O158" i="20" a="1"/>
  <c r="O158" i="20" s="1"/>
  <c r="P158" i="20" a="1"/>
  <c r="P158" i="20" s="1"/>
  <c r="L159" i="20" a="1"/>
  <c r="L159" i="20" s="1"/>
  <c r="N159" i="20" a="1"/>
  <c r="N159" i="20" s="1"/>
  <c r="O159" i="20" a="1"/>
  <c r="O159" i="20" s="1"/>
  <c r="P159" i="20" a="1"/>
  <c r="P159" i="20" s="1"/>
  <c r="L160" i="20" a="1"/>
  <c r="L160" i="20" s="1"/>
  <c r="N160" i="20" a="1"/>
  <c r="N160" i="20" s="1"/>
  <c r="O160" i="20" a="1"/>
  <c r="O160" i="20" s="1"/>
  <c r="P160" i="20" a="1"/>
  <c r="P160" i="20" s="1"/>
  <c r="L161" i="20" a="1"/>
  <c r="L161" i="20" s="1"/>
  <c r="N161" i="20" a="1"/>
  <c r="N161" i="20" s="1"/>
  <c r="O161" i="20" a="1"/>
  <c r="O161" i="20" s="1"/>
  <c r="P161" i="20" a="1"/>
  <c r="P161" i="20" s="1"/>
  <c r="L162" i="20" a="1"/>
  <c r="L162" i="20" s="1"/>
  <c r="N162" i="20" a="1"/>
  <c r="N162" i="20" s="1"/>
  <c r="O162" i="20" a="1"/>
  <c r="O162" i="20" s="1"/>
  <c r="P162" i="20" a="1"/>
  <c r="P162" i="20" s="1"/>
  <c r="E148" i="20" a="1"/>
  <c r="E148" i="20" s="1"/>
  <c r="E149" i="20" a="1"/>
  <c r="E149" i="20" s="1"/>
  <c r="E150" i="20" a="1"/>
  <c r="E150" i="20" s="1"/>
  <c r="E151" i="20" a="1"/>
  <c r="E151" i="20" s="1"/>
  <c r="E152" i="20" a="1"/>
  <c r="E152" i="20" s="1"/>
  <c r="E153" i="20" a="1"/>
  <c r="E153" i="20" s="1"/>
  <c r="E154" i="20" a="1"/>
  <c r="E154" i="20" s="1"/>
  <c r="E155" i="20" a="1"/>
  <c r="E155" i="20" s="1"/>
  <c r="E156" i="20" a="1"/>
  <c r="E156" i="20" s="1"/>
  <c r="E157" i="20" a="1"/>
  <c r="E157" i="20" s="1"/>
  <c r="E158" i="20" a="1"/>
  <c r="E158" i="20" s="1"/>
  <c r="E159" i="20" a="1"/>
  <c r="E159" i="20" s="1"/>
  <c r="E160" i="20" a="1"/>
  <c r="E160" i="20" s="1"/>
  <c r="E161" i="20" a="1"/>
  <c r="E161" i="20" s="1"/>
  <c r="E162" i="20" a="1"/>
  <c r="E162" i="20" s="1"/>
  <c r="N146" i="20" a="1"/>
  <c r="N146" i="20" s="1"/>
  <c r="N145" i="20" a="1"/>
  <c r="N145" i="20" s="1"/>
  <c r="E146" i="20" a="1"/>
  <c r="E146" i="20" s="1"/>
  <c r="E130" i="20" s="1"/>
  <c r="E145" i="20" a="1"/>
  <c r="E145" i="20" s="1"/>
  <c r="E129" i="20" s="1"/>
  <c r="P147" i="20" a="1"/>
  <c r="P147" i="20" s="1"/>
  <c r="O147" i="20" a="1"/>
  <c r="O147" i="20" s="1"/>
  <c r="N147" i="20" a="1"/>
  <c r="N147" i="20" s="1"/>
  <c r="L147" i="20" a="1"/>
  <c r="L147" i="20" s="1"/>
  <c r="E147" i="20" a="1"/>
  <c r="E147" i="20" s="1"/>
  <c r="W163" i="16" l="1"/>
  <c r="W188" i="16"/>
  <c r="W155" i="16"/>
  <c r="Y689" i="13"/>
  <c r="Z689" i="13" s="1"/>
  <c r="AI699" i="13"/>
  <c r="AF699" i="13"/>
  <c r="AB699" i="13"/>
  <c r="AK699" i="13"/>
  <c r="AQ699" i="13" s="1"/>
  <c r="AQ696" i="13"/>
  <c r="AB695" i="13"/>
  <c r="AF696" i="13"/>
  <c r="AE696" i="13"/>
  <c r="AI698" i="13"/>
  <c r="AB696" i="13"/>
  <c r="AI696" i="13"/>
  <c r="AB697" i="13"/>
  <c r="AK695" i="13"/>
  <c r="AQ695" i="13" s="1"/>
  <c r="AF695" i="13"/>
  <c r="AE695" i="13"/>
  <c r="AF698" i="13"/>
  <c r="AI697" i="13"/>
  <c r="AK697" i="13"/>
  <c r="AQ697" i="13" s="1"/>
  <c r="AK698" i="13"/>
  <c r="AQ698" i="13" s="1"/>
  <c r="AE697" i="13"/>
  <c r="AB698" i="13"/>
  <c r="AF694" i="13"/>
  <c r="AE691" i="13"/>
  <c r="AI693" i="13"/>
  <c r="AK694" i="13"/>
  <c r="AQ694" i="13" s="1"/>
  <c r="AB694" i="13"/>
  <c r="AK693" i="13"/>
  <c r="AQ693" i="13" s="1"/>
  <c r="AE690" i="13"/>
  <c r="AE694" i="13"/>
  <c r="AI691" i="13"/>
  <c r="AF693" i="13"/>
  <c r="AK690" i="13"/>
  <c r="AQ690" i="13" s="1"/>
  <c r="AF690" i="13"/>
  <c r="AI690" i="13"/>
  <c r="AB691" i="13"/>
  <c r="AK691" i="13"/>
  <c r="AQ691" i="13" s="1"/>
  <c r="AB693" i="13"/>
  <c r="R155" i="16"/>
  <c r="O689" i="13"/>
  <c r="N689" i="13"/>
  <c r="AA689" i="13"/>
  <c r="AB692" i="13"/>
  <c r="AK692" i="13"/>
  <c r="AQ692" i="13" s="1"/>
  <c r="AI692" i="13"/>
  <c r="AF692" i="13"/>
  <c r="J137" i="20"/>
  <c r="AK689" i="13" l="1"/>
  <c r="AB689" i="13"/>
  <c r="AF689" i="13"/>
  <c r="AM689" i="13"/>
  <c r="AE689" i="13"/>
  <c r="R661" i="6"/>
  <c r="E661" i="6"/>
  <c r="F661" i="6" a="1"/>
  <c r="F661" i="6" s="1"/>
  <c r="H661" i="6"/>
  <c r="I661" i="6" s="1"/>
  <c r="J661" i="6"/>
  <c r="O661" i="6"/>
  <c r="W661" i="6" s="1"/>
  <c r="T661" i="6"/>
  <c r="V661" i="6" a="1"/>
  <c r="V661" i="6" s="1"/>
  <c r="E660" i="6"/>
  <c r="F660" i="6" a="1"/>
  <c r="F660" i="6" s="1"/>
  <c r="H660" i="6"/>
  <c r="I660" i="6" s="1"/>
  <c r="J660" i="6"/>
  <c r="O660" i="6"/>
  <c r="R660" i="6"/>
  <c r="T660" i="6"/>
  <c r="V660" i="6" a="1"/>
  <c r="V660" i="6" s="1"/>
  <c r="W660" i="6"/>
  <c r="E659" i="6"/>
  <c r="F659" i="6" a="1"/>
  <c r="F659" i="6" s="1"/>
  <c r="H659" i="6"/>
  <c r="I659" i="6" s="1"/>
  <c r="J659" i="6"/>
  <c r="T659" i="6"/>
  <c r="V659" i="6" a="1"/>
  <c r="V659" i="6" s="1"/>
  <c r="D154" i="16"/>
  <c r="E154" i="16" a="1"/>
  <c r="E154" i="16" s="1"/>
  <c r="G154" i="16"/>
  <c r="H154" i="16" s="1"/>
  <c r="I154" i="16"/>
  <c r="N154" i="16"/>
  <c r="M154" i="16" s="1"/>
  <c r="S154" i="16"/>
  <c r="U154" i="16" a="1"/>
  <c r="U154" i="16" s="1"/>
  <c r="V154" i="16"/>
  <c r="O658" i="6"/>
  <c r="N658" i="6" s="1"/>
  <c r="E658" i="6"/>
  <c r="F658" i="6" a="1"/>
  <c r="F658" i="6" s="1"/>
  <c r="H658" i="6"/>
  <c r="I658" i="6" s="1"/>
  <c r="J658" i="6"/>
  <c r="R658" i="6"/>
  <c r="T658" i="6"/>
  <c r="V658" i="6" a="1"/>
  <c r="V658" i="6" s="1"/>
  <c r="W658" i="6"/>
  <c r="F688" i="13"/>
  <c r="K688" i="13" s="1"/>
  <c r="L688" i="13"/>
  <c r="M688" i="13"/>
  <c r="R688" i="13" s="1"/>
  <c r="W688" i="13"/>
  <c r="X688" i="13"/>
  <c r="Y688" i="13"/>
  <c r="AC688" i="13"/>
  <c r="AJ688" i="13"/>
  <c r="AO688" i="13"/>
  <c r="AR688" i="13"/>
  <c r="AS688" i="13"/>
  <c r="O688" i="13" l="1"/>
  <c r="O659" i="6"/>
  <c r="W659" i="6" s="1"/>
  <c r="X669" i="6" s="1"/>
  <c r="R659" i="6"/>
  <c r="N661" i="6"/>
  <c r="N660" i="6"/>
  <c r="N688" i="13"/>
  <c r="AP688" i="13"/>
  <c r="I688" i="13"/>
  <c r="T688" i="13"/>
  <c r="P688" i="13"/>
  <c r="X670" i="6" l="1"/>
  <c r="X661" i="6"/>
  <c r="X660" i="6"/>
  <c r="X659" i="6"/>
  <c r="X677" i="6"/>
  <c r="X675" i="6"/>
  <c r="X674" i="6"/>
  <c r="X668" i="6"/>
  <c r="X676" i="6"/>
  <c r="X673" i="6"/>
  <c r="X671" i="6"/>
  <c r="P677" i="6"/>
  <c r="P675" i="6"/>
  <c r="P676" i="6"/>
  <c r="P668" i="6"/>
  <c r="P669" i="6"/>
  <c r="P673" i="6"/>
  <c r="P670" i="6"/>
  <c r="P674" i="6"/>
  <c r="P671" i="6"/>
  <c r="N659" i="6"/>
  <c r="P661" i="6"/>
  <c r="P659" i="6"/>
  <c r="P660" i="6"/>
  <c r="AM688" i="13"/>
  <c r="D153" i="16"/>
  <c r="E153" i="16" a="1"/>
  <c r="E153" i="16" s="1"/>
  <c r="G153" i="16"/>
  <c r="H153" i="16" s="1"/>
  <c r="I153" i="16"/>
  <c r="N153" i="16"/>
  <c r="V153" i="16" s="1"/>
  <c r="S153" i="16"/>
  <c r="U153" i="16" a="1"/>
  <c r="U153" i="16" s="1"/>
  <c r="D152" i="16"/>
  <c r="E152" i="16" a="1"/>
  <c r="E152" i="16" s="1"/>
  <c r="G152" i="16"/>
  <c r="H152" i="16" s="1"/>
  <c r="I152" i="16"/>
  <c r="N152" i="16"/>
  <c r="S152" i="16"/>
  <c r="U152" i="16" a="1"/>
  <c r="U152" i="16" s="1"/>
  <c r="V152" i="16"/>
  <c r="D151" i="16"/>
  <c r="E151" i="16" a="1"/>
  <c r="E151" i="16" s="1"/>
  <c r="G151" i="16"/>
  <c r="H151" i="16" s="1"/>
  <c r="I151" i="16"/>
  <c r="N151" i="16"/>
  <c r="V151" i="16" s="1"/>
  <c r="S151" i="16"/>
  <c r="U151" i="16" a="1"/>
  <c r="U151" i="16" s="1"/>
  <c r="R655" i="6"/>
  <c r="E655" i="6"/>
  <c r="F655" i="6" a="1"/>
  <c r="F655" i="6" s="1"/>
  <c r="H655" i="6"/>
  <c r="I655" i="6" s="1"/>
  <c r="J655" i="6"/>
  <c r="O655" i="6"/>
  <c r="T655" i="6"/>
  <c r="V655" i="6" a="1"/>
  <c r="V655" i="6" s="1"/>
  <c r="W655" i="6"/>
  <c r="E656" i="6"/>
  <c r="F656" i="6" a="1"/>
  <c r="F656" i="6" s="1"/>
  <c r="H656" i="6"/>
  <c r="I656" i="6" s="1"/>
  <c r="J656" i="6"/>
  <c r="O656" i="6"/>
  <c r="R656" i="6"/>
  <c r="T656" i="6"/>
  <c r="V656" i="6" a="1"/>
  <c r="V656" i="6" s="1"/>
  <c r="W656" i="6"/>
  <c r="O657" i="6"/>
  <c r="P657" i="6" s="1"/>
  <c r="E657" i="6"/>
  <c r="F657" i="6" a="1"/>
  <c r="F657" i="6" s="1"/>
  <c r="H657" i="6"/>
  <c r="I657" i="6" s="1"/>
  <c r="J657" i="6"/>
  <c r="R657" i="6"/>
  <c r="T657" i="6"/>
  <c r="V657" i="6" a="1"/>
  <c r="V657" i="6" s="1"/>
  <c r="W657" i="6"/>
  <c r="V688" i="13" s="1"/>
  <c r="Z688" i="13" s="1"/>
  <c r="O654" i="6"/>
  <c r="E654" i="6"/>
  <c r="F654" i="6" a="1"/>
  <c r="F654" i="6" s="1"/>
  <c r="H654" i="6"/>
  <c r="I654" i="6" s="1"/>
  <c r="J654" i="6"/>
  <c r="R654" i="6"/>
  <c r="T654" i="6"/>
  <c r="V654" i="6" a="1"/>
  <c r="V654" i="6" s="1"/>
  <c r="W654" i="6"/>
  <c r="E685" i="13"/>
  <c r="H685" i="13" s="1"/>
  <c r="E686" i="13"/>
  <c r="G686" i="13" s="1"/>
  <c r="J686" i="13" s="1"/>
  <c r="E687" i="13"/>
  <c r="G687" i="13" s="1"/>
  <c r="F685" i="13"/>
  <c r="I685" i="13" s="1"/>
  <c r="F686" i="13"/>
  <c r="I686" i="13" s="1"/>
  <c r="F687" i="13"/>
  <c r="I687" i="13" s="1"/>
  <c r="L686" i="13"/>
  <c r="L687" i="13"/>
  <c r="M685" i="13"/>
  <c r="R685" i="13" s="1"/>
  <c r="M686" i="13"/>
  <c r="R686" i="13" s="1"/>
  <c r="M687" i="13"/>
  <c r="V685" i="13"/>
  <c r="V686" i="13"/>
  <c r="V687" i="13"/>
  <c r="W685" i="13"/>
  <c r="W686" i="13"/>
  <c r="W687" i="13"/>
  <c r="X685" i="13"/>
  <c r="X686" i="13"/>
  <c r="X687" i="13"/>
  <c r="Y686" i="13"/>
  <c r="Y687" i="13"/>
  <c r="AC685" i="13"/>
  <c r="AC686" i="13"/>
  <c r="AC687" i="13"/>
  <c r="AJ685" i="13"/>
  <c r="AJ686" i="13"/>
  <c r="AJ687" i="13"/>
  <c r="AO685" i="13"/>
  <c r="AO686" i="13"/>
  <c r="AO687" i="13"/>
  <c r="AR685" i="13"/>
  <c r="AR686" i="13"/>
  <c r="AR687" i="13"/>
  <c r="AS685" i="13"/>
  <c r="AS686" i="13"/>
  <c r="AS687" i="13"/>
  <c r="O687" i="13" l="1"/>
  <c r="S687" i="13"/>
  <c r="O686" i="13"/>
  <c r="S686" i="13"/>
  <c r="S659" i="6"/>
  <c r="N657" i="6"/>
  <c r="S657" i="6" s="1"/>
  <c r="E688" i="13"/>
  <c r="S688" i="13" s="1"/>
  <c r="X657" i="6"/>
  <c r="M153" i="16"/>
  <c r="M152" i="16"/>
  <c r="M151" i="16"/>
  <c r="N655" i="6"/>
  <c r="N656" i="6"/>
  <c r="T687" i="13"/>
  <c r="AG686" i="13" a="1"/>
  <c r="AG686" i="13" s="1"/>
  <c r="K687" i="13"/>
  <c r="H686" i="13"/>
  <c r="N654" i="6"/>
  <c r="H687" i="13"/>
  <c r="AG685" i="13" a="1"/>
  <c r="AG685" i="13" s="1"/>
  <c r="K686" i="13"/>
  <c r="AP686" i="13" s="1"/>
  <c r="G685" i="13"/>
  <c r="J685" i="13" s="1"/>
  <c r="J687" i="13"/>
  <c r="AL687" i="13"/>
  <c r="AG687" i="13" a="1"/>
  <c r="AG687" i="13" s="1"/>
  <c r="AL686" i="13"/>
  <c r="R687" i="13"/>
  <c r="P687" i="13"/>
  <c r="AH686" i="13" a="1"/>
  <c r="AH686" i="13" s="1"/>
  <c r="N686" i="13"/>
  <c r="P685" i="13"/>
  <c r="Z687" i="13"/>
  <c r="AH687" i="13" a="1"/>
  <c r="AH687" i="13" s="1"/>
  <c r="Z686" i="13"/>
  <c r="T686" i="13"/>
  <c r="P686" i="13"/>
  <c r="K685" i="13"/>
  <c r="AP685" i="13" s="1"/>
  <c r="T685" i="13"/>
  <c r="N687" i="13"/>
  <c r="AA687" i="13" l="1"/>
  <c r="AK687" i="13" s="1"/>
  <c r="G688" i="13"/>
  <c r="AL688" i="13" s="1"/>
  <c r="H688" i="13"/>
  <c r="AA688" i="13"/>
  <c r="AP687" i="13"/>
  <c r="AL685" i="13"/>
  <c r="AA686" i="13"/>
  <c r="AI686" i="13" s="1"/>
  <c r="AM686" i="13"/>
  <c r="Q686" i="13"/>
  <c r="AD686" i="13" s="1"/>
  <c r="AM687" i="13"/>
  <c r="Q687" i="13"/>
  <c r="AD687" i="13" s="1"/>
  <c r="AE687" i="13" l="1"/>
  <c r="AF687" i="13"/>
  <c r="AI687" i="13"/>
  <c r="AB687" i="13"/>
  <c r="AK688" i="13"/>
  <c r="AB688" i="13"/>
  <c r="AF688" i="13"/>
  <c r="AE688" i="13"/>
  <c r="AK686" i="13"/>
  <c r="AQ686" i="13" s="1"/>
  <c r="AF686" i="13"/>
  <c r="AE686" i="13"/>
  <c r="AB686" i="13"/>
  <c r="AQ687" i="13"/>
  <c r="D150" i="16"/>
  <c r="E150" i="16" a="1"/>
  <c r="E150" i="16" s="1"/>
  <c r="G150" i="16"/>
  <c r="H150" i="16" s="1"/>
  <c r="I150" i="16"/>
  <c r="N150" i="16"/>
  <c r="S150" i="16"/>
  <c r="U150" i="16" a="1"/>
  <c r="U150" i="16" s="1"/>
  <c r="V150" i="16"/>
  <c r="O150" i="16" l="1"/>
  <c r="O185" i="16"/>
  <c r="W150" i="16"/>
  <c r="W185" i="16"/>
  <c r="L685" i="13"/>
  <c r="O162" i="16"/>
  <c r="Y685" i="13"/>
  <c r="Z685" i="13" s="1"/>
  <c r="W162" i="16"/>
  <c r="O685" i="13"/>
  <c r="M150" i="16"/>
  <c r="R150" i="16" s="1"/>
  <c r="R651" i="6"/>
  <c r="O653" i="6"/>
  <c r="W653" i="6" s="1"/>
  <c r="O650" i="6"/>
  <c r="E650" i="6"/>
  <c r="F650" i="6" a="1"/>
  <c r="F650" i="6" s="1"/>
  <c r="H650" i="6"/>
  <c r="I650" i="6" s="1"/>
  <c r="J650" i="6"/>
  <c r="R650" i="6"/>
  <c r="T650" i="6"/>
  <c r="V650" i="6" a="1"/>
  <c r="V650" i="6" s="1"/>
  <c r="W650" i="6"/>
  <c r="E651" i="6"/>
  <c r="F651" i="6" a="1"/>
  <c r="F651" i="6" s="1"/>
  <c r="H651" i="6"/>
  <c r="I651" i="6" s="1"/>
  <c r="J651" i="6"/>
  <c r="O651" i="6"/>
  <c r="W651" i="6" s="1"/>
  <c r="T651" i="6"/>
  <c r="V651" i="6" a="1"/>
  <c r="V651" i="6" s="1"/>
  <c r="E653" i="6"/>
  <c r="F653" i="6" a="1"/>
  <c r="F653" i="6" s="1"/>
  <c r="H653" i="6"/>
  <c r="I653" i="6" s="1"/>
  <c r="J653" i="6"/>
  <c r="R653" i="6"/>
  <c r="T653" i="6"/>
  <c r="E652" i="6"/>
  <c r="F652" i="6" a="1"/>
  <c r="F652" i="6" s="1"/>
  <c r="H652" i="6"/>
  <c r="I652" i="6" s="1"/>
  <c r="J652" i="6"/>
  <c r="O652" i="6"/>
  <c r="R652" i="6"/>
  <c r="T652" i="6"/>
  <c r="V652" i="6" a="1"/>
  <c r="V652" i="6" s="1"/>
  <c r="W652" i="6"/>
  <c r="O649" i="6"/>
  <c r="R648" i="6"/>
  <c r="E649" i="6"/>
  <c r="F649" i="6" a="1"/>
  <c r="F649" i="6" s="1"/>
  <c r="H649" i="6"/>
  <c r="I649" i="6" s="1"/>
  <c r="J649" i="6"/>
  <c r="T649" i="6"/>
  <c r="W649" i="6"/>
  <c r="E648" i="6"/>
  <c r="F648" i="6" a="1"/>
  <c r="F648" i="6" s="1"/>
  <c r="H648" i="6"/>
  <c r="I648" i="6" s="1"/>
  <c r="J648" i="6"/>
  <c r="T648" i="6"/>
  <c r="W648" i="6"/>
  <c r="O647" i="6"/>
  <c r="E647" i="6"/>
  <c r="F647" i="6" a="1"/>
  <c r="F647" i="6" s="1"/>
  <c r="H647" i="6"/>
  <c r="I647" i="6" s="1"/>
  <c r="J647" i="6"/>
  <c r="R647" i="6"/>
  <c r="T647" i="6"/>
  <c r="V647" i="6" a="1"/>
  <c r="V647" i="6" s="1"/>
  <c r="W647" i="6"/>
  <c r="D149" i="16"/>
  <c r="E149" i="16" a="1"/>
  <c r="E149" i="16" s="1"/>
  <c r="G149" i="16"/>
  <c r="H149" i="16" s="1"/>
  <c r="I149" i="16"/>
  <c r="N149" i="16"/>
  <c r="V149" i="16" s="1"/>
  <c r="S149" i="16"/>
  <c r="U149" i="16" a="1"/>
  <c r="U149" i="16" s="1"/>
  <c r="D148" i="16"/>
  <c r="E148" i="16" a="1"/>
  <c r="E148" i="16" s="1"/>
  <c r="G148" i="16"/>
  <c r="H148" i="16" s="1"/>
  <c r="I148" i="16"/>
  <c r="N148" i="16"/>
  <c r="S148" i="16"/>
  <c r="U148" i="16" a="1"/>
  <c r="U148" i="16" s="1"/>
  <c r="V148" i="16"/>
  <c r="D147" i="16"/>
  <c r="E147" i="16" a="1"/>
  <c r="E147" i="16" s="1"/>
  <c r="G147" i="16"/>
  <c r="H147" i="16" s="1"/>
  <c r="I147" i="16"/>
  <c r="N147" i="16"/>
  <c r="M147" i="16" s="1"/>
  <c r="S147" i="16"/>
  <c r="U147" i="16" a="1"/>
  <c r="U147" i="16" s="1"/>
  <c r="V147" i="16"/>
  <c r="O646" i="6"/>
  <c r="E646" i="6"/>
  <c r="F646" i="6" a="1"/>
  <c r="F646" i="6" s="1"/>
  <c r="H646" i="6"/>
  <c r="I646" i="6" s="1"/>
  <c r="J646" i="6"/>
  <c r="R646" i="6"/>
  <c r="T646" i="6"/>
  <c r="V646" i="6" a="1"/>
  <c r="V646" i="6" s="1"/>
  <c r="W646" i="6"/>
  <c r="O645" i="6"/>
  <c r="E645" i="6"/>
  <c r="F645" i="6" a="1"/>
  <c r="F645" i="6" s="1"/>
  <c r="H645" i="6"/>
  <c r="I645" i="6" s="1"/>
  <c r="J645" i="6"/>
  <c r="R645" i="6"/>
  <c r="T645" i="6"/>
  <c r="V645" i="6" a="1"/>
  <c r="V645" i="6" s="1"/>
  <c r="W645" i="6"/>
  <c r="E644" i="6"/>
  <c r="F644" i="6" a="1"/>
  <c r="F644" i="6" s="1"/>
  <c r="H644" i="6"/>
  <c r="I644" i="6" s="1"/>
  <c r="J644" i="6"/>
  <c r="O644" i="6"/>
  <c r="R644" i="6"/>
  <c r="T644" i="6"/>
  <c r="V644" i="6" a="1"/>
  <c r="V644" i="6" s="1"/>
  <c r="W644" i="6"/>
  <c r="E643" i="6"/>
  <c r="F643" i="6" a="1"/>
  <c r="F643" i="6" s="1"/>
  <c r="H643" i="6"/>
  <c r="I643" i="6" s="1"/>
  <c r="J643" i="6"/>
  <c r="O643" i="6"/>
  <c r="R643" i="6"/>
  <c r="T643" i="6"/>
  <c r="V643" i="6" a="1"/>
  <c r="V643" i="6" s="1"/>
  <c r="W643" i="6"/>
  <c r="O642" i="6"/>
  <c r="E642" i="6"/>
  <c r="F642" i="6" a="1"/>
  <c r="F642" i="6" s="1"/>
  <c r="H642" i="6"/>
  <c r="I642" i="6" s="1"/>
  <c r="J642" i="6"/>
  <c r="R642" i="6"/>
  <c r="T642" i="6"/>
  <c r="V642" i="6" a="1"/>
  <c r="V642" i="6" s="1"/>
  <c r="W642" i="6"/>
  <c r="E641" i="6"/>
  <c r="F641" i="6" a="1"/>
  <c r="F641" i="6" s="1"/>
  <c r="H641" i="6"/>
  <c r="I641" i="6" s="1"/>
  <c r="J641" i="6"/>
  <c r="O641" i="6"/>
  <c r="R641" i="6"/>
  <c r="T641" i="6"/>
  <c r="V641" i="6" a="1"/>
  <c r="V641" i="6" s="1"/>
  <c r="W641" i="6"/>
  <c r="D146" i="16"/>
  <c r="E146" i="16" a="1"/>
  <c r="E146" i="16" s="1"/>
  <c r="G146" i="16"/>
  <c r="H146" i="16" s="1"/>
  <c r="I146" i="16"/>
  <c r="N146" i="16"/>
  <c r="S146" i="16"/>
  <c r="U146" i="16" a="1"/>
  <c r="U146" i="16" s="1"/>
  <c r="V146" i="16"/>
  <c r="E676" i="13"/>
  <c r="G676" i="13" s="1"/>
  <c r="AL676" i="13" s="1"/>
  <c r="E677" i="13"/>
  <c r="G677" i="13" s="1"/>
  <c r="J677" i="13" s="1"/>
  <c r="E678" i="13"/>
  <c r="H678" i="13" s="1"/>
  <c r="E679" i="13"/>
  <c r="G679" i="13" s="1"/>
  <c r="E680" i="13"/>
  <c r="AG680" i="13" s="1" a="1"/>
  <c r="AG680" i="13" s="1"/>
  <c r="E681" i="13"/>
  <c r="H681" i="13" s="1"/>
  <c r="E682" i="13"/>
  <c r="E683" i="13"/>
  <c r="G683" i="13" s="1"/>
  <c r="F676" i="13"/>
  <c r="K676" i="13" s="1"/>
  <c r="F677" i="13"/>
  <c r="K677" i="13" s="1"/>
  <c r="F678" i="13"/>
  <c r="F679" i="13"/>
  <c r="K679" i="13" s="1"/>
  <c r="F680" i="13"/>
  <c r="K680" i="13" s="1"/>
  <c r="F681" i="13"/>
  <c r="F682" i="13"/>
  <c r="F683" i="13"/>
  <c r="K683" i="13" s="1"/>
  <c r="F684" i="13"/>
  <c r="K684" i="13" s="1"/>
  <c r="L676" i="13"/>
  <c r="L677" i="13"/>
  <c r="L678" i="13"/>
  <c r="L679" i="13"/>
  <c r="L680" i="13"/>
  <c r="L681" i="13"/>
  <c r="L683" i="13"/>
  <c r="L684" i="13"/>
  <c r="M676" i="13"/>
  <c r="R676" i="13" s="1"/>
  <c r="M677" i="13"/>
  <c r="R677" i="13" s="1"/>
  <c r="M678" i="13"/>
  <c r="R678" i="13" s="1"/>
  <c r="M679" i="13"/>
  <c r="P679" i="13" s="1"/>
  <c r="M680" i="13"/>
  <c r="R680" i="13" s="1"/>
  <c r="M681" i="13"/>
  <c r="R681" i="13" s="1"/>
  <c r="M682" i="13"/>
  <c r="P682" i="13" s="1"/>
  <c r="M683" i="13"/>
  <c r="P683" i="13" s="1"/>
  <c r="M684" i="13"/>
  <c r="R684" i="13" s="1"/>
  <c r="V676" i="13"/>
  <c r="V677" i="13"/>
  <c r="V678" i="13"/>
  <c r="V679" i="13"/>
  <c r="V680" i="13"/>
  <c r="V681" i="13"/>
  <c r="V682" i="13"/>
  <c r="V683" i="13"/>
  <c r="W676" i="13"/>
  <c r="W677" i="13"/>
  <c r="W678" i="13"/>
  <c r="W679" i="13"/>
  <c r="W680" i="13"/>
  <c r="W681" i="13"/>
  <c r="W682" i="13"/>
  <c r="W683" i="13"/>
  <c r="W684" i="13"/>
  <c r="X676" i="13"/>
  <c r="X677" i="13"/>
  <c r="X678" i="13"/>
  <c r="X679" i="13"/>
  <c r="X680" i="13"/>
  <c r="X681" i="13"/>
  <c r="X682" i="13"/>
  <c r="X683" i="13"/>
  <c r="X684" i="13"/>
  <c r="Y676" i="13"/>
  <c r="Y677" i="13"/>
  <c r="Y678" i="13"/>
  <c r="Y679" i="13"/>
  <c r="Y680" i="13"/>
  <c r="Y681" i="13"/>
  <c r="Y683" i="13"/>
  <c r="Y684" i="13"/>
  <c r="AC676" i="13"/>
  <c r="AC677" i="13"/>
  <c r="AC678" i="13"/>
  <c r="AC679" i="13"/>
  <c r="AC680" i="13"/>
  <c r="AC681" i="13"/>
  <c r="AC682" i="13"/>
  <c r="AC683" i="13"/>
  <c r="AC684" i="13"/>
  <c r="AJ676" i="13"/>
  <c r="AJ677" i="13"/>
  <c r="AJ678" i="13"/>
  <c r="AJ679" i="13"/>
  <c r="AJ680" i="13"/>
  <c r="AJ681" i="13"/>
  <c r="AJ682" i="13"/>
  <c r="AJ683" i="13"/>
  <c r="AJ684" i="13"/>
  <c r="AO676" i="13"/>
  <c r="AO677" i="13"/>
  <c r="AO678" i="13"/>
  <c r="AO679" i="13"/>
  <c r="AO680" i="13"/>
  <c r="AO681" i="13"/>
  <c r="AO682" i="13"/>
  <c r="AO683" i="13"/>
  <c r="AO684" i="13"/>
  <c r="AR676" i="13"/>
  <c r="AR677" i="13"/>
  <c r="AR678" i="13"/>
  <c r="AR679" i="13"/>
  <c r="AR680" i="13"/>
  <c r="AR681" i="13"/>
  <c r="AR682" i="13"/>
  <c r="AR683" i="13"/>
  <c r="AR684" i="13"/>
  <c r="AS676" i="13"/>
  <c r="AS677" i="13"/>
  <c r="AS678" i="13"/>
  <c r="AS679" i="13"/>
  <c r="AS680" i="13"/>
  <c r="AS681" i="13"/>
  <c r="AS682" i="13"/>
  <c r="AS683" i="13"/>
  <c r="AS684" i="13"/>
  <c r="P645" i="6" l="1"/>
  <c r="P760" i="6"/>
  <c r="P642" i="6"/>
  <c r="P758" i="6"/>
  <c r="X645" i="6"/>
  <c r="X760" i="6"/>
  <c r="X642" i="6"/>
  <c r="X758" i="6"/>
  <c r="N680" i="13"/>
  <c r="AM680" i="13" s="1"/>
  <c r="S680" i="13"/>
  <c r="N676" i="13"/>
  <c r="Q676" i="13" s="1"/>
  <c r="S676" i="13"/>
  <c r="N684" i="13"/>
  <c r="AM684" i="13" s="1"/>
  <c r="AH679" i="13" a="1"/>
  <c r="AH679" i="13" s="1"/>
  <c r="S679" i="13"/>
  <c r="N683" i="13"/>
  <c r="Q683" i="13" s="1"/>
  <c r="S683" i="13"/>
  <c r="AH678" i="13" a="1"/>
  <c r="AH678" i="13" s="1"/>
  <c r="S678" i="13"/>
  <c r="O681" i="13"/>
  <c r="S681" i="13"/>
  <c r="O677" i="13"/>
  <c r="S677" i="13"/>
  <c r="N685" i="13"/>
  <c r="AM685" i="13" s="1"/>
  <c r="S685" i="13"/>
  <c r="AA685" i="13" s="1"/>
  <c r="X644" i="6"/>
  <c r="P644" i="6"/>
  <c r="W156" i="16"/>
  <c r="W170" i="16"/>
  <c r="O156" i="16"/>
  <c r="O170" i="16"/>
  <c r="Y682" i="13"/>
  <c r="Z682" i="13" s="1"/>
  <c r="O146" i="16"/>
  <c r="N679" i="13"/>
  <c r="Q679" i="13" s="1"/>
  <c r="AH683" i="13" a="1"/>
  <c r="AH683" i="13" s="1"/>
  <c r="N678" i="13"/>
  <c r="AM678" i="13" s="1"/>
  <c r="L682" i="13"/>
  <c r="S682" i="13" s="1"/>
  <c r="N650" i="6"/>
  <c r="N651" i="6"/>
  <c r="N653" i="6"/>
  <c r="N652" i="6"/>
  <c r="R649" i="6"/>
  <c r="O648" i="6"/>
  <c r="N648" i="6" s="1"/>
  <c r="N649" i="6"/>
  <c r="N647" i="6"/>
  <c r="M149" i="16"/>
  <c r="M148" i="16"/>
  <c r="N646" i="6"/>
  <c r="P678" i="13"/>
  <c r="N645" i="6"/>
  <c r="N644" i="6"/>
  <c r="H680" i="13"/>
  <c r="G682" i="13"/>
  <c r="AG678" i="13" a="1"/>
  <c r="AG678" i="13" s="1"/>
  <c r="H682" i="13"/>
  <c r="G678" i="13"/>
  <c r="J678" i="13" s="1"/>
  <c r="N643" i="6"/>
  <c r="N642" i="6"/>
  <c r="AG677" i="13" a="1"/>
  <c r="AG677" i="13" s="1"/>
  <c r="G681" i="13"/>
  <c r="J681" i="13" s="1"/>
  <c r="I684" i="13"/>
  <c r="G680" i="13"/>
  <c r="N641" i="6"/>
  <c r="AG676" i="13" a="1"/>
  <c r="AG676" i="13" s="1"/>
  <c r="I676" i="13"/>
  <c r="H676" i="13"/>
  <c r="AG681" i="13" a="1"/>
  <c r="AG681" i="13" s="1"/>
  <c r="R682" i="13"/>
  <c r="O683" i="13"/>
  <c r="H677" i="13"/>
  <c r="O679" i="13"/>
  <c r="I679" i="13"/>
  <c r="AP676" i="13"/>
  <c r="W146" i="16"/>
  <c r="O678" i="13"/>
  <c r="P677" i="13"/>
  <c r="T682" i="13"/>
  <c r="T678" i="13"/>
  <c r="R683" i="13"/>
  <c r="AP683" i="13" s="1"/>
  <c r="P681" i="13"/>
  <c r="Z680" i="13"/>
  <c r="Z676" i="13"/>
  <c r="R679" i="13"/>
  <c r="AP679" i="13" s="1"/>
  <c r="T681" i="13"/>
  <c r="M146" i="16"/>
  <c r="I680" i="13"/>
  <c r="T677" i="13"/>
  <c r="J676" i="13"/>
  <c r="I677" i="13"/>
  <c r="K681" i="13"/>
  <c r="AP681" i="13" s="1"/>
  <c r="K682" i="13"/>
  <c r="K678" i="13"/>
  <c r="AP678" i="13" s="1"/>
  <c r="AL677" i="13"/>
  <c r="AG679" i="13" a="1"/>
  <c r="AG679" i="13" s="1"/>
  <c r="Z683" i="13"/>
  <c r="Z679" i="13"/>
  <c r="AP680" i="13"/>
  <c r="I681" i="13"/>
  <c r="Z681" i="13"/>
  <c r="Z677" i="13"/>
  <c r="AG683" i="13" a="1"/>
  <c r="AG683" i="13" s="1"/>
  <c r="Z678" i="13"/>
  <c r="J683" i="13"/>
  <c r="AL683" i="13"/>
  <c r="J679" i="13"/>
  <c r="AL679" i="13"/>
  <c r="AP677" i="13"/>
  <c r="AP684" i="13"/>
  <c r="Q680" i="13"/>
  <c r="AH677" i="13" a="1"/>
  <c r="AH677" i="13" s="1"/>
  <c r="I683" i="13"/>
  <c r="T683" i="13"/>
  <c r="T679" i="13"/>
  <c r="O684" i="13"/>
  <c r="O680" i="13"/>
  <c r="O676" i="13"/>
  <c r="N681" i="13"/>
  <c r="N677" i="13"/>
  <c r="I682" i="13"/>
  <c r="I678" i="13"/>
  <c r="H683" i="13"/>
  <c r="H679" i="13"/>
  <c r="AH681" i="13" a="1"/>
  <c r="AH681" i="13" s="1"/>
  <c r="T684" i="13"/>
  <c r="T680" i="13"/>
  <c r="T676" i="13"/>
  <c r="P684" i="13"/>
  <c r="P680" i="13"/>
  <c r="P676" i="13"/>
  <c r="AH684" i="13" a="1"/>
  <c r="AH684" i="13" s="1"/>
  <c r="AH680" i="13" a="1"/>
  <c r="AH680" i="13" s="1"/>
  <c r="AH676" i="13" a="1"/>
  <c r="AH676" i="13" s="1"/>
  <c r="S645" i="6" l="1"/>
  <c r="S642" i="6"/>
  <c r="AM676" i="13"/>
  <c r="AD683" i="13"/>
  <c r="AF685" i="13"/>
  <c r="AK685" i="13"/>
  <c r="Q684" i="13"/>
  <c r="AM683" i="13"/>
  <c r="S644" i="6"/>
  <c r="AE685" i="13"/>
  <c r="AB685" i="13"/>
  <c r="R146" i="16"/>
  <c r="AM679" i="13"/>
  <c r="AD679" i="13"/>
  <c r="Q678" i="13"/>
  <c r="AD678" i="13" s="1"/>
  <c r="N682" i="13"/>
  <c r="AM682" i="13" s="1"/>
  <c r="O682" i="13"/>
  <c r="AA682" i="13"/>
  <c r="AK682" i="13" s="1"/>
  <c r="AL682" i="13"/>
  <c r="AD676" i="13"/>
  <c r="AL678" i="13"/>
  <c r="AL681" i="13"/>
  <c r="AL680" i="13"/>
  <c r="J680" i="13"/>
  <c r="AD680" i="13" s="1"/>
  <c r="AP682" i="13"/>
  <c r="AA678" i="13"/>
  <c r="AF678" i="13" s="1"/>
  <c r="AA681" i="13"/>
  <c r="AI681" i="13" s="1"/>
  <c r="AA677" i="13"/>
  <c r="AE677" i="13" s="1"/>
  <c r="AA679" i="13"/>
  <c r="AE679" i="13" s="1"/>
  <c r="AA683" i="13"/>
  <c r="AK683" i="13" s="1"/>
  <c r="AA680" i="13"/>
  <c r="AE680" i="13" s="1"/>
  <c r="Q677" i="13"/>
  <c r="AD677" i="13" s="1"/>
  <c r="AM677" i="13"/>
  <c r="Q681" i="13"/>
  <c r="AD681" i="13" s="1"/>
  <c r="AM681" i="13"/>
  <c r="AA676" i="13"/>
  <c r="AQ683" i="13" l="1"/>
  <c r="AB682" i="13"/>
  <c r="AE682" i="13"/>
  <c r="AF682" i="13"/>
  <c r="AI677" i="13"/>
  <c r="AK678" i="13"/>
  <c r="AQ678" i="13" s="1"/>
  <c r="AI679" i="13"/>
  <c r="AF677" i="13"/>
  <c r="AB677" i="13"/>
  <c r="AK677" i="13"/>
  <c r="AQ677" i="13" s="1"/>
  <c r="AI678" i="13"/>
  <c r="AB678" i="13"/>
  <c r="AB681" i="13"/>
  <c r="AK681" i="13"/>
  <c r="AQ681" i="13" s="1"/>
  <c r="AE678" i="13"/>
  <c r="AE681" i="13"/>
  <c r="AF681" i="13"/>
  <c r="AE683" i="13"/>
  <c r="AK679" i="13"/>
  <c r="AQ679" i="13" s="1"/>
  <c r="AF683" i="13"/>
  <c r="AF679" i="13"/>
  <c r="AI683" i="13"/>
  <c r="AB683" i="13"/>
  <c r="AK680" i="13"/>
  <c r="AQ680" i="13" s="1"/>
  <c r="AB679" i="13"/>
  <c r="AF680" i="13"/>
  <c r="AB680" i="13"/>
  <c r="AI680" i="13"/>
  <c r="AE676" i="13"/>
  <c r="AK676" i="13"/>
  <c r="AQ676" i="13" s="1"/>
  <c r="AI676" i="13"/>
  <c r="AB676" i="13"/>
  <c r="AF676" i="13"/>
  <c r="E639" i="6" l="1"/>
  <c r="F639" i="6" a="1"/>
  <c r="F639" i="6" s="1"/>
  <c r="H639" i="6"/>
  <c r="I639" i="6" s="1"/>
  <c r="J639" i="6"/>
  <c r="O639" i="6"/>
  <c r="P745" i="6" s="1"/>
  <c r="R639" i="6"/>
  <c r="T639" i="6"/>
  <c r="V639" i="6" a="1"/>
  <c r="V639" i="6" s="1"/>
  <c r="W639" i="6"/>
  <c r="X745" i="6" s="1"/>
  <c r="E640" i="6"/>
  <c r="F640" i="6" a="1"/>
  <c r="F640" i="6" s="1"/>
  <c r="H640" i="6"/>
  <c r="I640" i="6" s="1"/>
  <c r="J640" i="6"/>
  <c r="O640" i="6"/>
  <c r="R640" i="6"/>
  <c r="T640" i="6"/>
  <c r="W640" i="6"/>
  <c r="N145" i="16"/>
  <c r="D145" i="16"/>
  <c r="E145" i="16" a="1"/>
  <c r="E145" i="16" s="1"/>
  <c r="G145" i="16"/>
  <c r="H145" i="16" s="1"/>
  <c r="I145" i="16"/>
  <c r="S145" i="16"/>
  <c r="U145" i="16" a="1"/>
  <c r="U145" i="16" s="1"/>
  <c r="V145" i="16"/>
  <c r="E638" i="6"/>
  <c r="F638" i="6" a="1"/>
  <c r="F638" i="6" s="1"/>
  <c r="H638" i="6"/>
  <c r="I638" i="6" s="1"/>
  <c r="J638" i="6"/>
  <c r="O638" i="6"/>
  <c r="N638" i="6" s="1"/>
  <c r="R638" i="6"/>
  <c r="T638" i="6"/>
  <c r="W638" i="6"/>
  <c r="N143" i="16"/>
  <c r="D144" i="16"/>
  <c r="E144" i="16" a="1"/>
  <c r="E144" i="16" s="1"/>
  <c r="G144" i="16"/>
  <c r="H144" i="16" s="1"/>
  <c r="I144" i="16"/>
  <c r="N144" i="16"/>
  <c r="V144" i="16" s="1"/>
  <c r="S144" i="16"/>
  <c r="U144" i="16" a="1"/>
  <c r="U144" i="16" s="1"/>
  <c r="D143" i="16"/>
  <c r="E143" i="16" a="1"/>
  <c r="E143" i="16" s="1"/>
  <c r="G143" i="16"/>
  <c r="H143" i="16" s="1"/>
  <c r="I143" i="16"/>
  <c r="S143" i="16"/>
  <c r="U143" i="16" a="1"/>
  <c r="U143" i="16" s="1"/>
  <c r="V143" i="16"/>
  <c r="D142" i="16"/>
  <c r="E142" i="16" a="1"/>
  <c r="E142" i="16" s="1"/>
  <c r="G142" i="16"/>
  <c r="H142" i="16" s="1"/>
  <c r="I142" i="16"/>
  <c r="N142" i="16"/>
  <c r="V142" i="16" s="1"/>
  <c r="S142" i="16"/>
  <c r="U142" i="16" a="1"/>
  <c r="U142" i="16" s="1"/>
  <c r="D141" i="16"/>
  <c r="E141" i="16" a="1"/>
  <c r="E141" i="16" s="1"/>
  <c r="G141" i="16"/>
  <c r="H141" i="16" s="1"/>
  <c r="I141" i="16"/>
  <c r="N141" i="16"/>
  <c r="S141" i="16"/>
  <c r="U141" i="16" a="1"/>
  <c r="U141" i="16" s="1"/>
  <c r="D139" i="16"/>
  <c r="D140" i="16"/>
  <c r="E139" i="16" a="1"/>
  <c r="E139" i="16" s="1"/>
  <c r="E140" i="16" a="1"/>
  <c r="E140" i="16" s="1"/>
  <c r="G139" i="16"/>
  <c r="H139" i="16" s="1"/>
  <c r="G140" i="16"/>
  <c r="H140" i="16" s="1"/>
  <c r="I139" i="16"/>
  <c r="I140" i="16"/>
  <c r="N139" i="16"/>
  <c r="M139" i="16" s="1"/>
  <c r="N140" i="16"/>
  <c r="M140" i="16" s="1"/>
  <c r="S139" i="16"/>
  <c r="S140" i="16"/>
  <c r="U139" i="16" a="1"/>
  <c r="U139" i="16" s="1"/>
  <c r="U140" i="16" a="1"/>
  <c r="U140" i="16" s="1"/>
  <c r="V139" i="16"/>
  <c r="O637" i="6"/>
  <c r="N637" i="6" s="1"/>
  <c r="E637" i="6"/>
  <c r="F637" i="6" a="1"/>
  <c r="F637" i="6" s="1"/>
  <c r="H637" i="6"/>
  <c r="I637" i="6" s="1"/>
  <c r="J637" i="6"/>
  <c r="T637" i="6"/>
  <c r="V637" i="6" a="1"/>
  <c r="V637" i="6" s="1"/>
  <c r="W637" i="6"/>
  <c r="X637" i="6" s="1"/>
  <c r="O636" i="6"/>
  <c r="E636" i="6"/>
  <c r="F636" i="6" a="1"/>
  <c r="F636" i="6" s="1"/>
  <c r="H636" i="6"/>
  <c r="I636" i="6" s="1"/>
  <c r="J636" i="6"/>
  <c r="T636" i="6"/>
  <c r="W636" i="6"/>
  <c r="O635" i="6"/>
  <c r="E635" i="6"/>
  <c r="F635" i="6" a="1"/>
  <c r="F635" i="6" s="1"/>
  <c r="H635" i="6"/>
  <c r="I635" i="6" s="1"/>
  <c r="J635" i="6"/>
  <c r="R635" i="6"/>
  <c r="T635" i="6"/>
  <c r="U635" i="6"/>
  <c r="V635" i="6" a="1"/>
  <c r="V635" i="6" s="1"/>
  <c r="W635" i="6"/>
  <c r="O159" i="16" l="1"/>
  <c r="O183" i="16"/>
  <c r="O173" i="16"/>
  <c r="V140" i="16"/>
  <c r="P639" i="6"/>
  <c r="V141" i="16"/>
  <c r="W147" i="16" s="1"/>
  <c r="V684" i="13"/>
  <c r="Z684" i="13" s="1"/>
  <c r="E684" i="13"/>
  <c r="P637" i="6"/>
  <c r="S637" i="6" s="1"/>
  <c r="W141" i="16"/>
  <c r="O141" i="16"/>
  <c r="O147" i="16"/>
  <c r="X639" i="6"/>
  <c r="N640" i="6"/>
  <c r="N639" i="6"/>
  <c r="M145" i="16"/>
  <c r="M144" i="16"/>
  <c r="M143" i="16"/>
  <c r="M142" i="16"/>
  <c r="M141" i="16"/>
  <c r="R637" i="6"/>
  <c r="N636" i="6"/>
  <c r="R636" i="6"/>
  <c r="N635" i="6"/>
  <c r="W159" i="16" l="1"/>
  <c r="W183" i="16"/>
  <c r="W173" i="16"/>
  <c r="S639" i="6"/>
  <c r="G684" i="13"/>
  <c r="AL684" i="13" s="1"/>
  <c r="S684" i="13"/>
  <c r="AA684" i="13" s="1"/>
  <c r="AB684" i="13" s="1"/>
  <c r="H684" i="13"/>
  <c r="R141" i="16"/>
  <c r="R634" i="6"/>
  <c r="E634" i="6"/>
  <c r="F634" i="6" a="1"/>
  <c r="F634" i="6" s="1"/>
  <c r="H634" i="6"/>
  <c r="I634" i="6" s="1"/>
  <c r="J634" i="6"/>
  <c r="O634" i="6"/>
  <c r="W634" i="6" s="1"/>
  <c r="T634" i="6"/>
  <c r="V634" i="6" a="1"/>
  <c r="V634" i="6" s="1"/>
  <c r="E633" i="6"/>
  <c r="F633" i="6" a="1"/>
  <c r="F633" i="6" s="1"/>
  <c r="H633" i="6"/>
  <c r="I633" i="6" s="1"/>
  <c r="J633" i="6"/>
  <c r="O633" i="6"/>
  <c r="R633" i="6"/>
  <c r="T633" i="6"/>
  <c r="V633" i="6" a="1"/>
  <c r="V633" i="6" s="1"/>
  <c r="W633" i="6"/>
  <c r="E673" i="13"/>
  <c r="G673" i="13" s="1"/>
  <c r="E674" i="13"/>
  <c r="F673" i="13"/>
  <c r="I673" i="13" s="1"/>
  <c r="F674" i="13"/>
  <c r="F675" i="13"/>
  <c r="L673" i="13"/>
  <c r="L674" i="13"/>
  <c r="L675" i="13"/>
  <c r="M673" i="13"/>
  <c r="R673" i="13" s="1"/>
  <c r="M674" i="13"/>
  <c r="M675" i="13"/>
  <c r="P675" i="13" s="1"/>
  <c r="V673" i="13"/>
  <c r="V674" i="13"/>
  <c r="W673" i="13"/>
  <c r="W674" i="13"/>
  <c r="W675" i="13"/>
  <c r="X673" i="13"/>
  <c r="X674" i="13"/>
  <c r="X675" i="13"/>
  <c r="Y673" i="13"/>
  <c r="Y674" i="13"/>
  <c r="Y675" i="13"/>
  <c r="AC673" i="13"/>
  <c r="AC674" i="13"/>
  <c r="AC675" i="13"/>
  <c r="AJ673" i="13"/>
  <c r="AJ674" i="13"/>
  <c r="AJ675" i="13"/>
  <c r="AO673" i="13"/>
  <c r="AO674" i="13"/>
  <c r="AO675" i="13"/>
  <c r="AR673" i="13"/>
  <c r="AR674" i="13"/>
  <c r="AR675" i="13"/>
  <c r="AS673" i="13"/>
  <c r="AS674" i="13"/>
  <c r="AS675" i="13"/>
  <c r="O630" i="6"/>
  <c r="W630" i="6" s="1"/>
  <c r="E630" i="6"/>
  <c r="F630" i="6" a="1"/>
  <c r="F630" i="6" s="1"/>
  <c r="H630" i="6"/>
  <c r="I630" i="6" s="1"/>
  <c r="J630" i="6"/>
  <c r="T630" i="6"/>
  <c r="V630" i="6" a="1"/>
  <c r="V630" i="6" s="1"/>
  <c r="O632" i="6"/>
  <c r="E632" i="6"/>
  <c r="F632" i="6" a="1"/>
  <c r="F632" i="6" s="1"/>
  <c r="H632" i="6"/>
  <c r="I632" i="6" s="1"/>
  <c r="J632" i="6"/>
  <c r="T632" i="6"/>
  <c r="V632" i="6" a="1"/>
  <c r="V632" i="6" s="1"/>
  <c r="W632" i="6"/>
  <c r="O631" i="6"/>
  <c r="E631" i="6"/>
  <c r="F631" i="6" a="1"/>
  <c r="F631" i="6" s="1"/>
  <c r="H631" i="6"/>
  <c r="I631" i="6" s="1"/>
  <c r="J631" i="6"/>
  <c r="T631" i="6"/>
  <c r="V631" i="6" a="1"/>
  <c r="V631" i="6" s="1"/>
  <c r="W631" i="6"/>
  <c r="N138" i="16"/>
  <c r="D138" i="16"/>
  <c r="E138" i="16" a="1"/>
  <c r="E138" i="16" s="1"/>
  <c r="G138" i="16"/>
  <c r="H138" i="16" s="1"/>
  <c r="I138" i="16"/>
  <c r="S138" i="16"/>
  <c r="U138" i="16" a="1"/>
  <c r="U138" i="16" s="1"/>
  <c r="V138" i="16"/>
  <c r="E669" i="13"/>
  <c r="H669" i="13" s="1"/>
  <c r="E670" i="13"/>
  <c r="H670" i="13" s="1"/>
  <c r="E671" i="13"/>
  <c r="F669" i="13"/>
  <c r="I669" i="13" s="1"/>
  <c r="F670" i="13"/>
  <c r="I670" i="13" s="1"/>
  <c r="F671" i="13"/>
  <c r="F672" i="13"/>
  <c r="I672" i="13" s="1"/>
  <c r="L669" i="13"/>
  <c r="L670" i="13"/>
  <c r="L672" i="13"/>
  <c r="M669" i="13"/>
  <c r="P669" i="13" s="1"/>
  <c r="M670" i="13"/>
  <c r="R670" i="13" s="1"/>
  <c r="M671" i="13"/>
  <c r="R671" i="13" s="1"/>
  <c r="M672" i="13"/>
  <c r="R672" i="13" s="1"/>
  <c r="V669" i="13"/>
  <c r="V670" i="13"/>
  <c r="V671" i="13"/>
  <c r="W669" i="13"/>
  <c r="W670" i="13"/>
  <c r="W671" i="13"/>
  <c r="W672" i="13"/>
  <c r="X669" i="13"/>
  <c r="X670" i="13"/>
  <c r="X671" i="13"/>
  <c r="X672" i="13"/>
  <c r="Y669" i="13"/>
  <c r="Y670" i="13"/>
  <c r="Y672" i="13"/>
  <c r="AC669" i="13"/>
  <c r="AC670" i="13"/>
  <c r="AC671" i="13"/>
  <c r="AC672" i="13"/>
  <c r="AJ669" i="13"/>
  <c r="AJ670" i="13"/>
  <c r="AJ671" i="13"/>
  <c r="AJ672" i="13"/>
  <c r="AO669" i="13"/>
  <c r="AO670" i="13"/>
  <c r="AO671" i="13"/>
  <c r="AO672" i="13"/>
  <c r="AR669" i="13"/>
  <c r="AR670" i="13"/>
  <c r="AR671" i="13"/>
  <c r="AR672" i="13"/>
  <c r="AS669" i="13"/>
  <c r="AS670" i="13"/>
  <c r="AS671" i="13"/>
  <c r="AS672" i="13"/>
  <c r="O168" i="16" l="1"/>
  <c r="O192" i="16"/>
  <c r="W168" i="16"/>
  <c r="W192" i="16"/>
  <c r="S670" i="13"/>
  <c r="S669" i="13"/>
  <c r="AH672" i="13" a="1"/>
  <c r="AH672" i="13" s="1"/>
  <c r="O673" i="13"/>
  <c r="S673" i="13"/>
  <c r="O674" i="13"/>
  <c r="S674" i="13"/>
  <c r="O675" i="13"/>
  <c r="AK684" i="13"/>
  <c r="AF684" i="13"/>
  <c r="G671" i="13"/>
  <c r="AL671" i="13" s="1"/>
  <c r="AE684" i="13"/>
  <c r="G674" i="13"/>
  <c r="AL674" i="13" s="1"/>
  <c r="E675" i="13"/>
  <c r="H675" i="13" s="1"/>
  <c r="X631" i="6"/>
  <c r="W145" i="16"/>
  <c r="W154" i="16"/>
  <c r="O145" i="16"/>
  <c r="O154" i="16"/>
  <c r="W138" i="16"/>
  <c r="O138" i="16"/>
  <c r="AH675" i="13" a="1"/>
  <c r="AH675" i="13" s="1"/>
  <c r="N674" i="13"/>
  <c r="T675" i="13"/>
  <c r="R675" i="13"/>
  <c r="N673" i="13"/>
  <c r="Q673" i="13" s="1"/>
  <c r="AH673" i="13" a="1"/>
  <c r="AH673" i="13" s="1"/>
  <c r="P673" i="13"/>
  <c r="AG673" i="13" a="1"/>
  <c r="AG673" i="13" s="1"/>
  <c r="Z673" i="13"/>
  <c r="H673" i="13"/>
  <c r="H674" i="13"/>
  <c r="AL673" i="13"/>
  <c r="J673" i="13"/>
  <c r="N634" i="6"/>
  <c r="V675" i="13"/>
  <c r="Z675" i="13" s="1"/>
  <c r="N633" i="6"/>
  <c r="R630" i="6"/>
  <c r="Z674" i="13"/>
  <c r="T674" i="13"/>
  <c r="K673" i="13"/>
  <c r="AP673" i="13" s="1"/>
  <c r="I675" i="13"/>
  <c r="T673" i="13"/>
  <c r="N675" i="13"/>
  <c r="K675" i="13"/>
  <c r="G669" i="13"/>
  <c r="J669" i="13" s="1"/>
  <c r="R632" i="6"/>
  <c r="N630" i="6"/>
  <c r="N632" i="6"/>
  <c r="AG669" i="13" a="1"/>
  <c r="AG669" i="13" s="1"/>
  <c r="R631" i="6"/>
  <c r="N631" i="6"/>
  <c r="P631" i="6"/>
  <c r="G670" i="13"/>
  <c r="J670" i="13" s="1"/>
  <c r="T669" i="13"/>
  <c r="K670" i="13"/>
  <c r="AP670" i="13" s="1"/>
  <c r="K669" i="13"/>
  <c r="AG670" i="13" a="1"/>
  <c r="AG670" i="13" s="1"/>
  <c r="Z670" i="13"/>
  <c r="H671" i="13"/>
  <c r="O669" i="13"/>
  <c r="O672" i="13"/>
  <c r="P670" i="13"/>
  <c r="N672" i="13"/>
  <c r="P672" i="13"/>
  <c r="N670" i="13"/>
  <c r="T671" i="13"/>
  <c r="P671" i="13"/>
  <c r="O670" i="13"/>
  <c r="N669" i="13"/>
  <c r="T670" i="13"/>
  <c r="M138" i="16"/>
  <c r="AH670" i="13" a="1"/>
  <c r="AH670" i="13" s="1"/>
  <c r="Z669" i="13"/>
  <c r="AH669" i="13" a="1"/>
  <c r="AH669" i="13" s="1"/>
  <c r="R669" i="13"/>
  <c r="K672" i="13"/>
  <c r="AP672" i="13" s="1"/>
  <c r="T672" i="13"/>
  <c r="S675" i="13" l="1"/>
  <c r="AA675" i="13" s="1"/>
  <c r="AK675" i="13" s="1"/>
  <c r="G675" i="13"/>
  <c r="AL675" i="13" s="1"/>
  <c r="R138" i="16"/>
  <c r="AD673" i="13"/>
  <c r="AP675" i="13"/>
  <c r="AM673" i="13"/>
  <c r="AM674" i="13"/>
  <c r="S631" i="6"/>
  <c r="AA674" i="13"/>
  <c r="AL669" i="13"/>
  <c r="AA673" i="13"/>
  <c r="AM675" i="13"/>
  <c r="Q675" i="13"/>
  <c r="AL670" i="13"/>
  <c r="AA669" i="13"/>
  <c r="AB669" i="13" s="1"/>
  <c r="AP669" i="13"/>
  <c r="AA670" i="13"/>
  <c r="AE670" i="13" s="1"/>
  <c r="Q672" i="13"/>
  <c r="AM672" i="13"/>
  <c r="AM669" i="13"/>
  <c r="Q669" i="13"/>
  <c r="AD669" i="13" s="1"/>
  <c r="AM670" i="13"/>
  <c r="Q670" i="13"/>
  <c r="AD670" i="13" s="1"/>
  <c r="AF674" i="13" l="1"/>
  <c r="AE675" i="13"/>
  <c r="AF675" i="13"/>
  <c r="AB675" i="13"/>
  <c r="AB674" i="13"/>
  <c r="AK674" i="13"/>
  <c r="AE674" i="13"/>
  <c r="AE673" i="13"/>
  <c r="AK673" i="13"/>
  <c r="AQ673" i="13" s="1"/>
  <c r="AI673" i="13"/>
  <c r="AB673" i="13"/>
  <c r="AF673" i="13"/>
  <c r="AF670" i="13"/>
  <c r="AE669" i="13"/>
  <c r="AI669" i="13"/>
  <c r="AF669" i="13"/>
  <c r="AK669" i="13"/>
  <c r="AQ669" i="13" s="1"/>
  <c r="AK670" i="13"/>
  <c r="AQ670" i="13" s="1"/>
  <c r="AI670" i="13"/>
  <c r="AB670" i="13"/>
  <c r="O629" i="6"/>
  <c r="W629" i="6" s="1"/>
  <c r="E629" i="6"/>
  <c r="F629" i="6" a="1"/>
  <c r="F629" i="6" s="1"/>
  <c r="H629" i="6"/>
  <c r="I629" i="6" s="1"/>
  <c r="J629" i="6"/>
  <c r="T629" i="6"/>
  <c r="V629" i="6" a="1"/>
  <c r="V629" i="6" s="1"/>
  <c r="E628" i="6"/>
  <c r="F628" i="6" a="1"/>
  <c r="F628" i="6" s="1"/>
  <c r="H628" i="6"/>
  <c r="I628" i="6" s="1"/>
  <c r="J628" i="6"/>
  <c r="O628" i="6"/>
  <c r="R628" i="6"/>
  <c r="T628" i="6"/>
  <c r="V628" i="6" a="1"/>
  <c r="V628" i="6" s="1"/>
  <c r="W628" i="6"/>
  <c r="N136" i="16"/>
  <c r="D137" i="16"/>
  <c r="E137" i="16" a="1"/>
  <c r="E137" i="16" s="1"/>
  <c r="G137" i="16"/>
  <c r="H137" i="16" s="1"/>
  <c r="I137" i="16"/>
  <c r="N137" i="16"/>
  <c r="S137" i="16"/>
  <c r="U137" i="16" a="1"/>
  <c r="U137" i="16" s="1"/>
  <c r="D136" i="16"/>
  <c r="E136" i="16" a="1"/>
  <c r="E136" i="16" s="1"/>
  <c r="G136" i="16"/>
  <c r="H136" i="16" s="1"/>
  <c r="I136" i="16"/>
  <c r="S136" i="16"/>
  <c r="U136" i="16" a="1"/>
  <c r="U136" i="16" s="1"/>
  <c r="V136" i="16"/>
  <c r="D135" i="16"/>
  <c r="E135" i="16" a="1"/>
  <c r="E135" i="16" s="1"/>
  <c r="G135" i="16"/>
  <c r="H135" i="16" s="1"/>
  <c r="I135" i="16"/>
  <c r="N135" i="16"/>
  <c r="S135" i="16"/>
  <c r="U135" i="16" a="1"/>
  <c r="U135" i="16" s="1"/>
  <c r="V135" i="16"/>
  <c r="D134" i="16"/>
  <c r="E134" i="16" a="1"/>
  <c r="E134" i="16" s="1"/>
  <c r="G134" i="16"/>
  <c r="H134" i="16" s="1"/>
  <c r="I134" i="16"/>
  <c r="N134" i="16"/>
  <c r="M134" i="16" s="1"/>
  <c r="S134" i="16"/>
  <c r="V134" i="16"/>
  <c r="O627" i="6"/>
  <c r="E627" i="6"/>
  <c r="F627" i="6" a="1"/>
  <c r="F627" i="6" s="1"/>
  <c r="H627" i="6"/>
  <c r="I627" i="6" s="1"/>
  <c r="J627" i="6"/>
  <c r="T627" i="6"/>
  <c r="W627" i="6"/>
  <c r="R625" i="6"/>
  <c r="E625" i="6"/>
  <c r="F625" i="6" a="1"/>
  <c r="F625" i="6" s="1"/>
  <c r="H625" i="6"/>
  <c r="I625" i="6" s="1"/>
  <c r="J625" i="6"/>
  <c r="O625" i="6"/>
  <c r="T625" i="6"/>
  <c r="W625" i="6"/>
  <c r="O166" i="16" l="1"/>
  <c r="O190" i="16"/>
  <c r="V137" i="16"/>
  <c r="W190" i="16" s="1"/>
  <c r="P732" i="6"/>
  <c r="P742" i="6"/>
  <c r="X732" i="6"/>
  <c r="X742" i="6"/>
  <c r="P628" i="6"/>
  <c r="P672" i="6"/>
  <c r="P678" i="6"/>
  <c r="W151" i="16"/>
  <c r="W166" i="16"/>
  <c r="X678" i="6"/>
  <c r="X672" i="6"/>
  <c r="P630" i="6"/>
  <c r="P665" i="6"/>
  <c r="X628" i="6"/>
  <c r="X665" i="6"/>
  <c r="O142" i="16"/>
  <c r="O151" i="16"/>
  <c r="O137" i="16"/>
  <c r="M135" i="16"/>
  <c r="Y671" i="13"/>
  <c r="Z671" i="13" s="1"/>
  <c r="W142" i="16"/>
  <c r="P629" i="6"/>
  <c r="X630" i="6"/>
  <c r="N628" i="6"/>
  <c r="E672" i="13"/>
  <c r="S672" i="13" s="1"/>
  <c r="V672" i="13"/>
  <c r="Z672" i="13" s="1"/>
  <c r="X629" i="6"/>
  <c r="M137" i="16"/>
  <c r="L671" i="13"/>
  <c r="S671" i="13" s="1"/>
  <c r="R629" i="6"/>
  <c r="N629" i="6"/>
  <c r="M136" i="16"/>
  <c r="R627" i="6"/>
  <c r="N627" i="6"/>
  <c r="N625" i="6"/>
  <c r="R626" i="6"/>
  <c r="E626" i="6"/>
  <c r="F626" i="6" a="1"/>
  <c r="F626" i="6" s="1"/>
  <c r="H626" i="6"/>
  <c r="I626" i="6" s="1"/>
  <c r="J626" i="6"/>
  <c r="T626" i="6"/>
  <c r="V626" i="6" a="1"/>
  <c r="V626" i="6" s="1"/>
  <c r="W626" i="6"/>
  <c r="X626" i="6" s="1"/>
  <c r="N133" i="16"/>
  <c r="V133" i="16" s="1"/>
  <c r="D133" i="16"/>
  <c r="E133" i="16" a="1"/>
  <c r="E133" i="16" s="1"/>
  <c r="G133" i="16"/>
  <c r="H133" i="16" s="1"/>
  <c r="I133" i="16"/>
  <c r="S133" i="16"/>
  <c r="U133" i="16" a="1"/>
  <c r="U133" i="16" s="1"/>
  <c r="D132" i="16"/>
  <c r="E132" i="16" a="1"/>
  <c r="E132" i="16" s="1"/>
  <c r="G132" i="16"/>
  <c r="H132" i="16" s="1"/>
  <c r="I132" i="16"/>
  <c r="N132" i="16"/>
  <c r="S132" i="16"/>
  <c r="U132" i="16" a="1"/>
  <c r="U132" i="16" s="1"/>
  <c r="V132" i="16"/>
  <c r="O623" i="6"/>
  <c r="E624" i="6"/>
  <c r="F624" i="6" a="1"/>
  <c r="F624" i="6" s="1"/>
  <c r="H624" i="6"/>
  <c r="I624" i="6" s="1"/>
  <c r="J624" i="6"/>
  <c r="O624" i="6"/>
  <c r="R624" i="6"/>
  <c r="T624" i="6"/>
  <c r="W624" i="6"/>
  <c r="E623" i="6"/>
  <c r="F623" i="6" a="1"/>
  <c r="F623" i="6" s="1"/>
  <c r="H623" i="6"/>
  <c r="I623" i="6" s="1"/>
  <c r="J623" i="6"/>
  <c r="R623" i="6"/>
  <c r="T623" i="6"/>
  <c r="W623" i="6"/>
  <c r="O622" i="6"/>
  <c r="E622" i="6"/>
  <c r="F622" i="6" a="1"/>
  <c r="F622" i="6" s="1"/>
  <c r="H622" i="6"/>
  <c r="I622" i="6" s="1"/>
  <c r="J622" i="6"/>
  <c r="T622" i="6"/>
  <c r="W622" i="6"/>
  <c r="D131" i="16"/>
  <c r="E131" i="16" a="1"/>
  <c r="E131" i="16" s="1"/>
  <c r="G131" i="16"/>
  <c r="H131" i="16" s="1"/>
  <c r="I131" i="16"/>
  <c r="N131" i="16"/>
  <c r="O187" i="16" s="1"/>
  <c r="S131" i="16"/>
  <c r="U131" i="16" a="1"/>
  <c r="U131" i="16" s="1"/>
  <c r="D130" i="16"/>
  <c r="E130" i="16" a="1"/>
  <c r="E130" i="16" s="1"/>
  <c r="G130" i="16"/>
  <c r="H130" i="16" s="1"/>
  <c r="I130" i="16"/>
  <c r="N130" i="16"/>
  <c r="S130" i="16"/>
  <c r="U130" i="16" a="1"/>
  <c r="U130" i="16" s="1"/>
  <c r="V130" i="16"/>
  <c r="O621" i="6"/>
  <c r="P740" i="6" s="1"/>
  <c r="E621" i="6"/>
  <c r="F621" i="6" a="1"/>
  <c r="F621" i="6" s="1"/>
  <c r="H621" i="6"/>
  <c r="I621" i="6" s="1"/>
  <c r="J621" i="6"/>
  <c r="T621" i="6"/>
  <c r="V621" i="6" a="1"/>
  <c r="V621" i="6" s="1"/>
  <c r="E663" i="13"/>
  <c r="H663" i="13" s="1"/>
  <c r="E665" i="13"/>
  <c r="AG665" i="13" s="1" a="1"/>
  <c r="AG665" i="13" s="1"/>
  <c r="E666" i="13"/>
  <c r="AG666" i="13" s="1" a="1"/>
  <c r="AG666" i="13" s="1"/>
  <c r="E667" i="13"/>
  <c r="H667" i="13" s="1"/>
  <c r="E668" i="13"/>
  <c r="AG668" i="13" s="1" a="1"/>
  <c r="AG668" i="13" s="1"/>
  <c r="F663" i="13"/>
  <c r="I663" i="13" s="1"/>
  <c r="F664" i="13"/>
  <c r="F665" i="13"/>
  <c r="K665" i="13" s="1"/>
  <c r="F666" i="13"/>
  <c r="I666" i="13" s="1"/>
  <c r="F667" i="13"/>
  <c r="K667" i="13" s="1"/>
  <c r="F668" i="13"/>
  <c r="I668" i="13" s="1"/>
  <c r="L663" i="13"/>
  <c r="L664" i="13"/>
  <c r="L665" i="13"/>
  <c r="L666" i="13"/>
  <c r="L667" i="13"/>
  <c r="L668" i="13"/>
  <c r="M663" i="13"/>
  <c r="R663" i="13" s="1"/>
  <c r="M664" i="13"/>
  <c r="R664" i="13" s="1"/>
  <c r="M665" i="13"/>
  <c r="P665" i="13" s="1"/>
  <c r="M666" i="13"/>
  <c r="P666" i="13" s="1"/>
  <c r="M667" i="13"/>
  <c r="P667" i="13" s="1"/>
  <c r="M668" i="13"/>
  <c r="P668" i="13" s="1"/>
  <c r="V663" i="13"/>
  <c r="V665" i="13"/>
  <c r="V666" i="13"/>
  <c r="V667" i="13"/>
  <c r="V668" i="13"/>
  <c r="W663" i="13"/>
  <c r="W664" i="13"/>
  <c r="W665" i="13"/>
  <c r="W666" i="13"/>
  <c r="W667" i="13"/>
  <c r="W668" i="13"/>
  <c r="X663" i="13"/>
  <c r="X664" i="13"/>
  <c r="X665" i="13"/>
  <c r="X666" i="13"/>
  <c r="X667" i="13"/>
  <c r="X668" i="13"/>
  <c r="Y663" i="13"/>
  <c r="Y664" i="13"/>
  <c r="Y665" i="13"/>
  <c r="Y666" i="13"/>
  <c r="Y667" i="13"/>
  <c r="Y668" i="13"/>
  <c r="AC663" i="13"/>
  <c r="AC664" i="13"/>
  <c r="AC665" i="13"/>
  <c r="AC666" i="13"/>
  <c r="AC667" i="13"/>
  <c r="AC668" i="13"/>
  <c r="AJ663" i="13"/>
  <c r="AJ664" i="13"/>
  <c r="AJ665" i="13"/>
  <c r="AJ666" i="13"/>
  <c r="AJ667" i="13"/>
  <c r="AJ668" i="13"/>
  <c r="AO663" i="13"/>
  <c r="AO664" i="13"/>
  <c r="AO665" i="13"/>
  <c r="AO666" i="13"/>
  <c r="AO667" i="13"/>
  <c r="AO668" i="13"/>
  <c r="AR663" i="13"/>
  <c r="AR664" i="13"/>
  <c r="AR665" i="13"/>
  <c r="AR666" i="13"/>
  <c r="AR667" i="13"/>
  <c r="AR668" i="13"/>
  <c r="AS663" i="13"/>
  <c r="AS664" i="13"/>
  <c r="AS665" i="13"/>
  <c r="AS666" i="13"/>
  <c r="AS667" i="13"/>
  <c r="AS668" i="13"/>
  <c r="W137" i="16" l="1"/>
  <c r="W621" i="6"/>
  <c r="X740" i="6" s="1"/>
  <c r="S628" i="6"/>
  <c r="AH667" i="13" a="1"/>
  <c r="AH667" i="13" s="1"/>
  <c r="S667" i="13"/>
  <c r="O663" i="13"/>
  <c r="S663" i="13"/>
  <c r="O666" i="13"/>
  <c r="S666" i="13"/>
  <c r="O665" i="13"/>
  <c r="S665" i="13"/>
  <c r="AH668" i="13" a="1"/>
  <c r="AH668" i="13" s="1"/>
  <c r="S668" i="13"/>
  <c r="AH664" i="13" a="1"/>
  <c r="AH664" i="13" s="1"/>
  <c r="X621" i="6"/>
  <c r="V131" i="16"/>
  <c r="O165" i="16"/>
  <c r="O144" i="16"/>
  <c r="O153" i="16"/>
  <c r="R137" i="16"/>
  <c r="AA672" i="13"/>
  <c r="H672" i="13"/>
  <c r="G672" i="13"/>
  <c r="AL672" i="13" s="1"/>
  <c r="AA671" i="13"/>
  <c r="N671" i="13"/>
  <c r="AM671" i="13" s="1"/>
  <c r="O671" i="13"/>
  <c r="O131" i="16"/>
  <c r="O135" i="16"/>
  <c r="O626" i="6"/>
  <c r="N665" i="13"/>
  <c r="Q665" i="13" s="1"/>
  <c r="N664" i="13"/>
  <c r="Q664" i="13" s="1"/>
  <c r="M133" i="16"/>
  <c r="N668" i="13"/>
  <c r="Q668" i="13" s="1"/>
  <c r="N666" i="13"/>
  <c r="Q666" i="13" s="1"/>
  <c r="N667" i="13"/>
  <c r="AM667" i="13" s="1"/>
  <c r="N663" i="13"/>
  <c r="Q663" i="13" s="1"/>
  <c r="M132" i="16"/>
  <c r="N624" i="6"/>
  <c r="N623" i="6"/>
  <c r="R622" i="6"/>
  <c r="N622" i="6"/>
  <c r="AG667" i="13" a="1"/>
  <c r="AG667" i="13" s="1"/>
  <c r="AG663" i="13" a="1"/>
  <c r="AG663" i="13" s="1"/>
  <c r="G668" i="13"/>
  <c r="AL668" i="13" s="1"/>
  <c r="G663" i="13"/>
  <c r="J663" i="13" s="1"/>
  <c r="AH666" i="13" a="1"/>
  <c r="AH666" i="13" s="1"/>
  <c r="R668" i="13"/>
  <c r="P664" i="13"/>
  <c r="P663" i="13"/>
  <c r="M131" i="16"/>
  <c r="AH663" i="13" a="1"/>
  <c r="AH663" i="13" s="1"/>
  <c r="R667" i="13"/>
  <c r="AP667" i="13" s="1"/>
  <c r="O667" i="13"/>
  <c r="M130" i="16"/>
  <c r="R665" i="13"/>
  <c r="AP665" i="13" s="1"/>
  <c r="G665" i="13"/>
  <c r="AL665" i="13" s="1"/>
  <c r="AH665" i="13" a="1"/>
  <c r="AH665" i="13" s="1"/>
  <c r="Z665" i="13"/>
  <c r="G667" i="13"/>
  <c r="J667" i="13" s="1"/>
  <c r="G666" i="13"/>
  <c r="Z667" i="13"/>
  <c r="Z663" i="13"/>
  <c r="P621" i="6"/>
  <c r="E664" i="13"/>
  <c r="S664" i="13" s="1"/>
  <c r="K666" i="13"/>
  <c r="H668" i="13"/>
  <c r="R621" i="6"/>
  <c r="Z666" i="13"/>
  <c r="Z668" i="13"/>
  <c r="I665" i="13"/>
  <c r="T665" i="13"/>
  <c r="T664" i="13"/>
  <c r="N621" i="6"/>
  <c r="I667" i="13"/>
  <c r="T668" i="13"/>
  <c r="T663" i="13"/>
  <c r="K663" i="13"/>
  <c r="AP663" i="13" s="1"/>
  <c r="H665" i="13"/>
  <c r="T667" i="13"/>
  <c r="T666" i="13"/>
  <c r="R666" i="13"/>
  <c r="O668" i="13"/>
  <c r="O664" i="13"/>
  <c r="K668" i="13"/>
  <c r="H666" i="13"/>
  <c r="W165" i="16" l="1"/>
  <c r="W187" i="16"/>
  <c r="V664" i="13"/>
  <c r="Z664" i="13" s="1"/>
  <c r="W131" i="16"/>
  <c r="W153" i="16"/>
  <c r="W135" i="16"/>
  <c r="W144" i="16"/>
  <c r="AE672" i="13"/>
  <c r="AK672" i="13"/>
  <c r="AF672" i="13"/>
  <c r="AB672" i="13"/>
  <c r="AE671" i="13"/>
  <c r="AK671" i="13"/>
  <c r="AF671" i="13"/>
  <c r="AB671" i="13"/>
  <c r="R131" i="16"/>
  <c r="AM663" i="13"/>
  <c r="N626" i="6"/>
  <c r="P626" i="6"/>
  <c r="AM665" i="13"/>
  <c r="AM664" i="13"/>
  <c r="AD663" i="13"/>
  <c r="AM666" i="13"/>
  <c r="AM668" i="13"/>
  <c r="Q667" i="13"/>
  <c r="AD667" i="13" s="1"/>
  <c r="AL667" i="13"/>
  <c r="J665" i="13"/>
  <c r="AD665" i="13" s="1"/>
  <c r="J668" i="13"/>
  <c r="AD668" i="13" s="1"/>
  <c r="AA663" i="13"/>
  <c r="AI663" i="13" s="1"/>
  <c r="AL663" i="13"/>
  <c r="AP668" i="13"/>
  <c r="AA666" i="13"/>
  <c r="AB666" i="13" s="1"/>
  <c r="AA667" i="13"/>
  <c r="AF667" i="13" s="1"/>
  <c r="J666" i="13"/>
  <c r="AD666" i="13" s="1"/>
  <c r="AL666" i="13"/>
  <c r="S621" i="6"/>
  <c r="AP666" i="13"/>
  <c r="AA664" i="13"/>
  <c r="AK664" i="13" s="1"/>
  <c r="H664" i="13"/>
  <c r="G664" i="13"/>
  <c r="AA668" i="13"/>
  <c r="AE668" i="13" s="1"/>
  <c r="AA665" i="13"/>
  <c r="AF665" i="13" s="1"/>
  <c r="S626" i="6" l="1"/>
  <c r="AK666" i="13"/>
  <c r="AQ666" i="13" s="1"/>
  <c r="AF663" i="13"/>
  <c r="AK663" i="13"/>
  <c r="AQ663" i="13" s="1"/>
  <c r="AB663" i="13"/>
  <c r="AE663" i="13"/>
  <c r="AF664" i="13"/>
  <c r="AE667" i="13"/>
  <c r="AF666" i="13"/>
  <c r="AI667" i="13"/>
  <c r="AI666" i="13"/>
  <c r="AE666" i="13"/>
  <c r="AB664" i="13"/>
  <c r="AK665" i="13"/>
  <c r="AQ665" i="13" s="1"/>
  <c r="AK667" i="13"/>
  <c r="AQ667" i="13" s="1"/>
  <c r="AI668" i="13"/>
  <c r="AB667" i="13"/>
  <c r="AF668" i="13"/>
  <c r="AB668" i="13"/>
  <c r="AK668" i="13"/>
  <c r="AQ668" i="13" s="1"/>
  <c r="AL664" i="13"/>
  <c r="AE664" i="13"/>
  <c r="AI665" i="13"/>
  <c r="AE665" i="13"/>
  <c r="AB665" i="13"/>
  <c r="D129" i="16" l="1"/>
  <c r="E129" i="16" a="1"/>
  <c r="E129" i="16" s="1"/>
  <c r="G129" i="16"/>
  <c r="H129" i="16" s="1"/>
  <c r="I129" i="16"/>
  <c r="N129" i="16"/>
  <c r="S129" i="16"/>
  <c r="U129" i="16" a="1"/>
  <c r="U129" i="16" s="1"/>
  <c r="V129" i="16"/>
  <c r="D128" i="16"/>
  <c r="E128" i="16" a="1"/>
  <c r="E128" i="16" s="1"/>
  <c r="G128" i="16"/>
  <c r="H128" i="16" s="1"/>
  <c r="I128" i="16"/>
  <c r="N128" i="16"/>
  <c r="V128" i="16" s="1"/>
  <c r="S128" i="16"/>
  <c r="U128" i="16" a="1"/>
  <c r="U128" i="16" s="1"/>
  <c r="O618" i="6"/>
  <c r="W618" i="6" s="1"/>
  <c r="O617" i="6"/>
  <c r="E617" i="6"/>
  <c r="F617" i="6" a="1"/>
  <c r="F617" i="6" s="1"/>
  <c r="H617" i="6"/>
  <c r="I617" i="6" s="1"/>
  <c r="J617" i="6"/>
  <c r="T617" i="6"/>
  <c r="W617" i="6"/>
  <c r="E618" i="6"/>
  <c r="F618" i="6" a="1"/>
  <c r="F618" i="6" s="1"/>
  <c r="H618" i="6"/>
  <c r="I618" i="6" s="1"/>
  <c r="J618" i="6"/>
  <c r="T618" i="6"/>
  <c r="E620" i="6"/>
  <c r="F620" i="6" a="1"/>
  <c r="F620" i="6" s="1"/>
  <c r="H620" i="6"/>
  <c r="I620" i="6" s="1"/>
  <c r="J620" i="6"/>
  <c r="O620" i="6"/>
  <c r="N620" i="6" s="1"/>
  <c r="R620" i="6"/>
  <c r="T620" i="6"/>
  <c r="W620" i="6"/>
  <c r="E619" i="6"/>
  <c r="F619" i="6" a="1"/>
  <c r="F619" i="6" s="1"/>
  <c r="H619" i="6"/>
  <c r="I619" i="6" s="1"/>
  <c r="J619" i="6"/>
  <c r="O619" i="6"/>
  <c r="N619" i="6" s="1"/>
  <c r="R619" i="6"/>
  <c r="T619" i="6"/>
  <c r="W619" i="6"/>
  <c r="O616" i="6"/>
  <c r="E616" i="6"/>
  <c r="F616" i="6" a="1"/>
  <c r="F616" i="6" s="1"/>
  <c r="H616" i="6"/>
  <c r="I616" i="6" s="1"/>
  <c r="J616" i="6"/>
  <c r="R616" i="6"/>
  <c r="T616" i="6"/>
  <c r="W616" i="6"/>
  <c r="E615" i="6"/>
  <c r="F615" i="6" a="1"/>
  <c r="F615" i="6" s="1"/>
  <c r="H615" i="6"/>
  <c r="I615" i="6" s="1"/>
  <c r="J615" i="6"/>
  <c r="O615" i="6"/>
  <c r="R615" i="6"/>
  <c r="T615" i="6"/>
  <c r="W615" i="6"/>
  <c r="N127" i="16"/>
  <c r="D127" i="16"/>
  <c r="E127" i="16" a="1"/>
  <c r="E127" i="16" s="1"/>
  <c r="G127" i="16"/>
  <c r="H127" i="16" s="1"/>
  <c r="I127" i="16"/>
  <c r="S127" i="16"/>
  <c r="U127" i="16" a="1"/>
  <c r="U127" i="16" s="1"/>
  <c r="V127" i="16"/>
  <c r="R614" i="6"/>
  <c r="E614" i="6"/>
  <c r="F614" i="6" a="1"/>
  <c r="F614" i="6" s="1"/>
  <c r="H614" i="6"/>
  <c r="I614" i="6" s="1"/>
  <c r="J614" i="6"/>
  <c r="O614" i="6"/>
  <c r="T614" i="6"/>
  <c r="W614" i="6"/>
  <c r="E613" i="6"/>
  <c r="F613" i="6" a="1"/>
  <c r="F613" i="6" s="1"/>
  <c r="H613" i="6"/>
  <c r="I613" i="6" s="1"/>
  <c r="J613" i="6"/>
  <c r="O613" i="6"/>
  <c r="N613" i="6" s="1"/>
  <c r="R613" i="6"/>
  <c r="T613" i="6"/>
  <c r="W613" i="6"/>
  <c r="O612" i="6"/>
  <c r="E612" i="6"/>
  <c r="F612" i="6" a="1"/>
  <c r="F612" i="6" s="1"/>
  <c r="H612" i="6"/>
  <c r="I612" i="6" s="1"/>
  <c r="J612" i="6"/>
  <c r="R612" i="6"/>
  <c r="T612" i="6"/>
  <c r="V612" i="6" a="1"/>
  <c r="V612" i="6" s="1"/>
  <c r="W612" i="6"/>
  <c r="E611" i="6"/>
  <c r="F611" i="6" a="1"/>
  <c r="F611" i="6" s="1"/>
  <c r="H611" i="6"/>
  <c r="I611" i="6" s="1"/>
  <c r="J611" i="6"/>
  <c r="O611" i="6"/>
  <c r="R611" i="6"/>
  <c r="T611" i="6"/>
  <c r="V611" i="6" a="1"/>
  <c r="V611" i="6" s="1"/>
  <c r="W611" i="6"/>
  <c r="O604" i="6"/>
  <c r="P738" i="6" s="1"/>
  <c r="E604" i="6"/>
  <c r="F604" i="6" a="1"/>
  <c r="F604" i="6" s="1"/>
  <c r="H604" i="6"/>
  <c r="I604" i="6" s="1"/>
  <c r="J604" i="6"/>
  <c r="T604" i="6"/>
  <c r="V604" i="6" a="1"/>
  <c r="V604" i="6" s="1"/>
  <c r="F661" i="13"/>
  <c r="F662" i="13"/>
  <c r="I662" i="13" s="1"/>
  <c r="L661" i="13"/>
  <c r="L662" i="13"/>
  <c r="M661" i="13"/>
  <c r="P661" i="13" s="1"/>
  <c r="M662" i="13"/>
  <c r="R662" i="13" s="1"/>
  <c r="W661" i="13"/>
  <c r="W662" i="13"/>
  <c r="X661" i="13"/>
  <c r="X662" i="13"/>
  <c r="Y661" i="13"/>
  <c r="Y662" i="13"/>
  <c r="AC661" i="13"/>
  <c r="AC662" i="13"/>
  <c r="AJ661" i="13"/>
  <c r="AJ662" i="13"/>
  <c r="AO661" i="13"/>
  <c r="AO662" i="13"/>
  <c r="AR661" i="13"/>
  <c r="AR662" i="13"/>
  <c r="AS661" i="13"/>
  <c r="AS662" i="13"/>
  <c r="W604" i="6" l="1"/>
  <c r="X738" i="6" s="1"/>
  <c r="N612" i="6"/>
  <c r="P734" i="6"/>
  <c r="X612" i="6"/>
  <c r="X734" i="6"/>
  <c r="O662" i="13"/>
  <c r="O661" i="13"/>
  <c r="N611" i="6"/>
  <c r="P746" i="6"/>
  <c r="X611" i="6"/>
  <c r="N615" i="6"/>
  <c r="M129" i="16"/>
  <c r="M128" i="16"/>
  <c r="N662" i="13"/>
  <c r="Q662" i="13" s="1"/>
  <c r="R618" i="6"/>
  <c r="R617" i="6"/>
  <c r="N617" i="6"/>
  <c r="N618" i="6"/>
  <c r="P611" i="6"/>
  <c r="N616" i="6"/>
  <c r="AH661" i="13" a="1"/>
  <c r="AH661" i="13" s="1"/>
  <c r="N661" i="13"/>
  <c r="M127" i="16"/>
  <c r="P612" i="6"/>
  <c r="N614" i="6"/>
  <c r="P662" i="13"/>
  <c r="AH662" i="13" a="1"/>
  <c r="AH662" i="13" s="1"/>
  <c r="R661" i="13"/>
  <c r="V661" i="13"/>
  <c r="Z661" i="13" s="1"/>
  <c r="R604" i="6"/>
  <c r="N604" i="6"/>
  <c r="E661" i="13"/>
  <c r="G661" i="13" s="1"/>
  <c r="P604" i="6"/>
  <c r="T662" i="13"/>
  <c r="T661" i="13"/>
  <c r="K662" i="13"/>
  <c r="AP662" i="13" s="1"/>
  <c r="X604" i="6" l="1"/>
  <c r="S612" i="6"/>
  <c r="S611" i="6"/>
  <c r="S661" i="13"/>
  <c r="AA661" i="13" s="1"/>
  <c r="AF661" i="13" s="1"/>
  <c r="AM662" i="13"/>
  <c r="AM661" i="13"/>
  <c r="Q661" i="13"/>
  <c r="S604" i="6"/>
  <c r="AL661" i="13"/>
  <c r="H661" i="13"/>
  <c r="R605" i="6"/>
  <c r="O606" i="6"/>
  <c r="N606" i="6" s="1"/>
  <c r="R607" i="6"/>
  <c r="O608" i="6"/>
  <c r="R609" i="6"/>
  <c r="O610" i="6"/>
  <c r="O602" i="6"/>
  <c r="N602" i="6" s="1"/>
  <c r="E610" i="6"/>
  <c r="F610" i="6" a="1"/>
  <c r="F610" i="6" s="1"/>
  <c r="H610" i="6"/>
  <c r="I610" i="6" s="1"/>
  <c r="J610" i="6"/>
  <c r="T610" i="6"/>
  <c r="W610" i="6"/>
  <c r="E609" i="6"/>
  <c r="F609" i="6" a="1"/>
  <c r="F609" i="6" s="1"/>
  <c r="H609" i="6"/>
  <c r="I609" i="6" s="1"/>
  <c r="J609" i="6"/>
  <c r="T609" i="6"/>
  <c r="V609" i="6" a="1"/>
  <c r="V609" i="6" s="1"/>
  <c r="W609" i="6"/>
  <c r="E608" i="6"/>
  <c r="F608" i="6" a="1"/>
  <c r="F608" i="6" s="1"/>
  <c r="H608" i="6"/>
  <c r="I608" i="6" s="1"/>
  <c r="J608" i="6"/>
  <c r="R608" i="6"/>
  <c r="T608" i="6"/>
  <c r="V608" i="6" a="1"/>
  <c r="V608" i="6" s="1"/>
  <c r="W608" i="6"/>
  <c r="E607" i="6"/>
  <c r="F607" i="6" a="1"/>
  <c r="F607" i="6" s="1"/>
  <c r="H607" i="6"/>
  <c r="I607" i="6" s="1"/>
  <c r="J607" i="6"/>
  <c r="T607" i="6"/>
  <c r="V607" i="6" a="1"/>
  <c r="V607" i="6" s="1"/>
  <c r="E606" i="6"/>
  <c r="F606" i="6" a="1"/>
  <c r="F606" i="6" s="1"/>
  <c r="H606" i="6"/>
  <c r="I606" i="6" s="1"/>
  <c r="J606" i="6"/>
  <c r="T606" i="6"/>
  <c r="V606" i="6" a="1"/>
  <c r="V606" i="6" s="1"/>
  <c r="W606" i="6"/>
  <c r="E605" i="6"/>
  <c r="F605" i="6" a="1"/>
  <c r="F605" i="6" s="1"/>
  <c r="H605" i="6"/>
  <c r="I605" i="6" s="1"/>
  <c r="J605" i="6"/>
  <c r="T605" i="6"/>
  <c r="V605" i="6" a="1"/>
  <c r="V605" i="6" s="1"/>
  <c r="W605" i="6"/>
  <c r="E603" i="6"/>
  <c r="F603" i="6" a="1"/>
  <c r="F603" i="6" s="1"/>
  <c r="H603" i="6"/>
  <c r="I603" i="6" s="1"/>
  <c r="J603" i="6"/>
  <c r="O603" i="6"/>
  <c r="N603" i="6" s="1"/>
  <c r="R603" i="6"/>
  <c r="T603" i="6"/>
  <c r="V603" i="6" a="1"/>
  <c r="V603" i="6" s="1"/>
  <c r="W603" i="6"/>
  <c r="E602" i="6"/>
  <c r="F602" i="6" a="1"/>
  <c r="F602" i="6" s="1"/>
  <c r="H602" i="6"/>
  <c r="I602" i="6" s="1"/>
  <c r="J602" i="6"/>
  <c r="T602" i="6"/>
  <c r="W602" i="6"/>
  <c r="X739" i="6" l="1"/>
  <c r="X748" i="6"/>
  <c r="R602" i="6"/>
  <c r="X606" i="6"/>
  <c r="AE661" i="13"/>
  <c r="AB661" i="13"/>
  <c r="R606" i="6"/>
  <c r="AK661" i="13"/>
  <c r="O605" i="6"/>
  <c r="V662" i="13"/>
  <c r="Z662" i="13" s="1"/>
  <c r="R610" i="6"/>
  <c r="O609" i="6"/>
  <c r="X605" i="6"/>
  <c r="O607" i="6"/>
  <c r="W607" i="6" s="1"/>
  <c r="X607" i="6" s="1"/>
  <c r="N610" i="6"/>
  <c r="N608" i="6"/>
  <c r="E601" i="6"/>
  <c r="F601" i="6" a="1"/>
  <c r="F601" i="6" s="1"/>
  <c r="H601" i="6"/>
  <c r="I601" i="6" s="1"/>
  <c r="J601" i="6"/>
  <c r="O601" i="6"/>
  <c r="P767" i="6" s="1"/>
  <c r="R601" i="6"/>
  <c r="T601" i="6"/>
  <c r="V601" i="6" a="1"/>
  <c r="V601" i="6" s="1"/>
  <c r="W601" i="6"/>
  <c r="X767" i="6" s="1"/>
  <c r="E658" i="13"/>
  <c r="H658" i="13" s="1"/>
  <c r="E659" i="13"/>
  <c r="AG659" i="13" s="1" a="1"/>
  <c r="AG659" i="13" s="1"/>
  <c r="E660" i="13"/>
  <c r="G660" i="13" s="1"/>
  <c r="F657" i="13"/>
  <c r="F658" i="13"/>
  <c r="I658" i="13" s="1"/>
  <c r="F659" i="13"/>
  <c r="I659" i="13" s="1"/>
  <c r="F660" i="13"/>
  <c r="K660" i="13" s="1"/>
  <c r="L657" i="13"/>
  <c r="L658" i="13"/>
  <c r="L659" i="13"/>
  <c r="L660" i="13"/>
  <c r="M657" i="13"/>
  <c r="P657" i="13" s="1"/>
  <c r="M658" i="13"/>
  <c r="P658" i="13" s="1"/>
  <c r="M659" i="13"/>
  <c r="P659" i="13" s="1"/>
  <c r="M660" i="13"/>
  <c r="P660" i="13" s="1"/>
  <c r="V658" i="13"/>
  <c r="V659" i="13"/>
  <c r="V660" i="13"/>
  <c r="W657" i="13"/>
  <c r="W658" i="13"/>
  <c r="W659" i="13"/>
  <c r="W660" i="13"/>
  <c r="X657" i="13"/>
  <c r="X658" i="13"/>
  <c r="X659" i="13"/>
  <c r="X660" i="13"/>
  <c r="Y657" i="13"/>
  <c r="Y658" i="13"/>
  <c r="Y659" i="13"/>
  <c r="Y660" i="13"/>
  <c r="AC657" i="13"/>
  <c r="AC658" i="13"/>
  <c r="AC659" i="13"/>
  <c r="AC660" i="13"/>
  <c r="AJ657" i="13"/>
  <c r="AJ658" i="13"/>
  <c r="AJ659" i="13"/>
  <c r="AJ660" i="13"/>
  <c r="AO657" i="13"/>
  <c r="AO658" i="13"/>
  <c r="AO659" i="13"/>
  <c r="AO660" i="13"/>
  <c r="AR657" i="13"/>
  <c r="AR658" i="13"/>
  <c r="AR659" i="13"/>
  <c r="AR660" i="13"/>
  <c r="AS657" i="13"/>
  <c r="AS658" i="13"/>
  <c r="AS659" i="13"/>
  <c r="AS660" i="13"/>
  <c r="P680" i="6" l="1"/>
  <c r="P754" i="6"/>
  <c r="X680" i="6"/>
  <c r="X754" i="6"/>
  <c r="P605" i="6"/>
  <c r="P739" i="6"/>
  <c r="P606" i="6"/>
  <c r="S659" i="13"/>
  <c r="O657" i="13"/>
  <c r="AH660" i="13" a="1"/>
  <c r="AH660" i="13" s="1"/>
  <c r="S660" i="13"/>
  <c r="AH658" i="13" a="1"/>
  <c r="AH658" i="13" s="1"/>
  <c r="S658" i="13"/>
  <c r="N601" i="6"/>
  <c r="P634" i="6"/>
  <c r="X601" i="6"/>
  <c r="X634" i="6"/>
  <c r="N657" i="13"/>
  <c r="AM657" i="13" s="1"/>
  <c r="P601" i="6"/>
  <c r="R657" i="13"/>
  <c r="N609" i="6"/>
  <c r="R658" i="13"/>
  <c r="AH657" i="13" a="1"/>
  <c r="AH657" i="13" s="1"/>
  <c r="O660" i="13"/>
  <c r="E662" i="13"/>
  <c r="N605" i="6"/>
  <c r="R660" i="13"/>
  <c r="AP660" i="13" s="1"/>
  <c r="N660" i="13"/>
  <c r="AM660" i="13" s="1"/>
  <c r="N607" i="6"/>
  <c r="P607" i="6"/>
  <c r="R659" i="13"/>
  <c r="O659" i="13"/>
  <c r="N659" i="13"/>
  <c r="O658" i="13"/>
  <c r="N658" i="13"/>
  <c r="T660" i="13"/>
  <c r="T657" i="13"/>
  <c r="Z659" i="13"/>
  <c r="K659" i="13"/>
  <c r="Z658" i="13"/>
  <c r="AG658" i="13" a="1"/>
  <c r="AG658" i="13" s="1"/>
  <c r="K658" i="13"/>
  <c r="G658" i="13"/>
  <c r="Z660" i="13"/>
  <c r="G659" i="13"/>
  <c r="H659" i="13"/>
  <c r="T659" i="13"/>
  <c r="T658" i="13"/>
  <c r="I660" i="13"/>
  <c r="J660" i="13"/>
  <c r="AL660" i="13"/>
  <c r="AG660" i="13" a="1"/>
  <c r="AG660" i="13" s="1"/>
  <c r="H660" i="13"/>
  <c r="S601" i="6" l="1"/>
  <c r="S605" i="6"/>
  <c r="H662" i="13"/>
  <c r="S662" i="13"/>
  <c r="AA662" i="13" s="1"/>
  <c r="AK662" i="13" s="1"/>
  <c r="Q657" i="13"/>
  <c r="AP658" i="13"/>
  <c r="G662" i="13"/>
  <c r="AL662" i="13" s="1"/>
  <c r="Q660" i="13"/>
  <c r="AD660" i="13" s="1"/>
  <c r="S607" i="6"/>
  <c r="Q658" i="13"/>
  <c r="AM658" i="13"/>
  <c r="AP659" i="13"/>
  <c r="AM659" i="13"/>
  <c r="AA660" i="13"/>
  <c r="AI660" i="13" s="1"/>
  <c r="AA659" i="13"/>
  <c r="AL658" i="13"/>
  <c r="J658" i="13"/>
  <c r="AA658" i="13"/>
  <c r="J659" i="13"/>
  <c r="AL659" i="13"/>
  <c r="AE659" i="13" l="1"/>
  <c r="AB662" i="13"/>
  <c r="AD658" i="13"/>
  <c r="AF662" i="13"/>
  <c r="AE662" i="13"/>
  <c r="AF660" i="13"/>
  <c r="AE660" i="13"/>
  <c r="AK660" i="13"/>
  <c r="AQ660" i="13" s="1"/>
  <c r="AB660" i="13"/>
  <c r="AF659" i="13"/>
  <c r="AK659" i="13"/>
  <c r="AB659" i="13"/>
  <c r="AK658" i="13"/>
  <c r="AE658" i="13"/>
  <c r="AF658" i="13"/>
  <c r="AI658" i="13"/>
  <c r="AB658" i="13"/>
  <c r="E600" i="6"/>
  <c r="F600" i="6" a="1"/>
  <c r="F600" i="6" s="1"/>
  <c r="H600" i="6"/>
  <c r="I600" i="6" s="1"/>
  <c r="J600" i="6"/>
  <c r="O600" i="6"/>
  <c r="R600" i="6"/>
  <c r="T600" i="6"/>
  <c r="V600" i="6" a="1"/>
  <c r="V600" i="6" s="1"/>
  <c r="W600" i="6"/>
  <c r="R596" i="6"/>
  <c r="R597" i="6"/>
  <c r="E599" i="6"/>
  <c r="F599" i="6" a="1"/>
  <c r="F599" i="6" s="1"/>
  <c r="H599" i="6"/>
  <c r="I599" i="6" s="1"/>
  <c r="J599" i="6"/>
  <c r="O599" i="6"/>
  <c r="R599" i="6"/>
  <c r="T599" i="6"/>
  <c r="V599" i="6" a="1"/>
  <c r="V599" i="6" s="1"/>
  <c r="W599" i="6"/>
  <c r="E598" i="6"/>
  <c r="F598" i="6" a="1"/>
  <c r="F598" i="6" s="1"/>
  <c r="H598" i="6"/>
  <c r="I598" i="6" s="1"/>
  <c r="J598" i="6"/>
  <c r="O598" i="6"/>
  <c r="N598" i="6" s="1"/>
  <c r="R598" i="6"/>
  <c r="T598" i="6"/>
  <c r="V598" i="6" a="1"/>
  <c r="V598" i="6" s="1"/>
  <c r="W598" i="6"/>
  <c r="E597" i="6"/>
  <c r="F597" i="6" a="1"/>
  <c r="F597" i="6" s="1"/>
  <c r="H597" i="6"/>
  <c r="I597" i="6" s="1"/>
  <c r="J597" i="6"/>
  <c r="O597" i="6"/>
  <c r="N597" i="6" s="1"/>
  <c r="T597" i="6"/>
  <c r="V597" i="6" a="1"/>
  <c r="V597" i="6" s="1"/>
  <c r="W597" i="6"/>
  <c r="E596" i="6"/>
  <c r="F596" i="6" a="1"/>
  <c r="F596" i="6" s="1"/>
  <c r="H596" i="6"/>
  <c r="I596" i="6" s="1"/>
  <c r="J596" i="6"/>
  <c r="O596" i="6"/>
  <c r="P622" i="6" s="1"/>
  <c r="T596" i="6"/>
  <c r="V596" i="6" a="1"/>
  <c r="V596" i="6" s="1"/>
  <c r="W596" i="6"/>
  <c r="X622" i="6" s="1"/>
  <c r="E595" i="6"/>
  <c r="F595" i="6" a="1"/>
  <c r="F595" i="6" s="1"/>
  <c r="H595" i="6"/>
  <c r="I595" i="6" s="1"/>
  <c r="J595" i="6"/>
  <c r="O595" i="6"/>
  <c r="R595" i="6"/>
  <c r="T595" i="6"/>
  <c r="V595" i="6" a="1"/>
  <c r="V595" i="6" s="1"/>
  <c r="W595" i="6"/>
  <c r="E594" i="6"/>
  <c r="F594" i="6" a="1"/>
  <c r="F594" i="6" s="1"/>
  <c r="H594" i="6"/>
  <c r="I594" i="6" s="1"/>
  <c r="J594" i="6"/>
  <c r="O594" i="6"/>
  <c r="R594" i="6"/>
  <c r="T594" i="6"/>
  <c r="V594" i="6" a="1"/>
  <c r="V594" i="6" s="1"/>
  <c r="W594" i="6"/>
  <c r="N126" i="16"/>
  <c r="V126" i="16" s="1"/>
  <c r="D126" i="16"/>
  <c r="E126" i="16" a="1"/>
  <c r="E126" i="16" s="1"/>
  <c r="G126" i="16"/>
  <c r="H126" i="16" s="1"/>
  <c r="I126" i="16"/>
  <c r="S126" i="16"/>
  <c r="U126" i="16" a="1"/>
  <c r="U126" i="16" s="1"/>
  <c r="D125" i="16"/>
  <c r="E125" i="16" a="1"/>
  <c r="E125" i="16" s="1"/>
  <c r="G125" i="16"/>
  <c r="H125" i="16" s="1"/>
  <c r="I125" i="16"/>
  <c r="N125" i="16"/>
  <c r="S125" i="16"/>
  <c r="U125" i="16" a="1"/>
  <c r="U125" i="16" s="1"/>
  <c r="V125" i="16"/>
  <c r="O592" i="6"/>
  <c r="W592" i="6" s="1"/>
  <c r="O591" i="6"/>
  <c r="W591" i="6" s="1"/>
  <c r="E593" i="6"/>
  <c r="F593" i="6" a="1"/>
  <c r="F593" i="6" s="1"/>
  <c r="H593" i="6"/>
  <c r="I593" i="6" s="1"/>
  <c r="J593" i="6"/>
  <c r="O593" i="6"/>
  <c r="P735" i="6" s="1"/>
  <c r="R593" i="6"/>
  <c r="T593" i="6"/>
  <c r="V593" i="6" a="1"/>
  <c r="V593" i="6" s="1"/>
  <c r="W593" i="6"/>
  <c r="X735" i="6" s="1"/>
  <c r="E592" i="6"/>
  <c r="F592" i="6" a="1"/>
  <c r="F592" i="6" s="1"/>
  <c r="H592" i="6"/>
  <c r="I592" i="6" s="1"/>
  <c r="J592" i="6"/>
  <c r="R592" i="6"/>
  <c r="T592" i="6"/>
  <c r="V592" i="6" a="1"/>
  <c r="V592" i="6" s="1"/>
  <c r="E591" i="6"/>
  <c r="F591" i="6" a="1"/>
  <c r="F591" i="6" s="1"/>
  <c r="H591" i="6"/>
  <c r="I591" i="6" s="1"/>
  <c r="J591" i="6"/>
  <c r="T591" i="6"/>
  <c r="V591" i="6" a="1"/>
  <c r="V591" i="6" s="1"/>
  <c r="O590" i="6"/>
  <c r="E590" i="6"/>
  <c r="F590" i="6" a="1"/>
  <c r="F590" i="6" s="1"/>
  <c r="H590" i="6"/>
  <c r="I590" i="6" s="1"/>
  <c r="J590" i="6"/>
  <c r="R590" i="6"/>
  <c r="T590" i="6"/>
  <c r="W590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O589" i="6"/>
  <c r="W589" i="6" s="1"/>
  <c r="E589" i="6"/>
  <c r="F589" i="6" a="1"/>
  <c r="F589" i="6" s="1"/>
  <c r="H589" i="6"/>
  <c r="I589" i="6" s="1"/>
  <c r="J589" i="6"/>
  <c r="T589" i="6"/>
  <c r="V589" i="6" a="1"/>
  <c r="V589" i="6" s="1"/>
  <c r="O588" i="6"/>
  <c r="E588" i="6"/>
  <c r="F588" i="6" a="1"/>
  <c r="F588" i="6" s="1"/>
  <c r="H588" i="6"/>
  <c r="I588" i="6" s="1"/>
  <c r="J588" i="6"/>
  <c r="T588" i="6"/>
  <c r="W588" i="6"/>
  <c r="E587" i="6"/>
  <c r="F587" i="6" a="1"/>
  <c r="F587" i="6" s="1"/>
  <c r="H587" i="6"/>
  <c r="I587" i="6" s="1"/>
  <c r="J587" i="6"/>
  <c r="O587" i="6"/>
  <c r="N587" i="6" s="1"/>
  <c r="T587" i="6"/>
  <c r="W587" i="6"/>
  <c r="D124" i="16"/>
  <c r="E124" i="16" a="1"/>
  <c r="E124" i="16" s="1"/>
  <c r="G124" i="16"/>
  <c r="H124" i="16" s="1"/>
  <c r="I124" i="16"/>
  <c r="N124" i="16"/>
  <c r="O189" i="16" s="1"/>
  <c r="S124" i="16"/>
  <c r="U124" i="16" a="1"/>
  <c r="U124" i="16" s="1"/>
  <c r="V124" i="16"/>
  <c r="E653" i="13"/>
  <c r="AG653" i="13" s="1" a="1"/>
  <c r="AG653" i="13" s="1"/>
  <c r="E654" i="13"/>
  <c r="E655" i="13"/>
  <c r="F653" i="13"/>
  <c r="K653" i="13" s="1"/>
  <c r="F654" i="13"/>
  <c r="I654" i="13" s="1"/>
  <c r="F655" i="13"/>
  <c r="K655" i="13" s="1"/>
  <c r="F656" i="13"/>
  <c r="K656" i="13" s="1"/>
  <c r="L653" i="13"/>
  <c r="L654" i="13"/>
  <c r="L655" i="13"/>
  <c r="L656" i="13"/>
  <c r="M653" i="13"/>
  <c r="R653" i="13" s="1"/>
  <c r="M654" i="13"/>
  <c r="P654" i="13" s="1"/>
  <c r="M655" i="13"/>
  <c r="M656" i="13"/>
  <c r="P656" i="13" s="1"/>
  <c r="V653" i="13"/>
  <c r="V654" i="13"/>
  <c r="V655" i="13"/>
  <c r="W653" i="13"/>
  <c r="W654" i="13"/>
  <c r="W655" i="13"/>
  <c r="W656" i="13"/>
  <c r="X653" i="13"/>
  <c r="X654" i="13"/>
  <c r="X655" i="13"/>
  <c r="X656" i="13"/>
  <c r="Y653" i="13"/>
  <c r="Y654" i="13"/>
  <c r="Y655" i="13"/>
  <c r="Y656" i="13"/>
  <c r="AC653" i="13"/>
  <c r="AC654" i="13"/>
  <c r="AC655" i="13"/>
  <c r="AC656" i="13"/>
  <c r="AJ653" i="13"/>
  <c r="AJ654" i="13"/>
  <c r="AJ655" i="13"/>
  <c r="AJ656" i="13"/>
  <c r="AO653" i="13"/>
  <c r="AO654" i="13"/>
  <c r="AO655" i="13"/>
  <c r="AO656" i="13"/>
  <c r="AR653" i="13"/>
  <c r="AR654" i="13"/>
  <c r="AR655" i="13"/>
  <c r="AR656" i="13"/>
  <c r="AS653" i="13"/>
  <c r="AS654" i="13"/>
  <c r="AS655" i="13"/>
  <c r="AS656" i="13"/>
  <c r="W164" i="16" l="1"/>
  <c r="W189" i="16"/>
  <c r="S653" i="13"/>
  <c r="AH656" i="13" a="1"/>
  <c r="AH656" i="13" s="1"/>
  <c r="N655" i="13"/>
  <c r="AM655" i="13" s="1"/>
  <c r="S655" i="13"/>
  <c r="N654" i="13"/>
  <c r="AM654" i="13" s="1"/>
  <c r="S654" i="13"/>
  <c r="X593" i="6"/>
  <c r="P593" i="6"/>
  <c r="O152" i="16"/>
  <c r="O164" i="16"/>
  <c r="G655" i="13"/>
  <c r="AL655" i="13" s="1"/>
  <c r="W143" i="16"/>
  <c r="W152" i="16"/>
  <c r="O136" i="16"/>
  <c r="O143" i="16"/>
  <c r="W130" i="16"/>
  <c r="W136" i="16"/>
  <c r="O127" i="16"/>
  <c r="O130" i="16"/>
  <c r="O124" i="16"/>
  <c r="AQ658" i="13"/>
  <c r="P597" i="6"/>
  <c r="P616" i="6"/>
  <c r="P609" i="6"/>
  <c r="E657" i="13"/>
  <c r="P619" i="6"/>
  <c r="P596" i="6"/>
  <c r="V657" i="13"/>
  <c r="Z657" i="13" s="1"/>
  <c r="X619" i="6"/>
  <c r="X609" i="6"/>
  <c r="X616" i="6"/>
  <c r="X596" i="6"/>
  <c r="W124" i="16"/>
  <c r="W127" i="16"/>
  <c r="X600" i="6"/>
  <c r="P600" i="6"/>
  <c r="N600" i="6"/>
  <c r="X597" i="6"/>
  <c r="N599" i="6"/>
  <c r="N596" i="6"/>
  <c r="R591" i="6"/>
  <c r="N595" i="6"/>
  <c r="N594" i="6"/>
  <c r="M126" i="16"/>
  <c r="M125" i="16"/>
  <c r="N593" i="6"/>
  <c r="N592" i="6"/>
  <c r="N591" i="6"/>
  <c r="N590" i="6"/>
  <c r="R589" i="6"/>
  <c r="N589" i="6"/>
  <c r="N588" i="6"/>
  <c r="AG655" i="13" a="1"/>
  <c r="AG655" i="13" s="1"/>
  <c r="H655" i="13"/>
  <c r="G653" i="13"/>
  <c r="AH655" i="13" a="1"/>
  <c r="AH655" i="13" s="1"/>
  <c r="O655" i="13"/>
  <c r="O654" i="13"/>
  <c r="AH654" i="13" a="1"/>
  <c r="AH654" i="13" s="1"/>
  <c r="R654" i="13"/>
  <c r="T655" i="13"/>
  <c r="G654" i="13"/>
  <c r="I655" i="13"/>
  <c r="K654" i="13"/>
  <c r="H654" i="13"/>
  <c r="AG654" i="13" a="1"/>
  <c r="AG654" i="13" s="1"/>
  <c r="Z654" i="13"/>
  <c r="H653" i="13"/>
  <c r="I653" i="13"/>
  <c r="N656" i="13"/>
  <c r="AM656" i="13" s="1"/>
  <c r="T654" i="13"/>
  <c r="AH653" i="13" a="1"/>
  <c r="AH653" i="13" s="1"/>
  <c r="R655" i="13"/>
  <c r="AP655" i="13" s="1"/>
  <c r="O656" i="13"/>
  <c r="T653" i="13"/>
  <c r="P653" i="13"/>
  <c r="O653" i="13"/>
  <c r="N653" i="13"/>
  <c r="AP653" i="13"/>
  <c r="P655" i="13"/>
  <c r="Z653" i="13"/>
  <c r="M124" i="16"/>
  <c r="Z655" i="13"/>
  <c r="R656" i="13"/>
  <c r="AP656" i="13" s="1"/>
  <c r="I656" i="13"/>
  <c r="T656" i="13"/>
  <c r="Q655" i="13" l="1"/>
  <c r="Q654" i="13"/>
  <c r="H657" i="13"/>
  <c r="S657" i="13"/>
  <c r="AA657" i="13" s="1"/>
  <c r="AF657" i="13" s="1"/>
  <c r="S593" i="6"/>
  <c r="S619" i="6"/>
  <c r="J655" i="13"/>
  <c r="R124" i="16"/>
  <c r="S596" i="6"/>
  <c r="AP654" i="13"/>
  <c r="G657" i="13"/>
  <c r="AL657" i="13" s="1"/>
  <c r="S600" i="6"/>
  <c r="Q656" i="13"/>
  <c r="J653" i="13"/>
  <c r="AL653" i="13"/>
  <c r="AA655" i="13"/>
  <c r="AE655" i="13" s="1"/>
  <c r="AA654" i="13"/>
  <c r="AK654" i="13" s="1"/>
  <c r="AA653" i="13"/>
  <c r="AF653" i="13" s="1"/>
  <c r="J654" i="13"/>
  <c r="AL654" i="13"/>
  <c r="AM653" i="13"/>
  <c r="Q653" i="13"/>
  <c r="AD655" i="13" l="1"/>
  <c r="AD654" i="13"/>
  <c r="AQ654" i="13" s="1"/>
  <c r="AB657" i="13"/>
  <c r="AK657" i="13"/>
  <c r="AE657" i="13"/>
  <c r="AE654" i="13"/>
  <c r="AI654" i="13" s="1"/>
  <c r="AF654" i="13"/>
  <c r="AD653" i="13"/>
  <c r="AF655" i="13"/>
  <c r="AI655" i="13" s="1"/>
  <c r="AE653" i="13"/>
  <c r="AK655" i="13"/>
  <c r="AB655" i="13"/>
  <c r="AI653" i="13"/>
  <c r="AB653" i="13"/>
  <c r="AB654" i="13"/>
  <c r="AK653" i="13"/>
  <c r="E586" i="6"/>
  <c r="F586" i="6" a="1"/>
  <c r="F586" i="6" s="1"/>
  <c r="H586" i="6"/>
  <c r="I586" i="6" s="1"/>
  <c r="J586" i="6"/>
  <c r="O586" i="6"/>
  <c r="T586" i="6"/>
  <c r="V586" i="6" a="1"/>
  <c r="V586" i="6" s="1"/>
  <c r="O584" i="6"/>
  <c r="O585" i="6"/>
  <c r="O581" i="6"/>
  <c r="E585" i="6"/>
  <c r="F585" i="6" a="1"/>
  <c r="F585" i="6" s="1"/>
  <c r="H585" i="6"/>
  <c r="I585" i="6" s="1"/>
  <c r="J585" i="6"/>
  <c r="T585" i="6"/>
  <c r="W585" i="6"/>
  <c r="E584" i="6"/>
  <c r="F584" i="6" a="1"/>
  <c r="F584" i="6" s="1"/>
  <c r="H584" i="6"/>
  <c r="I584" i="6" s="1"/>
  <c r="J584" i="6"/>
  <c r="T584" i="6"/>
  <c r="W584" i="6"/>
  <c r="E583" i="6"/>
  <c r="F583" i="6" a="1"/>
  <c r="F583" i="6" s="1"/>
  <c r="H583" i="6"/>
  <c r="I583" i="6" s="1"/>
  <c r="J583" i="6"/>
  <c r="O583" i="6"/>
  <c r="T583" i="6"/>
  <c r="W583" i="6"/>
  <c r="E582" i="6"/>
  <c r="F582" i="6" a="1"/>
  <c r="F582" i="6" s="1"/>
  <c r="H582" i="6"/>
  <c r="I582" i="6" s="1"/>
  <c r="J582" i="6"/>
  <c r="T582" i="6"/>
  <c r="W582" i="6"/>
  <c r="E581" i="6"/>
  <c r="F581" i="6" a="1"/>
  <c r="F581" i="6" s="1"/>
  <c r="H581" i="6"/>
  <c r="I581" i="6" s="1"/>
  <c r="J581" i="6"/>
  <c r="T581" i="6"/>
  <c r="V581" i="6" a="1"/>
  <c r="V581" i="6" s="1"/>
  <c r="W581" i="6"/>
  <c r="E580" i="6"/>
  <c r="F580" i="6" a="1"/>
  <c r="F580" i="6" s="1"/>
  <c r="H580" i="6"/>
  <c r="I580" i="6" s="1"/>
  <c r="J580" i="6"/>
  <c r="O580" i="6"/>
  <c r="T580" i="6"/>
  <c r="V580" i="6" a="1"/>
  <c r="V580" i="6" s="1"/>
  <c r="W580" i="6"/>
  <c r="E579" i="6"/>
  <c r="F579" i="6" a="1"/>
  <c r="F579" i="6" s="1"/>
  <c r="H579" i="6"/>
  <c r="I579" i="6" s="1"/>
  <c r="J579" i="6"/>
  <c r="O579" i="6"/>
  <c r="T579" i="6"/>
  <c r="V579" i="6" a="1"/>
  <c r="V579" i="6" s="1"/>
  <c r="W579" i="6"/>
  <c r="E578" i="6"/>
  <c r="F578" i="6" a="1"/>
  <c r="F578" i="6" s="1"/>
  <c r="H578" i="6"/>
  <c r="I578" i="6" s="1"/>
  <c r="J578" i="6"/>
  <c r="O578" i="6"/>
  <c r="T578" i="6"/>
  <c r="V578" i="6" a="1"/>
  <c r="V578" i="6" s="1"/>
  <c r="W578" i="6"/>
  <c r="N123" i="16"/>
  <c r="D123" i="16"/>
  <c r="E123" i="16" a="1"/>
  <c r="E123" i="16" s="1"/>
  <c r="G123" i="16"/>
  <c r="H123" i="16" s="1"/>
  <c r="I123" i="16"/>
  <c r="S123" i="16"/>
  <c r="V123" i="16"/>
  <c r="E577" i="6"/>
  <c r="F577" i="6" a="1"/>
  <c r="F577" i="6" s="1"/>
  <c r="H577" i="6"/>
  <c r="I577" i="6" s="1"/>
  <c r="J577" i="6"/>
  <c r="O577" i="6"/>
  <c r="T577" i="6"/>
  <c r="W577" i="6"/>
  <c r="E576" i="6"/>
  <c r="F576" i="6" a="1"/>
  <c r="F576" i="6" s="1"/>
  <c r="H576" i="6"/>
  <c r="I576" i="6" s="1"/>
  <c r="J576" i="6"/>
  <c r="O576" i="6"/>
  <c r="N576" i="6" s="1"/>
  <c r="T576" i="6"/>
  <c r="W576" i="6"/>
  <c r="W644" i="13" s="1"/>
  <c r="N121" i="16"/>
  <c r="D122" i="16"/>
  <c r="E122" i="16" a="1"/>
  <c r="E122" i="16" s="1"/>
  <c r="G122" i="16"/>
  <c r="H122" i="16" s="1"/>
  <c r="I122" i="16"/>
  <c r="N122" i="16"/>
  <c r="V122" i="16" s="1"/>
  <c r="S122" i="16"/>
  <c r="U122" i="16" a="1"/>
  <c r="U122" i="16" s="1"/>
  <c r="D121" i="16"/>
  <c r="E121" i="16" a="1"/>
  <c r="E121" i="16" s="1"/>
  <c r="G121" i="16"/>
  <c r="H121" i="16" s="1"/>
  <c r="I121" i="16"/>
  <c r="S121" i="16"/>
  <c r="U121" i="16" a="1"/>
  <c r="U121" i="16" s="1"/>
  <c r="V121" i="16"/>
  <c r="O575" i="6"/>
  <c r="O574" i="6"/>
  <c r="E575" i="6"/>
  <c r="F575" i="6" a="1"/>
  <c r="F575" i="6" s="1"/>
  <c r="H575" i="6"/>
  <c r="I575" i="6" s="1"/>
  <c r="J575" i="6"/>
  <c r="T575" i="6"/>
  <c r="W575" i="6"/>
  <c r="E574" i="6"/>
  <c r="F574" i="6" a="1"/>
  <c r="F574" i="6" s="1"/>
  <c r="H574" i="6"/>
  <c r="I574" i="6" s="1"/>
  <c r="J574" i="6"/>
  <c r="T574" i="6"/>
  <c r="W574" i="6"/>
  <c r="E573" i="6"/>
  <c r="F573" i="6" a="1"/>
  <c r="F573" i="6" s="1"/>
  <c r="H573" i="6"/>
  <c r="I573" i="6" s="1"/>
  <c r="J573" i="6"/>
  <c r="O573" i="6"/>
  <c r="T573" i="6"/>
  <c r="V573" i="6" a="1"/>
  <c r="V573" i="6" s="1"/>
  <c r="W573" i="6"/>
  <c r="E645" i="13"/>
  <c r="G645" i="13" s="1"/>
  <c r="E646" i="13"/>
  <c r="AG646" i="13" s="1" a="1"/>
  <c r="AG646" i="13" s="1"/>
  <c r="E647" i="13"/>
  <c r="H647" i="13" s="1"/>
  <c r="E648" i="13"/>
  <c r="H648" i="13" s="1"/>
  <c r="E649" i="13"/>
  <c r="G649" i="13" s="1"/>
  <c r="E650" i="13"/>
  <c r="AG650" i="13" s="1" a="1"/>
  <c r="AG650" i="13" s="1"/>
  <c r="E651" i="13"/>
  <c r="H651" i="13" s="1"/>
  <c r="E652" i="13"/>
  <c r="H652" i="13" s="1"/>
  <c r="F645" i="13"/>
  <c r="I645" i="13" s="1"/>
  <c r="F646" i="13"/>
  <c r="K646" i="13" s="1"/>
  <c r="F647" i="13"/>
  <c r="K647" i="13" s="1"/>
  <c r="F648" i="13"/>
  <c r="I648" i="13" s="1"/>
  <c r="F649" i="13"/>
  <c r="K649" i="13" s="1"/>
  <c r="F650" i="13"/>
  <c r="K650" i="13" s="1"/>
  <c r="F651" i="13"/>
  <c r="F652" i="13"/>
  <c r="I652" i="13" s="1"/>
  <c r="L644" i="13"/>
  <c r="L645" i="13"/>
  <c r="L646" i="13"/>
  <c r="L647" i="13"/>
  <c r="L648" i="13"/>
  <c r="L649" i="13"/>
  <c r="L650" i="13"/>
  <c r="L651" i="13"/>
  <c r="L652" i="13"/>
  <c r="M644" i="13"/>
  <c r="P644" i="13" s="1"/>
  <c r="M645" i="13"/>
  <c r="P645" i="13" s="1"/>
  <c r="M646" i="13"/>
  <c r="R646" i="13" s="1"/>
  <c r="M647" i="13"/>
  <c r="R647" i="13" s="1"/>
  <c r="M648" i="13"/>
  <c r="P648" i="13" s="1"/>
  <c r="M649" i="13"/>
  <c r="P649" i="13" s="1"/>
  <c r="M650" i="13"/>
  <c r="R650" i="13" s="1"/>
  <c r="M651" i="13"/>
  <c r="R651" i="13" s="1"/>
  <c r="M652" i="13"/>
  <c r="P652" i="13" s="1"/>
  <c r="V645" i="13"/>
  <c r="V646" i="13"/>
  <c r="V647" i="13"/>
  <c r="V648" i="13"/>
  <c r="V649" i="13"/>
  <c r="V650" i="13"/>
  <c r="V651" i="13"/>
  <c r="V652" i="13"/>
  <c r="W645" i="13"/>
  <c r="W646" i="13"/>
  <c r="W647" i="13"/>
  <c r="W648" i="13"/>
  <c r="W649" i="13"/>
  <c r="W650" i="13"/>
  <c r="W651" i="13"/>
  <c r="W652" i="13"/>
  <c r="X644" i="13"/>
  <c r="X645" i="13"/>
  <c r="X646" i="13"/>
  <c r="X647" i="13"/>
  <c r="X648" i="13"/>
  <c r="X649" i="13"/>
  <c r="X650" i="13"/>
  <c r="X651" i="13"/>
  <c r="X652" i="13"/>
  <c r="Y644" i="13"/>
  <c r="Y645" i="13"/>
  <c r="Y646" i="13"/>
  <c r="Y647" i="13"/>
  <c r="Y648" i="13"/>
  <c r="Y649" i="13"/>
  <c r="Y650" i="13"/>
  <c r="Y651" i="13"/>
  <c r="Y652" i="13"/>
  <c r="AC644" i="13"/>
  <c r="AC645" i="13"/>
  <c r="AC646" i="13"/>
  <c r="AC647" i="13"/>
  <c r="AC648" i="13"/>
  <c r="AC649" i="13"/>
  <c r="AC650" i="13"/>
  <c r="AC651" i="13"/>
  <c r="AC652" i="13"/>
  <c r="AJ644" i="13"/>
  <c r="AJ645" i="13"/>
  <c r="AJ646" i="13"/>
  <c r="AJ647" i="13"/>
  <c r="AJ648" i="13"/>
  <c r="AJ649" i="13"/>
  <c r="AJ650" i="13"/>
  <c r="AJ651" i="13"/>
  <c r="AJ652" i="13"/>
  <c r="AO644" i="13"/>
  <c r="AO645" i="13"/>
  <c r="AO646" i="13"/>
  <c r="AO647" i="13"/>
  <c r="AO648" i="13"/>
  <c r="AO649" i="13"/>
  <c r="AO650" i="13"/>
  <c r="AO651" i="13"/>
  <c r="AO652" i="13"/>
  <c r="AR644" i="13"/>
  <c r="AR645" i="13"/>
  <c r="AR646" i="13"/>
  <c r="AR647" i="13"/>
  <c r="AR648" i="13"/>
  <c r="AR649" i="13"/>
  <c r="AR650" i="13"/>
  <c r="AR651" i="13"/>
  <c r="AR652" i="13"/>
  <c r="AS644" i="13"/>
  <c r="AS645" i="13"/>
  <c r="AS646" i="13"/>
  <c r="AS647" i="13"/>
  <c r="AS648" i="13"/>
  <c r="AS649" i="13"/>
  <c r="AS650" i="13"/>
  <c r="AS651" i="13"/>
  <c r="AS652" i="13"/>
  <c r="X736" i="6" l="1"/>
  <c r="P736" i="6"/>
  <c r="P729" i="6"/>
  <c r="P737" i="6"/>
  <c r="X729" i="6"/>
  <c r="X746" i="6"/>
  <c r="AQ655" i="13"/>
  <c r="N651" i="13"/>
  <c r="Q651" i="13" s="1"/>
  <c r="S651" i="13"/>
  <c r="O647" i="13"/>
  <c r="S647" i="13"/>
  <c r="O650" i="13"/>
  <c r="S650" i="13"/>
  <c r="O646" i="13"/>
  <c r="S646" i="13"/>
  <c r="N649" i="13"/>
  <c r="AM649" i="13" s="1"/>
  <c r="S649" i="13"/>
  <c r="N645" i="13"/>
  <c r="AM645" i="13" s="1"/>
  <c r="S645" i="13"/>
  <c r="O652" i="13"/>
  <c r="S652" i="13"/>
  <c r="O648" i="13"/>
  <c r="S648" i="13"/>
  <c r="O644" i="13"/>
  <c r="E656" i="13"/>
  <c r="P727" i="6"/>
  <c r="X581" i="6"/>
  <c r="P581" i="6"/>
  <c r="P573" i="6"/>
  <c r="P646" i="6"/>
  <c r="X573" i="6"/>
  <c r="X646" i="6"/>
  <c r="W586" i="6"/>
  <c r="X737" i="6" s="1"/>
  <c r="P586" i="6"/>
  <c r="AQ653" i="13"/>
  <c r="F644" i="13"/>
  <c r="T644" i="13" s="1"/>
  <c r="P576" i="6"/>
  <c r="E644" i="13"/>
  <c r="S644" i="13" s="1"/>
  <c r="O582" i="6"/>
  <c r="N586" i="6"/>
  <c r="V644" i="13"/>
  <c r="Z644" i="13" s="1"/>
  <c r="N585" i="6"/>
  <c r="N584" i="6"/>
  <c r="N583" i="6"/>
  <c r="N581" i="6"/>
  <c r="N580" i="6"/>
  <c r="N579" i="6"/>
  <c r="X576" i="6"/>
  <c r="N578" i="6"/>
  <c r="M123" i="16"/>
  <c r="N577" i="6"/>
  <c r="AH650" i="13" a="1"/>
  <c r="AH650" i="13" s="1"/>
  <c r="AH649" i="13" a="1"/>
  <c r="AH649" i="13" s="1"/>
  <c r="N648" i="13"/>
  <c r="Q648" i="13" s="1"/>
  <c r="O649" i="13"/>
  <c r="M122" i="16"/>
  <c r="T122" i="16"/>
  <c r="M121" i="16"/>
  <c r="AH651" i="13" a="1"/>
  <c r="AH651" i="13" s="1"/>
  <c r="R648" i="13"/>
  <c r="N575" i="6"/>
  <c r="N574" i="6"/>
  <c r="R652" i="13"/>
  <c r="AH645" i="13" a="1"/>
  <c r="AH645" i="13" s="1"/>
  <c r="AG647" i="13" a="1"/>
  <c r="AG647" i="13" s="1"/>
  <c r="R644" i="13"/>
  <c r="O645" i="13"/>
  <c r="N647" i="13"/>
  <c r="AH646" i="13" a="1"/>
  <c r="AH646" i="13" s="1"/>
  <c r="P646" i="13"/>
  <c r="AG648" i="13" a="1"/>
  <c r="AG648" i="13" s="1"/>
  <c r="AH647" i="13" a="1"/>
  <c r="AH647" i="13" s="1"/>
  <c r="T648" i="13"/>
  <c r="AG649" i="13" a="1"/>
  <c r="AG649" i="13" s="1"/>
  <c r="P650" i="13"/>
  <c r="O651" i="13"/>
  <c r="N652" i="13"/>
  <c r="N644" i="13"/>
  <c r="T651" i="13"/>
  <c r="AH652" i="13" a="1"/>
  <c r="AH652" i="13" s="1"/>
  <c r="AH648" i="13" a="1"/>
  <c r="AH648" i="13" s="1"/>
  <c r="AH644" i="13" a="1"/>
  <c r="AH644" i="13" s="1"/>
  <c r="AP646" i="13"/>
  <c r="AP650" i="13"/>
  <c r="AG645" i="13" a="1"/>
  <c r="AG645" i="13" s="1"/>
  <c r="T650" i="13"/>
  <c r="G651" i="13"/>
  <c r="J651" i="13" s="1"/>
  <c r="G648" i="13"/>
  <c r="AL648" i="13" s="1"/>
  <c r="AG651" i="13" a="1"/>
  <c r="AG651" i="13" s="1"/>
  <c r="G647" i="13"/>
  <c r="J647" i="13" s="1"/>
  <c r="T646" i="13"/>
  <c r="I651" i="13"/>
  <c r="Z650" i="13"/>
  <c r="Z646" i="13"/>
  <c r="Z651" i="13"/>
  <c r="Z647" i="13"/>
  <c r="I647" i="13"/>
  <c r="K651" i="13"/>
  <c r="AP651" i="13" s="1"/>
  <c r="G652" i="13"/>
  <c r="Z652" i="13"/>
  <c r="Z648" i="13"/>
  <c r="Z645" i="13"/>
  <c r="J649" i="13"/>
  <c r="AL649" i="13"/>
  <c r="J645" i="13"/>
  <c r="AL645" i="13"/>
  <c r="T652" i="13"/>
  <c r="H650" i="13"/>
  <c r="H645" i="13"/>
  <c r="G650" i="13"/>
  <c r="G646" i="13"/>
  <c r="K645" i="13"/>
  <c r="I649" i="13"/>
  <c r="H646" i="13"/>
  <c r="N573" i="6"/>
  <c r="Z649" i="13"/>
  <c r="H649" i="13"/>
  <c r="AP647" i="13"/>
  <c r="N650" i="13"/>
  <c r="N646" i="13"/>
  <c r="T647" i="13"/>
  <c r="R649" i="13"/>
  <c r="AP649" i="13" s="1"/>
  <c r="R645" i="13"/>
  <c r="P651" i="13"/>
  <c r="P647" i="13"/>
  <c r="K652" i="13"/>
  <c r="K648" i="13"/>
  <c r="I650" i="13"/>
  <c r="I646" i="13"/>
  <c r="T649" i="13"/>
  <c r="T645" i="13"/>
  <c r="Q649" i="13" l="1"/>
  <c r="AD649" i="13" s="1"/>
  <c r="AM651" i="13"/>
  <c r="S581" i="6"/>
  <c r="Q645" i="13"/>
  <c r="AD645" i="13" s="1"/>
  <c r="H656" i="13"/>
  <c r="S656" i="13"/>
  <c r="AA656" i="13" s="1"/>
  <c r="G656" i="13"/>
  <c r="AL656" i="13" s="1"/>
  <c r="V656" i="13"/>
  <c r="Z656" i="13" s="1"/>
  <c r="X727" i="6"/>
  <c r="S576" i="6"/>
  <c r="S573" i="6"/>
  <c r="X586" i="6"/>
  <c r="S586" i="6"/>
  <c r="G644" i="13"/>
  <c r="AL644" i="13" s="1"/>
  <c r="AA644" i="13"/>
  <c r="AK644" i="13" s="1"/>
  <c r="H644" i="13"/>
  <c r="N582" i="6"/>
  <c r="J648" i="13"/>
  <c r="AD648" i="13" s="1"/>
  <c r="AP652" i="13"/>
  <c r="AM648" i="13"/>
  <c r="AA648" i="13"/>
  <c r="AK648" i="13" s="1"/>
  <c r="AP648" i="13"/>
  <c r="AD651" i="13"/>
  <c r="AA646" i="13"/>
  <c r="AF646" i="13" s="1"/>
  <c r="AM647" i="13"/>
  <c r="Q647" i="13"/>
  <c r="AD647" i="13" s="1"/>
  <c r="AA651" i="13"/>
  <c r="AF651" i="13" s="1"/>
  <c r="AA650" i="13"/>
  <c r="AB650" i="13" s="1"/>
  <c r="AA645" i="13"/>
  <c r="AB645" i="13" s="1"/>
  <c r="AL651" i="13"/>
  <c r="AL647" i="13"/>
  <c r="AA649" i="13"/>
  <c r="AF649" i="13" s="1"/>
  <c r="Q644" i="13"/>
  <c r="AM644" i="13"/>
  <c r="Q652" i="13"/>
  <c r="AM652" i="13"/>
  <c r="AA652" i="13"/>
  <c r="AE652" i="13" s="1"/>
  <c r="AA647" i="13"/>
  <c r="AB647" i="13" s="1"/>
  <c r="AP645" i="13"/>
  <c r="AL652" i="13"/>
  <c r="AL646" i="13"/>
  <c r="J646" i="13"/>
  <c r="J650" i="13"/>
  <c r="AL650" i="13"/>
  <c r="AM646" i="13"/>
  <c r="Q646" i="13"/>
  <c r="AM650" i="13"/>
  <c r="Q650" i="13"/>
  <c r="AE656" i="13" l="1"/>
  <c r="AB656" i="13"/>
  <c r="AF656" i="13"/>
  <c r="AK656" i="13"/>
  <c r="AB646" i="13"/>
  <c r="AQ648" i="13"/>
  <c r="AI648" i="13"/>
  <c r="AB648" i="13"/>
  <c r="AE648" i="13"/>
  <c r="AF648" i="13"/>
  <c r="AK646" i="13"/>
  <c r="AE646" i="13"/>
  <c r="AI646" i="13"/>
  <c r="AB649" i="13"/>
  <c r="AI651" i="13"/>
  <c r="AE650" i="13"/>
  <c r="AK650" i="13"/>
  <c r="AI650" i="13"/>
  <c r="AF650" i="13"/>
  <c r="AE649" i="13"/>
  <c r="AE651" i="13"/>
  <c r="AI649" i="13"/>
  <c r="AK647" i="13"/>
  <c r="AQ647" i="13" s="1"/>
  <c r="AK649" i="13"/>
  <c r="AQ649" i="13" s="1"/>
  <c r="AE647" i="13"/>
  <c r="AK651" i="13"/>
  <c r="AQ651" i="13" s="1"/>
  <c r="AB651" i="13"/>
  <c r="AK645" i="13"/>
  <c r="AQ645" i="13" s="1"/>
  <c r="AE645" i="13"/>
  <c r="AI645" i="13"/>
  <c r="AF645" i="13"/>
  <c r="AI647" i="13"/>
  <c r="AF647" i="13"/>
  <c r="AF652" i="13"/>
  <c r="AD650" i="13"/>
  <c r="AB652" i="13"/>
  <c r="AE644" i="13"/>
  <c r="AF644" i="13"/>
  <c r="AK652" i="13"/>
  <c r="AB644" i="13"/>
  <c r="AD646" i="13"/>
  <c r="AQ646" i="13" l="1"/>
  <c r="AQ650" i="13"/>
  <c r="E572" i="6"/>
  <c r="F572" i="6" a="1"/>
  <c r="F572" i="6" s="1"/>
  <c r="H572" i="6"/>
  <c r="I572" i="6" s="1"/>
  <c r="J572" i="6"/>
  <c r="O572" i="6"/>
  <c r="N572" i="6" s="1"/>
  <c r="T572" i="6"/>
  <c r="V572" i="6" a="1"/>
  <c r="V572" i="6" s="1"/>
  <c r="O571" i="6"/>
  <c r="E571" i="6"/>
  <c r="F571" i="6" a="1"/>
  <c r="F571" i="6" s="1"/>
  <c r="H571" i="6"/>
  <c r="I571" i="6" s="1"/>
  <c r="J571" i="6"/>
  <c r="T571" i="6"/>
  <c r="V571" i="6" a="1"/>
  <c r="V571" i="6" s="1"/>
  <c r="W571" i="6"/>
  <c r="E570" i="6"/>
  <c r="F570" i="6" a="1"/>
  <c r="F570" i="6" s="1"/>
  <c r="H570" i="6"/>
  <c r="I570" i="6" s="1"/>
  <c r="J570" i="6"/>
  <c r="O570" i="6"/>
  <c r="P613" i="6" s="1"/>
  <c r="T570" i="6"/>
  <c r="V570" i="6" a="1"/>
  <c r="V570" i="6" s="1"/>
  <c r="W570" i="6"/>
  <c r="X613" i="6" s="1"/>
  <c r="E569" i="6"/>
  <c r="F569" i="6" a="1"/>
  <c r="F569" i="6" s="1"/>
  <c r="H569" i="6"/>
  <c r="I569" i="6" s="1"/>
  <c r="J569" i="6"/>
  <c r="O569" i="6"/>
  <c r="N569" i="6" s="1"/>
  <c r="T569" i="6"/>
  <c r="W569" i="6"/>
  <c r="O568" i="6"/>
  <c r="P756" i="6" s="1"/>
  <c r="S756" i="6" s="1"/>
  <c r="E568" i="6"/>
  <c r="F568" i="6" a="1"/>
  <c r="F568" i="6" s="1"/>
  <c r="H568" i="6"/>
  <c r="I568" i="6" s="1"/>
  <c r="J568" i="6"/>
  <c r="T568" i="6"/>
  <c r="V568" i="6" a="1"/>
  <c r="V568" i="6" s="1"/>
  <c r="W568" i="6"/>
  <c r="X756" i="6" s="1"/>
  <c r="E567" i="6"/>
  <c r="F567" i="6" a="1"/>
  <c r="F567" i="6" s="1"/>
  <c r="H567" i="6"/>
  <c r="I567" i="6" s="1"/>
  <c r="J567" i="6"/>
  <c r="O567" i="6"/>
  <c r="T567" i="6"/>
  <c r="V567" i="6" a="1"/>
  <c r="V567" i="6" s="1"/>
  <c r="O566" i="6"/>
  <c r="E566" i="6"/>
  <c r="F566" i="6" a="1"/>
  <c r="F566" i="6" s="1"/>
  <c r="H566" i="6"/>
  <c r="I566" i="6" s="1"/>
  <c r="J566" i="6"/>
  <c r="T566" i="6"/>
  <c r="W566" i="6"/>
  <c r="E641" i="13"/>
  <c r="G641" i="13" s="1"/>
  <c r="J641" i="13" s="1"/>
  <c r="E642" i="13"/>
  <c r="H642" i="13" s="1"/>
  <c r="F641" i="13"/>
  <c r="I641" i="13" s="1"/>
  <c r="F642" i="13"/>
  <c r="I642" i="13" s="1"/>
  <c r="F643" i="13"/>
  <c r="L641" i="13"/>
  <c r="L642" i="13"/>
  <c r="L643" i="13"/>
  <c r="M641" i="13"/>
  <c r="R641" i="13" s="1"/>
  <c r="M642" i="13"/>
  <c r="R642" i="13" s="1"/>
  <c r="M643" i="13"/>
  <c r="P643" i="13" s="1"/>
  <c r="V641" i="13"/>
  <c r="V642" i="13"/>
  <c r="W641" i="13"/>
  <c r="W642" i="13"/>
  <c r="W643" i="13"/>
  <c r="X641" i="13"/>
  <c r="X642" i="13"/>
  <c r="X643" i="13"/>
  <c r="Y641" i="13"/>
  <c r="Y642" i="13"/>
  <c r="Y643" i="13"/>
  <c r="AC641" i="13"/>
  <c r="AC642" i="13"/>
  <c r="AC643" i="13"/>
  <c r="AJ641" i="13"/>
  <c r="AJ642" i="13"/>
  <c r="AJ643" i="13"/>
  <c r="AO641" i="13"/>
  <c r="AO642" i="13"/>
  <c r="AO643" i="13"/>
  <c r="AR641" i="13"/>
  <c r="AR642" i="13"/>
  <c r="AR643" i="13"/>
  <c r="AS641" i="13"/>
  <c r="AS642" i="13"/>
  <c r="AS643" i="13"/>
  <c r="W572" i="6" l="1"/>
  <c r="P728" i="6"/>
  <c r="N567" i="6"/>
  <c r="P730" i="6"/>
  <c r="X728" i="6"/>
  <c r="P723" i="6"/>
  <c r="O643" i="13"/>
  <c r="O642" i="13"/>
  <c r="S642" i="13"/>
  <c r="O641" i="13"/>
  <c r="S641" i="13"/>
  <c r="X664" i="6"/>
  <c r="X723" i="6"/>
  <c r="P664" i="6"/>
  <c r="P643" i="6"/>
  <c r="P656" i="6"/>
  <c r="P655" i="6"/>
  <c r="X655" i="6"/>
  <c r="X656" i="6"/>
  <c r="X643" i="6"/>
  <c r="P640" i="6"/>
  <c r="P635" i="6"/>
  <c r="X640" i="6"/>
  <c r="X635" i="6"/>
  <c r="P598" i="6"/>
  <c r="P599" i="6"/>
  <c r="X598" i="6"/>
  <c r="X599" i="6"/>
  <c r="P583" i="6"/>
  <c r="X583" i="6"/>
  <c r="P578" i="6"/>
  <c r="P580" i="6"/>
  <c r="P579" i="6"/>
  <c r="X580" i="6"/>
  <c r="X578" i="6"/>
  <c r="X579" i="6"/>
  <c r="AH642" i="13" a="1"/>
  <c r="AH642" i="13" s="1"/>
  <c r="X570" i="6"/>
  <c r="X574" i="6"/>
  <c r="P570" i="6"/>
  <c r="P574" i="6"/>
  <c r="X571" i="6"/>
  <c r="N642" i="13"/>
  <c r="Q642" i="13" s="1"/>
  <c r="W567" i="6"/>
  <c r="P567" i="6"/>
  <c r="N571" i="6"/>
  <c r="P571" i="6"/>
  <c r="X569" i="6"/>
  <c r="X568" i="6"/>
  <c r="P569" i="6"/>
  <c r="N570" i="6"/>
  <c r="N568" i="6"/>
  <c r="P568" i="6"/>
  <c r="AH641" i="13" a="1"/>
  <c r="AH641" i="13" s="1"/>
  <c r="N641" i="13"/>
  <c r="Q641" i="13" s="1"/>
  <c r="AD641" i="13" s="1"/>
  <c r="R643" i="13"/>
  <c r="P641" i="13"/>
  <c r="N566" i="6"/>
  <c r="AG641" i="13" a="1"/>
  <c r="AG641" i="13" s="1"/>
  <c r="H641" i="13"/>
  <c r="AH643" i="13" a="1"/>
  <c r="AH643" i="13" s="1"/>
  <c r="AL641" i="13"/>
  <c r="AG642" i="13" a="1"/>
  <c r="AG642" i="13" s="1"/>
  <c r="T643" i="13"/>
  <c r="Z641" i="13"/>
  <c r="K642" i="13"/>
  <c r="AP642" i="13" s="1"/>
  <c r="G642" i="13"/>
  <c r="Z642" i="13"/>
  <c r="T642" i="13"/>
  <c r="P642" i="13"/>
  <c r="K641" i="13"/>
  <c r="AP641" i="13" s="1"/>
  <c r="T641" i="13"/>
  <c r="N643" i="13"/>
  <c r="S567" i="6" l="1"/>
  <c r="X567" i="6"/>
  <c r="X730" i="6"/>
  <c r="S569" i="6"/>
  <c r="S570" i="6"/>
  <c r="AA642" i="13"/>
  <c r="AI642" i="13" s="1"/>
  <c r="AM642" i="13"/>
  <c r="S568" i="6"/>
  <c r="AM641" i="13"/>
  <c r="J642" i="13"/>
  <c r="AD642" i="13" s="1"/>
  <c r="AL642" i="13"/>
  <c r="Q643" i="13"/>
  <c r="AM643" i="13"/>
  <c r="AA641" i="13"/>
  <c r="AE642" i="13" l="1"/>
  <c r="AK642" i="13"/>
  <c r="AQ642" i="13" s="1"/>
  <c r="AF642" i="13"/>
  <c r="AB642" i="13"/>
  <c r="AI641" i="13"/>
  <c r="AK641" i="13"/>
  <c r="AQ641" i="13" s="1"/>
  <c r="AB641" i="13"/>
  <c r="AF641" i="13"/>
  <c r="AE641" i="13"/>
  <c r="E565" i="6"/>
  <c r="F565" i="6" a="1"/>
  <c r="F565" i="6" s="1"/>
  <c r="H565" i="6"/>
  <c r="I565" i="6" s="1"/>
  <c r="J565" i="6"/>
  <c r="O565" i="6"/>
  <c r="T565" i="6"/>
  <c r="V565" i="6" a="1"/>
  <c r="V565" i="6" s="1"/>
  <c r="W565" i="6"/>
  <c r="E564" i="6"/>
  <c r="F564" i="6" a="1"/>
  <c r="F564" i="6" s="1"/>
  <c r="H564" i="6"/>
  <c r="I564" i="6" s="1"/>
  <c r="J564" i="6"/>
  <c r="O564" i="6"/>
  <c r="T564" i="6"/>
  <c r="V564" i="6" a="1"/>
  <c r="V564" i="6" s="1"/>
  <c r="W564" i="6"/>
  <c r="Y2" i="13"/>
  <c r="Y3" i="13"/>
  <c r="Y4" i="13"/>
  <c r="Y5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3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Y168" i="13"/>
  <c r="Y169" i="13"/>
  <c r="Y170" i="13"/>
  <c r="Y171" i="13"/>
  <c r="Y172" i="13"/>
  <c r="Y173" i="13"/>
  <c r="Y174" i="13"/>
  <c r="Y175" i="13"/>
  <c r="Y176" i="13"/>
  <c r="Y177" i="13"/>
  <c r="Y178" i="13"/>
  <c r="Y179" i="13"/>
  <c r="Y180" i="13"/>
  <c r="Y181" i="13"/>
  <c r="Y182" i="13"/>
  <c r="Y183" i="13"/>
  <c r="Y184" i="13"/>
  <c r="Y185" i="13"/>
  <c r="Y186" i="13"/>
  <c r="Y187" i="13"/>
  <c r="Y188" i="13"/>
  <c r="Y189" i="13"/>
  <c r="Y190" i="13"/>
  <c r="Y191" i="13"/>
  <c r="Y192" i="13"/>
  <c r="Y193" i="13"/>
  <c r="Y194" i="13"/>
  <c r="Y195" i="13"/>
  <c r="Y196" i="13"/>
  <c r="Y197" i="13"/>
  <c r="Y198" i="13"/>
  <c r="Y199" i="13"/>
  <c r="Y200" i="13"/>
  <c r="Y201" i="13"/>
  <c r="Y202" i="13"/>
  <c r="Y203" i="13"/>
  <c r="Y204" i="13"/>
  <c r="Y205" i="13"/>
  <c r="Y206" i="13"/>
  <c r="Y207" i="13"/>
  <c r="Y208" i="13"/>
  <c r="Y209" i="13"/>
  <c r="Y210" i="13"/>
  <c r="Y211" i="13"/>
  <c r="Y213" i="13"/>
  <c r="Y214" i="13"/>
  <c r="Y215" i="13"/>
  <c r="Y216" i="13"/>
  <c r="Y217" i="13"/>
  <c r="Y218" i="13"/>
  <c r="Y219" i="13"/>
  <c r="Y220" i="13"/>
  <c r="Y221" i="13"/>
  <c r="Y222" i="13"/>
  <c r="Y223" i="13"/>
  <c r="Y224" i="13"/>
  <c r="Y225" i="13"/>
  <c r="Y226" i="13"/>
  <c r="Y227" i="13"/>
  <c r="Y228" i="13"/>
  <c r="Y229" i="13"/>
  <c r="Y230" i="13"/>
  <c r="Y231" i="13"/>
  <c r="Y232" i="13"/>
  <c r="Y233" i="13"/>
  <c r="Y234" i="13"/>
  <c r="Y235" i="13"/>
  <c r="Y236" i="13"/>
  <c r="Y237" i="13"/>
  <c r="Y238" i="13"/>
  <c r="Y239" i="13"/>
  <c r="Y240" i="13"/>
  <c r="Y241" i="13"/>
  <c r="Y242" i="13"/>
  <c r="Y243" i="13"/>
  <c r="Y244" i="13"/>
  <c r="Y245" i="13"/>
  <c r="Y246" i="13"/>
  <c r="Y247" i="13"/>
  <c r="Y248" i="13"/>
  <c r="Y249" i="13"/>
  <c r="Y250" i="13"/>
  <c r="Y251" i="13"/>
  <c r="Y252" i="13"/>
  <c r="Y253" i="13"/>
  <c r="Y254" i="13"/>
  <c r="Y255" i="13"/>
  <c r="Y256" i="13"/>
  <c r="Y257" i="13"/>
  <c r="Y258" i="13"/>
  <c r="Y259" i="13"/>
  <c r="Y260" i="13"/>
  <c r="Y261" i="13"/>
  <c r="Y262" i="13"/>
  <c r="Y263" i="13"/>
  <c r="Y264" i="13"/>
  <c r="Y265" i="13"/>
  <c r="Y266" i="13"/>
  <c r="Y267" i="13"/>
  <c r="Y268" i="13"/>
  <c r="Y269" i="13"/>
  <c r="Y270" i="13"/>
  <c r="Y271" i="13"/>
  <c r="Y272" i="13"/>
  <c r="Y273" i="13"/>
  <c r="Y274" i="13"/>
  <c r="Y275" i="13"/>
  <c r="Y276" i="13"/>
  <c r="Y277" i="13"/>
  <c r="Y278" i="13"/>
  <c r="Y279" i="13"/>
  <c r="Y280" i="13"/>
  <c r="Y281" i="13"/>
  <c r="Y282" i="13"/>
  <c r="Y283" i="13"/>
  <c r="Y284" i="13"/>
  <c r="Y285" i="13"/>
  <c r="Y286" i="13"/>
  <c r="Y287" i="13"/>
  <c r="Y288" i="13"/>
  <c r="Y289" i="13"/>
  <c r="Y290" i="13"/>
  <c r="Y291" i="13"/>
  <c r="Y292" i="13"/>
  <c r="Y293" i="13"/>
  <c r="Y294" i="13"/>
  <c r="Y295" i="13"/>
  <c r="Y296" i="13"/>
  <c r="Y297" i="13"/>
  <c r="Y298" i="13"/>
  <c r="Y299" i="13"/>
  <c r="Y300" i="13"/>
  <c r="Y301" i="13"/>
  <c r="Y302" i="13"/>
  <c r="Y303" i="13"/>
  <c r="Y304" i="13"/>
  <c r="Y305" i="13"/>
  <c r="Y306" i="13"/>
  <c r="Y307" i="13"/>
  <c r="Y308" i="13"/>
  <c r="Y309" i="13"/>
  <c r="Y310" i="13"/>
  <c r="Y311" i="13"/>
  <c r="Y312" i="13"/>
  <c r="Y313" i="13"/>
  <c r="Y314" i="13"/>
  <c r="Y315" i="13"/>
  <c r="Y316" i="13"/>
  <c r="Y317" i="13"/>
  <c r="Y318" i="13"/>
  <c r="Y319" i="13"/>
  <c r="Y320" i="13"/>
  <c r="Y321" i="13"/>
  <c r="Y322" i="13"/>
  <c r="Y323" i="13"/>
  <c r="Y324" i="13"/>
  <c r="Y325" i="13"/>
  <c r="Y326" i="13"/>
  <c r="Y327" i="13"/>
  <c r="Y328" i="13"/>
  <c r="Y329" i="13"/>
  <c r="Y330" i="13"/>
  <c r="Y331" i="13"/>
  <c r="Y332" i="13"/>
  <c r="Y333" i="13"/>
  <c r="Y334" i="13"/>
  <c r="Y335" i="13"/>
  <c r="Y336" i="13"/>
  <c r="Y337" i="13"/>
  <c r="Y338" i="13"/>
  <c r="Y339" i="13"/>
  <c r="Y340" i="13"/>
  <c r="Y341" i="13"/>
  <c r="Y342" i="13"/>
  <c r="Y343" i="13"/>
  <c r="Y344" i="13"/>
  <c r="Y345" i="13"/>
  <c r="Y346" i="13"/>
  <c r="Y347" i="13"/>
  <c r="Y348" i="13"/>
  <c r="Y349" i="13"/>
  <c r="Y350" i="13"/>
  <c r="Y351" i="13"/>
  <c r="Y352" i="13"/>
  <c r="Y353" i="13"/>
  <c r="Y354" i="13"/>
  <c r="Y355" i="13"/>
  <c r="Y356" i="13"/>
  <c r="Y357" i="13"/>
  <c r="Y358" i="13"/>
  <c r="Y359" i="13"/>
  <c r="Y360" i="13"/>
  <c r="Y361" i="13"/>
  <c r="Y362" i="13"/>
  <c r="Y363" i="13"/>
  <c r="Y364" i="13"/>
  <c r="Y365" i="13"/>
  <c r="Y366" i="13"/>
  <c r="Y367" i="13"/>
  <c r="Y368" i="13"/>
  <c r="Y369" i="13"/>
  <c r="Y370" i="13"/>
  <c r="Y371" i="13"/>
  <c r="Y372" i="13"/>
  <c r="Y373" i="13"/>
  <c r="Y374" i="13"/>
  <c r="Y375" i="13"/>
  <c r="Y376" i="13"/>
  <c r="Y377" i="13"/>
  <c r="Y378" i="13"/>
  <c r="Y379" i="13"/>
  <c r="Y380" i="13"/>
  <c r="Y382" i="13"/>
  <c r="Y383" i="13"/>
  <c r="Y384" i="13"/>
  <c r="Y385" i="13"/>
  <c r="Y386" i="13"/>
  <c r="Y387" i="13"/>
  <c r="Y388" i="13"/>
  <c r="Y389" i="13"/>
  <c r="Y390" i="13"/>
  <c r="Y391" i="13"/>
  <c r="Y392" i="13"/>
  <c r="Y393" i="13"/>
  <c r="Y394" i="13"/>
  <c r="Y395" i="13"/>
  <c r="Y396" i="13"/>
  <c r="Y397" i="13"/>
  <c r="Y398" i="13"/>
  <c r="Y399" i="13"/>
  <c r="Y400" i="13"/>
  <c r="Y401" i="13"/>
  <c r="Y402" i="13"/>
  <c r="Y403" i="13"/>
  <c r="Y404" i="13"/>
  <c r="Y405" i="13"/>
  <c r="Y406" i="13"/>
  <c r="Y407" i="13"/>
  <c r="Y408" i="13"/>
  <c r="Y409" i="13"/>
  <c r="Y410" i="13"/>
  <c r="Y411" i="13"/>
  <c r="Y412" i="13"/>
  <c r="Y413" i="13"/>
  <c r="Y414" i="13"/>
  <c r="Y415" i="13"/>
  <c r="Y416" i="13"/>
  <c r="Y417" i="13"/>
  <c r="Y418" i="13"/>
  <c r="Y419" i="13"/>
  <c r="Y421" i="13"/>
  <c r="Y422" i="13"/>
  <c r="Y423" i="13"/>
  <c r="Y424" i="13"/>
  <c r="Y425" i="13"/>
  <c r="Y426" i="13"/>
  <c r="Y427" i="13"/>
  <c r="Y428" i="13"/>
  <c r="Y429" i="13"/>
  <c r="Y430" i="13"/>
  <c r="Y431" i="13"/>
  <c r="Y433" i="13"/>
  <c r="Y434" i="13"/>
  <c r="Y435" i="13"/>
  <c r="Y436" i="13"/>
  <c r="Y437" i="13"/>
  <c r="Y438" i="13"/>
  <c r="Y439" i="13"/>
  <c r="Y440" i="13"/>
  <c r="Y441" i="13"/>
  <c r="Y442" i="13"/>
  <c r="Y443" i="13"/>
  <c r="Y444" i="13"/>
  <c r="Y445" i="13"/>
  <c r="Y446" i="13"/>
  <c r="Y447" i="13"/>
  <c r="Y448" i="13"/>
  <c r="Y449" i="13"/>
  <c r="Y450" i="13"/>
  <c r="Y451" i="13"/>
  <c r="Y452" i="13"/>
  <c r="Y453" i="13"/>
  <c r="Y454" i="13"/>
  <c r="Y455" i="13"/>
  <c r="Y456" i="13"/>
  <c r="Y457" i="13"/>
  <c r="Y458" i="13"/>
  <c r="Y459" i="13"/>
  <c r="Y460" i="13"/>
  <c r="Y461" i="13"/>
  <c r="Y462" i="13"/>
  <c r="Y463" i="13"/>
  <c r="Y464" i="13"/>
  <c r="Y465" i="13"/>
  <c r="Y466" i="13"/>
  <c r="Y467" i="13"/>
  <c r="Y468" i="13"/>
  <c r="Y469" i="13"/>
  <c r="Y470" i="13"/>
  <c r="Y471" i="13"/>
  <c r="Y472" i="13"/>
  <c r="Y473" i="13"/>
  <c r="Y474" i="13"/>
  <c r="Y475" i="13"/>
  <c r="Y476" i="13"/>
  <c r="Y477" i="13"/>
  <c r="Y478" i="13"/>
  <c r="Y479" i="13"/>
  <c r="Y480" i="13"/>
  <c r="Y481" i="13"/>
  <c r="Y482" i="13"/>
  <c r="Y483" i="13"/>
  <c r="Y484" i="13"/>
  <c r="Y485" i="13"/>
  <c r="Y486" i="13"/>
  <c r="Y487" i="13"/>
  <c r="Y488" i="13"/>
  <c r="Y489" i="13"/>
  <c r="Y490" i="13"/>
  <c r="Y491" i="13"/>
  <c r="Y492" i="13"/>
  <c r="Y493" i="13"/>
  <c r="Y494" i="13"/>
  <c r="Y495" i="13"/>
  <c r="Y496" i="13"/>
  <c r="Y497" i="13"/>
  <c r="Y498" i="13"/>
  <c r="Y499" i="13"/>
  <c r="Y500" i="13"/>
  <c r="Y501" i="13"/>
  <c r="Y502" i="13"/>
  <c r="Y504" i="13"/>
  <c r="Y505" i="13"/>
  <c r="Y506" i="13"/>
  <c r="Y507" i="13"/>
  <c r="Y508" i="13"/>
  <c r="Y509" i="13"/>
  <c r="Y510" i="13"/>
  <c r="Y511" i="13"/>
  <c r="Y512" i="13"/>
  <c r="Y513" i="13"/>
  <c r="Y514" i="13"/>
  <c r="Y515" i="13"/>
  <c r="Y516" i="13"/>
  <c r="Y517" i="13"/>
  <c r="Y518" i="13"/>
  <c r="Y519" i="13"/>
  <c r="Y520" i="13"/>
  <c r="Y521" i="13"/>
  <c r="Y522" i="13"/>
  <c r="Y523" i="13"/>
  <c r="Y524" i="13"/>
  <c r="Y525" i="13"/>
  <c r="Y526" i="13"/>
  <c r="Y527" i="13"/>
  <c r="Y528" i="13"/>
  <c r="Y529" i="13"/>
  <c r="Y530" i="13"/>
  <c r="Y531" i="13"/>
  <c r="Y532" i="13"/>
  <c r="Y533" i="13"/>
  <c r="Y534" i="13"/>
  <c r="Y535" i="13"/>
  <c r="Y536" i="13"/>
  <c r="Y537" i="13"/>
  <c r="Y538" i="13"/>
  <c r="Y539" i="13"/>
  <c r="Y540" i="13"/>
  <c r="Y541" i="13"/>
  <c r="Y542" i="13"/>
  <c r="Y543" i="13"/>
  <c r="Y544" i="13"/>
  <c r="Y545" i="13"/>
  <c r="Y546" i="13"/>
  <c r="Y547" i="13"/>
  <c r="Y548" i="13"/>
  <c r="Y549" i="13"/>
  <c r="Y550" i="13"/>
  <c r="Y551" i="13"/>
  <c r="Y552" i="13"/>
  <c r="Y553" i="13"/>
  <c r="Y554" i="13"/>
  <c r="Y555" i="13"/>
  <c r="Y556" i="13"/>
  <c r="Y557" i="13"/>
  <c r="Y558" i="13"/>
  <c r="Y559" i="13"/>
  <c r="Y560" i="13"/>
  <c r="Y561" i="13"/>
  <c r="Y562" i="13"/>
  <c r="Y563" i="13"/>
  <c r="Y564" i="13"/>
  <c r="Y565" i="13"/>
  <c r="Y566" i="13"/>
  <c r="Y567" i="13"/>
  <c r="Y568" i="13"/>
  <c r="Y569" i="13"/>
  <c r="Y571" i="13"/>
  <c r="Y572" i="13"/>
  <c r="Y573" i="13"/>
  <c r="Y574" i="13"/>
  <c r="Y575" i="13"/>
  <c r="Y576" i="13"/>
  <c r="Y577" i="13"/>
  <c r="Y578" i="13"/>
  <c r="Y579" i="13"/>
  <c r="Y580" i="13"/>
  <c r="Y581" i="13"/>
  <c r="Y582" i="13"/>
  <c r="Y583" i="13"/>
  <c r="Y584" i="13"/>
  <c r="Y585" i="13"/>
  <c r="Y586" i="13"/>
  <c r="Y587" i="13"/>
  <c r="Y588" i="13"/>
  <c r="Y589" i="13"/>
  <c r="Y590" i="13"/>
  <c r="Y591" i="13"/>
  <c r="Y592" i="13"/>
  <c r="Y593" i="13"/>
  <c r="Y594" i="13"/>
  <c r="Y595" i="13"/>
  <c r="Y596" i="13"/>
  <c r="Y597" i="13"/>
  <c r="Y598" i="13"/>
  <c r="Y599" i="13"/>
  <c r="Y600" i="13"/>
  <c r="Y601" i="13"/>
  <c r="Y602" i="13"/>
  <c r="Y603" i="13"/>
  <c r="Y604" i="13"/>
  <c r="Y605" i="13"/>
  <c r="Y606" i="13"/>
  <c r="Y607" i="13"/>
  <c r="Y608" i="13"/>
  <c r="Y609" i="13"/>
  <c r="Y610" i="13"/>
  <c r="Y611" i="13"/>
  <c r="Y612" i="13"/>
  <c r="Y613" i="13"/>
  <c r="Y614" i="13"/>
  <c r="Y615" i="13"/>
  <c r="Y616" i="13"/>
  <c r="Y617" i="13"/>
  <c r="Y618" i="13"/>
  <c r="Y619" i="13"/>
  <c r="Y620" i="13"/>
  <c r="Y621" i="13"/>
  <c r="Y622" i="13"/>
  <c r="Y623" i="13"/>
  <c r="Y624" i="13"/>
  <c r="Y625" i="13"/>
  <c r="Y626" i="13"/>
  <c r="Y627" i="13"/>
  <c r="Y628" i="13"/>
  <c r="Y629" i="13"/>
  <c r="Y630" i="13"/>
  <c r="Y631" i="13"/>
  <c r="Y632" i="13"/>
  <c r="Y633" i="13"/>
  <c r="Y634" i="13"/>
  <c r="Y635" i="13"/>
  <c r="Y636" i="13"/>
  <c r="Y637" i="13"/>
  <c r="Y638" i="13"/>
  <c r="Y639" i="13"/>
  <c r="Y640" i="13"/>
  <c r="X2" i="13"/>
  <c r="X3" i="13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X68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X83" i="13"/>
  <c r="X84" i="13"/>
  <c r="X85" i="13"/>
  <c r="X86" i="13"/>
  <c r="X87" i="13"/>
  <c r="X88" i="13"/>
  <c r="X89" i="13"/>
  <c r="X90" i="13"/>
  <c r="X91" i="13"/>
  <c r="X92" i="13"/>
  <c r="X93" i="13"/>
  <c r="X94" i="13"/>
  <c r="X95" i="13"/>
  <c r="X96" i="13"/>
  <c r="X97" i="13"/>
  <c r="X98" i="13"/>
  <c r="X99" i="13"/>
  <c r="X100" i="13"/>
  <c r="X101" i="13"/>
  <c r="X102" i="13"/>
  <c r="X103" i="13"/>
  <c r="X104" i="13"/>
  <c r="X105" i="13"/>
  <c r="X106" i="13"/>
  <c r="X107" i="13"/>
  <c r="X108" i="13"/>
  <c r="X109" i="13"/>
  <c r="X110" i="13"/>
  <c r="X111" i="13"/>
  <c r="X112" i="13"/>
  <c r="X113" i="13"/>
  <c r="X114" i="13"/>
  <c r="X115" i="13"/>
  <c r="X116" i="13"/>
  <c r="X117" i="13"/>
  <c r="X118" i="13"/>
  <c r="X119" i="13"/>
  <c r="X120" i="13"/>
  <c r="X121" i="13"/>
  <c r="X122" i="13"/>
  <c r="X123" i="13"/>
  <c r="X124" i="13"/>
  <c r="X125" i="13"/>
  <c r="X126" i="13"/>
  <c r="X127" i="13"/>
  <c r="X128" i="13"/>
  <c r="X129" i="13"/>
  <c r="X130" i="13"/>
  <c r="X131" i="13"/>
  <c r="X132" i="13"/>
  <c r="X133" i="13"/>
  <c r="X134" i="13"/>
  <c r="X135" i="13"/>
  <c r="X136" i="13"/>
  <c r="X137" i="13"/>
  <c r="X138" i="13"/>
  <c r="X139" i="13"/>
  <c r="X140" i="13"/>
  <c r="X141" i="13"/>
  <c r="X143" i="13"/>
  <c r="X145" i="13"/>
  <c r="X146" i="13"/>
  <c r="X147" i="13"/>
  <c r="X148" i="13"/>
  <c r="X149" i="13"/>
  <c r="X150" i="13"/>
  <c r="X151" i="13"/>
  <c r="X152" i="13"/>
  <c r="X153" i="13"/>
  <c r="X154" i="13"/>
  <c r="X155" i="13"/>
  <c r="X156" i="13"/>
  <c r="X157" i="13"/>
  <c r="X158" i="13"/>
  <c r="X159" i="13"/>
  <c r="X160" i="13"/>
  <c r="X161" i="13"/>
  <c r="X162" i="13"/>
  <c r="X163" i="13"/>
  <c r="X164" i="13"/>
  <c r="X165" i="13"/>
  <c r="X166" i="13"/>
  <c r="X167" i="13"/>
  <c r="X168" i="13"/>
  <c r="X169" i="13"/>
  <c r="X170" i="13"/>
  <c r="X171" i="13"/>
  <c r="X172" i="13"/>
  <c r="X173" i="13"/>
  <c r="X174" i="13"/>
  <c r="X175" i="13"/>
  <c r="X176" i="13"/>
  <c r="X177" i="13"/>
  <c r="X178" i="13"/>
  <c r="X179" i="13"/>
  <c r="X180" i="13"/>
  <c r="X181" i="13"/>
  <c r="X182" i="13"/>
  <c r="X183" i="13"/>
  <c r="X184" i="13"/>
  <c r="X185" i="13"/>
  <c r="X186" i="13"/>
  <c r="X187" i="13"/>
  <c r="X188" i="13"/>
  <c r="X189" i="13"/>
  <c r="X190" i="13"/>
  <c r="X191" i="13"/>
  <c r="X192" i="13"/>
  <c r="X193" i="13"/>
  <c r="X194" i="13"/>
  <c r="X195" i="13"/>
  <c r="X196" i="13"/>
  <c r="X197" i="13"/>
  <c r="X198" i="13"/>
  <c r="X199" i="13"/>
  <c r="X200" i="13"/>
  <c r="X201" i="13"/>
  <c r="X202" i="13"/>
  <c r="X203" i="13"/>
  <c r="X204" i="13"/>
  <c r="X205" i="13"/>
  <c r="X206" i="13"/>
  <c r="X207" i="13"/>
  <c r="X208" i="13"/>
  <c r="X209" i="13"/>
  <c r="X210" i="13"/>
  <c r="X211" i="13"/>
  <c r="X212" i="13"/>
  <c r="X213" i="13"/>
  <c r="X214" i="13"/>
  <c r="X215" i="13"/>
  <c r="X216" i="13"/>
  <c r="X217" i="13"/>
  <c r="X218" i="13"/>
  <c r="X219" i="13"/>
  <c r="X220" i="13"/>
  <c r="X221" i="13"/>
  <c r="X222" i="13"/>
  <c r="X223" i="13"/>
  <c r="X224" i="13"/>
  <c r="X225" i="13"/>
  <c r="X226" i="13"/>
  <c r="X227" i="13"/>
  <c r="X228" i="13"/>
  <c r="X229" i="13"/>
  <c r="X230" i="13"/>
  <c r="X231" i="13"/>
  <c r="X232" i="13"/>
  <c r="X233" i="13"/>
  <c r="X234" i="13"/>
  <c r="X235" i="13"/>
  <c r="X236" i="13"/>
  <c r="X237" i="13"/>
  <c r="X238" i="13"/>
  <c r="X239" i="13"/>
  <c r="X240" i="13"/>
  <c r="X241" i="13"/>
  <c r="X242" i="13"/>
  <c r="X243" i="13"/>
  <c r="X244" i="13"/>
  <c r="X245" i="13"/>
  <c r="X246" i="13"/>
  <c r="X247" i="13"/>
  <c r="X248" i="13"/>
  <c r="X249" i="13"/>
  <c r="X250" i="13"/>
  <c r="X251" i="13"/>
  <c r="X252" i="13"/>
  <c r="X253" i="13"/>
  <c r="X254" i="13"/>
  <c r="X255" i="13"/>
  <c r="X256" i="13"/>
  <c r="X257" i="13"/>
  <c r="X258" i="13"/>
  <c r="X259" i="13"/>
  <c r="X260" i="13"/>
  <c r="X261" i="13"/>
  <c r="X262" i="13"/>
  <c r="X263" i="13"/>
  <c r="X264" i="13"/>
  <c r="X265" i="13"/>
  <c r="X266" i="13"/>
  <c r="X267" i="13"/>
  <c r="X268" i="13"/>
  <c r="X269" i="13"/>
  <c r="X270" i="13"/>
  <c r="X271" i="13"/>
  <c r="X272" i="13"/>
  <c r="X273" i="13"/>
  <c r="X274" i="13"/>
  <c r="X275" i="13"/>
  <c r="X276" i="13"/>
  <c r="X277" i="13"/>
  <c r="X278" i="13"/>
  <c r="X279" i="13"/>
  <c r="X280" i="13"/>
  <c r="X281" i="13"/>
  <c r="X282" i="13"/>
  <c r="X283" i="13"/>
  <c r="X284" i="13"/>
  <c r="X285" i="13"/>
  <c r="X286" i="13"/>
  <c r="X287" i="13"/>
  <c r="X288" i="13"/>
  <c r="X289" i="13"/>
  <c r="X290" i="13"/>
  <c r="X291" i="13"/>
  <c r="X292" i="13"/>
  <c r="X293" i="13"/>
  <c r="X294" i="13"/>
  <c r="X295" i="13"/>
  <c r="X296" i="13"/>
  <c r="X297" i="13"/>
  <c r="X298" i="13"/>
  <c r="X299" i="13"/>
  <c r="X300" i="13"/>
  <c r="X301" i="13"/>
  <c r="X302" i="13"/>
  <c r="X303" i="13"/>
  <c r="X304" i="13"/>
  <c r="X305" i="13"/>
  <c r="X306" i="13"/>
  <c r="X307" i="13"/>
  <c r="X308" i="13"/>
  <c r="X309" i="13"/>
  <c r="X310" i="13"/>
  <c r="X311" i="13"/>
  <c r="X312" i="13"/>
  <c r="X313" i="13"/>
  <c r="X314" i="13"/>
  <c r="X315" i="13"/>
  <c r="X316" i="13"/>
  <c r="X317" i="13"/>
  <c r="X318" i="13"/>
  <c r="X319" i="13"/>
  <c r="X320" i="13"/>
  <c r="X321" i="13"/>
  <c r="X322" i="13"/>
  <c r="X323" i="13"/>
  <c r="X324" i="13"/>
  <c r="X325" i="13"/>
  <c r="X326" i="13"/>
  <c r="X327" i="13"/>
  <c r="X328" i="13"/>
  <c r="X329" i="13"/>
  <c r="X330" i="13"/>
  <c r="X331" i="13"/>
  <c r="X332" i="13"/>
  <c r="X333" i="13"/>
  <c r="X334" i="13"/>
  <c r="X335" i="13"/>
  <c r="X336" i="13"/>
  <c r="X337" i="13"/>
  <c r="X338" i="13"/>
  <c r="X339" i="13"/>
  <c r="X340" i="13"/>
  <c r="X341" i="13"/>
  <c r="X342" i="13"/>
  <c r="X343" i="13"/>
  <c r="X344" i="13"/>
  <c r="X345" i="13"/>
  <c r="X346" i="13"/>
  <c r="X347" i="13"/>
  <c r="X348" i="13"/>
  <c r="X349" i="13"/>
  <c r="X350" i="13"/>
  <c r="X351" i="13"/>
  <c r="X352" i="13"/>
  <c r="X353" i="13"/>
  <c r="X354" i="13"/>
  <c r="X355" i="13"/>
  <c r="X356" i="13"/>
  <c r="X357" i="13"/>
  <c r="X358" i="13"/>
  <c r="X359" i="13"/>
  <c r="X360" i="13"/>
  <c r="X361" i="13"/>
  <c r="X362" i="13"/>
  <c r="X363" i="13"/>
  <c r="X364" i="13"/>
  <c r="X365" i="13"/>
  <c r="X366" i="13"/>
  <c r="X367" i="13"/>
  <c r="X368" i="13"/>
  <c r="X369" i="13"/>
  <c r="X370" i="13"/>
  <c r="X371" i="13"/>
  <c r="X372" i="13"/>
  <c r="X373" i="13"/>
  <c r="X374" i="13"/>
  <c r="X375" i="13"/>
  <c r="X376" i="13"/>
  <c r="X377" i="13"/>
  <c r="X378" i="13"/>
  <c r="X379" i="13"/>
  <c r="X380" i="13"/>
  <c r="X382" i="13"/>
  <c r="X383" i="13"/>
  <c r="X384" i="13"/>
  <c r="X385" i="13"/>
  <c r="X386" i="13"/>
  <c r="X387" i="13"/>
  <c r="X388" i="13"/>
  <c r="X389" i="13"/>
  <c r="X390" i="13"/>
  <c r="X391" i="13"/>
  <c r="X392" i="13"/>
  <c r="X393" i="13"/>
  <c r="X394" i="13"/>
  <c r="X395" i="13"/>
  <c r="X396" i="13"/>
  <c r="X397" i="13"/>
  <c r="X398" i="13"/>
  <c r="X399" i="13"/>
  <c r="X400" i="13"/>
  <c r="X401" i="13"/>
  <c r="X402" i="13"/>
  <c r="X403" i="13"/>
  <c r="X404" i="13"/>
  <c r="X405" i="13"/>
  <c r="X406" i="13"/>
  <c r="X407" i="13"/>
  <c r="X408" i="13"/>
  <c r="X409" i="13"/>
  <c r="X410" i="13"/>
  <c r="X411" i="13"/>
  <c r="X412" i="13"/>
  <c r="X413" i="13"/>
  <c r="X414" i="13"/>
  <c r="X415" i="13"/>
  <c r="X416" i="13"/>
  <c r="X417" i="13"/>
  <c r="X418" i="13"/>
  <c r="X419" i="13"/>
  <c r="X421" i="13"/>
  <c r="X422" i="13"/>
  <c r="X423" i="13"/>
  <c r="X424" i="13"/>
  <c r="X425" i="13"/>
  <c r="X426" i="13"/>
  <c r="X427" i="13"/>
  <c r="X428" i="13"/>
  <c r="X429" i="13"/>
  <c r="X430" i="13"/>
  <c r="X431" i="13"/>
  <c r="X433" i="13"/>
  <c r="X434" i="13"/>
  <c r="X435" i="13"/>
  <c r="X436" i="13"/>
  <c r="X437" i="13"/>
  <c r="X438" i="13"/>
  <c r="X439" i="13"/>
  <c r="X440" i="13"/>
  <c r="X441" i="13"/>
  <c r="X442" i="13"/>
  <c r="X443" i="13"/>
  <c r="X444" i="13"/>
  <c r="X445" i="13"/>
  <c r="X446" i="13"/>
  <c r="X447" i="13"/>
  <c r="X448" i="13"/>
  <c r="X449" i="13"/>
  <c r="X450" i="13"/>
  <c r="X451" i="13"/>
  <c r="X452" i="13"/>
  <c r="X453" i="13"/>
  <c r="X454" i="13"/>
  <c r="X455" i="13"/>
  <c r="X456" i="13"/>
  <c r="X457" i="13"/>
  <c r="X458" i="13"/>
  <c r="X459" i="13"/>
  <c r="X460" i="13"/>
  <c r="X461" i="13"/>
  <c r="X462" i="13"/>
  <c r="X463" i="13"/>
  <c r="X464" i="13"/>
  <c r="X465" i="13"/>
  <c r="X466" i="13"/>
  <c r="X467" i="13"/>
  <c r="X468" i="13"/>
  <c r="X469" i="13"/>
  <c r="X470" i="13"/>
  <c r="X471" i="13"/>
  <c r="X472" i="13"/>
  <c r="X473" i="13"/>
  <c r="X474" i="13"/>
  <c r="X475" i="13"/>
  <c r="X476" i="13"/>
  <c r="X477" i="13"/>
  <c r="X478" i="13"/>
  <c r="X479" i="13"/>
  <c r="X480" i="13"/>
  <c r="X481" i="13"/>
  <c r="X482" i="13"/>
  <c r="X483" i="13"/>
  <c r="X484" i="13"/>
  <c r="X485" i="13"/>
  <c r="X486" i="13"/>
  <c r="X487" i="13"/>
  <c r="X488" i="13"/>
  <c r="X489" i="13"/>
  <c r="X490" i="13"/>
  <c r="X491" i="13"/>
  <c r="X492" i="13"/>
  <c r="X493" i="13"/>
  <c r="X494" i="13"/>
  <c r="X495" i="13"/>
  <c r="X496" i="13"/>
  <c r="X497" i="13"/>
  <c r="X498" i="13"/>
  <c r="X499" i="13"/>
  <c r="X500" i="13"/>
  <c r="X501" i="13"/>
  <c r="X502" i="13"/>
  <c r="X504" i="13"/>
  <c r="X505" i="13"/>
  <c r="X506" i="13"/>
  <c r="X507" i="13"/>
  <c r="X508" i="13"/>
  <c r="X509" i="13"/>
  <c r="X510" i="13"/>
  <c r="X511" i="13"/>
  <c r="X512" i="13"/>
  <c r="X513" i="13"/>
  <c r="X514" i="13"/>
  <c r="X515" i="13"/>
  <c r="X516" i="13"/>
  <c r="X517" i="13"/>
  <c r="X518" i="13"/>
  <c r="X519" i="13"/>
  <c r="X520" i="13"/>
  <c r="X521" i="13"/>
  <c r="X522" i="13"/>
  <c r="X523" i="13"/>
  <c r="X524" i="13"/>
  <c r="X525" i="13"/>
  <c r="X526" i="13"/>
  <c r="X527" i="13"/>
  <c r="X528" i="13"/>
  <c r="X529" i="13"/>
  <c r="X530" i="13"/>
  <c r="X531" i="13"/>
  <c r="X532" i="13"/>
  <c r="X533" i="13"/>
  <c r="X534" i="13"/>
  <c r="X535" i="13"/>
  <c r="X536" i="13"/>
  <c r="X537" i="13"/>
  <c r="X538" i="13"/>
  <c r="X539" i="13"/>
  <c r="X540" i="13"/>
  <c r="X541" i="13"/>
  <c r="X542" i="13"/>
  <c r="X543" i="13"/>
  <c r="X544" i="13"/>
  <c r="X545" i="13"/>
  <c r="X546" i="13"/>
  <c r="X547" i="13"/>
  <c r="X548" i="13"/>
  <c r="X549" i="13"/>
  <c r="X550" i="13"/>
  <c r="X551" i="13"/>
  <c r="X552" i="13"/>
  <c r="X553" i="13"/>
  <c r="X554" i="13"/>
  <c r="X555" i="13"/>
  <c r="X556" i="13"/>
  <c r="X557" i="13"/>
  <c r="X558" i="13"/>
  <c r="X559" i="13"/>
  <c r="X560" i="13"/>
  <c r="X561" i="13"/>
  <c r="X562" i="13"/>
  <c r="X563" i="13"/>
  <c r="X564" i="13"/>
  <c r="X565" i="13"/>
  <c r="X566" i="13"/>
  <c r="X567" i="13"/>
  <c r="X568" i="13"/>
  <c r="X569" i="13"/>
  <c r="X570" i="13"/>
  <c r="X571" i="13"/>
  <c r="X572" i="13"/>
  <c r="X573" i="13"/>
  <c r="X574" i="13"/>
  <c r="X575" i="13"/>
  <c r="X576" i="13"/>
  <c r="X577" i="13"/>
  <c r="X578" i="13"/>
  <c r="X579" i="13"/>
  <c r="X580" i="13"/>
  <c r="X581" i="13"/>
  <c r="X582" i="13"/>
  <c r="X583" i="13"/>
  <c r="X584" i="13"/>
  <c r="X585" i="13"/>
  <c r="X586" i="13"/>
  <c r="X587" i="13"/>
  <c r="X588" i="13"/>
  <c r="X589" i="13"/>
  <c r="X590" i="13"/>
  <c r="X591" i="13"/>
  <c r="X592" i="13"/>
  <c r="X593" i="13"/>
  <c r="X594" i="13"/>
  <c r="X595" i="13"/>
  <c r="X596" i="13"/>
  <c r="X597" i="13"/>
  <c r="X598" i="13"/>
  <c r="X599" i="13"/>
  <c r="X600" i="13"/>
  <c r="X601" i="13"/>
  <c r="X602" i="13"/>
  <c r="X603" i="13"/>
  <c r="X604" i="13"/>
  <c r="X605" i="13"/>
  <c r="X606" i="13"/>
  <c r="X607" i="13"/>
  <c r="X608" i="13"/>
  <c r="X609" i="13"/>
  <c r="X610" i="13"/>
  <c r="X611" i="13"/>
  <c r="X612" i="13"/>
  <c r="X613" i="13"/>
  <c r="X614" i="13"/>
  <c r="X615" i="13"/>
  <c r="X616" i="13"/>
  <c r="X617" i="13"/>
  <c r="X618" i="13"/>
  <c r="X619" i="13"/>
  <c r="X620" i="13"/>
  <c r="X621" i="13"/>
  <c r="X622" i="13"/>
  <c r="X623" i="13"/>
  <c r="X624" i="13"/>
  <c r="X625" i="13"/>
  <c r="X626" i="13"/>
  <c r="X627" i="13"/>
  <c r="X628" i="13"/>
  <c r="X629" i="13"/>
  <c r="X630" i="13"/>
  <c r="X631" i="13"/>
  <c r="X632" i="13"/>
  <c r="X633" i="13"/>
  <c r="X634" i="13"/>
  <c r="X635" i="13"/>
  <c r="X636" i="13"/>
  <c r="X637" i="13"/>
  <c r="X638" i="13"/>
  <c r="X639" i="13"/>
  <c r="X640" i="13"/>
  <c r="AC3" i="13"/>
  <c r="AC4" i="13"/>
  <c r="AC5" i="13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45" i="13"/>
  <c r="AC46" i="13"/>
  <c r="AC47" i="13"/>
  <c r="AC48" i="13"/>
  <c r="AC49" i="13"/>
  <c r="AC50" i="13"/>
  <c r="AC51" i="13"/>
  <c r="AC52" i="13"/>
  <c r="AC53" i="13"/>
  <c r="AC54" i="13"/>
  <c r="AC55" i="13"/>
  <c r="AC56" i="13"/>
  <c r="AC57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C89" i="13"/>
  <c r="AC90" i="13"/>
  <c r="AC91" i="13"/>
  <c r="AC92" i="13"/>
  <c r="AC93" i="13"/>
  <c r="AC94" i="13"/>
  <c r="AC95" i="13"/>
  <c r="AC96" i="13"/>
  <c r="AC97" i="13"/>
  <c r="AC98" i="13"/>
  <c r="AC99" i="13"/>
  <c r="AC100" i="13"/>
  <c r="AC101" i="13"/>
  <c r="AC102" i="13"/>
  <c r="AC103" i="13"/>
  <c r="AC104" i="13"/>
  <c r="AC105" i="13"/>
  <c r="AC106" i="13"/>
  <c r="AC107" i="13"/>
  <c r="AC108" i="13"/>
  <c r="AC109" i="13"/>
  <c r="AC110" i="13"/>
  <c r="AC111" i="13"/>
  <c r="AC112" i="13"/>
  <c r="AC113" i="13"/>
  <c r="AC114" i="13"/>
  <c r="AC115" i="13"/>
  <c r="AC116" i="13"/>
  <c r="AC117" i="13"/>
  <c r="AC118" i="13"/>
  <c r="AC119" i="13"/>
  <c r="AC120" i="13"/>
  <c r="AC121" i="13"/>
  <c r="AC122" i="13"/>
  <c r="AC123" i="13"/>
  <c r="AC124" i="13"/>
  <c r="AC125" i="13"/>
  <c r="AC126" i="13"/>
  <c r="AC127" i="13"/>
  <c r="AC128" i="13"/>
  <c r="AC129" i="13"/>
  <c r="AC130" i="13"/>
  <c r="AC131" i="13"/>
  <c r="AC132" i="13"/>
  <c r="AC133" i="13"/>
  <c r="AC134" i="13"/>
  <c r="AC135" i="13"/>
  <c r="AC136" i="13"/>
  <c r="AC137" i="13"/>
  <c r="AC138" i="13"/>
  <c r="AC139" i="13"/>
  <c r="AC140" i="13"/>
  <c r="AC141" i="13"/>
  <c r="AC142" i="13"/>
  <c r="AC143" i="13"/>
  <c r="AC144" i="13"/>
  <c r="AC145" i="13"/>
  <c r="AC146" i="13"/>
  <c r="AC147" i="13"/>
  <c r="AC148" i="13"/>
  <c r="AC149" i="13"/>
  <c r="AC150" i="13"/>
  <c r="AC151" i="13"/>
  <c r="AC152" i="13"/>
  <c r="AC153" i="13"/>
  <c r="AC154" i="13"/>
  <c r="AC155" i="13"/>
  <c r="AC156" i="13"/>
  <c r="AC157" i="13"/>
  <c r="AC158" i="13"/>
  <c r="AC159" i="13"/>
  <c r="AC160" i="13"/>
  <c r="AC161" i="13"/>
  <c r="AC162" i="13"/>
  <c r="AC163" i="13"/>
  <c r="AC164" i="13"/>
  <c r="AC165" i="13"/>
  <c r="AC166" i="13"/>
  <c r="AC167" i="13"/>
  <c r="AC168" i="13"/>
  <c r="AC169" i="13"/>
  <c r="AC170" i="13"/>
  <c r="AC171" i="13"/>
  <c r="AC172" i="13"/>
  <c r="AC173" i="13"/>
  <c r="AC174" i="13"/>
  <c r="AC175" i="13"/>
  <c r="AC176" i="13"/>
  <c r="AC177" i="13"/>
  <c r="AC178" i="13"/>
  <c r="AC179" i="13"/>
  <c r="AC180" i="13"/>
  <c r="AC181" i="13"/>
  <c r="AC182" i="13"/>
  <c r="AC183" i="13"/>
  <c r="AC184" i="13"/>
  <c r="AC185" i="13"/>
  <c r="AC186" i="13"/>
  <c r="AC187" i="13"/>
  <c r="AC188" i="13"/>
  <c r="AC189" i="13"/>
  <c r="AC190" i="13"/>
  <c r="AC191" i="13"/>
  <c r="AC192" i="13"/>
  <c r="AC193" i="13"/>
  <c r="AC194" i="13"/>
  <c r="AC195" i="13"/>
  <c r="AC196" i="13"/>
  <c r="AC197" i="13"/>
  <c r="AC198" i="13"/>
  <c r="AC199" i="13"/>
  <c r="AC200" i="13"/>
  <c r="AC201" i="13"/>
  <c r="AC202" i="13"/>
  <c r="AC203" i="13"/>
  <c r="AC204" i="13"/>
  <c r="AC205" i="13"/>
  <c r="AC206" i="13"/>
  <c r="AC207" i="13"/>
  <c r="AC208" i="13"/>
  <c r="AC209" i="13"/>
  <c r="AC210" i="13"/>
  <c r="AC211" i="13"/>
  <c r="AC212" i="13"/>
  <c r="AC213" i="13"/>
  <c r="AC214" i="13"/>
  <c r="AC215" i="13"/>
  <c r="AC216" i="13"/>
  <c r="AC217" i="13"/>
  <c r="AC218" i="13"/>
  <c r="AC219" i="13"/>
  <c r="AC220" i="13"/>
  <c r="AC221" i="13"/>
  <c r="AC222" i="13"/>
  <c r="AC223" i="13"/>
  <c r="AC224" i="13"/>
  <c r="AC225" i="13"/>
  <c r="AC226" i="13"/>
  <c r="AC227" i="13"/>
  <c r="AC228" i="13"/>
  <c r="AC229" i="13"/>
  <c r="AC230" i="13"/>
  <c r="AC231" i="13"/>
  <c r="AC232" i="13"/>
  <c r="AC233" i="13"/>
  <c r="AC234" i="13"/>
  <c r="AC235" i="13"/>
  <c r="AC236" i="13"/>
  <c r="AC237" i="13"/>
  <c r="AC238" i="13"/>
  <c r="AC239" i="13"/>
  <c r="AC240" i="13"/>
  <c r="AC241" i="13"/>
  <c r="AC242" i="13"/>
  <c r="AC243" i="13"/>
  <c r="AC244" i="13"/>
  <c r="AC245" i="13"/>
  <c r="AC246" i="13"/>
  <c r="AC247" i="13"/>
  <c r="AC248" i="13"/>
  <c r="AC249" i="13"/>
  <c r="AC250" i="13"/>
  <c r="AC251" i="13"/>
  <c r="AC252" i="13"/>
  <c r="AC253" i="13"/>
  <c r="AC254" i="13"/>
  <c r="AC255" i="13"/>
  <c r="AC256" i="13"/>
  <c r="AC257" i="13"/>
  <c r="AC258" i="13"/>
  <c r="AC259" i="13"/>
  <c r="AC260" i="13"/>
  <c r="AC261" i="13"/>
  <c r="AC262" i="13"/>
  <c r="AC263" i="13"/>
  <c r="AC264" i="13"/>
  <c r="AC265" i="13"/>
  <c r="AC266" i="13"/>
  <c r="AC267" i="13"/>
  <c r="AC268" i="13"/>
  <c r="AC269" i="13"/>
  <c r="AC270" i="13"/>
  <c r="AC271" i="13"/>
  <c r="AC272" i="13"/>
  <c r="AC273" i="13"/>
  <c r="AC274" i="13"/>
  <c r="AC275" i="13"/>
  <c r="AC276" i="13"/>
  <c r="AC277" i="13"/>
  <c r="AC278" i="13"/>
  <c r="AC279" i="13"/>
  <c r="AC280" i="13"/>
  <c r="AC281" i="13"/>
  <c r="AC282" i="13"/>
  <c r="AC283" i="13"/>
  <c r="AC284" i="13"/>
  <c r="AC285" i="13"/>
  <c r="AC286" i="13"/>
  <c r="AC287" i="13"/>
  <c r="AC288" i="13"/>
  <c r="AC289" i="13"/>
  <c r="AC290" i="13"/>
  <c r="AC291" i="13"/>
  <c r="AC292" i="13"/>
  <c r="AC293" i="13"/>
  <c r="AC294" i="13"/>
  <c r="AC295" i="13"/>
  <c r="AC296" i="13"/>
  <c r="AC297" i="13"/>
  <c r="AC298" i="13"/>
  <c r="AC299" i="13"/>
  <c r="AC300" i="13"/>
  <c r="AC301" i="13"/>
  <c r="AC302" i="13"/>
  <c r="AC303" i="13"/>
  <c r="AC304" i="13"/>
  <c r="AC305" i="13"/>
  <c r="AC306" i="13"/>
  <c r="AC307" i="13"/>
  <c r="AC308" i="13"/>
  <c r="AC309" i="13"/>
  <c r="AC310" i="13"/>
  <c r="AC311" i="13"/>
  <c r="AC312" i="13"/>
  <c r="AC313" i="13"/>
  <c r="AC314" i="13"/>
  <c r="AC315" i="13"/>
  <c r="AC316" i="13"/>
  <c r="AC317" i="13"/>
  <c r="AC318" i="13"/>
  <c r="AC319" i="13"/>
  <c r="AC320" i="13"/>
  <c r="AC321" i="13"/>
  <c r="AC322" i="13"/>
  <c r="AC323" i="13"/>
  <c r="AC324" i="13"/>
  <c r="AC325" i="13"/>
  <c r="AC326" i="13"/>
  <c r="AC327" i="13"/>
  <c r="AC328" i="13"/>
  <c r="AC329" i="13"/>
  <c r="AC330" i="13"/>
  <c r="AC331" i="13"/>
  <c r="AC332" i="13"/>
  <c r="AC333" i="13"/>
  <c r="AC334" i="13"/>
  <c r="AC335" i="13"/>
  <c r="AC336" i="13"/>
  <c r="AC337" i="13"/>
  <c r="AC338" i="13"/>
  <c r="AC339" i="13"/>
  <c r="AC340" i="13"/>
  <c r="AC341" i="13"/>
  <c r="AC342" i="13"/>
  <c r="AC343" i="13"/>
  <c r="AC344" i="13"/>
  <c r="AC345" i="13"/>
  <c r="AC346" i="13"/>
  <c r="AC347" i="13"/>
  <c r="AC348" i="13"/>
  <c r="AC349" i="13"/>
  <c r="AC350" i="13"/>
  <c r="AC351" i="13"/>
  <c r="AC352" i="13"/>
  <c r="AC353" i="13"/>
  <c r="AC354" i="13"/>
  <c r="AC355" i="13"/>
  <c r="AC356" i="13"/>
  <c r="AC357" i="13"/>
  <c r="AC358" i="13"/>
  <c r="AC359" i="13"/>
  <c r="AC360" i="13"/>
  <c r="AC361" i="13"/>
  <c r="AC362" i="13"/>
  <c r="AC363" i="13"/>
  <c r="AC364" i="13"/>
  <c r="AC365" i="13"/>
  <c r="AC366" i="13"/>
  <c r="AC367" i="13"/>
  <c r="AC368" i="13"/>
  <c r="AC369" i="13"/>
  <c r="AC370" i="13"/>
  <c r="AC371" i="13"/>
  <c r="AC372" i="13"/>
  <c r="AC373" i="13"/>
  <c r="AC374" i="13"/>
  <c r="AC375" i="13"/>
  <c r="AC376" i="13"/>
  <c r="AC377" i="13"/>
  <c r="AC378" i="13"/>
  <c r="AC379" i="13"/>
  <c r="AC380" i="13"/>
  <c r="AC381" i="13"/>
  <c r="AC382" i="13"/>
  <c r="AC383" i="13"/>
  <c r="AC384" i="13"/>
  <c r="AC385" i="13"/>
  <c r="AC386" i="13"/>
  <c r="AC387" i="13"/>
  <c r="AC388" i="13"/>
  <c r="AC389" i="13"/>
  <c r="AC390" i="13"/>
  <c r="AC391" i="13"/>
  <c r="AC392" i="13"/>
  <c r="AC393" i="13"/>
  <c r="AC394" i="13"/>
  <c r="AC395" i="13"/>
  <c r="AC396" i="13"/>
  <c r="AC397" i="13"/>
  <c r="AC398" i="13"/>
  <c r="AC399" i="13"/>
  <c r="AC400" i="13"/>
  <c r="AC401" i="13"/>
  <c r="AC402" i="13"/>
  <c r="AC403" i="13"/>
  <c r="AC404" i="13"/>
  <c r="AC405" i="13"/>
  <c r="AC406" i="13"/>
  <c r="AC407" i="13"/>
  <c r="AC408" i="13"/>
  <c r="AC409" i="13"/>
  <c r="AC410" i="13"/>
  <c r="AC411" i="13"/>
  <c r="AC412" i="13"/>
  <c r="AC413" i="13"/>
  <c r="AC414" i="13"/>
  <c r="AC415" i="13"/>
  <c r="AC416" i="13"/>
  <c r="AC417" i="13"/>
  <c r="AC418" i="13"/>
  <c r="AC419" i="13"/>
  <c r="AC420" i="13"/>
  <c r="AC421" i="13"/>
  <c r="AC422" i="13"/>
  <c r="AC423" i="13"/>
  <c r="AC424" i="13"/>
  <c r="AC425" i="13"/>
  <c r="AC426" i="13"/>
  <c r="AC427" i="13"/>
  <c r="AC428" i="13"/>
  <c r="AC429" i="13"/>
  <c r="AC430" i="13"/>
  <c r="AC431" i="13"/>
  <c r="AC432" i="13"/>
  <c r="AC433" i="13"/>
  <c r="AC434" i="13"/>
  <c r="AC435" i="13"/>
  <c r="AC436" i="13"/>
  <c r="AC437" i="13"/>
  <c r="AC438" i="13"/>
  <c r="AC439" i="13"/>
  <c r="AC440" i="13"/>
  <c r="AC441" i="13"/>
  <c r="AC442" i="13"/>
  <c r="AC443" i="13"/>
  <c r="AC444" i="13"/>
  <c r="AC445" i="13"/>
  <c r="AC446" i="13"/>
  <c r="AC447" i="13"/>
  <c r="AC448" i="13"/>
  <c r="AC449" i="13"/>
  <c r="AC450" i="13"/>
  <c r="AC451" i="13"/>
  <c r="AC452" i="13"/>
  <c r="AC453" i="13"/>
  <c r="AC454" i="13"/>
  <c r="AC455" i="13"/>
  <c r="AC456" i="13"/>
  <c r="AC457" i="13"/>
  <c r="AC458" i="13"/>
  <c r="AC459" i="13"/>
  <c r="AC460" i="13"/>
  <c r="AC461" i="13"/>
  <c r="AC462" i="13"/>
  <c r="AC463" i="13"/>
  <c r="AC464" i="13"/>
  <c r="AC465" i="13"/>
  <c r="AC466" i="13"/>
  <c r="AC467" i="13"/>
  <c r="AC468" i="13"/>
  <c r="AC469" i="13"/>
  <c r="AC470" i="13"/>
  <c r="AC471" i="13"/>
  <c r="AC472" i="13"/>
  <c r="AC473" i="13"/>
  <c r="AC474" i="13"/>
  <c r="AC475" i="13"/>
  <c r="AC476" i="13"/>
  <c r="AC477" i="13"/>
  <c r="AC478" i="13"/>
  <c r="AC479" i="13"/>
  <c r="AC480" i="13"/>
  <c r="AC481" i="13"/>
  <c r="AC482" i="13"/>
  <c r="AC483" i="13"/>
  <c r="AC484" i="13"/>
  <c r="AC485" i="13"/>
  <c r="AC486" i="13"/>
  <c r="AC487" i="13"/>
  <c r="AC488" i="13"/>
  <c r="AC489" i="13"/>
  <c r="AC490" i="13"/>
  <c r="AC491" i="13"/>
  <c r="AC492" i="13"/>
  <c r="AC493" i="13"/>
  <c r="AC494" i="13"/>
  <c r="AC495" i="13"/>
  <c r="AC496" i="13"/>
  <c r="AC497" i="13"/>
  <c r="AC498" i="13"/>
  <c r="AC499" i="13"/>
  <c r="AC500" i="13"/>
  <c r="AC501" i="13"/>
  <c r="AC502" i="13"/>
  <c r="AC503" i="13"/>
  <c r="AC504" i="13"/>
  <c r="AC505" i="13"/>
  <c r="AC506" i="13"/>
  <c r="AC507" i="13"/>
  <c r="AC508" i="13"/>
  <c r="AC509" i="13"/>
  <c r="AC510" i="13"/>
  <c r="AC511" i="13"/>
  <c r="AC512" i="13"/>
  <c r="AC513" i="13"/>
  <c r="AC514" i="13"/>
  <c r="AC515" i="13"/>
  <c r="AC516" i="13"/>
  <c r="AC517" i="13"/>
  <c r="AC518" i="13"/>
  <c r="AC519" i="13"/>
  <c r="AC520" i="13"/>
  <c r="AC521" i="13"/>
  <c r="AC522" i="13"/>
  <c r="AC523" i="13"/>
  <c r="AC524" i="13"/>
  <c r="AC525" i="13"/>
  <c r="AC526" i="13"/>
  <c r="AC527" i="13"/>
  <c r="AC528" i="13"/>
  <c r="AC529" i="13"/>
  <c r="AC530" i="13"/>
  <c r="AC531" i="13"/>
  <c r="AC532" i="13"/>
  <c r="AC533" i="13"/>
  <c r="AC534" i="13"/>
  <c r="AC535" i="13"/>
  <c r="AC536" i="13"/>
  <c r="AC537" i="13"/>
  <c r="AC538" i="13"/>
  <c r="AC539" i="13"/>
  <c r="AC540" i="13"/>
  <c r="AC541" i="13"/>
  <c r="AC542" i="13"/>
  <c r="AC543" i="13"/>
  <c r="AC544" i="13"/>
  <c r="AC545" i="13"/>
  <c r="AC546" i="13"/>
  <c r="AC547" i="13"/>
  <c r="AC548" i="13"/>
  <c r="AC549" i="13"/>
  <c r="AC550" i="13"/>
  <c r="AC551" i="13"/>
  <c r="AC552" i="13"/>
  <c r="AC553" i="13"/>
  <c r="AC554" i="13"/>
  <c r="AC555" i="13"/>
  <c r="AC556" i="13"/>
  <c r="AC557" i="13"/>
  <c r="AC558" i="13"/>
  <c r="AC559" i="13"/>
  <c r="AC560" i="13"/>
  <c r="AC561" i="13"/>
  <c r="AC562" i="13"/>
  <c r="AC563" i="13"/>
  <c r="AC564" i="13"/>
  <c r="AC565" i="13"/>
  <c r="AC566" i="13"/>
  <c r="AC567" i="13"/>
  <c r="AC568" i="13"/>
  <c r="AC569" i="13"/>
  <c r="AC570" i="13"/>
  <c r="AC571" i="13"/>
  <c r="AC572" i="13"/>
  <c r="AC573" i="13"/>
  <c r="AC574" i="13"/>
  <c r="AC575" i="13"/>
  <c r="AC576" i="13"/>
  <c r="AC577" i="13"/>
  <c r="AC578" i="13"/>
  <c r="AC579" i="13"/>
  <c r="AC580" i="13"/>
  <c r="AC581" i="13"/>
  <c r="AC582" i="13"/>
  <c r="AC583" i="13"/>
  <c r="AC584" i="13"/>
  <c r="AC585" i="13"/>
  <c r="AC586" i="13"/>
  <c r="AC587" i="13"/>
  <c r="AC588" i="13"/>
  <c r="AC589" i="13"/>
  <c r="AC590" i="13"/>
  <c r="AC591" i="13"/>
  <c r="AC592" i="13"/>
  <c r="AC593" i="13"/>
  <c r="AC594" i="13"/>
  <c r="AC595" i="13"/>
  <c r="AC596" i="13"/>
  <c r="AC597" i="13"/>
  <c r="AC598" i="13"/>
  <c r="AC599" i="13"/>
  <c r="AC600" i="13"/>
  <c r="AC601" i="13"/>
  <c r="AC602" i="13"/>
  <c r="AC603" i="13"/>
  <c r="AC604" i="13"/>
  <c r="AC605" i="13"/>
  <c r="AC606" i="13"/>
  <c r="AC607" i="13"/>
  <c r="AC608" i="13"/>
  <c r="AC609" i="13"/>
  <c r="AC610" i="13"/>
  <c r="AC611" i="13"/>
  <c r="AC612" i="13"/>
  <c r="AC613" i="13"/>
  <c r="AC614" i="13"/>
  <c r="AC615" i="13"/>
  <c r="AC616" i="13"/>
  <c r="AC617" i="13"/>
  <c r="AC618" i="13"/>
  <c r="AC619" i="13"/>
  <c r="AC620" i="13"/>
  <c r="AC621" i="13"/>
  <c r="AC622" i="13"/>
  <c r="AC623" i="13"/>
  <c r="AC624" i="13"/>
  <c r="AC625" i="13"/>
  <c r="AC626" i="13"/>
  <c r="AC627" i="13"/>
  <c r="AC628" i="13"/>
  <c r="AC629" i="13"/>
  <c r="AC630" i="13"/>
  <c r="AC631" i="13"/>
  <c r="AC632" i="13"/>
  <c r="AC633" i="13"/>
  <c r="AC634" i="13"/>
  <c r="AC635" i="13"/>
  <c r="AC636" i="13"/>
  <c r="AC637" i="13"/>
  <c r="AC638" i="13"/>
  <c r="AC639" i="13"/>
  <c r="AC640" i="13"/>
  <c r="AC2" i="13"/>
  <c r="P565" i="6" l="1"/>
  <c r="P602" i="6"/>
  <c r="V643" i="13"/>
  <c r="Z643" i="13" s="1"/>
  <c r="X602" i="6"/>
  <c r="X564" i="6"/>
  <c r="X565" i="6"/>
  <c r="N564" i="6"/>
  <c r="E643" i="13"/>
  <c r="S643" i="13" s="1"/>
  <c r="P564" i="6"/>
  <c r="N565" i="6"/>
  <c r="E583" i="13"/>
  <c r="AG583" i="13" s="1" a="1"/>
  <c r="AG583" i="13" s="1"/>
  <c r="E584" i="13"/>
  <c r="H584" i="13" s="1"/>
  <c r="E585" i="13"/>
  <c r="G585" i="13" s="1"/>
  <c r="J585" i="13" s="1"/>
  <c r="E586" i="13"/>
  <c r="E587" i="13"/>
  <c r="H587" i="13" s="1"/>
  <c r="E588" i="13"/>
  <c r="G588" i="13" s="1"/>
  <c r="E589" i="13"/>
  <c r="AG589" i="13" s="1" a="1"/>
  <c r="AG589" i="13" s="1"/>
  <c r="E590" i="13"/>
  <c r="G590" i="13" s="1"/>
  <c r="AL590" i="13" s="1"/>
  <c r="E591" i="13"/>
  <c r="G591" i="13" s="1"/>
  <c r="J591" i="13" s="1"/>
  <c r="E592" i="13"/>
  <c r="H592" i="13" s="1"/>
  <c r="E593" i="13"/>
  <c r="E594" i="13"/>
  <c r="G594" i="13" s="1"/>
  <c r="E595" i="13"/>
  <c r="H595" i="13" s="1"/>
  <c r="E596" i="13"/>
  <c r="G596" i="13" s="1"/>
  <c r="AL596" i="13" s="1"/>
  <c r="E597" i="13"/>
  <c r="G597" i="13" s="1"/>
  <c r="J597" i="13" s="1"/>
  <c r="E598" i="13"/>
  <c r="E599" i="13"/>
  <c r="AG599" i="13" s="1" a="1"/>
  <c r="AG599" i="13" s="1"/>
  <c r="E600" i="13"/>
  <c r="E601" i="13"/>
  <c r="G601" i="13" s="1"/>
  <c r="E602" i="13"/>
  <c r="AG602" i="13" s="1" a="1"/>
  <c r="AG602" i="13" s="1"/>
  <c r="E603" i="13"/>
  <c r="H603" i="13" s="1"/>
  <c r="E604" i="13"/>
  <c r="E605" i="13"/>
  <c r="AG605" i="13" s="1" a="1"/>
  <c r="AG605" i="13" s="1"/>
  <c r="E606" i="13"/>
  <c r="G606" i="13" s="1"/>
  <c r="AL606" i="13" s="1"/>
  <c r="E607" i="13"/>
  <c r="G607" i="13" s="1"/>
  <c r="J607" i="13" s="1"/>
  <c r="E608" i="13"/>
  <c r="AG608" i="13" s="1" a="1"/>
  <c r="AG608" i="13" s="1"/>
  <c r="E609" i="13"/>
  <c r="AG609" i="13" s="1" a="1"/>
  <c r="AG609" i="13" s="1"/>
  <c r="E610" i="13"/>
  <c r="G610" i="13" s="1"/>
  <c r="J610" i="13" s="1"/>
  <c r="E611" i="13"/>
  <c r="H611" i="13" s="1"/>
  <c r="E612" i="13"/>
  <c r="G612" i="13" s="1"/>
  <c r="J612" i="13" s="1"/>
  <c r="E613" i="13"/>
  <c r="H613" i="13" s="1"/>
  <c r="E614" i="13"/>
  <c r="AG614" i="13" s="1" a="1"/>
  <c r="AG614" i="13" s="1"/>
  <c r="E615" i="13"/>
  <c r="G615" i="13" s="1"/>
  <c r="AL615" i="13" s="1"/>
  <c r="E616" i="13"/>
  <c r="H616" i="13" s="1"/>
  <c r="E617" i="13"/>
  <c r="G617" i="13" s="1"/>
  <c r="J617" i="13" s="1"/>
  <c r="E618" i="13"/>
  <c r="G618" i="13" s="1"/>
  <c r="J618" i="13" s="1"/>
  <c r="E619" i="13"/>
  <c r="H619" i="13" s="1"/>
  <c r="E620" i="13"/>
  <c r="H620" i="13" s="1"/>
  <c r="E621" i="13"/>
  <c r="H621" i="13" s="1"/>
  <c r="E622" i="13"/>
  <c r="G622" i="13" s="1"/>
  <c r="E623" i="13"/>
  <c r="G623" i="13" s="1"/>
  <c r="E624" i="13"/>
  <c r="E625" i="13"/>
  <c r="AG625" i="13" s="1" a="1"/>
  <c r="AG625" i="13" s="1"/>
  <c r="E626" i="13"/>
  <c r="AG626" i="13" s="1" a="1"/>
  <c r="AG626" i="13" s="1"/>
  <c r="E627" i="13"/>
  <c r="H627" i="13" s="1"/>
  <c r="E628" i="13"/>
  <c r="H628" i="13" s="1"/>
  <c r="E629" i="13"/>
  <c r="H629" i="13" s="1"/>
  <c r="E630" i="13"/>
  <c r="H630" i="13" s="1"/>
  <c r="E631" i="13"/>
  <c r="AG631" i="13" s="1" a="1"/>
  <c r="AG631" i="13" s="1"/>
  <c r="E632" i="13"/>
  <c r="G632" i="13" s="1"/>
  <c r="E633" i="13"/>
  <c r="H633" i="13" s="1"/>
  <c r="E634" i="13"/>
  <c r="H634" i="13" s="1"/>
  <c r="E635" i="13"/>
  <c r="H635" i="13" s="1"/>
  <c r="E636" i="13"/>
  <c r="H636" i="13" s="1"/>
  <c r="E637" i="13"/>
  <c r="H637" i="13" s="1"/>
  <c r="E638" i="13"/>
  <c r="H638" i="13" s="1"/>
  <c r="E639" i="13"/>
  <c r="G639" i="13" s="1"/>
  <c r="F583" i="13"/>
  <c r="I583" i="13" s="1"/>
  <c r="F584" i="13"/>
  <c r="F585" i="13"/>
  <c r="K585" i="13" s="1"/>
  <c r="F586" i="13"/>
  <c r="I586" i="13" s="1"/>
  <c r="F587" i="13"/>
  <c r="I587" i="13" s="1"/>
  <c r="F588" i="13"/>
  <c r="F589" i="13"/>
  <c r="I589" i="13" s="1"/>
  <c r="F590" i="13"/>
  <c r="I590" i="13" s="1"/>
  <c r="F591" i="13"/>
  <c r="F592" i="13"/>
  <c r="F593" i="13"/>
  <c r="I593" i="13" s="1"/>
  <c r="F594" i="13"/>
  <c r="I594" i="13" s="1"/>
  <c r="F595" i="13"/>
  <c r="I595" i="13" s="1"/>
  <c r="F596" i="13"/>
  <c r="F597" i="13"/>
  <c r="I597" i="13" s="1"/>
  <c r="F598" i="13"/>
  <c r="I598" i="13" s="1"/>
  <c r="F599" i="13"/>
  <c r="K599" i="13" s="1"/>
  <c r="F600" i="13"/>
  <c r="F601" i="13"/>
  <c r="K601" i="13" s="1"/>
  <c r="F602" i="13"/>
  <c r="I602" i="13" s="1"/>
  <c r="F603" i="13"/>
  <c r="F604" i="13"/>
  <c r="F605" i="13"/>
  <c r="I605" i="13" s="1"/>
  <c r="F606" i="13"/>
  <c r="I606" i="13" s="1"/>
  <c r="F607" i="13"/>
  <c r="F608" i="13"/>
  <c r="F609" i="13"/>
  <c r="F610" i="13"/>
  <c r="K610" i="13" s="1"/>
  <c r="F611" i="13"/>
  <c r="F612" i="13"/>
  <c r="F613" i="13"/>
  <c r="I613" i="13" s="1"/>
  <c r="F614" i="13"/>
  <c r="K614" i="13" s="1"/>
  <c r="F615" i="13"/>
  <c r="I615" i="13" s="1"/>
  <c r="F616" i="13"/>
  <c r="F617" i="13"/>
  <c r="K617" i="13" s="1"/>
  <c r="F618" i="13"/>
  <c r="K618" i="13" s="1"/>
  <c r="F619" i="13"/>
  <c r="F620" i="13"/>
  <c r="F621" i="13"/>
  <c r="F622" i="13"/>
  <c r="K622" i="13" s="1"/>
  <c r="F623" i="13"/>
  <c r="I623" i="13" s="1"/>
  <c r="F624" i="13"/>
  <c r="F625" i="13"/>
  <c r="I625" i="13" s="1"/>
  <c r="F626" i="13"/>
  <c r="I626" i="13" s="1"/>
  <c r="F627" i="13"/>
  <c r="I627" i="13" s="1"/>
  <c r="F628" i="13"/>
  <c r="F629" i="13"/>
  <c r="I629" i="13" s="1"/>
  <c r="F630" i="13"/>
  <c r="K630" i="13" s="1"/>
  <c r="F631" i="13"/>
  <c r="I631" i="13" s="1"/>
  <c r="F632" i="13"/>
  <c r="F633" i="13"/>
  <c r="K633" i="13" s="1"/>
  <c r="F634" i="13"/>
  <c r="I634" i="13" s="1"/>
  <c r="F635" i="13"/>
  <c r="I635" i="13" s="1"/>
  <c r="F636" i="13"/>
  <c r="F637" i="13"/>
  <c r="K637" i="13" s="1"/>
  <c r="F638" i="13"/>
  <c r="K638" i="13" s="1"/>
  <c r="F639" i="13"/>
  <c r="I639" i="13" s="1"/>
  <c r="F640" i="13"/>
  <c r="L583" i="13"/>
  <c r="L584" i="13"/>
  <c r="L585" i="13"/>
  <c r="L586" i="13"/>
  <c r="L587" i="13"/>
  <c r="L588" i="13"/>
  <c r="L589" i="13"/>
  <c r="L590" i="13"/>
  <c r="L591" i="13"/>
  <c r="L592" i="13"/>
  <c r="L593" i="13"/>
  <c r="L594" i="13"/>
  <c r="L595" i="13"/>
  <c r="L596" i="13"/>
  <c r="L597" i="13"/>
  <c r="L598" i="13"/>
  <c r="L599" i="13"/>
  <c r="L600" i="13"/>
  <c r="L601" i="13"/>
  <c r="L602" i="13"/>
  <c r="L603" i="13"/>
  <c r="L604" i="13"/>
  <c r="L605" i="13"/>
  <c r="L606" i="13"/>
  <c r="L607" i="13"/>
  <c r="L608" i="13"/>
  <c r="L609" i="13"/>
  <c r="L610" i="13"/>
  <c r="L611" i="13"/>
  <c r="L612" i="13"/>
  <c r="L613" i="13"/>
  <c r="L614" i="13"/>
  <c r="L615" i="13"/>
  <c r="L616" i="13"/>
  <c r="L617" i="13"/>
  <c r="L618" i="13"/>
  <c r="L619" i="13"/>
  <c r="L620" i="13"/>
  <c r="L621" i="13"/>
  <c r="L622" i="13"/>
  <c r="L623" i="13"/>
  <c r="L624" i="13"/>
  <c r="L625" i="13"/>
  <c r="L626" i="13"/>
  <c r="L627" i="13"/>
  <c r="L628" i="13"/>
  <c r="L629" i="13"/>
  <c r="L630" i="13"/>
  <c r="L631" i="13"/>
  <c r="L632" i="13"/>
  <c r="L633" i="13"/>
  <c r="L634" i="13"/>
  <c r="L635" i="13"/>
  <c r="L636" i="13"/>
  <c r="L637" i="13"/>
  <c r="L638" i="13"/>
  <c r="L639" i="13"/>
  <c r="L640" i="13"/>
  <c r="M583" i="13"/>
  <c r="R583" i="13" s="1"/>
  <c r="M584" i="13"/>
  <c r="M585" i="13"/>
  <c r="M586" i="13"/>
  <c r="R586" i="13" s="1"/>
  <c r="M587" i="13"/>
  <c r="P587" i="13" s="1"/>
  <c r="M588" i="13"/>
  <c r="P588" i="13" s="1"/>
  <c r="M589" i="13"/>
  <c r="M590" i="13"/>
  <c r="M591" i="13"/>
  <c r="R591" i="13" s="1"/>
  <c r="M592" i="13"/>
  <c r="R592" i="13" s="1"/>
  <c r="M593" i="13"/>
  <c r="M594" i="13"/>
  <c r="P594" i="13" s="1"/>
  <c r="M595" i="13"/>
  <c r="P595" i="13" s="1"/>
  <c r="M596" i="13"/>
  <c r="M597" i="13"/>
  <c r="M598" i="13"/>
  <c r="P598" i="13" s="1"/>
  <c r="M599" i="13"/>
  <c r="R599" i="13" s="1"/>
  <c r="M600" i="13"/>
  <c r="M601" i="13"/>
  <c r="M602" i="13"/>
  <c r="R602" i="13" s="1"/>
  <c r="M603" i="13"/>
  <c r="P603" i="13" s="1"/>
  <c r="M604" i="13"/>
  <c r="P604" i="13" s="1"/>
  <c r="M605" i="13"/>
  <c r="M606" i="13"/>
  <c r="M607" i="13"/>
  <c r="R607" i="13" s="1"/>
  <c r="M608" i="13"/>
  <c r="R608" i="13" s="1"/>
  <c r="M609" i="13"/>
  <c r="M610" i="13"/>
  <c r="R610" i="13" s="1"/>
  <c r="M611" i="13"/>
  <c r="P611" i="13" s="1"/>
  <c r="M612" i="13"/>
  <c r="M613" i="13"/>
  <c r="M614" i="13"/>
  <c r="P614" i="13" s="1"/>
  <c r="M615" i="13"/>
  <c r="R615" i="13" s="1"/>
  <c r="M616" i="13"/>
  <c r="M617" i="13"/>
  <c r="M618" i="13"/>
  <c r="R618" i="13" s="1"/>
  <c r="M619" i="13"/>
  <c r="P619" i="13" s="1"/>
  <c r="M620" i="13"/>
  <c r="P620" i="13" s="1"/>
  <c r="M621" i="13"/>
  <c r="M622" i="13"/>
  <c r="M623" i="13"/>
  <c r="R623" i="13" s="1"/>
  <c r="M624" i="13"/>
  <c r="R624" i="13" s="1"/>
  <c r="M625" i="13"/>
  <c r="M626" i="13"/>
  <c r="P626" i="13" s="1"/>
  <c r="M627" i="13"/>
  <c r="P627" i="13" s="1"/>
  <c r="M628" i="13"/>
  <c r="M629" i="13"/>
  <c r="M630" i="13"/>
  <c r="R630" i="13" s="1"/>
  <c r="M631" i="13"/>
  <c r="R631" i="13" s="1"/>
  <c r="M632" i="13"/>
  <c r="M633" i="13"/>
  <c r="M634" i="13"/>
  <c r="R634" i="13" s="1"/>
  <c r="M635" i="13"/>
  <c r="P635" i="13" s="1"/>
  <c r="M636" i="13"/>
  <c r="P636" i="13" s="1"/>
  <c r="M637" i="13"/>
  <c r="M638" i="13"/>
  <c r="M639" i="13"/>
  <c r="R639" i="13" s="1"/>
  <c r="M640" i="13"/>
  <c r="R640" i="13" s="1"/>
  <c r="N583" i="13"/>
  <c r="Q583" i="13" s="1"/>
  <c r="V583" i="13"/>
  <c r="W583" i="13"/>
  <c r="AJ583" i="13"/>
  <c r="AO583" i="13"/>
  <c r="AR583" i="13"/>
  <c r="AS583" i="13"/>
  <c r="V584" i="13"/>
  <c r="W584" i="13"/>
  <c r="AJ584" i="13"/>
  <c r="AO584" i="13"/>
  <c r="AR584" i="13"/>
  <c r="AS584" i="13"/>
  <c r="V585" i="13"/>
  <c r="W585" i="13"/>
  <c r="AJ585" i="13"/>
  <c r="AO585" i="13"/>
  <c r="AR585" i="13"/>
  <c r="AS585" i="13"/>
  <c r="V586" i="13"/>
  <c r="W586" i="13"/>
  <c r="AJ586" i="13"/>
  <c r="AO586" i="13"/>
  <c r="AR586" i="13"/>
  <c r="AS586" i="13"/>
  <c r="V587" i="13"/>
  <c r="W587" i="13"/>
  <c r="AJ587" i="13"/>
  <c r="AO587" i="13"/>
  <c r="AR587" i="13"/>
  <c r="AS587" i="13"/>
  <c r="V588" i="13"/>
  <c r="W588" i="13"/>
  <c r="AJ588" i="13"/>
  <c r="AO588" i="13"/>
  <c r="AR588" i="13"/>
  <c r="AS588" i="13"/>
  <c r="V589" i="13"/>
  <c r="W589" i="13"/>
  <c r="AJ589" i="13"/>
  <c r="AO589" i="13"/>
  <c r="AR589" i="13"/>
  <c r="AS589" i="13"/>
  <c r="V590" i="13"/>
  <c r="W590" i="13"/>
  <c r="AJ590" i="13"/>
  <c r="AO590" i="13"/>
  <c r="AR590" i="13"/>
  <c r="AS590" i="13"/>
  <c r="V591" i="13"/>
  <c r="W591" i="13"/>
  <c r="AJ591" i="13"/>
  <c r="AO591" i="13"/>
  <c r="AR591" i="13"/>
  <c r="AS591" i="13"/>
  <c r="V592" i="13"/>
  <c r="W592" i="13"/>
  <c r="AJ592" i="13"/>
  <c r="AO592" i="13"/>
  <c r="AR592" i="13"/>
  <c r="AS592" i="13"/>
  <c r="V593" i="13"/>
  <c r="W593" i="13"/>
  <c r="AJ593" i="13"/>
  <c r="AO593" i="13"/>
  <c r="AR593" i="13"/>
  <c r="AS593" i="13"/>
  <c r="V594" i="13"/>
  <c r="W594" i="13"/>
  <c r="AJ594" i="13"/>
  <c r="AO594" i="13"/>
  <c r="AR594" i="13"/>
  <c r="AS594" i="13"/>
  <c r="V595" i="13"/>
  <c r="W595" i="13"/>
  <c r="AJ595" i="13"/>
  <c r="AO595" i="13"/>
  <c r="AR595" i="13"/>
  <c r="AS595" i="13"/>
  <c r="V596" i="13"/>
  <c r="W596" i="13"/>
  <c r="AJ596" i="13"/>
  <c r="AO596" i="13"/>
  <c r="AR596" i="13"/>
  <c r="AS596" i="13"/>
  <c r="V597" i="13"/>
  <c r="W597" i="13"/>
  <c r="AJ597" i="13"/>
  <c r="AO597" i="13"/>
  <c r="AR597" i="13"/>
  <c r="AS597" i="13"/>
  <c r="V598" i="13"/>
  <c r="W598" i="13"/>
  <c r="AJ598" i="13"/>
  <c r="AO598" i="13"/>
  <c r="AR598" i="13"/>
  <c r="AS598" i="13"/>
  <c r="V599" i="13"/>
  <c r="W599" i="13"/>
  <c r="AJ599" i="13"/>
  <c r="AO599" i="13"/>
  <c r="AR599" i="13"/>
  <c r="AS599" i="13"/>
  <c r="V600" i="13"/>
  <c r="W600" i="13"/>
  <c r="AJ600" i="13"/>
  <c r="AO600" i="13"/>
  <c r="AR600" i="13"/>
  <c r="AS600" i="13"/>
  <c r="V601" i="13"/>
  <c r="W601" i="13"/>
  <c r="AJ601" i="13"/>
  <c r="AO601" i="13"/>
  <c r="AR601" i="13"/>
  <c r="AS601" i="13"/>
  <c r="V602" i="13"/>
  <c r="W602" i="13"/>
  <c r="AJ602" i="13"/>
  <c r="AO602" i="13"/>
  <c r="AR602" i="13"/>
  <c r="AS602" i="13"/>
  <c r="V603" i="13"/>
  <c r="W603" i="13"/>
  <c r="AJ603" i="13"/>
  <c r="AO603" i="13"/>
  <c r="AR603" i="13"/>
  <c r="AS603" i="13"/>
  <c r="V604" i="13"/>
  <c r="W604" i="13"/>
  <c r="AJ604" i="13"/>
  <c r="AO604" i="13"/>
  <c r="AR604" i="13"/>
  <c r="AS604" i="13"/>
  <c r="V605" i="13"/>
  <c r="W605" i="13"/>
  <c r="AJ605" i="13"/>
  <c r="AO605" i="13"/>
  <c r="AR605" i="13"/>
  <c r="AS605" i="13"/>
  <c r="V606" i="13"/>
  <c r="W606" i="13"/>
  <c r="AJ606" i="13"/>
  <c r="AO606" i="13"/>
  <c r="AR606" i="13"/>
  <c r="AS606" i="13"/>
  <c r="V607" i="13"/>
  <c r="W607" i="13"/>
  <c r="AJ607" i="13"/>
  <c r="AO607" i="13"/>
  <c r="AR607" i="13"/>
  <c r="AS607" i="13"/>
  <c r="V608" i="13"/>
  <c r="W608" i="13"/>
  <c r="AJ608" i="13"/>
  <c r="AO608" i="13"/>
  <c r="AR608" i="13"/>
  <c r="AS608" i="13"/>
  <c r="V609" i="13"/>
  <c r="W609" i="13"/>
  <c r="AJ609" i="13"/>
  <c r="AO609" i="13"/>
  <c r="AR609" i="13"/>
  <c r="AS609" i="13"/>
  <c r="V610" i="13"/>
  <c r="W610" i="13"/>
  <c r="AJ610" i="13"/>
  <c r="AO610" i="13"/>
  <c r="AR610" i="13"/>
  <c r="AS610" i="13"/>
  <c r="V611" i="13"/>
  <c r="W611" i="13"/>
  <c r="AJ611" i="13"/>
  <c r="AO611" i="13"/>
  <c r="AR611" i="13"/>
  <c r="AS611" i="13"/>
  <c r="V612" i="13"/>
  <c r="W612" i="13"/>
  <c r="AJ612" i="13"/>
  <c r="AO612" i="13"/>
  <c r="AR612" i="13"/>
  <c r="AS612" i="13"/>
  <c r="V613" i="13"/>
  <c r="W613" i="13"/>
  <c r="AJ613" i="13"/>
  <c r="AO613" i="13"/>
  <c r="AR613" i="13"/>
  <c r="AS613" i="13"/>
  <c r="V614" i="13"/>
  <c r="W614" i="13"/>
  <c r="AJ614" i="13"/>
  <c r="AO614" i="13"/>
  <c r="AR614" i="13"/>
  <c r="AS614" i="13"/>
  <c r="V615" i="13"/>
  <c r="W615" i="13"/>
  <c r="AJ615" i="13"/>
  <c r="AO615" i="13"/>
  <c r="AR615" i="13"/>
  <c r="AS615" i="13"/>
  <c r="V616" i="13"/>
  <c r="W616" i="13"/>
  <c r="AJ616" i="13"/>
  <c r="AO616" i="13"/>
  <c r="AR616" i="13"/>
  <c r="AS616" i="13"/>
  <c r="V617" i="13"/>
  <c r="W617" i="13"/>
  <c r="AJ617" i="13"/>
  <c r="AO617" i="13"/>
  <c r="AR617" i="13"/>
  <c r="AS617" i="13"/>
  <c r="V618" i="13"/>
  <c r="W618" i="13"/>
  <c r="AJ618" i="13"/>
  <c r="AO618" i="13"/>
  <c r="AR618" i="13"/>
  <c r="AS618" i="13"/>
  <c r="V619" i="13"/>
  <c r="W619" i="13"/>
  <c r="AJ619" i="13"/>
  <c r="AO619" i="13"/>
  <c r="AR619" i="13"/>
  <c r="AS619" i="13"/>
  <c r="V620" i="13"/>
  <c r="W620" i="13"/>
  <c r="AJ620" i="13"/>
  <c r="AO620" i="13"/>
  <c r="AR620" i="13"/>
  <c r="AS620" i="13"/>
  <c r="V621" i="13"/>
  <c r="W621" i="13"/>
  <c r="AJ621" i="13"/>
  <c r="AO621" i="13"/>
  <c r="AR621" i="13"/>
  <c r="AS621" i="13"/>
  <c r="V622" i="13"/>
  <c r="W622" i="13"/>
  <c r="AJ622" i="13"/>
  <c r="AO622" i="13"/>
  <c r="AR622" i="13"/>
  <c r="AS622" i="13"/>
  <c r="V623" i="13"/>
  <c r="W623" i="13"/>
  <c r="AJ623" i="13"/>
  <c r="AO623" i="13"/>
  <c r="AR623" i="13"/>
  <c r="AS623" i="13"/>
  <c r="V624" i="13"/>
  <c r="W624" i="13"/>
  <c r="AJ624" i="13"/>
  <c r="AO624" i="13"/>
  <c r="AR624" i="13"/>
  <c r="AS624" i="13"/>
  <c r="V625" i="13"/>
  <c r="W625" i="13"/>
  <c r="AJ625" i="13"/>
  <c r="AO625" i="13"/>
  <c r="AR625" i="13"/>
  <c r="AS625" i="13"/>
  <c r="V626" i="13"/>
  <c r="W626" i="13"/>
  <c r="AJ626" i="13"/>
  <c r="AO626" i="13"/>
  <c r="AR626" i="13"/>
  <c r="AS626" i="13"/>
  <c r="V627" i="13"/>
  <c r="W627" i="13"/>
  <c r="AJ627" i="13"/>
  <c r="AO627" i="13"/>
  <c r="AR627" i="13"/>
  <c r="AS627" i="13"/>
  <c r="V628" i="13"/>
  <c r="W628" i="13"/>
  <c r="AJ628" i="13"/>
  <c r="AO628" i="13"/>
  <c r="AR628" i="13"/>
  <c r="AS628" i="13"/>
  <c r="V629" i="13"/>
  <c r="W629" i="13"/>
  <c r="AJ629" i="13"/>
  <c r="AO629" i="13"/>
  <c r="AR629" i="13"/>
  <c r="AS629" i="13"/>
  <c r="V630" i="13"/>
  <c r="W630" i="13"/>
  <c r="AJ630" i="13"/>
  <c r="AO630" i="13"/>
  <c r="AR630" i="13"/>
  <c r="AS630" i="13"/>
  <c r="V631" i="13"/>
  <c r="W631" i="13"/>
  <c r="AJ631" i="13"/>
  <c r="AO631" i="13"/>
  <c r="AR631" i="13"/>
  <c r="AS631" i="13"/>
  <c r="V632" i="13"/>
  <c r="W632" i="13"/>
  <c r="AJ632" i="13"/>
  <c r="AO632" i="13"/>
  <c r="AR632" i="13"/>
  <c r="AS632" i="13"/>
  <c r="V633" i="13"/>
  <c r="W633" i="13"/>
  <c r="AJ633" i="13"/>
  <c r="AO633" i="13"/>
  <c r="AR633" i="13"/>
  <c r="AS633" i="13"/>
  <c r="V634" i="13"/>
  <c r="W634" i="13"/>
  <c r="AJ634" i="13"/>
  <c r="AO634" i="13"/>
  <c r="AR634" i="13"/>
  <c r="AS634" i="13"/>
  <c r="V635" i="13"/>
  <c r="W635" i="13"/>
  <c r="AJ635" i="13"/>
  <c r="AO635" i="13"/>
  <c r="AR635" i="13"/>
  <c r="AS635" i="13"/>
  <c r="V636" i="13"/>
  <c r="W636" i="13"/>
  <c r="AJ636" i="13"/>
  <c r="AO636" i="13"/>
  <c r="AR636" i="13"/>
  <c r="AS636" i="13"/>
  <c r="V637" i="13"/>
  <c r="W637" i="13"/>
  <c r="AJ637" i="13"/>
  <c r="AO637" i="13"/>
  <c r="AR637" i="13"/>
  <c r="AS637" i="13"/>
  <c r="V638" i="13"/>
  <c r="W638" i="13"/>
  <c r="AJ638" i="13"/>
  <c r="AO638" i="13"/>
  <c r="AR638" i="13"/>
  <c r="AS638" i="13"/>
  <c r="V639" i="13"/>
  <c r="W639" i="13"/>
  <c r="AJ639" i="13"/>
  <c r="AO639" i="13"/>
  <c r="AR639" i="13"/>
  <c r="AS639" i="13"/>
  <c r="W640" i="13"/>
  <c r="AJ640" i="13"/>
  <c r="AO640" i="13"/>
  <c r="AR640" i="13"/>
  <c r="AS640" i="13"/>
  <c r="E563" i="6"/>
  <c r="F563" i="6" a="1"/>
  <c r="F563" i="6" s="1"/>
  <c r="H563" i="6"/>
  <c r="I563" i="6" s="1"/>
  <c r="J563" i="6"/>
  <c r="O563" i="6"/>
  <c r="T563" i="6"/>
  <c r="V563" i="6" a="1"/>
  <c r="V563" i="6" s="1"/>
  <c r="S583" i="13" l="1"/>
  <c r="O637" i="13"/>
  <c r="S637" i="13"/>
  <c r="O633" i="13"/>
  <c r="S633" i="13"/>
  <c r="O629" i="13"/>
  <c r="S629" i="13"/>
  <c r="N625" i="13"/>
  <c r="Q625" i="13" s="1"/>
  <c r="S625" i="13"/>
  <c r="O621" i="13"/>
  <c r="S621" i="13"/>
  <c r="AH617" i="13" a="1"/>
  <c r="AH617" i="13" s="1"/>
  <c r="S617" i="13"/>
  <c r="O613" i="13"/>
  <c r="S613" i="13"/>
  <c r="AH609" i="13" a="1"/>
  <c r="AH609" i="13" s="1"/>
  <c r="S609" i="13"/>
  <c r="O605" i="13"/>
  <c r="S605" i="13"/>
  <c r="AH601" i="13" a="1"/>
  <c r="AH601" i="13" s="1"/>
  <c r="S601" i="13"/>
  <c r="N597" i="13"/>
  <c r="AM597" i="13" s="1"/>
  <c r="S597" i="13"/>
  <c r="O593" i="13"/>
  <c r="S593" i="13"/>
  <c r="N589" i="13"/>
  <c r="AM589" i="13" s="1"/>
  <c r="S589" i="13"/>
  <c r="AH585" i="13" a="1"/>
  <c r="AH585" i="13" s="1"/>
  <c r="S585" i="13"/>
  <c r="O640" i="13"/>
  <c r="O636" i="13"/>
  <c r="S636" i="13"/>
  <c r="O632" i="13"/>
  <c r="S632" i="13"/>
  <c r="O628" i="13"/>
  <c r="S628" i="13"/>
  <c r="AH624" i="13" a="1"/>
  <c r="AH624" i="13" s="1"/>
  <c r="S624" i="13"/>
  <c r="O620" i="13"/>
  <c r="S620" i="13"/>
  <c r="O616" i="13"/>
  <c r="S616" i="13"/>
  <c r="AH612" i="13" a="1"/>
  <c r="AH612" i="13" s="1"/>
  <c r="S612" i="13"/>
  <c r="O608" i="13"/>
  <c r="S608" i="13"/>
  <c r="N604" i="13"/>
  <c r="AM604" i="13" s="1"/>
  <c r="S604" i="13"/>
  <c r="N600" i="13"/>
  <c r="Q600" i="13" s="1"/>
  <c r="S600" i="13"/>
  <c r="O596" i="13"/>
  <c r="S596" i="13"/>
  <c r="AH592" i="13" a="1"/>
  <c r="AH592" i="13" s="1"/>
  <c r="S592" i="13"/>
  <c r="N588" i="13"/>
  <c r="AM588" i="13" s="1"/>
  <c r="S588" i="13"/>
  <c r="N584" i="13"/>
  <c r="Q584" i="13" s="1"/>
  <c r="S584" i="13"/>
  <c r="O639" i="13"/>
  <c r="S639" i="13"/>
  <c r="O635" i="13"/>
  <c r="S635" i="13"/>
  <c r="O631" i="13"/>
  <c r="S631" i="13"/>
  <c r="O627" i="13"/>
  <c r="S627" i="13"/>
  <c r="O623" i="13"/>
  <c r="S623" i="13"/>
  <c r="O619" i="13"/>
  <c r="S619" i="13"/>
  <c r="O615" i="13"/>
  <c r="S615" i="13"/>
  <c r="O611" i="13"/>
  <c r="S611" i="13"/>
  <c r="O607" i="13"/>
  <c r="S607" i="13"/>
  <c r="O603" i="13"/>
  <c r="S603" i="13"/>
  <c r="O599" i="13"/>
  <c r="S599" i="13"/>
  <c r="O595" i="13"/>
  <c r="S595" i="13"/>
  <c r="O591" i="13"/>
  <c r="S591" i="13"/>
  <c r="O587" i="13"/>
  <c r="S587" i="13"/>
  <c r="O638" i="13"/>
  <c r="S638" i="13"/>
  <c r="O634" i="13"/>
  <c r="S634" i="13"/>
  <c r="O630" i="13"/>
  <c r="S630" i="13"/>
  <c r="O626" i="13"/>
  <c r="S626" i="13"/>
  <c r="N622" i="13"/>
  <c r="Q622" i="13" s="1"/>
  <c r="S622" i="13"/>
  <c r="AH618" i="13" a="1"/>
  <c r="AH618" i="13" s="1"/>
  <c r="S618" i="13"/>
  <c r="O614" i="13"/>
  <c r="S614" i="13"/>
  <c r="N610" i="13"/>
  <c r="AM610" i="13" s="1"/>
  <c r="S610" i="13"/>
  <c r="N606" i="13"/>
  <c r="Q606" i="13" s="1"/>
  <c r="S606" i="13"/>
  <c r="AH602" i="13" a="1"/>
  <c r="AH602" i="13" s="1"/>
  <c r="S602" i="13"/>
  <c r="N598" i="13"/>
  <c r="AM598" i="13" s="1"/>
  <c r="S598" i="13"/>
  <c r="N594" i="13"/>
  <c r="Q594" i="13" s="1"/>
  <c r="S594" i="13"/>
  <c r="N590" i="13"/>
  <c r="AM590" i="13" s="1"/>
  <c r="S590" i="13"/>
  <c r="AH586" i="13" a="1"/>
  <c r="AH586" i="13" s="1"/>
  <c r="S586" i="13"/>
  <c r="G604" i="13"/>
  <c r="AL604" i="13" s="1"/>
  <c r="N607" i="13"/>
  <c r="Q607" i="13" s="1"/>
  <c r="AD607" i="13" s="1"/>
  <c r="P563" i="6"/>
  <c r="P620" i="6"/>
  <c r="N630" i="13"/>
  <c r="Q630" i="13" s="1"/>
  <c r="AH639" i="13" a="1"/>
  <c r="AH639" i="13" s="1"/>
  <c r="W563" i="6"/>
  <c r="X563" i="6" s="1"/>
  <c r="N603" i="13"/>
  <c r="Q603" i="13" s="1"/>
  <c r="G624" i="13"/>
  <c r="AL624" i="13" s="1"/>
  <c r="AH631" i="13" a="1"/>
  <c r="AH631" i="13" s="1"/>
  <c r="N623" i="13"/>
  <c r="Q623" i="13" s="1"/>
  <c r="N614" i="13"/>
  <c r="AM614" i="13" s="1"/>
  <c r="N638" i="13"/>
  <c r="Q638" i="13" s="1"/>
  <c r="N634" i="13"/>
  <c r="Q634" i="13" s="1"/>
  <c r="N618" i="13"/>
  <c r="Q618" i="13" s="1"/>
  <c r="AD618" i="13" s="1"/>
  <c r="N631" i="13"/>
  <c r="Q631" i="13" s="1"/>
  <c r="N639" i="13"/>
  <c r="Q639" i="13" s="1"/>
  <c r="N615" i="13"/>
  <c r="Q615" i="13" s="1"/>
  <c r="N595" i="13"/>
  <c r="Q595" i="13" s="1"/>
  <c r="N587" i="13"/>
  <c r="N611" i="13"/>
  <c r="Q611" i="13" s="1"/>
  <c r="N599" i="13"/>
  <c r="Q599" i="13" s="1"/>
  <c r="N591" i="13"/>
  <c r="Q591" i="13" s="1"/>
  <c r="AD591" i="13" s="1"/>
  <c r="O585" i="13"/>
  <c r="N617" i="13"/>
  <c r="Q617" i="13" s="1"/>
  <c r="AD617" i="13" s="1"/>
  <c r="N593" i="13"/>
  <c r="Q593" i="13" s="1"/>
  <c r="N633" i="13"/>
  <c r="Q633" i="13" s="1"/>
  <c r="N609" i="13"/>
  <c r="AM609" i="13" s="1"/>
  <c r="N585" i="13"/>
  <c r="AM585" i="13" s="1"/>
  <c r="N586" i="13"/>
  <c r="AM586" i="13" s="1"/>
  <c r="N602" i="13"/>
  <c r="Q602" i="13" s="1"/>
  <c r="N601" i="13"/>
  <c r="Q601" i="13" s="1"/>
  <c r="O586" i="13"/>
  <c r="N626" i="13"/>
  <c r="Q626" i="13" s="1"/>
  <c r="N616" i="13"/>
  <c r="Q616" i="13" s="1"/>
  <c r="N640" i="13"/>
  <c r="AM640" i="13" s="1"/>
  <c r="N592" i="13"/>
  <c r="Q592" i="13" s="1"/>
  <c r="N624" i="13"/>
  <c r="Q624" i="13" s="1"/>
  <c r="N632" i="13"/>
  <c r="Q632" i="13" s="1"/>
  <c r="N608" i="13"/>
  <c r="AM608" i="13" s="1"/>
  <c r="N637" i="13"/>
  <c r="AM637" i="13" s="1"/>
  <c r="N629" i="13"/>
  <c r="Q629" i="13" s="1"/>
  <c r="N621" i="13"/>
  <c r="AM621" i="13" s="1"/>
  <c r="N613" i="13"/>
  <c r="AM613" i="13" s="1"/>
  <c r="N605" i="13"/>
  <c r="Q605" i="13" s="1"/>
  <c r="N636" i="13"/>
  <c r="AM636" i="13" s="1"/>
  <c r="N628" i="13"/>
  <c r="Q628" i="13" s="1"/>
  <c r="N620" i="13"/>
  <c r="Q620" i="13" s="1"/>
  <c r="N612" i="13"/>
  <c r="AM612" i="13" s="1"/>
  <c r="N596" i="13"/>
  <c r="Q596" i="13" s="1"/>
  <c r="N635" i="13"/>
  <c r="Q635" i="13" s="1"/>
  <c r="N627" i="13"/>
  <c r="Q627" i="13" s="1"/>
  <c r="N619" i="13"/>
  <c r="Q619" i="13" s="1"/>
  <c r="G600" i="13"/>
  <c r="AL600" i="13" s="1"/>
  <c r="AG596" i="13" a="1"/>
  <c r="AG596" i="13" s="1"/>
  <c r="P586" i="13"/>
  <c r="AH628" i="13" a="1"/>
  <c r="AH628" i="13" s="1"/>
  <c r="S564" i="6"/>
  <c r="G628" i="13"/>
  <c r="J628" i="13" s="1"/>
  <c r="AG635" i="13" a="1"/>
  <c r="AG635" i="13" s="1"/>
  <c r="AG587" i="13" a="1"/>
  <c r="AG587" i="13" s="1"/>
  <c r="G587" i="13"/>
  <c r="AL587" i="13" s="1"/>
  <c r="G608" i="13"/>
  <c r="J608" i="13" s="1"/>
  <c r="AH595" i="13" a="1"/>
  <c r="AH595" i="13" s="1"/>
  <c r="AH619" i="13" a="1"/>
  <c r="AH619" i="13" s="1"/>
  <c r="AH603" i="13" a="1"/>
  <c r="AH603" i="13" s="1"/>
  <c r="AH591" i="13" a="1"/>
  <c r="AH591" i="13" s="1"/>
  <c r="AH599" i="13" a="1"/>
  <c r="AH599" i="13" s="1"/>
  <c r="H583" i="13"/>
  <c r="G583" i="13"/>
  <c r="J583" i="13" s="1"/>
  <c r="AD583" i="13" s="1"/>
  <c r="G643" i="13"/>
  <c r="H643" i="13"/>
  <c r="AA643" i="13"/>
  <c r="H612" i="13"/>
  <c r="AG628" i="13" a="1"/>
  <c r="AG628" i="13" s="1"/>
  <c r="AG584" i="13" a="1"/>
  <c r="AG584" i="13" s="1"/>
  <c r="H588" i="13"/>
  <c r="AG588" i="13" a="1"/>
  <c r="AG588" i="13" s="1"/>
  <c r="P591" i="13"/>
  <c r="G595" i="13"/>
  <c r="J595" i="13" s="1"/>
  <c r="T621" i="13"/>
  <c r="T609" i="13"/>
  <c r="AG612" i="13" a="1"/>
  <c r="AG612" i="13" s="1"/>
  <c r="K615" i="13"/>
  <c r="AP615" i="13" s="1"/>
  <c r="G620" i="13"/>
  <c r="H608" i="13"/>
  <c r="G584" i="13"/>
  <c r="AL584" i="13" s="1"/>
  <c r="AG636" i="13" a="1"/>
  <c r="AG636" i="13" s="1"/>
  <c r="AG616" i="13" a="1"/>
  <c r="AG616" i="13" s="1"/>
  <c r="AG615" i="13" a="1"/>
  <c r="AG615" i="13" s="1"/>
  <c r="AG592" i="13" a="1"/>
  <c r="AG592" i="13" s="1"/>
  <c r="H632" i="13"/>
  <c r="H596" i="13"/>
  <c r="G616" i="13"/>
  <c r="AL616" i="13" s="1"/>
  <c r="G592" i="13"/>
  <c r="J592" i="13" s="1"/>
  <c r="H624" i="13"/>
  <c r="P592" i="13"/>
  <c r="G627" i="13"/>
  <c r="J627" i="13" s="1"/>
  <c r="G611" i="13"/>
  <c r="J611" i="13" s="1"/>
  <c r="AH614" i="13" a="1"/>
  <c r="AH614" i="13" s="1"/>
  <c r="T622" i="13"/>
  <c r="H600" i="13"/>
  <c r="Z624" i="13"/>
  <c r="Z616" i="13"/>
  <c r="Z615" i="13"/>
  <c r="Z612" i="13"/>
  <c r="Z610" i="13"/>
  <c r="Z607" i="13"/>
  <c r="Z603" i="13"/>
  <c r="Z601" i="13"/>
  <c r="Z592" i="13"/>
  <c r="Z634" i="13"/>
  <c r="Z638" i="13"/>
  <c r="Z639" i="13"/>
  <c r="Z629" i="13"/>
  <c r="Z622" i="13"/>
  <c r="Z617" i="13"/>
  <c r="Z595" i="13"/>
  <c r="Z590" i="13"/>
  <c r="Z586" i="13"/>
  <c r="Z636" i="13"/>
  <c r="Z633" i="13"/>
  <c r="Z628" i="13"/>
  <c r="Z620" i="13"/>
  <c r="Z609" i="13"/>
  <c r="Z587" i="13"/>
  <c r="Z584" i="13"/>
  <c r="Z632" i="13"/>
  <c r="Z631" i="13"/>
  <c r="Z627" i="13"/>
  <c r="Z625" i="13"/>
  <c r="Z619" i="13"/>
  <c r="Z613" i="13"/>
  <c r="Z608" i="13"/>
  <c r="Z604" i="13"/>
  <c r="Z598" i="13"/>
  <c r="Z593" i="13"/>
  <c r="Z583" i="13"/>
  <c r="Z637" i="13"/>
  <c r="Z635" i="13"/>
  <c r="Z611" i="13"/>
  <c r="Z605" i="13"/>
  <c r="Z602" i="13"/>
  <c r="Z596" i="13"/>
  <c r="Z588" i="13"/>
  <c r="AG632" i="13" a="1"/>
  <c r="AG632" i="13" s="1"/>
  <c r="Z630" i="13"/>
  <c r="Z626" i="13"/>
  <c r="Z623" i="13"/>
  <c r="Z621" i="13"/>
  <c r="Z618" i="13"/>
  <c r="Z614" i="13"/>
  <c r="Z606" i="13"/>
  <c r="Z600" i="13"/>
  <c r="Z599" i="13"/>
  <c r="Z597" i="13"/>
  <c r="Z594" i="13"/>
  <c r="Z591" i="13"/>
  <c r="Z589" i="13"/>
  <c r="Z585" i="13"/>
  <c r="K587" i="13"/>
  <c r="G636" i="13"/>
  <c r="G593" i="13"/>
  <c r="T634" i="13"/>
  <c r="P618" i="13"/>
  <c r="O612" i="13"/>
  <c r="AH623" i="13" a="1"/>
  <c r="AH623" i="13" s="1"/>
  <c r="T618" i="13"/>
  <c r="T614" i="13"/>
  <c r="AH611" i="13" a="1"/>
  <c r="AH611" i="13" s="1"/>
  <c r="AH635" i="13" a="1"/>
  <c r="AH635" i="13" s="1"/>
  <c r="AH627" i="13" a="1"/>
  <c r="AH627" i="13" s="1"/>
  <c r="AH615" i="13" a="1"/>
  <c r="AH615" i="13" s="1"/>
  <c r="AH607" i="13" a="1"/>
  <c r="AH607" i="13" s="1"/>
  <c r="G629" i="13"/>
  <c r="J629" i="13" s="1"/>
  <c r="G621" i="13"/>
  <c r="AL621" i="13" s="1"/>
  <c r="AL612" i="13"/>
  <c r="G637" i="13"/>
  <c r="J637" i="13" s="1"/>
  <c r="G609" i="13"/>
  <c r="J609" i="13" s="1"/>
  <c r="T637" i="13"/>
  <c r="K621" i="13"/>
  <c r="G613" i="13"/>
  <c r="J613" i="13" s="1"/>
  <c r="J632" i="13"/>
  <c r="AL632" i="13"/>
  <c r="AH626" i="13" a="1"/>
  <c r="AH626" i="13" s="1"/>
  <c r="P607" i="13"/>
  <c r="AH634" i="13" a="1"/>
  <c r="AH634" i="13" s="1"/>
  <c r="R620" i="13"/>
  <c r="P608" i="13"/>
  <c r="O602" i="13"/>
  <c r="AH638" i="13" a="1"/>
  <c r="AH638" i="13" s="1"/>
  <c r="R604" i="13"/>
  <c r="O601" i="13"/>
  <c r="G633" i="13"/>
  <c r="J633" i="13" s="1"/>
  <c r="G605" i="13"/>
  <c r="J605" i="13" s="1"/>
  <c r="AH640" i="13" a="1"/>
  <c r="AH640" i="13" s="1"/>
  <c r="AG637" i="13" a="1"/>
  <c r="AG637" i="13" s="1"/>
  <c r="AG633" i="13" a="1"/>
  <c r="AG633" i="13" s="1"/>
  <c r="T629" i="13"/>
  <c r="T626" i="13"/>
  <c r="P630" i="13"/>
  <c r="P602" i="13"/>
  <c r="O624" i="13"/>
  <c r="I633" i="13"/>
  <c r="H604" i="13"/>
  <c r="H589" i="13"/>
  <c r="G625" i="13"/>
  <c r="J625" i="13" s="1"/>
  <c r="G589" i="13"/>
  <c r="J589" i="13" s="1"/>
  <c r="AP618" i="13"/>
  <c r="AP610" i="13"/>
  <c r="AL639" i="13"/>
  <c r="J639" i="13"/>
  <c r="J623" i="13"/>
  <c r="AL623" i="13"/>
  <c r="AH633" i="13" a="1"/>
  <c r="AH633" i="13" s="1"/>
  <c r="AG627" i="13" a="1"/>
  <c r="AG627" i="13" s="1"/>
  <c r="AG623" i="13" a="1"/>
  <c r="AG623" i="13" s="1"/>
  <c r="AG619" i="13" a="1"/>
  <c r="AG619" i="13" s="1"/>
  <c r="AG603" i="13" a="1"/>
  <c r="AG603" i="13" s="1"/>
  <c r="AG595" i="13" a="1"/>
  <c r="AG595" i="13" s="1"/>
  <c r="R603" i="13"/>
  <c r="I630" i="13"/>
  <c r="I614" i="13"/>
  <c r="H639" i="13"/>
  <c r="H631" i="13"/>
  <c r="H623" i="13"/>
  <c r="H615" i="13"/>
  <c r="H607" i="13"/>
  <c r="H599" i="13"/>
  <c r="H591" i="13"/>
  <c r="G631" i="13"/>
  <c r="G599" i="13"/>
  <c r="T638" i="13"/>
  <c r="AH608" i="13" a="1"/>
  <c r="AH608" i="13" s="1"/>
  <c r="R614" i="13"/>
  <c r="AP614" i="13" s="1"/>
  <c r="R598" i="13"/>
  <c r="O592" i="13"/>
  <c r="K609" i="13"/>
  <c r="I618" i="13"/>
  <c r="I610" i="13"/>
  <c r="G635" i="13"/>
  <c r="J635" i="13" s="1"/>
  <c r="G619" i="13"/>
  <c r="J619" i="13" s="1"/>
  <c r="G603" i="13"/>
  <c r="J603" i="13" s="1"/>
  <c r="T640" i="13"/>
  <c r="T636" i="13"/>
  <c r="T632" i="13"/>
  <c r="T628" i="13"/>
  <c r="T624" i="13"/>
  <c r="T620" i="13"/>
  <c r="AG591" i="13" a="1"/>
  <c r="AG591" i="13" s="1"/>
  <c r="R619" i="13"/>
  <c r="AH632" i="13" a="1"/>
  <c r="AH632" i="13" s="1"/>
  <c r="AG639" i="13" a="1"/>
  <c r="AG639" i="13" s="1"/>
  <c r="AH636" i="13" a="1"/>
  <c r="AH636" i="13" s="1"/>
  <c r="T630" i="13"/>
  <c r="AH620" i="13" a="1"/>
  <c r="AH620" i="13" s="1"/>
  <c r="AH616" i="13" a="1"/>
  <c r="AH616" i="13" s="1"/>
  <c r="AG611" i="13" a="1"/>
  <c r="AG611" i="13" s="1"/>
  <c r="AG607" i="13" a="1"/>
  <c r="AG607" i="13" s="1"/>
  <c r="R626" i="13"/>
  <c r="R594" i="13"/>
  <c r="P634" i="13"/>
  <c r="K593" i="13"/>
  <c r="I617" i="13"/>
  <c r="T633" i="13"/>
  <c r="T617" i="13"/>
  <c r="K605" i="13"/>
  <c r="K589" i="13"/>
  <c r="I609" i="13"/>
  <c r="I601" i="13"/>
  <c r="I585" i="13"/>
  <c r="G638" i="13"/>
  <c r="J638" i="13" s="1"/>
  <c r="G634" i="13"/>
  <c r="J634" i="13" s="1"/>
  <c r="G630" i="13"/>
  <c r="J630" i="13" s="1"/>
  <c r="G626" i="13"/>
  <c r="J626" i="13" s="1"/>
  <c r="G614" i="13"/>
  <c r="J614" i="13" s="1"/>
  <c r="G602" i="13"/>
  <c r="AL602" i="13" s="1"/>
  <c r="G598" i="13"/>
  <c r="AL598" i="13" s="1"/>
  <c r="G586" i="13"/>
  <c r="J586" i="13" s="1"/>
  <c r="T625" i="13"/>
  <c r="AL607" i="13"/>
  <c r="AL591" i="13"/>
  <c r="J615" i="13"/>
  <c r="I621" i="13"/>
  <c r="T613" i="13"/>
  <c r="K625" i="13"/>
  <c r="K613" i="13"/>
  <c r="K597" i="13"/>
  <c r="H609" i="13"/>
  <c r="E640" i="13"/>
  <c r="S640" i="13" s="1"/>
  <c r="K629" i="13"/>
  <c r="I638" i="13"/>
  <c r="AP630" i="13"/>
  <c r="K626" i="13"/>
  <c r="J596" i="13"/>
  <c r="I637" i="13"/>
  <c r="I622" i="13"/>
  <c r="AL585" i="13"/>
  <c r="K595" i="13"/>
  <c r="H593" i="13"/>
  <c r="AG629" i="13" a="1"/>
  <c r="AG629" i="13" s="1"/>
  <c r="AG613" i="13" a="1"/>
  <c r="AG613" i="13" s="1"/>
  <c r="H625" i="13"/>
  <c r="AH629" i="13" a="1"/>
  <c r="AH629" i="13" s="1"/>
  <c r="AH625" i="13" a="1"/>
  <c r="AH625" i="13" s="1"/>
  <c r="R627" i="13"/>
  <c r="P631" i="13"/>
  <c r="P615" i="13"/>
  <c r="O625" i="13"/>
  <c r="O609" i="13"/>
  <c r="AG630" i="13" a="1"/>
  <c r="AG630" i="13" s="1"/>
  <c r="AH605" i="13" a="1"/>
  <c r="AH605" i="13" s="1"/>
  <c r="R595" i="13"/>
  <c r="P583" i="13"/>
  <c r="AH637" i="13" a="1"/>
  <c r="AH637" i="13" s="1"/>
  <c r="T639" i="13"/>
  <c r="T627" i="13"/>
  <c r="AH621" i="13" a="1"/>
  <c r="AH621" i="13" s="1"/>
  <c r="T615" i="13"/>
  <c r="T599" i="13"/>
  <c r="AH593" i="13" a="1"/>
  <c r="AH593" i="13" s="1"/>
  <c r="T591" i="13"/>
  <c r="AM583" i="13"/>
  <c r="R635" i="13"/>
  <c r="P623" i="13"/>
  <c r="O617" i="13"/>
  <c r="AL622" i="13"/>
  <c r="J622" i="13"/>
  <c r="H622" i="13"/>
  <c r="P632" i="13"/>
  <c r="R632" i="13"/>
  <c r="P616" i="13"/>
  <c r="R616" i="13"/>
  <c r="P600" i="13"/>
  <c r="R600" i="13"/>
  <c r="P584" i="13"/>
  <c r="R584" i="13"/>
  <c r="O622" i="13"/>
  <c r="AH622" i="13" a="1"/>
  <c r="AH622" i="13" s="1"/>
  <c r="O610" i="13"/>
  <c r="AH610" i="13" a="1"/>
  <c r="AH610" i="13" s="1"/>
  <c r="AH598" i="13" a="1"/>
  <c r="AH598" i="13" s="1"/>
  <c r="O598" i="13"/>
  <c r="J601" i="13"/>
  <c r="AL601" i="13"/>
  <c r="K619" i="13"/>
  <c r="T619" i="13"/>
  <c r="I619" i="13"/>
  <c r="T611" i="13"/>
  <c r="I607" i="13"/>
  <c r="T607" i="13"/>
  <c r="K607" i="13"/>
  <c r="AP607" i="13" s="1"/>
  <c r="T603" i="13"/>
  <c r="I603" i="13"/>
  <c r="AP599" i="13"/>
  <c r="T595" i="13"/>
  <c r="I591" i="13"/>
  <c r="K591" i="13"/>
  <c r="AP591" i="13" s="1"/>
  <c r="K583" i="13"/>
  <c r="AP583" i="13" s="1"/>
  <c r="T583" i="13"/>
  <c r="AG621" i="13" a="1"/>
  <c r="AG621" i="13" s="1"/>
  <c r="H617" i="13"/>
  <c r="AG617" i="13" a="1"/>
  <c r="AG617" i="13" s="1"/>
  <c r="H601" i="13"/>
  <c r="AG601" i="13" a="1"/>
  <c r="AG601" i="13" s="1"/>
  <c r="AG597" i="13" a="1"/>
  <c r="AG597" i="13" s="1"/>
  <c r="H597" i="13"/>
  <c r="H585" i="13"/>
  <c r="AG585" i="13" a="1"/>
  <c r="AG585" i="13" s="1"/>
  <c r="I612" i="13"/>
  <c r="K612" i="13"/>
  <c r="H626" i="13"/>
  <c r="H618" i="13"/>
  <c r="AG618" i="13" a="1"/>
  <c r="AG618" i="13" s="1"/>
  <c r="T612" i="13"/>
  <c r="R588" i="13"/>
  <c r="P640" i="13"/>
  <c r="O597" i="13"/>
  <c r="AH597" i="13" a="1"/>
  <c r="AH597" i="13" s="1"/>
  <c r="O589" i="13"/>
  <c r="AH589" i="13" a="1"/>
  <c r="AH589" i="13" s="1"/>
  <c r="K603" i="13"/>
  <c r="I599" i="13"/>
  <c r="AG622" i="13" a="1"/>
  <c r="AG622" i="13" s="1"/>
  <c r="AG638" i="13" a="1"/>
  <c r="AG638" i="13" s="1"/>
  <c r="T635" i="13"/>
  <c r="AG634" i="13" a="1"/>
  <c r="AG634" i="13" s="1"/>
  <c r="T631" i="13"/>
  <c r="AH630" i="13" a="1"/>
  <c r="AH630" i="13" s="1"/>
  <c r="T623" i="13"/>
  <c r="AL617" i="13"/>
  <c r="AH613" i="13" a="1"/>
  <c r="AH613" i="13" s="1"/>
  <c r="AL597" i="13"/>
  <c r="T587" i="13"/>
  <c r="R636" i="13"/>
  <c r="R611" i="13"/>
  <c r="R587" i="13"/>
  <c r="P639" i="13"/>
  <c r="P624" i="13"/>
  <c r="P599" i="13"/>
  <c r="O618" i="13"/>
  <c r="K611" i="13"/>
  <c r="I611" i="13"/>
  <c r="H605" i="13"/>
  <c r="K636" i="13"/>
  <c r="I636" i="13"/>
  <c r="I624" i="13"/>
  <c r="K624" i="13"/>
  <c r="AP624" i="13" s="1"/>
  <c r="K616" i="13"/>
  <c r="I616" i="13"/>
  <c r="T616" i="13"/>
  <c r="T608" i="13"/>
  <c r="K608" i="13"/>
  <c r="AP608" i="13" s="1"/>
  <c r="I608" i="13"/>
  <c r="T604" i="13"/>
  <c r="I604" i="13"/>
  <c r="K604" i="13"/>
  <c r="T600" i="13"/>
  <c r="T596" i="13"/>
  <c r="I596" i="13"/>
  <c r="K596" i="13"/>
  <c r="T592" i="13"/>
  <c r="K592" i="13"/>
  <c r="AP592" i="13" s="1"/>
  <c r="I592" i="13"/>
  <c r="T588" i="13"/>
  <c r="K588" i="13"/>
  <c r="I588" i="13"/>
  <c r="T584" i="13"/>
  <c r="K584" i="13"/>
  <c r="I584" i="13"/>
  <c r="H614" i="13"/>
  <c r="AG610" i="13" a="1"/>
  <c r="AG610" i="13" s="1"/>
  <c r="H610" i="13"/>
  <c r="AG606" i="13" a="1"/>
  <c r="AG606" i="13" s="1"/>
  <c r="H606" i="13"/>
  <c r="H602" i="13"/>
  <c r="AG598" i="13" a="1"/>
  <c r="AG598" i="13" s="1"/>
  <c r="H598" i="13"/>
  <c r="AG594" i="13" a="1"/>
  <c r="AG594" i="13" s="1"/>
  <c r="H594" i="13"/>
  <c r="AG590" i="13" a="1"/>
  <c r="AG590" i="13" s="1"/>
  <c r="H590" i="13"/>
  <c r="AL594" i="13"/>
  <c r="J594" i="13"/>
  <c r="I632" i="13"/>
  <c r="K632" i="13"/>
  <c r="K628" i="13"/>
  <c r="I628" i="13"/>
  <c r="AL610" i="13"/>
  <c r="J590" i="13"/>
  <c r="AL618" i="13"/>
  <c r="J606" i="13"/>
  <c r="AG586" i="13" a="1"/>
  <c r="AG586" i="13" s="1"/>
  <c r="R628" i="13"/>
  <c r="P628" i="13"/>
  <c r="R612" i="13"/>
  <c r="P612" i="13"/>
  <c r="R596" i="13"/>
  <c r="P596" i="13"/>
  <c r="AH606" i="13" a="1"/>
  <c r="AH606" i="13" s="1"/>
  <c r="O606" i="13"/>
  <c r="O594" i="13"/>
  <c r="AH594" i="13" a="1"/>
  <c r="AH594" i="13" s="1"/>
  <c r="AH590" i="13" a="1"/>
  <c r="AH590" i="13" s="1"/>
  <c r="O590" i="13"/>
  <c r="H586" i="13"/>
  <c r="AL588" i="13"/>
  <c r="J588" i="13"/>
  <c r="P638" i="13"/>
  <c r="R638" i="13"/>
  <c r="AP638" i="13" s="1"/>
  <c r="P622" i="13"/>
  <c r="R622" i="13"/>
  <c r="AP622" i="13" s="1"/>
  <c r="P610" i="13"/>
  <c r="T610" i="13"/>
  <c r="P606" i="13"/>
  <c r="R606" i="13"/>
  <c r="P590" i="13"/>
  <c r="R590" i="13"/>
  <c r="AH604" i="13" a="1"/>
  <c r="AH604" i="13" s="1"/>
  <c r="O604" i="13"/>
  <c r="O600" i="13"/>
  <c r="AH600" i="13" a="1"/>
  <c r="AH600" i="13" s="1"/>
  <c r="AH596" i="13" a="1"/>
  <c r="AH596" i="13" s="1"/>
  <c r="AH588" i="13" a="1"/>
  <c r="AH588" i="13" s="1"/>
  <c r="O588" i="13"/>
  <c r="O584" i="13"/>
  <c r="AH584" i="13" a="1"/>
  <c r="AH584" i="13" s="1"/>
  <c r="P637" i="13"/>
  <c r="R637" i="13"/>
  <c r="AP637" i="13" s="1"/>
  <c r="P633" i="13"/>
  <c r="R633" i="13"/>
  <c r="AP633" i="13" s="1"/>
  <c r="P629" i="13"/>
  <c r="R629" i="13"/>
  <c r="P625" i="13"/>
  <c r="R625" i="13"/>
  <c r="P621" i="13"/>
  <c r="R621" i="13"/>
  <c r="P617" i="13"/>
  <c r="R617" i="13"/>
  <c r="AP617" i="13" s="1"/>
  <c r="P613" i="13"/>
  <c r="R613" i="13"/>
  <c r="P609" i="13"/>
  <c r="R609" i="13"/>
  <c r="P605" i="13"/>
  <c r="R605" i="13"/>
  <c r="T605" i="13"/>
  <c r="P601" i="13"/>
  <c r="R601" i="13"/>
  <c r="AP601" i="13" s="1"/>
  <c r="T601" i="13"/>
  <c r="P597" i="13"/>
  <c r="R597" i="13"/>
  <c r="T597" i="13"/>
  <c r="P593" i="13"/>
  <c r="R593" i="13"/>
  <c r="T593" i="13"/>
  <c r="P589" i="13"/>
  <c r="R589" i="13"/>
  <c r="T589" i="13"/>
  <c r="P585" i="13"/>
  <c r="R585" i="13"/>
  <c r="AP585" i="13" s="1"/>
  <c r="T585" i="13"/>
  <c r="O583" i="13"/>
  <c r="AH583" i="13" a="1"/>
  <c r="AH583" i="13" s="1"/>
  <c r="K634" i="13"/>
  <c r="AP634" i="13" s="1"/>
  <c r="K606" i="13"/>
  <c r="T606" i="13"/>
  <c r="K602" i="13"/>
  <c r="AP602" i="13" s="1"/>
  <c r="T602" i="13"/>
  <c r="K598" i="13"/>
  <c r="T598" i="13"/>
  <c r="K594" i="13"/>
  <c r="T594" i="13"/>
  <c r="K590" i="13"/>
  <c r="T590" i="13"/>
  <c r="K586" i="13"/>
  <c r="AP586" i="13" s="1"/>
  <c r="T586" i="13"/>
  <c r="K639" i="13"/>
  <c r="AP639" i="13" s="1"/>
  <c r="K635" i="13"/>
  <c r="K631" i="13"/>
  <c r="AP631" i="13" s="1"/>
  <c r="K627" i="13"/>
  <c r="K623" i="13"/>
  <c r="AP623" i="13" s="1"/>
  <c r="N563" i="6"/>
  <c r="O562" i="6"/>
  <c r="W562" i="6" s="1"/>
  <c r="E562" i="6"/>
  <c r="F562" i="6" a="1"/>
  <c r="F562" i="6" s="1"/>
  <c r="H562" i="6"/>
  <c r="I562" i="6" s="1"/>
  <c r="J562" i="6"/>
  <c r="T562" i="6"/>
  <c r="V562" i="6" a="1"/>
  <c r="V562" i="6" s="1"/>
  <c r="O561" i="6"/>
  <c r="P763" i="6" s="1"/>
  <c r="E561" i="6"/>
  <c r="F561" i="6" a="1"/>
  <c r="F561" i="6" s="1"/>
  <c r="H561" i="6"/>
  <c r="I561" i="6" s="1"/>
  <c r="J561" i="6"/>
  <c r="T561" i="6"/>
  <c r="V561" i="6" a="1"/>
  <c r="V561" i="6" s="1"/>
  <c r="AM622" i="13" l="1"/>
  <c r="Q590" i="13"/>
  <c r="AD590" i="13" s="1"/>
  <c r="Q588" i="13"/>
  <c r="AD588" i="13" s="1"/>
  <c r="Q604" i="13"/>
  <c r="AM606" i="13"/>
  <c r="AM584" i="13"/>
  <c r="AM594" i="13"/>
  <c r="P584" i="6"/>
  <c r="P731" i="6"/>
  <c r="AD606" i="13"/>
  <c r="AD622" i="13"/>
  <c r="Q589" i="13"/>
  <c r="AD589" i="13" s="1"/>
  <c r="Q597" i="13"/>
  <c r="AD597" i="13" s="1"/>
  <c r="Q598" i="13"/>
  <c r="AM625" i="13"/>
  <c r="Q610" i="13"/>
  <c r="AD610" i="13" s="1"/>
  <c r="AM600" i="13"/>
  <c r="S620" i="6"/>
  <c r="S563" i="6"/>
  <c r="AM607" i="13"/>
  <c r="AM630" i="13"/>
  <c r="AM634" i="13"/>
  <c r="AD630" i="13"/>
  <c r="W561" i="6"/>
  <c r="X763" i="6" s="1"/>
  <c r="V640" i="13"/>
  <c r="Z640" i="13" s="1"/>
  <c r="X620" i="6"/>
  <c r="AD603" i="13"/>
  <c r="AM603" i="13"/>
  <c r="AM593" i="13"/>
  <c r="AD623" i="13"/>
  <c r="AD634" i="13"/>
  <c r="AM624" i="13"/>
  <c r="AM599" i="13"/>
  <c r="AD615" i="13"/>
  <c r="AM623" i="13"/>
  <c r="Q636" i="13"/>
  <c r="Q585" i="13"/>
  <c r="AD585" i="13" s="1"/>
  <c r="Q614" i="13"/>
  <c r="AD614" i="13" s="1"/>
  <c r="AM617" i="13"/>
  <c r="AM638" i="13"/>
  <c r="AD638" i="13"/>
  <c r="AM592" i="13"/>
  <c r="AD639" i="13"/>
  <c r="AM611" i="13"/>
  <c r="Q612" i="13"/>
  <c r="AD612" i="13" s="1"/>
  <c r="AM639" i="13"/>
  <c r="AD611" i="13"/>
  <c r="Q609" i="13"/>
  <c r="AD609" i="13" s="1"/>
  <c r="Q608" i="13"/>
  <c r="AD608" i="13" s="1"/>
  <c r="Q613" i="13"/>
  <c r="AD613" i="13" s="1"/>
  <c r="AM631" i="13"/>
  <c r="AM587" i="13"/>
  <c r="AM618" i="13"/>
  <c r="AD605" i="13"/>
  <c r="AM615" i="13"/>
  <c r="AM591" i="13"/>
  <c r="AD595" i="13"/>
  <c r="AM595" i="13"/>
  <c r="Q586" i="13"/>
  <c r="AD586" i="13" s="1"/>
  <c r="Q621" i="13"/>
  <c r="AM602" i="13"/>
  <c r="AM633" i="13"/>
  <c r="AD633" i="13"/>
  <c r="AM632" i="13"/>
  <c r="AM628" i="13"/>
  <c r="AM601" i="13"/>
  <c r="AM627" i="13"/>
  <c r="AD619" i="13"/>
  <c r="Q640" i="13"/>
  <c r="AD632" i="13"/>
  <c r="AD635" i="13"/>
  <c r="AM635" i="13"/>
  <c r="AM619" i="13"/>
  <c r="AD627" i="13"/>
  <c r="AM626" i="13"/>
  <c r="AD592" i="13"/>
  <c r="AD626" i="13"/>
  <c r="AD629" i="13"/>
  <c r="Q637" i="13"/>
  <c r="AD637" i="13" s="1"/>
  <c r="AM605" i="13"/>
  <c r="AM596" i="13"/>
  <c r="AM616" i="13"/>
  <c r="AM629" i="13"/>
  <c r="AM620" i="13"/>
  <c r="AD628" i="13"/>
  <c r="AL608" i="13"/>
  <c r="AL628" i="13"/>
  <c r="AA622" i="13"/>
  <c r="AI622" i="13" s="1"/>
  <c r="AA639" i="13"/>
  <c r="AB639" i="13" s="1"/>
  <c r="J587" i="13"/>
  <c r="AA600" i="13"/>
  <c r="AE600" i="13" s="1"/>
  <c r="AA587" i="13"/>
  <c r="AK587" i="13" s="1"/>
  <c r="AA609" i="13"/>
  <c r="AK609" i="13" s="1"/>
  <c r="AL609" i="13"/>
  <c r="AA584" i="13"/>
  <c r="AE584" i="13" s="1"/>
  <c r="AL583" i="13"/>
  <c r="J584" i="13"/>
  <c r="AD584" i="13" s="1"/>
  <c r="AP594" i="13"/>
  <c r="AA607" i="13"/>
  <c r="AK607" i="13" s="1"/>
  <c r="AQ607" i="13" s="1"/>
  <c r="AP619" i="13"/>
  <c r="AA586" i="13"/>
  <c r="AK586" i="13" s="1"/>
  <c r="J621" i="13"/>
  <c r="AL592" i="13"/>
  <c r="AA621" i="13"/>
  <c r="AK621" i="13" s="1"/>
  <c r="AA634" i="13"/>
  <c r="AK634" i="13" s="1"/>
  <c r="AL620" i="13"/>
  <c r="AF643" i="13"/>
  <c r="AB643" i="13"/>
  <c r="AE643" i="13"/>
  <c r="AK643" i="13"/>
  <c r="AL643" i="13"/>
  <c r="AA629" i="13"/>
  <c r="AE629" i="13" s="1"/>
  <c r="J616" i="13"/>
  <c r="AD616" i="13" s="1"/>
  <c r="AL595" i="13"/>
  <c r="AL627" i="13"/>
  <c r="AL593" i="13"/>
  <c r="AL605" i="13"/>
  <c r="AP621" i="13"/>
  <c r="AL611" i="13"/>
  <c r="AA598" i="13"/>
  <c r="AI598" i="13" s="1"/>
  <c r="AA589" i="13"/>
  <c r="AK589" i="13" s="1"/>
  <c r="AL629" i="13"/>
  <c r="AA613" i="13"/>
  <c r="AB613" i="13" s="1"/>
  <c r="AA631" i="13"/>
  <c r="AE631" i="13" s="1"/>
  <c r="AA611" i="13"/>
  <c r="AB611" i="13" s="1"/>
  <c r="AP587" i="13"/>
  <c r="AL637" i="13"/>
  <c r="AA636" i="13"/>
  <c r="AI636" i="13" s="1"/>
  <c r="AL633" i="13"/>
  <c r="AA616" i="13"/>
  <c r="AF616" i="13" s="1"/>
  <c r="J598" i="13"/>
  <c r="AL635" i="13"/>
  <c r="J636" i="13"/>
  <c r="AL636" i="13"/>
  <c r="AP635" i="13"/>
  <c r="AD596" i="13"/>
  <c r="AA614" i="13"/>
  <c r="AK614" i="13" s="1"/>
  <c r="AA592" i="13"/>
  <c r="AB592" i="13" s="1"/>
  <c r="AA608" i="13"/>
  <c r="AF608" i="13" s="1"/>
  <c r="AA618" i="13"/>
  <c r="AF618" i="13" s="1"/>
  <c r="AA632" i="13"/>
  <c r="AF632" i="13" s="1"/>
  <c r="AA599" i="13"/>
  <c r="AB599" i="13" s="1"/>
  <c r="AL625" i="13"/>
  <c r="AL613" i="13"/>
  <c r="AA619" i="13"/>
  <c r="AF619" i="13" s="1"/>
  <c r="AA593" i="13"/>
  <c r="AB593" i="13" s="1"/>
  <c r="J602" i="13"/>
  <c r="AD602" i="13" s="1"/>
  <c r="AA612" i="13"/>
  <c r="AB612" i="13" s="1"/>
  <c r="AA591" i="13"/>
  <c r="AE591" i="13" s="1"/>
  <c r="AA637" i="13"/>
  <c r="AB637" i="13" s="1"/>
  <c r="AA633" i="13"/>
  <c r="AE633" i="13" s="1"/>
  <c r="AA624" i="13"/>
  <c r="AL589" i="13"/>
  <c r="AD625" i="13"/>
  <c r="AA630" i="13"/>
  <c r="AB630" i="13" s="1"/>
  <c r="AA626" i="13"/>
  <c r="AK626" i="13" s="1"/>
  <c r="AA627" i="13"/>
  <c r="AK627" i="13" s="1"/>
  <c r="AA625" i="13"/>
  <c r="AI625" i="13" s="1"/>
  <c r="AA603" i="13"/>
  <c r="AK603" i="13" s="1"/>
  <c r="AP609" i="13"/>
  <c r="AA635" i="13"/>
  <c r="AB635" i="13" s="1"/>
  <c r="AA623" i="13"/>
  <c r="AB623" i="13" s="1"/>
  <c r="AP598" i="13"/>
  <c r="AP593" i="13"/>
  <c r="AL586" i="13"/>
  <c r="AP604" i="13"/>
  <c r="AP603" i="13"/>
  <c r="AA628" i="13"/>
  <c r="AF628" i="13" s="1"/>
  <c r="AA620" i="13"/>
  <c r="AD594" i="13"/>
  <c r="AA638" i="13"/>
  <c r="AK638" i="13" s="1"/>
  <c r="AA617" i="13"/>
  <c r="AB617" i="13" s="1"/>
  <c r="J599" i="13"/>
  <c r="AD599" i="13" s="1"/>
  <c r="AL599" i="13"/>
  <c r="AP605" i="13"/>
  <c r="AL626" i="13"/>
  <c r="AL614" i="13"/>
  <c r="AA595" i="13"/>
  <c r="AI595" i="13" s="1"/>
  <c r="AP626" i="13"/>
  <c r="J631" i="13"/>
  <c r="AD631" i="13" s="1"/>
  <c r="AL631" i="13"/>
  <c r="AA615" i="13"/>
  <c r="AF615" i="13" s="1"/>
  <c r="AL638" i="13"/>
  <c r="AL619" i="13"/>
  <c r="AL603" i="13"/>
  <c r="AP595" i="13"/>
  <c r="AP632" i="13"/>
  <c r="AP625" i="13"/>
  <c r="AP636" i="13"/>
  <c r="AP597" i="13"/>
  <c r="AL630" i="13"/>
  <c r="AA585" i="13"/>
  <c r="AK585" i="13" s="1"/>
  <c r="AP589" i="13"/>
  <c r="AP613" i="13"/>
  <c r="AP629" i="13"/>
  <c r="AL634" i="13"/>
  <c r="AA640" i="13"/>
  <c r="G640" i="13"/>
  <c r="H640" i="13"/>
  <c r="AA601" i="13"/>
  <c r="AA597" i="13"/>
  <c r="AK597" i="13" s="1"/>
  <c r="AP612" i="13"/>
  <c r="AP588" i="13"/>
  <c r="AP611" i="13"/>
  <c r="AP616" i="13"/>
  <c r="AA583" i="13"/>
  <c r="AF583" i="13" s="1"/>
  <c r="AP627" i="13"/>
  <c r="AP606" i="13"/>
  <c r="AA605" i="13"/>
  <c r="AE605" i="13" s="1"/>
  <c r="AA596" i="13"/>
  <c r="AF596" i="13" s="1"/>
  <c r="AP584" i="13"/>
  <c r="AP596" i="13"/>
  <c r="AD601" i="13"/>
  <c r="AA610" i="13"/>
  <c r="AB610" i="13" s="1"/>
  <c r="AA606" i="13"/>
  <c r="AB606" i="13" s="1"/>
  <c r="AP590" i="13"/>
  <c r="AA604" i="13"/>
  <c r="AB604" i="13" s="1"/>
  <c r="AP628" i="13"/>
  <c r="AA588" i="13"/>
  <c r="AB588" i="13" s="1"/>
  <c r="AA590" i="13"/>
  <c r="AB590" i="13" s="1"/>
  <c r="AA594" i="13"/>
  <c r="AB594" i="13" s="1"/>
  <c r="AA602" i="13"/>
  <c r="AB602" i="13" s="1"/>
  <c r="N562" i="6"/>
  <c r="N561" i="6"/>
  <c r="P561" i="6"/>
  <c r="N120" i="16"/>
  <c r="O180" i="16" s="1"/>
  <c r="N119" i="16"/>
  <c r="D120" i="16"/>
  <c r="E120" i="16" a="1"/>
  <c r="E120" i="16" s="1"/>
  <c r="G120" i="16"/>
  <c r="H120" i="16" s="1"/>
  <c r="I120" i="16"/>
  <c r="S120" i="16"/>
  <c r="U120" i="16" a="1"/>
  <c r="U120" i="16" s="1"/>
  <c r="D119" i="16"/>
  <c r="E119" i="16" a="1"/>
  <c r="E119" i="16" s="1"/>
  <c r="G119" i="16"/>
  <c r="H119" i="16" s="1"/>
  <c r="I119" i="16"/>
  <c r="S119" i="16"/>
  <c r="U119" i="16" a="1"/>
  <c r="U119" i="16" s="1"/>
  <c r="V119" i="16"/>
  <c r="AD598" i="13" l="1"/>
  <c r="AF624" i="13"/>
  <c r="X584" i="6"/>
  <c r="X731" i="6"/>
  <c r="AQ597" i="13"/>
  <c r="O149" i="16"/>
  <c r="O158" i="16"/>
  <c r="O133" i="16"/>
  <c r="O140" i="16"/>
  <c r="AB584" i="13"/>
  <c r="X561" i="6"/>
  <c r="O126" i="16"/>
  <c r="O128" i="16"/>
  <c r="AB640" i="13"/>
  <c r="AQ603" i="13"/>
  <c r="AQ634" i="13"/>
  <c r="AD636" i="13"/>
  <c r="AQ585" i="13"/>
  <c r="AQ638" i="13"/>
  <c r="AD621" i="13"/>
  <c r="AQ621" i="13" s="1"/>
  <c r="O120" i="16"/>
  <c r="O122" i="16"/>
  <c r="V120" i="16"/>
  <c r="AQ627" i="13"/>
  <c r="AQ614" i="13"/>
  <c r="AQ626" i="13"/>
  <c r="AE609" i="13"/>
  <c r="AF639" i="13"/>
  <c r="AF587" i="13"/>
  <c r="AF622" i="13"/>
  <c r="AE622" i="13"/>
  <c r="AE586" i="13"/>
  <c r="AB609" i="13"/>
  <c r="AF609" i="13"/>
  <c r="AI609" i="13"/>
  <c r="AK622" i="13"/>
  <c r="AQ622" i="13" s="1"/>
  <c r="AE639" i="13"/>
  <c r="AB622" i="13"/>
  <c r="AK639" i="13"/>
  <c r="AQ639" i="13" s="1"/>
  <c r="AI639" i="13"/>
  <c r="AI584" i="13"/>
  <c r="AF600" i="13"/>
  <c r="AB600" i="13"/>
  <c r="AF584" i="13"/>
  <c r="AE587" i="13"/>
  <c r="AB587" i="13"/>
  <c r="AK584" i="13"/>
  <c r="AQ584" i="13" s="1"/>
  <c r="AK600" i="13"/>
  <c r="AI607" i="13"/>
  <c r="AF607" i="13"/>
  <c r="AE634" i="13"/>
  <c r="AB607" i="13"/>
  <c r="AI586" i="13"/>
  <c r="AF586" i="13"/>
  <c r="AI634" i="13"/>
  <c r="AI616" i="13"/>
  <c r="AE607" i="13"/>
  <c r="AB621" i="13"/>
  <c r="AF634" i="13"/>
  <c r="AB634" i="13"/>
  <c r="AB586" i="13"/>
  <c r="AF621" i="13"/>
  <c r="AI621" i="13"/>
  <c r="AE621" i="13"/>
  <c r="AK620" i="13"/>
  <c r="AK591" i="13"/>
  <c r="AQ591" i="13" s="1"/>
  <c r="AK628" i="13"/>
  <c r="AQ628" i="13" s="1"/>
  <c r="AI628" i="13"/>
  <c r="AI629" i="13"/>
  <c r="AF629" i="13"/>
  <c r="AK629" i="13"/>
  <c r="AQ629" i="13" s="1"/>
  <c r="AB629" i="13"/>
  <c r="AB591" i="13"/>
  <c r="AI589" i="13"/>
  <c r="AK598" i="13"/>
  <c r="AF631" i="13"/>
  <c r="AK618" i="13"/>
  <c r="AQ618" i="13" s="1"/>
  <c r="AK624" i="13"/>
  <c r="AB608" i="13"/>
  <c r="AI619" i="13"/>
  <c r="AB618" i="13"/>
  <c r="AB598" i="13"/>
  <c r="AB631" i="13"/>
  <c r="AE616" i="13"/>
  <c r="AE598" i="13"/>
  <c r="AK631" i="13"/>
  <c r="AQ631" i="13" s="1"/>
  <c r="AI618" i="13"/>
  <c r="AK616" i="13"/>
  <c r="AQ616" i="13" s="1"/>
  <c r="AF598" i="13"/>
  <c r="AE635" i="13"/>
  <c r="AI631" i="13"/>
  <c r="AE618" i="13"/>
  <c r="AB616" i="13"/>
  <c r="AI614" i="13"/>
  <c r="AK593" i="13"/>
  <c r="AF589" i="13"/>
  <c r="AI591" i="13"/>
  <c r="AB589" i="13"/>
  <c r="AE611" i="13"/>
  <c r="AE589" i="13"/>
  <c r="AF636" i="13"/>
  <c r="AK636" i="13"/>
  <c r="AK637" i="13"/>
  <c r="AQ637" i="13" s="1"/>
  <c r="AE636" i="13"/>
  <c r="AI608" i="13"/>
  <c r="AE608" i="13"/>
  <c r="AE592" i="13"/>
  <c r="AQ609" i="13"/>
  <c r="AF635" i="13"/>
  <c r="AK630" i="13"/>
  <c r="AQ630" i="13" s="1"/>
  <c r="AK613" i="13"/>
  <c r="AQ613" i="13" s="1"/>
  <c r="AB636" i="13"/>
  <c r="AF611" i="13"/>
  <c r="AK635" i="13"/>
  <c r="AQ635" i="13" s="1"/>
  <c r="AE613" i="13"/>
  <c r="AI617" i="13"/>
  <c r="AE637" i="13"/>
  <c r="AK608" i="13"/>
  <c r="AQ608" i="13" s="1"/>
  <c r="AE626" i="13"/>
  <c r="AF613" i="13"/>
  <c r="AI626" i="13"/>
  <c r="AQ589" i="13"/>
  <c r="AI613" i="13"/>
  <c r="AF626" i="13"/>
  <c r="AK611" i="13"/>
  <c r="AQ611" i="13" s="1"/>
  <c r="AK599" i="13"/>
  <c r="AQ599" i="13" s="1"/>
  <c r="AI611" i="13"/>
  <c r="AE619" i="13"/>
  <c r="AE625" i="13"/>
  <c r="AK592" i="13"/>
  <c r="AQ592" i="13" s="1"/>
  <c r="AI612" i="13"/>
  <c r="AI603" i="13"/>
  <c r="AK619" i="13"/>
  <c r="AQ619" i="13" s="1"/>
  <c r="AF603" i="13"/>
  <c r="AI632" i="13"/>
  <c r="AB619" i="13"/>
  <c r="AF592" i="13"/>
  <c r="AI592" i="13"/>
  <c r="AF585" i="13"/>
  <c r="AF627" i="13"/>
  <c r="AK625" i="13"/>
  <c r="AQ625" i="13" s="1"/>
  <c r="AB624" i="13"/>
  <c r="AE614" i="13"/>
  <c r="AF630" i="13"/>
  <c r="AI637" i="13"/>
  <c r="AE599" i="13"/>
  <c r="AI599" i="13"/>
  <c r="AB632" i="13"/>
  <c r="AB614" i="13"/>
  <c r="AF614" i="13"/>
  <c r="AI585" i="13"/>
  <c r="AI630" i="13"/>
  <c r="AF617" i="13"/>
  <c r="AF620" i="13"/>
  <c r="AF591" i="13"/>
  <c r="AF599" i="13"/>
  <c r="AE632" i="13"/>
  <c r="AK632" i="13"/>
  <c r="AQ632" i="13" s="1"/>
  <c r="AI635" i="13"/>
  <c r="AE630" i="13"/>
  <c r="AF637" i="13"/>
  <c r="AE624" i="13"/>
  <c r="AK633" i="13"/>
  <c r="AQ633" i="13" s="1"/>
  <c r="AF612" i="13"/>
  <c r="AE627" i="13"/>
  <c r="AB627" i="13"/>
  <c r="AF633" i="13"/>
  <c r="AB626" i="13"/>
  <c r="AI627" i="13"/>
  <c r="AB633" i="13"/>
  <c r="AK612" i="13"/>
  <c r="AQ612" i="13" s="1"/>
  <c r="AF593" i="13"/>
  <c r="AE612" i="13"/>
  <c r="AE593" i="13"/>
  <c r="AF623" i="13"/>
  <c r="AI633" i="13"/>
  <c r="AE601" i="13"/>
  <c r="AB601" i="13"/>
  <c r="AE585" i="13"/>
  <c r="AB585" i="13"/>
  <c r="AE597" i="13"/>
  <c r="AB597" i="13"/>
  <c r="AF597" i="13"/>
  <c r="AK601" i="13"/>
  <c r="AQ601" i="13" s="1"/>
  <c r="AE623" i="13"/>
  <c r="AI596" i="13"/>
  <c r="AB596" i="13"/>
  <c r="AK583" i="13"/>
  <c r="AQ583" i="13" s="1"/>
  <c r="AB583" i="13"/>
  <c r="AI615" i="13"/>
  <c r="AB615" i="13"/>
  <c r="AF595" i="13"/>
  <c r="AB595" i="13"/>
  <c r="AE638" i="13"/>
  <c r="AB638" i="13"/>
  <c r="AE620" i="13"/>
  <c r="AB620" i="13"/>
  <c r="AF625" i="13"/>
  <c r="AB625" i="13"/>
  <c r="AI601" i="13"/>
  <c r="AI623" i="13"/>
  <c r="AI597" i="13"/>
  <c r="AF601" i="13"/>
  <c r="AK623" i="13"/>
  <c r="AQ623" i="13" s="1"/>
  <c r="AI605" i="13"/>
  <c r="AB605" i="13"/>
  <c r="AE628" i="13"/>
  <c r="AB628" i="13"/>
  <c r="AE603" i="13"/>
  <c r="AB603" i="13"/>
  <c r="AF638" i="13"/>
  <c r="AK595" i="13"/>
  <c r="AQ595" i="13" s="1"/>
  <c r="AK615" i="13"/>
  <c r="AQ615" i="13" s="1"/>
  <c r="AE583" i="13"/>
  <c r="AE596" i="13"/>
  <c r="AI638" i="13"/>
  <c r="AE595" i="13"/>
  <c r="AE615" i="13"/>
  <c r="AK617" i="13"/>
  <c r="AQ617" i="13" s="1"/>
  <c r="AE617" i="13"/>
  <c r="AE640" i="13"/>
  <c r="AF640" i="13"/>
  <c r="AK640" i="13"/>
  <c r="AF605" i="13"/>
  <c r="AK605" i="13"/>
  <c r="AQ605" i="13" s="1"/>
  <c r="AL640" i="13"/>
  <c r="AI583" i="13"/>
  <c r="AK596" i="13"/>
  <c r="AQ596" i="13" s="1"/>
  <c r="AE590" i="13"/>
  <c r="AI590" i="13"/>
  <c r="AK590" i="13"/>
  <c r="AQ590" i="13" s="1"/>
  <c r="AF590" i="13"/>
  <c r="AE604" i="13"/>
  <c r="AF604" i="13"/>
  <c r="AK604" i="13"/>
  <c r="AQ586" i="13"/>
  <c r="AE588" i="13"/>
  <c r="AF588" i="13"/>
  <c r="AK588" i="13"/>
  <c r="AQ588" i="13" s="1"/>
  <c r="AI588" i="13"/>
  <c r="AE606" i="13"/>
  <c r="AI606" i="13"/>
  <c r="AK606" i="13"/>
  <c r="AQ606" i="13" s="1"/>
  <c r="AF606" i="13"/>
  <c r="AE602" i="13"/>
  <c r="AF602" i="13"/>
  <c r="AK602" i="13"/>
  <c r="AQ602" i="13" s="1"/>
  <c r="AI602" i="13"/>
  <c r="AE594" i="13"/>
  <c r="AF594" i="13"/>
  <c r="AI594" i="13"/>
  <c r="AK594" i="13"/>
  <c r="AQ594" i="13" s="1"/>
  <c r="AF610" i="13"/>
  <c r="AI610" i="13"/>
  <c r="AK610" i="13"/>
  <c r="AQ610" i="13" s="1"/>
  <c r="AE610" i="13"/>
  <c r="S561" i="6"/>
  <c r="M120" i="16"/>
  <c r="M119" i="16"/>
  <c r="E560" i="6"/>
  <c r="F560" i="6" a="1"/>
  <c r="F560" i="6" s="1"/>
  <c r="H560" i="6"/>
  <c r="I560" i="6" s="1"/>
  <c r="J560" i="6"/>
  <c r="O560" i="6"/>
  <c r="W560" i="6" s="1"/>
  <c r="T560" i="6"/>
  <c r="V560" i="6" a="1"/>
  <c r="V560" i="6" s="1"/>
  <c r="E559" i="6"/>
  <c r="F559" i="6" a="1"/>
  <c r="F559" i="6" s="1"/>
  <c r="H559" i="6"/>
  <c r="I559" i="6" s="1"/>
  <c r="J559" i="6"/>
  <c r="O559" i="6"/>
  <c r="N559" i="6" s="1"/>
  <c r="T559" i="6"/>
  <c r="V559" i="6" a="1"/>
  <c r="V559" i="6" s="1"/>
  <c r="O558" i="6"/>
  <c r="E558" i="6"/>
  <c r="F558" i="6" a="1"/>
  <c r="F558" i="6" s="1"/>
  <c r="H558" i="6"/>
  <c r="I558" i="6" s="1"/>
  <c r="J558" i="6"/>
  <c r="T558" i="6"/>
  <c r="V558" i="6" a="1"/>
  <c r="V558" i="6" s="1"/>
  <c r="E557" i="6"/>
  <c r="F557" i="6" a="1"/>
  <c r="F557" i="6" s="1"/>
  <c r="H557" i="6"/>
  <c r="I557" i="6" s="1"/>
  <c r="J557" i="6"/>
  <c r="O557" i="6"/>
  <c r="T557" i="6"/>
  <c r="V557" i="6" a="1"/>
  <c r="V557" i="6" s="1"/>
  <c r="W557" i="6"/>
  <c r="E556" i="6"/>
  <c r="F556" i="6" a="1"/>
  <c r="F556" i="6" s="1"/>
  <c r="H556" i="6"/>
  <c r="I556" i="6" s="1"/>
  <c r="J556" i="6"/>
  <c r="O556" i="6"/>
  <c r="T556" i="6"/>
  <c r="V556" i="6" a="1"/>
  <c r="V556" i="6" s="1"/>
  <c r="E555" i="6"/>
  <c r="F555" i="6" a="1"/>
  <c r="F555" i="6" s="1"/>
  <c r="H555" i="6"/>
  <c r="I555" i="6" s="1"/>
  <c r="J555" i="6"/>
  <c r="O555" i="6"/>
  <c r="T555" i="6"/>
  <c r="W555" i="6"/>
  <c r="O554" i="6"/>
  <c r="E554" i="6"/>
  <c r="F554" i="6" a="1"/>
  <c r="F554" i="6" s="1"/>
  <c r="H554" i="6"/>
  <c r="I554" i="6" s="1"/>
  <c r="J554" i="6"/>
  <c r="T554" i="6"/>
  <c r="V554" i="6" a="1"/>
  <c r="V554" i="6" s="1"/>
  <c r="W554" i="6"/>
  <c r="D118" i="16"/>
  <c r="E118" i="16" a="1"/>
  <c r="E118" i="16" s="1"/>
  <c r="G118" i="16"/>
  <c r="H118" i="16" s="1"/>
  <c r="I118" i="16"/>
  <c r="N118" i="16"/>
  <c r="S118" i="16"/>
  <c r="U118" i="16" a="1"/>
  <c r="U118" i="16" s="1"/>
  <c r="V118" i="16"/>
  <c r="O553" i="6"/>
  <c r="E553" i="6"/>
  <c r="F553" i="6" a="1"/>
  <c r="F553" i="6" s="1"/>
  <c r="H553" i="6"/>
  <c r="I553" i="6" s="1"/>
  <c r="J553" i="6"/>
  <c r="T553" i="6"/>
  <c r="W553" i="6"/>
  <c r="E552" i="6"/>
  <c r="F552" i="6" a="1"/>
  <c r="F552" i="6" s="1"/>
  <c r="H552" i="6"/>
  <c r="I552" i="6" s="1"/>
  <c r="J552" i="6"/>
  <c r="O552" i="6"/>
  <c r="W552" i="6" s="1"/>
  <c r="T552" i="6"/>
  <c r="O551" i="6"/>
  <c r="E551" i="6"/>
  <c r="F551" i="6" a="1"/>
  <c r="F551" i="6" s="1"/>
  <c r="H551" i="6"/>
  <c r="I551" i="6" s="1"/>
  <c r="J551" i="6"/>
  <c r="T551" i="6"/>
  <c r="V551" i="6" a="1"/>
  <c r="V551" i="6" s="1"/>
  <c r="W551" i="6"/>
  <c r="D117" i="16"/>
  <c r="E117" i="16" a="1"/>
  <c r="E117" i="16" s="1"/>
  <c r="G117" i="16"/>
  <c r="H117" i="16" s="1"/>
  <c r="I117" i="16"/>
  <c r="N117" i="16"/>
  <c r="S117" i="16"/>
  <c r="U117" i="16" a="1"/>
  <c r="U117" i="16" s="1"/>
  <c r="V117" i="16"/>
  <c r="E550" i="6"/>
  <c r="F550" i="6" a="1"/>
  <c r="F550" i="6" s="1"/>
  <c r="H550" i="6"/>
  <c r="I550" i="6" s="1"/>
  <c r="J550" i="6"/>
  <c r="O550" i="6"/>
  <c r="T550" i="6"/>
  <c r="W550" i="6"/>
  <c r="D116" i="16"/>
  <c r="E116" i="16" a="1"/>
  <c r="E116" i="16" s="1"/>
  <c r="G116" i="16"/>
  <c r="H116" i="16" s="1"/>
  <c r="I116" i="16"/>
  <c r="N116" i="16"/>
  <c r="S116" i="16"/>
  <c r="U116" i="16" a="1"/>
  <c r="U116" i="16" s="1"/>
  <c r="V116" i="16"/>
  <c r="D115" i="16"/>
  <c r="E115" i="16" a="1"/>
  <c r="E115" i="16" s="1"/>
  <c r="G115" i="16"/>
  <c r="H115" i="16" s="1"/>
  <c r="I115" i="16"/>
  <c r="N115" i="16"/>
  <c r="S115" i="16"/>
  <c r="U115" i="16" a="1"/>
  <c r="U115" i="16" s="1"/>
  <c r="V115" i="16"/>
  <c r="E547" i="6"/>
  <c r="F547" i="6" a="1"/>
  <c r="F547" i="6" s="1"/>
  <c r="H547" i="6"/>
  <c r="I547" i="6" s="1"/>
  <c r="J547" i="6"/>
  <c r="O547" i="6"/>
  <c r="T547" i="6"/>
  <c r="V547" i="6" a="1"/>
  <c r="V547" i="6" s="1"/>
  <c r="W547" i="6"/>
  <c r="E548" i="6"/>
  <c r="F548" i="6" a="1"/>
  <c r="F548" i="6" s="1"/>
  <c r="H548" i="6"/>
  <c r="I548" i="6" s="1"/>
  <c r="J548" i="6"/>
  <c r="O548" i="6"/>
  <c r="N548" i="6" s="1"/>
  <c r="T548" i="6"/>
  <c r="W548" i="6"/>
  <c r="E549" i="6"/>
  <c r="F549" i="6" a="1"/>
  <c r="F549" i="6" s="1"/>
  <c r="H549" i="6"/>
  <c r="I549" i="6" s="1"/>
  <c r="J549" i="6"/>
  <c r="O549" i="6"/>
  <c r="W549" i="6" s="1"/>
  <c r="T549" i="6"/>
  <c r="O546" i="6"/>
  <c r="E546" i="6"/>
  <c r="F546" i="6" a="1"/>
  <c r="F546" i="6" s="1"/>
  <c r="H546" i="6"/>
  <c r="I546" i="6" s="1"/>
  <c r="J546" i="6"/>
  <c r="T546" i="6"/>
  <c r="V546" i="6" a="1"/>
  <c r="V546" i="6" s="1"/>
  <c r="W546" i="6"/>
  <c r="E545" i="6"/>
  <c r="F545" i="6" a="1"/>
  <c r="F545" i="6" s="1"/>
  <c r="H545" i="6"/>
  <c r="I545" i="6" s="1"/>
  <c r="J545" i="6"/>
  <c r="O545" i="6"/>
  <c r="P545" i="6" s="1"/>
  <c r="T545" i="6"/>
  <c r="V545" i="6" a="1"/>
  <c r="V545" i="6" s="1"/>
  <c r="W545" i="6"/>
  <c r="X545" i="6" s="1"/>
  <c r="E544" i="6"/>
  <c r="F544" i="6" a="1"/>
  <c r="F544" i="6" s="1"/>
  <c r="H544" i="6"/>
  <c r="I544" i="6" s="1"/>
  <c r="J544" i="6"/>
  <c r="O544" i="6"/>
  <c r="W544" i="6" s="1"/>
  <c r="T544" i="6"/>
  <c r="V544" i="6" a="1"/>
  <c r="V544" i="6" s="1"/>
  <c r="E543" i="6"/>
  <c r="F543" i="6" a="1"/>
  <c r="F543" i="6" s="1"/>
  <c r="H543" i="6"/>
  <c r="I543" i="6" s="1"/>
  <c r="J543" i="6"/>
  <c r="O543" i="6"/>
  <c r="T543" i="6"/>
  <c r="V543" i="6" a="1"/>
  <c r="V543" i="6" s="1"/>
  <c r="E542" i="6"/>
  <c r="F542" i="6" a="1"/>
  <c r="F542" i="6" s="1"/>
  <c r="H542" i="6"/>
  <c r="I542" i="6" s="1"/>
  <c r="J542" i="6"/>
  <c r="O542" i="6"/>
  <c r="T542" i="6"/>
  <c r="W542" i="6"/>
  <c r="E540" i="6"/>
  <c r="E541" i="6"/>
  <c r="F540" i="6" a="1"/>
  <c r="F540" i="6" s="1"/>
  <c r="F541" i="6" a="1"/>
  <c r="F541" i="6" s="1"/>
  <c r="H540" i="6"/>
  <c r="I540" i="6" s="1"/>
  <c r="H541" i="6"/>
  <c r="I541" i="6" s="1"/>
  <c r="J540" i="6"/>
  <c r="J541" i="6"/>
  <c r="O540" i="6"/>
  <c r="N540" i="6" s="1"/>
  <c r="O541" i="6"/>
  <c r="N541" i="6" s="1"/>
  <c r="T540" i="6"/>
  <c r="T541" i="6"/>
  <c r="V540" i="6" a="1"/>
  <c r="V540" i="6" s="1"/>
  <c r="V541" i="6" a="1"/>
  <c r="V541" i="6" s="1"/>
  <c r="W540" i="6"/>
  <c r="W541" i="6"/>
  <c r="E538" i="6"/>
  <c r="E539" i="6"/>
  <c r="F538" i="6" a="1"/>
  <c r="F538" i="6" s="1"/>
  <c r="F539" i="6" a="1"/>
  <c r="F539" i="6" s="1"/>
  <c r="H538" i="6"/>
  <c r="I538" i="6" s="1"/>
  <c r="H539" i="6"/>
  <c r="I539" i="6" s="1"/>
  <c r="J538" i="6"/>
  <c r="J539" i="6"/>
  <c r="O538" i="6"/>
  <c r="N538" i="6" s="1"/>
  <c r="O539" i="6"/>
  <c r="N539" i="6" s="1"/>
  <c r="T538" i="6"/>
  <c r="T539" i="6"/>
  <c r="V538" i="6" a="1"/>
  <c r="V538" i="6" s="1"/>
  <c r="V539" i="6" a="1"/>
  <c r="V539" i="6" s="1"/>
  <c r="W538" i="6"/>
  <c r="E535" i="6"/>
  <c r="E536" i="6"/>
  <c r="E537" i="6"/>
  <c r="F535" i="6" a="1"/>
  <c r="F535" i="6" s="1"/>
  <c r="F536" i="6" a="1"/>
  <c r="F536" i="6" s="1"/>
  <c r="F537" i="6" a="1"/>
  <c r="F537" i="6" s="1"/>
  <c r="H535" i="6"/>
  <c r="I535" i="6" s="1"/>
  <c r="H536" i="6"/>
  <c r="I536" i="6" s="1"/>
  <c r="H537" i="6"/>
  <c r="I537" i="6" s="1"/>
  <c r="J535" i="6"/>
  <c r="J536" i="6"/>
  <c r="J537" i="6"/>
  <c r="O535" i="6"/>
  <c r="W535" i="6" s="1"/>
  <c r="O536" i="6"/>
  <c r="N536" i="6" s="1"/>
  <c r="O537" i="6"/>
  <c r="N537" i="6" s="1"/>
  <c r="T535" i="6"/>
  <c r="T536" i="6"/>
  <c r="T537" i="6"/>
  <c r="V535" i="6" a="1"/>
  <c r="V535" i="6" s="1"/>
  <c r="V536" i="6" a="1"/>
  <c r="V536" i="6" s="1"/>
  <c r="V537" i="6" a="1"/>
  <c r="V537" i="6" s="1"/>
  <c r="W536" i="6"/>
  <c r="W537" i="6"/>
  <c r="E534" i="6"/>
  <c r="F534" i="6" a="1"/>
  <c r="F534" i="6" s="1"/>
  <c r="H534" i="6"/>
  <c r="I534" i="6" s="1"/>
  <c r="J534" i="6"/>
  <c r="O534" i="6"/>
  <c r="T534" i="6"/>
  <c r="V534" i="6" a="1"/>
  <c r="V534" i="6" s="1"/>
  <c r="W534" i="6"/>
  <c r="E533" i="6"/>
  <c r="F533" i="6" a="1"/>
  <c r="F533" i="6" s="1"/>
  <c r="H533" i="6"/>
  <c r="I533" i="6" s="1"/>
  <c r="J533" i="6"/>
  <c r="O533" i="6"/>
  <c r="T533" i="6"/>
  <c r="V533" i="6" a="1"/>
  <c r="V533" i="6" s="1"/>
  <c r="W533" i="6"/>
  <c r="E531" i="6"/>
  <c r="E532" i="6"/>
  <c r="F531" i="6" a="1"/>
  <c r="F531" i="6" s="1"/>
  <c r="F532" i="6" a="1"/>
  <c r="F532" i="6" s="1"/>
  <c r="H531" i="6"/>
  <c r="I531" i="6" s="1"/>
  <c r="H532" i="6"/>
  <c r="I532" i="6" s="1"/>
  <c r="J531" i="6"/>
  <c r="J532" i="6"/>
  <c r="O531" i="6"/>
  <c r="N531" i="6" s="1"/>
  <c r="O532" i="6"/>
  <c r="N532" i="6" s="1"/>
  <c r="T531" i="6"/>
  <c r="T532" i="6"/>
  <c r="V531" i="6" a="1"/>
  <c r="V531" i="6" s="1"/>
  <c r="V532" i="6" a="1"/>
  <c r="V532" i="6" s="1"/>
  <c r="W531" i="6"/>
  <c r="W532" i="6"/>
  <c r="E530" i="6"/>
  <c r="F530" i="6" a="1"/>
  <c r="F530" i="6" s="1"/>
  <c r="H530" i="6"/>
  <c r="I530" i="6" s="1"/>
  <c r="J530" i="6"/>
  <c r="O530" i="6"/>
  <c r="T530" i="6"/>
  <c r="V530" i="6" a="1"/>
  <c r="V530" i="6" s="1"/>
  <c r="W530" i="6"/>
  <c r="E529" i="6"/>
  <c r="F529" i="6" a="1"/>
  <c r="F529" i="6" s="1"/>
  <c r="H529" i="6"/>
  <c r="I529" i="6" s="1"/>
  <c r="J529" i="6"/>
  <c r="O529" i="6"/>
  <c r="W529" i="6" s="1"/>
  <c r="T529" i="6"/>
  <c r="V529" i="6" a="1"/>
  <c r="V529" i="6" s="1"/>
  <c r="E526" i="6"/>
  <c r="E527" i="6"/>
  <c r="E528" i="6"/>
  <c r="F526" i="6" a="1"/>
  <c r="F526" i="6" s="1"/>
  <c r="F527" i="6" a="1"/>
  <c r="F527" i="6" s="1"/>
  <c r="F528" i="6" a="1"/>
  <c r="F528" i="6" s="1"/>
  <c r="H526" i="6"/>
  <c r="I526" i="6" s="1"/>
  <c r="H527" i="6"/>
  <c r="I527" i="6" s="1"/>
  <c r="H528" i="6"/>
  <c r="I528" i="6" s="1"/>
  <c r="J526" i="6"/>
  <c r="J527" i="6"/>
  <c r="J528" i="6"/>
  <c r="O526" i="6"/>
  <c r="O527" i="6"/>
  <c r="N527" i="6" s="1"/>
  <c r="O528" i="6"/>
  <c r="N528" i="6" s="1"/>
  <c r="T526" i="6"/>
  <c r="T527" i="6"/>
  <c r="T528" i="6"/>
  <c r="V526" i="6" a="1"/>
  <c r="V526" i="6" s="1"/>
  <c r="V527" i="6" a="1"/>
  <c r="V527" i="6" s="1"/>
  <c r="V528" i="6" a="1"/>
  <c r="V528" i="6" s="1"/>
  <c r="W526" i="6"/>
  <c r="W527" i="6"/>
  <c r="W528" i="6"/>
  <c r="E521" i="6"/>
  <c r="E522" i="6"/>
  <c r="E523" i="6"/>
  <c r="E524" i="6"/>
  <c r="E525" i="6"/>
  <c r="F521" i="6" a="1"/>
  <c r="F521" i="6" s="1"/>
  <c r="F522" i="6" a="1"/>
  <c r="F522" i="6" s="1"/>
  <c r="F523" i="6" a="1"/>
  <c r="F523" i="6" s="1"/>
  <c r="F524" i="6" a="1"/>
  <c r="F524" i="6" s="1"/>
  <c r="F525" i="6" a="1"/>
  <c r="F525" i="6" s="1"/>
  <c r="H521" i="6"/>
  <c r="I521" i="6" s="1"/>
  <c r="H522" i="6"/>
  <c r="I522" i="6" s="1"/>
  <c r="H523" i="6"/>
  <c r="I523" i="6" s="1"/>
  <c r="H524" i="6"/>
  <c r="I524" i="6" s="1"/>
  <c r="H525" i="6"/>
  <c r="I525" i="6" s="1"/>
  <c r="J521" i="6"/>
  <c r="J522" i="6"/>
  <c r="J523" i="6"/>
  <c r="J524" i="6"/>
  <c r="J525" i="6"/>
  <c r="O521" i="6"/>
  <c r="W521" i="6" s="1"/>
  <c r="O522" i="6"/>
  <c r="N522" i="6" s="1"/>
  <c r="O523" i="6"/>
  <c r="N523" i="6" s="1"/>
  <c r="O524" i="6"/>
  <c r="N524" i="6" s="1"/>
  <c r="O525" i="6"/>
  <c r="T521" i="6"/>
  <c r="T522" i="6"/>
  <c r="T523" i="6"/>
  <c r="T524" i="6"/>
  <c r="T525" i="6"/>
  <c r="V521" i="6" a="1"/>
  <c r="V521" i="6" s="1"/>
  <c r="V522" i="6" a="1"/>
  <c r="V522" i="6" s="1"/>
  <c r="V523" i="6" a="1"/>
  <c r="V523" i="6" s="1"/>
  <c r="V524" i="6" a="1"/>
  <c r="V524" i="6" s="1"/>
  <c r="V525" i="6" a="1"/>
  <c r="V525" i="6" s="1"/>
  <c r="W522" i="6"/>
  <c r="W524" i="6"/>
  <c r="W525" i="6"/>
  <c r="E519" i="6"/>
  <c r="E520" i="6"/>
  <c r="F519" i="6" a="1"/>
  <c r="F519" i="6" s="1"/>
  <c r="F520" i="6" a="1"/>
  <c r="F520" i="6" s="1"/>
  <c r="H519" i="6"/>
  <c r="I519" i="6" s="1"/>
  <c r="H520" i="6"/>
  <c r="I520" i="6" s="1"/>
  <c r="J519" i="6"/>
  <c r="J520" i="6"/>
  <c r="O519" i="6"/>
  <c r="N519" i="6" s="1"/>
  <c r="O520" i="6"/>
  <c r="N520" i="6" s="1"/>
  <c r="T519" i="6"/>
  <c r="T520" i="6"/>
  <c r="V519" i="6" a="1"/>
  <c r="V519" i="6" s="1"/>
  <c r="V520" i="6" a="1"/>
  <c r="V520" i="6" s="1"/>
  <c r="W519" i="6"/>
  <c r="W520" i="6"/>
  <c r="E516" i="6"/>
  <c r="E517" i="6"/>
  <c r="E518" i="6"/>
  <c r="F516" i="6" a="1"/>
  <c r="F516" i="6" s="1"/>
  <c r="F517" i="6" a="1"/>
  <c r="F517" i="6" s="1"/>
  <c r="F518" i="6" a="1"/>
  <c r="F518" i="6" s="1"/>
  <c r="H516" i="6"/>
  <c r="I516" i="6" s="1"/>
  <c r="H517" i="6"/>
  <c r="I517" i="6" s="1"/>
  <c r="H518" i="6"/>
  <c r="I518" i="6" s="1"/>
  <c r="J516" i="6"/>
  <c r="J517" i="6"/>
  <c r="J518" i="6"/>
  <c r="O516" i="6"/>
  <c r="O517" i="6"/>
  <c r="N517" i="6" s="1"/>
  <c r="O518" i="6"/>
  <c r="N518" i="6" s="1"/>
  <c r="T516" i="6"/>
  <c r="T517" i="6"/>
  <c r="T518" i="6"/>
  <c r="V516" i="6" a="1"/>
  <c r="V516" i="6" s="1"/>
  <c r="V517" i="6" a="1"/>
  <c r="V517" i="6" s="1"/>
  <c r="V518" i="6" a="1"/>
  <c r="V518" i="6" s="1"/>
  <c r="W516" i="6"/>
  <c r="W517" i="6"/>
  <c r="E512" i="6"/>
  <c r="E513" i="6"/>
  <c r="E514" i="6"/>
  <c r="E515" i="6"/>
  <c r="F512" i="6" a="1"/>
  <c r="F512" i="6" s="1"/>
  <c r="F513" i="6" a="1"/>
  <c r="F513" i="6" s="1"/>
  <c r="F514" i="6" a="1"/>
  <c r="F514" i="6" s="1"/>
  <c r="F515" i="6" a="1"/>
  <c r="F515" i="6" s="1"/>
  <c r="H512" i="6"/>
  <c r="I512" i="6" s="1"/>
  <c r="H513" i="6"/>
  <c r="I513" i="6" s="1"/>
  <c r="H514" i="6"/>
  <c r="I514" i="6" s="1"/>
  <c r="H515" i="6"/>
  <c r="I515" i="6" s="1"/>
  <c r="J512" i="6"/>
  <c r="J513" i="6"/>
  <c r="J514" i="6"/>
  <c r="J515" i="6"/>
  <c r="O512" i="6"/>
  <c r="N512" i="6" s="1"/>
  <c r="O513" i="6"/>
  <c r="N513" i="6" s="1"/>
  <c r="O514" i="6"/>
  <c r="N514" i="6" s="1"/>
  <c r="O515" i="6"/>
  <c r="N515" i="6" s="1"/>
  <c r="T512" i="6"/>
  <c r="T513" i="6"/>
  <c r="T514" i="6"/>
  <c r="T515" i="6"/>
  <c r="V512" i="6" a="1"/>
  <c r="V512" i="6" s="1"/>
  <c r="V513" i="6" a="1"/>
  <c r="V513" i="6" s="1"/>
  <c r="V514" i="6" a="1"/>
  <c r="V514" i="6" s="1"/>
  <c r="V515" i="6" a="1"/>
  <c r="V515" i="6" s="1"/>
  <c r="W512" i="6"/>
  <c r="W513" i="6"/>
  <c r="W514" i="6"/>
  <c r="W515" i="6"/>
  <c r="E511" i="6"/>
  <c r="F511" i="6" a="1"/>
  <c r="F511" i="6" s="1"/>
  <c r="H511" i="6"/>
  <c r="I511" i="6" s="1"/>
  <c r="J511" i="6"/>
  <c r="O511" i="6"/>
  <c r="T511" i="6"/>
  <c r="V511" i="6" a="1"/>
  <c r="V511" i="6" s="1"/>
  <c r="W511" i="6"/>
  <c r="E504" i="6"/>
  <c r="E505" i="6"/>
  <c r="E506" i="6"/>
  <c r="E507" i="6"/>
  <c r="E508" i="6"/>
  <c r="E509" i="6"/>
  <c r="E510" i="6"/>
  <c r="F504" i="6" a="1"/>
  <c r="F504" i="6" s="1"/>
  <c r="F505" i="6" a="1"/>
  <c r="F505" i="6" s="1"/>
  <c r="F506" i="6" a="1"/>
  <c r="F506" i="6" s="1"/>
  <c r="F507" i="6" a="1"/>
  <c r="F507" i="6" s="1"/>
  <c r="F508" i="6" a="1"/>
  <c r="F508" i="6" s="1"/>
  <c r="F509" i="6" a="1"/>
  <c r="F509" i="6" s="1"/>
  <c r="F510" i="6" a="1"/>
  <c r="F510" i="6" s="1"/>
  <c r="H504" i="6"/>
  <c r="I504" i="6" s="1"/>
  <c r="H505" i="6"/>
  <c r="I505" i="6" s="1"/>
  <c r="H506" i="6"/>
  <c r="I506" i="6" s="1"/>
  <c r="H507" i="6"/>
  <c r="I507" i="6" s="1"/>
  <c r="H508" i="6"/>
  <c r="I508" i="6" s="1"/>
  <c r="H509" i="6"/>
  <c r="I509" i="6" s="1"/>
  <c r="H510" i="6"/>
  <c r="I510" i="6" s="1"/>
  <c r="J504" i="6"/>
  <c r="J505" i="6"/>
  <c r="J506" i="6"/>
  <c r="J507" i="6"/>
  <c r="J508" i="6"/>
  <c r="J509" i="6"/>
  <c r="J510" i="6"/>
  <c r="O504" i="6"/>
  <c r="N504" i="6" s="1"/>
  <c r="O505" i="6"/>
  <c r="N505" i="6" s="1"/>
  <c r="O506" i="6"/>
  <c r="N506" i="6" s="1"/>
  <c r="O507" i="6"/>
  <c r="O508" i="6"/>
  <c r="N508" i="6" s="1"/>
  <c r="O509" i="6"/>
  <c r="N509" i="6" s="1"/>
  <c r="O510" i="6"/>
  <c r="N510" i="6" s="1"/>
  <c r="T504" i="6"/>
  <c r="T505" i="6"/>
  <c r="T506" i="6"/>
  <c r="T507" i="6"/>
  <c r="T508" i="6"/>
  <c r="T509" i="6"/>
  <c r="T510" i="6"/>
  <c r="V504" i="6" a="1"/>
  <c r="V504" i="6" s="1"/>
  <c r="V505" i="6" a="1"/>
  <c r="V505" i="6" s="1"/>
  <c r="V506" i="6" a="1"/>
  <c r="V506" i="6" s="1"/>
  <c r="V507" i="6" a="1"/>
  <c r="V507" i="6" s="1"/>
  <c r="V508" i="6" a="1"/>
  <c r="V508" i="6" s="1"/>
  <c r="V509" i="6" a="1"/>
  <c r="V509" i="6" s="1"/>
  <c r="V510" i="6" a="1"/>
  <c r="V510" i="6" s="1"/>
  <c r="W504" i="6"/>
  <c r="W505" i="6"/>
  <c r="W507" i="6"/>
  <c r="W508" i="6"/>
  <c r="W509" i="6"/>
  <c r="W510" i="6"/>
  <c r="AQ598" i="13" l="1"/>
  <c r="W158" i="16"/>
  <c r="W180" i="16"/>
  <c r="P543" i="6"/>
  <c r="P733" i="6"/>
  <c r="W556" i="6"/>
  <c r="X686" i="6" s="1"/>
  <c r="P686" i="6"/>
  <c r="W140" i="16"/>
  <c r="W149" i="16"/>
  <c r="W128" i="16"/>
  <c r="W133" i="16"/>
  <c r="W523" i="6"/>
  <c r="W543" i="6"/>
  <c r="W506" i="6"/>
  <c r="W518" i="6"/>
  <c r="W539" i="6"/>
  <c r="W122" i="16"/>
  <c r="W126" i="16"/>
  <c r="AQ636" i="13"/>
  <c r="R120" i="16"/>
  <c r="Y570" i="13"/>
  <c r="W120" i="16"/>
  <c r="W559" i="6"/>
  <c r="W558" i="6"/>
  <c r="P552" i="6"/>
  <c r="P544" i="6"/>
  <c r="N556" i="6"/>
  <c r="P562" i="6"/>
  <c r="N560" i="6"/>
  <c r="P556" i="6"/>
  <c r="N558" i="6"/>
  <c r="N557" i="6"/>
  <c r="N555" i="6"/>
  <c r="N554" i="6"/>
  <c r="M118" i="16"/>
  <c r="P546" i="6"/>
  <c r="N553" i="6"/>
  <c r="X546" i="6"/>
  <c r="N552" i="6"/>
  <c r="N551" i="6"/>
  <c r="M117" i="16"/>
  <c r="T117" i="16"/>
  <c r="N550" i="6"/>
  <c r="M116" i="16"/>
  <c r="M115" i="16"/>
  <c r="N547" i="6"/>
  <c r="N549" i="6"/>
  <c r="N546" i="6"/>
  <c r="N545" i="6"/>
  <c r="S545" i="6" s="1"/>
  <c r="N544" i="6"/>
  <c r="N543" i="6"/>
  <c r="N542" i="6"/>
  <c r="N507" i="6"/>
  <c r="N535" i="6"/>
  <c r="N534" i="6"/>
  <c r="N533" i="6"/>
  <c r="N530" i="6"/>
  <c r="N529" i="6"/>
  <c r="N526" i="6"/>
  <c r="N525" i="6"/>
  <c r="N521" i="6"/>
  <c r="N516" i="6"/>
  <c r="N511" i="6"/>
  <c r="U101" i="21"/>
  <c r="U105" i="21"/>
  <c r="U109" i="21"/>
  <c r="U113" i="21"/>
  <c r="U117" i="21"/>
  <c r="U121" i="21"/>
  <c r="U125" i="21"/>
  <c r="U129" i="21"/>
  <c r="U133" i="21"/>
  <c r="U137" i="21"/>
  <c r="U141" i="21"/>
  <c r="U145" i="21"/>
  <c r="U149" i="21"/>
  <c r="U153" i="21"/>
  <c r="U157" i="21"/>
  <c r="U165" i="21"/>
  <c r="U169" i="21"/>
  <c r="U170" i="21"/>
  <c r="U172" i="21"/>
  <c r="U173" i="21"/>
  <c r="D114" i="16"/>
  <c r="E114" i="16" a="1"/>
  <c r="E114" i="16" s="1"/>
  <c r="G114" i="16"/>
  <c r="H114" i="16" s="1"/>
  <c r="I114" i="16"/>
  <c r="S114" i="16"/>
  <c r="U114" i="16" a="1"/>
  <c r="U114" i="16" s="1"/>
  <c r="V114" i="16"/>
  <c r="D113" i="16"/>
  <c r="E113" i="16" a="1"/>
  <c r="E113" i="16" s="1"/>
  <c r="G113" i="16"/>
  <c r="H113" i="16" s="1"/>
  <c r="I113" i="16"/>
  <c r="N113" i="16"/>
  <c r="S113" i="16"/>
  <c r="U113" i="16" a="1"/>
  <c r="U113" i="16" s="1"/>
  <c r="V113" i="16"/>
  <c r="I2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E503" i="6"/>
  <c r="F503" i="6" a="1"/>
  <c r="F503" i="6" s="1"/>
  <c r="H503" i="6"/>
  <c r="I503" i="6" s="1"/>
  <c r="J503" i="6"/>
  <c r="O503" i="6"/>
  <c r="N503" i="6" s="1"/>
  <c r="T503" i="6"/>
  <c r="W503" i="6"/>
  <c r="H8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H2" i="21"/>
  <c r="H3" i="21"/>
  <c r="H4" i="21"/>
  <c r="H5" i="21"/>
  <c r="H6" i="21"/>
  <c r="H7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L173" i="21"/>
  <c r="M173" i="21" s="1"/>
  <c r="T173" i="21"/>
  <c r="L172" i="21"/>
  <c r="M172" i="21" s="1"/>
  <c r="T172" i="21"/>
  <c r="L171" i="21"/>
  <c r="M171" i="21" s="1"/>
  <c r="T171" i="21"/>
  <c r="U171" i="21"/>
  <c r="L169" i="21"/>
  <c r="M169" i="21" s="1"/>
  <c r="L170" i="21"/>
  <c r="M170" i="21" s="1"/>
  <c r="T169" i="21"/>
  <c r="T170" i="21"/>
  <c r="L167" i="21"/>
  <c r="M167" i="21" s="1"/>
  <c r="L168" i="21"/>
  <c r="M168" i="21" s="1"/>
  <c r="T167" i="21"/>
  <c r="T168" i="21"/>
  <c r="U167" i="21"/>
  <c r="U168" i="21"/>
  <c r="L166" i="21"/>
  <c r="M166" i="21" s="1"/>
  <c r="T166" i="21"/>
  <c r="U166" i="21"/>
  <c r="L165" i="21"/>
  <c r="M165" i="21" s="1"/>
  <c r="T165" i="21"/>
  <c r="L164" i="21"/>
  <c r="M164" i="21" s="1"/>
  <c r="T164" i="21"/>
  <c r="U164" i="21"/>
  <c r="L163" i="21"/>
  <c r="M163" i="21" s="1"/>
  <c r="T163" i="21"/>
  <c r="U163" i="21"/>
  <c r="L159" i="21"/>
  <c r="M159" i="21" s="1"/>
  <c r="L160" i="21"/>
  <c r="M160" i="21" s="1"/>
  <c r="L161" i="21"/>
  <c r="M161" i="21" s="1"/>
  <c r="L162" i="21"/>
  <c r="T159" i="21"/>
  <c r="T160" i="21"/>
  <c r="T161" i="21"/>
  <c r="T162" i="21"/>
  <c r="U159" i="21"/>
  <c r="U160" i="21"/>
  <c r="U161" i="21"/>
  <c r="U162" i="21"/>
  <c r="L154" i="21"/>
  <c r="M154" i="21" s="1"/>
  <c r="L155" i="21"/>
  <c r="M155" i="21" s="1"/>
  <c r="L156" i="21"/>
  <c r="M156" i="21" s="1"/>
  <c r="L157" i="21"/>
  <c r="M157" i="21" s="1"/>
  <c r="L158" i="21"/>
  <c r="M158" i="21" s="1"/>
  <c r="T154" i="21"/>
  <c r="T155" i="21"/>
  <c r="T156" i="21"/>
  <c r="T157" i="21"/>
  <c r="T158" i="21"/>
  <c r="U154" i="21"/>
  <c r="U155" i="21"/>
  <c r="U156" i="21"/>
  <c r="U158" i="21"/>
  <c r="L153" i="21"/>
  <c r="M153" i="21" s="1"/>
  <c r="T153" i="21"/>
  <c r="L150" i="21"/>
  <c r="M150" i="21" s="1"/>
  <c r="L151" i="21"/>
  <c r="M151" i="21" s="1"/>
  <c r="L152" i="21"/>
  <c r="M152" i="21" s="1"/>
  <c r="T150" i="21"/>
  <c r="T151" i="21"/>
  <c r="T152" i="21"/>
  <c r="U150" i="21"/>
  <c r="U151" i="21"/>
  <c r="U152" i="21"/>
  <c r="L144" i="21"/>
  <c r="M144" i="21" s="1"/>
  <c r="L145" i="21"/>
  <c r="M145" i="21" s="1"/>
  <c r="L146" i="21"/>
  <c r="M146" i="21" s="1"/>
  <c r="L147" i="21"/>
  <c r="M147" i="21" s="1"/>
  <c r="L148" i="21"/>
  <c r="M148" i="21" s="1"/>
  <c r="L149" i="21"/>
  <c r="M149" i="21" s="1"/>
  <c r="T144" i="21"/>
  <c r="T145" i="21"/>
  <c r="T146" i="21"/>
  <c r="T147" i="21"/>
  <c r="T148" i="21"/>
  <c r="T149" i="21"/>
  <c r="U144" i="21"/>
  <c r="U146" i="21"/>
  <c r="U147" i="21"/>
  <c r="U148" i="21"/>
  <c r="L143" i="21"/>
  <c r="M143" i="21" s="1"/>
  <c r="T143" i="21"/>
  <c r="U143" i="21"/>
  <c r="L142" i="21"/>
  <c r="M142" i="21" s="1"/>
  <c r="T142" i="21"/>
  <c r="U142" i="21"/>
  <c r="L141" i="21"/>
  <c r="M141" i="21" s="1"/>
  <c r="T141" i="21"/>
  <c r="L140" i="21"/>
  <c r="M140" i="21" s="1"/>
  <c r="T140" i="21"/>
  <c r="U140" i="21"/>
  <c r="L139" i="21"/>
  <c r="M139" i="21" s="1"/>
  <c r="T139" i="21"/>
  <c r="U139" i="21"/>
  <c r="L137" i="21"/>
  <c r="M137" i="21" s="1"/>
  <c r="L138" i="21"/>
  <c r="M138" i="21" s="1"/>
  <c r="T137" i="21"/>
  <c r="T138" i="21"/>
  <c r="U138" i="21"/>
  <c r="L136" i="21"/>
  <c r="M136" i="21" s="1"/>
  <c r="T136" i="21"/>
  <c r="U136" i="21"/>
  <c r="L135" i="21"/>
  <c r="M135" i="21" s="1"/>
  <c r="T135" i="21"/>
  <c r="U135" i="21"/>
  <c r="L134" i="21"/>
  <c r="M134" i="21" s="1"/>
  <c r="T134" i="21"/>
  <c r="U134" i="21"/>
  <c r="L133" i="21"/>
  <c r="M133" i="21" s="1"/>
  <c r="T133" i="21"/>
  <c r="L132" i="21"/>
  <c r="M132" i="21" s="1"/>
  <c r="T132" i="21"/>
  <c r="U132" i="21"/>
  <c r="L130" i="21"/>
  <c r="M130" i="21" s="1"/>
  <c r="L131" i="21"/>
  <c r="M131" i="21" s="1"/>
  <c r="T130" i="21"/>
  <c r="T131" i="21"/>
  <c r="U130" i="21"/>
  <c r="U131" i="21"/>
  <c r="L129" i="21"/>
  <c r="M129" i="21" s="1"/>
  <c r="T129" i="21"/>
  <c r="L128" i="21"/>
  <c r="M128" i="21" s="1"/>
  <c r="T128" i="21"/>
  <c r="U128" i="21"/>
  <c r="L127" i="21"/>
  <c r="M127" i="21" s="1"/>
  <c r="T127" i="21"/>
  <c r="U127" i="21"/>
  <c r="L126" i="21"/>
  <c r="M126" i="21" s="1"/>
  <c r="T126" i="21"/>
  <c r="U126" i="21"/>
  <c r="L125" i="21"/>
  <c r="M125" i="21" s="1"/>
  <c r="T125" i="21"/>
  <c r="L124" i="21"/>
  <c r="M124" i="21" s="1"/>
  <c r="T124" i="21"/>
  <c r="U124" i="21"/>
  <c r="L123" i="21"/>
  <c r="M123" i="21" s="1"/>
  <c r="T123" i="21"/>
  <c r="U123" i="21"/>
  <c r="L122" i="21"/>
  <c r="M122" i="21" s="1"/>
  <c r="T122" i="21"/>
  <c r="U122" i="21"/>
  <c r="L120" i="21"/>
  <c r="M120" i="21" s="1"/>
  <c r="L121" i="21"/>
  <c r="M121" i="21" s="1"/>
  <c r="T120" i="21"/>
  <c r="T121" i="21"/>
  <c r="U120" i="21"/>
  <c r="L119" i="21"/>
  <c r="M119" i="21" s="1"/>
  <c r="T119" i="21"/>
  <c r="U119" i="21"/>
  <c r="L116" i="21"/>
  <c r="M116" i="21" s="1"/>
  <c r="L117" i="21"/>
  <c r="L118" i="21"/>
  <c r="M118" i="21" s="1"/>
  <c r="T116" i="21"/>
  <c r="T117" i="21"/>
  <c r="T118" i="21"/>
  <c r="U116" i="21"/>
  <c r="U118" i="21"/>
  <c r="L115" i="21"/>
  <c r="T115" i="21"/>
  <c r="U115" i="21"/>
  <c r="L113" i="21"/>
  <c r="M113" i="21" s="1"/>
  <c r="L114" i="21"/>
  <c r="M114" i="21" s="1"/>
  <c r="T113" i="21"/>
  <c r="T114" i="21"/>
  <c r="U114" i="21"/>
  <c r="L112" i="21"/>
  <c r="M112" i="21" s="1"/>
  <c r="T112" i="21"/>
  <c r="U112" i="21"/>
  <c r="L111" i="21"/>
  <c r="M111" i="21" s="1"/>
  <c r="T111" i="21"/>
  <c r="U111" i="21"/>
  <c r="L110" i="21"/>
  <c r="M110" i="21" s="1"/>
  <c r="T110" i="21"/>
  <c r="U110" i="21"/>
  <c r="L109" i="21"/>
  <c r="M109" i="21" s="1"/>
  <c r="T109" i="21"/>
  <c r="L108" i="21"/>
  <c r="M108" i="21" s="1"/>
  <c r="T108" i="21"/>
  <c r="U108" i="21"/>
  <c r="L107" i="21"/>
  <c r="M107" i="21" s="1"/>
  <c r="T107" i="21"/>
  <c r="U107" i="21"/>
  <c r="L106" i="21"/>
  <c r="M106" i="21" s="1"/>
  <c r="T106" i="21"/>
  <c r="U106" i="21"/>
  <c r="L105" i="21"/>
  <c r="M105" i="21" s="1"/>
  <c r="T105" i="21"/>
  <c r="L104" i="21"/>
  <c r="M104" i="21" s="1"/>
  <c r="T104" i="21"/>
  <c r="U104" i="21"/>
  <c r="L103" i="21"/>
  <c r="M103" i="21" s="1"/>
  <c r="T103" i="21"/>
  <c r="U103" i="21"/>
  <c r="L102" i="21"/>
  <c r="M102" i="21" s="1"/>
  <c r="T102" i="21"/>
  <c r="U102" i="21"/>
  <c r="L101" i="21"/>
  <c r="M101" i="21" s="1"/>
  <c r="T101" i="21"/>
  <c r="L100" i="21"/>
  <c r="M100" i="21" s="1"/>
  <c r="T100" i="21"/>
  <c r="U100" i="21"/>
  <c r="L99" i="21"/>
  <c r="M99" i="21" s="1"/>
  <c r="T99" i="21"/>
  <c r="U99" i="21"/>
  <c r="D97" i="21"/>
  <c r="L97" i="21"/>
  <c r="M97" i="21" s="1"/>
  <c r="L98" i="21"/>
  <c r="M98" i="21" s="1"/>
  <c r="T97" i="21"/>
  <c r="T98" i="21"/>
  <c r="U97" i="21"/>
  <c r="U98" i="21"/>
  <c r="D112" i="16"/>
  <c r="E112" i="16" a="1"/>
  <c r="E112" i="16" s="1"/>
  <c r="G112" i="16"/>
  <c r="H112" i="16" s="1"/>
  <c r="I112" i="16"/>
  <c r="N112" i="16"/>
  <c r="S112" i="16"/>
  <c r="U112" i="16" a="1"/>
  <c r="U112" i="16" s="1"/>
  <c r="V112" i="16"/>
  <c r="D111" i="16"/>
  <c r="E111" i="16" a="1"/>
  <c r="E111" i="16" s="1"/>
  <c r="G111" i="16"/>
  <c r="H111" i="16" s="1"/>
  <c r="I111" i="16"/>
  <c r="N111" i="16"/>
  <c r="S111" i="16"/>
  <c r="U111" i="16" a="1"/>
  <c r="U111" i="16" s="1"/>
  <c r="V111" i="16"/>
  <c r="D110" i="16"/>
  <c r="E110" i="16" a="1"/>
  <c r="E110" i="16" s="1"/>
  <c r="G110" i="16"/>
  <c r="H110" i="16" s="1"/>
  <c r="I110" i="16"/>
  <c r="N110" i="16"/>
  <c r="S110" i="16"/>
  <c r="U110" i="16" a="1"/>
  <c r="U110" i="16" s="1"/>
  <c r="V110" i="16"/>
  <c r="N108" i="16"/>
  <c r="D109" i="16"/>
  <c r="E109" i="16" a="1"/>
  <c r="E109" i="16" s="1"/>
  <c r="G109" i="16"/>
  <c r="H109" i="16" s="1"/>
  <c r="I109" i="16"/>
  <c r="N109" i="16"/>
  <c r="S109" i="16"/>
  <c r="U109" i="16" a="1"/>
  <c r="U109" i="16" s="1"/>
  <c r="V109" i="16"/>
  <c r="D108" i="16"/>
  <c r="E108" i="16" a="1"/>
  <c r="E108" i="16" s="1"/>
  <c r="G108" i="16"/>
  <c r="H108" i="16" s="1"/>
  <c r="I108" i="16"/>
  <c r="S108" i="16"/>
  <c r="U108" i="16" a="1"/>
  <c r="U108" i="16" s="1"/>
  <c r="V108" i="16"/>
  <c r="D107" i="16"/>
  <c r="E107" i="16" a="1"/>
  <c r="E107" i="16" s="1"/>
  <c r="G107" i="16"/>
  <c r="H107" i="16" s="1"/>
  <c r="I107" i="16"/>
  <c r="N107" i="16"/>
  <c r="S107" i="16"/>
  <c r="U107" i="16" a="1"/>
  <c r="U107" i="16" s="1"/>
  <c r="V107" i="16"/>
  <c r="O502" i="6"/>
  <c r="E502" i="6"/>
  <c r="F502" i="6" a="1"/>
  <c r="F502" i="6" s="1"/>
  <c r="H502" i="6"/>
  <c r="I502" i="6" s="1"/>
  <c r="J502" i="6"/>
  <c r="T502" i="6"/>
  <c r="V502" i="6" a="1"/>
  <c r="V502" i="6" s="1"/>
  <c r="W502" i="6"/>
  <c r="E501" i="6"/>
  <c r="F501" i="6" a="1"/>
  <c r="F501" i="6" s="1"/>
  <c r="H501" i="6"/>
  <c r="I501" i="6" s="1"/>
  <c r="J501" i="6"/>
  <c r="O501" i="6"/>
  <c r="N501" i="6" s="1"/>
  <c r="T501" i="6"/>
  <c r="V501" i="6" a="1"/>
  <c r="V501" i="6" s="1"/>
  <c r="W501" i="6"/>
  <c r="O500" i="6"/>
  <c r="E500" i="6"/>
  <c r="F500" i="6" a="1"/>
  <c r="F500" i="6" s="1"/>
  <c r="H500" i="6"/>
  <c r="I500" i="6" s="1"/>
  <c r="J500" i="6"/>
  <c r="T500" i="6"/>
  <c r="W500" i="6"/>
  <c r="D106" i="16"/>
  <c r="E106" i="16" a="1"/>
  <c r="E106" i="16" s="1"/>
  <c r="G106" i="16"/>
  <c r="H106" i="16" s="1"/>
  <c r="I106" i="16"/>
  <c r="N106" i="16"/>
  <c r="S106" i="16"/>
  <c r="V106" i="16"/>
  <c r="X503" i="13" s="1"/>
  <c r="N104" i="16"/>
  <c r="M104" i="16" s="1"/>
  <c r="D105" i="16"/>
  <c r="E105" i="16" a="1"/>
  <c r="E105" i="16" s="1"/>
  <c r="G105" i="16"/>
  <c r="H105" i="16" s="1"/>
  <c r="I105" i="16"/>
  <c r="N105" i="16"/>
  <c r="M105" i="16" s="1"/>
  <c r="S105" i="16"/>
  <c r="U105" i="16" a="1"/>
  <c r="U105" i="16" s="1"/>
  <c r="V105" i="16"/>
  <c r="D104" i="16"/>
  <c r="E104" i="16" a="1"/>
  <c r="E104" i="16" s="1"/>
  <c r="G104" i="16"/>
  <c r="H104" i="16" s="1"/>
  <c r="I104" i="16"/>
  <c r="S104" i="16"/>
  <c r="U104" i="16" a="1"/>
  <c r="U104" i="16" s="1"/>
  <c r="V104" i="16"/>
  <c r="D103" i="16"/>
  <c r="E103" i="16" a="1"/>
  <c r="E103" i="16" s="1"/>
  <c r="G103" i="16"/>
  <c r="H103" i="16" s="1"/>
  <c r="I103" i="16"/>
  <c r="N103" i="16"/>
  <c r="S103" i="16"/>
  <c r="U103" i="16" a="1"/>
  <c r="U103" i="16" s="1"/>
  <c r="V103" i="16"/>
  <c r="E499" i="6"/>
  <c r="F499" i="6" a="1"/>
  <c r="F499" i="6" s="1"/>
  <c r="H499" i="6"/>
  <c r="I499" i="6" s="1"/>
  <c r="J499" i="6"/>
  <c r="O499" i="6"/>
  <c r="T499" i="6"/>
  <c r="W499" i="6"/>
  <c r="E498" i="6"/>
  <c r="F498" i="6" a="1"/>
  <c r="F498" i="6" s="1"/>
  <c r="H498" i="6"/>
  <c r="I498" i="6" s="1"/>
  <c r="J498" i="6"/>
  <c r="O498" i="6"/>
  <c r="T498" i="6"/>
  <c r="W498" i="6"/>
  <c r="E497" i="6"/>
  <c r="F497" i="6" a="1"/>
  <c r="F497" i="6" s="1"/>
  <c r="H497" i="6"/>
  <c r="I497" i="6" s="1"/>
  <c r="J497" i="6"/>
  <c r="O497" i="6"/>
  <c r="N497" i="6" s="1"/>
  <c r="T497" i="6"/>
  <c r="W497" i="6"/>
  <c r="D102" i="16"/>
  <c r="E102" i="16" a="1"/>
  <c r="E102" i="16" s="1"/>
  <c r="G102" i="16"/>
  <c r="H102" i="16" s="1"/>
  <c r="I102" i="16"/>
  <c r="N102" i="16"/>
  <c r="S102" i="16"/>
  <c r="V102" i="16"/>
  <c r="O496" i="6"/>
  <c r="E496" i="6"/>
  <c r="F496" i="6" a="1"/>
  <c r="F496" i="6" s="1"/>
  <c r="H496" i="6"/>
  <c r="I496" i="6" s="1"/>
  <c r="J496" i="6"/>
  <c r="T496" i="6"/>
  <c r="W496" i="6"/>
  <c r="E495" i="6"/>
  <c r="F495" i="6" a="1"/>
  <c r="F495" i="6" s="1"/>
  <c r="H495" i="6"/>
  <c r="I495" i="6" s="1"/>
  <c r="J495" i="6"/>
  <c r="O495" i="6"/>
  <c r="N495" i="6" s="1"/>
  <c r="T495" i="6"/>
  <c r="V495" i="6" a="1"/>
  <c r="V495" i="6" s="1"/>
  <c r="W495" i="6"/>
  <c r="E494" i="6"/>
  <c r="F494" i="6" a="1"/>
  <c r="F494" i="6" s="1"/>
  <c r="H494" i="6"/>
  <c r="I494" i="6" s="1"/>
  <c r="J494" i="6"/>
  <c r="O494" i="6"/>
  <c r="W494" i="6" s="1"/>
  <c r="T494" i="6"/>
  <c r="V494" i="6" a="1"/>
  <c r="V494" i="6" s="1"/>
  <c r="E493" i="6"/>
  <c r="F493" i="6" a="1"/>
  <c r="F493" i="6" s="1"/>
  <c r="H493" i="6"/>
  <c r="I493" i="6" s="1"/>
  <c r="J493" i="6"/>
  <c r="O493" i="6"/>
  <c r="N493" i="6" s="1"/>
  <c r="T493" i="6"/>
  <c r="V493" i="6" a="1"/>
  <c r="V493" i="6" s="1"/>
  <c r="W493" i="6"/>
  <c r="X493" i="6" s="1"/>
  <c r="N100" i="16"/>
  <c r="D101" i="16"/>
  <c r="E101" i="16" a="1"/>
  <c r="E101" i="16" s="1"/>
  <c r="G101" i="16"/>
  <c r="H101" i="16" s="1"/>
  <c r="I101" i="16"/>
  <c r="N101" i="16"/>
  <c r="S101" i="16"/>
  <c r="U101" i="16" a="1"/>
  <c r="U101" i="16" s="1"/>
  <c r="V101" i="16"/>
  <c r="D100" i="16"/>
  <c r="E100" i="16" a="1"/>
  <c r="E100" i="16" s="1"/>
  <c r="G100" i="16"/>
  <c r="H100" i="16" s="1"/>
  <c r="I100" i="16"/>
  <c r="S100" i="16"/>
  <c r="U100" i="16" a="1"/>
  <c r="U100" i="16" s="1"/>
  <c r="V100" i="16"/>
  <c r="D99" i="16"/>
  <c r="E99" i="16" a="1"/>
  <c r="E99" i="16" s="1"/>
  <c r="G99" i="16"/>
  <c r="H99" i="16" s="1"/>
  <c r="I99" i="16"/>
  <c r="N99" i="16"/>
  <c r="S99" i="16"/>
  <c r="U99" i="16" a="1"/>
  <c r="U99" i="16" s="1"/>
  <c r="V99" i="16"/>
  <c r="D98" i="16"/>
  <c r="E98" i="16" a="1"/>
  <c r="E98" i="16" s="1"/>
  <c r="G98" i="16"/>
  <c r="H98" i="16" s="1"/>
  <c r="I98" i="16"/>
  <c r="N98" i="16"/>
  <c r="S98" i="16"/>
  <c r="U98" i="16" a="1"/>
  <c r="U98" i="16" s="1"/>
  <c r="V98" i="16"/>
  <c r="S543" i="6" l="1"/>
  <c r="X556" i="6"/>
  <c r="X543" i="6"/>
  <c r="X733" i="6"/>
  <c r="X552" i="6"/>
  <c r="X562" i="6"/>
  <c r="M115" i="21"/>
  <c r="N115" i="21" s="1" a="1"/>
  <c r="N115" i="21" s="1"/>
  <c r="O115" i="21" s="1"/>
  <c r="P115" i="21" s="1"/>
  <c r="L146" i="20" a="1"/>
  <c r="L146" i="20" s="1"/>
  <c r="L130" i="20" s="1"/>
  <c r="N122" i="21" a="1"/>
  <c r="N122" i="21" s="1"/>
  <c r="O122" i="21" s="1"/>
  <c r="P122" i="21" s="1"/>
  <c r="N146" i="21" a="1"/>
  <c r="N146" i="21" s="1"/>
  <c r="O146" i="21" s="1"/>
  <c r="P146" i="21" s="1"/>
  <c r="X544" i="6"/>
  <c r="N107" i="21" a="1"/>
  <c r="N107" i="21" s="1"/>
  <c r="O107" i="21" s="1"/>
  <c r="P107" i="21" s="1"/>
  <c r="N139" i="21" a="1"/>
  <c r="N139" i="21" s="1"/>
  <c r="O139" i="21" s="1"/>
  <c r="P139" i="21" s="1"/>
  <c r="N147" i="21" a="1"/>
  <c r="N147" i="21" s="1"/>
  <c r="O147" i="21" s="1"/>
  <c r="P147" i="21" s="1"/>
  <c r="N98" i="21" a="1"/>
  <c r="N98" i="21" s="1"/>
  <c r="O98" i="21" s="1"/>
  <c r="P98" i="21" s="1"/>
  <c r="N106" i="21" a="1"/>
  <c r="N106" i="21" s="1"/>
  <c r="O106" i="21" s="1"/>
  <c r="P106" i="21" s="1"/>
  <c r="N123" i="21" a="1"/>
  <c r="N123" i="21" s="1"/>
  <c r="O123" i="21" s="1"/>
  <c r="P123" i="21" s="1"/>
  <c r="S556" i="6"/>
  <c r="N163" i="21" a="1"/>
  <c r="N163" i="21" s="1"/>
  <c r="O163" i="21" s="1"/>
  <c r="P163" i="21" s="1"/>
  <c r="N110" i="21" a="1"/>
  <c r="N110" i="21" s="1"/>
  <c r="O110" i="21" s="1"/>
  <c r="P110" i="21" s="1"/>
  <c r="N118" i="21" a="1"/>
  <c r="N118" i="21" s="1"/>
  <c r="O118" i="21" s="1"/>
  <c r="P118" i="21" s="1"/>
  <c r="N126" i="21" a="1"/>
  <c r="N126" i="21" s="1"/>
  <c r="O126" i="21" s="1"/>
  <c r="P126" i="21" s="1"/>
  <c r="N138" i="21" a="1"/>
  <c r="N138" i="21" s="1"/>
  <c r="O138" i="21" s="1"/>
  <c r="P138" i="21" s="1"/>
  <c r="N102" i="21" a="1"/>
  <c r="N102" i="21" s="1"/>
  <c r="O102" i="21" s="1"/>
  <c r="P102" i="21" s="1"/>
  <c r="N114" i="21" a="1"/>
  <c r="N114" i="21" s="1"/>
  <c r="O114" i="21" s="1"/>
  <c r="P114" i="21" s="1"/>
  <c r="N130" i="21" a="1"/>
  <c r="N130" i="21" s="1"/>
  <c r="O130" i="21" s="1"/>
  <c r="P130" i="21" s="1"/>
  <c r="N134" i="21" a="1"/>
  <c r="N134" i="21" s="1"/>
  <c r="O134" i="21" s="1"/>
  <c r="P134" i="21" s="1"/>
  <c r="N167" i="21" a="1"/>
  <c r="N167" i="21" s="1"/>
  <c r="O167" i="21" s="1"/>
  <c r="P167" i="21" s="1"/>
  <c r="N111" i="21" a="1"/>
  <c r="N111" i="21" s="1"/>
  <c r="O111" i="21" s="1"/>
  <c r="P111" i="21" s="1"/>
  <c r="N127" i="21" a="1"/>
  <c r="N127" i="21" s="1"/>
  <c r="O127" i="21" s="1"/>
  <c r="P127" i="21" s="1"/>
  <c r="N143" i="21" a="1"/>
  <c r="N143" i="21" s="1"/>
  <c r="O143" i="21" s="1"/>
  <c r="P143" i="21" s="1"/>
  <c r="N151" i="21" a="1"/>
  <c r="N151" i="21" s="1"/>
  <c r="O151" i="21" s="1"/>
  <c r="P151" i="21" s="1"/>
  <c r="N155" i="21" a="1"/>
  <c r="N155" i="21" s="1"/>
  <c r="O155" i="21" s="1"/>
  <c r="P155" i="21" s="1"/>
  <c r="N103" i="21" a="1"/>
  <c r="N103" i="21" s="1"/>
  <c r="O103" i="21" s="1"/>
  <c r="P103" i="21" s="1"/>
  <c r="N119" i="21" a="1"/>
  <c r="N119" i="21" s="1"/>
  <c r="O119" i="21" s="1"/>
  <c r="N131" i="21" a="1"/>
  <c r="N131" i="21" s="1"/>
  <c r="O131" i="21" s="1"/>
  <c r="P131" i="21" s="1"/>
  <c r="N135" i="21" a="1"/>
  <c r="N135" i="21" s="1"/>
  <c r="O135" i="21" s="1"/>
  <c r="P135" i="21" s="1"/>
  <c r="N159" i="21" a="1"/>
  <c r="N159" i="21" s="1"/>
  <c r="O159" i="21" s="1"/>
  <c r="P159" i="21" s="1"/>
  <c r="N171" i="21" a="1"/>
  <c r="N171" i="21" s="1"/>
  <c r="O171" i="21" s="1"/>
  <c r="P171" i="21" s="1"/>
  <c r="N142" i="21" a="1"/>
  <c r="N142" i="21" s="1"/>
  <c r="O142" i="21" s="1"/>
  <c r="P142" i="21" s="1"/>
  <c r="N150" i="21" a="1"/>
  <c r="N150" i="21" s="1"/>
  <c r="O150" i="21" s="1"/>
  <c r="P150" i="21" s="1"/>
  <c r="N158" i="21" a="1"/>
  <c r="N158" i="21" s="1"/>
  <c r="O158" i="21" s="1"/>
  <c r="P158" i="21" s="1"/>
  <c r="N154" i="21" a="1"/>
  <c r="N154" i="21" s="1"/>
  <c r="O154" i="21" s="1"/>
  <c r="P154" i="21" s="1"/>
  <c r="N166" i="21" a="1"/>
  <c r="N166" i="21" s="1"/>
  <c r="O166" i="21" s="1"/>
  <c r="P166" i="21" s="1"/>
  <c r="N114" i="16"/>
  <c r="M114" i="16" s="1"/>
  <c r="M113" i="16"/>
  <c r="N101" i="21" a="1"/>
  <c r="N101" i="21" s="1"/>
  <c r="O101" i="21" s="1"/>
  <c r="P101" i="21" s="1"/>
  <c r="N105" i="21" a="1"/>
  <c r="N105" i="21" s="1"/>
  <c r="O105" i="21" s="1"/>
  <c r="P105" i="21" s="1"/>
  <c r="N109" i="21" a="1"/>
  <c r="N109" i="21" s="1"/>
  <c r="O109" i="21" s="1"/>
  <c r="P109" i="21" s="1"/>
  <c r="N125" i="21" a="1"/>
  <c r="N125" i="21" s="1"/>
  <c r="O125" i="21" s="1"/>
  <c r="P125" i="21" s="1"/>
  <c r="N129" i="21" a="1"/>
  <c r="N129" i="21" s="1"/>
  <c r="O129" i="21" s="1"/>
  <c r="P129" i="21" s="1"/>
  <c r="N133" i="21" a="1"/>
  <c r="N133" i="21" s="1"/>
  <c r="O133" i="21" s="1"/>
  <c r="P133" i="21" s="1"/>
  <c r="N141" i="21" a="1"/>
  <c r="N141" i="21" s="1"/>
  <c r="O141" i="21" s="1"/>
  <c r="P141" i="21" s="1"/>
  <c r="N153" i="21" a="1"/>
  <c r="N153" i="21" s="1"/>
  <c r="O153" i="21" s="1"/>
  <c r="P153" i="21" s="1"/>
  <c r="N157" i="21" a="1"/>
  <c r="N157" i="21" s="1"/>
  <c r="O157" i="21" s="1"/>
  <c r="P157" i="21" s="1"/>
  <c r="N100" i="21" a="1"/>
  <c r="N100" i="21" s="1"/>
  <c r="O100" i="21" s="1"/>
  <c r="P100" i="21" s="1"/>
  <c r="N104" i="21" a="1"/>
  <c r="N104" i="21" s="1"/>
  <c r="O104" i="21" s="1"/>
  <c r="P104" i="21" s="1"/>
  <c r="N108" i="21" a="1"/>
  <c r="N108" i="21" s="1"/>
  <c r="O108" i="21" s="1"/>
  <c r="P108" i="21" s="1"/>
  <c r="N112" i="21" a="1"/>
  <c r="N112" i="21" s="1"/>
  <c r="O112" i="21" s="1"/>
  <c r="P112" i="21" s="1"/>
  <c r="N124" i="21" a="1"/>
  <c r="N124" i="21" s="1"/>
  <c r="O124" i="21" s="1"/>
  <c r="P124" i="21" s="1"/>
  <c r="N128" i="21" a="1"/>
  <c r="N128" i="21" s="1"/>
  <c r="O128" i="21" s="1"/>
  <c r="P128" i="21" s="1"/>
  <c r="N132" i="21" a="1"/>
  <c r="N132" i="21" s="1"/>
  <c r="O132" i="21" s="1"/>
  <c r="P132" i="21" s="1"/>
  <c r="N136" i="21" a="1"/>
  <c r="N136" i="21" s="1"/>
  <c r="O136" i="21" s="1"/>
  <c r="P136" i="21" s="1"/>
  <c r="N140" i="21" a="1"/>
  <c r="N140" i="21" s="1"/>
  <c r="O140" i="21" s="1"/>
  <c r="P140" i="21" s="1"/>
  <c r="N156" i="21" a="1"/>
  <c r="N156" i="21" s="1"/>
  <c r="O156" i="21" s="1"/>
  <c r="P156" i="21" s="1"/>
  <c r="N169" i="21" a="1"/>
  <c r="N169" i="21" s="1"/>
  <c r="O169" i="21" s="1"/>
  <c r="P169" i="21" s="1"/>
  <c r="N97" i="21" a="1"/>
  <c r="N97" i="21" s="1"/>
  <c r="O97" i="21" s="1"/>
  <c r="P97" i="21" s="1"/>
  <c r="N161" i="21" a="1"/>
  <c r="N161" i="21" s="1"/>
  <c r="O161" i="21" s="1"/>
  <c r="P161" i="21" s="1"/>
  <c r="N165" i="21" a="1"/>
  <c r="N165" i="21" s="1"/>
  <c r="O165" i="21" s="1"/>
  <c r="P165" i="21" s="1"/>
  <c r="N173" i="21" a="1"/>
  <c r="N173" i="21" s="1"/>
  <c r="O173" i="21" s="1"/>
  <c r="P173" i="21" s="1"/>
  <c r="N113" i="21" a="1"/>
  <c r="N113" i="21" s="1"/>
  <c r="O113" i="21" s="1"/>
  <c r="P113" i="21" s="1"/>
  <c r="N121" i="21" a="1"/>
  <c r="N121" i="21" s="1"/>
  <c r="O121" i="21" s="1"/>
  <c r="P121" i="21" s="1"/>
  <c r="N137" i="21" a="1"/>
  <c r="N137" i="21" s="1"/>
  <c r="O137" i="21" s="1"/>
  <c r="P137" i="21" s="1"/>
  <c r="N149" i="21" a="1"/>
  <c r="N149" i="21" s="1"/>
  <c r="O149" i="21" s="1"/>
  <c r="P149" i="21" s="1"/>
  <c r="N145" i="21" a="1"/>
  <c r="N145" i="21" s="1"/>
  <c r="O145" i="21" s="1"/>
  <c r="P145" i="21" s="1"/>
  <c r="N170" i="21" a="1"/>
  <c r="N170" i="21" s="1"/>
  <c r="O170" i="21" s="1"/>
  <c r="P170" i="21" s="1"/>
  <c r="N99" i="21" a="1"/>
  <c r="N99" i="21" s="1"/>
  <c r="O99" i="21" s="1"/>
  <c r="P99" i="21" s="1"/>
  <c r="N168" i="21" a="1"/>
  <c r="N168" i="21" s="1"/>
  <c r="O168" i="21" s="1"/>
  <c r="P168" i="21" s="1"/>
  <c r="N116" i="21" a="1"/>
  <c r="N116" i="21" s="1"/>
  <c r="O116" i="21" s="1"/>
  <c r="P116" i="21" s="1"/>
  <c r="N152" i="21" a="1"/>
  <c r="N152" i="21" s="1"/>
  <c r="O152" i="21" s="1"/>
  <c r="P152" i="21" s="1"/>
  <c r="N160" i="21" a="1"/>
  <c r="N160" i="21" s="1"/>
  <c r="O160" i="21" s="1"/>
  <c r="P160" i="21" s="1"/>
  <c r="N164" i="21" a="1"/>
  <c r="N164" i="21" s="1"/>
  <c r="O164" i="21" s="1"/>
  <c r="P164" i="21" s="1"/>
  <c r="N172" i="21" a="1"/>
  <c r="N172" i="21" s="1"/>
  <c r="O172" i="21" s="1"/>
  <c r="P172" i="21" s="1"/>
  <c r="N120" i="21" a="1"/>
  <c r="N120" i="21" s="1"/>
  <c r="O120" i="21" s="1"/>
  <c r="P120" i="21" s="1"/>
  <c r="N148" i="21" a="1"/>
  <c r="N148" i="21" s="1"/>
  <c r="O148" i="21" s="1"/>
  <c r="P148" i="21" s="1"/>
  <c r="N144" i="21" a="1"/>
  <c r="N144" i="21" s="1"/>
  <c r="O144" i="21" s="1"/>
  <c r="P144" i="21" s="1"/>
  <c r="M162" i="21"/>
  <c r="M117" i="21"/>
  <c r="M112" i="16"/>
  <c r="M111" i="16"/>
  <c r="M110" i="16"/>
  <c r="M109" i="16"/>
  <c r="M108" i="16"/>
  <c r="M107" i="16"/>
  <c r="N502" i="6"/>
  <c r="N500" i="6"/>
  <c r="M106" i="16"/>
  <c r="P499" i="6"/>
  <c r="S499" i="6" s="1"/>
  <c r="X499" i="6"/>
  <c r="P493" i="6"/>
  <c r="S493" i="6" s="1"/>
  <c r="M103" i="16"/>
  <c r="N499" i="6"/>
  <c r="N498" i="6"/>
  <c r="M102" i="16"/>
  <c r="N496" i="6"/>
  <c r="N494" i="6"/>
  <c r="M101" i="16"/>
  <c r="M100" i="16"/>
  <c r="M99" i="16"/>
  <c r="M98" i="16"/>
  <c r="E492" i="6"/>
  <c r="F492" i="6" a="1"/>
  <c r="F492" i="6" s="1"/>
  <c r="H492" i="6"/>
  <c r="I492" i="6" s="1"/>
  <c r="J492" i="6"/>
  <c r="O492" i="6"/>
  <c r="W492" i="6" s="1"/>
  <c r="T492" i="6"/>
  <c r="V492" i="6" a="1"/>
  <c r="V492" i="6" s="1"/>
  <c r="E491" i="6"/>
  <c r="F491" i="6" a="1"/>
  <c r="F491" i="6" s="1"/>
  <c r="H491" i="6"/>
  <c r="I491" i="6" s="1"/>
  <c r="J491" i="6"/>
  <c r="O491" i="6"/>
  <c r="T491" i="6"/>
  <c r="V491" i="6" a="1"/>
  <c r="V491" i="6" s="1"/>
  <c r="E490" i="6"/>
  <c r="F490" i="6" a="1"/>
  <c r="F490" i="6" s="1"/>
  <c r="H490" i="6"/>
  <c r="I490" i="6" s="1"/>
  <c r="J490" i="6"/>
  <c r="O490" i="6"/>
  <c r="N490" i="6" s="1"/>
  <c r="T490" i="6"/>
  <c r="V490" i="6" a="1"/>
  <c r="V490" i="6" s="1"/>
  <c r="P119" i="21" l="1"/>
  <c r="P146" i="20" s="1" a="1"/>
  <c r="P146" i="20" s="1"/>
  <c r="O146" i="20" a="1"/>
  <c r="O146" i="20" s="1"/>
  <c r="W491" i="6"/>
  <c r="X575" i="6" s="1"/>
  <c r="P575" i="6"/>
  <c r="W490" i="6"/>
  <c r="N491" i="6"/>
  <c r="P506" i="6"/>
  <c r="N117" i="21" a="1"/>
  <c r="N117" i="21" s="1"/>
  <c r="O117" i="21" s="1"/>
  <c r="P117" i="21" s="1"/>
  <c r="N162" i="21" a="1"/>
  <c r="N162" i="21" s="1"/>
  <c r="O162" i="21" s="1"/>
  <c r="P162" i="21" s="1"/>
  <c r="P491" i="6"/>
  <c r="N492" i="6"/>
  <c r="X506" i="6" l="1"/>
  <c r="X491" i="6"/>
  <c r="S491" i="6"/>
  <c r="E489" i="6"/>
  <c r="F489" i="6" a="1"/>
  <c r="F489" i="6" s="1"/>
  <c r="H489" i="6"/>
  <c r="I489" i="6" s="1"/>
  <c r="J489" i="6"/>
  <c r="O489" i="6"/>
  <c r="N489" i="6" s="1"/>
  <c r="T489" i="6"/>
  <c r="W489" i="6"/>
  <c r="E488" i="6"/>
  <c r="F488" i="6" a="1"/>
  <c r="F488" i="6" s="1"/>
  <c r="H488" i="6"/>
  <c r="I488" i="6" s="1"/>
  <c r="J488" i="6"/>
  <c r="O488" i="6"/>
  <c r="W488" i="6" s="1"/>
  <c r="T488" i="6"/>
  <c r="E487" i="6"/>
  <c r="F487" i="6" a="1"/>
  <c r="F487" i="6" s="1"/>
  <c r="H487" i="6"/>
  <c r="I487" i="6" s="1"/>
  <c r="J487" i="6"/>
  <c r="O487" i="6"/>
  <c r="T487" i="6"/>
  <c r="W487" i="6"/>
  <c r="N94" i="16"/>
  <c r="D94" i="16"/>
  <c r="D95" i="16"/>
  <c r="D96" i="16"/>
  <c r="D97" i="16"/>
  <c r="E94" i="16" a="1"/>
  <c r="E94" i="16" s="1"/>
  <c r="E95" i="16" a="1"/>
  <c r="E95" i="16" s="1"/>
  <c r="E96" i="16" a="1"/>
  <c r="E96" i="16" s="1"/>
  <c r="E97" i="16" a="1"/>
  <c r="E97" i="16" s="1"/>
  <c r="G94" i="16"/>
  <c r="H94" i="16" s="1"/>
  <c r="G95" i="16"/>
  <c r="H95" i="16" s="1"/>
  <c r="G96" i="16"/>
  <c r="H96" i="16" s="1"/>
  <c r="G97" i="16"/>
  <c r="H97" i="16" s="1"/>
  <c r="I94" i="16"/>
  <c r="I95" i="16"/>
  <c r="I96" i="16"/>
  <c r="I97" i="16"/>
  <c r="N95" i="16"/>
  <c r="M95" i="16" s="1"/>
  <c r="N96" i="16"/>
  <c r="M96" i="16" s="1"/>
  <c r="N97" i="16"/>
  <c r="M97" i="16" s="1"/>
  <c r="S94" i="16"/>
  <c r="S95" i="16"/>
  <c r="S96" i="16"/>
  <c r="S97" i="16"/>
  <c r="U94" i="16" a="1"/>
  <c r="U94" i="16" s="1"/>
  <c r="U95" i="16" a="1"/>
  <c r="U95" i="16" s="1"/>
  <c r="U96" i="16" a="1"/>
  <c r="U96" i="16" s="1"/>
  <c r="U97" i="16" a="1"/>
  <c r="U97" i="16" s="1"/>
  <c r="V94" i="16"/>
  <c r="V95" i="16"/>
  <c r="V96" i="16"/>
  <c r="V97" i="16"/>
  <c r="E486" i="6"/>
  <c r="F486" i="6" a="1"/>
  <c r="F486" i="6" s="1"/>
  <c r="H486" i="6"/>
  <c r="I486" i="6" s="1"/>
  <c r="J486" i="6"/>
  <c r="O486" i="6"/>
  <c r="N486" i="6" s="1"/>
  <c r="T486" i="6"/>
  <c r="U486" i="6"/>
  <c r="V486" i="6" a="1"/>
  <c r="V486" i="6" s="1"/>
  <c r="W486" i="6"/>
  <c r="E485" i="6"/>
  <c r="F485" i="6" a="1"/>
  <c r="F485" i="6" s="1"/>
  <c r="H485" i="6"/>
  <c r="I485" i="6" s="1"/>
  <c r="J485" i="6"/>
  <c r="O485" i="6"/>
  <c r="T485" i="6"/>
  <c r="W485" i="6"/>
  <c r="N488" i="6" l="1"/>
  <c r="N487" i="6"/>
  <c r="M94" i="16"/>
  <c r="N485" i="6"/>
  <c r="E484" i="6" l="1"/>
  <c r="F484" i="6" a="1"/>
  <c r="F484" i="6" s="1"/>
  <c r="H484" i="6"/>
  <c r="I484" i="6" s="1"/>
  <c r="J484" i="6"/>
  <c r="T484" i="6"/>
  <c r="W484" i="6"/>
  <c r="O484" i="6" l="1"/>
  <c r="N484" i="6" s="1"/>
  <c r="E483" i="6"/>
  <c r="F483" i="6" a="1"/>
  <c r="F483" i="6" s="1"/>
  <c r="H483" i="6"/>
  <c r="I483" i="6" s="1"/>
  <c r="J483" i="6"/>
  <c r="O483" i="6"/>
  <c r="T483" i="6"/>
  <c r="V483" i="6" a="1"/>
  <c r="V483" i="6" s="1"/>
  <c r="W483" i="6"/>
  <c r="O482" i="6"/>
  <c r="O481" i="6"/>
  <c r="E482" i="6"/>
  <c r="F482" i="6" a="1"/>
  <c r="F482" i="6" s="1"/>
  <c r="H482" i="6"/>
  <c r="I482" i="6" s="1"/>
  <c r="J482" i="6"/>
  <c r="T482" i="6"/>
  <c r="W482" i="6"/>
  <c r="E481" i="6"/>
  <c r="F481" i="6" a="1"/>
  <c r="F481" i="6" s="1"/>
  <c r="H481" i="6"/>
  <c r="I481" i="6" s="1"/>
  <c r="J481" i="6"/>
  <c r="T481" i="6"/>
  <c r="W481" i="6"/>
  <c r="O480" i="6"/>
  <c r="E480" i="6"/>
  <c r="F480" i="6" a="1"/>
  <c r="F480" i="6" s="1"/>
  <c r="H480" i="6"/>
  <c r="I480" i="6" s="1"/>
  <c r="J480" i="6"/>
  <c r="T480" i="6"/>
  <c r="W480" i="6"/>
  <c r="E479" i="6"/>
  <c r="F479" i="6" a="1"/>
  <c r="F479" i="6" s="1"/>
  <c r="H479" i="6"/>
  <c r="I479" i="6" s="1"/>
  <c r="J479" i="6"/>
  <c r="O479" i="6"/>
  <c r="N479" i="6" s="1"/>
  <c r="T479" i="6"/>
  <c r="W479" i="6"/>
  <c r="E478" i="6"/>
  <c r="F478" i="6" a="1"/>
  <c r="F478" i="6" s="1"/>
  <c r="H478" i="6"/>
  <c r="I478" i="6" s="1"/>
  <c r="J478" i="6"/>
  <c r="O478" i="6"/>
  <c r="N478" i="6" s="1"/>
  <c r="T478" i="6"/>
  <c r="W478" i="6"/>
  <c r="E477" i="6"/>
  <c r="F477" i="6" a="1"/>
  <c r="F477" i="6" s="1"/>
  <c r="H477" i="6"/>
  <c r="I477" i="6" s="1"/>
  <c r="J477" i="6"/>
  <c r="O477" i="6"/>
  <c r="N477" i="6" s="1"/>
  <c r="T477" i="6"/>
  <c r="V477" i="6" a="1"/>
  <c r="V477" i="6" s="1"/>
  <c r="W477" i="6"/>
  <c r="D93" i="16"/>
  <c r="E93" i="16" a="1"/>
  <c r="E93" i="16" s="1"/>
  <c r="G93" i="16"/>
  <c r="H93" i="16" s="1"/>
  <c r="I93" i="16"/>
  <c r="N93" i="16"/>
  <c r="O134" i="16" s="1"/>
  <c r="S93" i="16"/>
  <c r="U93" i="16" a="1"/>
  <c r="U93" i="16" s="1"/>
  <c r="V93" i="16"/>
  <c r="W134" i="16" s="1"/>
  <c r="D92" i="16"/>
  <c r="E92" i="16" a="1"/>
  <c r="E92" i="16" s="1"/>
  <c r="G92" i="16"/>
  <c r="H92" i="16" s="1"/>
  <c r="I92" i="16"/>
  <c r="S92" i="16"/>
  <c r="U92" i="16" a="1"/>
  <c r="U92" i="16" s="1"/>
  <c r="V92" i="16"/>
  <c r="W172" i="16" s="1"/>
  <c r="D91" i="16"/>
  <c r="E91" i="16" a="1"/>
  <c r="E91" i="16" s="1"/>
  <c r="G91" i="16"/>
  <c r="H91" i="16" s="1"/>
  <c r="I91" i="16"/>
  <c r="N91" i="16"/>
  <c r="S91" i="16"/>
  <c r="U91" i="16" a="1"/>
  <c r="U91" i="16" s="1"/>
  <c r="V91" i="16"/>
  <c r="D90" i="16"/>
  <c r="E90" i="16" a="1"/>
  <c r="E90" i="16" s="1"/>
  <c r="G90" i="16"/>
  <c r="H90" i="16" s="1"/>
  <c r="I90" i="16"/>
  <c r="N90" i="16"/>
  <c r="S90" i="16"/>
  <c r="U90" i="16" a="1"/>
  <c r="U90" i="16" s="1"/>
  <c r="V90" i="16"/>
  <c r="E476" i="6"/>
  <c r="F476" i="6" a="1"/>
  <c r="F476" i="6" s="1"/>
  <c r="H476" i="6"/>
  <c r="I476" i="6" s="1"/>
  <c r="J476" i="6"/>
  <c r="O476" i="6"/>
  <c r="T476" i="6"/>
  <c r="W476" i="6"/>
  <c r="D89" i="16"/>
  <c r="E89" i="16" a="1"/>
  <c r="E89" i="16" s="1"/>
  <c r="G89" i="16"/>
  <c r="H89" i="16" s="1"/>
  <c r="I89" i="16"/>
  <c r="N89" i="16"/>
  <c r="S89" i="16"/>
  <c r="V89" i="16"/>
  <c r="N88" i="16"/>
  <c r="D88" i="16"/>
  <c r="E88" i="16" a="1"/>
  <c r="E88" i="16" s="1"/>
  <c r="G88" i="16"/>
  <c r="H88" i="16" s="1"/>
  <c r="I88" i="16"/>
  <c r="S88" i="16"/>
  <c r="U88" i="16" a="1"/>
  <c r="U88" i="16" s="1"/>
  <c r="V88" i="16"/>
  <c r="D87" i="16"/>
  <c r="E87" i="16" a="1"/>
  <c r="E87" i="16" s="1"/>
  <c r="G87" i="16"/>
  <c r="H87" i="16" s="1"/>
  <c r="I87" i="16"/>
  <c r="N87" i="16"/>
  <c r="S87" i="16"/>
  <c r="V87" i="16"/>
  <c r="E475" i="6"/>
  <c r="F475" i="6" a="1"/>
  <c r="F475" i="6" s="1"/>
  <c r="H475" i="6"/>
  <c r="I475" i="6" s="1"/>
  <c r="J475" i="6"/>
  <c r="O475" i="6"/>
  <c r="N475" i="6" s="1"/>
  <c r="T475" i="6"/>
  <c r="W475" i="6"/>
  <c r="N86" i="16"/>
  <c r="D86" i="16"/>
  <c r="E86" i="16" a="1"/>
  <c r="E86" i="16" s="1"/>
  <c r="G86" i="16"/>
  <c r="H86" i="16" s="1"/>
  <c r="I86" i="16"/>
  <c r="S86" i="16"/>
  <c r="V86" i="16"/>
  <c r="O474" i="6"/>
  <c r="E474" i="6"/>
  <c r="F474" i="6" a="1"/>
  <c r="F474" i="6" s="1"/>
  <c r="H474" i="6"/>
  <c r="I474" i="6" s="1"/>
  <c r="J474" i="6"/>
  <c r="T474" i="6"/>
  <c r="V474" i="6" a="1"/>
  <c r="V474" i="6" s="1"/>
  <c r="W474" i="6"/>
  <c r="O472" i="6"/>
  <c r="O473" i="6"/>
  <c r="O471" i="6"/>
  <c r="N471" i="6" s="1"/>
  <c r="E473" i="6"/>
  <c r="F473" i="6" a="1"/>
  <c r="F473" i="6" s="1"/>
  <c r="H473" i="6"/>
  <c r="I473" i="6" s="1"/>
  <c r="J473" i="6"/>
  <c r="T473" i="6"/>
  <c r="V473" i="6" a="1"/>
  <c r="V473" i="6" s="1"/>
  <c r="W473" i="6"/>
  <c r="E472" i="6"/>
  <c r="F472" i="6" a="1"/>
  <c r="F472" i="6" s="1"/>
  <c r="H472" i="6"/>
  <c r="I472" i="6" s="1"/>
  <c r="J472" i="6"/>
  <c r="T472" i="6"/>
  <c r="V472" i="6" a="1"/>
  <c r="V472" i="6" s="1"/>
  <c r="W472" i="6"/>
  <c r="E471" i="6"/>
  <c r="F471" i="6" a="1"/>
  <c r="F471" i="6" s="1"/>
  <c r="H471" i="6"/>
  <c r="I471" i="6" s="1"/>
  <c r="J471" i="6"/>
  <c r="T471" i="6"/>
  <c r="V471" i="6" a="1"/>
  <c r="V471" i="6" s="1"/>
  <c r="E470" i="6"/>
  <c r="F470" i="6" a="1"/>
  <c r="F470" i="6" s="1"/>
  <c r="H470" i="6"/>
  <c r="I470" i="6" s="1"/>
  <c r="J470" i="6"/>
  <c r="O470" i="6"/>
  <c r="T470" i="6"/>
  <c r="W470" i="6"/>
  <c r="W148" i="16" l="1"/>
  <c r="W157" i="16"/>
  <c r="X381" i="13"/>
  <c r="W132" i="16"/>
  <c r="W139" i="16"/>
  <c r="Y212" i="13"/>
  <c r="W125" i="16"/>
  <c r="W129" i="16"/>
  <c r="Y503" i="13"/>
  <c r="W121" i="16"/>
  <c r="W471" i="6"/>
  <c r="W115" i="16"/>
  <c r="W119" i="16"/>
  <c r="W117" i="16"/>
  <c r="W118" i="16"/>
  <c r="W112" i="16"/>
  <c r="W113" i="16"/>
  <c r="W109" i="16"/>
  <c r="W110" i="16"/>
  <c r="O109" i="16"/>
  <c r="O110" i="16"/>
  <c r="W106" i="16"/>
  <c r="W108" i="16"/>
  <c r="W101" i="16"/>
  <c r="W105" i="16"/>
  <c r="O101" i="16"/>
  <c r="O105" i="16"/>
  <c r="W100" i="16"/>
  <c r="W104" i="16"/>
  <c r="W93" i="16"/>
  <c r="W97" i="16"/>
  <c r="O93" i="16"/>
  <c r="O97" i="16"/>
  <c r="W92" i="16"/>
  <c r="W96" i="16"/>
  <c r="N483" i="6"/>
  <c r="N482" i="6"/>
  <c r="N481" i="6"/>
  <c r="X479" i="6"/>
  <c r="X478" i="6"/>
  <c r="X480" i="6"/>
  <c r="P479" i="6"/>
  <c r="P480" i="6"/>
  <c r="P478" i="6"/>
  <c r="N480" i="6"/>
  <c r="N92" i="16"/>
  <c r="M93" i="16"/>
  <c r="M91" i="16"/>
  <c r="M90" i="16"/>
  <c r="N476" i="6"/>
  <c r="M89" i="16"/>
  <c r="M88" i="16"/>
  <c r="M87" i="16"/>
  <c r="M86" i="16"/>
  <c r="U86" i="16" a="1"/>
  <c r="U86" i="16" s="1"/>
  <c r="X473" i="6"/>
  <c r="X472" i="6"/>
  <c r="N474" i="6"/>
  <c r="N472" i="6"/>
  <c r="P473" i="6"/>
  <c r="P472" i="6"/>
  <c r="N473" i="6"/>
  <c r="N470" i="6"/>
  <c r="O157" i="16" l="1"/>
  <c r="O172" i="16"/>
  <c r="O139" i="16"/>
  <c r="O148" i="16"/>
  <c r="O129" i="16"/>
  <c r="O132" i="16"/>
  <c r="O121" i="16"/>
  <c r="O125" i="16"/>
  <c r="O115" i="16"/>
  <c r="O119" i="16"/>
  <c r="O118" i="16"/>
  <c r="O117" i="16"/>
  <c r="O112" i="16"/>
  <c r="O113" i="16"/>
  <c r="O106" i="16"/>
  <c r="O108" i="16"/>
  <c r="O100" i="16"/>
  <c r="O104" i="16"/>
  <c r="O92" i="16"/>
  <c r="O96" i="16"/>
  <c r="R93" i="16"/>
  <c r="M92" i="16"/>
  <c r="S472" i="6"/>
  <c r="E469" i="6"/>
  <c r="F469" i="6" a="1"/>
  <c r="F469" i="6" s="1"/>
  <c r="H469" i="6"/>
  <c r="I469" i="6" s="1"/>
  <c r="J469" i="6"/>
  <c r="O469" i="6"/>
  <c r="T469" i="6"/>
  <c r="W469" i="6"/>
  <c r="D84" i="16"/>
  <c r="D85" i="16"/>
  <c r="E84" i="16" a="1"/>
  <c r="E84" i="16" s="1"/>
  <c r="E85" i="16" a="1"/>
  <c r="E85" i="16" s="1"/>
  <c r="G84" i="16"/>
  <c r="H84" i="16" s="1"/>
  <c r="G85" i="16"/>
  <c r="H85" i="16" s="1"/>
  <c r="I84" i="16"/>
  <c r="I85" i="16"/>
  <c r="N84" i="16"/>
  <c r="M84" i="16" s="1"/>
  <c r="N85" i="16"/>
  <c r="M85" i="16" s="1"/>
  <c r="S84" i="16"/>
  <c r="S85" i="16"/>
  <c r="U84" i="16" a="1"/>
  <c r="U84" i="16" s="1"/>
  <c r="U85" i="16" a="1"/>
  <c r="U85" i="16" s="1"/>
  <c r="V84" i="16"/>
  <c r="V85" i="16"/>
  <c r="O467" i="6"/>
  <c r="W467" i="6" s="1"/>
  <c r="E510" i="13"/>
  <c r="AG510" i="13" s="1" a="1"/>
  <c r="AG510" i="13" s="1"/>
  <c r="E511" i="13"/>
  <c r="AG511" i="13" s="1" a="1"/>
  <c r="AG511" i="13" s="1"/>
  <c r="E512" i="13"/>
  <c r="E513" i="13"/>
  <c r="E514" i="13"/>
  <c r="H514" i="13" s="1"/>
  <c r="E515" i="13"/>
  <c r="G515" i="13" s="1"/>
  <c r="E516" i="13"/>
  <c r="E517" i="13"/>
  <c r="E518" i="13"/>
  <c r="E519" i="13"/>
  <c r="G519" i="13" s="1"/>
  <c r="E520" i="13"/>
  <c r="E521" i="13"/>
  <c r="E522" i="13"/>
  <c r="E523" i="13"/>
  <c r="G523" i="13" s="1"/>
  <c r="E524" i="13"/>
  <c r="E525" i="13"/>
  <c r="AG525" i="13" s="1" a="1"/>
  <c r="AG525" i="13" s="1"/>
  <c r="E526" i="13"/>
  <c r="AG526" i="13" s="1" a="1"/>
  <c r="AG526" i="13" s="1"/>
  <c r="E527" i="13"/>
  <c r="H527" i="13" s="1"/>
  <c r="E528" i="13"/>
  <c r="E529" i="13"/>
  <c r="E530" i="13"/>
  <c r="G530" i="13" s="1"/>
  <c r="AL530" i="13" s="1"/>
  <c r="E531" i="13"/>
  <c r="AG531" i="13" s="1" a="1"/>
  <c r="AG531" i="13" s="1"/>
  <c r="E532" i="13"/>
  <c r="H532" i="13" s="1"/>
  <c r="E533" i="13"/>
  <c r="AG533" i="13" s="1" a="1"/>
  <c r="AG533" i="13" s="1"/>
  <c r="E534" i="13"/>
  <c r="E535" i="13"/>
  <c r="E536" i="13"/>
  <c r="G536" i="13" s="1"/>
  <c r="E537" i="13"/>
  <c r="E538" i="13"/>
  <c r="AG538" i="13" s="1" a="1"/>
  <c r="AG538" i="13" s="1"/>
  <c r="E539" i="13"/>
  <c r="H539" i="13" s="1"/>
  <c r="E540" i="13"/>
  <c r="E541" i="13"/>
  <c r="AG541" i="13" s="1" a="1"/>
  <c r="AG541" i="13" s="1"/>
  <c r="E542" i="13"/>
  <c r="AG542" i="13" s="1" a="1"/>
  <c r="AG542" i="13" s="1"/>
  <c r="E543" i="13"/>
  <c r="G543" i="13" s="1"/>
  <c r="J543" i="13" s="1"/>
  <c r="E544" i="13"/>
  <c r="E545" i="13"/>
  <c r="E546" i="13"/>
  <c r="E547" i="13"/>
  <c r="E548" i="13"/>
  <c r="E549" i="13"/>
  <c r="E550" i="13"/>
  <c r="H550" i="13" s="1"/>
  <c r="E551" i="13"/>
  <c r="H551" i="13" s="1"/>
  <c r="E552" i="13"/>
  <c r="E553" i="13"/>
  <c r="AG553" i="13" s="1" a="1"/>
  <c r="AG553" i="13" s="1"/>
  <c r="E554" i="13"/>
  <c r="H554" i="13" s="1"/>
  <c r="E555" i="13"/>
  <c r="E556" i="13"/>
  <c r="E557" i="13"/>
  <c r="E558" i="13"/>
  <c r="E559" i="13"/>
  <c r="G559" i="13" s="1"/>
  <c r="J559" i="13" s="1"/>
  <c r="E560" i="13"/>
  <c r="AG560" i="13" s="1" a="1"/>
  <c r="AG560" i="13" s="1"/>
  <c r="E561" i="13"/>
  <c r="AG561" i="13" s="1" a="1"/>
  <c r="AG561" i="13" s="1"/>
  <c r="E562" i="13"/>
  <c r="G562" i="13" s="1"/>
  <c r="E563" i="13"/>
  <c r="G563" i="13" s="1"/>
  <c r="E564" i="13"/>
  <c r="H564" i="13" s="1"/>
  <c r="E565" i="13"/>
  <c r="E567" i="13"/>
  <c r="E568" i="13"/>
  <c r="G568" i="13" s="1"/>
  <c r="E569" i="13"/>
  <c r="E571" i="13"/>
  <c r="G571" i="13" s="1"/>
  <c r="AL571" i="13" s="1"/>
  <c r="E572" i="13"/>
  <c r="E573" i="13"/>
  <c r="E574" i="13"/>
  <c r="G574" i="13" s="1"/>
  <c r="AL574" i="13" s="1"/>
  <c r="E575" i="13"/>
  <c r="AG575" i="13" s="1" a="1"/>
  <c r="AG575" i="13" s="1"/>
  <c r="E576" i="13"/>
  <c r="AG576" i="13" s="1" a="1"/>
  <c r="AG576" i="13" s="1"/>
  <c r="E577" i="13"/>
  <c r="AG577" i="13" s="1" a="1"/>
  <c r="AG577" i="13" s="1"/>
  <c r="E578" i="13"/>
  <c r="H578" i="13" s="1"/>
  <c r="E579" i="13"/>
  <c r="E580" i="13"/>
  <c r="AG580" i="13" s="1" a="1"/>
  <c r="AG580" i="13" s="1"/>
  <c r="E581" i="13"/>
  <c r="E582" i="13"/>
  <c r="G582" i="13" s="1"/>
  <c r="J582" i="13" s="1"/>
  <c r="F510" i="13"/>
  <c r="F511" i="13"/>
  <c r="F512" i="13"/>
  <c r="F513" i="13"/>
  <c r="I513" i="13" s="1"/>
  <c r="F514" i="13"/>
  <c r="F515" i="13"/>
  <c r="F516" i="13"/>
  <c r="F517" i="13"/>
  <c r="I517" i="13" s="1"/>
  <c r="F518" i="13"/>
  <c r="I518" i="13" s="1"/>
  <c r="F519" i="13"/>
  <c r="F520" i="13"/>
  <c r="F521" i="13"/>
  <c r="F522" i="13"/>
  <c r="F523" i="13"/>
  <c r="I523" i="13" s="1"/>
  <c r="F524" i="13"/>
  <c r="F525" i="13"/>
  <c r="I525" i="13" s="1"/>
  <c r="F526" i="13"/>
  <c r="K526" i="13" s="1"/>
  <c r="F527" i="13"/>
  <c r="F528" i="13"/>
  <c r="F529" i="13"/>
  <c r="F530" i="13"/>
  <c r="K530" i="13" s="1"/>
  <c r="F531" i="13"/>
  <c r="F532" i="13"/>
  <c r="F533" i="13"/>
  <c r="I533" i="13" s="1"/>
  <c r="F534" i="13"/>
  <c r="F535" i="13"/>
  <c r="F536" i="13"/>
  <c r="F537" i="13"/>
  <c r="F538" i="13"/>
  <c r="F539" i="13"/>
  <c r="F540" i="13"/>
  <c r="F541" i="13"/>
  <c r="F542" i="13"/>
  <c r="I542" i="13" s="1"/>
  <c r="F543" i="13"/>
  <c r="F544" i="13"/>
  <c r="F545" i="13"/>
  <c r="F546" i="13"/>
  <c r="F547" i="13"/>
  <c r="F548" i="13"/>
  <c r="F549" i="13"/>
  <c r="I549" i="13" s="1"/>
  <c r="F550" i="13"/>
  <c r="I550" i="13" s="1"/>
  <c r="F551" i="13"/>
  <c r="I551" i="13" s="1"/>
  <c r="F552" i="13"/>
  <c r="F553" i="13"/>
  <c r="K553" i="13" s="1"/>
  <c r="F554" i="13"/>
  <c r="F555" i="13"/>
  <c r="F556" i="13"/>
  <c r="F557" i="13"/>
  <c r="I557" i="13" s="1"/>
  <c r="F558" i="13"/>
  <c r="I558" i="13" s="1"/>
  <c r="F559" i="13"/>
  <c r="K559" i="13" s="1"/>
  <c r="F560" i="13"/>
  <c r="F561" i="13"/>
  <c r="F562" i="13"/>
  <c r="F563" i="13"/>
  <c r="F564" i="13"/>
  <c r="F565" i="13"/>
  <c r="F566" i="13"/>
  <c r="I566" i="13" s="1"/>
  <c r="F567" i="13"/>
  <c r="F568" i="13"/>
  <c r="F569" i="13"/>
  <c r="K569" i="13" s="1"/>
  <c r="F570" i="13"/>
  <c r="F571" i="13"/>
  <c r="F572" i="13"/>
  <c r="F573" i="13"/>
  <c r="K573" i="13" s="1"/>
  <c r="F574" i="13"/>
  <c r="K574" i="13" s="1"/>
  <c r="F575" i="13"/>
  <c r="F576" i="13"/>
  <c r="F577" i="13"/>
  <c r="F578" i="13"/>
  <c r="I578" i="13" s="1"/>
  <c r="F579" i="13"/>
  <c r="F580" i="13"/>
  <c r="F581" i="13"/>
  <c r="F582" i="13"/>
  <c r="I582" i="13" s="1"/>
  <c r="L510" i="13"/>
  <c r="L511" i="13"/>
  <c r="L512" i="13"/>
  <c r="L513" i="13"/>
  <c r="L514" i="13"/>
  <c r="L515" i="13"/>
  <c r="L516" i="13"/>
  <c r="L517" i="13"/>
  <c r="L518" i="13"/>
  <c r="L519" i="13"/>
  <c r="L520" i="13"/>
  <c r="L521" i="13"/>
  <c r="L522" i="13"/>
  <c r="L523" i="13"/>
  <c r="L524" i="13"/>
  <c r="L525" i="13"/>
  <c r="L526" i="13"/>
  <c r="L527" i="13"/>
  <c r="S527" i="13" s="1"/>
  <c r="L528" i="13"/>
  <c r="L529" i="13"/>
  <c r="L530" i="13"/>
  <c r="L531" i="13"/>
  <c r="L532" i="13"/>
  <c r="L533" i="13"/>
  <c r="L534" i="13"/>
  <c r="L535" i="13"/>
  <c r="L536" i="13"/>
  <c r="L537" i="13"/>
  <c r="L538" i="13"/>
  <c r="L539" i="13"/>
  <c r="L540" i="13"/>
  <c r="S540" i="13" s="1"/>
  <c r="L541" i="13"/>
  <c r="L542" i="13"/>
  <c r="L543" i="13"/>
  <c r="S543" i="13" s="1"/>
  <c r="L544" i="13"/>
  <c r="L545" i="13"/>
  <c r="L546" i="13"/>
  <c r="L547" i="13"/>
  <c r="L548" i="13"/>
  <c r="L549" i="13"/>
  <c r="L550" i="13"/>
  <c r="L551" i="13"/>
  <c r="L552" i="13"/>
  <c r="L553" i="13"/>
  <c r="L554" i="13"/>
  <c r="L555" i="13"/>
  <c r="S555" i="13" s="1"/>
  <c r="L556" i="13"/>
  <c r="L557" i="13"/>
  <c r="L558" i="13"/>
  <c r="L559" i="13"/>
  <c r="L560" i="13"/>
  <c r="L561" i="13"/>
  <c r="L562" i="13"/>
  <c r="L563" i="13"/>
  <c r="L564" i="13"/>
  <c r="L565" i="13"/>
  <c r="L566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581" i="13"/>
  <c r="L582" i="13"/>
  <c r="M510" i="13"/>
  <c r="P510" i="13" s="1"/>
  <c r="M511" i="13"/>
  <c r="P511" i="13" s="1"/>
  <c r="M512" i="13"/>
  <c r="P512" i="13" s="1"/>
  <c r="M513" i="13"/>
  <c r="P513" i="13" s="1"/>
  <c r="M514" i="13"/>
  <c r="R514" i="13" s="1"/>
  <c r="M515" i="13"/>
  <c r="P515" i="13" s="1"/>
  <c r="M516" i="13"/>
  <c r="R516" i="13" s="1"/>
  <c r="M517" i="13"/>
  <c r="P517" i="13" s="1"/>
  <c r="M518" i="13"/>
  <c r="P518" i="13" s="1"/>
  <c r="M519" i="13"/>
  <c r="P519" i="13" s="1"/>
  <c r="M520" i="13"/>
  <c r="P520" i="13" s="1"/>
  <c r="M521" i="13"/>
  <c r="P521" i="13" s="1"/>
  <c r="M522" i="13"/>
  <c r="R522" i="13" s="1"/>
  <c r="M523" i="13"/>
  <c r="P523" i="13" s="1"/>
  <c r="M524" i="13"/>
  <c r="P524" i="13" s="1"/>
  <c r="M525" i="13"/>
  <c r="P525" i="13" s="1"/>
  <c r="M526" i="13"/>
  <c r="R526" i="13" s="1"/>
  <c r="M527" i="13"/>
  <c r="P527" i="13" s="1"/>
  <c r="M528" i="13"/>
  <c r="P528" i="13" s="1"/>
  <c r="M529" i="13"/>
  <c r="P529" i="13" s="1"/>
  <c r="M530" i="13"/>
  <c r="P530" i="13" s="1"/>
  <c r="M531" i="13"/>
  <c r="R531" i="13" s="1"/>
  <c r="M532" i="13"/>
  <c r="P532" i="13" s="1"/>
  <c r="M533" i="13"/>
  <c r="R533" i="13" s="1"/>
  <c r="M534" i="13"/>
  <c r="R534" i="13" s="1"/>
  <c r="M535" i="13"/>
  <c r="P535" i="13" s="1"/>
  <c r="M536" i="13"/>
  <c r="P536" i="13" s="1"/>
  <c r="M537" i="13"/>
  <c r="R537" i="13" s="1"/>
  <c r="M538" i="13"/>
  <c r="R538" i="13" s="1"/>
  <c r="M539" i="13"/>
  <c r="R539" i="13" s="1"/>
  <c r="M540" i="13"/>
  <c r="P540" i="13" s="1"/>
  <c r="M541" i="13"/>
  <c r="P541" i="13" s="1"/>
  <c r="M542" i="13"/>
  <c r="P542" i="13" s="1"/>
  <c r="M543" i="13"/>
  <c r="P543" i="13" s="1"/>
  <c r="M544" i="13"/>
  <c r="P544" i="13" s="1"/>
  <c r="M545" i="13"/>
  <c r="P545" i="13" s="1"/>
  <c r="M546" i="13"/>
  <c r="P546" i="13" s="1"/>
  <c r="M547" i="13"/>
  <c r="R547" i="13" s="1"/>
  <c r="M548" i="13"/>
  <c r="P548" i="13" s="1"/>
  <c r="M549" i="13"/>
  <c r="P549" i="13" s="1"/>
  <c r="M550" i="13"/>
  <c r="R550" i="13" s="1"/>
  <c r="M551" i="13"/>
  <c r="P551" i="13" s="1"/>
  <c r="M552" i="13"/>
  <c r="P552" i="13" s="1"/>
  <c r="M553" i="13"/>
  <c r="R553" i="13" s="1"/>
  <c r="M554" i="13"/>
  <c r="R554" i="13" s="1"/>
  <c r="M555" i="13"/>
  <c r="R555" i="13" s="1"/>
  <c r="M556" i="13"/>
  <c r="P556" i="13" s="1"/>
  <c r="M557" i="13"/>
  <c r="P557" i="13" s="1"/>
  <c r="M558" i="13"/>
  <c r="P558" i="13" s="1"/>
  <c r="M559" i="13"/>
  <c r="P559" i="13" s="1"/>
  <c r="M560" i="13"/>
  <c r="P560" i="13" s="1"/>
  <c r="M561" i="13"/>
  <c r="R561" i="13" s="1"/>
  <c r="M562" i="13"/>
  <c r="P562" i="13" s="1"/>
  <c r="M563" i="13"/>
  <c r="P563" i="13" s="1"/>
  <c r="M564" i="13"/>
  <c r="P564" i="13" s="1"/>
  <c r="M565" i="13"/>
  <c r="R565" i="13" s="1"/>
  <c r="M566" i="13"/>
  <c r="R566" i="13" s="1"/>
  <c r="M567" i="13"/>
  <c r="R567" i="13" s="1"/>
  <c r="M568" i="13"/>
  <c r="P568" i="13" s="1"/>
  <c r="M569" i="13"/>
  <c r="P569" i="13" s="1"/>
  <c r="M570" i="13"/>
  <c r="P570" i="13" s="1"/>
  <c r="M571" i="13"/>
  <c r="R571" i="13" s="1"/>
  <c r="M572" i="13"/>
  <c r="P572" i="13" s="1"/>
  <c r="M573" i="13"/>
  <c r="R573" i="13" s="1"/>
  <c r="M574" i="13"/>
  <c r="P574" i="13" s="1"/>
  <c r="M575" i="13"/>
  <c r="P575" i="13" s="1"/>
  <c r="M576" i="13"/>
  <c r="P576" i="13" s="1"/>
  <c r="M577" i="13"/>
  <c r="R577" i="13" s="1"/>
  <c r="M578" i="13"/>
  <c r="R578" i="13" s="1"/>
  <c r="M579" i="13"/>
  <c r="P579" i="13" s="1"/>
  <c r="M580" i="13"/>
  <c r="P580" i="13" s="1"/>
  <c r="M581" i="13"/>
  <c r="P581" i="13" s="1"/>
  <c r="M582" i="13"/>
  <c r="P582" i="13" s="1"/>
  <c r="V510" i="13"/>
  <c r="V511" i="13"/>
  <c r="V512" i="13"/>
  <c r="V513" i="13"/>
  <c r="V514" i="13"/>
  <c r="V515" i="13"/>
  <c r="V516" i="13"/>
  <c r="V517" i="13"/>
  <c r="V518" i="13"/>
  <c r="V519" i="13"/>
  <c r="V520" i="13"/>
  <c r="V521" i="13"/>
  <c r="V522" i="13"/>
  <c r="V523" i="13"/>
  <c r="V524" i="13"/>
  <c r="V525" i="13"/>
  <c r="V526" i="13"/>
  <c r="V527" i="13"/>
  <c r="V528" i="13"/>
  <c r="V529" i="13"/>
  <c r="V530" i="13"/>
  <c r="V531" i="13"/>
  <c r="V532" i="13"/>
  <c r="V533" i="13"/>
  <c r="V534" i="13"/>
  <c r="V535" i="13"/>
  <c r="V536" i="13"/>
  <c r="V537" i="13"/>
  <c r="V538" i="13"/>
  <c r="V539" i="13"/>
  <c r="V540" i="13"/>
  <c r="V541" i="13"/>
  <c r="V542" i="13"/>
  <c r="V543" i="13"/>
  <c r="V544" i="13"/>
  <c r="V545" i="13"/>
  <c r="V546" i="13"/>
  <c r="V547" i="13"/>
  <c r="V548" i="13"/>
  <c r="V549" i="13"/>
  <c r="V550" i="13"/>
  <c r="V551" i="13"/>
  <c r="V552" i="13"/>
  <c r="V553" i="13"/>
  <c r="V554" i="13"/>
  <c r="V555" i="13"/>
  <c r="V556" i="13"/>
  <c r="V557" i="13"/>
  <c r="V558" i="13"/>
  <c r="V559" i="13"/>
  <c r="V560" i="13"/>
  <c r="V561" i="13"/>
  <c r="V562" i="13"/>
  <c r="V563" i="13"/>
  <c r="V564" i="13"/>
  <c r="V565" i="13"/>
  <c r="V567" i="13"/>
  <c r="V568" i="13"/>
  <c r="V569" i="13"/>
  <c r="V571" i="13"/>
  <c r="V572" i="13"/>
  <c r="V573" i="13"/>
  <c r="V574" i="13"/>
  <c r="V575" i="13"/>
  <c r="V576" i="13"/>
  <c r="V577" i="13"/>
  <c r="V578" i="13"/>
  <c r="V579" i="13"/>
  <c r="V580" i="13"/>
  <c r="V581" i="13"/>
  <c r="V582" i="13"/>
  <c r="W510" i="13"/>
  <c r="W511" i="13"/>
  <c r="W512" i="13"/>
  <c r="W513" i="13"/>
  <c r="W514" i="13"/>
  <c r="W515" i="13"/>
  <c r="W516" i="13"/>
  <c r="W517" i="13"/>
  <c r="W518" i="13"/>
  <c r="W519" i="13"/>
  <c r="W520" i="13"/>
  <c r="W521" i="13"/>
  <c r="W522" i="13"/>
  <c r="W523" i="13"/>
  <c r="W524" i="13"/>
  <c r="W525" i="13"/>
  <c r="W526" i="13"/>
  <c r="W527" i="13"/>
  <c r="W528" i="13"/>
  <c r="W529" i="13"/>
  <c r="W530" i="13"/>
  <c r="W531" i="13"/>
  <c r="W532" i="13"/>
  <c r="W533" i="13"/>
  <c r="W534" i="13"/>
  <c r="W535" i="13"/>
  <c r="W536" i="13"/>
  <c r="W537" i="13"/>
  <c r="W538" i="13"/>
  <c r="W539" i="13"/>
  <c r="W540" i="13"/>
  <c r="W541" i="13"/>
  <c r="W542" i="13"/>
  <c r="W543" i="13"/>
  <c r="W544" i="13"/>
  <c r="W545" i="13"/>
  <c r="W546" i="13"/>
  <c r="W547" i="13"/>
  <c r="W548" i="13"/>
  <c r="W549" i="13"/>
  <c r="W550" i="13"/>
  <c r="W551" i="13"/>
  <c r="W552" i="13"/>
  <c r="W553" i="13"/>
  <c r="W554" i="13"/>
  <c r="W555" i="13"/>
  <c r="W556" i="13"/>
  <c r="W557" i="13"/>
  <c r="W558" i="13"/>
  <c r="W559" i="13"/>
  <c r="W560" i="13"/>
  <c r="W561" i="13"/>
  <c r="W562" i="13"/>
  <c r="W563" i="13"/>
  <c r="W564" i="13"/>
  <c r="W565" i="13"/>
  <c r="W566" i="13"/>
  <c r="W567" i="13"/>
  <c r="W568" i="13"/>
  <c r="W569" i="13"/>
  <c r="W570" i="13"/>
  <c r="W571" i="13"/>
  <c r="W572" i="13"/>
  <c r="W573" i="13"/>
  <c r="W574" i="13"/>
  <c r="W575" i="13"/>
  <c r="W576" i="13"/>
  <c r="W577" i="13"/>
  <c r="W578" i="13"/>
  <c r="W579" i="13"/>
  <c r="W580" i="13"/>
  <c r="W581" i="13"/>
  <c r="W582" i="13"/>
  <c r="AJ510" i="13"/>
  <c r="AJ511" i="13"/>
  <c r="AJ512" i="13"/>
  <c r="AJ513" i="13"/>
  <c r="AJ514" i="13"/>
  <c r="AJ515" i="13"/>
  <c r="AJ516" i="13"/>
  <c r="AJ517" i="13"/>
  <c r="AJ518" i="13"/>
  <c r="AJ519" i="13"/>
  <c r="AJ520" i="13"/>
  <c r="AJ521" i="13"/>
  <c r="AJ522" i="13"/>
  <c r="AJ523" i="13"/>
  <c r="AJ524" i="13"/>
  <c r="AJ525" i="13"/>
  <c r="AJ526" i="13"/>
  <c r="AJ527" i="13"/>
  <c r="AJ528" i="13"/>
  <c r="AJ529" i="13"/>
  <c r="AJ530" i="13"/>
  <c r="AJ531" i="13"/>
  <c r="AJ532" i="13"/>
  <c r="AJ533" i="13"/>
  <c r="AJ534" i="13"/>
  <c r="AJ535" i="13"/>
  <c r="AJ536" i="13"/>
  <c r="AJ537" i="13"/>
  <c r="AJ538" i="13"/>
  <c r="AJ539" i="13"/>
  <c r="AJ540" i="13"/>
  <c r="AJ541" i="13"/>
  <c r="AJ542" i="13"/>
  <c r="AJ543" i="13"/>
  <c r="AJ544" i="13"/>
  <c r="AJ545" i="13"/>
  <c r="AJ546" i="13"/>
  <c r="AJ547" i="13"/>
  <c r="AJ548" i="13"/>
  <c r="AJ549" i="13"/>
  <c r="AJ550" i="13"/>
  <c r="AJ551" i="13"/>
  <c r="AJ552" i="13"/>
  <c r="AJ553" i="13"/>
  <c r="AJ554" i="13"/>
  <c r="AJ555" i="13"/>
  <c r="AJ556" i="13"/>
  <c r="AJ557" i="13"/>
  <c r="AJ558" i="13"/>
  <c r="AJ559" i="13"/>
  <c r="AJ560" i="13"/>
  <c r="AJ561" i="13"/>
  <c r="AJ562" i="13"/>
  <c r="AJ563" i="13"/>
  <c r="AJ564" i="13"/>
  <c r="AJ565" i="13"/>
  <c r="AJ566" i="13"/>
  <c r="AJ567" i="13"/>
  <c r="AJ568" i="13"/>
  <c r="AJ569" i="13"/>
  <c r="AJ570" i="13"/>
  <c r="AJ571" i="13"/>
  <c r="AJ572" i="13"/>
  <c r="AJ573" i="13"/>
  <c r="AJ574" i="13"/>
  <c r="AJ575" i="13"/>
  <c r="AJ576" i="13"/>
  <c r="AJ577" i="13"/>
  <c r="AJ578" i="13"/>
  <c r="AJ579" i="13"/>
  <c r="AJ580" i="13"/>
  <c r="AJ581" i="13"/>
  <c r="AJ582" i="13"/>
  <c r="AO510" i="13"/>
  <c r="AO511" i="13"/>
  <c r="AO512" i="13"/>
  <c r="AO513" i="13"/>
  <c r="AO514" i="13"/>
  <c r="AO515" i="13"/>
  <c r="AO516" i="13"/>
  <c r="AO517" i="13"/>
  <c r="AO518" i="13"/>
  <c r="AO519" i="13"/>
  <c r="AO520" i="13"/>
  <c r="AO521" i="13"/>
  <c r="AO522" i="13"/>
  <c r="AO523" i="13"/>
  <c r="AO524" i="13"/>
  <c r="AO525" i="13"/>
  <c r="AO526" i="13"/>
  <c r="AO527" i="13"/>
  <c r="AO528" i="13"/>
  <c r="AO529" i="13"/>
  <c r="AO530" i="13"/>
  <c r="AO531" i="13"/>
  <c r="AO532" i="13"/>
  <c r="AO533" i="13"/>
  <c r="AO534" i="13"/>
  <c r="AO535" i="13"/>
  <c r="AO536" i="13"/>
  <c r="AO537" i="13"/>
  <c r="AO538" i="13"/>
  <c r="AO539" i="13"/>
  <c r="AO540" i="13"/>
  <c r="AO541" i="13"/>
  <c r="AO542" i="13"/>
  <c r="AO543" i="13"/>
  <c r="AO544" i="13"/>
  <c r="AO545" i="13"/>
  <c r="AO546" i="13"/>
  <c r="AO547" i="13"/>
  <c r="AO548" i="13"/>
  <c r="AO549" i="13"/>
  <c r="AO550" i="13"/>
  <c r="AO551" i="13"/>
  <c r="AO552" i="13"/>
  <c r="AO553" i="13"/>
  <c r="AO554" i="13"/>
  <c r="AO555" i="13"/>
  <c r="AO556" i="13"/>
  <c r="AO557" i="13"/>
  <c r="AO558" i="13"/>
  <c r="AO559" i="13"/>
  <c r="AO560" i="13"/>
  <c r="AO561" i="13"/>
  <c r="AO562" i="13"/>
  <c r="AO563" i="13"/>
  <c r="AO564" i="13"/>
  <c r="AO565" i="13"/>
  <c r="AO566" i="13"/>
  <c r="AO567" i="13"/>
  <c r="AO568" i="13"/>
  <c r="AO569" i="13"/>
  <c r="AO570" i="13"/>
  <c r="AO571" i="13"/>
  <c r="AO572" i="13"/>
  <c r="AO573" i="13"/>
  <c r="AO574" i="13"/>
  <c r="AO575" i="13"/>
  <c r="AO576" i="13"/>
  <c r="AO577" i="13"/>
  <c r="AO578" i="13"/>
  <c r="AO579" i="13"/>
  <c r="AO580" i="13"/>
  <c r="AO581" i="13"/>
  <c r="AO582" i="13"/>
  <c r="AR510" i="13"/>
  <c r="AR511" i="13"/>
  <c r="AR512" i="13"/>
  <c r="AR513" i="13"/>
  <c r="AR514" i="13"/>
  <c r="AR515" i="13"/>
  <c r="AR516" i="13"/>
  <c r="AR517" i="13"/>
  <c r="AR518" i="13"/>
  <c r="AR519" i="13"/>
  <c r="AR520" i="13"/>
  <c r="AR521" i="13"/>
  <c r="AR522" i="13"/>
  <c r="AR523" i="13"/>
  <c r="AR524" i="13"/>
  <c r="AR525" i="13"/>
  <c r="AR526" i="13"/>
  <c r="AR527" i="13"/>
  <c r="AR528" i="13"/>
  <c r="AR529" i="13"/>
  <c r="AR530" i="13"/>
  <c r="AR531" i="13"/>
  <c r="AR532" i="13"/>
  <c r="AR533" i="13"/>
  <c r="AR534" i="13"/>
  <c r="AR535" i="13"/>
  <c r="AR536" i="13"/>
  <c r="AR537" i="13"/>
  <c r="AR538" i="13"/>
  <c r="AR539" i="13"/>
  <c r="AR540" i="13"/>
  <c r="AR541" i="13"/>
  <c r="AR542" i="13"/>
  <c r="AR543" i="13"/>
  <c r="AR544" i="13"/>
  <c r="AR545" i="13"/>
  <c r="AR546" i="13"/>
  <c r="AR547" i="13"/>
  <c r="AR548" i="13"/>
  <c r="AR549" i="13"/>
  <c r="AR550" i="13"/>
  <c r="AR551" i="13"/>
  <c r="AR552" i="13"/>
  <c r="AR553" i="13"/>
  <c r="AR554" i="13"/>
  <c r="AR555" i="13"/>
  <c r="AR556" i="13"/>
  <c r="AR557" i="13"/>
  <c r="AR558" i="13"/>
  <c r="AR559" i="13"/>
  <c r="AR560" i="13"/>
  <c r="AR561" i="13"/>
  <c r="AR562" i="13"/>
  <c r="AR563" i="13"/>
  <c r="AR564" i="13"/>
  <c r="AR565" i="13"/>
  <c r="AR566" i="13"/>
  <c r="AR567" i="13"/>
  <c r="AR568" i="13"/>
  <c r="AR569" i="13"/>
  <c r="AR570" i="13"/>
  <c r="AR571" i="13"/>
  <c r="AR572" i="13"/>
  <c r="AR573" i="13"/>
  <c r="AR574" i="13"/>
  <c r="AR575" i="13"/>
  <c r="AR576" i="13"/>
  <c r="AR577" i="13"/>
  <c r="AR578" i="13"/>
  <c r="AR579" i="13"/>
  <c r="AR580" i="13"/>
  <c r="AR581" i="13"/>
  <c r="AR582" i="13"/>
  <c r="AS510" i="13"/>
  <c r="AS511" i="13"/>
  <c r="AS512" i="13"/>
  <c r="AS513" i="13"/>
  <c r="AS514" i="13"/>
  <c r="AS515" i="13"/>
  <c r="AS516" i="13"/>
  <c r="AS517" i="13"/>
  <c r="AS518" i="13"/>
  <c r="AS519" i="13"/>
  <c r="AS520" i="13"/>
  <c r="AS521" i="13"/>
  <c r="AS522" i="13"/>
  <c r="AS523" i="13"/>
  <c r="AS524" i="13"/>
  <c r="AS525" i="13"/>
  <c r="AS526" i="13"/>
  <c r="AS527" i="13"/>
  <c r="AS528" i="13"/>
  <c r="AS529" i="13"/>
  <c r="AS530" i="13"/>
  <c r="AS531" i="13"/>
  <c r="AS532" i="13"/>
  <c r="AS533" i="13"/>
  <c r="AS534" i="13"/>
  <c r="AS535" i="13"/>
  <c r="AS536" i="13"/>
  <c r="AS537" i="13"/>
  <c r="AS538" i="13"/>
  <c r="AS539" i="13"/>
  <c r="AS540" i="13"/>
  <c r="AS541" i="13"/>
  <c r="AS542" i="13"/>
  <c r="AS543" i="13"/>
  <c r="AS544" i="13"/>
  <c r="AS545" i="13"/>
  <c r="AS546" i="13"/>
  <c r="AS547" i="13"/>
  <c r="AS548" i="13"/>
  <c r="AS549" i="13"/>
  <c r="AS550" i="13"/>
  <c r="AS551" i="13"/>
  <c r="AS552" i="13"/>
  <c r="AS553" i="13"/>
  <c r="AS554" i="13"/>
  <c r="AS555" i="13"/>
  <c r="AS556" i="13"/>
  <c r="AS557" i="13"/>
  <c r="AS558" i="13"/>
  <c r="AS559" i="13"/>
  <c r="AS560" i="13"/>
  <c r="AS561" i="13"/>
  <c r="AS562" i="13"/>
  <c r="AS563" i="13"/>
  <c r="AS564" i="13"/>
  <c r="AS565" i="13"/>
  <c r="AS566" i="13"/>
  <c r="AS567" i="13"/>
  <c r="AS568" i="13"/>
  <c r="AS569" i="13"/>
  <c r="AS570" i="13"/>
  <c r="AS571" i="13"/>
  <c r="AS572" i="13"/>
  <c r="AS573" i="13"/>
  <c r="AS574" i="13"/>
  <c r="AS575" i="13"/>
  <c r="AS576" i="13"/>
  <c r="AS577" i="13"/>
  <c r="AS578" i="13"/>
  <c r="AS579" i="13"/>
  <c r="AS580" i="13"/>
  <c r="AS581" i="13"/>
  <c r="AS582" i="13"/>
  <c r="E468" i="6"/>
  <c r="F468" i="6" a="1"/>
  <c r="F468" i="6" s="1"/>
  <c r="H468" i="6"/>
  <c r="I468" i="6" s="1"/>
  <c r="J468" i="6"/>
  <c r="O468" i="6"/>
  <c r="T468" i="6"/>
  <c r="W468" i="6"/>
  <c r="E467" i="6"/>
  <c r="F467" i="6" a="1"/>
  <c r="F467" i="6" s="1"/>
  <c r="H467" i="6"/>
  <c r="I467" i="6" s="1"/>
  <c r="J467" i="6"/>
  <c r="T467" i="6"/>
  <c r="E466" i="6"/>
  <c r="F466" i="6" a="1"/>
  <c r="F466" i="6" s="1"/>
  <c r="H466" i="6"/>
  <c r="I466" i="6" s="1"/>
  <c r="J466" i="6"/>
  <c r="O466" i="6"/>
  <c r="P771" i="6" s="1"/>
  <c r="T466" i="6"/>
  <c r="V466" i="6" a="1"/>
  <c r="V466" i="6" s="1"/>
  <c r="O465" i="6"/>
  <c r="E465" i="6"/>
  <c r="F465" i="6" a="1"/>
  <c r="F465" i="6" s="1"/>
  <c r="H465" i="6"/>
  <c r="I465" i="6" s="1"/>
  <c r="J465" i="6"/>
  <c r="T465" i="6"/>
  <c r="W465" i="6"/>
  <c r="O462" i="6"/>
  <c r="N462" i="6" s="1"/>
  <c r="T462" i="6"/>
  <c r="W462" i="6"/>
  <c r="E462" i="6"/>
  <c r="F462" i="6" a="1"/>
  <c r="F462" i="6" s="1"/>
  <c r="H462" i="6"/>
  <c r="I462" i="6" s="1"/>
  <c r="J462" i="6"/>
  <c r="E464" i="6"/>
  <c r="F464" i="6" a="1"/>
  <c r="F464" i="6" s="1"/>
  <c r="H464" i="6"/>
  <c r="I464" i="6" s="1"/>
  <c r="J464" i="6"/>
  <c r="O464" i="6"/>
  <c r="T464" i="6"/>
  <c r="V464" i="6" a="1"/>
  <c r="V464" i="6" s="1"/>
  <c r="W464" i="6"/>
  <c r="E463" i="6"/>
  <c r="F463" i="6" a="1"/>
  <c r="F463" i="6" s="1"/>
  <c r="H463" i="6"/>
  <c r="I463" i="6" s="1"/>
  <c r="J463" i="6"/>
  <c r="O463" i="6"/>
  <c r="T463" i="6"/>
  <c r="W463" i="6"/>
  <c r="D83" i="16"/>
  <c r="E83" i="16" a="1"/>
  <c r="E83" i="16" s="1"/>
  <c r="G83" i="16"/>
  <c r="H83" i="16" s="1"/>
  <c r="I83" i="16"/>
  <c r="N83" i="16"/>
  <c r="S83" i="16"/>
  <c r="U83" i="16" a="1"/>
  <c r="U83" i="16" s="1"/>
  <c r="V83" i="16"/>
  <c r="E461" i="6"/>
  <c r="F461" i="6" a="1"/>
  <c r="F461" i="6" s="1"/>
  <c r="H461" i="6"/>
  <c r="I461" i="6" s="1"/>
  <c r="J461" i="6"/>
  <c r="O461" i="6"/>
  <c r="T461" i="6"/>
  <c r="W461" i="6"/>
  <c r="E460" i="6"/>
  <c r="F460" i="6" a="1"/>
  <c r="F460" i="6" s="1"/>
  <c r="H460" i="6"/>
  <c r="I460" i="6" s="1"/>
  <c r="J460" i="6"/>
  <c r="O460" i="6"/>
  <c r="T460" i="6"/>
  <c r="W460" i="6"/>
  <c r="O459" i="6"/>
  <c r="E459" i="6"/>
  <c r="F459" i="6" a="1"/>
  <c r="F459" i="6" s="1"/>
  <c r="H459" i="6"/>
  <c r="I459" i="6" s="1"/>
  <c r="J459" i="6"/>
  <c r="T459" i="6"/>
  <c r="W459" i="6"/>
  <c r="N82" i="16"/>
  <c r="M82" i="16" s="1"/>
  <c r="D81" i="16"/>
  <c r="D82" i="16"/>
  <c r="E81" i="16" a="1"/>
  <c r="E81" i="16" s="1"/>
  <c r="E82" i="16" a="1"/>
  <c r="E82" i="16" s="1"/>
  <c r="G81" i="16"/>
  <c r="H81" i="16" s="1"/>
  <c r="G82" i="16"/>
  <c r="H82" i="16" s="1"/>
  <c r="I81" i="16"/>
  <c r="I82" i="16"/>
  <c r="N81" i="16"/>
  <c r="M81" i="16" s="1"/>
  <c r="S81" i="16"/>
  <c r="S82" i="16"/>
  <c r="U81" i="16" a="1"/>
  <c r="U81" i="16" s="1"/>
  <c r="U82" i="16" a="1"/>
  <c r="U82" i="16" s="1"/>
  <c r="V81" i="16"/>
  <c r="V82" i="16"/>
  <c r="N80" i="16"/>
  <c r="D80" i="16"/>
  <c r="E80" i="16" a="1"/>
  <c r="E80" i="16" s="1"/>
  <c r="G80" i="16"/>
  <c r="H80" i="16" s="1"/>
  <c r="I80" i="16"/>
  <c r="S80" i="16"/>
  <c r="V80" i="16"/>
  <c r="O458" i="6"/>
  <c r="E458" i="6"/>
  <c r="F458" i="6" a="1"/>
  <c r="F458" i="6" s="1"/>
  <c r="H458" i="6"/>
  <c r="I458" i="6" s="1"/>
  <c r="J458" i="6"/>
  <c r="T458" i="6"/>
  <c r="W458" i="6"/>
  <c r="E457" i="6"/>
  <c r="F457" i="6" a="1"/>
  <c r="F457" i="6" s="1"/>
  <c r="H457" i="6"/>
  <c r="I457" i="6" s="1"/>
  <c r="J457" i="6"/>
  <c r="O457" i="6"/>
  <c r="T457" i="6"/>
  <c r="W457" i="6"/>
  <c r="O456" i="6"/>
  <c r="E456" i="6"/>
  <c r="F456" i="6" a="1"/>
  <c r="F456" i="6" s="1"/>
  <c r="H456" i="6"/>
  <c r="I456" i="6" s="1"/>
  <c r="J456" i="6"/>
  <c r="T456" i="6"/>
  <c r="W456" i="6"/>
  <c r="O455" i="6"/>
  <c r="E455" i="6"/>
  <c r="F455" i="6" a="1"/>
  <c r="F455" i="6" s="1"/>
  <c r="H455" i="6"/>
  <c r="I455" i="6" s="1"/>
  <c r="J455" i="6"/>
  <c r="T455" i="6"/>
  <c r="W455" i="6"/>
  <c r="N78" i="16"/>
  <c r="D78" i="16"/>
  <c r="D79" i="16"/>
  <c r="E78" i="16" a="1"/>
  <c r="E78" i="16" s="1"/>
  <c r="E79" i="16" a="1"/>
  <c r="E79" i="16" s="1"/>
  <c r="G78" i="16"/>
  <c r="H78" i="16" s="1"/>
  <c r="G79" i="16"/>
  <c r="H79" i="16" s="1"/>
  <c r="I78" i="16"/>
  <c r="I79" i="16"/>
  <c r="N79" i="16"/>
  <c r="M79" i="16" s="1"/>
  <c r="S78" i="16"/>
  <c r="S79" i="16"/>
  <c r="U78" i="16" a="1"/>
  <c r="U78" i="16" s="1"/>
  <c r="U79" i="16" a="1"/>
  <c r="U79" i="16" s="1"/>
  <c r="V78" i="16"/>
  <c r="V79" i="16"/>
  <c r="O453" i="6"/>
  <c r="E454" i="6"/>
  <c r="F454" i="6" a="1"/>
  <c r="F454" i="6" s="1"/>
  <c r="H454" i="6"/>
  <c r="I454" i="6" s="1"/>
  <c r="J454" i="6"/>
  <c r="O454" i="6"/>
  <c r="T454" i="6"/>
  <c r="W454" i="6"/>
  <c r="E453" i="6"/>
  <c r="F453" i="6" a="1"/>
  <c r="F453" i="6" s="1"/>
  <c r="H453" i="6"/>
  <c r="I453" i="6" s="1"/>
  <c r="J453" i="6"/>
  <c r="T453" i="6"/>
  <c r="W453" i="6"/>
  <c r="E452" i="6"/>
  <c r="F452" i="6" a="1"/>
  <c r="F452" i="6" s="1"/>
  <c r="H452" i="6"/>
  <c r="I452" i="6" s="1"/>
  <c r="J452" i="6"/>
  <c r="T452" i="6"/>
  <c r="W452" i="6"/>
  <c r="O451" i="6"/>
  <c r="E451" i="6"/>
  <c r="F451" i="6" a="1"/>
  <c r="F451" i="6" s="1"/>
  <c r="H451" i="6"/>
  <c r="I451" i="6" s="1"/>
  <c r="J451" i="6"/>
  <c r="T451" i="6"/>
  <c r="V451" i="6" a="1"/>
  <c r="V451" i="6" s="1"/>
  <c r="W451" i="6"/>
  <c r="O450" i="6"/>
  <c r="E450" i="6"/>
  <c r="F450" i="6" a="1"/>
  <c r="F450" i="6" s="1"/>
  <c r="H450" i="6"/>
  <c r="I450" i="6" s="1"/>
  <c r="J450" i="6"/>
  <c r="T450" i="6"/>
  <c r="W450" i="6"/>
  <c r="E3" i="6"/>
  <c r="F3" i="6" a="1"/>
  <c r="F3" i="6" s="1"/>
  <c r="H3" i="6"/>
  <c r="I3" i="6" s="1"/>
  <c r="J3" i="6"/>
  <c r="O3" i="6"/>
  <c r="T3" i="6"/>
  <c r="U3" i="6"/>
  <c r="V3" i="6" a="1"/>
  <c r="V3" i="6" s="1"/>
  <c r="W3" i="6"/>
  <c r="E4" i="6"/>
  <c r="F4" i="6" a="1"/>
  <c r="F4" i="6" s="1"/>
  <c r="H4" i="6"/>
  <c r="I4" i="6" s="1"/>
  <c r="J4" i="6"/>
  <c r="O4" i="6"/>
  <c r="N4" i="6" s="1"/>
  <c r="T4" i="6"/>
  <c r="U4" i="6"/>
  <c r="V4" i="6" a="1"/>
  <c r="V4" i="6" s="1"/>
  <c r="W4" i="6"/>
  <c r="E5" i="6"/>
  <c r="F5" i="6" a="1"/>
  <c r="F5" i="6" s="1"/>
  <c r="H5" i="6"/>
  <c r="I5" i="6" s="1"/>
  <c r="J5" i="6"/>
  <c r="O5" i="6"/>
  <c r="T5" i="6"/>
  <c r="U5" i="6"/>
  <c r="V5" i="6" a="1"/>
  <c r="V5" i="6" s="1"/>
  <c r="W5" i="6"/>
  <c r="E6" i="6"/>
  <c r="F6" i="6" a="1"/>
  <c r="F6" i="6" s="1"/>
  <c r="H6" i="6"/>
  <c r="I6" i="6" s="1"/>
  <c r="J6" i="6"/>
  <c r="O6" i="6"/>
  <c r="T6" i="6"/>
  <c r="U6" i="6"/>
  <c r="V6" i="6" a="1"/>
  <c r="V6" i="6" s="1"/>
  <c r="W6" i="6"/>
  <c r="E7" i="6"/>
  <c r="F7" i="6" a="1"/>
  <c r="F7" i="6" s="1"/>
  <c r="H7" i="6"/>
  <c r="I7" i="6" s="1"/>
  <c r="J7" i="6"/>
  <c r="O7" i="6"/>
  <c r="P7" i="6" s="1"/>
  <c r="T7" i="6"/>
  <c r="U7" i="6"/>
  <c r="V7" i="6" a="1"/>
  <c r="V7" i="6" s="1"/>
  <c r="W7" i="6"/>
  <c r="X7" i="6" s="1"/>
  <c r="E8" i="6"/>
  <c r="F8" i="6" a="1"/>
  <c r="F8" i="6" s="1"/>
  <c r="H8" i="6"/>
  <c r="I8" i="6" s="1"/>
  <c r="J8" i="6"/>
  <c r="O8" i="6"/>
  <c r="T8" i="6"/>
  <c r="U8" i="6"/>
  <c r="V8" i="6" a="1"/>
  <c r="V8" i="6" s="1"/>
  <c r="W8" i="6"/>
  <c r="E9" i="6"/>
  <c r="F9" i="6" a="1"/>
  <c r="F9" i="6" s="1"/>
  <c r="H9" i="6"/>
  <c r="I9" i="6" s="1"/>
  <c r="J9" i="6"/>
  <c r="O9" i="6"/>
  <c r="T9" i="6"/>
  <c r="U9" i="6"/>
  <c r="V9" i="6" a="1"/>
  <c r="V9" i="6" s="1"/>
  <c r="W9" i="6"/>
  <c r="E10" i="6"/>
  <c r="F10" i="6" a="1"/>
  <c r="F10" i="6" s="1"/>
  <c r="H10" i="6"/>
  <c r="I10" i="6" s="1"/>
  <c r="J10" i="6"/>
  <c r="O10" i="6"/>
  <c r="N10" i="6" s="1"/>
  <c r="T10" i="6"/>
  <c r="U10" i="6"/>
  <c r="V10" i="6" a="1"/>
  <c r="V10" i="6" s="1"/>
  <c r="W10" i="6"/>
  <c r="X10" i="6" s="1"/>
  <c r="E11" i="6"/>
  <c r="F11" i="6" a="1"/>
  <c r="F11" i="6" s="1"/>
  <c r="H11" i="6"/>
  <c r="I11" i="6" s="1"/>
  <c r="J11" i="6"/>
  <c r="O11" i="6"/>
  <c r="T11" i="6"/>
  <c r="U11" i="6"/>
  <c r="V11" i="6" a="1"/>
  <c r="V11" i="6" s="1"/>
  <c r="W11" i="6"/>
  <c r="E12" i="6"/>
  <c r="F12" i="6" a="1"/>
  <c r="F12" i="6" s="1"/>
  <c r="H12" i="6"/>
  <c r="I12" i="6" s="1"/>
  <c r="J12" i="6"/>
  <c r="O12" i="6"/>
  <c r="P12" i="6" s="1"/>
  <c r="T12" i="6"/>
  <c r="U12" i="6"/>
  <c r="V12" i="6" a="1"/>
  <c r="V12" i="6" s="1"/>
  <c r="W12" i="6"/>
  <c r="X12" i="6" s="1"/>
  <c r="E13" i="6"/>
  <c r="F13" i="6" a="1"/>
  <c r="F13" i="6" s="1"/>
  <c r="H13" i="6"/>
  <c r="I13" i="6" s="1"/>
  <c r="J13" i="6"/>
  <c r="O13" i="6"/>
  <c r="T13" i="6"/>
  <c r="U13" i="6"/>
  <c r="V13" i="6" a="1"/>
  <c r="V13" i="6" s="1"/>
  <c r="W13" i="6"/>
  <c r="E14" i="6"/>
  <c r="F14" i="6" a="1"/>
  <c r="F14" i="6" s="1"/>
  <c r="H14" i="6"/>
  <c r="I14" i="6" s="1"/>
  <c r="J14" i="6"/>
  <c r="O14" i="6"/>
  <c r="T14" i="6"/>
  <c r="U14" i="6"/>
  <c r="V14" i="6" a="1"/>
  <c r="V14" i="6" s="1"/>
  <c r="W14" i="6"/>
  <c r="X14" i="6" s="1"/>
  <c r="E15" i="6"/>
  <c r="F15" i="6" a="1"/>
  <c r="F15" i="6" s="1"/>
  <c r="H15" i="6"/>
  <c r="I15" i="6" s="1"/>
  <c r="J15" i="6"/>
  <c r="O15" i="6"/>
  <c r="N15" i="6" s="1"/>
  <c r="T15" i="6"/>
  <c r="U15" i="6"/>
  <c r="V15" i="6" a="1"/>
  <c r="V15" i="6" s="1"/>
  <c r="W15" i="6"/>
  <c r="X15" i="6" s="1"/>
  <c r="E16" i="6"/>
  <c r="F16" i="6" a="1"/>
  <c r="F16" i="6" s="1"/>
  <c r="H16" i="6"/>
  <c r="I16" i="6" s="1"/>
  <c r="J16" i="6"/>
  <c r="O16" i="6"/>
  <c r="P16" i="6" s="1"/>
  <c r="T16" i="6"/>
  <c r="U16" i="6"/>
  <c r="V16" i="6" a="1"/>
  <c r="V16" i="6" s="1"/>
  <c r="W16" i="6"/>
  <c r="X16" i="6" s="1"/>
  <c r="E17" i="6"/>
  <c r="F17" i="6" a="1"/>
  <c r="F17" i="6" s="1"/>
  <c r="H17" i="6"/>
  <c r="I17" i="6" s="1"/>
  <c r="J17" i="6"/>
  <c r="O17" i="6"/>
  <c r="T17" i="6"/>
  <c r="U17" i="6"/>
  <c r="V17" i="6" a="1"/>
  <c r="V17" i="6" s="1"/>
  <c r="W17" i="6"/>
  <c r="X17" i="6" s="1"/>
  <c r="E18" i="6"/>
  <c r="F18" i="6" a="1"/>
  <c r="F18" i="6" s="1"/>
  <c r="H18" i="6"/>
  <c r="I18" i="6" s="1"/>
  <c r="J18" i="6"/>
  <c r="O18" i="6"/>
  <c r="T18" i="6"/>
  <c r="U18" i="6"/>
  <c r="V18" i="6" a="1"/>
  <c r="V18" i="6" s="1"/>
  <c r="W18" i="6"/>
  <c r="E19" i="6"/>
  <c r="F19" i="6" a="1"/>
  <c r="F19" i="6" s="1"/>
  <c r="H19" i="6"/>
  <c r="I19" i="6" s="1"/>
  <c r="J19" i="6"/>
  <c r="O19" i="6"/>
  <c r="N19" i="6" s="1"/>
  <c r="T19" i="6"/>
  <c r="U19" i="6"/>
  <c r="V19" i="6" a="1"/>
  <c r="V19" i="6" s="1"/>
  <c r="W19" i="6"/>
  <c r="E20" i="6"/>
  <c r="F20" i="6" a="1"/>
  <c r="F20" i="6" s="1"/>
  <c r="H20" i="6"/>
  <c r="I20" i="6" s="1"/>
  <c r="J20" i="6"/>
  <c r="O20" i="6"/>
  <c r="T20" i="6"/>
  <c r="U20" i="6"/>
  <c r="V20" i="6" a="1"/>
  <c r="V20" i="6" s="1"/>
  <c r="W20" i="6"/>
  <c r="E21" i="6"/>
  <c r="F21" i="6" a="1"/>
  <c r="F21" i="6" s="1"/>
  <c r="H21" i="6"/>
  <c r="I21" i="6" s="1"/>
  <c r="J21" i="6"/>
  <c r="O21" i="6"/>
  <c r="T21" i="6"/>
  <c r="U21" i="6"/>
  <c r="V21" i="6" a="1"/>
  <c r="V21" i="6" s="1"/>
  <c r="W21" i="6"/>
  <c r="E22" i="6"/>
  <c r="F22" i="6" a="1"/>
  <c r="F22" i="6" s="1"/>
  <c r="H22" i="6"/>
  <c r="I22" i="6" s="1"/>
  <c r="J22" i="6"/>
  <c r="O22" i="6"/>
  <c r="T22" i="6"/>
  <c r="U22" i="6"/>
  <c r="V22" i="6" a="1"/>
  <c r="V22" i="6" s="1"/>
  <c r="W22" i="6"/>
  <c r="X22" i="6" s="1"/>
  <c r="E23" i="6"/>
  <c r="F23" i="6" a="1"/>
  <c r="F23" i="6" s="1"/>
  <c r="H23" i="6"/>
  <c r="I23" i="6" s="1"/>
  <c r="J23" i="6"/>
  <c r="O23" i="6"/>
  <c r="T23" i="6"/>
  <c r="U23" i="6"/>
  <c r="V23" i="6" a="1"/>
  <c r="V23" i="6" s="1"/>
  <c r="W23" i="6"/>
  <c r="E24" i="6"/>
  <c r="F24" i="6" a="1"/>
  <c r="F24" i="6" s="1"/>
  <c r="H24" i="6"/>
  <c r="I24" i="6" s="1"/>
  <c r="J24" i="6"/>
  <c r="O24" i="6"/>
  <c r="P24" i="6" s="1"/>
  <c r="T24" i="6"/>
  <c r="U24" i="6"/>
  <c r="V24" i="6" a="1"/>
  <c r="V24" i="6" s="1"/>
  <c r="W24" i="6"/>
  <c r="X24" i="6" s="1"/>
  <c r="E25" i="6"/>
  <c r="F25" i="6" a="1"/>
  <c r="F25" i="6" s="1"/>
  <c r="H25" i="6"/>
  <c r="I25" i="6" s="1"/>
  <c r="J25" i="6"/>
  <c r="O25" i="6"/>
  <c r="P25" i="6" s="1"/>
  <c r="T25" i="6"/>
  <c r="U25" i="6"/>
  <c r="V25" i="6" a="1"/>
  <c r="V25" i="6" s="1"/>
  <c r="W25" i="6"/>
  <c r="X25" i="6" s="1"/>
  <c r="E26" i="6"/>
  <c r="F26" i="6" a="1"/>
  <c r="F26" i="6" s="1"/>
  <c r="H26" i="6"/>
  <c r="I26" i="6" s="1"/>
  <c r="J26" i="6"/>
  <c r="O26" i="6"/>
  <c r="T26" i="6"/>
  <c r="U26" i="6"/>
  <c r="V26" i="6" a="1"/>
  <c r="V26" i="6" s="1"/>
  <c r="W26" i="6"/>
  <c r="X26" i="6" s="1"/>
  <c r="E27" i="6"/>
  <c r="F27" i="6" a="1"/>
  <c r="F27" i="6" s="1"/>
  <c r="H27" i="6"/>
  <c r="I27" i="6" s="1"/>
  <c r="J27" i="6"/>
  <c r="O27" i="6"/>
  <c r="N27" i="6" s="1"/>
  <c r="T27" i="6"/>
  <c r="U27" i="6"/>
  <c r="V27" i="6" a="1"/>
  <c r="V27" i="6" s="1"/>
  <c r="W27" i="6"/>
  <c r="X27" i="6" s="1"/>
  <c r="E28" i="6"/>
  <c r="F28" i="6" a="1"/>
  <c r="F28" i="6" s="1"/>
  <c r="H28" i="6"/>
  <c r="I28" i="6" s="1"/>
  <c r="J28" i="6"/>
  <c r="O28" i="6"/>
  <c r="P28" i="6" s="1"/>
  <c r="T28" i="6"/>
  <c r="U28" i="6"/>
  <c r="V28" i="6" a="1"/>
  <c r="V28" i="6" s="1"/>
  <c r="W28" i="6"/>
  <c r="X28" i="6" s="1"/>
  <c r="E29" i="6"/>
  <c r="F29" i="6" a="1"/>
  <c r="F29" i="6" s="1"/>
  <c r="H29" i="6"/>
  <c r="I29" i="6" s="1"/>
  <c r="J29" i="6"/>
  <c r="O29" i="6"/>
  <c r="P29" i="6" s="1"/>
  <c r="T29" i="6"/>
  <c r="U29" i="6"/>
  <c r="V29" i="6" a="1"/>
  <c r="V29" i="6" s="1"/>
  <c r="W29" i="6"/>
  <c r="X29" i="6" s="1"/>
  <c r="E30" i="6"/>
  <c r="F30" i="6" a="1"/>
  <c r="F30" i="6" s="1"/>
  <c r="H30" i="6"/>
  <c r="I30" i="6" s="1"/>
  <c r="J30" i="6"/>
  <c r="O30" i="6"/>
  <c r="T30" i="6"/>
  <c r="U30" i="6"/>
  <c r="V30" i="6" a="1"/>
  <c r="V30" i="6" s="1"/>
  <c r="W30" i="6"/>
  <c r="E31" i="6"/>
  <c r="F31" i="6" a="1"/>
  <c r="F31" i="6" s="1"/>
  <c r="H31" i="6"/>
  <c r="I31" i="6" s="1"/>
  <c r="J31" i="6"/>
  <c r="O31" i="6"/>
  <c r="T31" i="6"/>
  <c r="U31" i="6"/>
  <c r="V31" i="6" a="1"/>
  <c r="V31" i="6" s="1"/>
  <c r="W31" i="6"/>
  <c r="X31" i="6" s="1"/>
  <c r="E32" i="6"/>
  <c r="F32" i="6" a="1"/>
  <c r="F32" i="6" s="1"/>
  <c r="H32" i="6"/>
  <c r="I32" i="6" s="1"/>
  <c r="J32" i="6"/>
  <c r="O32" i="6"/>
  <c r="P32" i="6" s="1"/>
  <c r="T32" i="6"/>
  <c r="U32" i="6"/>
  <c r="V32" i="6" a="1"/>
  <c r="V32" i="6" s="1"/>
  <c r="W32" i="6"/>
  <c r="X32" i="6" s="1"/>
  <c r="E33" i="6"/>
  <c r="F33" i="6" a="1"/>
  <c r="F33" i="6" s="1"/>
  <c r="H33" i="6"/>
  <c r="I33" i="6" s="1"/>
  <c r="J33" i="6"/>
  <c r="O33" i="6"/>
  <c r="T33" i="6"/>
  <c r="U33" i="6"/>
  <c r="V33" i="6" a="1"/>
  <c r="V33" i="6" s="1"/>
  <c r="W33" i="6"/>
  <c r="E34" i="6"/>
  <c r="F34" i="6" a="1"/>
  <c r="F34" i="6" s="1"/>
  <c r="H34" i="6"/>
  <c r="I34" i="6" s="1"/>
  <c r="J34" i="6"/>
  <c r="O34" i="6"/>
  <c r="T34" i="6"/>
  <c r="U34" i="6"/>
  <c r="V34" i="6" a="1"/>
  <c r="V34" i="6" s="1"/>
  <c r="W34" i="6"/>
  <c r="E35" i="6"/>
  <c r="F35" i="6" a="1"/>
  <c r="F35" i="6" s="1"/>
  <c r="H35" i="6"/>
  <c r="I35" i="6" s="1"/>
  <c r="J35" i="6"/>
  <c r="O35" i="6"/>
  <c r="T35" i="6"/>
  <c r="U35" i="6"/>
  <c r="V35" i="6" a="1"/>
  <c r="V35" i="6" s="1"/>
  <c r="W35" i="6"/>
  <c r="E36" i="6"/>
  <c r="F36" i="6" a="1"/>
  <c r="F36" i="6" s="1"/>
  <c r="H36" i="6"/>
  <c r="I36" i="6" s="1"/>
  <c r="J36" i="6"/>
  <c r="O36" i="6"/>
  <c r="T36" i="6"/>
  <c r="U36" i="6"/>
  <c r="V36" i="6" a="1"/>
  <c r="V36" i="6" s="1"/>
  <c r="W36" i="6"/>
  <c r="E37" i="6"/>
  <c r="F37" i="6" a="1"/>
  <c r="F37" i="6" s="1"/>
  <c r="H37" i="6"/>
  <c r="I37" i="6" s="1"/>
  <c r="J37" i="6"/>
  <c r="O37" i="6"/>
  <c r="P37" i="6" s="1"/>
  <c r="T37" i="6"/>
  <c r="U37" i="6"/>
  <c r="V37" i="6" a="1"/>
  <c r="V37" i="6" s="1"/>
  <c r="W37" i="6"/>
  <c r="X37" i="6" s="1"/>
  <c r="E38" i="6"/>
  <c r="F38" i="6" a="1"/>
  <c r="F38" i="6" s="1"/>
  <c r="H38" i="6"/>
  <c r="I38" i="6" s="1"/>
  <c r="J38" i="6"/>
  <c r="O38" i="6"/>
  <c r="N38" i="6" s="1"/>
  <c r="T38" i="6"/>
  <c r="U38" i="6"/>
  <c r="V38" i="6" a="1"/>
  <c r="V38" i="6" s="1"/>
  <c r="W38" i="6"/>
  <c r="E39" i="6"/>
  <c r="F39" i="6" a="1"/>
  <c r="F39" i="6" s="1"/>
  <c r="H39" i="6"/>
  <c r="I39" i="6" s="1"/>
  <c r="J39" i="6"/>
  <c r="O39" i="6"/>
  <c r="T39" i="6"/>
  <c r="U39" i="6"/>
  <c r="V39" i="6" a="1"/>
  <c r="V39" i="6" s="1"/>
  <c r="W39" i="6"/>
  <c r="E40" i="6"/>
  <c r="F40" i="6" a="1"/>
  <c r="F40" i="6" s="1"/>
  <c r="H40" i="6"/>
  <c r="I40" i="6" s="1"/>
  <c r="J40" i="6"/>
  <c r="O40" i="6"/>
  <c r="P40" i="6" s="1"/>
  <c r="T40" i="6"/>
  <c r="U40" i="6"/>
  <c r="V40" i="6" a="1"/>
  <c r="V40" i="6" s="1"/>
  <c r="W40" i="6"/>
  <c r="X40" i="6" s="1"/>
  <c r="E41" i="6"/>
  <c r="F41" i="6" a="1"/>
  <c r="F41" i="6" s="1"/>
  <c r="H41" i="6"/>
  <c r="I41" i="6" s="1"/>
  <c r="J41" i="6"/>
  <c r="O41" i="6"/>
  <c r="N41" i="6" s="1"/>
  <c r="T41" i="6"/>
  <c r="U41" i="6"/>
  <c r="V41" i="6" a="1"/>
  <c r="V41" i="6" s="1"/>
  <c r="W41" i="6"/>
  <c r="E42" i="6"/>
  <c r="F42" i="6" a="1"/>
  <c r="F42" i="6" s="1"/>
  <c r="H42" i="6"/>
  <c r="I42" i="6" s="1"/>
  <c r="J42" i="6"/>
  <c r="O42" i="6"/>
  <c r="N42" i="6" s="1"/>
  <c r="T42" i="6"/>
  <c r="U42" i="6"/>
  <c r="V42" i="6" a="1"/>
  <c r="V42" i="6" s="1"/>
  <c r="W42" i="6"/>
  <c r="X42" i="6" s="1"/>
  <c r="E43" i="6"/>
  <c r="F43" i="6" a="1"/>
  <c r="F43" i="6" s="1"/>
  <c r="H43" i="6"/>
  <c r="I43" i="6" s="1"/>
  <c r="J43" i="6"/>
  <c r="O43" i="6"/>
  <c r="T43" i="6"/>
  <c r="U43" i="6"/>
  <c r="V43" i="6" a="1"/>
  <c r="V43" i="6" s="1"/>
  <c r="W43" i="6"/>
  <c r="E44" i="6"/>
  <c r="F44" i="6" a="1"/>
  <c r="F44" i="6" s="1"/>
  <c r="H44" i="6"/>
  <c r="I44" i="6" s="1"/>
  <c r="J44" i="6"/>
  <c r="O44" i="6"/>
  <c r="N44" i="6" s="1"/>
  <c r="T44" i="6"/>
  <c r="U44" i="6"/>
  <c r="V44" i="6" a="1"/>
  <c r="V44" i="6" s="1"/>
  <c r="W44" i="6"/>
  <c r="E45" i="6"/>
  <c r="F45" i="6" a="1"/>
  <c r="F45" i="6" s="1"/>
  <c r="H45" i="6"/>
  <c r="I45" i="6" s="1"/>
  <c r="J45" i="6"/>
  <c r="O45" i="6"/>
  <c r="T45" i="6"/>
  <c r="U45" i="6"/>
  <c r="V45" i="6" a="1"/>
  <c r="V45" i="6" s="1"/>
  <c r="W45" i="6"/>
  <c r="E46" i="6"/>
  <c r="F46" i="6" a="1"/>
  <c r="F46" i="6" s="1"/>
  <c r="H46" i="6"/>
  <c r="I46" i="6" s="1"/>
  <c r="J46" i="6"/>
  <c r="O46" i="6"/>
  <c r="N46" i="6" s="1"/>
  <c r="T46" i="6"/>
  <c r="U46" i="6"/>
  <c r="V46" i="6" a="1"/>
  <c r="V46" i="6" s="1"/>
  <c r="W46" i="6"/>
  <c r="E47" i="6"/>
  <c r="F47" i="6" a="1"/>
  <c r="F47" i="6" s="1"/>
  <c r="H47" i="6"/>
  <c r="I47" i="6" s="1"/>
  <c r="J47" i="6"/>
  <c r="O47" i="6"/>
  <c r="N47" i="6" s="1"/>
  <c r="T47" i="6"/>
  <c r="U47" i="6"/>
  <c r="V47" i="6" a="1"/>
  <c r="V47" i="6" s="1"/>
  <c r="W47" i="6"/>
  <c r="E48" i="6"/>
  <c r="F48" i="6" a="1"/>
  <c r="F48" i="6" s="1"/>
  <c r="H48" i="6"/>
  <c r="I48" i="6" s="1"/>
  <c r="J48" i="6"/>
  <c r="O48" i="6"/>
  <c r="T48" i="6"/>
  <c r="U48" i="6"/>
  <c r="V48" i="6" a="1"/>
  <c r="V48" i="6" s="1"/>
  <c r="W48" i="6"/>
  <c r="E49" i="6"/>
  <c r="F49" i="6" a="1"/>
  <c r="F49" i="6" s="1"/>
  <c r="H49" i="6"/>
  <c r="I49" i="6" s="1"/>
  <c r="J49" i="6"/>
  <c r="O49" i="6"/>
  <c r="T49" i="6"/>
  <c r="U49" i="6"/>
  <c r="V49" i="6" a="1"/>
  <c r="V49" i="6" s="1"/>
  <c r="W49" i="6"/>
  <c r="E50" i="6"/>
  <c r="F50" i="6" a="1"/>
  <c r="F50" i="6" s="1"/>
  <c r="H50" i="6"/>
  <c r="I50" i="6" s="1"/>
  <c r="J50" i="6"/>
  <c r="O50" i="6"/>
  <c r="N50" i="6" s="1"/>
  <c r="T50" i="6"/>
  <c r="U50" i="6"/>
  <c r="V50" i="6" a="1"/>
  <c r="V50" i="6" s="1"/>
  <c r="W50" i="6"/>
  <c r="E51" i="6"/>
  <c r="F51" i="6" a="1"/>
  <c r="F51" i="6" s="1"/>
  <c r="H51" i="6"/>
  <c r="I51" i="6" s="1"/>
  <c r="J51" i="6"/>
  <c r="O51" i="6"/>
  <c r="N51" i="6" s="1"/>
  <c r="T51" i="6"/>
  <c r="U51" i="6"/>
  <c r="V51" i="6" a="1"/>
  <c r="V51" i="6" s="1"/>
  <c r="W51" i="6"/>
  <c r="X51" i="6" s="1"/>
  <c r="E52" i="6"/>
  <c r="F52" i="6" a="1"/>
  <c r="F52" i="6" s="1"/>
  <c r="H52" i="6"/>
  <c r="I52" i="6" s="1"/>
  <c r="J52" i="6"/>
  <c r="O52" i="6"/>
  <c r="T52" i="6"/>
  <c r="U52" i="6"/>
  <c r="V52" i="6" a="1"/>
  <c r="V52" i="6" s="1"/>
  <c r="W52" i="6"/>
  <c r="X52" i="6" s="1"/>
  <c r="E53" i="6"/>
  <c r="F53" i="6" a="1"/>
  <c r="F53" i="6" s="1"/>
  <c r="H53" i="6"/>
  <c r="I53" i="6" s="1"/>
  <c r="J53" i="6"/>
  <c r="O53" i="6"/>
  <c r="N53" i="6" s="1"/>
  <c r="T53" i="6"/>
  <c r="U53" i="6"/>
  <c r="V53" i="6" a="1"/>
  <c r="V53" i="6" s="1"/>
  <c r="W53" i="6"/>
  <c r="X53" i="6" s="1"/>
  <c r="E54" i="6"/>
  <c r="F54" i="6" a="1"/>
  <c r="F54" i="6" s="1"/>
  <c r="H54" i="6"/>
  <c r="I54" i="6" s="1"/>
  <c r="J54" i="6"/>
  <c r="O54" i="6"/>
  <c r="N54" i="6" s="1"/>
  <c r="T54" i="6"/>
  <c r="U54" i="6"/>
  <c r="V54" i="6" a="1"/>
  <c r="V54" i="6" s="1"/>
  <c r="W54" i="6"/>
  <c r="X54" i="6" s="1"/>
  <c r="E55" i="6"/>
  <c r="F55" i="6" a="1"/>
  <c r="F55" i="6" s="1"/>
  <c r="H55" i="6"/>
  <c r="I55" i="6" s="1"/>
  <c r="J55" i="6"/>
  <c r="O55" i="6"/>
  <c r="N55" i="6" s="1"/>
  <c r="T55" i="6"/>
  <c r="U55" i="6"/>
  <c r="V55" i="6" a="1"/>
  <c r="V55" i="6" s="1"/>
  <c r="W55" i="6"/>
  <c r="X55" i="6" s="1"/>
  <c r="E56" i="6"/>
  <c r="F56" i="6" a="1"/>
  <c r="F56" i="6" s="1"/>
  <c r="H56" i="6"/>
  <c r="I56" i="6" s="1"/>
  <c r="J56" i="6"/>
  <c r="O56" i="6"/>
  <c r="N56" i="6" s="1"/>
  <c r="T56" i="6"/>
  <c r="U56" i="6"/>
  <c r="V56" i="6" a="1"/>
  <c r="V56" i="6" s="1"/>
  <c r="W56" i="6"/>
  <c r="X56" i="6" s="1"/>
  <c r="E57" i="6"/>
  <c r="F57" i="6" a="1"/>
  <c r="F57" i="6" s="1"/>
  <c r="H57" i="6"/>
  <c r="I57" i="6" s="1"/>
  <c r="J57" i="6"/>
  <c r="O57" i="6"/>
  <c r="P57" i="6" s="1"/>
  <c r="T57" i="6"/>
  <c r="U57" i="6"/>
  <c r="V57" i="6" a="1"/>
  <c r="V57" i="6" s="1"/>
  <c r="W57" i="6"/>
  <c r="X57" i="6" s="1"/>
  <c r="E58" i="6"/>
  <c r="F58" i="6" a="1"/>
  <c r="F58" i="6" s="1"/>
  <c r="H58" i="6"/>
  <c r="I58" i="6" s="1"/>
  <c r="J58" i="6"/>
  <c r="O58" i="6"/>
  <c r="P58" i="6" s="1"/>
  <c r="T58" i="6"/>
  <c r="U58" i="6"/>
  <c r="V58" i="6" a="1"/>
  <c r="V58" i="6" s="1"/>
  <c r="W58" i="6"/>
  <c r="X58" i="6" s="1"/>
  <c r="E59" i="6"/>
  <c r="F59" i="6" a="1"/>
  <c r="F59" i="6" s="1"/>
  <c r="H59" i="6"/>
  <c r="I59" i="6" s="1"/>
  <c r="J59" i="6"/>
  <c r="O59" i="6"/>
  <c r="T59" i="6"/>
  <c r="U59" i="6"/>
  <c r="V59" i="6" a="1"/>
  <c r="V59" i="6" s="1"/>
  <c r="W59" i="6"/>
  <c r="E60" i="6"/>
  <c r="F60" i="6" a="1"/>
  <c r="F60" i="6" s="1"/>
  <c r="H60" i="6"/>
  <c r="I60" i="6" s="1"/>
  <c r="J60" i="6"/>
  <c r="O60" i="6"/>
  <c r="N60" i="6" s="1"/>
  <c r="T60" i="6"/>
  <c r="U60" i="6"/>
  <c r="V60" i="6" a="1"/>
  <c r="V60" i="6" s="1"/>
  <c r="W60" i="6"/>
  <c r="X60" i="6" s="1"/>
  <c r="E61" i="6"/>
  <c r="F61" i="6" a="1"/>
  <c r="F61" i="6" s="1"/>
  <c r="H61" i="6"/>
  <c r="I61" i="6" s="1"/>
  <c r="J61" i="6"/>
  <c r="O61" i="6"/>
  <c r="P61" i="6" s="1"/>
  <c r="T61" i="6"/>
  <c r="U61" i="6"/>
  <c r="V61" i="6" a="1"/>
  <c r="V61" i="6" s="1"/>
  <c r="W61" i="6"/>
  <c r="X61" i="6" s="1"/>
  <c r="E62" i="6"/>
  <c r="F62" i="6" a="1"/>
  <c r="F62" i="6" s="1"/>
  <c r="H62" i="6"/>
  <c r="I62" i="6" s="1"/>
  <c r="J62" i="6"/>
  <c r="O62" i="6"/>
  <c r="T62" i="6"/>
  <c r="U62" i="6"/>
  <c r="V62" i="6" a="1"/>
  <c r="V62" i="6" s="1"/>
  <c r="W62" i="6"/>
  <c r="E63" i="6"/>
  <c r="F63" i="6" a="1"/>
  <c r="F63" i="6" s="1"/>
  <c r="H63" i="6"/>
  <c r="I63" i="6" s="1"/>
  <c r="J63" i="6"/>
  <c r="O63" i="6"/>
  <c r="N63" i="6" s="1"/>
  <c r="T63" i="6"/>
  <c r="U63" i="6"/>
  <c r="V63" i="6" a="1"/>
  <c r="V63" i="6" s="1"/>
  <c r="W63" i="6"/>
  <c r="E64" i="6"/>
  <c r="F64" i="6" a="1"/>
  <c r="F64" i="6" s="1"/>
  <c r="H64" i="6"/>
  <c r="I64" i="6" s="1"/>
  <c r="J64" i="6"/>
  <c r="O64" i="6"/>
  <c r="N64" i="6" s="1"/>
  <c r="T64" i="6"/>
  <c r="U64" i="6"/>
  <c r="V64" i="6" a="1"/>
  <c r="V64" i="6" s="1"/>
  <c r="W64" i="6"/>
  <c r="X64" i="6" s="1"/>
  <c r="E65" i="6"/>
  <c r="F65" i="6" a="1"/>
  <c r="F65" i="6" s="1"/>
  <c r="H65" i="6"/>
  <c r="I65" i="6" s="1"/>
  <c r="J65" i="6"/>
  <c r="O65" i="6"/>
  <c r="P65" i="6" s="1"/>
  <c r="T65" i="6"/>
  <c r="U65" i="6"/>
  <c r="V65" i="6" a="1"/>
  <c r="V65" i="6" s="1"/>
  <c r="W65" i="6"/>
  <c r="E66" i="6"/>
  <c r="F66" i="6" a="1"/>
  <c r="F66" i="6" s="1"/>
  <c r="H66" i="6"/>
  <c r="I66" i="6" s="1"/>
  <c r="J66" i="6"/>
  <c r="O66" i="6"/>
  <c r="T66" i="6"/>
  <c r="U66" i="6"/>
  <c r="V66" i="6" a="1"/>
  <c r="V66" i="6" s="1"/>
  <c r="W66" i="6"/>
  <c r="E67" i="6"/>
  <c r="F67" i="6" a="1"/>
  <c r="F67" i="6" s="1"/>
  <c r="H67" i="6"/>
  <c r="I67" i="6" s="1"/>
  <c r="J67" i="6"/>
  <c r="O67" i="6"/>
  <c r="T67" i="6"/>
  <c r="U67" i="6"/>
  <c r="V67" i="6" a="1"/>
  <c r="V67" i="6" s="1"/>
  <c r="W67" i="6"/>
  <c r="E68" i="6"/>
  <c r="F68" i="6" a="1"/>
  <c r="F68" i="6" s="1"/>
  <c r="H68" i="6"/>
  <c r="I68" i="6" s="1"/>
  <c r="J68" i="6"/>
  <c r="O68" i="6"/>
  <c r="N68" i="6" s="1"/>
  <c r="T68" i="6"/>
  <c r="U68" i="6"/>
  <c r="V68" i="6" a="1"/>
  <c r="V68" i="6" s="1"/>
  <c r="W68" i="6"/>
  <c r="X68" i="6" s="1"/>
  <c r="E69" i="6"/>
  <c r="F69" i="6" a="1"/>
  <c r="F69" i="6" s="1"/>
  <c r="H69" i="6"/>
  <c r="I69" i="6" s="1"/>
  <c r="J69" i="6"/>
  <c r="O69" i="6"/>
  <c r="T69" i="6"/>
  <c r="U69" i="6"/>
  <c r="V69" i="6" a="1"/>
  <c r="V69" i="6" s="1"/>
  <c r="W69" i="6"/>
  <c r="E70" i="6"/>
  <c r="F70" i="6" a="1"/>
  <c r="F70" i="6" s="1"/>
  <c r="H70" i="6"/>
  <c r="I70" i="6" s="1"/>
  <c r="J70" i="6"/>
  <c r="O70" i="6"/>
  <c r="N70" i="6" s="1"/>
  <c r="T70" i="6"/>
  <c r="U70" i="6"/>
  <c r="V70" i="6" a="1"/>
  <c r="V70" i="6" s="1"/>
  <c r="W70" i="6"/>
  <c r="E71" i="6"/>
  <c r="F71" i="6" a="1"/>
  <c r="F71" i="6" s="1"/>
  <c r="H71" i="6"/>
  <c r="I71" i="6" s="1"/>
  <c r="J71" i="6"/>
  <c r="O71" i="6"/>
  <c r="P71" i="6" s="1"/>
  <c r="T71" i="6"/>
  <c r="U71" i="6"/>
  <c r="V71" i="6" a="1"/>
  <c r="V71" i="6" s="1"/>
  <c r="W71" i="6"/>
  <c r="X71" i="6" s="1"/>
  <c r="E72" i="6"/>
  <c r="F72" i="6" a="1"/>
  <c r="F72" i="6" s="1"/>
  <c r="H72" i="6"/>
  <c r="I72" i="6" s="1"/>
  <c r="J72" i="6"/>
  <c r="O72" i="6"/>
  <c r="N72" i="6" s="1"/>
  <c r="T72" i="6"/>
  <c r="U72" i="6"/>
  <c r="V72" i="6" a="1"/>
  <c r="V72" i="6" s="1"/>
  <c r="W72" i="6"/>
  <c r="E73" i="6"/>
  <c r="F73" i="6" a="1"/>
  <c r="F73" i="6" s="1"/>
  <c r="H73" i="6"/>
  <c r="I73" i="6" s="1"/>
  <c r="J73" i="6"/>
  <c r="O73" i="6"/>
  <c r="P73" i="6" s="1"/>
  <c r="T73" i="6"/>
  <c r="U73" i="6"/>
  <c r="V73" i="6" a="1"/>
  <c r="V73" i="6" s="1"/>
  <c r="W73" i="6"/>
  <c r="X73" i="6" s="1"/>
  <c r="E74" i="6"/>
  <c r="F74" i="6" a="1"/>
  <c r="F74" i="6" s="1"/>
  <c r="H74" i="6"/>
  <c r="I74" i="6" s="1"/>
  <c r="J74" i="6"/>
  <c r="O74" i="6"/>
  <c r="T74" i="6"/>
  <c r="U74" i="6"/>
  <c r="V74" i="6" a="1"/>
  <c r="V74" i="6" s="1"/>
  <c r="W74" i="6"/>
  <c r="E75" i="6"/>
  <c r="F75" i="6" a="1"/>
  <c r="F75" i="6" s="1"/>
  <c r="H75" i="6"/>
  <c r="I75" i="6" s="1"/>
  <c r="J75" i="6"/>
  <c r="O75" i="6"/>
  <c r="T75" i="6"/>
  <c r="U75" i="6"/>
  <c r="V75" i="6" a="1"/>
  <c r="V75" i="6" s="1"/>
  <c r="W75" i="6"/>
  <c r="E76" i="6"/>
  <c r="F76" i="6" a="1"/>
  <c r="F76" i="6" s="1"/>
  <c r="H76" i="6"/>
  <c r="I76" i="6" s="1"/>
  <c r="J76" i="6"/>
  <c r="O76" i="6"/>
  <c r="N76" i="6" s="1"/>
  <c r="T76" i="6"/>
  <c r="U76" i="6"/>
  <c r="V76" i="6" a="1"/>
  <c r="V76" i="6" s="1"/>
  <c r="W76" i="6"/>
  <c r="X76" i="6" s="1"/>
  <c r="E77" i="6"/>
  <c r="F77" i="6" a="1"/>
  <c r="F77" i="6" s="1"/>
  <c r="H77" i="6"/>
  <c r="I77" i="6" s="1"/>
  <c r="J77" i="6"/>
  <c r="O77" i="6"/>
  <c r="T77" i="6"/>
  <c r="U77" i="6"/>
  <c r="V77" i="6" a="1"/>
  <c r="V77" i="6" s="1"/>
  <c r="W77" i="6"/>
  <c r="E78" i="6"/>
  <c r="F78" i="6" a="1"/>
  <c r="F78" i="6" s="1"/>
  <c r="H78" i="6"/>
  <c r="I78" i="6" s="1"/>
  <c r="J78" i="6"/>
  <c r="O78" i="6"/>
  <c r="T78" i="6"/>
  <c r="U78" i="6"/>
  <c r="V78" i="6" a="1"/>
  <c r="V78" i="6" s="1"/>
  <c r="W78" i="6"/>
  <c r="E79" i="6"/>
  <c r="F79" i="6" a="1"/>
  <c r="F79" i="6" s="1"/>
  <c r="H79" i="6"/>
  <c r="I79" i="6" s="1"/>
  <c r="J79" i="6"/>
  <c r="O79" i="6"/>
  <c r="T79" i="6"/>
  <c r="U79" i="6"/>
  <c r="V79" i="6" a="1"/>
  <c r="V79" i="6" s="1"/>
  <c r="W79" i="6"/>
  <c r="E80" i="6"/>
  <c r="F80" i="6" a="1"/>
  <c r="F80" i="6" s="1"/>
  <c r="H80" i="6"/>
  <c r="I80" i="6" s="1"/>
  <c r="J80" i="6"/>
  <c r="O80" i="6"/>
  <c r="N80" i="6" s="1"/>
  <c r="T80" i="6"/>
  <c r="U80" i="6"/>
  <c r="V80" i="6" a="1"/>
  <c r="V80" i="6" s="1"/>
  <c r="W80" i="6"/>
  <c r="X80" i="6" s="1"/>
  <c r="E81" i="6"/>
  <c r="F81" i="6" a="1"/>
  <c r="F81" i="6" s="1"/>
  <c r="H81" i="6"/>
  <c r="I81" i="6" s="1"/>
  <c r="J81" i="6"/>
  <c r="O81" i="6"/>
  <c r="P81" i="6" s="1"/>
  <c r="T81" i="6"/>
  <c r="U81" i="6"/>
  <c r="V81" i="6" a="1"/>
  <c r="V81" i="6" s="1"/>
  <c r="W81" i="6"/>
  <c r="X81" i="6" s="1"/>
  <c r="E82" i="6"/>
  <c r="F82" i="6" a="1"/>
  <c r="F82" i="6" s="1"/>
  <c r="H82" i="6"/>
  <c r="I82" i="6" s="1"/>
  <c r="J82" i="6"/>
  <c r="O82" i="6"/>
  <c r="T82" i="6"/>
  <c r="U82" i="6"/>
  <c r="V82" i="6" a="1"/>
  <c r="V82" i="6" s="1"/>
  <c r="W82" i="6"/>
  <c r="E83" i="6"/>
  <c r="F83" i="6" a="1"/>
  <c r="F83" i="6" s="1"/>
  <c r="H83" i="6"/>
  <c r="I83" i="6" s="1"/>
  <c r="J83" i="6"/>
  <c r="O83" i="6"/>
  <c r="T83" i="6"/>
  <c r="U83" i="6"/>
  <c r="V83" i="6" a="1"/>
  <c r="V83" i="6" s="1"/>
  <c r="W83" i="6"/>
  <c r="X83" i="6" s="1"/>
  <c r="E84" i="6"/>
  <c r="F84" i="6" a="1"/>
  <c r="F84" i="6" s="1"/>
  <c r="H84" i="6"/>
  <c r="I84" i="6" s="1"/>
  <c r="J84" i="6"/>
  <c r="O84" i="6"/>
  <c r="T84" i="6"/>
  <c r="U84" i="6"/>
  <c r="V84" i="6" a="1"/>
  <c r="V84" i="6" s="1"/>
  <c r="W84" i="6"/>
  <c r="E85" i="6"/>
  <c r="F85" i="6" a="1"/>
  <c r="F85" i="6" s="1"/>
  <c r="H85" i="6"/>
  <c r="I85" i="6" s="1"/>
  <c r="J85" i="6"/>
  <c r="O85" i="6"/>
  <c r="P85" i="6" s="1"/>
  <c r="T85" i="6"/>
  <c r="U85" i="6"/>
  <c r="V85" i="6" a="1"/>
  <c r="V85" i="6" s="1"/>
  <c r="W85" i="6"/>
  <c r="X85" i="6" s="1"/>
  <c r="E86" i="6"/>
  <c r="F86" i="6" a="1"/>
  <c r="F86" i="6" s="1"/>
  <c r="H86" i="6"/>
  <c r="I86" i="6" s="1"/>
  <c r="J86" i="6"/>
  <c r="O86" i="6"/>
  <c r="P86" i="6" s="1"/>
  <c r="T86" i="6"/>
  <c r="U86" i="6"/>
  <c r="V86" i="6" a="1"/>
  <c r="V86" i="6" s="1"/>
  <c r="W86" i="6"/>
  <c r="X86" i="6" s="1"/>
  <c r="E87" i="6"/>
  <c r="F87" i="6" a="1"/>
  <c r="F87" i="6" s="1"/>
  <c r="H87" i="6"/>
  <c r="I87" i="6" s="1"/>
  <c r="J87" i="6"/>
  <c r="O87" i="6"/>
  <c r="N87" i="6" s="1"/>
  <c r="T87" i="6"/>
  <c r="U87" i="6"/>
  <c r="V87" i="6" a="1"/>
  <c r="V87" i="6" s="1"/>
  <c r="W87" i="6"/>
  <c r="E88" i="6"/>
  <c r="F88" i="6" a="1"/>
  <c r="F88" i="6" s="1"/>
  <c r="H88" i="6"/>
  <c r="I88" i="6" s="1"/>
  <c r="J88" i="6"/>
  <c r="O88" i="6"/>
  <c r="T88" i="6"/>
  <c r="U88" i="6"/>
  <c r="V88" i="6" a="1"/>
  <c r="V88" i="6" s="1"/>
  <c r="W88" i="6"/>
  <c r="E89" i="6"/>
  <c r="F89" i="6" a="1"/>
  <c r="F89" i="6" s="1"/>
  <c r="H89" i="6"/>
  <c r="I89" i="6" s="1"/>
  <c r="J89" i="6"/>
  <c r="O89" i="6"/>
  <c r="P89" i="6" s="1"/>
  <c r="T89" i="6"/>
  <c r="U89" i="6"/>
  <c r="V89" i="6" a="1"/>
  <c r="V89" i="6" s="1"/>
  <c r="W89" i="6"/>
  <c r="X89" i="6" s="1"/>
  <c r="E90" i="6"/>
  <c r="F90" i="6" a="1"/>
  <c r="F90" i="6" s="1"/>
  <c r="H90" i="6"/>
  <c r="I90" i="6" s="1"/>
  <c r="J90" i="6"/>
  <c r="O90" i="6"/>
  <c r="P90" i="6" s="1"/>
  <c r="T90" i="6"/>
  <c r="U90" i="6"/>
  <c r="V90" i="6" a="1"/>
  <c r="V90" i="6" s="1"/>
  <c r="W90" i="6"/>
  <c r="X90" i="6" s="1"/>
  <c r="E91" i="6"/>
  <c r="F91" i="6" a="1"/>
  <c r="F91" i="6" s="1"/>
  <c r="H91" i="6"/>
  <c r="I91" i="6" s="1"/>
  <c r="J91" i="6"/>
  <c r="O91" i="6"/>
  <c r="N91" i="6" s="1"/>
  <c r="T91" i="6"/>
  <c r="U91" i="6"/>
  <c r="V91" i="6" a="1"/>
  <c r="V91" i="6" s="1"/>
  <c r="W91" i="6"/>
  <c r="X91" i="6" s="1"/>
  <c r="E92" i="6"/>
  <c r="F92" i="6" a="1"/>
  <c r="F92" i="6" s="1"/>
  <c r="H92" i="6"/>
  <c r="I92" i="6" s="1"/>
  <c r="J92" i="6"/>
  <c r="O92" i="6"/>
  <c r="T92" i="6"/>
  <c r="U92" i="6"/>
  <c r="V92" i="6" a="1"/>
  <c r="V92" i="6" s="1"/>
  <c r="W92" i="6"/>
  <c r="X92" i="6" s="1"/>
  <c r="E93" i="6"/>
  <c r="F93" i="6" a="1"/>
  <c r="F93" i="6" s="1"/>
  <c r="H93" i="6"/>
  <c r="I93" i="6" s="1"/>
  <c r="J93" i="6"/>
  <c r="O93" i="6"/>
  <c r="P93" i="6" s="1"/>
  <c r="T93" i="6"/>
  <c r="U93" i="6"/>
  <c r="V93" i="6" a="1"/>
  <c r="V93" i="6" s="1"/>
  <c r="W93" i="6"/>
  <c r="X93" i="6" s="1"/>
  <c r="E94" i="6"/>
  <c r="F94" i="6" a="1"/>
  <c r="F94" i="6" s="1"/>
  <c r="H94" i="6"/>
  <c r="I94" i="6" s="1"/>
  <c r="J94" i="6"/>
  <c r="O94" i="6"/>
  <c r="P94" i="6" s="1"/>
  <c r="T94" i="6"/>
  <c r="U94" i="6"/>
  <c r="V94" i="6" a="1"/>
  <c r="V94" i="6" s="1"/>
  <c r="W94" i="6"/>
  <c r="X94" i="6" s="1"/>
  <c r="E95" i="6"/>
  <c r="F95" i="6" a="1"/>
  <c r="F95" i="6" s="1"/>
  <c r="H95" i="6"/>
  <c r="J95" i="6"/>
  <c r="O95" i="6"/>
  <c r="N95" i="6" s="1"/>
  <c r="T95" i="6"/>
  <c r="U95" i="6"/>
  <c r="V95" i="6" a="1"/>
  <c r="V95" i="6" s="1"/>
  <c r="W95" i="6"/>
  <c r="X95" i="6" s="1"/>
  <c r="E96" i="6"/>
  <c r="F96" i="6" a="1"/>
  <c r="F96" i="6" s="1"/>
  <c r="H96" i="6"/>
  <c r="I96" i="6" s="1"/>
  <c r="J96" i="6"/>
  <c r="O96" i="6"/>
  <c r="T96" i="6"/>
  <c r="U96" i="6"/>
  <c r="V96" i="6" a="1"/>
  <c r="V96" i="6" s="1"/>
  <c r="W96" i="6"/>
  <c r="E97" i="6"/>
  <c r="F97" i="6" a="1"/>
  <c r="F97" i="6" s="1"/>
  <c r="H97" i="6"/>
  <c r="I97" i="6" s="1"/>
  <c r="J97" i="6"/>
  <c r="O97" i="6"/>
  <c r="P97" i="6" s="1"/>
  <c r="T97" i="6"/>
  <c r="U97" i="6"/>
  <c r="V97" i="6" a="1"/>
  <c r="V97" i="6" s="1"/>
  <c r="W97" i="6"/>
  <c r="X97" i="6" s="1"/>
  <c r="E98" i="6"/>
  <c r="F98" i="6" a="1"/>
  <c r="F98" i="6" s="1"/>
  <c r="H98" i="6"/>
  <c r="I98" i="6" s="1"/>
  <c r="J98" i="6"/>
  <c r="O98" i="6"/>
  <c r="P98" i="6" s="1"/>
  <c r="T98" i="6"/>
  <c r="U98" i="6"/>
  <c r="V98" i="6" a="1"/>
  <c r="V98" i="6" s="1"/>
  <c r="W98" i="6"/>
  <c r="X98" i="6" s="1"/>
  <c r="E99" i="6"/>
  <c r="F99" i="6" a="1"/>
  <c r="F99" i="6" s="1"/>
  <c r="H99" i="6"/>
  <c r="I99" i="6" s="1"/>
  <c r="J99" i="6"/>
  <c r="O99" i="6"/>
  <c r="P99" i="6" s="1"/>
  <c r="T99" i="6"/>
  <c r="U99" i="6"/>
  <c r="V99" i="6" a="1"/>
  <c r="V99" i="6" s="1"/>
  <c r="W99" i="6"/>
  <c r="X99" i="6" s="1"/>
  <c r="E100" i="6"/>
  <c r="F100" i="6" a="1"/>
  <c r="F100" i="6" s="1"/>
  <c r="H100" i="6"/>
  <c r="I100" i="6" s="1"/>
  <c r="J100" i="6"/>
  <c r="O100" i="6"/>
  <c r="T100" i="6"/>
  <c r="U100" i="6"/>
  <c r="V100" i="6" a="1"/>
  <c r="V100" i="6" s="1"/>
  <c r="W100" i="6"/>
  <c r="E101" i="6"/>
  <c r="F101" i="6" a="1"/>
  <c r="F101" i="6" s="1"/>
  <c r="H101" i="6"/>
  <c r="I101" i="6" s="1"/>
  <c r="J101" i="6"/>
  <c r="O101" i="6"/>
  <c r="P101" i="6" s="1"/>
  <c r="T101" i="6"/>
  <c r="U101" i="6"/>
  <c r="V101" i="6" a="1"/>
  <c r="V101" i="6" s="1"/>
  <c r="W101" i="6"/>
  <c r="X101" i="6" s="1"/>
  <c r="E102" i="6"/>
  <c r="F102" i="6" a="1"/>
  <c r="F102" i="6" s="1"/>
  <c r="H102" i="6"/>
  <c r="I102" i="6" s="1"/>
  <c r="J102" i="6"/>
  <c r="O102" i="6"/>
  <c r="P102" i="6" s="1"/>
  <c r="T102" i="6"/>
  <c r="U102" i="6"/>
  <c r="V102" i="6" a="1"/>
  <c r="V102" i="6" s="1"/>
  <c r="W102" i="6"/>
  <c r="X102" i="6" s="1"/>
  <c r="E103" i="6"/>
  <c r="F103" i="6" a="1"/>
  <c r="F103" i="6" s="1"/>
  <c r="H103" i="6"/>
  <c r="I103" i="6" s="1"/>
  <c r="J103" i="6"/>
  <c r="O103" i="6"/>
  <c r="T103" i="6"/>
  <c r="U103" i="6"/>
  <c r="V103" i="6" a="1"/>
  <c r="V103" i="6" s="1"/>
  <c r="W103" i="6"/>
  <c r="E104" i="6"/>
  <c r="F104" i="6" a="1"/>
  <c r="F104" i="6" s="1"/>
  <c r="H104" i="6"/>
  <c r="I104" i="6" s="1"/>
  <c r="J104" i="6"/>
  <c r="O104" i="6"/>
  <c r="N104" i="6" s="1"/>
  <c r="T104" i="6"/>
  <c r="U104" i="6"/>
  <c r="V104" i="6" a="1"/>
  <c r="V104" i="6" s="1"/>
  <c r="W104" i="6"/>
  <c r="E105" i="6"/>
  <c r="F105" i="6" a="1"/>
  <c r="F105" i="6" s="1"/>
  <c r="H105" i="6"/>
  <c r="I105" i="6" s="1"/>
  <c r="J105" i="6"/>
  <c r="O105" i="6"/>
  <c r="T105" i="6"/>
  <c r="U105" i="6"/>
  <c r="V105" i="6" a="1"/>
  <c r="V105" i="6" s="1"/>
  <c r="W105" i="6"/>
  <c r="E106" i="6"/>
  <c r="F106" i="6" a="1"/>
  <c r="F106" i="6" s="1"/>
  <c r="H106" i="6"/>
  <c r="I106" i="6" s="1"/>
  <c r="J106" i="6"/>
  <c r="O106" i="6"/>
  <c r="P106" i="6" s="1"/>
  <c r="T106" i="6"/>
  <c r="U106" i="6"/>
  <c r="V106" i="6" a="1"/>
  <c r="V106" i="6" s="1"/>
  <c r="W106" i="6"/>
  <c r="X106" i="6" s="1"/>
  <c r="E107" i="6"/>
  <c r="F107" i="6" a="1"/>
  <c r="F107" i="6" s="1"/>
  <c r="H107" i="6"/>
  <c r="I107" i="6" s="1"/>
  <c r="J107" i="6"/>
  <c r="O107" i="6"/>
  <c r="P107" i="6" s="1"/>
  <c r="T107" i="6"/>
  <c r="U107" i="6"/>
  <c r="V107" i="6" a="1"/>
  <c r="V107" i="6" s="1"/>
  <c r="W107" i="6"/>
  <c r="X107" i="6" s="1"/>
  <c r="E108" i="6"/>
  <c r="F108" i="6" a="1"/>
  <c r="F108" i="6" s="1"/>
  <c r="H108" i="6"/>
  <c r="I108" i="6" s="1"/>
  <c r="J108" i="6"/>
  <c r="O108" i="6"/>
  <c r="N108" i="6" s="1"/>
  <c r="T108" i="6"/>
  <c r="U108" i="6"/>
  <c r="V108" i="6" a="1"/>
  <c r="V108" i="6" s="1"/>
  <c r="W108" i="6"/>
  <c r="X108" i="6" s="1"/>
  <c r="E109" i="6"/>
  <c r="F109" i="6" a="1"/>
  <c r="F109" i="6" s="1"/>
  <c r="H109" i="6"/>
  <c r="I109" i="6" s="1"/>
  <c r="J109" i="6"/>
  <c r="O109" i="6"/>
  <c r="T109" i="6"/>
  <c r="U109" i="6"/>
  <c r="V109" i="6" a="1"/>
  <c r="V109" i="6" s="1"/>
  <c r="W109" i="6"/>
  <c r="E110" i="6"/>
  <c r="F110" i="6" a="1"/>
  <c r="F110" i="6" s="1"/>
  <c r="H110" i="6"/>
  <c r="I110" i="6" s="1"/>
  <c r="J110" i="6"/>
  <c r="O110" i="6"/>
  <c r="P110" i="6" s="1"/>
  <c r="T110" i="6"/>
  <c r="U110" i="6"/>
  <c r="V110" i="6" a="1"/>
  <c r="V110" i="6" s="1"/>
  <c r="W110" i="6"/>
  <c r="X110" i="6" s="1"/>
  <c r="E111" i="6"/>
  <c r="F111" i="6" a="1"/>
  <c r="F111" i="6" s="1"/>
  <c r="H111" i="6"/>
  <c r="I111" i="6" s="1"/>
  <c r="J111" i="6"/>
  <c r="O111" i="6"/>
  <c r="P111" i="6" s="1"/>
  <c r="T111" i="6"/>
  <c r="U111" i="6"/>
  <c r="V111" i="6" a="1"/>
  <c r="V111" i="6" s="1"/>
  <c r="W111" i="6"/>
  <c r="X111" i="6" s="1"/>
  <c r="E112" i="6"/>
  <c r="F112" i="6" a="1"/>
  <c r="F112" i="6" s="1"/>
  <c r="H112" i="6"/>
  <c r="I112" i="6" s="1"/>
  <c r="J112" i="6"/>
  <c r="O112" i="6"/>
  <c r="N112" i="6" s="1"/>
  <c r="T112" i="6"/>
  <c r="U112" i="6"/>
  <c r="V112" i="6" a="1"/>
  <c r="V112" i="6" s="1"/>
  <c r="W112" i="6"/>
  <c r="X112" i="6" s="1"/>
  <c r="E113" i="6"/>
  <c r="F113" i="6" a="1"/>
  <c r="F113" i="6" s="1"/>
  <c r="H113" i="6"/>
  <c r="I113" i="6" s="1"/>
  <c r="J113" i="6"/>
  <c r="O113" i="6"/>
  <c r="T113" i="6"/>
  <c r="U113" i="6"/>
  <c r="V113" i="6" a="1"/>
  <c r="V113" i="6" s="1"/>
  <c r="W113" i="6"/>
  <c r="X113" i="6" s="1"/>
  <c r="E114" i="6"/>
  <c r="F114" i="6" a="1"/>
  <c r="F114" i="6" s="1"/>
  <c r="H114" i="6"/>
  <c r="I114" i="6" s="1"/>
  <c r="J114" i="6"/>
  <c r="O114" i="6"/>
  <c r="T114" i="6"/>
  <c r="U114" i="6"/>
  <c r="V114" i="6" a="1"/>
  <c r="V114" i="6" s="1"/>
  <c r="W114" i="6"/>
  <c r="E115" i="6"/>
  <c r="F115" i="6" a="1"/>
  <c r="F115" i="6" s="1"/>
  <c r="H115" i="6"/>
  <c r="I115" i="6" s="1"/>
  <c r="J115" i="6"/>
  <c r="O115" i="6"/>
  <c r="N115" i="6" s="1"/>
  <c r="T115" i="6"/>
  <c r="U115" i="6"/>
  <c r="V115" i="6" a="1"/>
  <c r="V115" i="6" s="1"/>
  <c r="W115" i="6"/>
  <c r="X115" i="6" s="1"/>
  <c r="E116" i="6"/>
  <c r="F116" i="6" a="1"/>
  <c r="F116" i="6" s="1"/>
  <c r="H116" i="6"/>
  <c r="I116" i="6" s="1"/>
  <c r="J116" i="6"/>
  <c r="O116" i="6"/>
  <c r="N116" i="6" s="1"/>
  <c r="T116" i="6"/>
  <c r="U116" i="6"/>
  <c r="V116" i="6" a="1"/>
  <c r="V116" i="6" s="1"/>
  <c r="W116" i="6"/>
  <c r="E117" i="6"/>
  <c r="F117" i="6" a="1"/>
  <c r="F117" i="6" s="1"/>
  <c r="H117" i="6"/>
  <c r="I117" i="6" s="1"/>
  <c r="J117" i="6"/>
  <c r="O117" i="6"/>
  <c r="P117" i="6" s="1"/>
  <c r="T117" i="6"/>
  <c r="U117" i="6"/>
  <c r="V117" i="6" a="1"/>
  <c r="V117" i="6" s="1"/>
  <c r="W117" i="6"/>
  <c r="X117" i="6" s="1"/>
  <c r="E118" i="6"/>
  <c r="F118" i="6" a="1"/>
  <c r="F118" i="6" s="1"/>
  <c r="H118" i="6"/>
  <c r="I118" i="6" s="1"/>
  <c r="J118" i="6"/>
  <c r="O118" i="6"/>
  <c r="T118" i="6"/>
  <c r="U118" i="6"/>
  <c r="V118" i="6" a="1"/>
  <c r="V118" i="6" s="1"/>
  <c r="W118" i="6"/>
  <c r="X118" i="6" s="1"/>
  <c r="E119" i="6"/>
  <c r="F119" i="6" a="1"/>
  <c r="F119" i="6" s="1"/>
  <c r="H119" i="6"/>
  <c r="I119" i="6" s="1"/>
  <c r="J119" i="6"/>
  <c r="O119" i="6"/>
  <c r="N119" i="6" s="1"/>
  <c r="T119" i="6"/>
  <c r="U119" i="6"/>
  <c r="V119" i="6" a="1"/>
  <c r="V119" i="6" s="1"/>
  <c r="W119" i="6"/>
  <c r="E120" i="6"/>
  <c r="F120" i="6" a="1"/>
  <c r="F120" i="6" s="1"/>
  <c r="H120" i="6"/>
  <c r="I120" i="6" s="1"/>
  <c r="J120" i="6"/>
  <c r="O120" i="6"/>
  <c r="N120" i="6" s="1"/>
  <c r="T120" i="6"/>
  <c r="U120" i="6"/>
  <c r="V120" i="6" a="1"/>
  <c r="V120" i="6" s="1"/>
  <c r="W120" i="6"/>
  <c r="X120" i="6" s="1"/>
  <c r="E121" i="6"/>
  <c r="F121" i="6" a="1"/>
  <c r="F121" i="6" s="1"/>
  <c r="H121" i="6"/>
  <c r="I121" i="6" s="1"/>
  <c r="J121" i="6"/>
  <c r="O121" i="6"/>
  <c r="T121" i="6"/>
  <c r="U121" i="6"/>
  <c r="V121" i="6" a="1"/>
  <c r="V121" i="6" s="1"/>
  <c r="W121" i="6"/>
  <c r="E122" i="6"/>
  <c r="F122" i="6" a="1"/>
  <c r="F122" i="6" s="1"/>
  <c r="H122" i="6"/>
  <c r="I122" i="6" s="1"/>
  <c r="J122" i="6"/>
  <c r="O122" i="6"/>
  <c r="T122" i="6"/>
  <c r="U122" i="6"/>
  <c r="V122" i="6" a="1"/>
  <c r="V122" i="6" s="1"/>
  <c r="W122" i="6"/>
  <c r="E123" i="6"/>
  <c r="F123" i="6" a="1"/>
  <c r="F123" i="6" s="1"/>
  <c r="H123" i="6"/>
  <c r="I123" i="6" s="1"/>
  <c r="J123" i="6"/>
  <c r="O123" i="6"/>
  <c r="T123" i="6"/>
  <c r="U123" i="6"/>
  <c r="V123" i="6" a="1"/>
  <c r="V123" i="6" s="1"/>
  <c r="W123" i="6"/>
  <c r="E124" i="6"/>
  <c r="F124" i="6" a="1"/>
  <c r="F124" i="6" s="1"/>
  <c r="H124" i="6"/>
  <c r="I124" i="6" s="1"/>
  <c r="J124" i="6"/>
  <c r="O124" i="6"/>
  <c r="T124" i="6"/>
  <c r="U124" i="6"/>
  <c r="V124" i="6" a="1"/>
  <c r="V124" i="6" s="1"/>
  <c r="W124" i="6"/>
  <c r="X124" i="6" s="1"/>
  <c r="E125" i="6"/>
  <c r="F125" i="6" a="1"/>
  <c r="F125" i="6" s="1"/>
  <c r="H125" i="6"/>
  <c r="I125" i="6" s="1"/>
  <c r="J125" i="6"/>
  <c r="O125" i="6"/>
  <c r="T125" i="6"/>
  <c r="U125" i="6"/>
  <c r="V125" i="6" a="1"/>
  <c r="V125" i="6" s="1"/>
  <c r="W125" i="6"/>
  <c r="E126" i="6"/>
  <c r="F126" i="6" a="1"/>
  <c r="F126" i="6" s="1"/>
  <c r="H126" i="6"/>
  <c r="I126" i="6" s="1"/>
  <c r="J126" i="6"/>
  <c r="O126" i="6"/>
  <c r="N126" i="6" s="1"/>
  <c r="T126" i="6"/>
  <c r="U126" i="6"/>
  <c r="V126" i="6" a="1"/>
  <c r="V126" i="6" s="1"/>
  <c r="W126" i="6"/>
  <c r="E127" i="6"/>
  <c r="F127" i="6" a="1"/>
  <c r="F127" i="6" s="1"/>
  <c r="H127" i="6"/>
  <c r="I127" i="6" s="1"/>
  <c r="J127" i="6"/>
  <c r="O127" i="6"/>
  <c r="T127" i="6"/>
  <c r="U127" i="6"/>
  <c r="V127" i="6" a="1"/>
  <c r="V127" i="6" s="1"/>
  <c r="W127" i="6"/>
  <c r="E128" i="6"/>
  <c r="F128" i="6" a="1"/>
  <c r="F128" i="6" s="1"/>
  <c r="H128" i="6"/>
  <c r="I128" i="6" s="1"/>
  <c r="J128" i="6"/>
  <c r="O128" i="6"/>
  <c r="N128" i="6" s="1"/>
  <c r="T128" i="6"/>
  <c r="U128" i="6"/>
  <c r="V128" i="6" a="1"/>
  <c r="V128" i="6" s="1"/>
  <c r="W128" i="6"/>
  <c r="X128" i="6" s="1"/>
  <c r="E129" i="6"/>
  <c r="F129" i="6" a="1"/>
  <c r="F129" i="6" s="1"/>
  <c r="H129" i="6"/>
  <c r="I129" i="6" s="1"/>
  <c r="J129" i="6"/>
  <c r="O129" i="6"/>
  <c r="P658" i="6" s="1"/>
  <c r="T129" i="6"/>
  <c r="U129" i="6"/>
  <c r="V129" i="6" a="1"/>
  <c r="V129" i="6" s="1"/>
  <c r="W129" i="6"/>
  <c r="X658" i="6" s="1"/>
  <c r="E130" i="6"/>
  <c r="F130" i="6" a="1"/>
  <c r="F130" i="6" s="1"/>
  <c r="H130" i="6"/>
  <c r="J130" i="6"/>
  <c r="O130" i="6"/>
  <c r="T130" i="6"/>
  <c r="U130" i="6"/>
  <c r="V130" i="6" a="1"/>
  <c r="V130" i="6" s="1"/>
  <c r="W130" i="6"/>
  <c r="E131" i="6"/>
  <c r="F131" i="6" a="1"/>
  <c r="F131" i="6" s="1"/>
  <c r="H131" i="6"/>
  <c r="I131" i="6" s="1"/>
  <c r="J131" i="6"/>
  <c r="O131" i="6"/>
  <c r="N131" i="6" s="1"/>
  <c r="T131" i="6"/>
  <c r="U131" i="6"/>
  <c r="V131" i="6" a="1"/>
  <c r="V131" i="6" s="1"/>
  <c r="W131" i="6"/>
  <c r="X131" i="6" s="1"/>
  <c r="E132" i="6"/>
  <c r="F132" i="6" a="1"/>
  <c r="F132" i="6" s="1"/>
  <c r="H132" i="6"/>
  <c r="I132" i="6" s="1"/>
  <c r="J132" i="6"/>
  <c r="O132" i="6"/>
  <c r="T132" i="6"/>
  <c r="U132" i="6"/>
  <c r="V132" i="6" a="1"/>
  <c r="V132" i="6" s="1"/>
  <c r="W132" i="6"/>
  <c r="E133" i="6"/>
  <c r="F133" i="6" a="1"/>
  <c r="F133" i="6" s="1"/>
  <c r="H133" i="6"/>
  <c r="I133" i="6" s="1"/>
  <c r="J133" i="6"/>
  <c r="O133" i="6"/>
  <c r="P133" i="6" s="1"/>
  <c r="T133" i="6"/>
  <c r="U133" i="6"/>
  <c r="V133" i="6" a="1"/>
  <c r="V133" i="6" s="1"/>
  <c r="W133" i="6"/>
  <c r="X133" i="6" s="1"/>
  <c r="E134" i="6"/>
  <c r="F134" i="6" a="1"/>
  <c r="F134" i="6" s="1"/>
  <c r="H134" i="6"/>
  <c r="I134" i="6" s="1"/>
  <c r="J134" i="6"/>
  <c r="O134" i="6"/>
  <c r="N134" i="6" s="1"/>
  <c r="T134" i="6"/>
  <c r="U134" i="6"/>
  <c r="V134" i="6" a="1"/>
  <c r="V134" i="6" s="1"/>
  <c r="W134" i="6"/>
  <c r="X134" i="6" s="1"/>
  <c r="E135" i="6"/>
  <c r="F135" i="6" a="1"/>
  <c r="F135" i="6" s="1"/>
  <c r="H135" i="6"/>
  <c r="I135" i="6" s="1"/>
  <c r="J135" i="6"/>
  <c r="O135" i="6"/>
  <c r="N135" i="6" s="1"/>
  <c r="T135" i="6"/>
  <c r="U135" i="6"/>
  <c r="V135" i="6" a="1"/>
  <c r="V135" i="6" s="1"/>
  <c r="W135" i="6"/>
  <c r="X135" i="6" s="1"/>
  <c r="E136" i="6"/>
  <c r="F136" i="6" a="1"/>
  <c r="F136" i="6" s="1"/>
  <c r="H136" i="6"/>
  <c r="I136" i="6" s="1"/>
  <c r="J136" i="6"/>
  <c r="O136" i="6"/>
  <c r="T136" i="6"/>
  <c r="U136" i="6"/>
  <c r="V136" i="6" a="1"/>
  <c r="V136" i="6" s="1"/>
  <c r="W136" i="6"/>
  <c r="X136" i="6" s="1"/>
  <c r="E137" i="6"/>
  <c r="F137" i="6" a="1"/>
  <c r="F137" i="6" s="1"/>
  <c r="H137" i="6"/>
  <c r="I137" i="6" s="1"/>
  <c r="J137" i="6"/>
  <c r="O137" i="6"/>
  <c r="T137" i="6"/>
  <c r="U137" i="6"/>
  <c r="V137" i="6" a="1"/>
  <c r="V137" i="6" s="1"/>
  <c r="W137" i="6"/>
  <c r="E138" i="6"/>
  <c r="F138" i="6" a="1"/>
  <c r="F138" i="6" s="1"/>
  <c r="H138" i="6"/>
  <c r="J138" i="6"/>
  <c r="O138" i="6"/>
  <c r="N138" i="6" s="1"/>
  <c r="T138" i="6"/>
  <c r="U138" i="6"/>
  <c r="V138" i="6" a="1"/>
  <c r="V138" i="6" s="1"/>
  <c r="W138" i="6"/>
  <c r="X138" i="6" s="1"/>
  <c r="E139" i="6"/>
  <c r="F139" i="6" a="1"/>
  <c r="F139" i="6" s="1"/>
  <c r="H139" i="6"/>
  <c r="I139" i="6" s="1"/>
  <c r="J139" i="6"/>
  <c r="O139" i="6"/>
  <c r="N139" i="6" s="1"/>
  <c r="T139" i="6"/>
  <c r="U139" i="6"/>
  <c r="V139" i="6" a="1"/>
  <c r="V139" i="6" s="1"/>
  <c r="W139" i="6"/>
  <c r="X139" i="6" s="1"/>
  <c r="E140" i="6"/>
  <c r="F140" i="6" a="1"/>
  <c r="F140" i="6" s="1"/>
  <c r="H140" i="6"/>
  <c r="I140" i="6" s="1"/>
  <c r="J140" i="6"/>
  <c r="O140" i="6"/>
  <c r="N140" i="6" s="1"/>
  <c r="T140" i="6"/>
  <c r="U140" i="6"/>
  <c r="V140" i="6" a="1"/>
  <c r="V140" i="6" s="1"/>
  <c r="W140" i="6"/>
  <c r="X140" i="6" s="1"/>
  <c r="E141" i="6"/>
  <c r="F141" i="6" a="1"/>
  <c r="F141" i="6" s="1"/>
  <c r="H141" i="6"/>
  <c r="I141" i="6" s="1"/>
  <c r="J141" i="6"/>
  <c r="O141" i="6"/>
  <c r="T141" i="6"/>
  <c r="U141" i="6"/>
  <c r="V141" i="6" a="1"/>
  <c r="V141" i="6" s="1"/>
  <c r="W141" i="6"/>
  <c r="E142" i="6"/>
  <c r="F142" i="6" a="1"/>
  <c r="F142" i="6" s="1"/>
  <c r="H142" i="6"/>
  <c r="I142" i="6" s="1"/>
  <c r="J142" i="6"/>
  <c r="O142" i="6"/>
  <c r="P142" i="6" s="1"/>
  <c r="T142" i="6"/>
  <c r="U142" i="6"/>
  <c r="V142" i="6" a="1"/>
  <c r="V142" i="6" s="1"/>
  <c r="W142" i="6"/>
  <c r="X142" i="6" s="1"/>
  <c r="E143" i="6"/>
  <c r="F143" i="6" a="1"/>
  <c r="F143" i="6" s="1"/>
  <c r="H143" i="6"/>
  <c r="I143" i="6" s="1"/>
  <c r="J143" i="6"/>
  <c r="O143" i="6"/>
  <c r="N143" i="6" s="1"/>
  <c r="T143" i="6"/>
  <c r="U143" i="6"/>
  <c r="V143" i="6" a="1"/>
  <c r="V143" i="6" s="1"/>
  <c r="W143" i="6"/>
  <c r="X143" i="6" s="1"/>
  <c r="E144" i="6"/>
  <c r="F144" i="6" a="1"/>
  <c r="F144" i="6" s="1"/>
  <c r="H144" i="6"/>
  <c r="I144" i="6" s="1"/>
  <c r="J144" i="6"/>
  <c r="O144" i="6"/>
  <c r="T144" i="6"/>
  <c r="U144" i="6"/>
  <c r="V144" i="6" a="1"/>
  <c r="V144" i="6" s="1"/>
  <c r="W144" i="6"/>
  <c r="X144" i="6" s="1"/>
  <c r="E145" i="6"/>
  <c r="F145" i="6" a="1"/>
  <c r="F145" i="6" s="1"/>
  <c r="H145" i="6"/>
  <c r="I145" i="6" s="1"/>
  <c r="J145" i="6"/>
  <c r="O145" i="6"/>
  <c r="T145" i="6"/>
  <c r="U145" i="6"/>
  <c r="V145" i="6" a="1"/>
  <c r="V145" i="6" s="1"/>
  <c r="W145" i="6"/>
  <c r="E146" i="6"/>
  <c r="F146" i="6" a="1"/>
  <c r="F146" i="6" s="1"/>
  <c r="H146" i="6"/>
  <c r="J146" i="6"/>
  <c r="O146" i="6"/>
  <c r="N146" i="6" s="1"/>
  <c r="T146" i="6"/>
  <c r="U146" i="6"/>
  <c r="V146" i="6" a="1"/>
  <c r="V146" i="6" s="1"/>
  <c r="W146" i="6"/>
  <c r="X146" i="6" s="1"/>
  <c r="E147" i="6"/>
  <c r="F147" i="6" a="1"/>
  <c r="F147" i="6" s="1"/>
  <c r="H147" i="6"/>
  <c r="I147" i="6" s="1"/>
  <c r="J147" i="6"/>
  <c r="O147" i="6"/>
  <c r="T147" i="6"/>
  <c r="U147" i="6"/>
  <c r="V147" i="6" a="1"/>
  <c r="V147" i="6" s="1"/>
  <c r="W147" i="6"/>
  <c r="E148" i="6"/>
  <c r="F148" i="6" a="1"/>
  <c r="F148" i="6" s="1"/>
  <c r="H148" i="6"/>
  <c r="I148" i="6" s="1"/>
  <c r="J148" i="6"/>
  <c r="O148" i="6"/>
  <c r="P148" i="6" s="1"/>
  <c r="T148" i="6"/>
  <c r="U148" i="6"/>
  <c r="V148" i="6" a="1"/>
  <c r="V148" i="6" s="1"/>
  <c r="W148" i="6"/>
  <c r="X148" i="6" s="1"/>
  <c r="E149" i="6"/>
  <c r="F149" i="6" a="1"/>
  <c r="F149" i="6" s="1"/>
  <c r="H149" i="6"/>
  <c r="I149" i="6" s="1"/>
  <c r="J149" i="6"/>
  <c r="O149" i="6"/>
  <c r="N149" i="6" s="1"/>
  <c r="T149" i="6"/>
  <c r="U149" i="6"/>
  <c r="V149" i="6" a="1"/>
  <c r="V149" i="6" s="1"/>
  <c r="W149" i="6"/>
  <c r="E150" i="6"/>
  <c r="F150" i="6" a="1"/>
  <c r="F150" i="6" s="1"/>
  <c r="H150" i="6"/>
  <c r="I150" i="6" s="1"/>
  <c r="J150" i="6"/>
  <c r="O150" i="6"/>
  <c r="N150" i="6" s="1"/>
  <c r="T150" i="6"/>
  <c r="U150" i="6"/>
  <c r="V150" i="6" a="1"/>
  <c r="V150" i="6" s="1"/>
  <c r="W150" i="6"/>
  <c r="E151" i="6"/>
  <c r="F151" i="6" a="1"/>
  <c r="F151" i="6" s="1"/>
  <c r="H151" i="6"/>
  <c r="I151" i="6" s="1"/>
  <c r="J151" i="6"/>
  <c r="O151" i="6"/>
  <c r="N151" i="6" s="1"/>
  <c r="T151" i="6"/>
  <c r="U151" i="6"/>
  <c r="V151" i="6" a="1"/>
  <c r="V151" i="6" s="1"/>
  <c r="W151" i="6"/>
  <c r="X151" i="6" s="1"/>
  <c r="E152" i="6"/>
  <c r="F152" i="6" a="1"/>
  <c r="F152" i="6" s="1"/>
  <c r="H152" i="6"/>
  <c r="I152" i="6" s="1"/>
  <c r="J152" i="6"/>
  <c r="O152" i="6"/>
  <c r="P152" i="6" s="1"/>
  <c r="T152" i="6"/>
  <c r="U152" i="6"/>
  <c r="V152" i="6" a="1"/>
  <c r="V152" i="6" s="1"/>
  <c r="W152" i="6"/>
  <c r="X152" i="6" s="1"/>
  <c r="E153" i="6"/>
  <c r="F153" i="6" a="1"/>
  <c r="F153" i="6" s="1"/>
  <c r="H153" i="6"/>
  <c r="I153" i="6" s="1"/>
  <c r="J153" i="6"/>
  <c r="O153" i="6"/>
  <c r="P153" i="6" s="1"/>
  <c r="T153" i="6"/>
  <c r="U153" i="6"/>
  <c r="V153" i="6" a="1"/>
  <c r="V153" i="6" s="1"/>
  <c r="W153" i="6"/>
  <c r="X153" i="6" s="1"/>
  <c r="E154" i="6"/>
  <c r="F154" i="6" a="1"/>
  <c r="F154" i="6" s="1"/>
  <c r="H154" i="6"/>
  <c r="I154" i="6" s="1"/>
  <c r="J154" i="6"/>
  <c r="O154" i="6"/>
  <c r="T154" i="6"/>
  <c r="U154" i="6"/>
  <c r="V154" i="6" a="1"/>
  <c r="V154" i="6" s="1"/>
  <c r="W154" i="6"/>
  <c r="E155" i="6"/>
  <c r="F155" i="6" a="1"/>
  <c r="F155" i="6" s="1"/>
  <c r="H155" i="6"/>
  <c r="I155" i="6" s="1"/>
  <c r="J155" i="6"/>
  <c r="O155" i="6"/>
  <c r="T155" i="6"/>
  <c r="U155" i="6"/>
  <c r="V155" i="6" a="1"/>
  <c r="V155" i="6" s="1"/>
  <c r="W155" i="6"/>
  <c r="E156" i="6"/>
  <c r="F156" i="6" a="1"/>
  <c r="F156" i="6" s="1"/>
  <c r="H156" i="6"/>
  <c r="I156" i="6" s="1"/>
  <c r="J156" i="6"/>
  <c r="O156" i="6"/>
  <c r="P156" i="6" s="1"/>
  <c r="T156" i="6"/>
  <c r="U156" i="6"/>
  <c r="V156" i="6" a="1"/>
  <c r="V156" i="6" s="1"/>
  <c r="W156" i="6"/>
  <c r="X156" i="6" s="1"/>
  <c r="E157" i="6"/>
  <c r="F157" i="6" a="1"/>
  <c r="F157" i="6" s="1"/>
  <c r="H157" i="6"/>
  <c r="I157" i="6" s="1"/>
  <c r="J157" i="6"/>
  <c r="O157" i="6"/>
  <c r="P157" i="6" s="1"/>
  <c r="T157" i="6"/>
  <c r="U157" i="6"/>
  <c r="V157" i="6" a="1"/>
  <c r="V157" i="6" s="1"/>
  <c r="W157" i="6"/>
  <c r="X157" i="6" s="1"/>
  <c r="E158" i="6"/>
  <c r="F158" i="6" a="1"/>
  <c r="F158" i="6" s="1"/>
  <c r="H158" i="6"/>
  <c r="I158" i="6" s="1"/>
  <c r="J158" i="6"/>
  <c r="O158" i="6"/>
  <c r="N158" i="6" s="1"/>
  <c r="T158" i="6"/>
  <c r="U158" i="6"/>
  <c r="V158" i="6" a="1"/>
  <c r="V158" i="6" s="1"/>
  <c r="W158" i="6"/>
  <c r="X158" i="6" s="1"/>
  <c r="E159" i="6"/>
  <c r="F159" i="6" a="1"/>
  <c r="F159" i="6" s="1"/>
  <c r="H159" i="6"/>
  <c r="I159" i="6" s="1"/>
  <c r="J159" i="6"/>
  <c r="O159" i="6"/>
  <c r="T159" i="6"/>
  <c r="U159" i="6"/>
  <c r="V159" i="6" a="1"/>
  <c r="V159" i="6" s="1"/>
  <c r="W159" i="6"/>
  <c r="E160" i="6"/>
  <c r="F160" i="6" a="1"/>
  <c r="F160" i="6" s="1"/>
  <c r="H160" i="6"/>
  <c r="I160" i="6" s="1"/>
  <c r="J160" i="6"/>
  <c r="O160" i="6"/>
  <c r="N160" i="6" s="1"/>
  <c r="T160" i="6"/>
  <c r="U160" i="6"/>
  <c r="V160" i="6" a="1"/>
  <c r="V160" i="6" s="1"/>
  <c r="W160" i="6"/>
  <c r="X160" i="6" s="1"/>
  <c r="E161" i="6"/>
  <c r="F161" i="6" a="1"/>
  <c r="F161" i="6" s="1"/>
  <c r="H161" i="6"/>
  <c r="I161" i="6" s="1"/>
  <c r="J161" i="6"/>
  <c r="O161" i="6"/>
  <c r="T161" i="6"/>
  <c r="U161" i="6"/>
  <c r="V161" i="6" a="1"/>
  <c r="V161" i="6" s="1"/>
  <c r="W161" i="6"/>
  <c r="E162" i="6"/>
  <c r="F162" i="6" a="1"/>
  <c r="F162" i="6" s="1"/>
  <c r="H162" i="6"/>
  <c r="J162" i="6"/>
  <c r="O162" i="6"/>
  <c r="T162" i="6"/>
  <c r="U162" i="6"/>
  <c r="V162" i="6" a="1"/>
  <c r="V162" i="6" s="1"/>
  <c r="W162" i="6"/>
  <c r="E163" i="6"/>
  <c r="F163" i="6" a="1"/>
  <c r="F163" i="6" s="1"/>
  <c r="H163" i="6"/>
  <c r="I163" i="6" s="1"/>
  <c r="J163" i="6"/>
  <c r="O163" i="6"/>
  <c r="N163" i="6" s="1"/>
  <c r="T163" i="6"/>
  <c r="U163" i="6"/>
  <c r="V163" i="6" a="1"/>
  <c r="V163" i="6" s="1"/>
  <c r="W163" i="6"/>
  <c r="X163" i="6" s="1"/>
  <c r="E164" i="6"/>
  <c r="F164" i="6" a="1"/>
  <c r="F164" i="6" s="1"/>
  <c r="H164" i="6"/>
  <c r="I164" i="6" s="1"/>
  <c r="J164" i="6"/>
  <c r="O164" i="6"/>
  <c r="P164" i="6" s="1"/>
  <c r="T164" i="6"/>
  <c r="U164" i="6"/>
  <c r="V164" i="6" a="1"/>
  <c r="V164" i="6" s="1"/>
  <c r="W164" i="6"/>
  <c r="X164" i="6" s="1"/>
  <c r="E165" i="6"/>
  <c r="F165" i="6" a="1"/>
  <c r="F165" i="6" s="1"/>
  <c r="H165" i="6"/>
  <c r="I165" i="6" s="1"/>
  <c r="J165" i="6"/>
  <c r="O165" i="6"/>
  <c r="T165" i="6"/>
  <c r="U165" i="6"/>
  <c r="V165" i="6" a="1"/>
  <c r="V165" i="6" s="1"/>
  <c r="W165" i="6"/>
  <c r="X165" i="6" s="1"/>
  <c r="E166" i="6"/>
  <c r="F166" i="6" a="1"/>
  <c r="F166" i="6" s="1"/>
  <c r="H166" i="6"/>
  <c r="I166" i="6" s="1"/>
  <c r="J166" i="6"/>
  <c r="O166" i="6"/>
  <c r="N166" i="6" s="1"/>
  <c r="T166" i="6"/>
  <c r="U166" i="6"/>
  <c r="V166" i="6" a="1"/>
  <c r="V166" i="6" s="1"/>
  <c r="W166" i="6"/>
  <c r="X166" i="6" s="1"/>
  <c r="E167" i="6"/>
  <c r="F167" i="6" a="1"/>
  <c r="F167" i="6" s="1"/>
  <c r="H167" i="6"/>
  <c r="I167" i="6" s="1"/>
  <c r="J167" i="6"/>
  <c r="O167" i="6"/>
  <c r="N167" i="6" s="1"/>
  <c r="T167" i="6"/>
  <c r="U167" i="6"/>
  <c r="V167" i="6" a="1"/>
  <c r="V167" i="6" s="1"/>
  <c r="W167" i="6"/>
  <c r="X167" i="6" s="1"/>
  <c r="E168" i="6"/>
  <c r="F168" i="6" a="1"/>
  <c r="F168" i="6" s="1"/>
  <c r="H168" i="6"/>
  <c r="I168" i="6" s="1"/>
  <c r="J168" i="6"/>
  <c r="O168" i="6"/>
  <c r="T168" i="6"/>
  <c r="U168" i="6"/>
  <c r="V168" i="6" a="1"/>
  <c r="V168" i="6" s="1"/>
  <c r="W168" i="6"/>
  <c r="X168" i="6" s="1"/>
  <c r="E169" i="6"/>
  <c r="F169" i="6" a="1"/>
  <c r="F169" i="6" s="1"/>
  <c r="H169" i="6"/>
  <c r="I169" i="6" s="1"/>
  <c r="J169" i="6"/>
  <c r="O169" i="6"/>
  <c r="T169" i="6"/>
  <c r="W169" i="6"/>
  <c r="E170" i="6"/>
  <c r="F170" i="6" a="1"/>
  <c r="F170" i="6" s="1"/>
  <c r="H170" i="6"/>
  <c r="I170" i="6" s="1"/>
  <c r="J170" i="6"/>
  <c r="O170" i="6"/>
  <c r="N170" i="6" s="1"/>
  <c r="T170" i="6"/>
  <c r="U170" i="6"/>
  <c r="V170" i="6" a="1"/>
  <c r="V170" i="6" s="1"/>
  <c r="W170" i="6"/>
  <c r="X170" i="6" s="1"/>
  <c r="E171" i="6"/>
  <c r="F171" i="6" a="1"/>
  <c r="F171" i="6" s="1"/>
  <c r="H171" i="6"/>
  <c r="I171" i="6" s="1"/>
  <c r="J171" i="6"/>
  <c r="O171" i="6"/>
  <c r="N171" i="6" s="1"/>
  <c r="T171" i="6"/>
  <c r="U171" i="6"/>
  <c r="V171" i="6" a="1"/>
  <c r="V171" i="6" s="1"/>
  <c r="W171" i="6"/>
  <c r="E172" i="6"/>
  <c r="F172" i="6" a="1"/>
  <c r="F172" i="6" s="1"/>
  <c r="H172" i="6"/>
  <c r="I172" i="6" s="1"/>
  <c r="J172" i="6"/>
  <c r="O172" i="6"/>
  <c r="T172" i="6"/>
  <c r="W172" i="6"/>
  <c r="E173" i="6"/>
  <c r="F173" i="6" a="1"/>
  <c r="F173" i="6" s="1"/>
  <c r="H173" i="6"/>
  <c r="I173" i="6" s="1"/>
  <c r="J173" i="6"/>
  <c r="O173" i="6"/>
  <c r="T173" i="6"/>
  <c r="W173" i="6"/>
  <c r="E174" i="6"/>
  <c r="F174" i="6" a="1"/>
  <c r="F174" i="6" s="1"/>
  <c r="H174" i="6"/>
  <c r="I174" i="6" s="1"/>
  <c r="J174" i="6"/>
  <c r="O174" i="6"/>
  <c r="N174" i="6" s="1"/>
  <c r="T174" i="6"/>
  <c r="U174" i="6"/>
  <c r="V174" i="6" a="1"/>
  <c r="V174" i="6" s="1"/>
  <c r="W174" i="6"/>
  <c r="E175" i="6"/>
  <c r="F175" i="6" a="1"/>
  <c r="F175" i="6" s="1"/>
  <c r="H175" i="6"/>
  <c r="I175" i="6" s="1"/>
  <c r="J175" i="6"/>
  <c r="O175" i="6"/>
  <c r="P175" i="6" s="1"/>
  <c r="T175" i="6"/>
  <c r="U175" i="6"/>
  <c r="V175" i="6" a="1"/>
  <c r="V175" i="6" s="1"/>
  <c r="W175" i="6"/>
  <c r="X175" i="6" s="1"/>
  <c r="E176" i="6"/>
  <c r="F176" i="6" a="1"/>
  <c r="F176" i="6" s="1"/>
  <c r="H176" i="6"/>
  <c r="I176" i="6" s="1"/>
  <c r="J176" i="6"/>
  <c r="O176" i="6"/>
  <c r="T176" i="6"/>
  <c r="U176" i="6"/>
  <c r="V176" i="6" a="1"/>
  <c r="V176" i="6" s="1"/>
  <c r="W176" i="6"/>
  <c r="X176" i="6" s="1"/>
  <c r="E177" i="6"/>
  <c r="F177" i="6" a="1"/>
  <c r="F177" i="6" s="1"/>
  <c r="H177" i="6"/>
  <c r="I177" i="6" s="1"/>
  <c r="J177" i="6"/>
  <c r="O177" i="6"/>
  <c r="T177" i="6"/>
  <c r="W177" i="6"/>
  <c r="E178" i="6"/>
  <c r="F178" i="6" a="1"/>
  <c r="F178" i="6" s="1"/>
  <c r="H178" i="6"/>
  <c r="I178" i="6" s="1"/>
  <c r="J178" i="6"/>
  <c r="O178" i="6"/>
  <c r="N178" i="6" s="1"/>
  <c r="T178" i="6"/>
  <c r="W178" i="6"/>
  <c r="E179" i="6"/>
  <c r="F179" i="6" a="1"/>
  <c r="F179" i="6" s="1"/>
  <c r="H179" i="6"/>
  <c r="I179" i="6" s="1"/>
  <c r="J179" i="6"/>
  <c r="O179" i="6"/>
  <c r="T179" i="6"/>
  <c r="W179" i="6"/>
  <c r="E180" i="6"/>
  <c r="F180" i="6" a="1"/>
  <c r="F180" i="6" s="1"/>
  <c r="H180" i="6"/>
  <c r="I180" i="6" s="1"/>
  <c r="J180" i="6"/>
  <c r="O180" i="6"/>
  <c r="T180" i="6"/>
  <c r="W180" i="6"/>
  <c r="E181" i="6"/>
  <c r="F181" i="6" a="1"/>
  <c r="F181" i="6" s="1"/>
  <c r="H181" i="6"/>
  <c r="I181" i="6" s="1"/>
  <c r="J181" i="6"/>
  <c r="O181" i="6"/>
  <c r="N181" i="6" s="1"/>
  <c r="T181" i="6"/>
  <c r="W181" i="6"/>
  <c r="E182" i="6"/>
  <c r="F182" i="6" a="1"/>
  <c r="F182" i="6" s="1"/>
  <c r="H182" i="6"/>
  <c r="I182" i="6" s="1"/>
  <c r="J182" i="6"/>
  <c r="O182" i="6"/>
  <c r="N182" i="6" s="1"/>
  <c r="T182" i="6"/>
  <c r="W182" i="6"/>
  <c r="E183" i="6"/>
  <c r="F183" i="6" a="1"/>
  <c r="F183" i="6" s="1"/>
  <c r="H183" i="6"/>
  <c r="I183" i="6" s="1"/>
  <c r="J183" i="6"/>
  <c r="O183" i="6"/>
  <c r="T183" i="6"/>
  <c r="U183" i="6"/>
  <c r="V183" i="6" a="1"/>
  <c r="V183" i="6" s="1"/>
  <c r="W183" i="6"/>
  <c r="E184" i="6"/>
  <c r="F184" i="6" a="1"/>
  <c r="F184" i="6" s="1"/>
  <c r="H184" i="6"/>
  <c r="I184" i="6" s="1"/>
  <c r="J184" i="6"/>
  <c r="O184" i="6"/>
  <c r="T184" i="6"/>
  <c r="U184" i="6"/>
  <c r="V184" i="6" a="1"/>
  <c r="V184" i="6" s="1"/>
  <c r="W184" i="6"/>
  <c r="X184" i="6" s="1"/>
  <c r="E185" i="6"/>
  <c r="F185" i="6" a="1"/>
  <c r="F185" i="6" s="1"/>
  <c r="H185" i="6"/>
  <c r="I185" i="6" s="1"/>
  <c r="J185" i="6"/>
  <c r="O185" i="6"/>
  <c r="P185" i="6" s="1"/>
  <c r="T185" i="6"/>
  <c r="U185" i="6"/>
  <c r="V185" i="6" a="1"/>
  <c r="V185" i="6" s="1"/>
  <c r="W185" i="6"/>
  <c r="X185" i="6" s="1"/>
  <c r="E186" i="6"/>
  <c r="F186" i="6" a="1"/>
  <c r="F186" i="6" s="1"/>
  <c r="H186" i="6"/>
  <c r="I186" i="6" s="1"/>
  <c r="J186" i="6"/>
  <c r="O186" i="6"/>
  <c r="N186" i="6" s="1"/>
  <c r="T186" i="6"/>
  <c r="E187" i="6"/>
  <c r="F187" i="6" a="1"/>
  <c r="F187" i="6" s="1"/>
  <c r="H187" i="6"/>
  <c r="I187" i="6" s="1"/>
  <c r="J187" i="6"/>
  <c r="O187" i="6"/>
  <c r="N187" i="6" s="1"/>
  <c r="T187" i="6"/>
  <c r="W187" i="6"/>
  <c r="E188" i="6"/>
  <c r="F188" i="6" a="1"/>
  <c r="F188" i="6" s="1"/>
  <c r="H188" i="6"/>
  <c r="I188" i="6" s="1"/>
  <c r="J188" i="6"/>
  <c r="O188" i="6"/>
  <c r="T188" i="6"/>
  <c r="U188" i="6"/>
  <c r="V188" i="6" a="1"/>
  <c r="V188" i="6" s="1"/>
  <c r="W188" i="6"/>
  <c r="E189" i="6"/>
  <c r="F189" i="6" a="1"/>
  <c r="F189" i="6" s="1"/>
  <c r="H189" i="6"/>
  <c r="I189" i="6" s="1"/>
  <c r="J189" i="6"/>
  <c r="O189" i="6"/>
  <c r="N189" i="6" s="1"/>
  <c r="T189" i="6"/>
  <c r="W189" i="6"/>
  <c r="E190" i="6"/>
  <c r="F190" i="6" a="1"/>
  <c r="F190" i="6" s="1"/>
  <c r="H190" i="6"/>
  <c r="I190" i="6" s="1"/>
  <c r="J190" i="6"/>
  <c r="O190" i="6"/>
  <c r="N190" i="6" s="1"/>
  <c r="T190" i="6"/>
  <c r="W190" i="6"/>
  <c r="E191" i="6"/>
  <c r="F191" i="6" a="1"/>
  <c r="F191" i="6" s="1"/>
  <c r="H191" i="6"/>
  <c r="I191" i="6" s="1"/>
  <c r="J191" i="6"/>
  <c r="O191" i="6"/>
  <c r="N191" i="6" s="1"/>
  <c r="T191" i="6"/>
  <c r="U191" i="6"/>
  <c r="V191" i="6" a="1"/>
  <c r="V191" i="6" s="1"/>
  <c r="W191" i="6"/>
  <c r="E192" i="6"/>
  <c r="F192" i="6" a="1"/>
  <c r="F192" i="6" s="1"/>
  <c r="H192" i="6"/>
  <c r="I192" i="6" s="1"/>
  <c r="J192" i="6"/>
  <c r="O192" i="6"/>
  <c r="T192" i="6"/>
  <c r="U192" i="6"/>
  <c r="V192" i="6" a="1"/>
  <c r="V192" i="6" s="1"/>
  <c r="W192" i="6"/>
  <c r="E193" i="6"/>
  <c r="F193" i="6" a="1"/>
  <c r="F193" i="6" s="1"/>
  <c r="H193" i="6"/>
  <c r="I193" i="6" s="1"/>
  <c r="J193" i="6"/>
  <c r="O193" i="6"/>
  <c r="N193" i="6" s="1"/>
  <c r="T193" i="6"/>
  <c r="W193" i="6"/>
  <c r="E194" i="6"/>
  <c r="F194" i="6" a="1"/>
  <c r="F194" i="6" s="1"/>
  <c r="H194" i="6"/>
  <c r="I194" i="6" s="1"/>
  <c r="J194" i="6"/>
  <c r="O194" i="6"/>
  <c r="N194" i="6" s="1"/>
  <c r="T194" i="6"/>
  <c r="W194" i="6"/>
  <c r="E195" i="6"/>
  <c r="F195" i="6" a="1"/>
  <c r="F195" i="6" s="1"/>
  <c r="H195" i="6"/>
  <c r="I195" i="6" s="1"/>
  <c r="J195" i="6"/>
  <c r="O195" i="6"/>
  <c r="N195" i="6" s="1"/>
  <c r="T195" i="6"/>
  <c r="W195" i="6"/>
  <c r="E196" i="6"/>
  <c r="F196" i="6" a="1"/>
  <c r="F196" i="6" s="1"/>
  <c r="H196" i="6"/>
  <c r="I196" i="6" s="1"/>
  <c r="J196" i="6"/>
  <c r="O196" i="6"/>
  <c r="T196" i="6"/>
  <c r="U196" i="6"/>
  <c r="V196" i="6" a="1"/>
  <c r="V196" i="6" s="1"/>
  <c r="W196" i="6"/>
  <c r="E197" i="6"/>
  <c r="F197" i="6" a="1"/>
  <c r="F197" i="6" s="1"/>
  <c r="H197" i="6"/>
  <c r="I197" i="6" s="1"/>
  <c r="J197" i="6"/>
  <c r="O197" i="6"/>
  <c r="T197" i="6"/>
  <c r="U197" i="6"/>
  <c r="V197" i="6" a="1"/>
  <c r="V197" i="6" s="1"/>
  <c r="W197" i="6"/>
  <c r="E198" i="6"/>
  <c r="F198" i="6" a="1"/>
  <c r="F198" i="6" s="1"/>
  <c r="H198" i="6"/>
  <c r="I198" i="6" s="1"/>
  <c r="J198" i="6"/>
  <c r="O198" i="6"/>
  <c r="T198" i="6"/>
  <c r="U198" i="6"/>
  <c r="V198" i="6" a="1"/>
  <c r="V198" i="6" s="1"/>
  <c r="W198" i="6"/>
  <c r="E199" i="6"/>
  <c r="F199" i="6" a="1"/>
  <c r="F199" i="6" s="1"/>
  <c r="H199" i="6"/>
  <c r="I199" i="6" s="1"/>
  <c r="J199" i="6"/>
  <c r="O199" i="6"/>
  <c r="N199" i="6" s="1"/>
  <c r="T199" i="6"/>
  <c r="E200" i="6"/>
  <c r="F200" i="6" a="1"/>
  <c r="F200" i="6" s="1"/>
  <c r="H200" i="6"/>
  <c r="I200" i="6" s="1"/>
  <c r="J200" i="6"/>
  <c r="O200" i="6"/>
  <c r="T200" i="6"/>
  <c r="U200" i="6"/>
  <c r="V200" i="6" a="1"/>
  <c r="V200" i="6" s="1"/>
  <c r="W200" i="6"/>
  <c r="X200" i="6" s="1"/>
  <c r="E201" i="6"/>
  <c r="F201" i="6" a="1"/>
  <c r="F201" i="6" s="1"/>
  <c r="H201" i="6"/>
  <c r="I201" i="6" s="1"/>
  <c r="J201" i="6"/>
  <c r="O201" i="6"/>
  <c r="N201" i="6" s="1"/>
  <c r="T201" i="6"/>
  <c r="W201" i="6"/>
  <c r="E202" i="6"/>
  <c r="F202" i="6" a="1"/>
  <c r="F202" i="6" s="1"/>
  <c r="H202" i="6"/>
  <c r="I202" i="6" s="1"/>
  <c r="J202" i="6"/>
  <c r="O202" i="6"/>
  <c r="N202" i="6" s="1"/>
  <c r="T202" i="6"/>
  <c r="W202" i="6"/>
  <c r="E203" i="6"/>
  <c r="F203" i="6" a="1"/>
  <c r="F203" i="6" s="1"/>
  <c r="H203" i="6"/>
  <c r="I203" i="6" s="1"/>
  <c r="J203" i="6"/>
  <c r="O203" i="6"/>
  <c r="N203" i="6" s="1"/>
  <c r="T203" i="6"/>
  <c r="W203" i="6"/>
  <c r="E204" i="6"/>
  <c r="F204" i="6" a="1"/>
  <c r="F204" i="6" s="1"/>
  <c r="H204" i="6"/>
  <c r="J204" i="6"/>
  <c r="O204" i="6"/>
  <c r="T204" i="6"/>
  <c r="W204" i="6"/>
  <c r="E205" i="6"/>
  <c r="F205" i="6" a="1"/>
  <c r="F205" i="6" s="1"/>
  <c r="H205" i="6"/>
  <c r="I205" i="6" s="1"/>
  <c r="J205" i="6"/>
  <c r="O205" i="6"/>
  <c r="N205" i="6" s="1"/>
  <c r="T205" i="6"/>
  <c r="W205" i="6"/>
  <c r="E206" i="6"/>
  <c r="F206" i="6" a="1"/>
  <c r="F206" i="6" s="1"/>
  <c r="H206" i="6"/>
  <c r="I206" i="6" s="1"/>
  <c r="J206" i="6"/>
  <c r="O206" i="6"/>
  <c r="T206" i="6"/>
  <c r="W206" i="6"/>
  <c r="E207" i="6"/>
  <c r="F207" i="6" a="1"/>
  <c r="F207" i="6" s="1"/>
  <c r="H207" i="6"/>
  <c r="I207" i="6" s="1"/>
  <c r="J207" i="6"/>
  <c r="O207" i="6"/>
  <c r="N207" i="6" s="1"/>
  <c r="T207" i="6"/>
  <c r="W207" i="6"/>
  <c r="E208" i="6"/>
  <c r="F208" i="6" a="1"/>
  <c r="F208" i="6" s="1"/>
  <c r="H208" i="6"/>
  <c r="I208" i="6" s="1"/>
  <c r="J208" i="6"/>
  <c r="O208" i="6"/>
  <c r="T208" i="6"/>
  <c r="W208" i="6"/>
  <c r="E209" i="6"/>
  <c r="F209" i="6" a="1"/>
  <c r="F209" i="6" s="1"/>
  <c r="H209" i="6"/>
  <c r="I209" i="6" s="1"/>
  <c r="J209" i="6"/>
  <c r="O209" i="6"/>
  <c r="N209" i="6" s="1"/>
  <c r="T209" i="6"/>
  <c r="W209" i="6"/>
  <c r="E210" i="6"/>
  <c r="F210" i="6" a="1"/>
  <c r="F210" i="6" s="1"/>
  <c r="H210" i="6"/>
  <c r="I210" i="6" s="1"/>
  <c r="J210" i="6"/>
  <c r="O210" i="6"/>
  <c r="T210" i="6"/>
  <c r="W210" i="6"/>
  <c r="E211" i="6"/>
  <c r="F211" i="6" a="1"/>
  <c r="F211" i="6" s="1"/>
  <c r="H211" i="6"/>
  <c r="I211" i="6" s="1"/>
  <c r="J211" i="6"/>
  <c r="O211" i="6"/>
  <c r="T211" i="6"/>
  <c r="U211" i="6"/>
  <c r="V211" i="6" a="1"/>
  <c r="V211" i="6" s="1"/>
  <c r="W211" i="6"/>
  <c r="E212" i="6"/>
  <c r="F212" i="6" a="1"/>
  <c r="F212" i="6" s="1"/>
  <c r="H212" i="6"/>
  <c r="I212" i="6" s="1"/>
  <c r="J212" i="6"/>
  <c r="O212" i="6"/>
  <c r="T212" i="6"/>
  <c r="U212" i="6"/>
  <c r="V212" i="6" a="1"/>
  <c r="V212" i="6" s="1"/>
  <c r="W212" i="6"/>
  <c r="X212" i="6" s="1"/>
  <c r="E213" i="6"/>
  <c r="F213" i="6" a="1"/>
  <c r="F213" i="6" s="1"/>
  <c r="H213" i="6"/>
  <c r="I213" i="6" s="1"/>
  <c r="J213" i="6"/>
  <c r="O213" i="6"/>
  <c r="N213" i="6" s="1"/>
  <c r="T213" i="6"/>
  <c r="U213" i="6"/>
  <c r="V213" i="6" a="1"/>
  <c r="V213" i="6" s="1"/>
  <c r="W213" i="6"/>
  <c r="E214" i="6"/>
  <c r="F214" i="6" a="1"/>
  <c r="F214" i="6" s="1"/>
  <c r="H214" i="6"/>
  <c r="I214" i="6" s="1"/>
  <c r="J214" i="6"/>
  <c r="O214" i="6"/>
  <c r="N214" i="6" s="1"/>
  <c r="T214" i="6"/>
  <c r="W214" i="6"/>
  <c r="E215" i="6"/>
  <c r="F215" i="6" a="1"/>
  <c r="F215" i="6" s="1"/>
  <c r="H215" i="6"/>
  <c r="I215" i="6" s="1"/>
  <c r="J215" i="6"/>
  <c r="O215" i="6"/>
  <c r="T215" i="6"/>
  <c r="U215" i="6"/>
  <c r="V215" i="6" a="1"/>
  <c r="V215" i="6" s="1"/>
  <c r="W215" i="6"/>
  <c r="E216" i="6"/>
  <c r="F216" i="6" a="1"/>
  <c r="F216" i="6" s="1"/>
  <c r="H216" i="6"/>
  <c r="I216" i="6" s="1"/>
  <c r="J216" i="6"/>
  <c r="O216" i="6"/>
  <c r="T216" i="6"/>
  <c r="U216" i="6"/>
  <c r="V216" i="6" a="1"/>
  <c r="V216" i="6" s="1"/>
  <c r="W216" i="6"/>
  <c r="X216" i="6" s="1"/>
  <c r="E217" i="6"/>
  <c r="F217" i="6" a="1"/>
  <c r="F217" i="6" s="1"/>
  <c r="H217" i="6"/>
  <c r="I217" i="6" s="1"/>
  <c r="J217" i="6"/>
  <c r="O217" i="6"/>
  <c r="N217" i="6" s="1"/>
  <c r="T217" i="6"/>
  <c r="W217" i="6"/>
  <c r="E218" i="6"/>
  <c r="F218" i="6" a="1"/>
  <c r="F218" i="6" s="1"/>
  <c r="H218" i="6"/>
  <c r="I218" i="6" s="1"/>
  <c r="J218" i="6"/>
  <c r="O218" i="6"/>
  <c r="T218" i="6"/>
  <c r="U218" i="6"/>
  <c r="V218" i="6" a="1"/>
  <c r="V218" i="6" s="1"/>
  <c r="W218" i="6"/>
  <c r="E219" i="6"/>
  <c r="F219" i="6" a="1"/>
  <c r="F219" i="6" s="1"/>
  <c r="H219" i="6"/>
  <c r="I219" i="6" s="1"/>
  <c r="J219" i="6"/>
  <c r="O219" i="6"/>
  <c r="P749" i="6" s="1"/>
  <c r="T219" i="6"/>
  <c r="U219" i="6"/>
  <c r="V219" i="6" a="1"/>
  <c r="V219" i="6" s="1"/>
  <c r="W219" i="6"/>
  <c r="E220" i="6"/>
  <c r="F220" i="6" a="1"/>
  <c r="F220" i="6" s="1"/>
  <c r="H220" i="6"/>
  <c r="I220" i="6" s="1"/>
  <c r="J220" i="6"/>
  <c r="O220" i="6"/>
  <c r="N220" i="6" s="1"/>
  <c r="T220" i="6"/>
  <c r="W220" i="6"/>
  <c r="E221" i="6"/>
  <c r="F221" i="6" a="1"/>
  <c r="F221" i="6" s="1"/>
  <c r="H221" i="6"/>
  <c r="I221" i="6" s="1"/>
  <c r="J221" i="6"/>
  <c r="O221" i="6"/>
  <c r="N221" i="6" s="1"/>
  <c r="T221" i="6"/>
  <c r="W221" i="6"/>
  <c r="E222" i="6"/>
  <c r="F222" i="6" a="1"/>
  <c r="F222" i="6" s="1"/>
  <c r="H222" i="6"/>
  <c r="I222" i="6" s="1"/>
  <c r="J222" i="6"/>
  <c r="O222" i="6"/>
  <c r="T222" i="6"/>
  <c r="W222" i="6"/>
  <c r="E223" i="6"/>
  <c r="F223" i="6" a="1"/>
  <c r="F223" i="6" s="1"/>
  <c r="H223" i="6"/>
  <c r="I223" i="6" s="1"/>
  <c r="J223" i="6"/>
  <c r="O223" i="6"/>
  <c r="T223" i="6"/>
  <c r="W223" i="6"/>
  <c r="E224" i="6"/>
  <c r="F224" i="6" a="1"/>
  <c r="F224" i="6" s="1"/>
  <c r="H224" i="6"/>
  <c r="I224" i="6" s="1"/>
  <c r="J224" i="6"/>
  <c r="O224" i="6"/>
  <c r="T224" i="6"/>
  <c r="W224" i="6"/>
  <c r="E225" i="6"/>
  <c r="F225" i="6" a="1"/>
  <c r="F225" i="6" s="1"/>
  <c r="H225" i="6"/>
  <c r="I225" i="6" s="1"/>
  <c r="J225" i="6"/>
  <c r="O225" i="6"/>
  <c r="T225" i="6"/>
  <c r="W225" i="6"/>
  <c r="E226" i="6"/>
  <c r="F226" i="6" a="1"/>
  <c r="F226" i="6" s="1"/>
  <c r="H226" i="6"/>
  <c r="I226" i="6" s="1"/>
  <c r="J226" i="6"/>
  <c r="O226" i="6"/>
  <c r="N226" i="6" s="1"/>
  <c r="T226" i="6"/>
  <c r="U226" i="6"/>
  <c r="V226" i="6" a="1"/>
  <c r="V226" i="6" s="1"/>
  <c r="W226" i="6"/>
  <c r="X226" i="6" s="1"/>
  <c r="E227" i="6"/>
  <c r="F227" i="6" a="1"/>
  <c r="F227" i="6" s="1"/>
  <c r="H227" i="6"/>
  <c r="I227" i="6" s="1"/>
  <c r="J227" i="6"/>
  <c r="O227" i="6"/>
  <c r="P227" i="6" s="1"/>
  <c r="T227" i="6"/>
  <c r="U227" i="6"/>
  <c r="V227" i="6" a="1"/>
  <c r="V227" i="6" s="1"/>
  <c r="W227" i="6"/>
  <c r="X227" i="6" s="1"/>
  <c r="E228" i="6"/>
  <c r="F228" i="6" a="1"/>
  <c r="F228" i="6" s="1"/>
  <c r="H228" i="6"/>
  <c r="I228" i="6" s="1"/>
  <c r="J228" i="6"/>
  <c r="O228" i="6"/>
  <c r="T228" i="6"/>
  <c r="U228" i="6"/>
  <c r="V228" i="6" a="1"/>
  <c r="V228" i="6" s="1"/>
  <c r="W228" i="6"/>
  <c r="X228" i="6" s="1"/>
  <c r="E229" i="6"/>
  <c r="F229" i="6" a="1"/>
  <c r="F229" i="6" s="1"/>
  <c r="H229" i="6"/>
  <c r="I229" i="6" s="1"/>
  <c r="J229" i="6"/>
  <c r="O229" i="6"/>
  <c r="N229" i="6" s="1"/>
  <c r="T229" i="6"/>
  <c r="U229" i="6"/>
  <c r="V229" i="6" a="1"/>
  <c r="V229" i="6" s="1"/>
  <c r="W229" i="6"/>
  <c r="E230" i="6"/>
  <c r="F230" i="6" a="1"/>
  <c r="F230" i="6" s="1"/>
  <c r="H230" i="6"/>
  <c r="I230" i="6" s="1"/>
  <c r="J230" i="6"/>
  <c r="O230" i="6"/>
  <c r="N230" i="6" s="1"/>
  <c r="T230" i="6"/>
  <c r="U230" i="6"/>
  <c r="V230" i="6" a="1"/>
  <c r="V230" i="6" s="1"/>
  <c r="E231" i="6"/>
  <c r="F231" i="6" a="1"/>
  <c r="F231" i="6" s="1"/>
  <c r="H231" i="6"/>
  <c r="I231" i="6" s="1"/>
  <c r="J231" i="6"/>
  <c r="O231" i="6"/>
  <c r="T231" i="6"/>
  <c r="U231" i="6"/>
  <c r="V231" i="6" a="1"/>
  <c r="V231" i="6" s="1"/>
  <c r="W231" i="6"/>
  <c r="E232" i="6"/>
  <c r="F232" i="6" a="1"/>
  <c r="F232" i="6" s="1"/>
  <c r="H232" i="6"/>
  <c r="I232" i="6" s="1"/>
  <c r="J232" i="6"/>
  <c r="O232" i="6"/>
  <c r="T232" i="6"/>
  <c r="U232" i="6"/>
  <c r="V232" i="6" a="1"/>
  <c r="V232" i="6" s="1"/>
  <c r="W232" i="6"/>
  <c r="E233" i="6"/>
  <c r="F233" i="6" a="1"/>
  <c r="F233" i="6" s="1"/>
  <c r="H233" i="6"/>
  <c r="I233" i="6" s="1"/>
  <c r="J233" i="6"/>
  <c r="O233" i="6"/>
  <c r="N233" i="6" s="1"/>
  <c r="T233" i="6"/>
  <c r="U233" i="6"/>
  <c r="V233" i="6" a="1"/>
  <c r="V233" i="6" s="1"/>
  <c r="W233" i="6"/>
  <c r="E234" i="6"/>
  <c r="F234" i="6" a="1"/>
  <c r="F234" i="6" s="1"/>
  <c r="H234" i="6"/>
  <c r="I234" i="6" s="1"/>
  <c r="J234" i="6"/>
  <c r="O234" i="6"/>
  <c r="N234" i="6" s="1"/>
  <c r="T234" i="6"/>
  <c r="U234" i="6"/>
  <c r="V234" i="6" a="1"/>
  <c r="V234" i="6" s="1"/>
  <c r="W234" i="6"/>
  <c r="E235" i="6"/>
  <c r="F235" i="6" a="1"/>
  <c r="F235" i="6" s="1"/>
  <c r="H235" i="6"/>
  <c r="I235" i="6" s="1"/>
  <c r="J235" i="6"/>
  <c r="O235" i="6"/>
  <c r="T235" i="6"/>
  <c r="U235" i="6"/>
  <c r="V235" i="6" a="1"/>
  <c r="V235" i="6" s="1"/>
  <c r="W235" i="6"/>
  <c r="E236" i="6"/>
  <c r="F236" i="6" a="1"/>
  <c r="F236" i="6" s="1"/>
  <c r="H236" i="6"/>
  <c r="I236" i="6" s="1"/>
  <c r="J236" i="6"/>
  <c r="O236" i="6"/>
  <c r="P553" i="6" s="1"/>
  <c r="T236" i="6"/>
  <c r="U236" i="6"/>
  <c r="V236" i="6" a="1"/>
  <c r="V236" i="6" s="1"/>
  <c r="W236" i="6"/>
  <c r="E237" i="6"/>
  <c r="F237" i="6" a="1"/>
  <c r="F237" i="6" s="1"/>
  <c r="H237" i="6"/>
  <c r="I237" i="6" s="1"/>
  <c r="J237" i="6"/>
  <c r="O237" i="6"/>
  <c r="T237" i="6"/>
  <c r="U237" i="6"/>
  <c r="V237" i="6" a="1"/>
  <c r="V237" i="6" s="1"/>
  <c r="W237" i="6"/>
  <c r="X237" i="6" s="1"/>
  <c r="E238" i="6"/>
  <c r="F238" i="6" a="1"/>
  <c r="F238" i="6" s="1"/>
  <c r="H238" i="6"/>
  <c r="I238" i="6" s="1"/>
  <c r="J238" i="6"/>
  <c r="O238" i="6"/>
  <c r="T238" i="6"/>
  <c r="U238" i="6"/>
  <c r="V238" i="6" a="1"/>
  <c r="V238" i="6" s="1"/>
  <c r="W238" i="6"/>
  <c r="E239" i="6"/>
  <c r="F239" i="6" a="1"/>
  <c r="F239" i="6" s="1"/>
  <c r="H239" i="6"/>
  <c r="I239" i="6" s="1"/>
  <c r="J239" i="6"/>
  <c r="O239" i="6"/>
  <c r="P239" i="6" s="1"/>
  <c r="T239" i="6"/>
  <c r="U239" i="6"/>
  <c r="V239" i="6" a="1"/>
  <c r="V239" i="6" s="1"/>
  <c r="W239" i="6"/>
  <c r="X239" i="6" s="1"/>
  <c r="E240" i="6"/>
  <c r="F240" i="6" a="1"/>
  <c r="F240" i="6" s="1"/>
  <c r="H240" i="6"/>
  <c r="I240" i="6" s="1"/>
  <c r="J240" i="6"/>
  <c r="O240" i="6"/>
  <c r="T240" i="6"/>
  <c r="U240" i="6"/>
  <c r="V240" i="6" a="1"/>
  <c r="V240" i="6" s="1"/>
  <c r="W240" i="6"/>
  <c r="E241" i="6"/>
  <c r="F241" i="6" a="1"/>
  <c r="F241" i="6" s="1"/>
  <c r="H241" i="6"/>
  <c r="I241" i="6" s="1"/>
  <c r="J241" i="6"/>
  <c r="O241" i="6"/>
  <c r="T241" i="6"/>
  <c r="U241" i="6"/>
  <c r="V241" i="6" a="1"/>
  <c r="V241" i="6" s="1"/>
  <c r="W241" i="6"/>
  <c r="E242" i="6"/>
  <c r="F242" i="6" a="1"/>
  <c r="F242" i="6" s="1"/>
  <c r="H242" i="6"/>
  <c r="I242" i="6" s="1"/>
  <c r="J242" i="6"/>
  <c r="O242" i="6"/>
  <c r="N242" i="6" s="1"/>
  <c r="T242" i="6"/>
  <c r="U242" i="6"/>
  <c r="V242" i="6" a="1"/>
  <c r="V242" i="6" s="1"/>
  <c r="W242" i="6"/>
  <c r="X242" i="6" s="1"/>
  <c r="E243" i="6"/>
  <c r="F243" i="6" a="1"/>
  <c r="F243" i="6" s="1"/>
  <c r="H243" i="6"/>
  <c r="I243" i="6" s="1"/>
  <c r="J243" i="6"/>
  <c r="O243" i="6"/>
  <c r="P243" i="6" s="1"/>
  <c r="T243" i="6"/>
  <c r="U243" i="6"/>
  <c r="V243" i="6" a="1"/>
  <c r="V243" i="6" s="1"/>
  <c r="W243" i="6"/>
  <c r="X243" i="6" s="1"/>
  <c r="E244" i="6"/>
  <c r="F244" i="6" a="1"/>
  <c r="F244" i="6" s="1"/>
  <c r="H244" i="6"/>
  <c r="I244" i="6" s="1"/>
  <c r="J244" i="6"/>
  <c r="O244" i="6"/>
  <c r="T244" i="6"/>
  <c r="U244" i="6"/>
  <c r="V244" i="6" a="1"/>
  <c r="V244" i="6" s="1"/>
  <c r="W244" i="6"/>
  <c r="X244" i="6" s="1"/>
  <c r="E245" i="6"/>
  <c r="F245" i="6" a="1"/>
  <c r="F245" i="6" s="1"/>
  <c r="H245" i="6"/>
  <c r="I245" i="6" s="1"/>
  <c r="J245" i="6"/>
  <c r="O245" i="6"/>
  <c r="P245" i="6" s="1"/>
  <c r="T245" i="6"/>
  <c r="U245" i="6"/>
  <c r="V245" i="6" a="1"/>
  <c r="V245" i="6" s="1"/>
  <c r="W245" i="6"/>
  <c r="X245" i="6" s="1"/>
  <c r="E246" i="6"/>
  <c r="F246" i="6" a="1"/>
  <c r="F246" i="6" s="1"/>
  <c r="H246" i="6"/>
  <c r="I246" i="6" s="1"/>
  <c r="J246" i="6"/>
  <c r="O246" i="6"/>
  <c r="N246" i="6" s="1"/>
  <c r="T246" i="6"/>
  <c r="U246" i="6"/>
  <c r="V246" i="6" a="1"/>
  <c r="V246" i="6" s="1"/>
  <c r="W246" i="6"/>
  <c r="E247" i="6"/>
  <c r="F247" i="6" a="1"/>
  <c r="F247" i="6" s="1"/>
  <c r="H247" i="6"/>
  <c r="I247" i="6" s="1"/>
  <c r="J247" i="6"/>
  <c r="O247" i="6"/>
  <c r="P247" i="6" s="1"/>
  <c r="T247" i="6"/>
  <c r="U247" i="6"/>
  <c r="V247" i="6" a="1"/>
  <c r="V247" i="6" s="1"/>
  <c r="W247" i="6"/>
  <c r="X247" i="6" s="1"/>
  <c r="E248" i="6"/>
  <c r="F248" i="6" a="1"/>
  <c r="F248" i="6" s="1"/>
  <c r="H248" i="6"/>
  <c r="I248" i="6" s="1"/>
  <c r="J248" i="6"/>
  <c r="O248" i="6"/>
  <c r="P248" i="6" s="1"/>
  <c r="T248" i="6"/>
  <c r="U248" i="6"/>
  <c r="V248" i="6" a="1"/>
  <c r="V248" i="6" s="1"/>
  <c r="W248" i="6"/>
  <c r="X248" i="6" s="1"/>
  <c r="E249" i="6"/>
  <c r="F249" i="6" a="1"/>
  <c r="F249" i="6" s="1"/>
  <c r="H249" i="6"/>
  <c r="I249" i="6" s="1"/>
  <c r="J249" i="6"/>
  <c r="O249" i="6"/>
  <c r="N249" i="6" s="1"/>
  <c r="T249" i="6"/>
  <c r="U249" i="6"/>
  <c r="V249" i="6" a="1"/>
  <c r="V249" i="6" s="1"/>
  <c r="W249" i="6"/>
  <c r="E250" i="6"/>
  <c r="F250" i="6" a="1"/>
  <c r="F250" i="6" s="1"/>
  <c r="H250" i="6"/>
  <c r="I250" i="6" s="1"/>
  <c r="J250" i="6"/>
  <c r="O250" i="6"/>
  <c r="N250" i="6" s="1"/>
  <c r="T250" i="6"/>
  <c r="U250" i="6"/>
  <c r="V250" i="6" a="1"/>
  <c r="V250" i="6" s="1"/>
  <c r="W250" i="6"/>
  <c r="E251" i="6"/>
  <c r="F251" i="6" a="1"/>
  <c r="F251" i="6" s="1"/>
  <c r="H251" i="6"/>
  <c r="I251" i="6" s="1"/>
  <c r="J251" i="6"/>
  <c r="O251" i="6"/>
  <c r="T251" i="6"/>
  <c r="U251" i="6"/>
  <c r="V251" i="6" a="1"/>
  <c r="V251" i="6" s="1"/>
  <c r="W251" i="6"/>
  <c r="E252" i="6"/>
  <c r="F252" i="6" a="1"/>
  <c r="F252" i="6" s="1"/>
  <c r="H252" i="6"/>
  <c r="I252" i="6" s="1"/>
  <c r="J252" i="6"/>
  <c r="O252" i="6"/>
  <c r="T252" i="6"/>
  <c r="W252" i="6"/>
  <c r="E253" i="6"/>
  <c r="F253" i="6" a="1"/>
  <c r="F253" i="6" s="1"/>
  <c r="H253" i="6"/>
  <c r="I253" i="6" s="1"/>
  <c r="J253" i="6"/>
  <c r="O253" i="6"/>
  <c r="N253" i="6" s="1"/>
  <c r="T253" i="6"/>
  <c r="W253" i="6"/>
  <c r="E254" i="6"/>
  <c r="F254" i="6" a="1"/>
  <c r="F254" i="6" s="1"/>
  <c r="H254" i="6"/>
  <c r="I254" i="6" s="1"/>
  <c r="J254" i="6"/>
  <c r="O254" i="6"/>
  <c r="T254" i="6"/>
  <c r="W254" i="6"/>
  <c r="E255" i="6"/>
  <c r="F255" i="6" a="1"/>
  <c r="F255" i="6" s="1"/>
  <c r="H255" i="6"/>
  <c r="I255" i="6" s="1"/>
  <c r="J255" i="6"/>
  <c r="O255" i="6"/>
  <c r="N255" i="6" s="1"/>
  <c r="T255" i="6"/>
  <c r="W255" i="6"/>
  <c r="E256" i="6"/>
  <c r="F256" i="6" a="1"/>
  <c r="F256" i="6" s="1"/>
  <c r="H256" i="6"/>
  <c r="I256" i="6" s="1"/>
  <c r="J256" i="6"/>
  <c r="O256" i="6"/>
  <c r="T256" i="6"/>
  <c r="W256" i="6"/>
  <c r="E257" i="6"/>
  <c r="F257" i="6" a="1"/>
  <c r="F257" i="6" s="1"/>
  <c r="H257" i="6"/>
  <c r="I257" i="6" s="1"/>
  <c r="J257" i="6"/>
  <c r="O257" i="6"/>
  <c r="N257" i="6" s="1"/>
  <c r="T257" i="6"/>
  <c r="W257" i="6"/>
  <c r="E258" i="6"/>
  <c r="F258" i="6" a="1"/>
  <c r="F258" i="6" s="1"/>
  <c r="H258" i="6"/>
  <c r="I258" i="6" s="1"/>
  <c r="J258" i="6"/>
  <c r="O258" i="6"/>
  <c r="T258" i="6"/>
  <c r="W258" i="6"/>
  <c r="E259" i="6"/>
  <c r="F259" i="6" a="1"/>
  <c r="F259" i="6" s="1"/>
  <c r="H259" i="6"/>
  <c r="I259" i="6" s="1"/>
  <c r="J259" i="6"/>
  <c r="O259" i="6"/>
  <c r="T259" i="6"/>
  <c r="W259" i="6"/>
  <c r="E260" i="6"/>
  <c r="F260" i="6" a="1"/>
  <c r="F260" i="6" s="1"/>
  <c r="H260" i="6"/>
  <c r="I260" i="6" s="1"/>
  <c r="J260" i="6"/>
  <c r="O260" i="6"/>
  <c r="T260" i="6"/>
  <c r="U260" i="6"/>
  <c r="V260" i="6" a="1"/>
  <c r="V260" i="6" s="1"/>
  <c r="W260" i="6"/>
  <c r="E261" i="6"/>
  <c r="F261" i="6" a="1"/>
  <c r="F261" i="6" s="1"/>
  <c r="H261" i="6"/>
  <c r="I261" i="6" s="1"/>
  <c r="J261" i="6"/>
  <c r="O261" i="6"/>
  <c r="W261" i="6" s="1"/>
  <c r="T261" i="6"/>
  <c r="E262" i="6"/>
  <c r="F262" i="6" a="1"/>
  <c r="F262" i="6" s="1"/>
  <c r="H262" i="6"/>
  <c r="I262" i="6" s="1"/>
  <c r="J262" i="6"/>
  <c r="O262" i="6"/>
  <c r="T262" i="6"/>
  <c r="W262" i="6"/>
  <c r="E263" i="6"/>
  <c r="F263" i="6" a="1"/>
  <c r="F263" i="6" s="1"/>
  <c r="H263" i="6"/>
  <c r="I263" i="6" s="1"/>
  <c r="J263" i="6"/>
  <c r="O263" i="6"/>
  <c r="T263" i="6"/>
  <c r="W263" i="6"/>
  <c r="E264" i="6"/>
  <c r="F264" i="6" a="1"/>
  <c r="F264" i="6" s="1"/>
  <c r="H264" i="6"/>
  <c r="I264" i="6" s="1"/>
  <c r="J264" i="6"/>
  <c r="O264" i="6"/>
  <c r="T264" i="6"/>
  <c r="W264" i="6"/>
  <c r="E265" i="6"/>
  <c r="F265" i="6" a="1"/>
  <c r="F265" i="6" s="1"/>
  <c r="H265" i="6"/>
  <c r="I265" i="6" s="1"/>
  <c r="J265" i="6"/>
  <c r="O265" i="6"/>
  <c r="T265" i="6"/>
  <c r="W265" i="6"/>
  <c r="E266" i="6"/>
  <c r="F266" i="6" a="1"/>
  <c r="F266" i="6" s="1"/>
  <c r="H266" i="6"/>
  <c r="I266" i="6" s="1"/>
  <c r="J266" i="6"/>
  <c r="O266" i="6"/>
  <c r="T266" i="6"/>
  <c r="W266" i="6"/>
  <c r="E267" i="6"/>
  <c r="F267" i="6" a="1"/>
  <c r="F267" i="6" s="1"/>
  <c r="H267" i="6"/>
  <c r="I267" i="6" s="1"/>
  <c r="J267" i="6"/>
  <c r="O267" i="6"/>
  <c r="T267" i="6"/>
  <c r="W267" i="6"/>
  <c r="E268" i="6"/>
  <c r="F268" i="6" a="1"/>
  <c r="F268" i="6" s="1"/>
  <c r="H268" i="6"/>
  <c r="I268" i="6" s="1"/>
  <c r="J268" i="6"/>
  <c r="O268" i="6"/>
  <c r="N268" i="6" s="1"/>
  <c r="T268" i="6"/>
  <c r="W268" i="6"/>
  <c r="E269" i="6"/>
  <c r="F269" i="6" a="1"/>
  <c r="F269" i="6" s="1"/>
  <c r="H269" i="6"/>
  <c r="I269" i="6" s="1"/>
  <c r="J269" i="6"/>
  <c r="O269" i="6"/>
  <c r="T269" i="6"/>
  <c r="W269" i="6"/>
  <c r="E270" i="6"/>
  <c r="F270" i="6" a="1"/>
  <c r="F270" i="6" s="1"/>
  <c r="H270" i="6"/>
  <c r="I270" i="6" s="1"/>
  <c r="J270" i="6"/>
  <c r="O270" i="6"/>
  <c r="W270" i="6" s="1"/>
  <c r="T270" i="6"/>
  <c r="E271" i="6"/>
  <c r="F271" i="6" a="1"/>
  <c r="F271" i="6" s="1"/>
  <c r="H271" i="6"/>
  <c r="I271" i="6" s="1"/>
  <c r="J271" i="6"/>
  <c r="O271" i="6"/>
  <c r="N271" i="6" s="1"/>
  <c r="T271" i="6"/>
  <c r="W271" i="6"/>
  <c r="E272" i="6"/>
  <c r="F272" i="6" a="1"/>
  <c r="F272" i="6" s="1"/>
  <c r="H272" i="6"/>
  <c r="I272" i="6" s="1"/>
  <c r="J272" i="6"/>
  <c r="O272" i="6"/>
  <c r="T272" i="6"/>
  <c r="W272" i="6"/>
  <c r="E273" i="6"/>
  <c r="F273" i="6" a="1"/>
  <c r="F273" i="6" s="1"/>
  <c r="H273" i="6"/>
  <c r="I273" i="6" s="1"/>
  <c r="J273" i="6"/>
  <c r="O273" i="6"/>
  <c r="N273" i="6" s="1"/>
  <c r="T273" i="6"/>
  <c r="W273" i="6"/>
  <c r="E274" i="6"/>
  <c r="F274" i="6" a="1"/>
  <c r="F274" i="6" s="1"/>
  <c r="H274" i="6"/>
  <c r="I274" i="6" s="1"/>
  <c r="J274" i="6"/>
  <c r="O274" i="6"/>
  <c r="T274" i="6"/>
  <c r="W274" i="6"/>
  <c r="E275" i="6"/>
  <c r="F275" i="6" a="1"/>
  <c r="F275" i="6" s="1"/>
  <c r="H275" i="6"/>
  <c r="I275" i="6" s="1"/>
  <c r="J275" i="6"/>
  <c r="O275" i="6"/>
  <c r="T275" i="6"/>
  <c r="W275" i="6"/>
  <c r="E276" i="6"/>
  <c r="F276" i="6" a="1"/>
  <c r="F276" i="6" s="1"/>
  <c r="H276" i="6"/>
  <c r="I276" i="6" s="1"/>
  <c r="J276" i="6"/>
  <c r="O276" i="6"/>
  <c r="N276" i="6" s="1"/>
  <c r="T276" i="6"/>
  <c r="W276" i="6"/>
  <c r="E277" i="6"/>
  <c r="F277" i="6" a="1"/>
  <c r="F277" i="6" s="1"/>
  <c r="H277" i="6"/>
  <c r="I277" i="6" s="1"/>
  <c r="J277" i="6"/>
  <c r="O277" i="6"/>
  <c r="T277" i="6"/>
  <c r="W277" i="6"/>
  <c r="E278" i="6"/>
  <c r="F278" i="6" a="1"/>
  <c r="F278" i="6" s="1"/>
  <c r="H278" i="6"/>
  <c r="I278" i="6" s="1"/>
  <c r="J278" i="6"/>
  <c r="O278" i="6"/>
  <c r="T278" i="6"/>
  <c r="W278" i="6"/>
  <c r="E279" i="6"/>
  <c r="F279" i="6" a="1"/>
  <c r="F279" i="6" s="1"/>
  <c r="H279" i="6"/>
  <c r="I279" i="6" s="1"/>
  <c r="J279" i="6"/>
  <c r="O279" i="6"/>
  <c r="T279" i="6"/>
  <c r="U279" i="6"/>
  <c r="V279" i="6" a="1"/>
  <c r="V279" i="6" s="1"/>
  <c r="W279" i="6"/>
  <c r="E280" i="6"/>
  <c r="F280" i="6" a="1"/>
  <c r="F280" i="6" s="1"/>
  <c r="H280" i="6"/>
  <c r="I280" i="6" s="1"/>
  <c r="J280" i="6"/>
  <c r="O280" i="6"/>
  <c r="N280" i="6" s="1"/>
  <c r="T280" i="6"/>
  <c r="U280" i="6"/>
  <c r="V280" i="6" a="1"/>
  <c r="V280" i="6" s="1"/>
  <c r="W280" i="6"/>
  <c r="E281" i="6"/>
  <c r="F281" i="6" a="1"/>
  <c r="F281" i="6" s="1"/>
  <c r="H281" i="6"/>
  <c r="I281" i="6" s="1"/>
  <c r="J281" i="6"/>
  <c r="O281" i="6"/>
  <c r="T281" i="6"/>
  <c r="U281" i="6"/>
  <c r="V281" i="6" a="1"/>
  <c r="V281" i="6" s="1"/>
  <c r="W281" i="6"/>
  <c r="E282" i="6"/>
  <c r="F282" i="6" a="1"/>
  <c r="F282" i="6" s="1"/>
  <c r="H282" i="6"/>
  <c r="I282" i="6" s="1"/>
  <c r="J282" i="6"/>
  <c r="O282" i="6"/>
  <c r="T282" i="6"/>
  <c r="W282" i="6"/>
  <c r="E283" i="6"/>
  <c r="F283" i="6" a="1"/>
  <c r="F283" i="6" s="1"/>
  <c r="H283" i="6"/>
  <c r="I283" i="6" s="1"/>
  <c r="J283" i="6"/>
  <c r="O283" i="6"/>
  <c r="T283" i="6"/>
  <c r="W283" i="6"/>
  <c r="E284" i="6"/>
  <c r="F284" i="6" a="1"/>
  <c r="F284" i="6" s="1"/>
  <c r="H284" i="6"/>
  <c r="I284" i="6" s="1"/>
  <c r="J284" i="6"/>
  <c r="O284" i="6"/>
  <c r="T284" i="6"/>
  <c r="W284" i="6"/>
  <c r="E285" i="6"/>
  <c r="F285" i="6" a="1"/>
  <c r="F285" i="6" s="1"/>
  <c r="H285" i="6"/>
  <c r="I285" i="6" s="1"/>
  <c r="J285" i="6"/>
  <c r="O285" i="6"/>
  <c r="T285" i="6"/>
  <c r="W285" i="6"/>
  <c r="E286" i="6"/>
  <c r="F286" i="6" a="1"/>
  <c r="F286" i="6" s="1"/>
  <c r="H286" i="6"/>
  <c r="I286" i="6" s="1"/>
  <c r="J286" i="6"/>
  <c r="O286" i="6"/>
  <c r="T286" i="6"/>
  <c r="W286" i="6"/>
  <c r="E287" i="6"/>
  <c r="F287" i="6" a="1"/>
  <c r="F287" i="6" s="1"/>
  <c r="H287" i="6"/>
  <c r="I287" i="6" s="1"/>
  <c r="J287" i="6"/>
  <c r="O287" i="6"/>
  <c r="T287" i="6"/>
  <c r="W287" i="6"/>
  <c r="E288" i="6"/>
  <c r="F288" i="6" a="1"/>
  <c r="F288" i="6" s="1"/>
  <c r="H288" i="6"/>
  <c r="I288" i="6" s="1"/>
  <c r="J288" i="6"/>
  <c r="O288" i="6"/>
  <c r="N288" i="6" s="1"/>
  <c r="T288" i="6"/>
  <c r="W288" i="6"/>
  <c r="E289" i="6"/>
  <c r="F289" i="6" a="1"/>
  <c r="F289" i="6" s="1"/>
  <c r="H289" i="6"/>
  <c r="I289" i="6" s="1"/>
  <c r="J289" i="6"/>
  <c r="O289" i="6"/>
  <c r="N289" i="6" s="1"/>
  <c r="T289" i="6"/>
  <c r="E290" i="6"/>
  <c r="F290" i="6" a="1"/>
  <c r="F290" i="6" s="1"/>
  <c r="H290" i="6"/>
  <c r="I290" i="6" s="1"/>
  <c r="J290" i="6"/>
  <c r="O290" i="6"/>
  <c r="T290" i="6"/>
  <c r="W290" i="6"/>
  <c r="E291" i="6"/>
  <c r="F291" i="6" a="1"/>
  <c r="F291" i="6" s="1"/>
  <c r="H291" i="6"/>
  <c r="I291" i="6" s="1"/>
  <c r="J291" i="6"/>
  <c r="O291" i="6"/>
  <c r="N291" i="6" s="1"/>
  <c r="T291" i="6"/>
  <c r="W291" i="6"/>
  <c r="E292" i="6"/>
  <c r="F292" i="6" a="1"/>
  <c r="F292" i="6" s="1"/>
  <c r="H292" i="6"/>
  <c r="I292" i="6" s="1"/>
  <c r="J292" i="6"/>
  <c r="O292" i="6"/>
  <c r="T292" i="6"/>
  <c r="U292" i="6"/>
  <c r="V292" i="6" a="1"/>
  <c r="V292" i="6" s="1"/>
  <c r="W292" i="6"/>
  <c r="E293" i="6"/>
  <c r="F293" i="6" a="1"/>
  <c r="F293" i="6" s="1"/>
  <c r="H293" i="6"/>
  <c r="I293" i="6" s="1"/>
  <c r="J293" i="6"/>
  <c r="O293" i="6"/>
  <c r="N293" i="6" s="1"/>
  <c r="T293" i="6"/>
  <c r="W293" i="6"/>
  <c r="E294" i="6"/>
  <c r="F294" i="6" a="1"/>
  <c r="F294" i="6" s="1"/>
  <c r="H294" i="6"/>
  <c r="I294" i="6" s="1"/>
  <c r="J294" i="6"/>
  <c r="O294" i="6"/>
  <c r="N294" i="6" s="1"/>
  <c r="T294" i="6"/>
  <c r="W294" i="6"/>
  <c r="E295" i="6"/>
  <c r="F295" i="6" a="1"/>
  <c r="F295" i="6" s="1"/>
  <c r="H295" i="6"/>
  <c r="I295" i="6" s="1"/>
  <c r="J295" i="6"/>
  <c r="O295" i="6"/>
  <c r="T295" i="6"/>
  <c r="W295" i="6"/>
  <c r="E296" i="6"/>
  <c r="F296" i="6" a="1"/>
  <c r="F296" i="6" s="1"/>
  <c r="H296" i="6"/>
  <c r="J296" i="6"/>
  <c r="O296" i="6"/>
  <c r="N296" i="6" s="1"/>
  <c r="T296" i="6"/>
  <c r="W296" i="6"/>
  <c r="E297" i="6"/>
  <c r="F297" i="6" a="1"/>
  <c r="F297" i="6" s="1"/>
  <c r="H297" i="6"/>
  <c r="I297" i="6" s="1"/>
  <c r="J297" i="6"/>
  <c r="O297" i="6"/>
  <c r="N297" i="6" s="1"/>
  <c r="T297" i="6"/>
  <c r="U297" i="6"/>
  <c r="V297" i="6" a="1"/>
  <c r="V297" i="6" s="1"/>
  <c r="W297" i="6"/>
  <c r="E298" i="6"/>
  <c r="F298" i="6" a="1"/>
  <c r="F298" i="6" s="1"/>
  <c r="H298" i="6"/>
  <c r="I298" i="6" s="1"/>
  <c r="J298" i="6"/>
  <c r="O298" i="6"/>
  <c r="T298" i="6"/>
  <c r="U298" i="6"/>
  <c r="V298" i="6" a="1"/>
  <c r="V298" i="6" s="1"/>
  <c r="W298" i="6"/>
  <c r="E299" i="6"/>
  <c r="F299" i="6" a="1"/>
  <c r="F299" i="6" s="1"/>
  <c r="H299" i="6"/>
  <c r="I299" i="6" s="1"/>
  <c r="J299" i="6"/>
  <c r="O299" i="6"/>
  <c r="N299" i="6" s="1"/>
  <c r="T299" i="6"/>
  <c r="U299" i="6"/>
  <c r="V299" i="6" a="1"/>
  <c r="V299" i="6" s="1"/>
  <c r="W299" i="6"/>
  <c r="E300" i="6"/>
  <c r="F300" i="6" a="1"/>
  <c r="F300" i="6" s="1"/>
  <c r="H300" i="6"/>
  <c r="J300" i="6"/>
  <c r="O300" i="6"/>
  <c r="N300" i="6" s="1"/>
  <c r="T300" i="6"/>
  <c r="W300" i="6"/>
  <c r="E301" i="6"/>
  <c r="F301" i="6" a="1"/>
  <c r="F301" i="6" s="1"/>
  <c r="H301" i="6"/>
  <c r="I301" i="6" s="1"/>
  <c r="J301" i="6"/>
  <c r="O301" i="6"/>
  <c r="T301" i="6"/>
  <c r="U301" i="6"/>
  <c r="V301" i="6" a="1"/>
  <c r="V301" i="6" s="1"/>
  <c r="W301" i="6"/>
  <c r="E302" i="6"/>
  <c r="F302" i="6" a="1"/>
  <c r="F302" i="6" s="1"/>
  <c r="H302" i="6"/>
  <c r="I302" i="6" s="1"/>
  <c r="J302" i="6"/>
  <c r="O302" i="6"/>
  <c r="N302" i="6" s="1"/>
  <c r="T302" i="6"/>
  <c r="U302" i="6"/>
  <c r="V302" i="6" a="1"/>
  <c r="V302" i="6" s="1"/>
  <c r="W302" i="6"/>
  <c r="E303" i="6"/>
  <c r="F303" i="6" a="1"/>
  <c r="F303" i="6" s="1"/>
  <c r="H303" i="6"/>
  <c r="I303" i="6" s="1"/>
  <c r="J303" i="6"/>
  <c r="O303" i="6"/>
  <c r="T303" i="6"/>
  <c r="W303" i="6"/>
  <c r="E304" i="6"/>
  <c r="F304" i="6" a="1"/>
  <c r="F304" i="6" s="1"/>
  <c r="H304" i="6"/>
  <c r="I304" i="6" s="1"/>
  <c r="J304" i="6"/>
  <c r="O304" i="6"/>
  <c r="T304" i="6"/>
  <c r="W304" i="6"/>
  <c r="E305" i="6"/>
  <c r="F305" i="6" a="1"/>
  <c r="F305" i="6" s="1"/>
  <c r="H305" i="6"/>
  <c r="I305" i="6" s="1"/>
  <c r="J305" i="6"/>
  <c r="O305" i="6"/>
  <c r="T305" i="6"/>
  <c r="U305" i="6"/>
  <c r="V305" i="6" a="1"/>
  <c r="V305" i="6" s="1"/>
  <c r="W305" i="6"/>
  <c r="E306" i="6"/>
  <c r="F306" i="6" a="1"/>
  <c r="F306" i="6" s="1"/>
  <c r="H306" i="6"/>
  <c r="I306" i="6" s="1"/>
  <c r="J306" i="6"/>
  <c r="O306" i="6"/>
  <c r="P306" i="6" s="1"/>
  <c r="T306" i="6"/>
  <c r="U306" i="6"/>
  <c r="V306" i="6" a="1"/>
  <c r="V306" i="6" s="1"/>
  <c r="W306" i="6"/>
  <c r="X306" i="6" s="1"/>
  <c r="E307" i="6"/>
  <c r="F307" i="6" a="1"/>
  <c r="F307" i="6" s="1"/>
  <c r="H307" i="6"/>
  <c r="I307" i="6" s="1"/>
  <c r="J307" i="6"/>
  <c r="O307" i="6"/>
  <c r="T307" i="6"/>
  <c r="W307" i="6"/>
  <c r="E308" i="6"/>
  <c r="F308" i="6" a="1"/>
  <c r="F308" i="6" s="1"/>
  <c r="H308" i="6"/>
  <c r="I308" i="6" s="1"/>
  <c r="J308" i="6"/>
  <c r="O308" i="6"/>
  <c r="T308" i="6"/>
  <c r="W308" i="6"/>
  <c r="E309" i="6"/>
  <c r="F309" i="6" a="1"/>
  <c r="F309" i="6" s="1"/>
  <c r="H309" i="6"/>
  <c r="I309" i="6" s="1"/>
  <c r="J309" i="6"/>
  <c r="O309" i="6"/>
  <c r="T309" i="6"/>
  <c r="W309" i="6"/>
  <c r="E310" i="6"/>
  <c r="F310" i="6" a="1"/>
  <c r="F310" i="6" s="1"/>
  <c r="H310" i="6"/>
  <c r="I310" i="6" s="1"/>
  <c r="J310" i="6"/>
  <c r="O310" i="6"/>
  <c r="T310" i="6"/>
  <c r="W310" i="6"/>
  <c r="E311" i="6"/>
  <c r="F311" i="6" a="1"/>
  <c r="F311" i="6" s="1"/>
  <c r="H311" i="6"/>
  <c r="I311" i="6" s="1"/>
  <c r="J311" i="6"/>
  <c r="O311" i="6"/>
  <c r="T311" i="6"/>
  <c r="W311" i="6"/>
  <c r="E312" i="6"/>
  <c r="F312" i="6" a="1"/>
  <c r="F312" i="6" s="1"/>
  <c r="H312" i="6"/>
  <c r="I312" i="6" s="1"/>
  <c r="J312" i="6"/>
  <c r="O312" i="6"/>
  <c r="N312" i="6" s="1"/>
  <c r="T312" i="6"/>
  <c r="U312" i="6"/>
  <c r="V312" i="6" a="1"/>
  <c r="V312" i="6" s="1"/>
  <c r="W312" i="6"/>
  <c r="E313" i="6"/>
  <c r="F313" i="6" a="1"/>
  <c r="F313" i="6" s="1"/>
  <c r="H313" i="6"/>
  <c r="I313" i="6" s="1"/>
  <c r="J313" i="6"/>
  <c r="O313" i="6"/>
  <c r="T313" i="6"/>
  <c r="W313" i="6"/>
  <c r="E314" i="6"/>
  <c r="F314" i="6" a="1"/>
  <c r="F314" i="6" s="1"/>
  <c r="H314" i="6"/>
  <c r="I314" i="6" s="1"/>
  <c r="J314" i="6"/>
  <c r="O314" i="6"/>
  <c r="N314" i="6" s="1"/>
  <c r="T314" i="6"/>
  <c r="W314" i="6"/>
  <c r="E315" i="6"/>
  <c r="F315" i="6" a="1"/>
  <c r="F315" i="6" s="1"/>
  <c r="H315" i="6"/>
  <c r="I315" i="6" s="1"/>
  <c r="J315" i="6"/>
  <c r="O315" i="6"/>
  <c r="N315" i="6" s="1"/>
  <c r="T315" i="6"/>
  <c r="W315" i="6"/>
  <c r="E316" i="6"/>
  <c r="F316" i="6" a="1"/>
  <c r="F316" i="6" s="1"/>
  <c r="H316" i="6"/>
  <c r="I316" i="6" s="1"/>
  <c r="J316" i="6"/>
  <c r="O316" i="6"/>
  <c r="T316" i="6"/>
  <c r="W316" i="6"/>
  <c r="E317" i="6"/>
  <c r="F317" i="6" a="1"/>
  <c r="F317" i="6" s="1"/>
  <c r="H317" i="6"/>
  <c r="I317" i="6" s="1"/>
  <c r="J317" i="6"/>
  <c r="O317" i="6"/>
  <c r="T317" i="6"/>
  <c r="U317" i="6"/>
  <c r="V317" i="6" a="1"/>
  <c r="V317" i="6" s="1"/>
  <c r="W317" i="6"/>
  <c r="X317" i="6" s="1"/>
  <c r="E318" i="6"/>
  <c r="F318" i="6" a="1"/>
  <c r="F318" i="6" s="1"/>
  <c r="H318" i="6"/>
  <c r="I318" i="6" s="1"/>
  <c r="J318" i="6"/>
  <c r="O318" i="6"/>
  <c r="N318" i="6" s="1"/>
  <c r="T318" i="6"/>
  <c r="W318" i="6"/>
  <c r="E319" i="6"/>
  <c r="F319" i="6" a="1"/>
  <c r="F319" i="6" s="1"/>
  <c r="H319" i="6"/>
  <c r="I319" i="6" s="1"/>
  <c r="J319" i="6"/>
  <c r="O319" i="6"/>
  <c r="T319" i="6"/>
  <c r="W319" i="6"/>
  <c r="E320" i="6"/>
  <c r="F320" i="6" a="1"/>
  <c r="F320" i="6" s="1"/>
  <c r="H320" i="6"/>
  <c r="I320" i="6" s="1"/>
  <c r="J320" i="6"/>
  <c r="O320" i="6"/>
  <c r="N320" i="6" s="1"/>
  <c r="T320" i="6"/>
  <c r="W320" i="6"/>
  <c r="E321" i="6"/>
  <c r="F321" i="6" a="1"/>
  <c r="F321" i="6" s="1"/>
  <c r="H321" i="6"/>
  <c r="I321" i="6" s="1"/>
  <c r="J321" i="6"/>
  <c r="O321" i="6"/>
  <c r="T321" i="6"/>
  <c r="W321" i="6"/>
  <c r="E322" i="6"/>
  <c r="F322" i="6" a="1"/>
  <c r="F322" i="6" s="1"/>
  <c r="H322" i="6"/>
  <c r="I322" i="6" s="1"/>
  <c r="J322" i="6"/>
  <c r="O322" i="6"/>
  <c r="T322" i="6"/>
  <c r="U322" i="6"/>
  <c r="V322" i="6" a="1"/>
  <c r="V322" i="6" s="1"/>
  <c r="W322" i="6"/>
  <c r="E323" i="6"/>
  <c r="F323" i="6" a="1"/>
  <c r="F323" i="6" s="1"/>
  <c r="H323" i="6"/>
  <c r="I323" i="6" s="1"/>
  <c r="J323" i="6"/>
  <c r="O323" i="6"/>
  <c r="N323" i="6" s="1"/>
  <c r="T323" i="6"/>
  <c r="U323" i="6"/>
  <c r="V323" i="6" a="1"/>
  <c r="V323" i="6" s="1"/>
  <c r="W323" i="6"/>
  <c r="E324" i="6"/>
  <c r="F324" i="6" a="1"/>
  <c r="F324" i="6" s="1"/>
  <c r="H324" i="6"/>
  <c r="I324" i="6" s="1"/>
  <c r="J324" i="6"/>
  <c r="O324" i="6"/>
  <c r="N324" i="6" s="1"/>
  <c r="T324" i="6"/>
  <c r="W324" i="6"/>
  <c r="E325" i="6"/>
  <c r="F325" i="6" a="1"/>
  <c r="F325" i="6" s="1"/>
  <c r="H325" i="6"/>
  <c r="I325" i="6" s="1"/>
  <c r="J325" i="6"/>
  <c r="O325" i="6"/>
  <c r="T325" i="6"/>
  <c r="W325" i="6"/>
  <c r="E326" i="6"/>
  <c r="F326" i="6" a="1"/>
  <c r="F326" i="6" s="1"/>
  <c r="H326" i="6"/>
  <c r="I326" i="6" s="1"/>
  <c r="J326" i="6"/>
  <c r="O326" i="6"/>
  <c r="N326" i="6" s="1"/>
  <c r="T326" i="6"/>
  <c r="W326" i="6"/>
  <c r="E327" i="6"/>
  <c r="F327" i="6" a="1"/>
  <c r="F327" i="6" s="1"/>
  <c r="H327" i="6"/>
  <c r="I327" i="6" s="1"/>
  <c r="J327" i="6"/>
  <c r="O327" i="6"/>
  <c r="T327" i="6"/>
  <c r="W327" i="6"/>
  <c r="E328" i="6"/>
  <c r="F328" i="6" a="1"/>
  <c r="F328" i="6" s="1"/>
  <c r="H328" i="6"/>
  <c r="I328" i="6" s="1"/>
  <c r="J328" i="6"/>
  <c r="O328" i="6"/>
  <c r="N328" i="6" s="1"/>
  <c r="T328" i="6"/>
  <c r="W328" i="6"/>
  <c r="E329" i="6"/>
  <c r="F329" i="6" a="1"/>
  <c r="F329" i="6" s="1"/>
  <c r="H329" i="6"/>
  <c r="I329" i="6" s="1"/>
  <c r="J329" i="6"/>
  <c r="O329" i="6"/>
  <c r="T329" i="6"/>
  <c r="W329" i="6"/>
  <c r="E330" i="6"/>
  <c r="F330" i="6" a="1"/>
  <c r="F330" i="6" s="1"/>
  <c r="H330" i="6"/>
  <c r="I330" i="6" s="1"/>
  <c r="J330" i="6"/>
  <c r="O330" i="6"/>
  <c r="T330" i="6"/>
  <c r="W330" i="6"/>
  <c r="E331" i="6"/>
  <c r="F331" i="6" a="1"/>
  <c r="F331" i="6" s="1"/>
  <c r="H331" i="6"/>
  <c r="I331" i="6" s="1"/>
  <c r="J331" i="6"/>
  <c r="O331" i="6"/>
  <c r="T331" i="6"/>
  <c r="W331" i="6"/>
  <c r="E332" i="6"/>
  <c r="F332" i="6" a="1"/>
  <c r="F332" i="6" s="1"/>
  <c r="H332" i="6"/>
  <c r="I332" i="6" s="1"/>
  <c r="J332" i="6"/>
  <c r="O332" i="6"/>
  <c r="N332" i="6" s="1"/>
  <c r="T332" i="6"/>
  <c r="U332" i="6"/>
  <c r="V332" i="6" a="1"/>
  <c r="V332" i="6" s="1"/>
  <c r="W332" i="6"/>
  <c r="E333" i="6"/>
  <c r="F333" i="6" a="1"/>
  <c r="F333" i="6" s="1"/>
  <c r="H333" i="6"/>
  <c r="I333" i="6" s="1"/>
  <c r="J333" i="6"/>
  <c r="O333" i="6"/>
  <c r="T333" i="6"/>
  <c r="U333" i="6"/>
  <c r="V333" i="6" a="1"/>
  <c r="V333" i="6" s="1"/>
  <c r="W333" i="6"/>
  <c r="E334" i="6"/>
  <c r="F334" i="6" a="1"/>
  <c r="F334" i="6" s="1"/>
  <c r="H334" i="6"/>
  <c r="I334" i="6" s="1"/>
  <c r="J334" i="6"/>
  <c r="O334" i="6"/>
  <c r="T334" i="6"/>
  <c r="W334" i="6"/>
  <c r="E335" i="6"/>
  <c r="F335" i="6" a="1"/>
  <c r="F335" i="6" s="1"/>
  <c r="H335" i="6"/>
  <c r="I335" i="6" s="1"/>
  <c r="J335" i="6"/>
  <c r="O335" i="6"/>
  <c r="T335" i="6"/>
  <c r="W335" i="6"/>
  <c r="E336" i="6"/>
  <c r="F336" i="6" a="1"/>
  <c r="F336" i="6" s="1"/>
  <c r="H336" i="6"/>
  <c r="I336" i="6" s="1"/>
  <c r="J336" i="6"/>
  <c r="O336" i="6"/>
  <c r="N336" i="6" s="1"/>
  <c r="T336" i="6"/>
  <c r="W336" i="6"/>
  <c r="E337" i="6"/>
  <c r="F337" i="6" a="1"/>
  <c r="F337" i="6" s="1"/>
  <c r="H337" i="6"/>
  <c r="I337" i="6" s="1"/>
  <c r="J337" i="6"/>
  <c r="O337" i="6"/>
  <c r="T337" i="6"/>
  <c r="U337" i="6"/>
  <c r="V337" i="6" a="1"/>
  <c r="V337" i="6" s="1"/>
  <c r="W337" i="6"/>
  <c r="E338" i="6"/>
  <c r="F338" i="6" a="1"/>
  <c r="F338" i="6" s="1"/>
  <c r="H338" i="6"/>
  <c r="I338" i="6" s="1"/>
  <c r="J338" i="6"/>
  <c r="O338" i="6"/>
  <c r="N338" i="6" s="1"/>
  <c r="T338" i="6"/>
  <c r="W338" i="6"/>
  <c r="E339" i="6"/>
  <c r="F339" i="6" a="1"/>
  <c r="F339" i="6" s="1"/>
  <c r="H339" i="6"/>
  <c r="I339" i="6" s="1"/>
  <c r="J339" i="6"/>
  <c r="O339" i="6"/>
  <c r="T339" i="6"/>
  <c r="W339" i="6"/>
  <c r="E340" i="6"/>
  <c r="F340" i="6" a="1"/>
  <c r="F340" i="6" s="1"/>
  <c r="H340" i="6"/>
  <c r="I340" i="6" s="1"/>
  <c r="J340" i="6"/>
  <c r="O340" i="6"/>
  <c r="N340" i="6" s="1"/>
  <c r="T340" i="6"/>
  <c r="E341" i="6"/>
  <c r="F341" i="6" a="1"/>
  <c r="F341" i="6" s="1"/>
  <c r="H341" i="6"/>
  <c r="I341" i="6" s="1"/>
  <c r="J341" i="6"/>
  <c r="O341" i="6"/>
  <c r="T341" i="6"/>
  <c r="W341" i="6"/>
  <c r="E342" i="6"/>
  <c r="F342" i="6" a="1"/>
  <c r="F342" i="6" s="1"/>
  <c r="H342" i="6"/>
  <c r="I342" i="6" s="1"/>
  <c r="J342" i="6"/>
  <c r="O342" i="6"/>
  <c r="T342" i="6"/>
  <c r="W342" i="6"/>
  <c r="E343" i="6"/>
  <c r="F343" i="6" a="1"/>
  <c r="F343" i="6" s="1"/>
  <c r="H343" i="6"/>
  <c r="I343" i="6" s="1"/>
  <c r="J343" i="6"/>
  <c r="O343" i="6"/>
  <c r="T343" i="6"/>
  <c r="W343" i="6"/>
  <c r="E344" i="6"/>
  <c r="F344" i="6" a="1"/>
  <c r="F344" i="6" s="1"/>
  <c r="H344" i="6"/>
  <c r="I344" i="6" s="1"/>
  <c r="J344" i="6"/>
  <c r="O344" i="6"/>
  <c r="N344" i="6" s="1"/>
  <c r="T344" i="6"/>
  <c r="W344" i="6"/>
  <c r="E345" i="6"/>
  <c r="F345" i="6" a="1"/>
  <c r="F345" i="6" s="1"/>
  <c r="H345" i="6"/>
  <c r="I345" i="6" s="1"/>
  <c r="J345" i="6"/>
  <c r="O345" i="6"/>
  <c r="T345" i="6"/>
  <c r="W345" i="6"/>
  <c r="E346" i="6"/>
  <c r="F346" i="6" a="1"/>
  <c r="F346" i="6" s="1"/>
  <c r="H346" i="6"/>
  <c r="I346" i="6" s="1"/>
  <c r="J346" i="6"/>
  <c r="O346" i="6"/>
  <c r="P346" i="6" s="1"/>
  <c r="T346" i="6"/>
  <c r="U346" i="6"/>
  <c r="V346" i="6" a="1"/>
  <c r="V346" i="6" s="1"/>
  <c r="E347" i="6"/>
  <c r="F347" i="6" a="1"/>
  <c r="F347" i="6" s="1"/>
  <c r="H347" i="6"/>
  <c r="I347" i="6" s="1"/>
  <c r="J347" i="6"/>
  <c r="O347" i="6"/>
  <c r="T347" i="6"/>
  <c r="W347" i="6"/>
  <c r="E348" i="6"/>
  <c r="F348" i="6" a="1"/>
  <c r="F348" i="6" s="1"/>
  <c r="H348" i="6"/>
  <c r="I348" i="6" s="1"/>
  <c r="J348" i="6"/>
  <c r="O348" i="6"/>
  <c r="N348" i="6" s="1"/>
  <c r="T348" i="6"/>
  <c r="U348" i="6"/>
  <c r="V348" i="6" a="1"/>
  <c r="V348" i="6" s="1"/>
  <c r="E349" i="6"/>
  <c r="F349" i="6" a="1"/>
  <c r="F349" i="6" s="1"/>
  <c r="H349" i="6"/>
  <c r="I349" i="6" s="1"/>
  <c r="J349" i="6"/>
  <c r="O349" i="6"/>
  <c r="T349" i="6"/>
  <c r="W349" i="6"/>
  <c r="E350" i="6"/>
  <c r="F350" i="6" a="1"/>
  <c r="F350" i="6" s="1"/>
  <c r="H350" i="6"/>
  <c r="I350" i="6" s="1"/>
  <c r="J350" i="6"/>
  <c r="O350" i="6"/>
  <c r="T350" i="6"/>
  <c r="E351" i="6"/>
  <c r="F351" i="6" a="1"/>
  <c r="F351" i="6" s="1"/>
  <c r="H351" i="6"/>
  <c r="I351" i="6" s="1"/>
  <c r="J351" i="6"/>
  <c r="O351" i="6"/>
  <c r="P351" i="6" s="1"/>
  <c r="T351" i="6"/>
  <c r="U351" i="6"/>
  <c r="V351" i="6" a="1"/>
  <c r="V351" i="6" s="1"/>
  <c r="W351" i="6"/>
  <c r="X351" i="6" s="1"/>
  <c r="E352" i="6"/>
  <c r="F352" i="6" a="1"/>
  <c r="F352" i="6" s="1"/>
  <c r="H352" i="6"/>
  <c r="I352" i="6" s="1"/>
  <c r="J352" i="6"/>
  <c r="O352" i="6"/>
  <c r="N352" i="6" s="1"/>
  <c r="T352" i="6"/>
  <c r="E353" i="6"/>
  <c r="F353" i="6" a="1"/>
  <c r="F353" i="6" s="1"/>
  <c r="H353" i="6"/>
  <c r="I353" i="6" s="1"/>
  <c r="J353" i="6"/>
  <c r="O353" i="6"/>
  <c r="T353" i="6"/>
  <c r="U353" i="6"/>
  <c r="V353" i="6" a="1"/>
  <c r="V353" i="6" s="1"/>
  <c r="W353" i="6"/>
  <c r="E354" i="6"/>
  <c r="F354" i="6" a="1"/>
  <c r="F354" i="6" s="1"/>
  <c r="H354" i="6"/>
  <c r="J354" i="6"/>
  <c r="O354" i="6"/>
  <c r="T354" i="6"/>
  <c r="U354" i="6"/>
  <c r="V354" i="6" a="1"/>
  <c r="V354" i="6" s="1"/>
  <c r="W354" i="6"/>
  <c r="X354" i="6" s="1"/>
  <c r="E355" i="6"/>
  <c r="F355" i="6" a="1"/>
  <c r="F355" i="6" s="1"/>
  <c r="H355" i="6"/>
  <c r="I355" i="6" s="1"/>
  <c r="J355" i="6"/>
  <c r="O355" i="6"/>
  <c r="T355" i="6"/>
  <c r="U355" i="6"/>
  <c r="V355" i="6" a="1"/>
  <c r="V355" i="6" s="1"/>
  <c r="W355" i="6"/>
  <c r="E356" i="6"/>
  <c r="F356" i="6" a="1"/>
  <c r="F356" i="6" s="1"/>
  <c r="H356" i="6"/>
  <c r="I356" i="6" s="1"/>
  <c r="J356" i="6"/>
  <c r="O356" i="6"/>
  <c r="T356" i="6"/>
  <c r="U356" i="6"/>
  <c r="V356" i="6" a="1"/>
  <c r="V356" i="6" s="1"/>
  <c r="W356" i="6"/>
  <c r="E357" i="6"/>
  <c r="F357" i="6" a="1"/>
  <c r="F357" i="6" s="1"/>
  <c r="H357" i="6"/>
  <c r="I357" i="6" s="1"/>
  <c r="J357" i="6"/>
  <c r="O357" i="6"/>
  <c r="T357" i="6"/>
  <c r="W357" i="6"/>
  <c r="E358" i="6"/>
  <c r="F358" i="6" a="1"/>
  <c r="F358" i="6" s="1"/>
  <c r="H358" i="6"/>
  <c r="I358" i="6" s="1"/>
  <c r="J358" i="6"/>
  <c r="O358" i="6"/>
  <c r="N358" i="6" s="1"/>
  <c r="T358" i="6"/>
  <c r="W358" i="6"/>
  <c r="E359" i="6"/>
  <c r="F359" i="6" a="1"/>
  <c r="F359" i="6" s="1"/>
  <c r="H359" i="6"/>
  <c r="I359" i="6" s="1"/>
  <c r="J359" i="6"/>
  <c r="O359" i="6"/>
  <c r="N359" i="6" s="1"/>
  <c r="T359" i="6"/>
  <c r="W359" i="6"/>
  <c r="E360" i="6"/>
  <c r="F360" i="6" a="1"/>
  <c r="F360" i="6" s="1"/>
  <c r="H360" i="6"/>
  <c r="I360" i="6" s="1"/>
  <c r="J360" i="6"/>
  <c r="O360" i="6"/>
  <c r="N360" i="6" s="1"/>
  <c r="T360" i="6"/>
  <c r="W360" i="6"/>
  <c r="E361" i="6"/>
  <c r="F361" i="6" a="1"/>
  <c r="F361" i="6" s="1"/>
  <c r="H361" i="6"/>
  <c r="I361" i="6" s="1"/>
  <c r="J361" i="6"/>
  <c r="O361" i="6"/>
  <c r="N361" i="6" s="1"/>
  <c r="T361" i="6"/>
  <c r="W361" i="6"/>
  <c r="E362" i="6"/>
  <c r="F362" i="6" a="1"/>
  <c r="F362" i="6" s="1"/>
  <c r="H362" i="6"/>
  <c r="I362" i="6" s="1"/>
  <c r="J362" i="6"/>
  <c r="O362" i="6"/>
  <c r="T362" i="6"/>
  <c r="E363" i="6"/>
  <c r="F363" i="6" a="1"/>
  <c r="F363" i="6" s="1"/>
  <c r="H363" i="6"/>
  <c r="I363" i="6" s="1"/>
  <c r="J363" i="6"/>
  <c r="O363" i="6"/>
  <c r="N363" i="6" s="1"/>
  <c r="T363" i="6"/>
  <c r="W363" i="6"/>
  <c r="E364" i="6"/>
  <c r="F364" i="6" a="1"/>
  <c r="F364" i="6" s="1"/>
  <c r="H364" i="6"/>
  <c r="I364" i="6" s="1"/>
  <c r="J364" i="6"/>
  <c r="O364" i="6"/>
  <c r="T364" i="6"/>
  <c r="W364" i="6"/>
  <c r="E365" i="6"/>
  <c r="F365" i="6" a="1"/>
  <c r="F365" i="6" s="1"/>
  <c r="H365" i="6"/>
  <c r="I365" i="6" s="1"/>
  <c r="J365" i="6"/>
  <c r="O365" i="6"/>
  <c r="N365" i="6" s="1"/>
  <c r="T365" i="6"/>
  <c r="U365" i="6"/>
  <c r="V365" i="6" a="1"/>
  <c r="V365" i="6" s="1"/>
  <c r="W365" i="6"/>
  <c r="E366" i="6"/>
  <c r="F366" i="6" a="1"/>
  <c r="F366" i="6" s="1"/>
  <c r="H366" i="6"/>
  <c r="I366" i="6" s="1"/>
  <c r="J366" i="6"/>
  <c r="O366" i="6"/>
  <c r="N366" i="6" s="1"/>
  <c r="T366" i="6"/>
  <c r="W366" i="6"/>
  <c r="E367" i="6"/>
  <c r="F367" i="6" a="1"/>
  <c r="F367" i="6" s="1"/>
  <c r="H367" i="6"/>
  <c r="I367" i="6" s="1"/>
  <c r="J367" i="6"/>
  <c r="O367" i="6"/>
  <c r="N367" i="6" s="1"/>
  <c r="T367" i="6"/>
  <c r="W367" i="6"/>
  <c r="E368" i="6"/>
  <c r="F368" i="6" a="1"/>
  <c r="F368" i="6" s="1"/>
  <c r="H368" i="6"/>
  <c r="I368" i="6" s="1"/>
  <c r="J368" i="6"/>
  <c r="O368" i="6"/>
  <c r="T368" i="6"/>
  <c r="W368" i="6"/>
  <c r="E369" i="6"/>
  <c r="F369" i="6" a="1"/>
  <c r="F369" i="6" s="1"/>
  <c r="H369" i="6"/>
  <c r="I369" i="6" s="1"/>
  <c r="J369" i="6"/>
  <c r="O369" i="6"/>
  <c r="N369" i="6" s="1"/>
  <c r="T369" i="6"/>
  <c r="W369" i="6"/>
  <c r="E370" i="6"/>
  <c r="F370" i="6" a="1"/>
  <c r="F370" i="6" s="1"/>
  <c r="H370" i="6"/>
  <c r="I370" i="6" s="1"/>
  <c r="J370" i="6"/>
  <c r="O370" i="6"/>
  <c r="N370" i="6" s="1"/>
  <c r="T370" i="6"/>
  <c r="W370" i="6"/>
  <c r="E371" i="6"/>
  <c r="F371" i="6" a="1"/>
  <c r="F371" i="6" s="1"/>
  <c r="H371" i="6"/>
  <c r="I371" i="6" s="1"/>
  <c r="J371" i="6"/>
  <c r="O371" i="6"/>
  <c r="N371" i="6" s="1"/>
  <c r="T371" i="6"/>
  <c r="E372" i="6"/>
  <c r="F372" i="6" a="1"/>
  <c r="F372" i="6" s="1"/>
  <c r="H372" i="6"/>
  <c r="I372" i="6" s="1"/>
  <c r="J372" i="6"/>
  <c r="O372" i="6"/>
  <c r="T372" i="6"/>
  <c r="W372" i="6"/>
  <c r="E373" i="6"/>
  <c r="F373" i="6" a="1"/>
  <c r="F373" i="6" s="1"/>
  <c r="H373" i="6"/>
  <c r="I373" i="6" s="1"/>
  <c r="J373" i="6"/>
  <c r="O373" i="6"/>
  <c r="T373" i="6"/>
  <c r="W373" i="6"/>
  <c r="E374" i="6"/>
  <c r="F374" i="6" a="1"/>
  <c r="F374" i="6" s="1"/>
  <c r="H374" i="6"/>
  <c r="I374" i="6" s="1"/>
  <c r="J374" i="6"/>
  <c r="O374" i="6"/>
  <c r="N374" i="6" s="1"/>
  <c r="T374" i="6"/>
  <c r="W374" i="6"/>
  <c r="E375" i="6"/>
  <c r="F375" i="6" a="1"/>
  <c r="F375" i="6" s="1"/>
  <c r="H375" i="6"/>
  <c r="I375" i="6" s="1"/>
  <c r="J375" i="6"/>
  <c r="O375" i="6"/>
  <c r="T375" i="6"/>
  <c r="W375" i="6"/>
  <c r="E376" i="6"/>
  <c r="F376" i="6" a="1"/>
  <c r="F376" i="6" s="1"/>
  <c r="H376" i="6"/>
  <c r="I376" i="6" s="1"/>
  <c r="J376" i="6"/>
  <c r="O376" i="6"/>
  <c r="T376" i="6"/>
  <c r="W376" i="6"/>
  <c r="E377" i="6"/>
  <c r="F377" i="6" a="1"/>
  <c r="F377" i="6" s="1"/>
  <c r="H377" i="6"/>
  <c r="I377" i="6" s="1"/>
  <c r="J377" i="6"/>
  <c r="O377" i="6"/>
  <c r="T377" i="6"/>
  <c r="U377" i="6"/>
  <c r="V377" i="6" a="1"/>
  <c r="V377" i="6" s="1"/>
  <c r="W377" i="6"/>
  <c r="E378" i="6"/>
  <c r="F378" i="6" a="1"/>
  <c r="F378" i="6" s="1"/>
  <c r="H378" i="6"/>
  <c r="I378" i="6" s="1"/>
  <c r="J378" i="6"/>
  <c r="O378" i="6"/>
  <c r="T378" i="6"/>
  <c r="U378" i="6"/>
  <c r="V378" i="6" a="1"/>
  <c r="V378" i="6" s="1"/>
  <c r="W378" i="6"/>
  <c r="E379" i="6"/>
  <c r="F379" i="6" a="1"/>
  <c r="F379" i="6" s="1"/>
  <c r="H379" i="6"/>
  <c r="I379" i="6" s="1"/>
  <c r="J379" i="6"/>
  <c r="O379" i="6"/>
  <c r="T379" i="6"/>
  <c r="U379" i="6"/>
  <c r="V379" i="6" a="1"/>
  <c r="V379" i="6" s="1"/>
  <c r="W379" i="6"/>
  <c r="E380" i="6"/>
  <c r="F380" i="6" a="1"/>
  <c r="F380" i="6" s="1"/>
  <c r="H380" i="6"/>
  <c r="I380" i="6" s="1"/>
  <c r="J380" i="6"/>
  <c r="O380" i="6"/>
  <c r="N380" i="6" s="1"/>
  <c r="T380" i="6"/>
  <c r="W380" i="6"/>
  <c r="E381" i="6"/>
  <c r="F381" i="6" a="1"/>
  <c r="F381" i="6" s="1"/>
  <c r="H381" i="6"/>
  <c r="I381" i="6" s="1"/>
  <c r="J381" i="6"/>
  <c r="O381" i="6"/>
  <c r="T381" i="6"/>
  <c r="W381" i="6"/>
  <c r="E382" i="6"/>
  <c r="F382" i="6" a="1"/>
  <c r="F382" i="6" s="1"/>
  <c r="H382" i="6"/>
  <c r="I382" i="6" s="1"/>
  <c r="J382" i="6"/>
  <c r="O382" i="6"/>
  <c r="N382" i="6" s="1"/>
  <c r="T382" i="6"/>
  <c r="U382" i="6"/>
  <c r="V382" i="6" a="1"/>
  <c r="V382" i="6" s="1"/>
  <c r="W382" i="6"/>
  <c r="E383" i="6"/>
  <c r="F383" i="6" a="1"/>
  <c r="F383" i="6" s="1"/>
  <c r="H383" i="6"/>
  <c r="I383" i="6" s="1"/>
  <c r="J383" i="6"/>
  <c r="O383" i="6"/>
  <c r="T383" i="6"/>
  <c r="W383" i="6"/>
  <c r="E384" i="6"/>
  <c r="F384" i="6" a="1"/>
  <c r="F384" i="6" s="1"/>
  <c r="H384" i="6"/>
  <c r="I384" i="6" s="1"/>
  <c r="J384" i="6"/>
  <c r="O384" i="6"/>
  <c r="T384" i="6"/>
  <c r="W384" i="6"/>
  <c r="E385" i="6"/>
  <c r="F385" i="6" a="1"/>
  <c r="F385" i="6" s="1"/>
  <c r="H385" i="6"/>
  <c r="I385" i="6" s="1"/>
  <c r="J385" i="6"/>
  <c r="O385" i="6"/>
  <c r="N385" i="6" s="1"/>
  <c r="T385" i="6"/>
  <c r="W385" i="6"/>
  <c r="E386" i="6"/>
  <c r="F386" i="6" a="1"/>
  <c r="F386" i="6" s="1"/>
  <c r="H386" i="6"/>
  <c r="J386" i="6"/>
  <c r="O386" i="6"/>
  <c r="T386" i="6"/>
  <c r="W386" i="6"/>
  <c r="E387" i="6"/>
  <c r="F387" i="6" a="1"/>
  <c r="F387" i="6" s="1"/>
  <c r="H387" i="6"/>
  <c r="I387" i="6" s="1"/>
  <c r="J387" i="6"/>
  <c r="O387" i="6"/>
  <c r="T387" i="6"/>
  <c r="W387" i="6"/>
  <c r="E388" i="6"/>
  <c r="F388" i="6" a="1"/>
  <c r="F388" i="6" s="1"/>
  <c r="H388" i="6"/>
  <c r="I388" i="6" s="1"/>
  <c r="J388" i="6"/>
  <c r="O388" i="6"/>
  <c r="W388" i="6" s="1"/>
  <c r="T388" i="6"/>
  <c r="E389" i="6"/>
  <c r="F389" i="6" a="1"/>
  <c r="F389" i="6" s="1"/>
  <c r="H389" i="6"/>
  <c r="I389" i="6" s="1"/>
  <c r="J389" i="6"/>
  <c r="O389" i="6"/>
  <c r="N389" i="6" s="1"/>
  <c r="T389" i="6"/>
  <c r="W389" i="6"/>
  <c r="E390" i="6"/>
  <c r="F390" i="6" a="1"/>
  <c r="F390" i="6" s="1"/>
  <c r="H390" i="6"/>
  <c r="I390" i="6" s="1"/>
  <c r="J390" i="6"/>
  <c r="O390" i="6"/>
  <c r="T390" i="6"/>
  <c r="U390" i="6"/>
  <c r="V390" i="6" a="1"/>
  <c r="V390" i="6" s="1"/>
  <c r="W390" i="6"/>
  <c r="E391" i="6"/>
  <c r="F391" i="6" a="1"/>
  <c r="F391" i="6" s="1"/>
  <c r="H391" i="6"/>
  <c r="I391" i="6" s="1"/>
  <c r="J391" i="6"/>
  <c r="O391" i="6"/>
  <c r="T391" i="6"/>
  <c r="U391" i="6"/>
  <c r="V391" i="6" a="1"/>
  <c r="V391" i="6" s="1"/>
  <c r="W391" i="6"/>
  <c r="E392" i="6"/>
  <c r="F392" i="6" a="1"/>
  <c r="F392" i="6" s="1"/>
  <c r="H392" i="6"/>
  <c r="I392" i="6" s="1"/>
  <c r="J392" i="6"/>
  <c r="O392" i="6"/>
  <c r="T392" i="6"/>
  <c r="W392" i="6"/>
  <c r="E393" i="6"/>
  <c r="F393" i="6" a="1"/>
  <c r="F393" i="6" s="1"/>
  <c r="H393" i="6"/>
  <c r="I393" i="6" s="1"/>
  <c r="J393" i="6"/>
  <c r="O393" i="6"/>
  <c r="T393" i="6"/>
  <c r="W393" i="6"/>
  <c r="E394" i="6"/>
  <c r="F394" i="6" a="1"/>
  <c r="F394" i="6" s="1"/>
  <c r="H394" i="6"/>
  <c r="I394" i="6" s="1"/>
  <c r="J394" i="6"/>
  <c r="O394" i="6"/>
  <c r="N394" i="6" s="1"/>
  <c r="T394" i="6"/>
  <c r="W394" i="6"/>
  <c r="E395" i="6"/>
  <c r="F395" i="6" a="1"/>
  <c r="F395" i="6" s="1"/>
  <c r="H395" i="6"/>
  <c r="I395" i="6" s="1"/>
  <c r="J395" i="6"/>
  <c r="O395" i="6"/>
  <c r="T395" i="6"/>
  <c r="W395" i="6"/>
  <c r="E396" i="6"/>
  <c r="F396" i="6" a="1"/>
  <c r="F396" i="6" s="1"/>
  <c r="H396" i="6"/>
  <c r="I396" i="6" s="1"/>
  <c r="J396" i="6"/>
  <c r="O396" i="6"/>
  <c r="T396" i="6"/>
  <c r="W396" i="6"/>
  <c r="E397" i="6"/>
  <c r="F397" i="6" a="1"/>
  <c r="F397" i="6" s="1"/>
  <c r="H397" i="6"/>
  <c r="I397" i="6" s="1"/>
  <c r="J397" i="6"/>
  <c r="O397" i="6"/>
  <c r="N397" i="6" s="1"/>
  <c r="T397" i="6"/>
  <c r="U397" i="6"/>
  <c r="V397" i="6" a="1"/>
  <c r="V397" i="6" s="1"/>
  <c r="W397" i="6"/>
  <c r="E398" i="6"/>
  <c r="F398" i="6" a="1"/>
  <c r="F398" i="6" s="1"/>
  <c r="H398" i="6"/>
  <c r="I398" i="6" s="1"/>
  <c r="J398" i="6"/>
  <c r="O398" i="6"/>
  <c r="N398" i="6" s="1"/>
  <c r="T398" i="6"/>
  <c r="U398" i="6"/>
  <c r="V398" i="6" a="1"/>
  <c r="V398" i="6" s="1"/>
  <c r="W398" i="6"/>
  <c r="E399" i="6"/>
  <c r="F399" i="6" a="1"/>
  <c r="F399" i="6" s="1"/>
  <c r="H399" i="6"/>
  <c r="I399" i="6" s="1"/>
  <c r="J399" i="6"/>
  <c r="O399" i="6"/>
  <c r="T399" i="6"/>
  <c r="W399" i="6"/>
  <c r="E400" i="6"/>
  <c r="F400" i="6" a="1"/>
  <c r="F400" i="6" s="1"/>
  <c r="H400" i="6"/>
  <c r="I400" i="6" s="1"/>
  <c r="J400" i="6"/>
  <c r="T400" i="6"/>
  <c r="U400" i="6"/>
  <c r="V400" i="6" a="1"/>
  <c r="V400" i="6" s="1"/>
  <c r="W400" i="6"/>
  <c r="E401" i="6"/>
  <c r="F401" i="6" a="1"/>
  <c r="F401" i="6" s="1"/>
  <c r="H401" i="6"/>
  <c r="I401" i="6" s="1"/>
  <c r="J401" i="6"/>
  <c r="T401" i="6"/>
  <c r="U401" i="6"/>
  <c r="V401" i="6" a="1"/>
  <c r="V401" i="6" s="1"/>
  <c r="E402" i="6"/>
  <c r="F402" i="6" a="1"/>
  <c r="F402" i="6" s="1"/>
  <c r="H402" i="6"/>
  <c r="I402" i="6" s="1"/>
  <c r="J402" i="6"/>
  <c r="O402" i="6"/>
  <c r="T402" i="6"/>
  <c r="U402" i="6"/>
  <c r="V402" i="6" a="1"/>
  <c r="V402" i="6" s="1"/>
  <c r="W402" i="6"/>
  <c r="E403" i="6"/>
  <c r="F403" i="6" a="1"/>
  <c r="F403" i="6" s="1"/>
  <c r="H403" i="6"/>
  <c r="I403" i="6" s="1"/>
  <c r="J403" i="6"/>
  <c r="T403" i="6"/>
  <c r="U403" i="6"/>
  <c r="V403" i="6" a="1"/>
  <c r="V403" i="6" s="1"/>
  <c r="W403" i="6"/>
  <c r="E404" i="6"/>
  <c r="F404" i="6" a="1"/>
  <c r="F404" i="6" s="1"/>
  <c r="H404" i="6"/>
  <c r="I404" i="6" s="1"/>
  <c r="J404" i="6"/>
  <c r="O404" i="6"/>
  <c r="T404" i="6"/>
  <c r="U404" i="6"/>
  <c r="V404" i="6" a="1"/>
  <c r="V404" i="6" s="1"/>
  <c r="W404" i="6"/>
  <c r="E405" i="6"/>
  <c r="F405" i="6" a="1"/>
  <c r="F405" i="6" s="1"/>
  <c r="H405" i="6"/>
  <c r="I405" i="6" s="1"/>
  <c r="J405" i="6"/>
  <c r="T405" i="6"/>
  <c r="U405" i="6"/>
  <c r="V405" i="6" a="1"/>
  <c r="V405" i="6" s="1"/>
  <c r="W405" i="6"/>
  <c r="E406" i="6"/>
  <c r="F406" i="6" a="1"/>
  <c r="F406" i="6" s="1"/>
  <c r="H406" i="6"/>
  <c r="I406" i="6" s="1"/>
  <c r="J406" i="6"/>
  <c r="O406" i="6"/>
  <c r="N406" i="6" s="1"/>
  <c r="T406" i="6"/>
  <c r="U406" i="6"/>
  <c r="V406" i="6" a="1"/>
  <c r="V406" i="6" s="1"/>
  <c r="W406" i="6"/>
  <c r="E407" i="6"/>
  <c r="F407" i="6" a="1"/>
  <c r="F407" i="6" s="1"/>
  <c r="H407" i="6"/>
  <c r="I407" i="6" s="1"/>
  <c r="J407" i="6"/>
  <c r="T407" i="6"/>
  <c r="U407" i="6"/>
  <c r="V407" i="6" a="1"/>
  <c r="V407" i="6" s="1"/>
  <c r="E408" i="6"/>
  <c r="F408" i="6" a="1"/>
  <c r="F408" i="6" s="1"/>
  <c r="H408" i="6"/>
  <c r="I408" i="6" s="1"/>
  <c r="J408" i="6"/>
  <c r="T408" i="6"/>
  <c r="U408" i="6"/>
  <c r="V408" i="6" a="1"/>
  <c r="V408" i="6" s="1"/>
  <c r="E409" i="6"/>
  <c r="F409" i="6" a="1"/>
  <c r="F409" i="6" s="1"/>
  <c r="H409" i="6"/>
  <c r="I409" i="6" s="1"/>
  <c r="J409" i="6"/>
  <c r="T409" i="6"/>
  <c r="U409" i="6"/>
  <c r="V409" i="6" a="1"/>
  <c r="V409" i="6" s="1"/>
  <c r="E410" i="6"/>
  <c r="F410" i="6" a="1"/>
  <c r="F410" i="6" s="1"/>
  <c r="H410" i="6"/>
  <c r="I410" i="6" s="1"/>
  <c r="J410" i="6"/>
  <c r="O410" i="6"/>
  <c r="T410" i="6"/>
  <c r="U410" i="6"/>
  <c r="V410" i="6" a="1"/>
  <c r="V410" i="6" s="1"/>
  <c r="W410" i="6"/>
  <c r="E411" i="6"/>
  <c r="F411" i="6" a="1"/>
  <c r="F411" i="6" s="1"/>
  <c r="H411" i="6"/>
  <c r="I411" i="6" s="1"/>
  <c r="J411" i="6"/>
  <c r="T411" i="6"/>
  <c r="U411" i="6"/>
  <c r="V411" i="6" a="1"/>
  <c r="V411" i="6" s="1"/>
  <c r="W411" i="6"/>
  <c r="E412" i="6"/>
  <c r="F412" i="6" a="1"/>
  <c r="F412" i="6" s="1"/>
  <c r="H412" i="6"/>
  <c r="I412" i="6" s="1"/>
  <c r="J412" i="6"/>
  <c r="O412" i="6"/>
  <c r="T412" i="6"/>
  <c r="U412" i="6"/>
  <c r="V412" i="6" a="1"/>
  <c r="V412" i="6" s="1"/>
  <c r="W412" i="6"/>
  <c r="E413" i="6"/>
  <c r="F413" i="6" a="1"/>
  <c r="F413" i="6" s="1"/>
  <c r="H413" i="6"/>
  <c r="I413" i="6" s="1"/>
  <c r="J413" i="6"/>
  <c r="T413" i="6"/>
  <c r="U413" i="6"/>
  <c r="V413" i="6" a="1"/>
  <c r="V413" i="6" s="1"/>
  <c r="E414" i="6"/>
  <c r="F414" i="6" a="1"/>
  <c r="F414" i="6" s="1"/>
  <c r="H414" i="6"/>
  <c r="I414" i="6" s="1"/>
  <c r="J414" i="6"/>
  <c r="O414" i="6"/>
  <c r="W414" i="6" s="1"/>
  <c r="T414" i="6"/>
  <c r="U414" i="6"/>
  <c r="V414" i="6" a="1"/>
  <c r="V414" i="6" s="1"/>
  <c r="E415" i="6"/>
  <c r="F415" i="6" a="1"/>
  <c r="F415" i="6" s="1"/>
  <c r="H415" i="6"/>
  <c r="I415" i="6" s="1"/>
  <c r="J415" i="6"/>
  <c r="T415" i="6"/>
  <c r="U415" i="6"/>
  <c r="V415" i="6" a="1"/>
  <c r="V415" i="6" s="1"/>
  <c r="W415" i="6"/>
  <c r="E416" i="6"/>
  <c r="F416" i="6" a="1"/>
  <c r="F416" i="6" s="1"/>
  <c r="H416" i="6"/>
  <c r="I416" i="6" s="1"/>
  <c r="J416" i="6"/>
  <c r="T416" i="6"/>
  <c r="U416" i="6"/>
  <c r="V416" i="6" a="1"/>
  <c r="V416" i="6" s="1"/>
  <c r="W416" i="6"/>
  <c r="E417" i="6"/>
  <c r="F417" i="6" a="1"/>
  <c r="F417" i="6" s="1"/>
  <c r="H417" i="6"/>
  <c r="I417" i="6" s="1"/>
  <c r="J417" i="6"/>
  <c r="T417" i="6"/>
  <c r="U417" i="6"/>
  <c r="V417" i="6" a="1"/>
  <c r="V417" i="6" s="1"/>
  <c r="W417" i="6"/>
  <c r="E418" i="6"/>
  <c r="F418" i="6" a="1"/>
  <c r="F418" i="6" s="1"/>
  <c r="H418" i="6"/>
  <c r="I418" i="6" s="1"/>
  <c r="J418" i="6"/>
  <c r="T418" i="6"/>
  <c r="U418" i="6"/>
  <c r="V418" i="6" a="1"/>
  <c r="V418" i="6" s="1"/>
  <c r="E419" i="6"/>
  <c r="F419" i="6" a="1"/>
  <c r="F419" i="6" s="1"/>
  <c r="H419" i="6"/>
  <c r="I419" i="6" s="1"/>
  <c r="J419" i="6"/>
  <c r="T419" i="6"/>
  <c r="U419" i="6"/>
  <c r="V419" i="6" a="1"/>
  <c r="V419" i="6" s="1"/>
  <c r="W419" i="6"/>
  <c r="E420" i="6"/>
  <c r="F420" i="6" a="1"/>
  <c r="F420" i="6" s="1"/>
  <c r="H420" i="6"/>
  <c r="I420" i="6" s="1"/>
  <c r="J420" i="6"/>
  <c r="T420" i="6"/>
  <c r="U420" i="6"/>
  <c r="V420" i="6" a="1"/>
  <c r="V420" i="6" s="1"/>
  <c r="E421" i="6"/>
  <c r="F421" i="6" a="1"/>
  <c r="F421" i="6" s="1"/>
  <c r="H421" i="6"/>
  <c r="I421" i="6" s="1"/>
  <c r="J421" i="6"/>
  <c r="T421" i="6"/>
  <c r="U421" i="6"/>
  <c r="V421" i="6" a="1"/>
  <c r="V421" i="6" s="1"/>
  <c r="W421" i="6"/>
  <c r="E422" i="6"/>
  <c r="F422" i="6" a="1"/>
  <c r="F422" i="6" s="1"/>
  <c r="H422" i="6"/>
  <c r="I422" i="6" s="1"/>
  <c r="J422" i="6"/>
  <c r="O422" i="6"/>
  <c r="T422" i="6"/>
  <c r="U422" i="6"/>
  <c r="V422" i="6" a="1"/>
  <c r="V422" i="6" s="1"/>
  <c r="W422" i="6"/>
  <c r="E423" i="6"/>
  <c r="F423" i="6" a="1"/>
  <c r="F423" i="6" s="1"/>
  <c r="H423" i="6"/>
  <c r="I423" i="6" s="1"/>
  <c r="J423" i="6"/>
  <c r="T423" i="6"/>
  <c r="U423" i="6"/>
  <c r="V423" i="6" a="1"/>
  <c r="V423" i="6" s="1"/>
  <c r="W423" i="6"/>
  <c r="E424" i="6"/>
  <c r="F424" i="6" a="1"/>
  <c r="F424" i="6" s="1"/>
  <c r="H424" i="6"/>
  <c r="I424" i="6" s="1"/>
  <c r="J424" i="6"/>
  <c r="O424" i="6"/>
  <c r="T424" i="6"/>
  <c r="U424" i="6"/>
  <c r="V424" i="6" a="1"/>
  <c r="V424" i="6" s="1"/>
  <c r="W424" i="6"/>
  <c r="E425" i="6"/>
  <c r="F425" i="6" a="1"/>
  <c r="F425" i="6" s="1"/>
  <c r="H425" i="6"/>
  <c r="I425" i="6" s="1"/>
  <c r="J425" i="6"/>
  <c r="T425" i="6"/>
  <c r="U425" i="6"/>
  <c r="V425" i="6" a="1"/>
  <c r="V425" i="6" s="1"/>
  <c r="E426" i="6"/>
  <c r="F426" i="6" a="1"/>
  <c r="F426" i="6" s="1"/>
  <c r="H426" i="6"/>
  <c r="I426" i="6" s="1"/>
  <c r="J426" i="6"/>
  <c r="O426" i="6"/>
  <c r="N426" i="6" s="1"/>
  <c r="T426" i="6"/>
  <c r="U426" i="6"/>
  <c r="V426" i="6" a="1"/>
  <c r="V426" i="6" s="1"/>
  <c r="W426" i="6"/>
  <c r="E427" i="6"/>
  <c r="F427" i="6" a="1"/>
  <c r="F427" i="6" s="1"/>
  <c r="H427" i="6"/>
  <c r="I427" i="6" s="1"/>
  <c r="J427" i="6"/>
  <c r="T427" i="6"/>
  <c r="U427" i="6"/>
  <c r="V427" i="6" a="1"/>
  <c r="V427" i="6" s="1"/>
  <c r="W427" i="6"/>
  <c r="E428" i="6"/>
  <c r="F428" i="6" a="1"/>
  <c r="F428" i="6" s="1"/>
  <c r="H428" i="6"/>
  <c r="I428" i="6" s="1"/>
  <c r="J428" i="6"/>
  <c r="T428" i="6"/>
  <c r="U428" i="6"/>
  <c r="V428" i="6" a="1"/>
  <c r="V428" i="6" s="1"/>
  <c r="W428" i="6"/>
  <c r="E429" i="6"/>
  <c r="F429" i="6" a="1"/>
  <c r="F429" i="6" s="1"/>
  <c r="H429" i="6"/>
  <c r="I429" i="6" s="1"/>
  <c r="J429" i="6"/>
  <c r="T429" i="6"/>
  <c r="U429" i="6"/>
  <c r="V429" i="6" a="1"/>
  <c r="V429" i="6" s="1"/>
  <c r="W429" i="6"/>
  <c r="E430" i="6"/>
  <c r="F430" i="6" a="1"/>
  <c r="F430" i="6" s="1"/>
  <c r="H430" i="6"/>
  <c r="I430" i="6" s="1"/>
  <c r="J430" i="6"/>
  <c r="O430" i="6"/>
  <c r="T430" i="6"/>
  <c r="U430" i="6"/>
  <c r="V430" i="6" a="1"/>
  <c r="V430" i="6" s="1"/>
  <c r="W430" i="6"/>
  <c r="E431" i="6"/>
  <c r="F431" i="6" a="1"/>
  <c r="F431" i="6" s="1"/>
  <c r="H431" i="6"/>
  <c r="I431" i="6" s="1"/>
  <c r="J431" i="6"/>
  <c r="T431" i="6"/>
  <c r="U431" i="6"/>
  <c r="V431" i="6" a="1"/>
  <c r="V431" i="6" s="1"/>
  <c r="W431" i="6"/>
  <c r="E432" i="6"/>
  <c r="F432" i="6" a="1"/>
  <c r="F432" i="6" s="1"/>
  <c r="H432" i="6"/>
  <c r="I432" i="6" s="1"/>
  <c r="J432" i="6"/>
  <c r="O432" i="6"/>
  <c r="T432" i="6"/>
  <c r="U432" i="6"/>
  <c r="V432" i="6" a="1"/>
  <c r="V432" i="6" s="1"/>
  <c r="W432" i="6"/>
  <c r="E433" i="6"/>
  <c r="F433" i="6" a="1"/>
  <c r="F433" i="6" s="1"/>
  <c r="H433" i="6"/>
  <c r="I433" i="6" s="1"/>
  <c r="J433" i="6"/>
  <c r="T433" i="6"/>
  <c r="U433" i="6"/>
  <c r="V433" i="6" a="1"/>
  <c r="V433" i="6" s="1"/>
  <c r="W433" i="6"/>
  <c r="E434" i="6"/>
  <c r="F434" i="6" a="1"/>
  <c r="F434" i="6" s="1"/>
  <c r="H434" i="6"/>
  <c r="I434" i="6" s="1"/>
  <c r="J434" i="6"/>
  <c r="O434" i="6"/>
  <c r="T434" i="6"/>
  <c r="U434" i="6"/>
  <c r="V434" i="6" a="1"/>
  <c r="V434" i="6" s="1"/>
  <c r="W434" i="6"/>
  <c r="E435" i="6"/>
  <c r="F435" i="6" a="1"/>
  <c r="F435" i="6" s="1"/>
  <c r="H435" i="6"/>
  <c r="I435" i="6" s="1"/>
  <c r="J435" i="6"/>
  <c r="T435" i="6"/>
  <c r="U435" i="6"/>
  <c r="V435" i="6" a="1"/>
  <c r="V435" i="6" s="1"/>
  <c r="W435" i="6"/>
  <c r="E436" i="6"/>
  <c r="F436" i="6" a="1"/>
  <c r="F436" i="6" s="1"/>
  <c r="H436" i="6"/>
  <c r="I436" i="6" s="1"/>
  <c r="J436" i="6"/>
  <c r="T436" i="6"/>
  <c r="U436" i="6"/>
  <c r="V436" i="6" a="1"/>
  <c r="V436" i="6" s="1"/>
  <c r="W436" i="6"/>
  <c r="E437" i="6"/>
  <c r="F437" i="6" a="1"/>
  <c r="F437" i="6" s="1"/>
  <c r="H437" i="6"/>
  <c r="I437" i="6" s="1"/>
  <c r="J437" i="6"/>
  <c r="T437" i="6"/>
  <c r="U437" i="6"/>
  <c r="V437" i="6" a="1"/>
  <c r="V437" i="6" s="1"/>
  <c r="W437" i="6"/>
  <c r="E438" i="6"/>
  <c r="F438" i="6" a="1"/>
  <c r="F438" i="6" s="1"/>
  <c r="H438" i="6"/>
  <c r="I438" i="6" s="1"/>
  <c r="J438" i="6"/>
  <c r="T438" i="6"/>
  <c r="U438" i="6"/>
  <c r="V438" i="6" a="1"/>
  <c r="V438" i="6" s="1"/>
  <c r="W438" i="6"/>
  <c r="E439" i="6"/>
  <c r="F439" i="6" a="1"/>
  <c r="F439" i="6" s="1"/>
  <c r="H439" i="6"/>
  <c r="I439" i="6" s="1"/>
  <c r="J439" i="6"/>
  <c r="T439" i="6"/>
  <c r="U439" i="6"/>
  <c r="V439" i="6" a="1"/>
  <c r="V439" i="6" s="1"/>
  <c r="W439" i="6"/>
  <c r="E440" i="6"/>
  <c r="F440" i="6" a="1"/>
  <c r="F440" i="6" s="1"/>
  <c r="H440" i="6"/>
  <c r="I440" i="6" s="1"/>
  <c r="J440" i="6"/>
  <c r="O440" i="6"/>
  <c r="T440" i="6"/>
  <c r="U440" i="6"/>
  <c r="V440" i="6" a="1"/>
  <c r="V440" i="6" s="1"/>
  <c r="W440" i="6"/>
  <c r="E441" i="6"/>
  <c r="F441" i="6" a="1"/>
  <c r="F441" i="6" s="1"/>
  <c r="H441" i="6"/>
  <c r="I441" i="6" s="1"/>
  <c r="J441" i="6"/>
  <c r="T441" i="6"/>
  <c r="U441" i="6"/>
  <c r="V441" i="6" a="1"/>
  <c r="V441" i="6" s="1"/>
  <c r="E442" i="6"/>
  <c r="F442" i="6" a="1"/>
  <c r="F442" i="6" s="1"/>
  <c r="H442" i="6"/>
  <c r="I442" i="6" s="1"/>
  <c r="J442" i="6"/>
  <c r="O442" i="6"/>
  <c r="T442" i="6"/>
  <c r="U442" i="6"/>
  <c r="V442" i="6" a="1"/>
  <c r="V442" i="6" s="1"/>
  <c r="W442" i="6"/>
  <c r="E443" i="6"/>
  <c r="F443" i="6" a="1"/>
  <c r="F443" i="6" s="1"/>
  <c r="H443" i="6"/>
  <c r="I443" i="6" s="1"/>
  <c r="J443" i="6"/>
  <c r="T443" i="6"/>
  <c r="U443" i="6"/>
  <c r="V443" i="6" a="1"/>
  <c r="V443" i="6" s="1"/>
  <c r="W443" i="6"/>
  <c r="E444" i="6"/>
  <c r="F444" i="6" a="1"/>
  <c r="F444" i="6" s="1"/>
  <c r="H444" i="6"/>
  <c r="I444" i="6" s="1"/>
  <c r="J444" i="6"/>
  <c r="T444" i="6"/>
  <c r="U444" i="6"/>
  <c r="V444" i="6" a="1"/>
  <c r="V444" i="6" s="1"/>
  <c r="W444" i="6"/>
  <c r="E445" i="6"/>
  <c r="F445" i="6" a="1"/>
  <c r="F445" i="6" s="1"/>
  <c r="H445" i="6"/>
  <c r="I445" i="6" s="1"/>
  <c r="J445" i="6"/>
  <c r="T445" i="6"/>
  <c r="U445" i="6"/>
  <c r="V445" i="6" a="1"/>
  <c r="V445" i="6" s="1"/>
  <c r="W445" i="6"/>
  <c r="E446" i="6"/>
  <c r="F446" i="6" a="1"/>
  <c r="F446" i="6" s="1"/>
  <c r="H446" i="6"/>
  <c r="I446" i="6" s="1"/>
  <c r="J446" i="6"/>
  <c r="O446" i="6"/>
  <c r="T446" i="6"/>
  <c r="U446" i="6"/>
  <c r="V446" i="6" a="1"/>
  <c r="V446" i="6" s="1"/>
  <c r="W446" i="6"/>
  <c r="E447" i="6"/>
  <c r="F447" i="6" a="1"/>
  <c r="F447" i="6" s="1"/>
  <c r="H447" i="6"/>
  <c r="I447" i="6" s="1"/>
  <c r="J447" i="6"/>
  <c r="T447" i="6"/>
  <c r="U447" i="6"/>
  <c r="V447" i="6" a="1"/>
  <c r="V447" i="6" s="1"/>
  <c r="W447" i="6"/>
  <c r="E448" i="6"/>
  <c r="F448" i="6" a="1"/>
  <c r="F448" i="6" s="1"/>
  <c r="H448" i="6"/>
  <c r="I448" i="6" s="1"/>
  <c r="J448" i="6"/>
  <c r="O448" i="6"/>
  <c r="T448" i="6"/>
  <c r="W448" i="6"/>
  <c r="E449" i="6"/>
  <c r="F449" i="6" a="1"/>
  <c r="F449" i="6" s="1"/>
  <c r="H449" i="6"/>
  <c r="I449" i="6" s="1"/>
  <c r="J449" i="6"/>
  <c r="T449" i="6"/>
  <c r="W449" i="6"/>
  <c r="D77" i="16"/>
  <c r="E77" i="16" a="1"/>
  <c r="E77" i="16" s="1"/>
  <c r="G77" i="16"/>
  <c r="H77" i="16" s="1"/>
  <c r="I77" i="16"/>
  <c r="N77" i="16"/>
  <c r="M77" i="16" s="1"/>
  <c r="S77" i="16"/>
  <c r="V77" i="16"/>
  <c r="X142" i="13" s="1"/>
  <c r="P759" i="6" l="1"/>
  <c r="P769" i="6"/>
  <c r="P766" i="6"/>
  <c r="P764" i="6"/>
  <c r="N132" i="6"/>
  <c r="P761" i="6"/>
  <c r="X765" i="6"/>
  <c r="X764" i="6"/>
  <c r="X132" i="6"/>
  <c r="X761" i="6"/>
  <c r="X759" i="6"/>
  <c r="W371" i="6"/>
  <c r="X371" i="6" s="1"/>
  <c r="P755" i="6"/>
  <c r="S755" i="6" s="1"/>
  <c r="X755" i="6"/>
  <c r="X84" i="6"/>
  <c r="X711" i="6"/>
  <c r="N84" i="6"/>
  <c r="P711" i="6"/>
  <c r="X753" i="6"/>
  <c r="P753" i="6"/>
  <c r="P724" i="6"/>
  <c r="P726" i="6"/>
  <c r="P725" i="6"/>
  <c r="X724" i="6"/>
  <c r="X726" i="6"/>
  <c r="X725" i="6"/>
  <c r="X722" i="6"/>
  <c r="P722" i="6"/>
  <c r="X79" i="6"/>
  <c r="X710" i="6"/>
  <c r="P79" i="6"/>
  <c r="X690" i="6"/>
  <c r="P690" i="6"/>
  <c r="X689" i="6"/>
  <c r="P688" i="6"/>
  <c r="P691" i="6"/>
  <c r="X719" i="6"/>
  <c r="P719" i="6"/>
  <c r="P751" i="6"/>
  <c r="X752" i="6"/>
  <c r="O576" i="13"/>
  <c r="S576" i="13"/>
  <c r="O568" i="13"/>
  <c r="S568" i="13"/>
  <c r="O560" i="13"/>
  <c r="S560" i="13"/>
  <c r="O552" i="13"/>
  <c r="S552" i="13"/>
  <c r="O544" i="13"/>
  <c r="S544" i="13"/>
  <c r="O536" i="13"/>
  <c r="S536" i="13"/>
  <c r="O532" i="13"/>
  <c r="S532" i="13"/>
  <c r="AH524" i="13" a="1"/>
  <c r="AH524" i="13" s="1"/>
  <c r="S524" i="13"/>
  <c r="O516" i="13"/>
  <c r="S516" i="13"/>
  <c r="O512" i="13"/>
  <c r="S512" i="13"/>
  <c r="AH579" i="13" a="1"/>
  <c r="AH579" i="13" s="1"/>
  <c r="S579" i="13"/>
  <c r="N575" i="13"/>
  <c r="Q575" i="13" s="1"/>
  <c r="S575" i="13"/>
  <c r="O571" i="13"/>
  <c r="S571" i="13"/>
  <c r="N567" i="13"/>
  <c r="Q567" i="13" s="1"/>
  <c r="S567" i="13"/>
  <c r="AH563" i="13" a="1"/>
  <c r="AH563" i="13" s="1"/>
  <c r="S563" i="13"/>
  <c r="O559" i="13"/>
  <c r="S559" i="13"/>
  <c r="O551" i="13"/>
  <c r="S551" i="13"/>
  <c r="AH547" i="13" a="1"/>
  <c r="AH547" i="13" s="1"/>
  <c r="S547" i="13"/>
  <c r="O539" i="13"/>
  <c r="S539" i="13"/>
  <c r="N535" i="13"/>
  <c r="Q535" i="13" s="1"/>
  <c r="S535" i="13"/>
  <c r="O531" i="13"/>
  <c r="S531" i="13"/>
  <c r="AH523" i="13" a="1"/>
  <c r="AH523" i="13" s="1"/>
  <c r="S523" i="13"/>
  <c r="O519" i="13"/>
  <c r="S519" i="13"/>
  <c r="AH515" i="13" a="1"/>
  <c r="AH515" i="13" s="1"/>
  <c r="S515" i="13"/>
  <c r="N511" i="13"/>
  <c r="Q511" i="13" s="1"/>
  <c r="S511" i="13"/>
  <c r="O580" i="13"/>
  <c r="S580" i="13"/>
  <c r="AH572" i="13" a="1"/>
  <c r="AH572" i="13" s="1"/>
  <c r="S572" i="13"/>
  <c r="O564" i="13"/>
  <c r="S564" i="13"/>
  <c r="AH556" i="13" a="1"/>
  <c r="AH556" i="13" s="1"/>
  <c r="S556" i="13"/>
  <c r="O548" i="13"/>
  <c r="S548" i="13"/>
  <c r="O528" i="13"/>
  <c r="S528" i="13"/>
  <c r="O520" i="13"/>
  <c r="S520" i="13"/>
  <c r="AH582" i="13" a="1"/>
  <c r="AH582" i="13" s="1"/>
  <c r="S582" i="13"/>
  <c r="N578" i="13"/>
  <c r="AM578" i="13" s="1"/>
  <c r="S578" i="13"/>
  <c r="O574" i="13"/>
  <c r="S574" i="13"/>
  <c r="O570" i="13"/>
  <c r="AH566" i="13" a="1"/>
  <c r="AH566" i="13" s="1"/>
  <c r="N562" i="13"/>
  <c r="AM562" i="13" s="1"/>
  <c r="S562" i="13"/>
  <c r="O558" i="13"/>
  <c r="S558" i="13"/>
  <c r="O554" i="13"/>
  <c r="S554" i="13"/>
  <c r="N550" i="13"/>
  <c r="Q550" i="13" s="1"/>
  <c r="S550" i="13"/>
  <c r="N546" i="13"/>
  <c r="AM546" i="13" s="1"/>
  <c r="S546" i="13"/>
  <c r="O542" i="13"/>
  <c r="S542" i="13"/>
  <c r="N538" i="13"/>
  <c r="Q538" i="13" s="1"/>
  <c r="S538" i="13"/>
  <c r="N534" i="13"/>
  <c r="Q534" i="13" s="1"/>
  <c r="S534" i="13"/>
  <c r="N530" i="13"/>
  <c r="AM530" i="13" s="1"/>
  <c r="S530" i="13"/>
  <c r="O526" i="13"/>
  <c r="S526" i="13"/>
  <c r="O522" i="13"/>
  <c r="S522" i="13"/>
  <c r="AH518" i="13" a="1"/>
  <c r="AH518" i="13" s="1"/>
  <c r="S518" i="13"/>
  <c r="N514" i="13"/>
  <c r="Q514" i="13" s="1"/>
  <c r="S514" i="13"/>
  <c r="O510" i="13"/>
  <c r="S510" i="13"/>
  <c r="N581" i="13"/>
  <c r="AM581" i="13" s="1"/>
  <c r="S581" i="13"/>
  <c r="N577" i="13"/>
  <c r="AM577" i="13" s="1"/>
  <c r="S577" i="13"/>
  <c r="N573" i="13"/>
  <c r="Q573" i="13" s="1"/>
  <c r="S573" i="13"/>
  <c r="AH569" i="13" a="1"/>
  <c r="AH569" i="13" s="1"/>
  <c r="S569" i="13"/>
  <c r="N565" i="13"/>
  <c r="AM565" i="13" s="1"/>
  <c r="S565" i="13"/>
  <c r="N561" i="13"/>
  <c r="Q561" i="13" s="1"/>
  <c r="S561" i="13"/>
  <c r="N557" i="13"/>
  <c r="AM557" i="13" s="1"/>
  <c r="S557" i="13"/>
  <c r="AH553" i="13" a="1"/>
  <c r="AH553" i="13" s="1"/>
  <c r="S553" i="13"/>
  <c r="N549" i="13"/>
  <c r="AM549" i="13" s="1"/>
  <c r="S549" i="13"/>
  <c r="N545" i="13"/>
  <c r="AM545" i="13" s="1"/>
  <c r="S545" i="13"/>
  <c r="N541" i="13"/>
  <c r="Q541" i="13" s="1"/>
  <c r="S541" i="13"/>
  <c r="AH537" i="13" a="1"/>
  <c r="AH537" i="13" s="1"/>
  <c r="S537" i="13"/>
  <c r="N533" i="13"/>
  <c r="Q533" i="13" s="1"/>
  <c r="S533" i="13"/>
  <c r="N529" i="13"/>
  <c r="AM529" i="13" s="1"/>
  <c r="S529" i="13"/>
  <c r="N525" i="13"/>
  <c r="Q525" i="13" s="1"/>
  <c r="S525" i="13"/>
  <c r="AH521" i="13" a="1"/>
  <c r="AH521" i="13" s="1"/>
  <c r="S521" i="13"/>
  <c r="N517" i="13"/>
  <c r="Q517" i="13" s="1"/>
  <c r="S517" i="13"/>
  <c r="N513" i="13"/>
  <c r="AM513" i="13" s="1"/>
  <c r="S513" i="13"/>
  <c r="X35" i="6"/>
  <c r="X751" i="6"/>
  <c r="X219" i="6"/>
  <c r="X749" i="6"/>
  <c r="X747" i="6"/>
  <c r="P747" i="6"/>
  <c r="X701" i="6"/>
  <c r="X706" i="6"/>
  <c r="X720" i="6"/>
  <c r="X703" i="6"/>
  <c r="X721" i="6"/>
  <c r="X715" i="6"/>
  <c r="P715" i="6"/>
  <c r="X699" i="6"/>
  <c r="X698" i="6"/>
  <c r="X683" i="6"/>
  <c r="P683" i="6"/>
  <c r="X704" i="6"/>
  <c r="X707" i="6"/>
  <c r="X693" i="6"/>
  <c r="X717" i="6"/>
  <c r="X716" i="6"/>
  <c r="X705" i="6"/>
  <c r="X714" i="6"/>
  <c r="P714" i="6"/>
  <c r="X78" i="6"/>
  <c r="X708" i="6"/>
  <c r="P78" i="6"/>
  <c r="X709" i="6"/>
  <c r="X713" i="6"/>
  <c r="X577" i="6"/>
  <c r="X684" i="6"/>
  <c r="P577" i="6"/>
  <c r="P684" i="6"/>
  <c r="X685" i="6"/>
  <c r="X718" i="6"/>
  <c r="X712" i="6"/>
  <c r="X702" i="6"/>
  <c r="X681" i="6"/>
  <c r="X697" i="6"/>
  <c r="N18" i="6"/>
  <c r="P679" i="6"/>
  <c r="X18" i="6"/>
  <c r="X679" i="6"/>
  <c r="P667" i="6"/>
  <c r="X232" i="6"/>
  <c r="P232" i="6"/>
  <c r="P662" i="6"/>
  <c r="X667" i="6"/>
  <c r="X663" i="6"/>
  <c r="X662" i="6"/>
  <c r="P650" i="6"/>
  <c r="X651" i="6"/>
  <c r="P66" i="6"/>
  <c r="P647" i="6"/>
  <c r="P641" i="6"/>
  <c r="X129" i="6"/>
  <c r="X653" i="6"/>
  <c r="P129" i="6"/>
  <c r="P653" i="6"/>
  <c r="X66" i="6"/>
  <c r="X647" i="6"/>
  <c r="P633" i="6"/>
  <c r="X109" i="6"/>
  <c r="X633" i="6"/>
  <c r="X301" i="6"/>
  <c r="X632" i="6"/>
  <c r="P624" i="6"/>
  <c r="N218" i="6"/>
  <c r="P623" i="6"/>
  <c r="P617" i="6"/>
  <c r="P618" i="6"/>
  <c r="X624" i="6"/>
  <c r="U626" i="6"/>
  <c r="X218" i="6"/>
  <c r="X623" i="6"/>
  <c r="P614" i="6"/>
  <c r="P235" i="6"/>
  <c r="P608" i="6"/>
  <c r="P587" i="6"/>
  <c r="X614" i="6"/>
  <c r="X235" i="6"/>
  <c r="X608" i="6"/>
  <c r="P591" i="6"/>
  <c r="P603" i="6"/>
  <c r="P595" i="6"/>
  <c r="P589" i="6"/>
  <c r="P592" i="6"/>
  <c r="P588" i="6"/>
  <c r="X610" i="6"/>
  <c r="X594" i="6"/>
  <c r="X587" i="6"/>
  <c r="X590" i="6"/>
  <c r="X588" i="6"/>
  <c r="W186" i="6"/>
  <c r="X186" i="6" s="1"/>
  <c r="X585" i="6"/>
  <c r="X582" i="6"/>
  <c r="N197" i="6"/>
  <c r="P566" i="6"/>
  <c r="P572" i="6"/>
  <c r="X197" i="6"/>
  <c r="X566" i="6"/>
  <c r="X205" i="6"/>
  <c r="W199" i="6"/>
  <c r="W230" i="6"/>
  <c r="X230" i="6" s="1"/>
  <c r="Z579" i="13"/>
  <c r="Z575" i="13"/>
  <c r="Z571" i="13"/>
  <c r="Z565" i="13"/>
  <c r="Z561" i="13"/>
  <c r="Z557" i="13"/>
  <c r="Z553" i="13"/>
  <c r="Z549" i="13"/>
  <c r="Z545" i="13"/>
  <c r="Z541" i="13"/>
  <c r="Z537" i="13"/>
  <c r="Z533" i="13"/>
  <c r="Z529" i="13"/>
  <c r="Z525" i="13"/>
  <c r="Z521" i="13"/>
  <c r="Z517" i="13"/>
  <c r="Z513" i="13"/>
  <c r="Z582" i="13"/>
  <c r="Z578" i="13"/>
  <c r="Z574" i="13"/>
  <c r="Z569" i="13"/>
  <c r="Z564" i="13"/>
  <c r="Z560" i="13"/>
  <c r="Z556" i="13"/>
  <c r="Z552" i="13"/>
  <c r="Z548" i="13"/>
  <c r="Z544" i="13"/>
  <c r="Z540" i="13"/>
  <c r="Z536" i="13"/>
  <c r="Z532" i="13"/>
  <c r="Z528" i="13"/>
  <c r="Z524" i="13"/>
  <c r="Z520" i="13"/>
  <c r="Z516" i="13"/>
  <c r="Z512" i="13"/>
  <c r="Z581" i="13"/>
  <c r="Z577" i="13"/>
  <c r="Z573" i="13"/>
  <c r="Z568" i="13"/>
  <c r="Z563" i="13"/>
  <c r="Z559" i="13"/>
  <c r="Z555" i="13"/>
  <c r="Z551" i="13"/>
  <c r="Z547" i="13"/>
  <c r="Z543" i="13"/>
  <c r="Z539" i="13"/>
  <c r="Z535" i="13"/>
  <c r="Z531" i="13"/>
  <c r="Z527" i="13"/>
  <c r="Z523" i="13"/>
  <c r="Z519" i="13"/>
  <c r="Z515" i="13"/>
  <c r="Z511" i="13"/>
  <c r="X358" i="6"/>
  <c r="Z580" i="13"/>
  <c r="Z576" i="13"/>
  <c r="Z572" i="13"/>
  <c r="Z567" i="13"/>
  <c r="Z562" i="13"/>
  <c r="Z558" i="13"/>
  <c r="Z554" i="13"/>
  <c r="Z550" i="13"/>
  <c r="Z546" i="13"/>
  <c r="Z542" i="13"/>
  <c r="Z538" i="13"/>
  <c r="Z534" i="13"/>
  <c r="Z530" i="13"/>
  <c r="Z526" i="13"/>
  <c r="Z522" i="13"/>
  <c r="Z518" i="13"/>
  <c r="Z514" i="13"/>
  <c r="Z510" i="13"/>
  <c r="U561" i="6"/>
  <c r="U563" i="6"/>
  <c r="X320" i="6"/>
  <c r="W289" i="6"/>
  <c r="W340" i="6"/>
  <c r="P559" i="6"/>
  <c r="P560" i="6"/>
  <c r="P557" i="6"/>
  <c r="P554" i="6"/>
  <c r="P558" i="6"/>
  <c r="X557" i="6"/>
  <c r="U559" i="6"/>
  <c r="X555" i="6"/>
  <c r="X554" i="6"/>
  <c r="X547" i="6"/>
  <c r="X551" i="6"/>
  <c r="X236" i="6"/>
  <c r="X553" i="6"/>
  <c r="X550" i="6"/>
  <c r="U551" i="6"/>
  <c r="X30" i="6"/>
  <c r="X548" i="6"/>
  <c r="P30" i="6"/>
  <c r="P548" i="6"/>
  <c r="P549" i="6"/>
  <c r="P75" i="6"/>
  <c r="P542" i="6"/>
  <c r="X75" i="6"/>
  <c r="X542" i="6"/>
  <c r="P404" i="6"/>
  <c r="P508" i="6"/>
  <c r="P540" i="6"/>
  <c r="N155" i="6"/>
  <c r="P535" i="6"/>
  <c r="N127" i="6"/>
  <c r="N123" i="6"/>
  <c r="N103" i="6"/>
  <c r="P510" i="6"/>
  <c r="P43" i="6"/>
  <c r="P515" i="6"/>
  <c r="N39" i="6"/>
  <c r="P507" i="6"/>
  <c r="N23" i="6"/>
  <c r="N11" i="6"/>
  <c r="P529" i="6"/>
  <c r="P518" i="6"/>
  <c r="P240" i="6"/>
  <c r="P541" i="6"/>
  <c r="N162" i="6"/>
  <c r="P154" i="6"/>
  <c r="P130" i="6"/>
  <c r="N122" i="6"/>
  <c r="P82" i="6"/>
  <c r="P534" i="6"/>
  <c r="P74" i="6"/>
  <c r="P62" i="6"/>
  <c r="P513" i="6"/>
  <c r="N96" i="6"/>
  <c r="P517" i="6"/>
  <c r="N353" i="6"/>
  <c r="P183" i="6"/>
  <c r="P161" i="6"/>
  <c r="P539" i="6"/>
  <c r="P145" i="6"/>
  <c r="P137" i="6"/>
  <c r="P125" i="6"/>
  <c r="N45" i="6"/>
  <c r="N21" i="6"/>
  <c r="P524" i="6"/>
  <c r="N9" i="6"/>
  <c r="N5" i="6"/>
  <c r="X540" i="6"/>
  <c r="X240" i="6"/>
  <c r="X541" i="6"/>
  <c r="X162" i="6"/>
  <c r="X538" i="6"/>
  <c r="X161" i="6"/>
  <c r="X539" i="6"/>
  <c r="X155" i="6"/>
  <c r="X535" i="6"/>
  <c r="X154" i="6"/>
  <c r="X536" i="6"/>
  <c r="X145" i="6"/>
  <c r="X537" i="6"/>
  <c r="X88" i="6"/>
  <c r="X82" i="6"/>
  <c r="X534" i="6"/>
  <c r="X62" i="6"/>
  <c r="X533" i="6"/>
  <c r="X531" i="6"/>
  <c r="X45" i="6"/>
  <c r="X532" i="6"/>
  <c r="X74" i="6"/>
  <c r="X530" i="6"/>
  <c r="X11" i="6"/>
  <c r="X529" i="6"/>
  <c r="X241" i="6"/>
  <c r="X528" i="6"/>
  <c r="X23" i="6"/>
  <c r="X526" i="6"/>
  <c r="X130" i="6"/>
  <c r="X527" i="6"/>
  <c r="X127" i="6"/>
  <c r="X522" i="6"/>
  <c r="X123" i="6"/>
  <c r="X260" i="6"/>
  <c r="X525" i="6"/>
  <c r="X125" i="6"/>
  <c r="X21" i="6"/>
  <c r="X524" i="6"/>
  <c r="X137" i="6"/>
  <c r="X519" i="6"/>
  <c r="X5" i="6"/>
  <c r="X520" i="6"/>
  <c r="X122" i="6"/>
  <c r="X96" i="6"/>
  <c r="X517" i="6"/>
  <c r="X59" i="6"/>
  <c r="X43" i="6"/>
  <c r="X515" i="6"/>
  <c r="X114" i="6"/>
  <c r="X514" i="6"/>
  <c r="X404" i="6"/>
  <c r="X508" i="6"/>
  <c r="X103" i="6"/>
  <c r="X510" i="6"/>
  <c r="X39" i="6"/>
  <c r="X507" i="6"/>
  <c r="X183" i="6"/>
  <c r="X509" i="6"/>
  <c r="X9" i="6"/>
  <c r="X504" i="6"/>
  <c r="U502" i="6"/>
  <c r="X238" i="6"/>
  <c r="X500" i="6"/>
  <c r="N238" i="6"/>
  <c r="P211" i="6"/>
  <c r="P497" i="6"/>
  <c r="N147" i="6"/>
  <c r="X147" i="6"/>
  <c r="X498" i="6"/>
  <c r="X211" i="6"/>
  <c r="X497" i="6"/>
  <c r="P362" i="6"/>
  <c r="P281" i="6"/>
  <c r="P483" i="6"/>
  <c r="X67" i="6"/>
  <c r="X496" i="6"/>
  <c r="X281" i="6"/>
  <c r="X483" i="6"/>
  <c r="P36" i="6"/>
  <c r="P494" i="6"/>
  <c r="P251" i="6"/>
  <c r="P8" i="6"/>
  <c r="P490" i="6"/>
  <c r="X251" i="6"/>
  <c r="X492" i="6"/>
  <c r="X171" i="6"/>
  <c r="X314" i="6"/>
  <c r="X8" i="6"/>
  <c r="X225" i="6"/>
  <c r="X207" i="6"/>
  <c r="X100" i="6"/>
  <c r="E566" i="13"/>
  <c r="G566" i="13" s="1"/>
  <c r="AL566" i="13" s="1"/>
  <c r="P488" i="6"/>
  <c r="N100" i="6"/>
  <c r="P13" i="6"/>
  <c r="P487" i="6"/>
  <c r="X13" i="6"/>
  <c r="X487" i="6"/>
  <c r="R92" i="16"/>
  <c r="X486" i="6"/>
  <c r="P486" i="6"/>
  <c r="P485" i="6"/>
  <c r="X485" i="6"/>
  <c r="P484" i="6"/>
  <c r="X484" i="6"/>
  <c r="N159" i="6"/>
  <c r="X231" i="6"/>
  <c r="X476" i="6"/>
  <c r="N512" i="13"/>
  <c r="Q512" i="13" s="1"/>
  <c r="W466" i="6"/>
  <c r="N3" i="6"/>
  <c r="P471" i="6"/>
  <c r="X6" i="6"/>
  <c r="N34" i="6"/>
  <c r="P469" i="6"/>
  <c r="X34" i="6"/>
  <c r="X470" i="6"/>
  <c r="N469" i="6"/>
  <c r="X469" i="6"/>
  <c r="G511" i="13"/>
  <c r="J511" i="13" s="1"/>
  <c r="R523" i="13"/>
  <c r="AH516" i="13" a="1"/>
  <c r="AH516" i="13" s="1"/>
  <c r="N536" i="13"/>
  <c r="Q536" i="13" s="1"/>
  <c r="E570" i="13"/>
  <c r="S570" i="13" s="1"/>
  <c r="N579" i="13"/>
  <c r="Q579" i="13" s="1"/>
  <c r="O527" i="13"/>
  <c r="N527" i="13"/>
  <c r="Q527" i="13" s="1"/>
  <c r="AG555" i="13" a="1"/>
  <c r="AG555" i="13" s="1"/>
  <c r="G555" i="13"/>
  <c r="AL555" i="13" s="1"/>
  <c r="AG547" i="13" a="1"/>
  <c r="AG547" i="13" s="1"/>
  <c r="H547" i="13"/>
  <c r="G535" i="13"/>
  <c r="AL535" i="13" s="1"/>
  <c r="AG535" i="13" a="1"/>
  <c r="AG535" i="13" s="1"/>
  <c r="H523" i="13"/>
  <c r="P534" i="13"/>
  <c r="P466" i="6"/>
  <c r="AH534" i="13" a="1"/>
  <c r="AH534" i="13" s="1"/>
  <c r="N522" i="13"/>
  <c r="AM522" i="13" s="1"/>
  <c r="R536" i="13"/>
  <c r="O530" i="13"/>
  <c r="AH568" i="13" a="1"/>
  <c r="AH568" i="13" s="1"/>
  <c r="AH536" i="13" a="1"/>
  <c r="AH536" i="13" s="1"/>
  <c r="R559" i="13"/>
  <c r="AP559" i="13" s="1"/>
  <c r="P522" i="13"/>
  <c r="N559" i="13"/>
  <c r="Q559" i="13" s="1"/>
  <c r="AD559" i="13" s="1"/>
  <c r="H542" i="13"/>
  <c r="O563" i="13"/>
  <c r="N539" i="13"/>
  <c r="Q539" i="13" s="1"/>
  <c r="N515" i="13"/>
  <c r="Q515" i="13" s="1"/>
  <c r="J571" i="13"/>
  <c r="AH541" i="13" a="1"/>
  <c r="AH541" i="13" s="1"/>
  <c r="R513" i="13"/>
  <c r="O578" i="13"/>
  <c r="N564" i="13"/>
  <c r="AM564" i="13" s="1"/>
  <c r="H575" i="13"/>
  <c r="AG554" i="13" a="1"/>
  <c r="AG554" i="13" s="1"/>
  <c r="AH581" i="13" a="1"/>
  <c r="AH581" i="13" s="1"/>
  <c r="AH549" i="13" a="1"/>
  <c r="AH549" i="13" s="1"/>
  <c r="AG582" i="13" a="1"/>
  <c r="AG582" i="13" s="1"/>
  <c r="R544" i="13"/>
  <c r="O533" i="13"/>
  <c r="N552" i="13"/>
  <c r="Q552" i="13" s="1"/>
  <c r="T535" i="13"/>
  <c r="AH557" i="13" a="1"/>
  <c r="AH557" i="13" s="1"/>
  <c r="O549" i="13"/>
  <c r="O525" i="13"/>
  <c r="K533" i="13"/>
  <c r="AP533" i="13" s="1"/>
  <c r="H574" i="13"/>
  <c r="AH577" i="13" a="1"/>
  <c r="AH577" i="13" s="1"/>
  <c r="AH548" i="13" a="1"/>
  <c r="AH548" i="13" s="1"/>
  <c r="T525" i="13"/>
  <c r="R543" i="13"/>
  <c r="P550" i="13"/>
  <c r="O565" i="13"/>
  <c r="N571" i="13"/>
  <c r="N547" i="13"/>
  <c r="Q547" i="13" s="1"/>
  <c r="AP553" i="13"/>
  <c r="AL582" i="13"/>
  <c r="AG578" i="13" a="1"/>
  <c r="AG578" i="13" s="1"/>
  <c r="K517" i="13"/>
  <c r="I569" i="13"/>
  <c r="AG574" i="13" a="1"/>
  <c r="AG574" i="13" s="1"/>
  <c r="H582" i="13"/>
  <c r="G578" i="13"/>
  <c r="K549" i="13"/>
  <c r="J574" i="13"/>
  <c r="J568" i="13"/>
  <c r="AL568" i="13"/>
  <c r="J562" i="13"/>
  <c r="AL562" i="13"/>
  <c r="AG523" i="13" a="1"/>
  <c r="AG523" i="13" s="1"/>
  <c r="AG563" i="13" a="1"/>
  <c r="AG563" i="13" s="1"/>
  <c r="AG543" i="13" a="1"/>
  <c r="AG543" i="13" s="1"/>
  <c r="AG530" i="13" a="1"/>
  <c r="AG530" i="13" s="1"/>
  <c r="H535" i="13"/>
  <c r="H511" i="13"/>
  <c r="G539" i="13"/>
  <c r="H563" i="13"/>
  <c r="G527" i="13"/>
  <c r="J527" i="13" s="1"/>
  <c r="AL523" i="13"/>
  <c r="J523" i="13"/>
  <c r="J519" i="13"/>
  <c r="AL519" i="13"/>
  <c r="AL515" i="13"/>
  <c r="J515" i="13"/>
  <c r="P467" i="6"/>
  <c r="AG519" i="13" a="1"/>
  <c r="AG519" i="13" s="1"/>
  <c r="H559" i="13"/>
  <c r="H543" i="13"/>
  <c r="H519" i="13"/>
  <c r="G551" i="13"/>
  <c r="AG527" i="13" a="1"/>
  <c r="AG527" i="13" s="1"/>
  <c r="H555" i="13"/>
  <c r="H531" i="13"/>
  <c r="H515" i="13"/>
  <c r="G547" i="13"/>
  <c r="G531" i="13"/>
  <c r="AL531" i="13" s="1"/>
  <c r="AG559" i="13" a="1"/>
  <c r="AG559" i="13" s="1"/>
  <c r="AG551" i="13" a="1"/>
  <c r="AG551" i="13" s="1"/>
  <c r="AG539" i="13" a="1"/>
  <c r="AG539" i="13" s="1"/>
  <c r="AG515" i="13" a="1"/>
  <c r="AG515" i="13" s="1"/>
  <c r="T558" i="13"/>
  <c r="AH574" i="13" a="1"/>
  <c r="AH574" i="13" s="1"/>
  <c r="AH514" i="13" a="1"/>
  <c r="AH514" i="13" s="1"/>
  <c r="O566" i="13"/>
  <c r="O538" i="13"/>
  <c r="N574" i="13"/>
  <c r="Q574" i="13" s="1"/>
  <c r="AH522" i="13" a="1"/>
  <c r="AH522" i="13" s="1"/>
  <c r="AH510" i="13" a="1"/>
  <c r="AH510" i="13" s="1"/>
  <c r="T553" i="13"/>
  <c r="R545" i="13"/>
  <c r="R529" i="13"/>
  <c r="P578" i="13"/>
  <c r="P533" i="13"/>
  <c r="O518" i="13"/>
  <c r="N558" i="13"/>
  <c r="AH578" i="13" a="1"/>
  <c r="AH578" i="13" s="1"/>
  <c r="P553" i="13"/>
  <c r="N582" i="13"/>
  <c r="Q582" i="13" s="1"/>
  <c r="AD582" i="13" s="1"/>
  <c r="N566" i="13"/>
  <c r="Q566" i="13" s="1"/>
  <c r="AH576" i="13" a="1"/>
  <c r="AH576" i="13" s="1"/>
  <c r="AH544" i="13" a="1"/>
  <c r="AH544" i="13" s="1"/>
  <c r="R551" i="13"/>
  <c r="R515" i="13"/>
  <c r="P571" i="13"/>
  <c r="N560" i="13"/>
  <c r="N548" i="13"/>
  <c r="AM548" i="13" s="1"/>
  <c r="N532" i="13"/>
  <c r="Q532" i="13" s="1"/>
  <c r="N520" i="13"/>
  <c r="AH564" i="13" a="1"/>
  <c r="AH564" i="13" s="1"/>
  <c r="AH552" i="13" a="1"/>
  <c r="AH552" i="13" s="1"/>
  <c r="AH532" i="13" a="1"/>
  <c r="AH532" i="13" s="1"/>
  <c r="AH512" i="13" a="1"/>
  <c r="AH512" i="13" s="1"/>
  <c r="R575" i="13"/>
  <c r="R535" i="13"/>
  <c r="P567" i="13"/>
  <c r="P547" i="13"/>
  <c r="N528" i="13"/>
  <c r="N516" i="13"/>
  <c r="AH540" i="13" a="1"/>
  <c r="AH540" i="13" s="1"/>
  <c r="AH528" i="13" a="1"/>
  <c r="AH528" i="13" s="1"/>
  <c r="AH520" i="13" a="1"/>
  <c r="AH520" i="13" s="1"/>
  <c r="P555" i="13"/>
  <c r="N580" i="13"/>
  <c r="R580" i="13"/>
  <c r="R572" i="13"/>
  <c r="R564" i="13"/>
  <c r="R556" i="13"/>
  <c r="R548" i="13"/>
  <c r="R528" i="13"/>
  <c r="R520" i="13"/>
  <c r="O577" i="13"/>
  <c r="O545" i="13"/>
  <c r="AH533" i="13" a="1"/>
  <c r="AH533" i="13" s="1"/>
  <c r="AH580" i="13" a="1"/>
  <c r="AH580" i="13" s="1"/>
  <c r="AH561" i="13" a="1"/>
  <c r="AH561" i="13" s="1"/>
  <c r="AH545" i="13" a="1"/>
  <c r="AH545" i="13" s="1"/>
  <c r="AH517" i="13" a="1"/>
  <c r="AH517" i="13" s="1"/>
  <c r="AH513" i="13" a="1"/>
  <c r="AH513" i="13" s="1"/>
  <c r="T531" i="13"/>
  <c r="R579" i="13"/>
  <c r="R563" i="13"/>
  <c r="R540" i="13"/>
  <c r="R532" i="13"/>
  <c r="R527" i="13"/>
  <c r="R519" i="13"/>
  <c r="R512" i="13"/>
  <c r="P539" i="13"/>
  <c r="P531" i="13"/>
  <c r="P516" i="13"/>
  <c r="O573" i="13"/>
  <c r="O561" i="13"/>
  <c r="O541" i="13"/>
  <c r="O517" i="13"/>
  <c r="N568" i="13"/>
  <c r="AH525" i="13" a="1"/>
  <c r="AH525" i="13" s="1"/>
  <c r="AH573" i="13" a="1"/>
  <c r="AH573" i="13" s="1"/>
  <c r="AH565" i="13" a="1"/>
  <c r="AH565" i="13" s="1"/>
  <c r="AH529" i="13" a="1"/>
  <c r="AH529" i="13" s="1"/>
  <c r="R576" i="13"/>
  <c r="R568" i="13"/>
  <c r="R560" i="13"/>
  <c r="R552" i="13"/>
  <c r="R524" i="13"/>
  <c r="R511" i="13"/>
  <c r="O581" i="13"/>
  <c r="O557" i="13"/>
  <c r="O529" i="13"/>
  <c r="O513" i="13"/>
  <c r="N576" i="13"/>
  <c r="N544" i="13"/>
  <c r="AH550" i="13" a="1"/>
  <c r="AH550" i="13" s="1"/>
  <c r="AH538" i="13" a="1"/>
  <c r="AH538" i="13" s="1"/>
  <c r="AH530" i="13" a="1"/>
  <c r="AH530" i="13" s="1"/>
  <c r="AH526" i="13" a="1"/>
  <c r="AH526" i="13" s="1"/>
  <c r="T537" i="13"/>
  <c r="T517" i="13"/>
  <c r="R549" i="13"/>
  <c r="R517" i="13"/>
  <c r="P577" i="13"/>
  <c r="P561" i="13"/>
  <c r="P537" i="13"/>
  <c r="O546" i="13"/>
  <c r="O534" i="13"/>
  <c r="N554" i="13"/>
  <c r="AH554" i="13" a="1"/>
  <c r="AH554" i="13" s="1"/>
  <c r="AH546" i="13" a="1"/>
  <c r="AH546" i="13" s="1"/>
  <c r="AH542" i="13" a="1"/>
  <c r="AH542" i="13" s="1"/>
  <c r="R521" i="13"/>
  <c r="P566" i="13"/>
  <c r="O582" i="13"/>
  <c r="O514" i="13"/>
  <c r="N570" i="13"/>
  <c r="N518" i="13"/>
  <c r="N510" i="13"/>
  <c r="AH562" i="13" a="1"/>
  <c r="AH562" i="13" s="1"/>
  <c r="AH558" i="13" a="1"/>
  <c r="AH558" i="13" s="1"/>
  <c r="R557" i="13"/>
  <c r="R541" i="13"/>
  <c r="R525" i="13"/>
  <c r="P573" i="13"/>
  <c r="P565" i="13"/>
  <c r="O562" i="13"/>
  <c r="O550" i="13"/>
  <c r="N542" i="13"/>
  <c r="N526" i="13"/>
  <c r="AH575" i="13" a="1"/>
  <c r="AH575" i="13" s="1"/>
  <c r="AH567" i="13" a="1"/>
  <c r="AH567" i="13" s="1"/>
  <c r="AH559" i="13" a="1"/>
  <c r="AH559" i="13" s="1"/>
  <c r="AH551" i="13" a="1"/>
  <c r="AH551" i="13" s="1"/>
  <c r="AH543" i="13" a="1"/>
  <c r="AH543" i="13" s="1"/>
  <c r="AH535" i="13" a="1"/>
  <c r="AH535" i="13" s="1"/>
  <c r="AH527" i="13" a="1"/>
  <c r="AH527" i="13" s="1"/>
  <c r="AH519" i="13" a="1"/>
  <c r="AH519" i="13" s="1"/>
  <c r="AH511" i="13" a="1"/>
  <c r="AH511" i="13" s="1"/>
  <c r="T514" i="13"/>
  <c r="P554" i="13"/>
  <c r="P538" i="13"/>
  <c r="P526" i="13"/>
  <c r="P514" i="13"/>
  <c r="O575" i="13"/>
  <c r="O567" i="13"/>
  <c r="O555" i="13"/>
  <c r="O543" i="13"/>
  <c r="O535" i="13"/>
  <c r="O523" i="13"/>
  <c r="O511" i="13"/>
  <c r="N551" i="13"/>
  <c r="N519" i="13"/>
  <c r="T579" i="13"/>
  <c r="T559" i="13"/>
  <c r="T578" i="13"/>
  <c r="T542" i="13"/>
  <c r="T530" i="13"/>
  <c r="R582" i="13"/>
  <c r="R574" i="13"/>
  <c r="AP574" i="13" s="1"/>
  <c r="R570" i="13"/>
  <c r="R562" i="13"/>
  <c r="R558" i="13"/>
  <c r="R546" i="13"/>
  <c r="R542" i="13"/>
  <c r="R530" i="13"/>
  <c r="AP530" i="13" s="1"/>
  <c r="R518" i="13"/>
  <c r="R510" i="13"/>
  <c r="O579" i="13"/>
  <c r="O547" i="13"/>
  <c r="O515" i="13"/>
  <c r="N563" i="13"/>
  <c r="N555" i="13"/>
  <c r="N543" i="13"/>
  <c r="N531" i="13"/>
  <c r="N523" i="13"/>
  <c r="AP526" i="13"/>
  <c r="T518" i="13"/>
  <c r="T510" i="13"/>
  <c r="AH571" i="13" a="1"/>
  <c r="AH571" i="13" s="1"/>
  <c r="AH555" i="13" a="1"/>
  <c r="AH555" i="13" s="1"/>
  <c r="AH539" i="13" a="1"/>
  <c r="AH539" i="13" s="1"/>
  <c r="AH531" i="13" a="1"/>
  <c r="AH531" i="13" s="1"/>
  <c r="T569" i="13"/>
  <c r="R581" i="13"/>
  <c r="R569" i="13"/>
  <c r="AP569" i="13" s="1"/>
  <c r="AP573" i="13"/>
  <c r="T573" i="13"/>
  <c r="T557" i="13"/>
  <c r="T549" i="13"/>
  <c r="T541" i="13"/>
  <c r="T533" i="13"/>
  <c r="I574" i="13"/>
  <c r="T574" i="13"/>
  <c r="T546" i="13"/>
  <c r="K546" i="13"/>
  <c r="T538" i="13"/>
  <c r="K538" i="13"/>
  <c r="AP538" i="13" s="1"/>
  <c r="I522" i="13"/>
  <c r="K522" i="13"/>
  <c r="AP522" i="13" s="1"/>
  <c r="G575" i="13"/>
  <c r="J575" i="13" s="1"/>
  <c r="G567" i="13"/>
  <c r="H546" i="13"/>
  <c r="AG546" i="13" a="1"/>
  <c r="AG546" i="13" s="1"/>
  <c r="H538" i="13"/>
  <c r="AG522" i="13" a="1"/>
  <c r="AG522" i="13" s="1"/>
  <c r="K558" i="13"/>
  <c r="K542" i="13"/>
  <c r="K510" i="13"/>
  <c r="I546" i="13"/>
  <c r="I530" i="13"/>
  <c r="H522" i="13"/>
  <c r="G538" i="13"/>
  <c r="I581" i="13"/>
  <c r="K581" i="13"/>
  <c r="I577" i="13"/>
  <c r="K577" i="13"/>
  <c r="AP577" i="13" s="1"/>
  <c r="I565" i="13"/>
  <c r="T565" i="13"/>
  <c r="I561" i="13"/>
  <c r="K561" i="13"/>
  <c r="AP561" i="13" s="1"/>
  <c r="K545" i="13"/>
  <c r="I545" i="13"/>
  <c r="K537" i="13"/>
  <c r="AP537" i="13" s="1"/>
  <c r="I537" i="13"/>
  <c r="T529" i="13"/>
  <c r="I521" i="13"/>
  <c r="K521" i="13"/>
  <c r="T521" i="13"/>
  <c r="I562" i="13"/>
  <c r="T562" i="13"/>
  <c r="I554" i="13"/>
  <c r="T554" i="13"/>
  <c r="K554" i="13"/>
  <c r="AP554" i="13" s="1"/>
  <c r="I534" i="13"/>
  <c r="T534" i="13"/>
  <c r="I526" i="13"/>
  <c r="T526" i="13"/>
  <c r="I514" i="13"/>
  <c r="K514" i="13"/>
  <c r="AP514" i="13" s="1"/>
  <c r="H579" i="13"/>
  <c r="AG579" i="13" a="1"/>
  <c r="AG579" i="13" s="1"/>
  <c r="AG571" i="13" a="1"/>
  <c r="AG571" i="13" s="1"/>
  <c r="H571" i="13"/>
  <c r="H562" i="13"/>
  <c r="AG562" i="13" a="1"/>
  <c r="AG562" i="13" s="1"/>
  <c r="G558" i="13"/>
  <c r="AG558" i="13" a="1"/>
  <c r="AG558" i="13" s="1"/>
  <c r="G550" i="13"/>
  <c r="AG550" i="13" a="1"/>
  <c r="AG550" i="13" s="1"/>
  <c r="G542" i="13"/>
  <c r="AL542" i="13" s="1"/>
  <c r="G534" i="13"/>
  <c r="AG534" i="13" a="1"/>
  <c r="AG534" i="13" s="1"/>
  <c r="G526" i="13"/>
  <c r="H526" i="13"/>
  <c r="G518" i="13"/>
  <c r="H518" i="13"/>
  <c r="AG518" i="13" a="1"/>
  <c r="AG518" i="13" s="1"/>
  <c r="G510" i="13"/>
  <c r="H510" i="13"/>
  <c r="AG567" i="13" a="1"/>
  <c r="AG567" i="13" s="1"/>
  <c r="AG514" i="13" a="1"/>
  <c r="AG514" i="13" s="1"/>
  <c r="T566" i="13"/>
  <c r="T550" i="13"/>
  <c r="T522" i="13"/>
  <c r="T581" i="13"/>
  <c r="T577" i="13"/>
  <c r="K566" i="13"/>
  <c r="AP566" i="13" s="1"/>
  <c r="K557" i="13"/>
  <c r="K541" i="13"/>
  <c r="K525" i="13"/>
  <c r="J530" i="13"/>
  <c r="I553" i="13"/>
  <c r="I541" i="13"/>
  <c r="I510" i="13"/>
  <c r="H567" i="13"/>
  <c r="H558" i="13"/>
  <c r="H530" i="13"/>
  <c r="G579" i="13"/>
  <c r="G546" i="13"/>
  <c r="G514" i="13"/>
  <c r="T582" i="13"/>
  <c r="T561" i="13"/>
  <c r="T545" i="13"/>
  <c r="K582" i="13"/>
  <c r="K565" i="13"/>
  <c r="AP565" i="13" s="1"/>
  <c r="K550" i="13"/>
  <c r="AP550" i="13" s="1"/>
  <c r="K534" i="13"/>
  <c r="AP534" i="13" s="1"/>
  <c r="K518" i="13"/>
  <c r="I573" i="13"/>
  <c r="I538" i="13"/>
  <c r="H534" i="13"/>
  <c r="J563" i="13"/>
  <c r="AL563" i="13"/>
  <c r="G554" i="13"/>
  <c r="AL554" i="13" s="1"/>
  <c r="G522" i="13"/>
  <c r="T513" i="13"/>
  <c r="K513" i="13"/>
  <c r="J536" i="13"/>
  <c r="AL536" i="13"/>
  <c r="G560" i="13"/>
  <c r="H552" i="13"/>
  <c r="AG552" i="13" a="1"/>
  <c r="AG552" i="13" s="1"/>
  <c r="G552" i="13"/>
  <c r="G544" i="13"/>
  <c r="AG544" i="13" a="1"/>
  <c r="AG544" i="13" s="1"/>
  <c r="H544" i="13"/>
  <c r="G532" i="13"/>
  <c r="H524" i="13"/>
  <c r="G524" i="13"/>
  <c r="H516" i="13"/>
  <c r="H560" i="13"/>
  <c r="G516" i="13"/>
  <c r="T575" i="13"/>
  <c r="I575" i="13"/>
  <c r="K575" i="13"/>
  <c r="I563" i="13"/>
  <c r="K563" i="13"/>
  <c r="I555" i="13"/>
  <c r="T555" i="13"/>
  <c r="K555" i="13"/>
  <c r="AP555" i="13" s="1"/>
  <c r="T543" i="13"/>
  <c r="I543" i="13"/>
  <c r="K543" i="13"/>
  <c r="K535" i="13"/>
  <c r="I535" i="13"/>
  <c r="T527" i="13"/>
  <c r="I527" i="13"/>
  <c r="I515" i="13"/>
  <c r="K515" i="13"/>
  <c r="T515" i="13"/>
  <c r="H580" i="13"/>
  <c r="G580" i="13"/>
  <c r="H572" i="13"/>
  <c r="G572" i="13"/>
  <c r="T563" i="13"/>
  <c r="K527" i="13"/>
  <c r="I559" i="13"/>
  <c r="G564" i="13"/>
  <c r="H556" i="13"/>
  <c r="G556" i="13"/>
  <c r="H548" i="13"/>
  <c r="AG548" i="13" a="1"/>
  <c r="AG548" i="13" s="1"/>
  <c r="H540" i="13"/>
  <c r="G540" i="13"/>
  <c r="AG540" i="13" a="1"/>
  <c r="AG540" i="13" s="1"/>
  <c r="H536" i="13"/>
  <c r="AG536" i="13" a="1"/>
  <c r="AG536" i="13" s="1"/>
  <c r="G528" i="13"/>
  <c r="AG528" i="13" a="1"/>
  <c r="AG528" i="13" s="1"/>
  <c r="H520" i="13"/>
  <c r="AG520" i="13" a="1"/>
  <c r="AG520" i="13" s="1"/>
  <c r="G520" i="13"/>
  <c r="G512" i="13"/>
  <c r="H512" i="13"/>
  <c r="AG564" i="13" a="1"/>
  <c r="AG564" i="13" s="1"/>
  <c r="AG516" i="13" a="1"/>
  <c r="AG516" i="13" s="1"/>
  <c r="I579" i="13"/>
  <c r="K579" i="13"/>
  <c r="I571" i="13"/>
  <c r="T571" i="13"/>
  <c r="K571" i="13"/>
  <c r="AP571" i="13" s="1"/>
  <c r="K567" i="13"/>
  <c r="AP567" i="13" s="1"/>
  <c r="I567" i="13"/>
  <c r="K551" i="13"/>
  <c r="T551" i="13"/>
  <c r="I547" i="13"/>
  <c r="K547" i="13"/>
  <c r="AP547" i="13" s="1"/>
  <c r="T547" i="13"/>
  <c r="T539" i="13"/>
  <c r="I539" i="13"/>
  <c r="I531" i="13"/>
  <c r="K531" i="13"/>
  <c r="AP531" i="13" s="1"/>
  <c r="T523" i="13"/>
  <c r="K523" i="13"/>
  <c r="K519" i="13"/>
  <c r="T519" i="13"/>
  <c r="T511" i="13"/>
  <c r="I511" i="13"/>
  <c r="K511" i="13"/>
  <c r="G576" i="13"/>
  <c r="H576" i="13"/>
  <c r="H568" i="13"/>
  <c r="AG568" i="13" a="1"/>
  <c r="AG568" i="13" s="1"/>
  <c r="AG524" i="13" a="1"/>
  <c r="AG524" i="13" s="1"/>
  <c r="AG572" i="13" a="1"/>
  <c r="AG572" i="13" s="1"/>
  <c r="AG556" i="13" a="1"/>
  <c r="AG556" i="13" s="1"/>
  <c r="AG532" i="13" a="1"/>
  <c r="AG532" i="13" s="1"/>
  <c r="T567" i="13"/>
  <c r="K539" i="13"/>
  <c r="AP539" i="13" s="1"/>
  <c r="I519" i="13"/>
  <c r="H528" i="13"/>
  <c r="G548" i="13"/>
  <c r="T570" i="13"/>
  <c r="K578" i="13"/>
  <c r="AP578" i="13" s="1"/>
  <c r="K562" i="13"/>
  <c r="K580" i="13"/>
  <c r="I580" i="13"/>
  <c r="T580" i="13"/>
  <c r="K572" i="13"/>
  <c r="T572" i="13"/>
  <c r="K564" i="13"/>
  <c r="I564" i="13"/>
  <c r="T564" i="13"/>
  <c r="K556" i="13"/>
  <c r="T556" i="13"/>
  <c r="I556" i="13"/>
  <c r="K552" i="13"/>
  <c r="I552" i="13"/>
  <c r="T552" i="13"/>
  <c r="K544" i="13"/>
  <c r="I544" i="13"/>
  <c r="T544" i="13"/>
  <c r="K536" i="13"/>
  <c r="I536" i="13"/>
  <c r="T536" i="13"/>
  <c r="K528" i="13"/>
  <c r="I528" i="13"/>
  <c r="T528" i="13"/>
  <c r="K524" i="13"/>
  <c r="I524" i="13"/>
  <c r="T524" i="13"/>
  <c r="K516" i="13"/>
  <c r="AP516" i="13" s="1"/>
  <c r="I516" i="13"/>
  <c r="T516" i="13"/>
  <c r="G581" i="13"/>
  <c r="H581" i="13"/>
  <c r="G573" i="13"/>
  <c r="H573" i="13"/>
  <c r="G569" i="13"/>
  <c r="H569" i="13"/>
  <c r="G565" i="13"/>
  <c r="H565" i="13"/>
  <c r="G557" i="13"/>
  <c r="H557" i="13"/>
  <c r="G549" i="13"/>
  <c r="H549" i="13"/>
  <c r="G545" i="13"/>
  <c r="H545" i="13"/>
  <c r="G537" i="13"/>
  <c r="H537" i="13"/>
  <c r="G529" i="13"/>
  <c r="H529" i="13"/>
  <c r="G521" i="13"/>
  <c r="H521" i="13"/>
  <c r="G517" i="13"/>
  <c r="H517" i="13"/>
  <c r="AG581" i="13" a="1"/>
  <c r="AG581" i="13" s="1"/>
  <c r="AG573" i="13" a="1"/>
  <c r="AG573" i="13" s="1"/>
  <c r="AG569" i="13" a="1"/>
  <c r="AG569" i="13" s="1"/>
  <c r="AG565" i="13" a="1"/>
  <c r="AG565" i="13" s="1"/>
  <c r="AG557" i="13" a="1"/>
  <c r="AG557" i="13" s="1"/>
  <c r="AG549" i="13" a="1"/>
  <c r="AG549" i="13" s="1"/>
  <c r="AG545" i="13" a="1"/>
  <c r="AG545" i="13" s="1"/>
  <c r="AG537" i="13" a="1"/>
  <c r="AG537" i="13" s="1"/>
  <c r="I572" i="13"/>
  <c r="K576" i="13"/>
  <c r="I576" i="13"/>
  <c r="T576" i="13"/>
  <c r="K568" i="13"/>
  <c r="I568" i="13"/>
  <c r="T568" i="13"/>
  <c r="K560" i="13"/>
  <c r="I560" i="13"/>
  <c r="T560" i="13"/>
  <c r="K548" i="13"/>
  <c r="I548" i="13"/>
  <c r="T548" i="13"/>
  <c r="K540" i="13"/>
  <c r="I540" i="13"/>
  <c r="T540" i="13"/>
  <c r="K532" i="13"/>
  <c r="I532" i="13"/>
  <c r="T532" i="13"/>
  <c r="K520" i="13"/>
  <c r="I520" i="13"/>
  <c r="T520" i="13"/>
  <c r="T512" i="13"/>
  <c r="G577" i="13"/>
  <c r="H577" i="13"/>
  <c r="G561" i="13"/>
  <c r="H561" i="13"/>
  <c r="G553" i="13"/>
  <c r="H553" i="13"/>
  <c r="G541" i="13"/>
  <c r="H541" i="13"/>
  <c r="G533" i="13"/>
  <c r="H533" i="13"/>
  <c r="G525" i="13"/>
  <c r="H525" i="13"/>
  <c r="G513" i="13"/>
  <c r="H513" i="13"/>
  <c r="AG521" i="13" a="1"/>
  <c r="AG521" i="13" s="1"/>
  <c r="AG513" i="13" a="1"/>
  <c r="AG513" i="13" s="1"/>
  <c r="AL559" i="13"/>
  <c r="AL543" i="13"/>
  <c r="N569" i="13"/>
  <c r="O569" i="13"/>
  <c r="N553" i="13"/>
  <c r="O553" i="13"/>
  <c r="N537" i="13"/>
  <c r="O537" i="13"/>
  <c r="N521" i="13"/>
  <c r="O521" i="13"/>
  <c r="O572" i="13"/>
  <c r="N572" i="13"/>
  <c r="O556" i="13"/>
  <c r="N556" i="13"/>
  <c r="O540" i="13"/>
  <c r="N540" i="13"/>
  <c r="O524" i="13"/>
  <c r="N524" i="13"/>
  <c r="N468" i="6"/>
  <c r="N467" i="6"/>
  <c r="N466" i="6"/>
  <c r="X462" i="6"/>
  <c r="N465" i="6"/>
  <c r="X464" i="6"/>
  <c r="P464" i="6"/>
  <c r="N464" i="6"/>
  <c r="U464" i="6" s="1"/>
  <c r="X463" i="6"/>
  <c r="N463" i="6"/>
  <c r="M83" i="16"/>
  <c r="P460" i="6"/>
  <c r="X460" i="6"/>
  <c r="X461" i="6"/>
  <c r="N461" i="6"/>
  <c r="N460" i="6"/>
  <c r="N459" i="6"/>
  <c r="M80" i="16"/>
  <c r="X313" i="6"/>
  <c r="X342" i="6"/>
  <c r="N458" i="6"/>
  <c r="X457" i="6"/>
  <c r="N457" i="6"/>
  <c r="N456" i="6"/>
  <c r="X455" i="6"/>
  <c r="N455" i="6"/>
  <c r="P455" i="6"/>
  <c r="M78" i="16"/>
  <c r="O452" i="6"/>
  <c r="N452" i="6" s="1"/>
  <c r="X395" i="6"/>
  <c r="P432" i="6"/>
  <c r="P376" i="6"/>
  <c r="X141" i="6"/>
  <c r="P103" i="6"/>
  <c r="N453" i="6"/>
  <c r="N454" i="6"/>
  <c r="X452" i="6"/>
  <c r="X451" i="6"/>
  <c r="N451" i="6"/>
  <c r="P451" i="6"/>
  <c r="X333" i="6"/>
  <c r="P364" i="6"/>
  <c r="X310" i="6"/>
  <c r="X286" i="6"/>
  <c r="X285" i="6"/>
  <c r="X282" i="6"/>
  <c r="X433" i="6"/>
  <c r="P342" i="6"/>
  <c r="P277" i="6"/>
  <c r="S277" i="6" s="1"/>
  <c r="P11" i="6"/>
  <c r="X295" i="6"/>
  <c r="P64" i="6"/>
  <c r="S64" i="6" s="1"/>
  <c r="X373" i="6"/>
  <c r="P10" i="6"/>
  <c r="S10" i="6" s="1"/>
  <c r="V290" i="6" s="1" a="1"/>
  <c r="V290" i="6" s="1"/>
  <c r="X403" i="6"/>
  <c r="X368" i="6"/>
  <c r="X405" i="6"/>
  <c r="X181" i="6"/>
  <c r="X174" i="6"/>
  <c r="X434" i="6"/>
  <c r="X400" i="6"/>
  <c r="X386" i="6"/>
  <c r="X367" i="6"/>
  <c r="X366" i="6"/>
  <c r="P335" i="6"/>
  <c r="P259" i="6"/>
  <c r="P192" i="6"/>
  <c r="P167" i="6"/>
  <c r="S167" i="6" s="1"/>
  <c r="P120" i="6"/>
  <c r="S120" i="6" s="1"/>
  <c r="P440" i="6"/>
  <c r="X311" i="6"/>
  <c r="X256" i="6"/>
  <c r="P402" i="6"/>
  <c r="X438" i="6"/>
  <c r="P387" i="6"/>
  <c r="P372" i="6"/>
  <c r="X322" i="6"/>
  <c r="X203" i="6"/>
  <c r="X189" i="6"/>
  <c r="P45" i="6"/>
  <c r="X382" i="6"/>
  <c r="P173" i="6"/>
  <c r="X440" i="6"/>
  <c r="X308" i="6"/>
  <c r="X221" i="6"/>
  <c r="P105" i="6"/>
  <c r="X393" i="6"/>
  <c r="P188" i="6"/>
  <c r="X437" i="6"/>
  <c r="X435" i="6"/>
  <c r="P141" i="6"/>
  <c r="P21" i="6"/>
  <c r="P334" i="6"/>
  <c r="X270" i="6"/>
  <c r="N251" i="6"/>
  <c r="X446" i="6"/>
  <c r="X416" i="6"/>
  <c r="X325" i="6"/>
  <c r="X288" i="6"/>
  <c r="P285" i="6"/>
  <c r="N235" i="6"/>
  <c r="P177" i="6"/>
  <c r="P53" i="6"/>
  <c r="S53" i="6" s="1"/>
  <c r="U205" i="6" s="1"/>
  <c r="P217" i="6"/>
  <c r="X421" i="6"/>
  <c r="P395" i="6"/>
  <c r="P379" i="6"/>
  <c r="P368" i="6"/>
  <c r="P316" i="6"/>
  <c r="X254" i="6"/>
  <c r="X206" i="6"/>
  <c r="P160" i="6"/>
  <c r="S160" i="6" s="1"/>
  <c r="P132" i="6"/>
  <c r="P95" i="6"/>
  <c r="S95" i="6" s="1"/>
  <c r="P56" i="6"/>
  <c r="S56" i="6" s="1"/>
  <c r="P51" i="6"/>
  <c r="S51" i="6" s="1"/>
  <c r="X402" i="6"/>
  <c r="X432" i="6"/>
  <c r="P412" i="6"/>
  <c r="P307" i="6"/>
  <c r="P304" i="6"/>
  <c r="X273" i="6"/>
  <c r="X271" i="6"/>
  <c r="P225" i="6"/>
  <c r="X192" i="6"/>
  <c r="P128" i="6"/>
  <c r="S128" i="6" s="1"/>
  <c r="X49" i="6"/>
  <c r="X319" i="6"/>
  <c r="X265" i="6"/>
  <c r="X264" i="6"/>
  <c r="P205" i="6"/>
  <c r="S205" i="6" s="1"/>
  <c r="P166" i="6"/>
  <c r="S166" i="6" s="1"/>
  <c r="P150" i="6"/>
  <c r="P84" i="6"/>
  <c r="X445" i="6"/>
  <c r="P399" i="6"/>
  <c r="X347" i="6"/>
  <c r="N335" i="6"/>
  <c r="X263" i="6"/>
  <c r="N240" i="6"/>
  <c r="P189" i="6"/>
  <c r="P146" i="6"/>
  <c r="S146" i="6" s="1"/>
  <c r="N25" i="6"/>
  <c r="S25" i="6" s="1"/>
  <c r="U367" i="6" s="1"/>
  <c r="X443" i="6"/>
  <c r="X344" i="6"/>
  <c r="X329" i="6"/>
  <c r="X294" i="6"/>
  <c r="X126" i="6"/>
  <c r="N62" i="6"/>
  <c r="X396" i="6"/>
  <c r="P373" i="6"/>
  <c r="S373" i="6" s="1"/>
  <c r="X439" i="6"/>
  <c r="X327" i="6"/>
  <c r="X326" i="6"/>
  <c r="P324" i="6"/>
  <c r="X278" i="6"/>
  <c r="X274" i="6"/>
  <c r="P269" i="6"/>
  <c r="N225" i="6"/>
  <c r="X182" i="6"/>
  <c r="X150" i="6"/>
  <c r="P96" i="6"/>
  <c r="P76" i="6"/>
  <c r="S76" i="6" s="1"/>
  <c r="P42" i="6"/>
  <c r="S42" i="6" s="1"/>
  <c r="V373" i="6" s="1" a="1"/>
  <c r="V373" i="6" s="1"/>
  <c r="P27" i="6"/>
  <c r="S27" i="6" s="1"/>
  <c r="V172" i="6" s="1" a="1"/>
  <c r="V172" i="6" s="1"/>
  <c r="X428" i="6"/>
  <c r="P424" i="6"/>
  <c r="X392" i="6"/>
  <c r="X388" i="6"/>
  <c r="X384" i="6"/>
  <c r="N376" i="6"/>
  <c r="X332" i="6"/>
  <c r="X304" i="6"/>
  <c r="N304" i="6"/>
  <c r="P303" i="6"/>
  <c r="S303" i="6" s="1"/>
  <c r="P292" i="6"/>
  <c r="P288" i="6"/>
  <c r="S288" i="6" s="1"/>
  <c r="X277" i="6"/>
  <c r="N277" i="6"/>
  <c r="X253" i="6"/>
  <c r="P252" i="6"/>
  <c r="S252" i="6" s="1"/>
  <c r="X250" i="6"/>
  <c r="N245" i="6"/>
  <c r="S245" i="6" s="1"/>
  <c r="N227" i="6"/>
  <c r="S227" i="6" s="1"/>
  <c r="P215" i="6"/>
  <c r="N211" i="6"/>
  <c r="P180" i="6"/>
  <c r="X172" i="6"/>
  <c r="N111" i="6"/>
  <c r="S111" i="6" s="1"/>
  <c r="N98" i="6"/>
  <c r="S98" i="6" s="1"/>
  <c r="N58" i="6"/>
  <c r="S58" i="6" s="1"/>
  <c r="P434" i="6"/>
  <c r="X419" i="6"/>
  <c r="P378" i="6"/>
  <c r="X375" i="6"/>
  <c r="P370" i="6"/>
  <c r="W348" i="6"/>
  <c r="X348" i="6" s="1"/>
  <c r="X339" i="6"/>
  <c r="X335" i="6"/>
  <c r="P331" i="6"/>
  <c r="P293" i="6"/>
  <c r="P283" i="6"/>
  <c r="P257" i="6"/>
  <c r="N180" i="6"/>
  <c r="N130" i="6"/>
  <c r="N79" i="6"/>
  <c r="X77" i="6"/>
  <c r="N71" i="6"/>
  <c r="S71" i="6" s="1"/>
  <c r="X69" i="6"/>
  <c r="P49" i="6"/>
  <c r="X399" i="6"/>
  <c r="X379" i="6"/>
  <c r="X364" i="6"/>
  <c r="P348" i="6"/>
  <c r="X331" i="6"/>
  <c r="X284" i="6"/>
  <c r="X268" i="6"/>
  <c r="P265" i="6"/>
  <c r="X259" i="6"/>
  <c r="N239" i="6"/>
  <c r="S239" i="6" s="1"/>
  <c r="X210" i="6"/>
  <c r="X209" i="6"/>
  <c r="P209" i="6"/>
  <c r="P197" i="6"/>
  <c r="X193" i="6"/>
  <c r="P191" i="6"/>
  <c r="N183" i="6"/>
  <c r="P162" i="6"/>
  <c r="N142" i="6"/>
  <c r="S142" i="6" s="1"/>
  <c r="P134" i="6"/>
  <c r="S134" i="6" s="1"/>
  <c r="P121" i="6"/>
  <c r="P116" i="6"/>
  <c r="N102" i="6"/>
  <c r="S102" i="6" s="1"/>
  <c r="N82" i="6"/>
  <c r="P77" i="6"/>
  <c r="P60" i="6"/>
  <c r="S60" i="6" s="1"/>
  <c r="V366" i="6" s="1" a="1"/>
  <c r="V366" i="6" s="1"/>
  <c r="P47" i="6"/>
  <c r="P38" i="6"/>
  <c r="P23" i="6"/>
  <c r="P20" i="6"/>
  <c r="P18" i="6"/>
  <c r="X448" i="6"/>
  <c r="X431" i="6"/>
  <c r="X429" i="6"/>
  <c r="P396" i="6"/>
  <c r="S396" i="6" s="1"/>
  <c r="X387" i="6"/>
  <c r="N364" i="6"/>
  <c r="P357" i="6"/>
  <c r="X345" i="6"/>
  <c r="X343" i="6"/>
  <c r="N342" i="6"/>
  <c r="P336" i="6"/>
  <c r="X334" i="6"/>
  <c r="X324" i="6"/>
  <c r="X323" i="6"/>
  <c r="N316" i="6"/>
  <c r="P310" i="6"/>
  <c r="S310" i="6" s="1"/>
  <c r="X291" i="6"/>
  <c r="N285" i="6"/>
  <c r="N281" i="6"/>
  <c r="N269" i="6"/>
  <c r="N265" i="6"/>
  <c r="N259" i="6"/>
  <c r="N243" i="6"/>
  <c r="S243" i="6" s="1"/>
  <c r="N232" i="6"/>
  <c r="P223" i="6"/>
  <c r="X194" i="6"/>
  <c r="P193" i="6"/>
  <c r="N192" i="6"/>
  <c r="X190" i="6"/>
  <c r="N188" i="6"/>
  <c r="P181" i="6"/>
  <c r="X233" i="6"/>
  <c r="N175" i="6"/>
  <c r="S175" i="6" s="1"/>
  <c r="N173" i="6"/>
  <c r="N164" i="6"/>
  <c r="S164" i="6" s="1"/>
  <c r="N152" i="6"/>
  <c r="S152" i="6" s="1"/>
  <c r="N148" i="6"/>
  <c r="S148" i="6" s="1"/>
  <c r="P119" i="6"/>
  <c r="N107" i="6"/>
  <c r="S107" i="6" s="1"/>
  <c r="N99" i="6"/>
  <c r="S99" i="6" s="1"/>
  <c r="N86" i="6"/>
  <c r="S86" i="6" s="1"/>
  <c r="V375" i="6" s="1" a="1"/>
  <c r="V375" i="6" s="1"/>
  <c r="N74" i="6"/>
  <c r="P69" i="6"/>
  <c r="N66" i="6"/>
  <c r="P50" i="6"/>
  <c r="X430" i="6"/>
  <c r="X422" i="6"/>
  <c r="X417" i="6"/>
  <c r="P382" i="6"/>
  <c r="P377" i="6"/>
  <c r="W352" i="6"/>
  <c r="X352" i="6" s="1"/>
  <c r="P347" i="6"/>
  <c r="S347" i="6" s="1"/>
  <c r="P328" i="6"/>
  <c r="S328" i="6" s="1"/>
  <c r="N307" i="6"/>
  <c r="X290" i="6"/>
  <c r="P256" i="6"/>
  <c r="P255" i="6"/>
  <c r="N247" i="6"/>
  <c r="S247" i="6" s="1"/>
  <c r="X191" i="6"/>
  <c r="P138" i="6"/>
  <c r="S138" i="6" s="1"/>
  <c r="N75" i="6"/>
  <c r="N29" i="6"/>
  <c r="S29" i="6" s="1"/>
  <c r="N13" i="6"/>
  <c r="X442" i="6"/>
  <c r="X415" i="6"/>
  <c r="P393" i="6"/>
  <c r="P392" i="6"/>
  <c r="P390" i="6"/>
  <c r="X376" i="6"/>
  <c r="P375" i="6"/>
  <c r="S375" i="6" s="1"/>
  <c r="P356" i="6"/>
  <c r="X272" i="6"/>
  <c r="P267" i="6"/>
  <c r="X255" i="6"/>
  <c r="P253" i="6"/>
  <c r="P249" i="6"/>
  <c r="X214" i="6"/>
  <c r="P201" i="6"/>
  <c r="X169" i="6"/>
  <c r="P158" i="6"/>
  <c r="S158" i="6" s="1"/>
  <c r="P140" i="6"/>
  <c r="S140" i="6" s="1"/>
  <c r="P122" i="6"/>
  <c r="P91" i="6"/>
  <c r="S91" i="6" s="1"/>
  <c r="V286" i="6" s="1" a="1"/>
  <c r="V286" i="6" s="1"/>
  <c r="P80" i="6"/>
  <c r="S80" i="6" s="1"/>
  <c r="P68" i="6"/>
  <c r="S68" i="6" s="1"/>
  <c r="X63" i="6"/>
  <c r="P54" i="6"/>
  <c r="S54" i="6" s="1"/>
  <c r="V311" i="6" s="1" a="1"/>
  <c r="V311" i="6" s="1"/>
  <c r="N49" i="6"/>
  <c r="P46" i="6"/>
  <c r="S46" i="6" s="1"/>
  <c r="P33" i="6"/>
  <c r="N30" i="6"/>
  <c r="P19" i="6"/>
  <c r="S19" i="6" s="1"/>
  <c r="P4" i="6"/>
  <c r="P3" i="6"/>
  <c r="P339" i="6"/>
  <c r="N339" i="6"/>
  <c r="P168" i="6"/>
  <c r="P344" i="6"/>
  <c r="P300" i="6"/>
  <c r="N118" i="6"/>
  <c r="P118" i="6"/>
  <c r="N386" i="6"/>
  <c r="P386" i="6"/>
  <c r="P381" i="6"/>
  <c r="N381" i="6"/>
  <c r="X365" i="6"/>
  <c r="P354" i="6"/>
  <c r="N354" i="6"/>
  <c r="X305" i="6"/>
  <c r="P284" i="6"/>
  <c r="N284" i="6"/>
  <c r="P264" i="6"/>
  <c r="S264" i="6" s="1"/>
  <c r="N264" i="6"/>
  <c r="P241" i="6"/>
  <c r="N241" i="6"/>
  <c r="P236" i="6"/>
  <c r="N236" i="6"/>
  <c r="P228" i="6"/>
  <c r="N228" i="6"/>
  <c r="P184" i="6"/>
  <c r="N184" i="6"/>
  <c r="P172" i="6"/>
  <c r="S172" i="6" s="1"/>
  <c r="N172" i="6"/>
  <c r="P216" i="6"/>
  <c r="P320" i="6"/>
  <c r="P312" i="6"/>
  <c r="N179" i="6"/>
  <c r="P233" i="6"/>
  <c r="N136" i="6"/>
  <c r="P136" i="6"/>
  <c r="N83" i="6"/>
  <c r="P83" i="6"/>
  <c r="X188" i="6"/>
  <c r="X213" i="6"/>
  <c r="X398" i="6"/>
  <c r="N31" i="6"/>
  <c r="P31" i="6"/>
  <c r="P384" i="6"/>
  <c r="N350" i="6"/>
  <c r="W350" i="6"/>
  <c r="X350" i="6" s="1"/>
  <c r="P343" i="6"/>
  <c r="N343" i="6"/>
  <c r="N331" i="6"/>
  <c r="P330" i="6"/>
  <c r="N330" i="6"/>
  <c r="P322" i="6"/>
  <c r="N322" i="6"/>
  <c r="P272" i="6"/>
  <c r="S272" i="6" s="1"/>
  <c r="N272" i="6"/>
  <c r="N261" i="6"/>
  <c r="P261" i="6"/>
  <c r="P340" i="6"/>
  <c r="P299" i="6"/>
  <c r="P289" i="6"/>
  <c r="P297" i="6"/>
  <c r="P244" i="6"/>
  <c r="N244" i="6"/>
  <c r="X229" i="6"/>
  <c r="P219" i="6"/>
  <c r="N219" i="6"/>
  <c r="P200" i="6"/>
  <c r="N200" i="6"/>
  <c r="P207" i="6"/>
  <c r="S207" i="6" s="1"/>
  <c r="P176" i="6"/>
  <c r="N176" i="6"/>
  <c r="P388" i="6"/>
  <c r="N388" i="6"/>
  <c r="P311" i="6"/>
  <c r="S311" i="6" s="1"/>
  <c r="N311" i="6"/>
  <c r="P308" i="6"/>
  <c r="N308" i="6"/>
  <c r="N144" i="6"/>
  <c r="P221" i="6"/>
  <c r="P144" i="6"/>
  <c r="P398" i="6"/>
  <c r="P383" i="6"/>
  <c r="N378" i="6"/>
  <c r="X374" i="6"/>
  <c r="P374" i="6"/>
  <c r="P352" i="6"/>
  <c r="N351" i="6"/>
  <c r="S351" i="6" s="1"/>
  <c r="N347" i="6"/>
  <c r="N334" i="6"/>
  <c r="P327" i="6"/>
  <c r="N327" i="6"/>
  <c r="P319" i="6"/>
  <c r="N319" i="6"/>
  <c r="X296" i="6"/>
  <c r="X300" i="6"/>
  <c r="P287" i="6"/>
  <c r="N287" i="6"/>
  <c r="X246" i="6"/>
  <c r="X360" i="6"/>
  <c r="X356" i="6"/>
  <c r="P237" i="6"/>
  <c r="N237" i="6"/>
  <c r="P196" i="6"/>
  <c r="P273" i="6"/>
  <c r="N196" i="6"/>
  <c r="X159" i="6"/>
  <c r="X424" i="6"/>
  <c r="X287" i="6"/>
  <c r="P279" i="6"/>
  <c r="P275" i="6"/>
  <c r="N275" i="6"/>
  <c r="P263" i="6"/>
  <c r="N263" i="6"/>
  <c r="P231" i="6"/>
  <c r="N231" i="6"/>
  <c r="N198" i="6"/>
  <c r="P213" i="6"/>
  <c r="P229" i="6"/>
  <c r="N113" i="6"/>
  <c r="P113" i="6"/>
  <c r="N92" i="6"/>
  <c r="P92" i="6"/>
  <c r="N26" i="6"/>
  <c r="P26" i="6"/>
  <c r="P17" i="6"/>
  <c r="P214" i="6"/>
  <c r="N17" i="6"/>
  <c r="P442" i="6"/>
  <c r="X427" i="6"/>
  <c r="P410" i="6"/>
  <c r="P394" i="6"/>
  <c r="P391" i="6"/>
  <c r="X383" i="6"/>
  <c r="X381" i="6"/>
  <c r="X370" i="6"/>
  <c r="X361" i="6"/>
  <c r="X357" i="6"/>
  <c r="X336" i="6"/>
  <c r="P332" i="6"/>
  <c r="X330" i="6"/>
  <c r="P323" i="6"/>
  <c r="P314" i="6"/>
  <c r="N310" i="6"/>
  <c r="N306" i="6"/>
  <c r="S306" i="6" s="1"/>
  <c r="N303" i="6"/>
  <c r="X298" i="6"/>
  <c r="N292" i="6"/>
  <c r="X283" i="6"/>
  <c r="N283" i="6"/>
  <c r="N279" i="6"/>
  <c r="N267" i="6"/>
  <c r="X223" i="6"/>
  <c r="N223" i="6"/>
  <c r="X195" i="6"/>
  <c r="N185" i="6"/>
  <c r="S185" i="6" s="1"/>
  <c r="N177" i="6"/>
  <c r="N169" i="6"/>
  <c r="P169" i="6"/>
  <c r="N154" i="6"/>
  <c r="N124" i="6"/>
  <c r="P124" i="6"/>
  <c r="N67" i="6"/>
  <c r="P67" i="6"/>
  <c r="N14" i="6"/>
  <c r="P14" i="6"/>
  <c r="X414" i="6"/>
  <c r="X406" i="6"/>
  <c r="P355" i="6"/>
  <c r="X349" i="6"/>
  <c r="P326" i="6"/>
  <c r="P318" i="6"/>
  <c r="X316" i="6"/>
  <c r="X309" i="6"/>
  <c r="X307" i="6"/>
  <c r="X262" i="6"/>
  <c r="P260" i="6"/>
  <c r="N260" i="6"/>
  <c r="X249" i="6"/>
  <c r="P204" i="6"/>
  <c r="N204" i="6"/>
  <c r="N156" i="6"/>
  <c r="S156" i="6" s="1"/>
  <c r="P114" i="6"/>
  <c r="N114" i="6"/>
  <c r="N88" i="6"/>
  <c r="P88" i="6"/>
  <c r="P59" i="6"/>
  <c r="N59" i="6"/>
  <c r="N35" i="6"/>
  <c r="P35" i="6"/>
  <c r="N22" i="6"/>
  <c r="P22" i="6"/>
  <c r="N6" i="6"/>
  <c r="P6" i="6"/>
  <c r="P126" i="6"/>
  <c r="P72" i="6"/>
  <c r="X36" i="6"/>
  <c r="X116" i="6"/>
  <c r="P44" i="6"/>
  <c r="X275" i="6"/>
  <c r="P271" i="6"/>
  <c r="P268" i="6"/>
  <c r="S268" i="6" s="1"/>
  <c r="X252" i="6"/>
  <c r="X196" i="6"/>
  <c r="X178" i="6"/>
  <c r="X177" i="6"/>
  <c r="P171" i="6"/>
  <c r="P149" i="6"/>
  <c r="N110" i="6"/>
  <c r="S110" i="6" s="1"/>
  <c r="P108" i="6"/>
  <c r="S108" i="6" s="1"/>
  <c r="P100" i="6"/>
  <c r="N78" i="6"/>
  <c r="P39" i="6"/>
  <c r="N37" i="6"/>
  <c r="S37" i="6" s="1"/>
  <c r="V189" i="6" s="1" a="1"/>
  <c r="V189" i="6" s="1"/>
  <c r="P34" i="6"/>
  <c r="N33" i="6"/>
  <c r="P15" i="6"/>
  <c r="S15" i="6" s="1"/>
  <c r="N404" i="6"/>
  <c r="N396" i="6"/>
  <c r="N393" i="6"/>
  <c r="X390" i="6"/>
  <c r="N390" i="6"/>
  <c r="N384" i="6"/>
  <c r="N373" i="6"/>
  <c r="N368" i="6"/>
  <c r="N356" i="6"/>
  <c r="N355" i="6"/>
  <c r="N392" i="6"/>
  <c r="N372" i="6"/>
  <c r="P360" i="6"/>
  <c r="N424" i="6"/>
  <c r="P397" i="6"/>
  <c r="X394" i="6"/>
  <c r="N377" i="6"/>
  <c r="W362" i="6"/>
  <c r="X362" i="6" s="1"/>
  <c r="N362" i="6"/>
  <c r="P448" i="6"/>
  <c r="O444" i="6"/>
  <c r="P537" i="6" s="1"/>
  <c r="O436" i="6"/>
  <c r="N436" i="6" s="1"/>
  <c r="P422" i="6"/>
  <c r="N422" i="6"/>
  <c r="O418" i="6"/>
  <c r="P772" i="6" s="1"/>
  <c r="O400" i="6"/>
  <c r="P462" i="6" s="1"/>
  <c r="I354" i="6"/>
  <c r="O428" i="6"/>
  <c r="P527" i="6" s="1"/>
  <c r="X369" i="6"/>
  <c r="X426" i="6"/>
  <c r="O420" i="6"/>
  <c r="O416" i="6"/>
  <c r="P519" i="6" s="1"/>
  <c r="N448" i="6"/>
  <c r="P446" i="6"/>
  <c r="N446" i="6"/>
  <c r="N440" i="6"/>
  <c r="N432" i="6"/>
  <c r="P430" i="6"/>
  <c r="N430" i="6"/>
  <c r="P414" i="6"/>
  <c r="N414" i="6"/>
  <c r="N412" i="6"/>
  <c r="O408" i="6"/>
  <c r="W408" i="6" s="1"/>
  <c r="X408" i="6" s="1"/>
  <c r="I386" i="6"/>
  <c r="U474" i="6" s="1"/>
  <c r="X353" i="6"/>
  <c r="X436" i="6"/>
  <c r="I146" i="6"/>
  <c r="U757" i="6" s="1"/>
  <c r="X449" i="6"/>
  <c r="X378" i="6"/>
  <c r="X372" i="6"/>
  <c r="X337" i="6"/>
  <c r="X303" i="6"/>
  <c r="X266" i="6"/>
  <c r="X258" i="6"/>
  <c r="X257" i="6"/>
  <c r="X224" i="6"/>
  <c r="X220" i="6"/>
  <c r="X217" i="6"/>
  <c r="I204" i="6"/>
  <c r="I130" i="6"/>
  <c r="I95" i="6"/>
  <c r="U483" i="6" s="1"/>
  <c r="X423" i="6"/>
  <c r="X397" i="6"/>
  <c r="X391" i="6"/>
  <c r="X389" i="6"/>
  <c r="X355" i="6"/>
  <c r="X341" i="6"/>
  <c r="X328" i="6"/>
  <c r="X302" i="6"/>
  <c r="X269" i="6"/>
  <c r="X234" i="6"/>
  <c r="X187" i="6"/>
  <c r="X47" i="6"/>
  <c r="X46" i="6"/>
  <c r="X72" i="6"/>
  <c r="X3" i="6"/>
  <c r="X4" i="6"/>
  <c r="X50" i="6"/>
  <c r="X104" i="6"/>
  <c r="X173" i="6"/>
  <c r="X444" i="6"/>
  <c r="N442" i="6"/>
  <c r="N434" i="6"/>
  <c r="N410" i="6"/>
  <c r="N402" i="6"/>
  <c r="X377" i="6"/>
  <c r="X318" i="6"/>
  <c r="X312" i="6"/>
  <c r="X293" i="6"/>
  <c r="X292" i="6"/>
  <c r="X267" i="6"/>
  <c r="I162" i="6"/>
  <c r="I138" i="6"/>
  <c r="X65" i="6"/>
  <c r="X201" i="6"/>
  <c r="X121" i="6"/>
  <c r="X204" i="6"/>
  <c r="X202" i="6"/>
  <c r="X180" i="6"/>
  <c r="X149" i="6"/>
  <c r="X119" i="6"/>
  <c r="X19" i="6"/>
  <c r="X33" i="6"/>
  <c r="N450" i="6"/>
  <c r="X208" i="6"/>
  <c r="X198" i="6"/>
  <c r="X179" i="6"/>
  <c r="X38" i="6"/>
  <c r="X105" i="6"/>
  <c r="X44" i="6"/>
  <c r="X48" i="6"/>
  <c r="X20" i="6"/>
  <c r="N349" i="6"/>
  <c r="O449" i="6"/>
  <c r="O447" i="6"/>
  <c r="P454" i="6" s="1"/>
  <c r="O445" i="6"/>
  <c r="P538" i="6" s="1"/>
  <c r="O443" i="6"/>
  <c r="P536" i="6" s="1"/>
  <c r="O439" i="6"/>
  <c r="P533" i="6" s="1"/>
  <c r="O435" i="6"/>
  <c r="P530" i="6" s="1"/>
  <c r="O431" i="6"/>
  <c r="P500" i="6" s="1"/>
  <c r="O429" i="6"/>
  <c r="P528" i="6" s="1"/>
  <c r="O427" i="6"/>
  <c r="P526" i="6" s="1"/>
  <c r="O425" i="6"/>
  <c r="W425" i="6" s="1"/>
  <c r="X425" i="6" s="1"/>
  <c r="O423" i="6"/>
  <c r="P525" i="6" s="1"/>
  <c r="O421" i="6"/>
  <c r="P461" i="6" s="1"/>
  <c r="O419" i="6"/>
  <c r="P522" i="6" s="1"/>
  <c r="O417" i="6"/>
  <c r="P520" i="6" s="1"/>
  <c r="O415" i="6"/>
  <c r="P457" i="6" s="1"/>
  <c r="O413" i="6"/>
  <c r="W413" i="6" s="1"/>
  <c r="X413" i="6" s="1"/>
  <c r="X412" i="6"/>
  <c r="O411" i="6"/>
  <c r="P492" i="6" s="1"/>
  <c r="O409" i="6"/>
  <c r="W409" i="6" s="1"/>
  <c r="X409" i="6" s="1"/>
  <c r="O407" i="6"/>
  <c r="W407" i="6" s="1"/>
  <c r="X407" i="6" s="1"/>
  <c r="O405" i="6"/>
  <c r="P509" i="6" s="1"/>
  <c r="O403" i="6"/>
  <c r="P498" i="6" s="1"/>
  <c r="O401" i="6"/>
  <c r="P465" i="6" s="1"/>
  <c r="N399" i="6"/>
  <c r="N395" i="6"/>
  <c r="N391" i="6"/>
  <c r="P389" i="6"/>
  <c r="N387" i="6"/>
  <c r="P385" i="6"/>
  <c r="N383" i="6"/>
  <c r="N379" i="6"/>
  <c r="N375" i="6"/>
  <c r="P367" i="6"/>
  <c r="S367" i="6" s="1"/>
  <c r="P361" i="6"/>
  <c r="S361" i="6" s="1"/>
  <c r="N357" i="6"/>
  <c r="W346" i="6"/>
  <c r="N346" i="6"/>
  <c r="S346" i="6" s="1"/>
  <c r="P341" i="6"/>
  <c r="N341" i="6"/>
  <c r="P321" i="6"/>
  <c r="N321" i="6"/>
  <c r="P363" i="6"/>
  <c r="P313" i="6"/>
  <c r="N313" i="6"/>
  <c r="P309" i="6"/>
  <c r="S309" i="6" s="1"/>
  <c r="N309" i="6"/>
  <c r="I300" i="6"/>
  <c r="N298" i="6"/>
  <c r="P298" i="6"/>
  <c r="P302" i="6"/>
  <c r="P315" i="6"/>
  <c r="P295" i="6"/>
  <c r="N295" i="6"/>
  <c r="P358" i="6"/>
  <c r="P305" i="6"/>
  <c r="N305" i="6"/>
  <c r="O441" i="6"/>
  <c r="W441" i="6" s="1"/>
  <c r="O437" i="6"/>
  <c r="P532" i="6" s="1"/>
  <c r="O433" i="6"/>
  <c r="P496" i="6" s="1"/>
  <c r="P426" i="6"/>
  <c r="P406" i="6"/>
  <c r="X380" i="6"/>
  <c r="P380" i="6"/>
  <c r="P371" i="6"/>
  <c r="P365" i="6"/>
  <c r="P345" i="6"/>
  <c r="N345" i="6"/>
  <c r="P337" i="6"/>
  <c r="N337" i="6"/>
  <c r="X321" i="6"/>
  <c r="X363" i="6"/>
  <c r="P317" i="6"/>
  <c r="N317" i="6"/>
  <c r="I296" i="6"/>
  <c r="U562" i="6" s="1"/>
  <c r="X411" i="6"/>
  <c r="P369" i="6"/>
  <c r="P366" i="6"/>
  <c r="S366" i="6" s="1"/>
  <c r="P353" i="6"/>
  <c r="P350" i="6"/>
  <c r="S350" i="6" s="1"/>
  <c r="P349" i="6"/>
  <c r="P333" i="6"/>
  <c r="N333" i="6"/>
  <c r="P329" i="6"/>
  <c r="N329" i="6"/>
  <c r="P325" i="6"/>
  <c r="N325" i="6"/>
  <c r="P301" i="6"/>
  <c r="N301" i="6"/>
  <c r="X359" i="6"/>
  <c r="P359" i="6"/>
  <c r="X315" i="6"/>
  <c r="P296" i="6"/>
  <c r="N286" i="6"/>
  <c r="P286" i="6"/>
  <c r="S286" i="6" s="1"/>
  <c r="X338" i="6"/>
  <c r="P338" i="6"/>
  <c r="P294" i="6"/>
  <c r="P291" i="6"/>
  <c r="N290" i="6"/>
  <c r="P290" i="6"/>
  <c r="S290" i="6" s="1"/>
  <c r="P282" i="6"/>
  <c r="P278" i="6"/>
  <c r="P274" i="6"/>
  <c r="S274" i="6" s="1"/>
  <c r="P270" i="6"/>
  <c r="P266" i="6"/>
  <c r="P262" i="6"/>
  <c r="P258" i="6"/>
  <c r="N256" i="6"/>
  <c r="P254" i="6"/>
  <c r="N252" i="6"/>
  <c r="P250" i="6"/>
  <c r="N248" i="6"/>
  <c r="S248" i="6" s="1"/>
  <c r="P246" i="6"/>
  <c r="P242" i="6"/>
  <c r="S242" i="6" s="1"/>
  <c r="P238" i="6"/>
  <c r="P234" i="6"/>
  <c r="P230" i="6"/>
  <c r="P226" i="6"/>
  <c r="S226" i="6" s="1"/>
  <c r="N224" i="6"/>
  <c r="X222" i="6"/>
  <c r="P222" i="6"/>
  <c r="X215" i="6"/>
  <c r="N210" i="6"/>
  <c r="P210" i="6"/>
  <c r="N206" i="6"/>
  <c r="P206" i="6"/>
  <c r="P220" i="6"/>
  <c r="P208" i="6"/>
  <c r="S208" i="6" s="1"/>
  <c r="N208" i="6"/>
  <c r="N282" i="6"/>
  <c r="P280" i="6"/>
  <c r="N278" i="6"/>
  <c r="X276" i="6"/>
  <c r="P276" i="6"/>
  <c r="N274" i="6"/>
  <c r="N270" i="6"/>
  <c r="N266" i="6"/>
  <c r="N262" i="6"/>
  <c r="N258" i="6"/>
  <c r="N254" i="6"/>
  <c r="P224" i="6"/>
  <c r="N222" i="6"/>
  <c r="P218" i="6"/>
  <c r="N216" i="6"/>
  <c r="N215" i="6"/>
  <c r="P212" i="6"/>
  <c r="N212" i="6"/>
  <c r="P203" i="6"/>
  <c r="P199" i="6"/>
  <c r="P195" i="6"/>
  <c r="P187" i="6"/>
  <c r="S187" i="6" s="1"/>
  <c r="P179" i="6"/>
  <c r="P202" i="6"/>
  <c r="P198" i="6"/>
  <c r="P194" i="6"/>
  <c r="P190" i="6"/>
  <c r="P186" i="6"/>
  <c r="P182" i="6"/>
  <c r="P178" i="6"/>
  <c r="P174" i="6"/>
  <c r="P170" i="6"/>
  <c r="S170" i="6" s="1"/>
  <c r="N168" i="6"/>
  <c r="P165" i="6"/>
  <c r="N165" i="6"/>
  <c r="P163" i="6"/>
  <c r="S163" i="6" s="1"/>
  <c r="N161" i="6"/>
  <c r="P159" i="6"/>
  <c r="N157" i="6"/>
  <c r="S157" i="6" s="1"/>
  <c r="P155" i="6"/>
  <c r="N153" i="6"/>
  <c r="S153" i="6" s="1"/>
  <c r="P151" i="6"/>
  <c r="S151" i="6" s="1"/>
  <c r="P147" i="6"/>
  <c r="N145" i="6"/>
  <c r="P143" i="6"/>
  <c r="S143" i="6" s="1"/>
  <c r="N141" i="6"/>
  <c r="P139" i="6"/>
  <c r="S139" i="6" s="1"/>
  <c r="N137" i="6"/>
  <c r="P135" i="6"/>
  <c r="S135" i="6" s="1"/>
  <c r="N133" i="6"/>
  <c r="S133" i="6" s="1"/>
  <c r="P131" i="6"/>
  <c r="S131" i="6" s="1"/>
  <c r="N129" i="6"/>
  <c r="P127" i="6"/>
  <c r="N125" i="6"/>
  <c r="P123" i="6"/>
  <c r="N121" i="6"/>
  <c r="N117" i="6"/>
  <c r="S117" i="6" s="1"/>
  <c r="P115" i="6"/>
  <c r="S115" i="6" s="1"/>
  <c r="P109" i="6"/>
  <c r="N109" i="6"/>
  <c r="P112" i="6"/>
  <c r="S112" i="6" s="1"/>
  <c r="N106" i="6"/>
  <c r="S106" i="6" s="1"/>
  <c r="P104" i="6"/>
  <c r="S104" i="6" s="1"/>
  <c r="N94" i="6"/>
  <c r="S94" i="6" s="1"/>
  <c r="N90" i="6"/>
  <c r="S90" i="6" s="1"/>
  <c r="N105" i="6"/>
  <c r="N101" i="6"/>
  <c r="S101" i="6" s="1"/>
  <c r="N97" i="6"/>
  <c r="S97" i="6" s="1"/>
  <c r="N93" i="6"/>
  <c r="S93" i="6" s="1"/>
  <c r="N89" i="6"/>
  <c r="S89" i="6" s="1"/>
  <c r="V282" i="6" s="1" a="1"/>
  <c r="V282" i="6" s="1"/>
  <c r="X87" i="6"/>
  <c r="P87" i="6"/>
  <c r="N85" i="6"/>
  <c r="S85" i="6" s="1"/>
  <c r="N81" i="6"/>
  <c r="S81" i="6" s="1"/>
  <c r="N77" i="6"/>
  <c r="N73" i="6"/>
  <c r="S73" i="6" s="1"/>
  <c r="N69" i="6"/>
  <c r="N65" i="6"/>
  <c r="S65" i="6" s="1"/>
  <c r="P63" i="6"/>
  <c r="N61" i="6"/>
  <c r="S61" i="6" s="1"/>
  <c r="V335" i="6" s="1" a="1"/>
  <c r="V335" i="6" s="1"/>
  <c r="N57" i="6"/>
  <c r="S57" i="6" s="1"/>
  <c r="P55" i="6"/>
  <c r="S55" i="6" s="1"/>
  <c r="V169" i="6" s="1" a="1"/>
  <c r="V169" i="6" s="1"/>
  <c r="P52" i="6"/>
  <c r="N52" i="6"/>
  <c r="X70" i="6"/>
  <c r="P70" i="6"/>
  <c r="P48" i="6"/>
  <c r="N48" i="6"/>
  <c r="N40" i="6"/>
  <c r="S40" i="6" s="1"/>
  <c r="N36" i="6"/>
  <c r="N32" i="6"/>
  <c r="S32" i="6" s="1"/>
  <c r="N28" i="6"/>
  <c r="S28" i="6" s="1"/>
  <c r="N24" i="6"/>
  <c r="S24" i="6" s="1"/>
  <c r="V339" i="6" s="1" a="1"/>
  <c r="V339" i="6" s="1"/>
  <c r="N20" i="6"/>
  <c r="N16" i="6"/>
  <c r="S16" i="6" s="1"/>
  <c r="N12" i="6"/>
  <c r="S12" i="6" s="1"/>
  <c r="N8" i="6"/>
  <c r="N43" i="6"/>
  <c r="X41" i="6"/>
  <c r="P41" i="6"/>
  <c r="P9" i="6"/>
  <c r="N7" i="6"/>
  <c r="S7" i="6" s="1"/>
  <c r="V314" i="6" s="1" a="1"/>
  <c r="V314" i="6" s="1"/>
  <c r="P5" i="6"/>
  <c r="P770" i="6" l="1"/>
  <c r="P768" i="6"/>
  <c r="V570" i="13"/>
  <c r="Z570" i="13" s="1"/>
  <c r="X771" i="6"/>
  <c r="S132" i="6"/>
  <c r="V341" i="6" s="1" a="1"/>
  <c r="V341" i="6" s="1"/>
  <c r="X769" i="6"/>
  <c r="U769" i="6"/>
  <c r="X766" i="6"/>
  <c r="P765" i="6"/>
  <c r="U767" i="6"/>
  <c r="U764" i="6"/>
  <c r="AG720" i="13" a="1"/>
  <c r="AG720" i="13" s="1"/>
  <c r="U762" i="6"/>
  <c r="U761" i="6"/>
  <c r="V758" i="6" a="1"/>
  <c r="V758" i="6" s="1"/>
  <c r="V760" i="6" a="1"/>
  <c r="V760" i="6" s="1"/>
  <c r="U760" i="6"/>
  <c r="S760" i="6"/>
  <c r="U758" i="6"/>
  <c r="S758" i="6"/>
  <c r="AM567" i="13"/>
  <c r="AG719" i="13" a="1"/>
  <c r="AG719" i="13" s="1"/>
  <c r="P521" i="6"/>
  <c r="W418" i="6"/>
  <c r="X772" i="6" s="1"/>
  <c r="AM535" i="13"/>
  <c r="AM575" i="13"/>
  <c r="AM550" i="13"/>
  <c r="AM534" i="13"/>
  <c r="AM511" i="13"/>
  <c r="Q513" i="13"/>
  <c r="AM541" i="13"/>
  <c r="Q577" i="13"/>
  <c r="Q529" i="13"/>
  <c r="Q578" i="13"/>
  <c r="AM533" i="13"/>
  <c r="Q557" i="13"/>
  <c r="Q562" i="13"/>
  <c r="AM561" i="13"/>
  <c r="S84" i="6"/>
  <c r="S711" i="6" s="1"/>
  <c r="U754" i="6"/>
  <c r="Q549" i="13"/>
  <c r="Q530" i="13"/>
  <c r="AD530" i="13" s="1"/>
  <c r="AM517" i="13"/>
  <c r="U680" i="6"/>
  <c r="S79" i="6"/>
  <c r="U711" i="6"/>
  <c r="S745" i="6"/>
  <c r="P710" i="6"/>
  <c r="S738" i="6"/>
  <c r="P720" i="6"/>
  <c r="P721" i="6"/>
  <c r="S737" i="6"/>
  <c r="S740" i="6"/>
  <c r="U743" i="6"/>
  <c r="U745" i="6"/>
  <c r="U741" i="6"/>
  <c r="U740" i="6"/>
  <c r="U744" i="6"/>
  <c r="U737" i="6"/>
  <c r="U738" i="6"/>
  <c r="S734" i="6"/>
  <c r="AG593" i="13" s="1" a="1"/>
  <c r="AG593" i="13" s="1"/>
  <c r="P700" i="6"/>
  <c r="S18" i="6"/>
  <c r="S20" i="6" s="1"/>
  <c r="S38" i="6" s="1"/>
  <c r="S49" i="6" s="1"/>
  <c r="S116" i="6" s="1"/>
  <c r="S191" i="6" s="1"/>
  <c r="S215" i="6" s="1"/>
  <c r="X688" i="6"/>
  <c r="P702" i="6"/>
  <c r="P695" i="6"/>
  <c r="P707" i="6"/>
  <c r="P694" i="6"/>
  <c r="P689" i="6"/>
  <c r="P718" i="6"/>
  <c r="P708" i="6"/>
  <c r="P692" i="6"/>
  <c r="X691" i="6"/>
  <c r="S730" i="6"/>
  <c r="U688" i="6"/>
  <c r="U689" i="6"/>
  <c r="U690" i="6"/>
  <c r="U691" i="6"/>
  <c r="Q546" i="13"/>
  <c r="AM538" i="13"/>
  <c r="AM573" i="13"/>
  <c r="AM525" i="13"/>
  <c r="AM514" i="13"/>
  <c r="Q581" i="13"/>
  <c r="Q565" i="13"/>
  <c r="P752" i="6"/>
  <c r="Q545" i="13"/>
  <c r="S566" i="13"/>
  <c r="AA566" i="13" s="1"/>
  <c r="P750" i="6"/>
  <c r="S78" i="6"/>
  <c r="S434" i="6" s="1"/>
  <c r="X750" i="6"/>
  <c r="U748" i="6"/>
  <c r="S235" i="6"/>
  <c r="V270" i="6" s="1" a="1"/>
  <c r="V270" i="6" s="1"/>
  <c r="AG682" i="13" a="1"/>
  <c r="AG682" i="13" s="1"/>
  <c r="J682" i="13" s="1"/>
  <c r="S735" i="6"/>
  <c r="AG684" i="13" s="1" a="1"/>
  <c r="AG684" i="13" s="1"/>
  <c r="P681" i="6"/>
  <c r="P712" i="6"/>
  <c r="P696" i="6"/>
  <c r="P685" i="6"/>
  <c r="P713" i="6"/>
  <c r="P705" i="6"/>
  <c r="P717" i="6"/>
  <c r="P706" i="6"/>
  <c r="P682" i="6"/>
  <c r="P704" i="6"/>
  <c r="P699" i="6"/>
  <c r="S729" i="6"/>
  <c r="P697" i="6"/>
  <c r="P709" i="6"/>
  <c r="P687" i="6"/>
  <c r="P716" i="6"/>
  <c r="P693" i="6"/>
  <c r="X695" i="6"/>
  <c r="X692" i="6"/>
  <c r="X687" i="6"/>
  <c r="P698" i="6"/>
  <c r="P703" i="6"/>
  <c r="P701" i="6"/>
  <c r="U710" i="6"/>
  <c r="U728" i="6"/>
  <c r="U727" i="6"/>
  <c r="U719" i="6"/>
  <c r="U732" i="6"/>
  <c r="U724" i="6"/>
  <c r="U730" i="6"/>
  <c r="U733" i="6"/>
  <c r="U725" i="6"/>
  <c r="U729" i="6"/>
  <c r="U735" i="6"/>
  <c r="U734" i="6"/>
  <c r="S182" i="6"/>
  <c r="S291" i="6"/>
  <c r="S345" i="6"/>
  <c r="S341" i="6"/>
  <c r="S761" i="6" s="1"/>
  <c r="S271" i="6"/>
  <c r="S339" i="6"/>
  <c r="S181" i="6"/>
  <c r="S193" i="6"/>
  <c r="S399" i="6"/>
  <c r="S225" i="6"/>
  <c r="S368" i="6"/>
  <c r="S285" i="6"/>
  <c r="S372" i="6"/>
  <c r="S342" i="6"/>
  <c r="S376" i="6"/>
  <c r="S374" i="6"/>
  <c r="S204" i="6"/>
  <c r="S308" i="6"/>
  <c r="S322" i="6"/>
  <c r="S284" i="6"/>
  <c r="S633" i="6" s="1"/>
  <c r="S201" i="6"/>
  <c r="S324" i="6"/>
  <c r="S282" i="6"/>
  <c r="S325" i="6"/>
  <c r="S270" i="6"/>
  <c r="S608" i="6" s="1"/>
  <c r="S662" i="6" s="1"/>
  <c r="S725" i="6" s="1"/>
  <c r="S295" i="6"/>
  <c r="S326" i="6"/>
  <c r="S314" i="6"/>
  <c r="S352" i="6"/>
  <c r="S221" i="6"/>
  <c r="S265" i="6"/>
  <c r="S269" i="6"/>
  <c r="S395" i="6"/>
  <c r="S259" i="6"/>
  <c r="S566" i="6"/>
  <c r="U679" i="6"/>
  <c r="S232" i="6"/>
  <c r="U316" i="6" s="1"/>
  <c r="U677" i="6"/>
  <c r="U675" i="6"/>
  <c r="U676" i="6"/>
  <c r="U673" i="6"/>
  <c r="U674" i="6"/>
  <c r="U672" i="6"/>
  <c r="U671" i="6"/>
  <c r="U668" i="6"/>
  <c r="U670" i="6"/>
  <c r="U669" i="6"/>
  <c r="P663" i="6"/>
  <c r="U667" i="6"/>
  <c r="AG604" i="13" a="1"/>
  <c r="AG604" i="13" s="1"/>
  <c r="U666" i="6"/>
  <c r="U665" i="6"/>
  <c r="U662" i="6"/>
  <c r="S660" i="6"/>
  <c r="S661" i="6" s="1"/>
  <c r="S668" i="6" s="1"/>
  <c r="S669" i="6" s="1"/>
  <c r="S670" i="6" s="1"/>
  <c r="S671" i="6" s="1"/>
  <c r="S673" i="6" s="1"/>
  <c r="S674" i="6" s="1"/>
  <c r="S675" i="6" s="1"/>
  <c r="S676" i="6" s="1"/>
  <c r="S677" i="6" s="1"/>
  <c r="U661" i="6"/>
  <c r="S66" i="6"/>
  <c r="V202" i="6" s="1" a="1"/>
  <c r="V202" i="6" s="1"/>
  <c r="U660" i="6"/>
  <c r="U659" i="6"/>
  <c r="U658" i="6"/>
  <c r="AG688" i="13" a="1"/>
  <c r="AG688" i="13" s="1"/>
  <c r="U655" i="6"/>
  <c r="P651" i="6"/>
  <c r="U656" i="6"/>
  <c r="P654" i="6"/>
  <c r="U657" i="6"/>
  <c r="X650" i="6"/>
  <c r="U654" i="6"/>
  <c r="S129" i="6"/>
  <c r="V653" i="6" s="1" a="1"/>
  <c r="V653" i="6" s="1"/>
  <c r="P649" i="6"/>
  <c r="U650" i="6"/>
  <c r="U651" i="6"/>
  <c r="P648" i="6"/>
  <c r="P652" i="6"/>
  <c r="X648" i="6"/>
  <c r="U652" i="6"/>
  <c r="U647" i="6"/>
  <c r="S646" i="6"/>
  <c r="U646" i="6"/>
  <c r="U645" i="6"/>
  <c r="U644" i="6"/>
  <c r="U643" i="6"/>
  <c r="X641" i="6"/>
  <c r="U642" i="6"/>
  <c r="S218" i="6"/>
  <c r="S234" i="6" s="1"/>
  <c r="V266" i="6" s="1" a="1"/>
  <c r="V266" i="6" s="1"/>
  <c r="U641" i="6"/>
  <c r="U639" i="6"/>
  <c r="P638" i="6"/>
  <c r="P636" i="6"/>
  <c r="X638" i="6"/>
  <c r="U637" i="6"/>
  <c r="S635" i="6"/>
  <c r="S640" i="6" s="1"/>
  <c r="S643" i="6" s="1"/>
  <c r="S655" i="6" s="1"/>
  <c r="S656" i="6" s="1"/>
  <c r="S664" i="6" s="1"/>
  <c r="S728" i="6" s="1"/>
  <c r="V756" i="6" s="1" a="1"/>
  <c r="V756" i="6" s="1"/>
  <c r="S634" i="6"/>
  <c r="S680" i="6" s="1"/>
  <c r="U634" i="6"/>
  <c r="U633" i="6"/>
  <c r="P632" i="6"/>
  <c r="U630" i="6"/>
  <c r="U632" i="6"/>
  <c r="U631" i="6"/>
  <c r="S629" i="6"/>
  <c r="U629" i="6"/>
  <c r="U628" i="6"/>
  <c r="P625" i="6"/>
  <c r="P627" i="6"/>
  <c r="X618" i="6"/>
  <c r="X617" i="6"/>
  <c r="U621" i="6"/>
  <c r="P590" i="6"/>
  <c r="V620" i="6" a="1"/>
  <c r="V620" i="6" s="1"/>
  <c r="I640" i="13" s="1"/>
  <c r="P615" i="6"/>
  <c r="U620" i="6"/>
  <c r="K640" i="13" s="1"/>
  <c r="AP640" i="13" s="1"/>
  <c r="V619" i="6" a="1"/>
  <c r="V619" i="6" s="1"/>
  <c r="I657" i="13" s="1"/>
  <c r="U619" i="6"/>
  <c r="K657" i="13" s="1"/>
  <c r="AP657" i="13" s="1"/>
  <c r="U612" i="6"/>
  <c r="U611" i="6"/>
  <c r="P610" i="6"/>
  <c r="U604" i="6"/>
  <c r="P594" i="6"/>
  <c r="S606" i="6"/>
  <c r="S739" i="6" s="1"/>
  <c r="U609" i="6"/>
  <c r="U608" i="6"/>
  <c r="U606" i="6"/>
  <c r="U607" i="6"/>
  <c r="U605" i="6"/>
  <c r="X603" i="6"/>
  <c r="U603" i="6"/>
  <c r="AG657" i="13" a="1"/>
  <c r="AG657" i="13" s="1"/>
  <c r="U601" i="6"/>
  <c r="U600" i="6"/>
  <c r="X595" i="6"/>
  <c r="S597" i="6"/>
  <c r="U599" i="6"/>
  <c r="U598" i="6"/>
  <c r="U597" i="6"/>
  <c r="U596" i="6"/>
  <c r="U595" i="6"/>
  <c r="X591" i="6"/>
  <c r="U594" i="6"/>
  <c r="X592" i="6"/>
  <c r="U593" i="6"/>
  <c r="U592" i="6"/>
  <c r="X490" i="6"/>
  <c r="U591" i="6"/>
  <c r="X589" i="6"/>
  <c r="U589" i="6"/>
  <c r="S197" i="6"/>
  <c r="V566" i="6" s="1" a="1"/>
  <c r="V566" i="6" s="1"/>
  <c r="P582" i="6"/>
  <c r="P585" i="6"/>
  <c r="U586" i="6"/>
  <c r="V584" i="6" a="1"/>
  <c r="V584" i="6" s="1"/>
  <c r="S584" i="6"/>
  <c r="U584" i="6"/>
  <c r="U581" i="6"/>
  <c r="X280" i="6"/>
  <c r="U580" i="6"/>
  <c r="U579" i="6"/>
  <c r="U578" i="6"/>
  <c r="V576" i="6" a="1"/>
  <c r="V576" i="6" s="1"/>
  <c r="X199" i="6"/>
  <c r="X518" i="6"/>
  <c r="U576" i="6"/>
  <c r="X549" i="6"/>
  <c r="X261" i="6"/>
  <c r="X572" i="6"/>
  <c r="U573" i="6"/>
  <c r="S571" i="6"/>
  <c r="U572" i="6"/>
  <c r="V569" i="6" a="1"/>
  <c r="V569" i="6" s="1"/>
  <c r="U571" i="6"/>
  <c r="U570" i="6"/>
  <c r="U569" i="6"/>
  <c r="U568" i="6"/>
  <c r="U567" i="6"/>
  <c r="X279" i="6"/>
  <c r="S565" i="6"/>
  <c r="S602" i="6" s="1"/>
  <c r="U565" i="6"/>
  <c r="U564" i="6"/>
  <c r="X494" i="6"/>
  <c r="S155" i="6"/>
  <c r="V388" i="6" s="1" a="1"/>
  <c r="V388" i="6" s="1"/>
  <c r="P523" i="6"/>
  <c r="W420" i="6"/>
  <c r="X289" i="6"/>
  <c r="X299" i="6"/>
  <c r="X340" i="6"/>
  <c r="X467" i="6"/>
  <c r="X297" i="6"/>
  <c r="X513" i="6"/>
  <c r="X410" i="6"/>
  <c r="X471" i="6"/>
  <c r="X558" i="6"/>
  <c r="AG640" i="13" a="1"/>
  <c r="AG640" i="13" s="1"/>
  <c r="S103" i="6"/>
  <c r="S305" i="6" s="1"/>
  <c r="S365" i="6" s="1"/>
  <c r="S406" i="6" s="1"/>
  <c r="U455" i="6" s="1"/>
  <c r="S127" i="6"/>
  <c r="S364" i="6" s="1"/>
  <c r="P550" i="6"/>
  <c r="P555" i="6"/>
  <c r="P551" i="6"/>
  <c r="P547" i="6"/>
  <c r="S562" i="6"/>
  <c r="S686" i="6" s="1"/>
  <c r="X488" i="6"/>
  <c r="X559" i="6"/>
  <c r="X560" i="6"/>
  <c r="S75" i="6"/>
  <c r="S334" i="6" s="1"/>
  <c r="S337" i="6" s="1"/>
  <c r="U558" i="6"/>
  <c r="U556" i="6"/>
  <c r="U557" i="6"/>
  <c r="S9" i="6"/>
  <c r="S333" i="6" s="1"/>
  <c r="S353" i="6"/>
  <c r="U389" i="6" s="1"/>
  <c r="U554" i="6"/>
  <c r="S145" i="6"/>
  <c r="S62" i="6"/>
  <c r="S63" i="6" s="1"/>
  <c r="S240" i="6"/>
  <c r="S246" i="6" s="1"/>
  <c r="S154" i="6"/>
  <c r="S174" i="6" s="1"/>
  <c r="S183" i="6"/>
  <c r="S137" i="6"/>
  <c r="S404" i="6"/>
  <c r="S508" i="6" s="1"/>
  <c r="S30" i="6"/>
  <c r="S36" i="6" s="1"/>
  <c r="V384" i="6" s="1" a="1"/>
  <c r="V384" i="6" s="1"/>
  <c r="S74" i="6"/>
  <c r="S23" i="6"/>
  <c r="S126" i="6" s="1"/>
  <c r="V194" i="6" s="1" a="1"/>
  <c r="V194" i="6" s="1"/>
  <c r="U547" i="6"/>
  <c r="S43" i="6"/>
  <c r="S44" i="6" s="1"/>
  <c r="V329" i="6" s="1" a="1"/>
  <c r="V329" i="6" s="1"/>
  <c r="S45" i="6"/>
  <c r="P514" i="6"/>
  <c r="P504" i="6"/>
  <c r="S122" i="6"/>
  <c r="S21" i="6"/>
  <c r="S422" i="6" s="1"/>
  <c r="U524" i="6" s="1"/>
  <c r="S82" i="6"/>
  <c r="S440" i="6" s="1"/>
  <c r="U534" i="6" s="1"/>
  <c r="S125" i="6"/>
  <c r="S546" i="6"/>
  <c r="S544" i="6"/>
  <c r="S552" i="6" s="1"/>
  <c r="S733" i="6" s="1"/>
  <c r="AG675" i="13" s="1" a="1"/>
  <c r="AG675" i="13" s="1"/>
  <c r="U546" i="6"/>
  <c r="S5" i="6"/>
  <c r="S123" i="6"/>
  <c r="U371" i="6" s="1"/>
  <c r="U545" i="6"/>
  <c r="U544" i="6"/>
  <c r="U543" i="6"/>
  <c r="S161" i="6"/>
  <c r="S446" i="6" s="1"/>
  <c r="S539" i="6" s="1"/>
  <c r="P512" i="6"/>
  <c r="S39" i="6"/>
  <c r="S402" i="6" s="1"/>
  <c r="U507" i="6" s="1"/>
  <c r="S11" i="6"/>
  <c r="S432" i="6" s="1"/>
  <c r="U529" i="6" s="1"/>
  <c r="P531" i="6"/>
  <c r="P516" i="6"/>
  <c r="P503" i="6"/>
  <c r="S130" i="6"/>
  <c r="P505" i="6"/>
  <c r="S162" i="6"/>
  <c r="S96" i="6"/>
  <c r="S414" i="6" s="1"/>
  <c r="U517" i="6" s="1"/>
  <c r="P511" i="6"/>
  <c r="X516" i="6"/>
  <c r="X512" i="6"/>
  <c r="X511" i="6"/>
  <c r="U506" i="6"/>
  <c r="U508" i="6"/>
  <c r="S506" i="6"/>
  <c r="P502" i="6"/>
  <c r="P501" i="6"/>
  <c r="S238" i="6"/>
  <c r="U501" i="6"/>
  <c r="S281" i="6"/>
  <c r="U357" i="6" s="1"/>
  <c r="S211" i="6"/>
  <c r="S430" i="6" s="1"/>
  <c r="S497" i="6" s="1"/>
  <c r="V499" i="6" a="1"/>
  <c r="V499" i="6" s="1"/>
  <c r="I512" i="13" s="1"/>
  <c r="U499" i="6"/>
  <c r="K512" i="13" s="1"/>
  <c r="AP512" i="13" s="1"/>
  <c r="S147" i="6"/>
  <c r="S8" i="6"/>
  <c r="V186" i="6" s="1" a="1"/>
  <c r="V186" i="6" s="1"/>
  <c r="S13" i="6"/>
  <c r="S150" i="6" s="1"/>
  <c r="U487" i="6" s="1"/>
  <c r="P495" i="6"/>
  <c r="S251" i="6"/>
  <c r="S292" i="6" s="1"/>
  <c r="S332" i="6" s="1"/>
  <c r="U381" i="6" s="1"/>
  <c r="AG512" i="13" a="1"/>
  <c r="AG512" i="13" s="1"/>
  <c r="J512" i="13" s="1"/>
  <c r="AD512" i="13" s="1"/>
  <c r="U495" i="6"/>
  <c r="U494" i="6"/>
  <c r="U493" i="6"/>
  <c r="H566" i="13"/>
  <c r="U492" i="6"/>
  <c r="U491" i="6"/>
  <c r="U490" i="6"/>
  <c r="S100" i="6"/>
  <c r="U387" i="6" s="1"/>
  <c r="P489" i="6"/>
  <c r="X489" i="6"/>
  <c r="V566" i="13"/>
  <c r="Z566" i="13" s="1"/>
  <c r="S159" i="6"/>
  <c r="S424" i="6" s="1"/>
  <c r="V485" i="6" s="1" a="1"/>
  <c r="V485" i="6" s="1"/>
  <c r="AA559" i="13"/>
  <c r="P481" i="6"/>
  <c r="P482" i="6"/>
  <c r="P450" i="6"/>
  <c r="P477" i="6"/>
  <c r="P476" i="6"/>
  <c r="P475" i="6"/>
  <c r="U311" i="6"/>
  <c r="X466" i="6"/>
  <c r="AM512" i="13"/>
  <c r="S34" i="6"/>
  <c r="U294" i="6" s="1"/>
  <c r="S3" i="6"/>
  <c r="S4" i="6" s="1"/>
  <c r="S50" i="6" s="1"/>
  <c r="S188" i="6" s="1"/>
  <c r="S198" i="6" s="1"/>
  <c r="S213" i="6" s="1"/>
  <c r="Q564" i="13"/>
  <c r="P474" i="6"/>
  <c r="U473" i="6"/>
  <c r="S473" i="6"/>
  <c r="V478" i="6" s="1" a="1"/>
  <c r="V478" i="6" s="1"/>
  <c r="U471" i="6"/>
  <c r="U472" i="6"/>
  <c r="S469" i="6"/>
  <c r="P470" i="6"/>
  <c r="U469" i="6"/>
  <c r="V469" i="6" a="1"/>
  <c r="V469" i="6" s="1"/>
  <c r="AP543" i="13"/>
  <c r="AM579" i="13"/>
  <c r="AP551" i="13"/>
  <c r="Q548" i="13"/>
  <c r="AM527" i="13"/>
  <c r="AM539" i="13"/>
  <c r="AM536" i="13"/>
  <c r="S466" i="6"/>
  <c r="U488" i="6" s="1"/>
  <c r="K570" i="13" s="1"/>
  <c r="AP570" i="13" s="1"/>
  <c r="AP576" i="13"/>
  <c r="AP524" i="13"/>
  <c r="AP572" i="13"/>
  <c r="AD536" i="13"/>
  <c r="J555" i="13"/>
  <c r="AL511" i="13"/>
  <c r="AD511" i="13"/>
  <c r="AA540" i="13"/>
  <c r="AP579" i="13"/>
  <c r="AP523" i="13"/>
  <c r="AD527" i="13"/>
  <c r="J535" i="13"/>
  <c r="AD535" i="13" s="1"/>
  <c r="AP536" i="13"/>
  <c r="AA525" i="13"/>
  <c r="H570" i="13"/>
  <c r="G570" i="13"/>
  <c r="AA571" i="13"/>
  <c r="AM559" i="13"/>
  <c r="AM515" i="13"/>
  <c r="AD515" i="13"/>
  <c r="AP528" i="13"/>
  <c r="AP527" i="13"/>
  <c r="AP535" i="13"/>
  <c r="AP513" i="13"/>
  <c r="Q522" i="13"/>
  <c r="AD574" i="13"/>
  <c r="J531" i="13"/>
  <c r="AP545" i="13"/>
  <c r="AA535" i="13"/>
  <c r="AP544" i="13"/>
  <c r="AM574" i="13"/>
  <c r="AP549" i="13"/>
  <c r="AM532" i="13"/>
  <c r="AA531" i="13"/>
  <c r="AM552" i="13"/>
  <c r="Q571" i="13"/>
  <c r="AD571" i="13" s="1"/>
  <c r="AM571" i="13"/>
  <c r="P468" i="6"/>
  <c r="AP568" i="13"/>
  <c r="AD575" i="13"/>
  <c r="AM547" i="13"/>
  <c r="AG566" i="13" a="1"/>
  <c r="AG566" i="13" s="1"/>
  <c r="J566" i="13" s="1"/>
  <c r="AD566" i="13" s="1"/>
  <c r="AD562" i="13"/>
  <c r="AA547" i="13"/>
  <c r="J554" i="13"/>
  <c r="AP517" i="13"/>
  <c r="J578" i="13"/>
  <c r="AL578" i="13"/>
  <c r="AA555" i="13"/>
  <c r="AL539" i="13"/>
  <c r="J539" i="13"/>
  <c r="AD539" i="13" s="1"/>
  <c r="AA558" i="13"/>
  <c r="AL527" i="13"/>
  <c r="AA569" i="13"/>
  <c r="AA527" i="13"/>
  <c r="J547" i="13"/>
  <c r="AD547" i="13" s="1"/>
  <c r="AL547" i="13"/>
  <c r="J551" i="13"/>
  <c r="AL551" i="13"/>
  <c r="AL575" i="13"/>
  <c r="AA553" i="13"/>
  <c r="J542" i="13"/>
  <c r="AA515" i="13"/>
  <c r="AA539" i="13"/>
  <c r="AA551" i="13"/>
  <c r="AA543" i="13"/>
  <c r="Q558" i="13"/>
  <c r="AM558" i="13"/>
  <c r="AP540" i="13"/>
  <c r="AA529" i="13"/>
  <c r="AA557" i="13"/>
  <c r="AA581" i="13"/>
  <c r="AP557" i="13"/>
  <c r="AM582" i="13"/>
  <c r="AP532" i="13"/>
  <c r="AA523" i="13"/>
  <c r="AA563" i="13"/>
  <c r="AP515" i="13"/>
  <c r="AA546" i="13"/>
  <c r="AM566" i="13"/>
  <c r="AA519" i="13"/>
  <c r="AP510" i="13"/>
  <c r="Q580" i="13"/>
  <c r="AM580" i="13"/>
  <c r="Q528" i="13"/>
  <c r="AM528" i="13"/>
  <c r="AP548" i="13"/>
  <c r="AP580" i="13"/>
  <c r="AP575" i="13"/>
  <c r="AP541" i="13"/>
  <c r="AA574" i="13"/>
  <c r="AM560" i="13"/>
  <c r="AA536" i="13"/>
  <c r="AP552" i="13"/>
  <c r="Q516" i="13"/>
  <c r="AM516" i="13"/>
  <c r="Q520" i="13"/>
  <c r="AM520" i="13"/>
  <c r="AA526" i="13"/>
  <c r="AP520" i="13"/>
  <c r="AP560" i="13"/>
  <c r="AA517" i="13"/>
  <c r="AP564" i="13"/>
  <c r="AP511" i="13"/>
  <c r="AP519" i="13"/>
  <c r="AA518" i="13"/>
  <c r="AB518" i="13" s="1"/>
  <c r="Q544" i="13"/>
  <c r="AM544" i="13"/>
  <c r="Q568" i="13"/>
  <c r="AD568" i="13" s="1"/>
  <c r="AM568" i="13"/>
  <c r="AA541" i="13"/>
  <c r="AA521" i="13"/>
  <c r="AA542" i="13"/>
  <c r="AP521" i="13"/>
  <c r="AA561" i="13"/>
  <c r="AA516" i="13"/>
  <c r="AP556" i="13"/>
  <c r="AA570" i="13"/>
  <c r="AP563" i="13"/>
  <c r="AA578" i="13"/>
  <c r="AA530" i="13"/>
  <c r="AA579" i="13"/>
  <c r="Q576" i="13"/>
  <c r="AM576" i="13"/>
  <c r="AA576" i="13"/>
  <c r="AA545" i="13"/>
  <c r="AA524" i="13"/>
  <c r="AA556" i="13"/>
  <c r="AA567" i="13"/>
  <c r="AA511" i="13"/>
  <c r="AP518" i="13"/>
  <c r="AP582" i="13"/>
  <c r="Q518" i="13"/>
  <c r="AM518" i="13"/>
  <c r="AA532" i="13"/>
  <c r="AA537" i="13"/>
  <c r="AA565" i="13"/>
  <c r="AA544" i="13"/>
  <c r="AA572" i="13"/>
  <c r="AA582" i="13"/>
  <c r="AP525" i="13"/>
  <c r="AA514" i="13"/>
  <c r="Q526" i="13"/>
  <c r="AM526" i="13"/>
  <c r="AM570" i="13"/>
  <c r="AM554" i="13"/>
  <c r="Q554" i="13"/>
  <c r="Q510" i="13"/>
  <c r="AM510" i="13"/>
  <c r="AA513" i="13"/>
  <c r="AA560" i="13"/>
  <c r="AA534" i="13"/>
  <c r="Q542" i="13"/>
  <c r="AM542" i="13"/>
  <c r="AP542" i="13"/>
  <c r="AP546" i="13"/>
  <c r="Q555" i="13"/>
  <c r="AM555" i="13"/>
  <c r="AA533" i="13"/>
  <c r="AA577" i="13"/>
  <c r="AA549" i="13"/>
  <c r="AA573" i="13"/>
  <c r="AP562" i="13"/>
  <c r="AA510" i="13"/>
  <c r="AB510" i="13" s="1"/>
  <c r="AP581" i="13"/>
  <c r="AP558" i="13"/>
  <c r="Q523" i="13"/>
  <c r="AD523" i="13" s="1"/>
  <c r="AM523" i="13"/>
  <c r="Q563" i="13"/>
  <c r="AD563" i="13" s="1"/>
  <c r="AM563" i="13"/>
  <c r="AA554" i="13"/>
  <c r="Q531" i="13"/>
  <c r="AM531" i="13"/>
  <c r="Q519" i="13"/>
  <c r="AD519" i="13" s="1"/>
  <c r="AM519" i="13"/>
  <c r="Q543" i="13"/>
  <c r="AD543" i="13" s="1"/>
  <c r="AM543" i="13"/>
  <c r="AM551" i="13"/>
  <c r="Q551" i="13"/>
  <c r="J550" i="13"/>
  <c r="AD550" i="13" s="1"/>
  <c r="AL550" i="13"/>
  <c r="J579" i="13"/>
  <c r="AD579" i="13" s="1"/>
  <c r="AL579" i="13"/>
  <c r="J526" i="13"/>
  <c r="AL526" i="13"/>
  <c r="J538" i="13"/>
  <c r="AD538" i="13" s="1"/>
  <c r="AL538" i="13"/>
  <c r="AA538" i="13"/>
  <c r="AB538" i="13" s="1"/>
  <c r="J546" i="13"/>
  <c r="AL546" i="13"/>
  <c r="AA575" i="13"/>
  <c r="J567" i="13"/>
  <c r="AD567" i="13" s="1"/>
  <c r="AL567" i="13"/>
  <c r="J510" i="13"/>
  <c r="AL510" i="13"/>
  <c r="AA552" i="13"/>
  <c r="J522" i="13"/>
  <c r="AL522" i="13"/>
  <c r="AL514" i="13"/>
  <c r="J514" i="13"/>
  <c r="AD514" i="13" s="1"/>
  <c r="J518" i="13"/>
  <c r="AL518" i="13"/>
  <c r="J534" i="13"/>
  <c r="AD534" i="13" s="1"/>
  <c r="AL534" i="13"/>
  <c r="AA550" i="13"/>
  <c r="AB550" i="13" s="1"/>
  <c r="J558" i="13"/>
  <c r="AL558" i="13"/>
  <c r="AA562" i="13"/>
  <c r="AB562" i="13" s="1"/>
  <c r="AA522" i="13"/>
  <c r="AB522" i="13" s="1"/>
  <c r="AL512" i="13"/>
  <c r="J540" i="13"/>
  <c r="AL540" i="13"/>
  <c r="J564" i="13"/>
  <c r="AL564" i="13"/>
  <c r="AA568" i="13"/>
  <c r="J520" i="13"/>
  <c r="AL520" i="13"/>
  <c r="J532" i="13"/>
  <c r="AD532" i="13" s="1"/>
  <c r="AL532" i="13"/>
  <c r="AA520" i="13"/>
  <c r="AA564" i="13"/>
  <c r="J548" i="13"/>
  <c r="AL548" i="13"/>
  <c r="J576" i="13"/>
  <c r="AL576" i="13"/>
  <c r="J556" i="13"/>
  <c r="AL556" i="13"/>
  <c r="J580" i="13"/>
  <c r="AL580" i="13"/>
  <c r="J552" i="13"/>
  <c r="AD552" i="13" s="1"/>
  <c r="AL552" i="13"/>
  <c r="J572" i="13"/>
  <c r="AL572" i="13"/>
  <c r="J544" i="13"/>
  <c r="AL544" i="13"/>
  <c r="AA512" i="13"/>
  <c r="AA548" i="13"/>
  <c r="AA528" i="13"/>
  <c r="AA580" i="13"/>
  <c r="AL528" i="13"/>
  <c r="J528" i="13"/>
  <c r="AL516" i="13"/>
  <c r="J516" i="13"/>
  <c r="J524" i="13"/>
  <c r="AL524" i="13"/>
  <c r="AL560" i="13"/>
  <c r="J560" i="13"/>
  <c r="Q521" i="13"/>
  <c r="AM521" i="13"/>
  <c r="Q553" i="13"/>
  <c r="AM553" i="13"/>
  <c r="J541" i="13"/>
  <c r="AD541" i="13" s="1"/>
  <c r="AL541" i="13"/>
  <c r="AL517" i="13"/>
  <c r="J545" i="13"/>
  <c r="AL545" i="13"/>
  <c r="J569" i="13"/>
  <c r="AL569" i="13"/>
  <c r="Q556" i="13"/>
  <c r="AM556" i="13"/>
  <c r="J513" i="13"/>
  <c r="AL513" i="13"/>
  <c r="J521" i="13"/>
  <c r="AL521" i="13"/>
  <c r="Q540" i="13"/>
  <c r="AM540" i="13"/>
  <c r="Q572" i="13"/>
  <c r="AM572" i="13"/>
  <c r="J533" i="13"/>
  <c r="AD533" i="13" s="1"/>
  <c r="AL533" i="13"/>
  <c r="J577" i="13"/>
  <c r="AL577" i="13"/>
  <c r="J537" i="13"/>
  <c r="AL537" i="13"/>
  <c r="J565" i="13"/>
  <c r="AL565" i="13"/>
  <c r="Q524" i="13"/>
  <c r="AM524" i="13"/>
  <c r="J553" i="13"/>
  <c r="AL553" i="13"/>
  <c r="J549" i="13"/>
  <c r="AL549" i="13"/>
  <c r="J573" i="13"/>
  <c r="AD573" i="13" s="1"/>
  <c r="AL573" i="13"/>
  <c r="Q537" i="13"/>
  <c r="AM537" i="13"/>
  <c r="Q569" i="13"/>
  <c r="AM569" i="13"/>
  <c r="J525" i="13"/>
  <c r="AD525" i="13" s="1"/>
  <c r="AL525" i="13"/>
  <c r="J561" i="13"/>
  <c r="AD561" i="13" s="1"/>
  <c r="AL561" i="13"/>
  <c r="AL529" i="13"/>
  <c r="J557" i="13"/>
  <c r="AL557" i="13"/>
  <c r="J581" i="13"/>
  <c r="AL581" i="13"/>
  <c r="U466" i="6"/>
  <c r="P458" i="6"/>
  <c r="W401" i="6"/>
  <c r="P459" i="6"/>
  <c r="P452" i="6"/>
  <c r="P456" i="6"/>
  <c r="S47" i="6"/>
  <c r="S72" i="6" s="1"/>
  <c r="V393" i="6" s="1" a="1"/>
  <c r="V393" i="6" s="1"/>
  <c r="P453" i="6"/>
  <c r="X453" i="6"/>
  <c r="X454" i="6"/>
  <c r="S168" i="6"/>
  <c r="U296" i="6" s="1"/>
  <c r="S22" i="6"/>
  <c r="V313" i="6" s="1" a="1"/>
  <c r="V313" i="6" s="1"/>
  <c r="S59" i="6"/>
  <c r="S237" i="6"/>
  <c r="U254" i="6" s="1"/>
  <c r="S31" i="6"/>
  <c r="S184" i="6"/>
  <c r="V318" i="6" s="1" a="1"/>
  <c r="V318" i="6" s="1"/>
  <c r="S236" i="6"/>
  <c r="U376" i="6"/>
  <c r="U288" i="6"/>
  <c r="S216" i="6"/>
  <c r="S320" i="6" s="1"/>
  <c r="U460" i="6" s="1"/>
  <c r="S88" i="6"/>
  <c r="S348" i="6" s="1"/>
  <c r="S17" i="6"/>
  <c r="S48" i="6" s="1"/>
  <c r="S214" i="6" s="1"/>
  <c r="S136" i="6"/>
  <c r="U319" i="6" s="1"/>
  <c r="U350" i="6"/>
  <c r="S114" i="6"/>
  <c r="S92" i="6"/>
  <c r="S124" i="6"/>
  <c r="S26" i="6"/>
  <c r="U190" i="6" s="1"/>
  <c r="S200" i="6"/>
  <c r="V207" i="6" s="1" a="1"/>
  <c r="V207" i="6" s="1"/>
  <c r="S354" i="6"/>
  <c r="U374" i="6" s="1"/>
  <c r="U290" i="6"/>
  <c r="V288" i="6" a="1"/>
  <c r="V288" i="6" s="1"/>
  <c r="S35" i="6"/>
  <c r="U386" i="6" s="1"/>
  <c r="U269" i="6"/>
  <c r="S228" i="6"/>
  <c r="S323" i="6" s="1"/>
  <c r="U310" i="6"/>
  <c r="U187" i="6"/>
  <c r="V271" i="6" a="1"/>
  <c r="V271" i="6" s="1"/>
  <c r="U252" i="6"/>
  <c r="P436" i="6"/>
  <c r="S382" i="6"/>
  <c r="V383" i="6" s="1" a="1"/>
  <c r="V383" i="6" s="1"/>
  <c r="S196" i="6"/>
  <c r="V273" i="6" s="1" a="1"/>
  <c r="V273" i="6" s="1"/>
  <c r="S69" i="6"/>
  <c r="S70" i="6" s="1"/>
  <c r="S195" i="6" s="1"/>
  <c r="S249" i="6" s="1"/>
  <c r="S171" i="6"/>
  <c r="U209" i="6" s="1"/>
  <c r="V362" i="6" a="1"/>
  <c r="V362" i="6" s="1"/>
  <c r="V295" i="6" a="1"/>
  <c r="V295" i="6" s="1"/>
  <c r="U395" i="6"/>
  <c r="S77" i="6"/>
  <c r="V178" i="6" s="1" a="1"/>
  <c r="V178" i="6" s="1"/>
  <c r="U325" i="6"/>
  <c r="U345" i="6"/>
  <c r="V395" i="6" a="1"/>
  <c r="V395" i="6" s="1"/>
  <c r="S33" i="6"/>
  <c r="V256" i="6" s="1" a="1"/>
  <c r="V256" i="6" s="1"/>
  <c r="S6" i="6"/>
  <c r="S230" i="6" s="1"/>
  <c r="S260" i="6"/>
  <c r="S14" i="6"/>
  <c r="U358" i="6" s="1"/>
  <c r="S231" i="6"/>
  <c r="V283" i="6" s="1" a="1"/>
  <c r="V283" i="6" s="1"/>
  <c r="S176" i="6"/>
  <c r="V278" i="6" s="1" a="1"/>
  <c r="V278" i="6" s="1"/>
  <c r="S244" i="6"/>
  <c r="V257" i="6" s="1" a="1"/>
  <c r="V257" i="6" s="1"/>
  <c r="X441" i="6"/>
  <c r="U286" i="6"/>
  <c r="U375" i="6"/>
  <c r="U347" i="6"/>
  <c r="S118" i="6"/>
  <c r="S105" i="6"/>
  <c r="S121" i="6" s="1"/>
  <c r="U173" i="6" s="1"/>
  <c r="U396" i="6"/>
  <c r="U341" i="6"/>
  <c r="S113" i="6"/>
  <c r="U448" i="6" s="1"/>
  <c r="S83" i="6"/>
  <c r="S165" i="6"/>
  <c r="V210" i="6" s="1" a="1"/>
  <c r="V210" i="6" s="1"/>
  <c r="S241" i="6"/>
  <c r="S343" i="6" s="1"/>
  <c r="S219" i="6"/>
  <c r="U749" i="6" s="1"/>
  <c r="K664" i="13" s="1"/>
  <c r="AP664" i="13" s="1"/>
  <c r="S317" i="6"/>
  <c r="U370" i="6" s="1"/>
  <c r="V376" i="6" a="1"/>
  <c r="V376" i="6" s="1"/>
  <c r="V193" i="6" a="1"/>
  <c r="V193" i="6" s="1"/>
  <c r="S144" i="6"/>
  <c r="V221" i="6" s="1" a="1"/>
  <c r="V221" i="6" s="1"/>
  <c r="S67" i="6"/>
  <c r="U172" i="6"/>
  <c r="U274" i="6"/>
  <c r="U327" i="6"/>
  <c r="U309" i="6"/>
  <c r="V205" i="6" a="1"/>
  <c r="V205" i="6" s="1"/>
  <c r="S149" i="6"/>
  <c r="U330" i="6" s="1"/>
  <c r="U328" i="6"/>
  <c r="S141" i="6"/>
  <c r="V310" i="6" a="1"/>
  <c r="V310" i="6" s="1"/>
  <c r="V345" i="6" a="1"/>
  <c r="V345" i="6" s="1"/>
  <c r="V187" i="6" a="1"/>
  <c r="V187" i="6" s="1"/>
  <c r="S119" i="6"/>
  <c r="U253" i="6" s="1"/>
  <c r="U193" i="6"/>
  <c r="U372" i="6"/>
  <c r="S41" i="6"/>
  <c r="V275" i="6" s="1" a="1"/>
  <c r="V275" i="6" s="1"/>
  <c r="U208" i="6"/>
  <c r="V272" i="6" a="1"/>
  <c r="V272" i="6" s="1"/>
  <c r="V252" i="6" a="1"/>
  <c r="V252" i="6" s="1"/>
  <c r="V325" i="6" a="1"/>
  <c r="V325" i="6" s="1"/>
  <c r="V367" i="6" a="1"/>
  <c r="V367" i="6" s="1"/>
  <c r="S379" i="6"/>
  <c r="V380" i="6" s="1" a="1"/>
  <c r="V380" i="6" s="1"/>
  <c r="V181" i="6" a="1"/>
  <c r="V181" i="6" s="1"/>
  <c r="V204" i="6" a="1"/>
  <c r="V204" i="6" s="1"/>
  <c r="S327" i="6"/>
  <c r="P416" i="6"/>
  <c r="N416" i="6"/>
  <c r="P400" i="6"/>
  <c r="N400" i="6"/>
  <c r="P444" i="6"/>
  <c r="N444" i="6"/>
  <c r="S52" i="6"/>
  <c r="V206" i="6" s="1" a="1"/>
  <c r="V206" i="6" s="1"/>
  <c r="S192" i="6"/>
  <c r="U263" i="6" s="1"/>
  <c r="V208" i="6" a="1"/>
  <c r="V208" i="6" s="1"/>
  <c r="U268" i="6"/>
  <c r="V259" i="6" a="1"/>
  <c r="V259" i="6" s="1"/>
  <c r="V274" i="6" a="1"/>
  <c r="V274" i="6" s="1"/>
  <c r="V307" i="6" a="1"/>
  <c r="V307" i="6" s="1"/>
  <c r="U282" i="6"/>
  <c r="V268" i="6" a="1"/>
  <c r="V268" i="6" s="1"/>
  <c r="U303" i="6"/>
  <c r="V303" i="6" a="1"/>
  <c r="V303" i="6" s="1"/>
  <c r="V309" i="6" a="1"/>
  <c r="V309" i="6" s="1"/>
  <c r="V372" i="6" a="1"/>
  <c r="V372" i="6" s="1"/>
  <c r="V277" i="6" a="1"/>
  <c r="V277" i="6" s="1"/>
  <c r="U277" i="6"/>
  <c r="U181" i="6"/>
  <c r="V328" i="6" a="1"/>
  <c r="V328" i="6" s="1"/>
  <c r="V225" i="6" a="1"/>
  <c r="V225" i="6" s="1"/>
  <c r="V327" i="6" a="1"/>
  <c r="V327" i="6" s="1"/>
  <c r="P418" i="6"/>
  <c r="N418" i="6"/>
  <c r="V368" i="6" a="1"/>
  <c r="V368" i="6" s="1"/>
  <c r="U204" i="6"/>
  <c r="U271" i="6"/>
  <c r="U272" i="6"/>
  <c r="S250" i="6"/>
  <c r="S255" i="6" s="1"/>
  <c r="V287" i="6" s="1" a="1"/>
  <c r="V287" i="6" s="1"/>
  <c r="S307" i="6"/>
  <c r="U331" i="6" s="1"/>
  <c r="U189" i="6"/>
  <c r="S189" i="6"/>
  <c r="S203" i="6" s="1"/>
  <c r="S298" i="6" s="1"/>
  <c r="S302" i="6" s="1"/>
  <c r="S315" i="6" s="1"/>
  <c r="U225" i="6"/>
  <c r="P408" i="6"/>
  <c r="N408" i="6"/>
  <c r="P420" i="6"/>
  <c r="N420" i="6"/>
  <c r="P428" i="6"/>
  <c r="N428" i="6"/>
  <c r="U201" i="6"/>
  <c r="V201" i="6" a="1"/>
  <c r="V201" i="6" s="1"/>
  <c r="V326" i="6" a="1"/>
  <c r="V326" i="6" s="1"/>
  <c r="U326" i="6"/>
  <c r="U264" i="6"/>
  <c r="V264" i="6" a="1"/>
  <c r="V264" i="6" s="1"/>
  <c r="V182" i="6" a="1"/>
  <c r="V182" i="6" s="1"/>
  <c r="U182" i="6"/>
  <c r="V285" i="6" a="1"/>
  <c r="V285" i="6" s="1"/>
  <c r="U285" i="6"/>
  <c r="V342" i="6" a="1"/>
  <c r="V342" i="6" s="1"/>
  <c r="U342" i="6"/>
  <c r="V308" i="6" a="1"/>
  <c r="V308" i="6" s="1"/>
  <c r="U308" i="6"/>
  <c r="V399" i="6" a="1"/>
  <c r="V399" i="6" s="1"/>
  <c r="U399" i="6"/>
  <c r="U291" i="6"/>
  <c r="V291" i="6" a="1"/>
  <c r="V291" i="6" s="1"/>
  <c r="U352" i="6"/>
  <c r="V352" i="6" a="1"/>
  <c r="V352" i="6" s="1"/>
  <c r="V324" i="6" a="1"/>
  <c r="V324" i="6" s="1"/>
  <c r="U324" i="6"/>
  <c r="U169" i="6"/>
  <c r="V269" i="6" a="1"/>
  <c r="V269" i="6" s="1"/>
  <c r="U307" i="6"/>
  <c r="U335" i="6"/>
  <c r="V385" i="6" a="1"/>
  <c r="V385" i="6" s="1"/>
  <c r="N441" i="6"/>
  <c r="P441" i="6"/>
  <c r="S335" i="6"/>
  <c r="U336" i="6" s="1"/>
  <c r="U295" i="6"/>
  <c r="U373" i="6"/>
  <c r="S385" i="6"/>
  <c r="V396" i="6" a="1"/>
  <c r="V396" i="6" s="1"/>
  <c r="N405" i="6"/>
  <c r="P405" i="6"/>
  <c r="N425" i="6"/>
  <c r="P425" i="6"/>
  <c r="N435" i="6"/>
  <c r="P435" i="6"/>
  <c r="N447" i="6"/>
  <c r="P447" i="6"/>
  <c r="S362" i="6"/>
  <c r="S109" i="6"/>
  <c r="U259" i="6"/>
  <c r="S169" i="6"/>
  <c r="S180" i="6" s="1"/>
  <c r="S301" i="6"/>
  <c r="U366" i="6"/>
  <c r="U361" i="6"/>
  <c r="X346" i="6"/>
  <c r="X447" i="6"/>
  <c r="X385" i="6"/>
  <c r="P407" i="6"/>
  <c r="N407" i="6"/>
  <c r="N413" i="6"/>
  <c r="P413" i="6"/>
  <c r="N419" i="6"/>
  <c r="P419" i="6"/>
  <c r="N427" i="6"/>
  <c r="P427" i="6"/>
  <c r="N439" i="6"/>
  <c r="P439" i="6"/>
  <c r="U368" i="6"/>
  <c r="S87" i="6"/>
  <c r="S177" i="6" s="1"/>
  <c r="S212" i="6"/>
  <c r="S304" i="6" s="1"/>
  <c r="U314" i="6"/>
  <c r="U339" i="6"/>
  <c r="V350" i="6" a="1"/>
  <c r="V350" i="6" s="1"/>
  <c r="V347" i="6" a="1"/>
  <c r="V347" i="6" s="1"/>
  <c r="U362" i="6"/>
  <c r="N433" i="6"/>
  <c r="P433" i="6"/>
  <c r="V361" i="6" a="1"/>
  <c r="V361" i="6" s="1"/>
  <c r="N401" i="6"/>
  <c r="P401" i="6"/>
  <c r="N409" i="6"/>
  <c r="P409" i="6"/>
  <c r="N415" i="6"/>
  <c r="P415" i="6"/>
  <c r="N421" i="6"/>
  <c r="P421" i="6"/>
  <c r="N429" i="6"/>
  <c r="P429" i="6"/>
  <c r="N443" i="6"/>
  <c r="P443" i="6"/>
  <c r="N449" i="6"/>
  <c r="P449" i="6"/>
  <c r="U265" i="6"/>
  <c r="V265" i="6" a="1"/>
  <c r="V265" i="6" s="1"/>
  <c r="N437" i="6"/>
  <c r="P437" i="6"/>
  <c r="N403" i="6"/>
  <c r="P403" i="6"/>
  <c r="N411" i="6"/>
  <c r="P411" i="6"/>
  <c r="N417" i="6"/>
  <c r="P417" i="6"/>
  <c r="N423" i="6"/>
  <c r="P423" i="6"/>
  <c r="N431" i="6"/>
  <c r="P431" i="6"/>
  <c r="N445" i="6"/>
  <c r="P445" i="6"/>
  <c r="U385" i="6"/>
  <c r="X768" i="6" l="1"/>
  <c r="X770" i="6"/>
  <c r="J720" i="13"/>
  <c r="AD720" i="13" s="1"/>
  <c r="AQ720" i="13" s="1"/>
  <c r="AI720" i="13"/>
  <c r="AI719" i="13"/>
  <c r="J719" i="13"/>
  <c r="AD719" i="13" s="1"/>
  <c r="AQ719" i="13" s="1"/>
  <c r="AD549" i="13"/>
  <c r="AD513" i="13"/>
  <c r="U756" i="6"/>
  <c r="X694" i="6"/>
  <c r="X521" i="6"/>
  <c r="X418" i="6"/>
  <c r="AD577" i="13"/>
  <c r="AD545" i="13"/>
  <c r="AD557" i="13"/>
  <c r="AD581" i="13"/>
  <c r="AD578" i="13"/>
  <c r="AD546" i="13"/>
  <c r="U736" i="6"/>
  <c r="S736" i="6"/>
  <c r="U739" i="6"/>
  <c r="S748" i="6"/>
  <c r="U270" i="6"/>
  <c r="X700" i="6"/>
  <c r="X696" i="6"/>
  <c r="S723" i="6"/>
  <c r="AD565" i="13"/>
  <c r="S727" i="6"/>
  <c r="S754" i="6" s="1"/>
  <c r="S767" i="6" s="1"/>
  <c r="AG674" i="13" a="1"/>
  <c r="AG674" i="13" s="1"/>
  <c r="J674" i="13" s="1"/>
  <c r="AG624" i="13" a="1"/>
  <c r="AG624" i="13" s="1"/>
  <c r="J624" i="13" s="1"/>
  <c r="AD624" i="13" s="1"/>
  <c r="AQ624" i="13" s="1"/>
  <c r="V749" i="6" a="1"/>
  <c r="V749" i="6" s="1"/>
  <c r="I664" i="13" s="1"/>
  <c r="S749" i="6"/>
  <c r="AG664" i="13" s="1" a="1"/>
  <c r="AG664" i="13" s="1"/>
  <c r="X654" i="6"/>
  <c r="X682" i="6"/>
  <c r="U726" i="6"/>
  <c r="U718" i="6"/>
  <c r="U723" i="6"/>
  <c r="U722" i="6"/>
  <c r="U708" i="6"/>
  <c r="U686" i="6"/>
  <c r="U202" i="6"/>
  <c r="V258" i="6" a="1"/>
  <c r="V258" i="6" s="1"/>
  <c r="S258" i="6"/>
  <c r="V575" i="6" a="1"/>
  <c r="V575" i="6" s="1"/>
  <c r="S575" i="6"/>
  <c r="U574" i="6"/>
  <c r="S574" i="6"/>
  <c r="S578" i="6" s="1"/>
  <c r="S579" i="6" s="1"/>
  <c r="S580" i="6" s="1"/>
  <c r="U583" i="6" s="1"/>
  <c r="S254" i="6"/>
  <c r="S383" i="6"/>
  <c r="S485" i="6"/>
  <c r="S209" i="6"/>
  <c r="S313" i="6"/>
  <c r="S336" i="6"/>
  <c r="S253" i="6"/>
  <c r="S273" i="6"/>
  <c r="S278" i="6"/>
  <c r="S256" i="6"/>
  <c r="S257" i="6"/>
  <c r="S178" i="6"/>
  <c r="S357" i="6"/>
  <c r="S483" i="6" s="1"/>
  <c r="S540" i="6" s="1"/>
  <c r="S667" i="6" s="1"/>
  <c r="S724" i="6" s="1"/>
  <c r="S287" i="6"/>
  <c r="U553" i="6"/>
  <c r="S553" i="6"/>
  <c r="S653" i="6"/>
  <c r="S658" i="6" s="1"/>
  <c r="S460" i="6"/>
  <c r="S190" i="6"/>
  <c r="S393" i="6"/>
  <c r="S202" i="6"/>
  <c r="S647" i="6" s="1"/>
  <c r="V759" i="6" s="1" a="1"/>
  <c r="V759" i="6" s="1"/>
  <c r="S380" i="6"/>
  <c r="S370" i="6"/>
  <c r="S263" i="6"/>
  <c r="S358" i="6"/>
  <c r="S206" i="6"/>
  <c r="S316" i="6"/>
  <c r="V577" i="6" a="1"/>
  <c r="V577" i="6" s="1"/>
  <c r="S577" i="6"/>
  <c r="S210" i="6"/>
  <c r="S318" i="6"/>
  <c r="S330" i="6"/>
  <c r="S331" i="6"/>
  <c r="S319" i="6"/>
  <c r="V316" i="6" a="1"/>
  <c r="V316" i="6" s="1"/>
  <c r="AG652" i="13" a="1"/>
  <c r="AG652" i="13" s="1"/>
  <c r="AI652" i="13" s="1"/>
  <c r="J604" i="13"/>
  <c r="AD604" i="13" s="1"/>
  <c r="AQ604" i="13" s="1"/>
  <c r="AI604" i="13"/>
  <c r="U664" i="6"/>
  <c r="J688" i="13"/>
  <c r="U653" i="6"/>
  <c r="X649" i="6"/>
  <c r="X652" i="6"/>
  <c r="J684" i="13"/>
  <c r="AD684" i="13" s="1"/>
  <c r="AQ684" i="13" s="1"/>
  <c r="AI684" i="13"/>
  <c r="U640" i="6"/>
  <c r="V640" i="6" a="1"/>
  <c r="V640" i="6" s="1"/>
  <c r="X627" i="6"/>
  <c r="X636" i="6"/>
  <c r="J675" i="13"/>
  <c r="AD675" i="13" s="1"/>
  <c r="AQ675" i="13" s="1"/>
  <c r="AI675" i="13"/>
  <c r="S630" i="6"/>
  <c r="X615" i="6"/>
  <c r="X625" i="6"/>
  <c r="S609" i="6"/>
  <c r="J593" i="13"/>
  <c r="AD593" i="13" s="1"/>
  <c r="AQ593" i="13" s="1"/>
  <c r="AI593" i="13"/>
  <c r="U602" i="6"/>
  <c r="K643" i="13" s="1"/>
  <c r="AP643" i="13" s="1"/>
  <c r="AG643" i="13" a="1"/>
  <c r="AG643" i="13" s="1"/>
  <c r="AI643" i="13" s="1"/>
  <c r="V602" i="6" a="1"/>
  <c r="V602" i="6" s="1"/>
  <c r="I643" i="13" s="1"/>
  <c r="J657" i="13"/>
  <c r="AD657" i="13" s="1"/>
  <c r="AQ657" i="13" s="1"/>
  <c r="AI657" i="13"/>
  <c r="U566" i="6"/>
  <c r="S583" i="6"/>
  <c r="U577" i="6"/>
  <c r="U575" i="6"/>
  <c r="V574" i="6" a="1"/>
  <c r="V574" i="6" s="1"/>
  <c r="U283" i="6"/>
  <c r="S388" i="6"/>
  <c r="S442" i="6" s="1"/>
  <c r="S535" i="6" s="1"/>
  <c r="S719" i="6" s="1"/>
  <c r="U388" i="6"/>
  <c r="V364" i="6" a="1"/>
  <c r="V364" i="6" s="1"/>
  <c r="X523" i="6"/>
  <c r="X420" i="6"/>
  <c r="U364" i="6"/>
  <c r="AB570" i="13"/>
  <c r="V334" i="6" a="1"/>
  <c r="V334" i="6" s="1"/>
  <c r="U334" i="6"/>
  <c r="AK528" i="13"/>
  <c r="AB528" i="13"/>
  <c r="AK514" i="13"/>
  <c r="AQ514" i="13" s="1"/>
  <c r="AB514" i="13"/>
  <c r="AI511" i="13"/>
  <c r="AB511" i="13"/>
  <c r="AK574" i="13"/>
  <c r="AQ574" i="13" s="1"/>
  <c r="AB574" i="13"/>
  <c r="AF546" i="13"/>
  <c r="AB546" i="13"/>
  <c r="AE523" i="13"/>
  <c r="AB523" i="13"/>
  <c r="AI581" i="13"/>
  <c r="AB581" i="13"/>
  <c r="AF539" i="13"/>
  <c r="AB539" i="13"/>
  <c r="AF558" i="13"/>
  <c r="AB558" i="13"/>
  <c r="AI547" i="13"/>
  <c r="AB547" i="13"/>
  <c r="AF540" i="13"/>
  <c r="AB540" i="13"/>
  <c r="AE548" i="13"/>
  <c r="AB548" i="13"/>
  <c r="AI564" i="13"/>
  <c r="AB564" i="13"/>
  <c r="AI549" i="13"/>
  <c r="AB549" i="13"/>
  <c r="AK565" i="13"/>
  <c r="AB565" i="13"/>
  <c r="AI567" i="13"/>
  <c r="AB567" i="13"/>
  <c r="AE576" i="13"/>
  <c r="AB576" i="13"/>
  <c r="AK530" i="13"/>
  <c r="AQ530" i="13" s="1"/>
  <c r="AB530" i="13"/>
  <c r="AE542" i="13"/>
  <c r="AB542" i="13"/>
  <c r="AI536" i="13"/>
  <c r="AB536" i="13"/>
  <c r="AI557" i="13"/>
  <c r="AB557" i="13"/>
  <c r="AK515" i="13"/>
  <c r="AQ515" i="13" s="1"/>
  <c r="AB515" i="13"/>
  <c r="AF527" i="13"/>
  <c r="AB527" i="13"/>
  <c r="AK512" i="13"/>
  <c r="AQ512" i="13" s="1"/>
  <c r="AB512" i="13"/>
  <c r="AF578" i="13"/>
  <c r="AB578" i="13"/>
  <c r="AF573" i="13"/>
  <c r="AB573" i="13"/>
  <c r="AF513" i="13"/>
  <c r="AB513" i="13"/>
  <c r="AI544" i="13"/>
  <c r="AB544" i="13"/>
  <c r="AF545" i="13"/>
  <c r="AB545" i="13"/>
  <c r="AI579" i="13"/>
  <c r="AB579" i="13"/>
  <c r="AB517" i="13"/>
  <c r="AE520" i="13"/>
  <c r="AB520" i="13"/>
  <c r="AI552" i="13"/>
  <c r="AB552" i="13"/>
  <c r="AK577" i="13"/>
  <c r="AB577" i="13"/>
  <c r="AK534" i="13"/>
  <c r="AQ534" i="13" s="1"/>
  <c r="AB534" i="13"/>
  <c r="AE582" i="13"/>
  <c r="AB582" i="13"/>
  <c r="AF537" i="13"/>
  <c r="AB537" i="13"/>
  <c r="AK556" i="13"/>
  <c r="AB556" i="13"/>
  <c r="AI516" i="13"/>
  <c r="AB516" i="13"/>
  <c r="AE521" i="13"/>
  <c r="AB521" i="13"/>
  <c r="AI519" i="13"/>
  <c r="AB519" i="13"/>
  <c r="AF529" i="13"/>
  <c r="AB529" i="13"/>
  <c r="AI543" i="13"/>
  <c r="AB543" i="13"/>
  <c r="AE569" i="13"/>
  <c r="AB569" i="13"/>
  <c r="AI531" i="13"/>
  <c r="AB531" i="13"/>
  <c r="AF525" i="13"/>
  <c r="AB525" i="13"/>
  <c r="AK559" i="13"/>
  <c r="AQ559" i="13" s="1"/>
  <c r="AB559" i="13"/>
  <c r="AI580" i="13"/>
  <c r="AB580" i="13"/>
  <c r="AK568" i="13"/>
  <c r="AQ568" i="13" s="1"/>
  <c r="AB568" i="13"/>
  <c r="AE575" i="13"/>
  <c r="AB575" i="13"/>
  <c r="AE554" i="13"/>
  <c r="AB554" i="13"/>
  <c r="AI533" i="13"/>
  <c r="AB533" i="13"/>
  <c r="AB560" i="13"/>
  <c r="AE572" i="13"/>
  <c r="AB572" i="13"/>
  <c r="AI532" i="13"/>
  <c r="AB532" i="13"/>
  <c r="AF524" i="13"/>
  <c r="AB524" i="13"/>
  <c r="AI561" i="13"/>
  <c r="AB561" i="13"/>
  <c r="AF541" i="13"/>
  <c r="AB541" i="13"/>
  <c r="AI526" i="13"/>
  <c r="AB526" i="13"/>
  <c r="AE563" i="13"/>
  <c r="AB563" i="13"/>
  <c r="AI551" i="13"/>
  <c r="AB551" i="13"/>
  <c r="AK553" i="13"/>
  <c r="AB553" i="13"/>
  <c r="AI555" i="13"/>
  <c r="AB555" i="13"/>
  <c r="AE535" i="13"/>
  <c r="AB535" i="13"/>
  <c r="AF571" i="13"/>
  <c r="AB571" i="13"/>
  <c r="AK566" i="13"/>
  <c r="AQ566" i="13" s="1"/>
  <c r="AB566" i="13"/>
  <c r="AI640" i="13"/>
  <c r="J640" i="13"/>
  <c r="AD640" i="13" s="1"/>
  <c r="AQ640" i="13" s="1"/>
  <c r="S389" i="6"/>
  <c r="S436" i="6" s="1"/>
  <c r="V389" i="6" a="1"/>
  <c r="V389" i="6" s="1"/>
  <c r="V553" i="6" a="1"/>
  <c r="V553" i="6" s="1"/>
  <c r="AG529" i="13" a="1"/>
  <c r="AG529" i="13" s="1"/>
  <c r="J529" i="13" s="1"/>
  <c r="AD529" i="13" s="1"/>
  <c r="V552" i="6" a="1"/>
  <c r="V552" i="6" s="1"/>
  <c r="I529" i="13" s="1"/>
  <c r="U552" i="6"/>
  <c r="K529" i="13" s="1"/>
  <c r="AP529" i="13" s="1"/>
  <c r="V371" i="6" a="1"/>
  <c r="V371" i="6" s="1"/>
  <c r="S371" i="6"/>
  <c r="S418" i="6" s="1"/>
  <c r="U540" i="6"/>
  <c r="U539" i="6"/>
  <c r="U535" i="6"/>
  <c r="S534" i="6"/>
  <c r="S529" i="6"/>
  <c r="S524" i="6"/>
  <c r="S517" i="6"/>
  <c r="S507" i="6"/>
  <c r="X505" i="6"/>
  <c r="X503" i="6"/>
  <c r="X495" i="6"/>
  <c r="X501" i="6"/>
  <c r="X502" i="6"/>
  <c r="V357" i="6" a="1"/>
  <c r="V357" i="6" s="1"/>
  <c r="S186" i="6"/>
  <c r="V497" i="6" a="1"/>
  <c r="V497" i="6" s="1"/>
  <c r="U186" i="6"/>
  <c r="U497" i="6"/>
  <c r="V387" i="6" a="1"/>
  <c r="V387" i="6" s="1"/>
  <c r="S387" i="6"/>
  <c r="V394" i="6" s="1" a="1"/>
  <c r="V394" i="6" s="1"/>
  <c r="AD564" i="13"/>
  <c r="S294" i="6"/>
  <c r="U369" i="6" s="1"/>
  <c r="AD548" i="13"/>
  <c r="V488" i="6" a="1"/>
  <c r="V488" i="6" s="1"/>
  <c r="I570" i="13" s="1"/>
  <c r="AI571" i="13"/>
  <c r="S488" i="6"/>
  <c r="V487" i="6" a="1"/>
  <c r="V487" i="6" s="1"/>
  <c r="S487" i="6"/>
  <c r="U485" i="6"/>
  <c r="AF559" i="13"/>
  <c r="AE559" i="13"/>
  <c r="AI559" i="13"/>
  <c r="X481" i="6"/>
  <c r="X482" i="6"/>
  <c r="X477" i="6"/>
  <c r="X450" i="6"/>
  <c r="S478" i="6"/>
  <c r="U478" i="6"/>
  <c r="X474" i="6"/>
  <c r="X475" i="6"/>
  <c r="V294" i="6" a="1"/>
  <c r="V294" i="6" s="1"/>
  <c r="AD555" i="13"/>
  <c r="AE540" i="13"/>
  <c r="AI540" i="13"/>
  <c r="AK540" i="13"/>
  <c r="AE570" i="13"/>
  <c r="AE525" i="13"/>
  <c r="AF547" i="13"/>
  <c r="AK525" i="13"/>
  <c r="AQ525" i="13" s="1"/>
  <c r="AI525" i="13"/>
  <c r="AD522" i="13"/>
  <c r="AK571" i="13"/>
  <c r="AQ571" i="13" s="1"/>
  <c r="AK531" i="13"/>
  <c r="AE571" i="13"/>
  <c r="AF531" i="13"/>
  <c r="AL570" i="13"/>
  <c r="AE516" i="13"/>
  <c r="AE527" i="13"/>
  <c r="AI521" i="13"/>
  <c r="AI527" i="13"/>
  <c r="AK527" i="13"/>
  <c r="AQ527" i="13" s="1"/>
  <c r="AK526" i="13"/>
  <c r="AD531" i="13"/>
  <c r="AK535" i="13"/>
  <c r="AQ535" i="13" s="1"/>
  <c r="AI569" i="13"/>
  <c r="AE553" i="13"/>
  <c r="AD572" i="13"/>
  <c r="AD544" i="13"/>
  <c r="AF535" i="13"/>
  <c r="AD554" i="13"/>
  <c r="AE543" i="13"/>
  <c r="AF569" i="13"/>
  <c r="AE531" i="13"/>
  <c r="AK569" i="13"/>
  <c r="AK581" i="13"/>
  <c r="AD580" i="13"/>
  <c r="AI535" i="13"/>
  <c r="AD520" i="13"/>
  <c r="AK567" i="13"/>
  <c r="AQ567" i="13" s="1"/>
  <c r="AK546" i="13"/>
  <c r="AF576" i="13"/>
  <c r="AI553" i="13"/>
  <c r="AE565" i="13"/>
  <c r="AK555" i="13"/>
  <c r="AK551" i="13"/>
  <c r="AE547" i="13"/>
  <c r="AF551" i="13"/>
  <c r="AD558" i="13"/>
  <c r="AE512" i="13"/>
  <c r="AK547" i="13"/>
  <c r="AQ547" i="13" s="1"/>
  <c r="X465" i="6"/>
  <c r="X468" i="6"/>
  <c r="AD528" i="13"/>
  <c r="AI515" i="13"/>
  <c r="AD576" i="13"/>
  <c r="AK519" i="13"/>
  <c r="AQ519" i="13" s="1"/>
  <c r="AF549" i="13"/>
  <c r="AF555" i="13"/>
  <c r="AD524" i="13"/>
  <c r="AE555" i="13"/>
  <c r="AI558" i="13"/>
  <c r="AE560" i="13"/>
  <c r="AE541" i="13"/>
  <c r="AF536" i="13"/>
  <c r="AK557" i="13"/>
  <c r="AE529" i="13"/>
  <c r="AF515" i="13"/>
  <c r="AE539" i="13"/>
  <c r="AE558" i="13"/>
  <c r="AF521" i="13"/>
  <c r="AK539" i="13"/>
  <c r="AQ539" i="13" s="1"/>
  <c r="AE545" i="13"/>
  <c r="AE573" i="13"/>
  <c r="AK521" i="13"/>
  <c r="AE557" i="13"/>
  <c r="AK529" i="13"/>
  <c r="AE515" i="13"/>
  <c r="AK511" i="13"/>
  <c r="AQ511" i="13" s="1"/>
  <c r="AF567" i="13"/>
  <c r="AF519" i="13"/>
  <c r="AI539" i="13"/>
  <c r="AK558" i="13"/>
  <c r="AI534" i="13"/>
  <c r="AF579" i="13"/>
  <c r="AF557" i="13"/>
  <c r="AE519" i="13"/>
  <c r="AK576" i="13"/>
  <c r="AF533" i="13"/>
  <c r="AE544" i="13"/>
  <c r="AK561" i="13"/>
  <c r="AQ561" i="13" s="1"/>
  <c r="AF514" i="13"/>
  <c r="AF554" i="13"/>
  <c r="AK549" i="13"/>
  <c r="AK560" i="13"/>
  <c r="AF563" i="13"/>
  <c r="AK582" i="13"/>
  <c r="AQ582" i="13" s="1"/>
  <c r="AK520" i="13"/>
  <c r="AF553" i="13"/>
  <c r="AD540" i="13"/>
  <c r="AE581" i="13"/>
  <c r="AI575" i="13"/>
  <c r="AF543" i="13"/>
  <c r="AK523" i="13"/>
  <c r="AQ523" i="13" s="1"/>
  <c r="AE551" i="13"/>
  <c r="AD542" i="13"/>
  <c r="AK543" i="13"/>
  <c r="AQ543" i="13" s="1"/>
  <c r="AI524" i="13"/>
  <c r="AF517" i="13"/>
  <c r="AK536" i="13"/>
  <c r="AQ536" i="13" s="1"/>
  <c r="AF566" i="13"/>
  <c r="AF523" i="13"/>
  <c r="AI554" i="13"/>
  <c r="AD551" i="13"/>
  <c r="AI574" i="13"/>
  <c r="AE546" i="13"/>
  <c r="AE530" i="13"/>
  <c r="AK544" i="13"/>
  <c r="AE536" i="13"/>
  <c r="AF581" i="13"/>
  <c r="AK563" i="13"/>
  <c r="AQ563" i="13" s="1"/>
  <c r="AI523" i="13"/>
  <c r="AE574" i="13"/>
  <c r="AI546" i="13"/>
  <c r="AI563" i="13"/>
  <c r="AF556" i="13"/>
  <c r="AF572" i="13"/>
  <c r="AK516" i="13"/>
  <c r="AK578" i="13"/>
  <c r="AF561" i="13"/>
  <c r="AK579" i="13"/>
  <c r="AQ579" i="13" s="1"/>
  <c r="AI556" i="13"/>
  <c r="AD521" i="13"/>
  <c r="AK570" i="13"/>
  <c r="AE556" i="13"/>
  <c r="AK541" i="13"/>
  <c r="AQ541" i="13" s="1"/>
  <c r="AE513" i="13"/>
  <c r="AF544" i="13"/>
  <c r="AI577" i="13"/>
  <c r="AE532" i="13"/>
  <c r="AE561" i="13"/>
  <c r="AF570" i="13"/>
  <c r="AF574" i="13"/>
  <c r="AE579" i="13"/>
  <c r="AF526" i="13"/>
  <c r="AI541" i="13"/>
  <c r="AK532" i="13"/>
  <c r="AQ532" i="13" s="1"/>
  <c r="AE526" i="13"/>
  <c r="AK572" i="13"/>
  <c r="AD516" i="13"/>
  <c r="AF518" i="13"/>
  <c r="AE518" i="13"/>
  <c r="AI573" i="13"/>
  <c r="AF565" i="13"/>
  <c r="AF530" i="13"/>
  <c r="AI542" i="13"/>
  <c r="AK542" i="13"/>
  <c r="AK524" i="13"/>
  <c r="AE517" i="13"/>
  <c r="AK537" i="13"/>
  <c r="AE533" i="13"/>
  <c r="AK573" i="13"/>
  <c r="AQ573" i="13" s="1"/>
  <c r="AE549" i="13"/>
  <c r="AK513" i="13"/>
  <c r="AI565" i="13"/>
  <c r="AE568" i="13"/>
  <c r="AF516" i="13"/>
  <c r="AE566" i="13"/>
  <c r="AD518" i="13"/>
  <c r="AI578" i="13"/>
  <c r="AI582" i="13"/>
  <c r="AK518" i="13"/>
  <c r="AE524" i="13"/>
  <c r="AK517" i="13"/>
  <c r="AK533" i="13"/>
  <c r="AQ533" i="13" s="1"/>
  <c r="AI513" i="13"/>
  <c r="AF582" i="13"/>
  <c r="AI518" i="13"/>
  <c r="AI530" i="13"/>
  <c r="AF552" i="13"/>
  <c r="AI520" i="13"/>
  <c r="AF542" i="13"/>
  <c r="AD526" i="13"/>
  <c r="AE578" i="13"/>
  <c r="AI545" i="13"/>
  <c r="AI514" i="13"/>
  <c r="AF512" i="13"/>
  <c r="AE552" i="13"/>
  <c r="AK545" i="13"/>
  <c r="AI572" i="13"/>
  <c r="AI537" i="13"/>
  <c r="AI576" i="13"/>
  <c r="AK580" i="13"/>
  <c r="AF560" i="13"/>
  <c r="AF520" i="13"/>
  <c r="AF577" i="13"/>
  <c r="AF532" i="13"/>
  <c r="AE511" i="13"/>
  <c r="AE567" i="13"/>
  <c r="AD510" i="13"/>
  <c r="AE514" i="13"/>
  <c r="AF534" i="13"/>
  <c r="AE537" i="13"/>
  <c r="AF511" i="13"/>
  <c r="AE534" i="13"/>
  <c r="AK552" i="13"/>
  <c r="AQ552" i="13" s="1"/>
  <c r="AI512" i="13"/>
  <c r="AE577" i="13"/>
  <c r="AK554" i="13"/>
  <c r="AE580" i="13"/>
  <c r="AF568" i="13"/>
  <c r="AK575" i="13"/>
  <c r="AQ575" i="13" s="1"/>
  <c r="AF580" i="13"/>
  <c r="AF575" i="13"/>
  <c r="AF528" i="13"/>
  <c r="AI510" i="13"/>
  <c r="AE510" i="13"/>
  <c r="AF510" i="13"/>
  <c r="AK510" i="13"/>
  <c r="AI548" i="13"/>
  <c r="AK564" i="13"/>
  <c r="AF548" i="13"/>
  <c r="AE564" i="13"/>
  <c r="AE522" i="13"/>
  <c r="AI522" i="13"/>
  <c r="AK522" i="13"/>
  <c r="AF522" i="13"/>
  <c r="AF550" i="13"/>
  <c r="AI550" i="13"/>
  <c r="AE550" i="13"/>
  <c r="AK550" i="13"/>
  <c r="AQ550" i="13" s="1"/>
  <c r="AF564" i="13"/>
  <c r="AI562" i="13"/>
  <c r="AE562" i="13"/>
  <c r="AK562" i="13"/>
  <c r="AQ562" i="13" s="1"/>
  <c r="AF562" i="13"/>
  <c r="AK538" i="13"/>
  <c r="AQ538" i="13" s="1"/>
  <c r="AE538" i="13"/>
  <c r="AF538" i="13"/>
  <c r="AI538" i="13"/>
  <c r="AI528" i="13"/>
  <c r="AK548" i="13"/>
  <c r="AE528" i="13"/>
  <c r="AD556" i="13"/>
  <c r="AI568" i="13"/>
  <c r="AD537" i="13"/>
  <c r="AD569" i="13"/>
  <c r="AD553" i="13"/>
  <c r="X458" i="6"/>
  <c r="X459" i="6"/>
  <c r="X456" i="6"/>
  <c r="X401" i="6"/>
  <c r="V460" i="6" a="1"/>
  <c r="V460" i="6" s="1"/>
  <c r="S296" i="6"/>
  <c r="U300" i="6" s="1"/>
  <c r="V296" i="6" a="1"/>
  <c r="V296" i="6" s="1"/>
  <c r="U207" i="6"/>
  <c r="V455" i="6" a="1"/>
  <c r="V455" i="6" s="1"/>
  <c r="S455" i="6"/>
  <c r="S464" i="6" s="1"/>
  <c r="V343" i="6" a="1"/>
  <c r="V343" i="6" s="1"/>
  <c r="U384" i="6"/>
  <c r="U318" i="6"/>
  <c r="V320" i="6" a="1"/>
  <c r="V320" i="6" s="1"/>
  <c r="U383" i="6"/>
  <c r="U320" i="6"/>
  <c r="U278" i="6"/>
  <c r="U313" i="6"/>
  <c r="S384" i="6"/>
  <c r="S548" i="6" s="1"/>
  <c r="S554" i="6" s="1"/>
  <c r="S557" i="6" s="1"/>
  <c r="V358" i="6" a="1"/>
  <c r="V358" i="6" s="1"/>
  <c r="V254" i="6" a="1"/>
  <c r="V254" i="6" s="1"/>
  <c r="U194" i="6"/>
  <c r="S194" i="6"/>
  <c r="S427" i="6" s="1"/>
  <c r="V190" i="6" a="1"/>
  <c r="V190" i="6" s="1"/>
  <c r="U393" i="6"/>
  <c r="U256" i="6"/>
  <c r="S329" i="6"/>
  <c r="S412" i="6" s="1"/>
  <c r="V263" i="6" a="1"/>
  <c r="V263" i="6" s="1"/>
  <c r="V386" i="6" a="1"/>
  <c r="V386" i="6" s="1"/>
  <c r="S283" i="6"/>
  <c r="U287" i="6"/>
  <c r="U329" i="6"/>
  <c r="U210" i="6"/>
  <c r="V319" i="6" a="1"/>
  <c r="V319" i="6" s="1"/>
  <c r="V336" i="6" a="1"/>
  <c r="V336" i="6" s="1"/>
  <c r="U273" i="6"/>
  <c r="U178" i="6"/>
  <c r="S386" i="6"/>
  <c r="S448" i="6"/>
  <c r="V374" i="6" a="1"/>
  <c r="V374" i="6" s="1"/>
  <c r="U257" i="6"/>
  <c r="S266" i="6"/>
  <c r="S355" i="6" s="1"/>
  <c r="V359" i="6" s="1" a="1"/>
  <c r="V359" i="6" s="1"/>
  <c r="U266" i="6"/>
  <c r="U223" i="6"/>
  <c r="S223" i="6"/>
  <c r="S229" i="6" s="1"/>
  <c r="V262" i="6" s="1" a="1"/>
  <c r="V262" i="6" s="1"/>
  <c r="V331" i="6" a="1"/>
  <c r="V331" i="6" s="1"/>
  <c r="V209" i="6" a="1"/>
  <c r="V209" i="6" s="1"/>
  <c r="S420" i="6"/>
  <c r="U206" i="6"/>
  <c r="U343" i="6"/>
  <c r="U261" i="6"/>
  <c r="V261" i="6" a="1"/>
  <c r="V261" i="6" s="1"/>
  <c r="S429" i="6"/>
  <c r="U221" i="6"/>
  <c r="S408" i="6"/>
  <c r="V448" i="6" a="1"/>
  <c r="V448" i="6" s="1"/>
  <c r="S381" i="6"/>
  <c r="S390" i="6" s="1"/>
  <c r="S391" i="6" s="1"/>
  <c r="S411" i="6" s="1"/>
  <c r="S492" i="6" s="1"/>
  <c r="U275" i="6"/>
  <c r="V381" i="6" a="1"/>
  <c r="V381" i="6" s="1"/>
  <c r="U380" i="6"/>
  <c r="V370" i="6" a="1"/>
  <c r="V370" i="6" s="1"/>
  <c r="S275" i="6"/>
  <c r="S173" i="6"/>
  <c r="V330" i="6" a="1"/>
  <c r="V330" i="6" s="1"/>
  <c r="S415" i="6"/>
  <c r="V457" i="6" s="1" a="1"/>
  <c r="V457" i="6" s="1"/>
  <c r="U258" i="6"/>
  <c r="S261" i="6"/>
  <c r="S279" i="6" s="1"/>
  <c r="S280" i="6" s="1"/>
  <c r="S289" i="6" s="1"/>
  <c r="S297" i="6" s="1"/>
  <c r="S299" i="6" s="1"/>
  <c r="V253" i="6" a="1"/>
  <c r="V253" i="6" s="1"/>
  <c r="S407" i="6"/>
  <c r="S443" i="6"/>
  <c r="S421" i="6"/>
  <c r="V461" i="6" s="1" a="1"/>
  <c r="V461" i="6" s="1"/>
  <c r="S409" i="6"/>
  <c r="S428" i="6"/>
  <c r="S400" i="6"/>
  <c r="S447" i="6"/>
  <c r="V453" i="6" s="1" a="1"/>
  <c r="V453" i="6" s="1"/>
  <c r="S416" i="6"/>
  <c r="S444" i="6"/>
  <c r="S267" i="6"/>
  <c r="S356" i="6" s="1"/>
  <c r="V267" i="6" a="1"/>
  <c r="V267" i="6" s="1"/>
  <c r="V173" i="6" a="1"/>
  <c r="V173" i="6" s="1"/>
  <c r="V203" i="6" a="1"/>
  <c r="V203" i="6" s="1"/>
  <c r="U203" i="6"/>
  <c r="V255" i="6" a="1"/>
  <c r="V255" i="6" s="1"/>
  <c r="V223" i="6" a="1"/>
  <c r="V223" i="6" s="1"/>
  <c r="U267" i="6"/>
  <c r="S435" i="6"/>
  <c r="S405" i="6"/>
  <c r="S441" i="6"/>
  <c r="V750" i="6" s="1" a="1"/>
  <c r="V750" i="6" s="1"/>
  <c r="I671" i="13" s="1"/>
  <c r="U255" i="6"/>
  <c r="U315" i="6"/>
  <c r="V315" i="6" a="1"/>
  <c r="V315" i="6" s="1"/>
  <c r="V304" i="6" a="1"/>
  <c r="V304" i="6" s="1"/>
  <c r="U304" i="6"/>
  <c r="V195" i="6" a="1"/>
  <c r="V195" i="6" s="1"/>
  <c r="U195" i="6"/>
  <c r="S217" i="6"/>
  <c r="U217" i="6"/>
  <c r="V217" i="6" a="1"/>
  <c r="V217" i="6" s="1"/>
  <c r="S445" i="6"/>
  <c r="S423" i="6"/>
  <c r="S437" i="6"/>
  <c r="S413" i="6"/>
  <c r="V180" i="6" a="1"/>
  <c r="V180" i="6" s="1"/>
  <c r="U180" i="6"/>
  <c r="V284" i="6" a="1"/>
  <c r="V284" i="6" s="1"/>
  <c r="U284" i="6"/>
  <c r="V214" i="6" a="1"/>
  <c r="V214" i="6" s="1"/>
  <c r="U214" i="6"/>
  <c r="U338" i="6"/>
  <c r="V338" i="6" a="1"/>
  <c r="V338" i="6" s="1"/>
  <c r="S431" i="6"/>
  <c r="S500" i="6" s="1"/>
  <c r="S417" i="6"/>
  <c r="S403" i="6"/>
  <c r="V498" i="6" s="1" a="1"/>
  <c r="V498" i="6" s="1"/>
  <c r="S433" i="6"/>
  <c r="V496" i="6" s="1" a="1"/>
  <c r="V496" i="6" s="1"/>
  <c r="U177" i="6"/>
  <c r="V177" i="6" a="1"/>
  <c r="V177" i="6" s="1"/>
  <c r="S439" i="6"/>
  <c r="S419" i="6"/>
  <c r="S338" i="6"/>
  <c r="S542" i="6" s="1"/>
  <c r="AQ549" i="13" l="1"/>
  <c r="AQ557" i="13"/>
  <c r="S759" i="6"/>
  <c r="U759" i="6"/>
  <c r="AQ578" i="13"/>
  <c r="AQ513" i="13"/>
  <c r="AQ545" i="13"/>
  <c r="AQ581" i="13"/>
  <c r="AQ577" i="13"/>
  <c r="AQ546" i="13"/>
  <c r="AG662" i="13" a="1"/>
  <c r="AG662" i="13" s="1"/>
  <c r="J662" i="13" s="1"/>
  <c r="AD662" i="13" s="1"/>
  <c r="AQ662" i="13" s="1"/>
  <c r="AG711" i="13" a="1"/>
  <c r="AG711" i="13" s="1"/>
  <c r="J664" i="13"/>
  <c r="AD664" i="13" s="1"/>
  <c r="AQ664" i="13" s="1"/>
  <c r="AI664" i="13"/>
  <c r="AQ565" i="13"/>
  <c r="AI624" i="13"/>
  <c r="U751" i="6"/>
  <c r="U750" i="6"/>
  <c r="K671" i="13" s="1"/>
  <c r="AP671" i="13" s="1"/>
  <c r="S750" i="6"/>
  <c r="U684" i="6"/>
  <c r="S684" i="6"/>
  <c r="U715" i="6"/>
  <c r="S715" i="6"/>
  <c r="U702" i="6"/>
  <c r="U720" i="6"/>
  <c r="U707" i="6"/>
  <c r="S683" i="6"/>
  <c r="U683" i="6"/>
  <c r="U714" i="6"/>
  <c r="S714" i="6"/>
  <c r="V583" i="6" a="1"/>
  <c r="V583" i="6" s="1"/>
  <c r="U179" i="6"/>
  <c r="S179" i="6"/>
  <c r="S233" i="6" s="1"/>
  <c r="S312" i="6" s="1"/>
  <c r="U276" i="6"/>
  <c r="S276" i="6"/>
  <c r="V587" i="6" a="1"/>
  <c r="V587" i="6" s="1"/>
  <c r="S587" i="6"/>
  <c r="V199" i="6" a="1"/>
  <c r="V199" i="6" s="1"/>
  <c r="S199" i="6"/>
  <c r="S490" i="6" s="1"/>
  <c r="U587" i="6"/>
  <c r="J652" i="13"/>
  <c r="AD652" i="13" s="1"/>
  <c r="AQ652" i="13" s="1"/>
  <c r="S665" i="6"/>
  <c r="V616" i="6" a="1"/>
  <c r="V616" i="6" s="1"/>
  <c r="S616" i="6"/>
  <c r="V622" i="6" s="1" a="1"/>
  <c r="V622" i="6" s="1"/>
  <c r="U616" i="6"/>
  <c r="J643" i="13"/>
  <c r="AD643" i="13" s="1"/>
  <c r="AQ643" i="13" s="1"/>
  <c r="S598" i="6"/>
  <c r="S599" i="6" s="1"/>
  <c r="S613" i="6" s="1"/>
  <c r="AQ553" i="13"/>
  <c r="AQ556" i="13"/>
  <c r="AQ528" i="13"/>
  <c r="S559" i="6"/>
  <c r="AQ529" i="13"/>
  <c r="AI529" i="13"/>
  <c r="V548" i="6" a="1"/>
  <c r="V548" i="6" s="1"/>
  <c r="U548" i="6"/>
  <c r="AQ548" i="13"/>
  <c r="U542" i="6"/>
  <c r="V542" i="6" a="1"/>
  <c r="V542" i="6" s="1"/>
  <c r="S538" i="6"/>
  <c r="S718" i="6" s="1"/>
  <c r="U538" i="6"/>
  <c r="U536" i="6"/>
  <c r="S536" i="6"/>
  <c r="S720" i="6" s="1"/>
  <c r="U537" i="6"/>
  <c r="S537" i="6"/>
  <c r="V550" i="6" s="1" a="1"/>
  <c r="V550" i="6" s="1"/>
  <c r="S533" i="6"/>
  <c r="S708" i="6" s="1"/>
  <c r="U533" i="6"/>
  <c r="S532" i="6"/>
  <c r="U532" i="6"/>
  <c r="S531" i="6"/>
  <c r="S555" i="6" s="1"/>
  <c r="U531" i="6"/>
  <c r="U530" i="6"/>
  <c r="S530" i="6"/>
  <c r="S527" i="6"/>
  <c r="U527" i="6"/>
  <c r="U528" i="6"/>
  <c r="S528" i="6"/>
  <c r="U526" i="6"/>
  <c r="S526" i="6"/>
  <c r="U521" i="6"/>
  <c r="S521" i="6"/>
  <c r="S525" i="6"/>
  <c r="S547" i="6" s="1"/>
  <c r="S551" i="6" s="1"/>
  <c r="U525" i="6"/>
  <c r="S522" i="6"/>
  <c r="U522" i="6"/>
  <c r="S523" i="6"/>
  <c r="U523" i="6"/>
  <c r="S520" i="6"/>
  <c r="U520" i="6"/>
  <c r="S519" i="6"/>
  <c r="U519" i="6"/>
  <c r="U516" i="6"/>
  <c r="S516" i="6"/>
  <c r="U514" i="6"/>
  <c r="S514" i="6"/>
  <c r="S594" i="6" s="1"/>
  <c r="S651" i="6" s="1"/>
  <c r="S689" i="6" s="1"/>
  <c r="U515" i="6"/>
  <c r="S515" i="6"/>
  <c r="U512" i="6"/>
  <c r="S512" i="6"/>
  <c r="U511" i="6"/>
  <c r="S511" i="6"/>
  <c r="S509" i="6"/>
  <c r="U509" i="6"/>
  <c r="S510" i="6"/>
  <c r="S588" i="6" s="1"/>
  <c r="U510" i="6"/>
  <c r="U199" i="6"/>
  <c r="U500" i="6"/>
  <c r="V500" i="6" a="1"/>
  <c r="V500" i="6" s="1"/>
  <c r="U498" i="6"/>
  <c r="S498" i="6"/>
  <c r="U394" i="6"/>
  <c r="S394" i="6"/>
  <c r="S425" i="6" s="1"/>
  <c r="V489" i="6" s="1" a="1"/>
  <c r="V489" i="6" s="1"/>
  <c r="U496" i="6"/>
  <c r="S496" i="6"/>
  <c r="AQ564" i="13"/>
  <c r="V369" i="6" a="1"/>
  <c r="V369" i="6" s="1"/>
  <c r="S369" i="6"/>
  <c r="S426" i="6" s="1"/>
  <c r="V452" i="6" s="1" a="1"/>
  <c r="V452" i="6" s="1"/>
  <c r="AQ540" i="13"/>
  <c r="S484" i="6"/>
  <c r="S486" i="6" s="1"/>
  <c r="U484" i="6"/>
  <c r="V484" i="6" a="1"/>
  <c r="V484" i="6" s="1"/>
  <c r="V479" i="6" a="1"/>
  <c r="V479" i="6" s="1"/>
  <c r="S479" i="6"/>
  <c r="S480" i="6" s="1"/>
  <c r="U479" i="6"/>
  <c r="AQ555" i="13"/>
  <c r="AQ526" i="13"/>
  <c r="AQ569" i="13"/>
  <c r="AQ522" i="13"/>
  <c r="AQ531" i="13"/>
  <c r="AQ518" i="13"/>
  <c r="AQ572" i="13"/>
  <c r="AQ551" i="13"/>
  <c r="AQ520" i="13"/>
  <c r="AQ580" i="13"/>
  <c r="AQ554" i="13"/>
  <c r="AQ558" i="13"/>
  <c r="AQ521" i="13"/>
  <c r="AQ544" i="13"/>
  <c r="AQ576" i="13"/>
  <c r="AQ510" i="13"/>
  <c r="AI566" i="13"/>
  <c r="AQ524" i="13"/>
  <c r="AQ516" i="13"/>
  <c r="AQ542" i="13"/>
  <c r="AQ537" i="13"/>
  <c r="S462" i="6"/>
  <c r="U462" i="6"/>
  <c r="V462" i="6" a="1"/>
  <c r="V462" i="6" s="1"/>
  <c r="S262" i="6"/>
  <c r="U293" i="6" s="1"/>
  <c r="S461" i="6"/>
  <c r="S632" i="6" s="1"/>
  <c r="U461" i="6"/>
  <c r="S300" i="6"/>
  <c r="U321" i="6" s="1"/>
  <c r="V300" i="6" a="1"/>
  <c r="V300" i="6" s="1"/>
  <c r="S457" i="6"/>
  <c r="U457" i="6"/>
  <c r="U453" i="6"/>
  <c r="S453" i="6"/>
  <c r="V454" i="6" s="1" a="1"/>
  <c r="V454" i="6" s="1"/>
  <c r="V179" i="6" a="1"/>
  <c r="V179" i="6" s="1"/>
  <c r="U289" i="6"/>
  <c r="U262" i="6"/>
  <c r="S359" i="6"/>
  <c r="V276" i="6" a="1"/>
  <c r="V276" i="6" s="1"/>
  <c r="U359" i="6"/>
  <c r="V289" i="6" a="1"/>
  <c r="V289" i="6" s="1"/>
  <c r="S360" i="6"/>
  <c r="V360" i="6" a="1"/>
  <c r="V360" i="6" s="1"/>
  <c r="U360" i="6"/>
  <c r="S340" i="6"/>
  <c r="S410" i="6" s="1"/>
  <c r="V340" i="6" a="1"/>
  <c r="V340" i="6" s="1"/>
  <c r="U340" i="6"/>
  <c r="U220" i="6"/>
  <c r="V220" i="6" a="1"/>
  <c r="V220" i="6" s="1"/>
  <c r="S220" i="6"/>
  <c r="S707" i="6" l="1"/>
  <c r="S710" i="6"/>
  <c r="AI662" i="13"/>
  <c r="AI711" i="13"/>
  <c r="J711" i="13"/>
  <c r="AD711" i="13" s="1"/>
  <c r="AQ711" i="13" s="1"/>
  <c r="U685" i="6"/>
  <c r="S685" i="6"/>
  <c r="U696" i="6"/>
  <c r="S696" i="6"/>
  <c r="S700" i="6"/>
  <c r="U700" i="6"/>
  <c r="U705" i="6"/>
  <c r="S705" i="6"/>
  <c r="U713" i="6"/>
  <c r="S713" i="6"/>
  <c r="U698" i="6"/>
  <c r="S698" i="6"/>
  <c r="U709" i="6"/>
  <c r="S709" i="6"/>
  <c r="U697" i="6"/>
  <c r="S697" i="6"/>
  <c r="U699" i="6"/>
  <c r="U712" i="6"/>
  <c r="S712" i="6"/>
  <c r="U717" i="6"/>
  <c r="S717" i="6"/>
  <c r="U701" i="6"/>
  <c r="S701" i="6"/>
  <c r="U687" i="6"/>
  <c r="S687" i="6"/>
  <c r="U693" i="6"/>
  <c r="S693" i="6"/>
  <c r="U704" i="6"/>
  <c r="U716" i="6"/>
  <c r="S716" i="6"/>
  <c r="U518" i="6"/>
  <c r="S518" i="6"/>
  <c r="V549" i="6" s="1" a="1"/>
  <c r="V549" i="6" s="1"/>
  <c r="V392" i="6" a="1"/>
  <c r="V392" i="6" s="1"/>
  <c r="S392" i="6"/>
  <c r="U392" i="6"/>
  <c r="S672" i="6"/>
  <c r="U663" i="6"/>
  <c r="S663" i="6"/>
  <c r="S699" i="6" s="1"/>
  <c r="V623" i="6" a="1"/>
  <c r="V623" i="6" s="1"/>
  <c r="S623" i="6"/>
  <c r="U623" i="6"/>
  <c r="I620" i="13"/>
  <c r="U622" i="6"/>
  <c r="K620" i="13" s="1"/>
  <c r="AP620" i="13" s="1"/>
  <c r="S622" i="6"/>
  <c r="AG620" i="13" s="1" a="1"/>
  <c r="AG620" i="13" s="1"/>
  <c r="J620" i="13" s="1"/>
  <c r="AD620" i="13" s="1"/>
  <c r="AQ620" i="13" s="1"/>
  <c r="U614" i="6"/>
  <c r="V614" i="6" a="1"/>
  <c r="V614" i="6" s="1"/>
  <c r="S614" i="6"/>
  <c r="S690" i="6" s="1"/>
  <c r="AG600" i="13" a="1"/>
  <c r="AG600" i="13" s="1"/>
  <c r="J600" i="13" s="1"/>
  <c r="AD600" i="13" s="1"/>
  <c r="AQ600" i="13" s="1"/>
  <c r="U613" i="6"/>
  <c r="K600" i="13" s="1"/>
  <c r="AP600" i="13" s="1"/>
  <c r="V613" i="6" a="1"/>
  <c r="V613" i="6" s="1"/>
  <c r="I600" i="13" s="1"/>
  <c r="AI600" i="13"/>
  <c r="V588" i="6" a="1"/>
  <c r="V588" i="6" s="1"/>
  <c r="U588" i="6"/>
  <c r="V582" i="6" a="1"/>
  <c r="V582" i="6" s="1"/>
  <c r="S582" i="6"/>
  <c r="U582" i="6"/>
  <c r="S560" i="6"/>
  <c r="U560" i="6"/>
  <c r="V555" i="6" a="1"/>
  <c r="V555" i="6" s="1"/>
  <c r="U555" i="6"/>
  <c r="S550" i="6"/>
  <c r="U550" i="6"/>
  <c r="U504" i="6"/>
  <c r="S504" i="6"/>
  <c r="S681" i="6" s="1"/>
  <c r="S489" i="6"/>
  <c r="U489" i="6"/>
  <c r="S452" i="6"/>
  <c r="V470" i="6" s="1" a="1"/>
  <c r="V470" i="6" s="1"/>
  <c r="U452" i="6"/>
  <c r="V480" i="6" a="1"/>
  <c r="V480" i="6" s="1"/>
  <c r="U480" i="6"/>
  <c r="S293" i="6"/>
  <c r="S377" i="6" s="1"/>
  <c r="S378" i="6" s="1"/>
  <c r="S397" i="6" s="1"/>
  <c r="S398" i="6" s="1"/>
  <c r="S401" i="6" s="1"/>
  <c r="V467" i="6" a="1"/>
  <c r="V467" i="6" s="1"/>
  <c r="U467" i="6"/>
  <c r="S467" i="6"/>
  <c r="S471" i="6" s="1"/>
  <c r="S494" i="6" s="1"/>
  <c r="V293" i="6" a="1"/>
  <c r="V293" i="6" s="1"/>
  <c r="V321" i="6" a="1"/>
  <c r="V321" i="6" s="1"/>
  <c r="S321" i="6"/>
  <c r="U344" i="6" s="1"/>
  <c r="S454" i="6"/>
  <c r="U454" i="6"/>
  <c r="S451" i="6"/>
  <c r="U451" i="6"/>
  <c r="V222" i="6" a="1"/>
  <c r="V222" i="6" s="1"/>
  <c r="U222" i="6"/>
  <c r="S222" i="6"/>
  <c r="S224" i="6" s="1"/>
  <c r="S679" i="6" s="1"/>
  <c r="S764" i="6" s="1"/>
  <c r="S771" i="6" l="1"/>
  <c r="AG570" i="13" s="1" a="1"/>
  <c r="AG570" i="13" s="1"/>
  <c r="J570" i="13" s="1"/>
  <c r="U771" i="6"/>
  <c r="V752" i="6" a="1"/>
  <c r="V752" i="6" s="1"/>
  <c r="I674" i="13" s="1"/>
  <c r="U752" i="6"/>
  <c r="K674" i="13" s="1"/>
  <c r="S752" i="6"/>
  <c r="U703" i="6"/>
  <c r="S703" i="6"/>
  <c r="U681" i="6"/>
  <c r="U694" i="6"/>
  <c r="S694" i="6"/>
  <c r="V772" i="6" s="1" a="1"/>
  <c r="V772" i="6" s="1"/>
  <c r="U549" i="6"/>
  <c r="S549" i="6"/>
  <c r="S591" i="6" s="1"/>
  <c r="S691" i="6" s="1"/>
  <c r="U678" i="6"/>
  <c r="S678" i="6"/>
  <c r="V638" i="6" a="1"/>
  <c r="V638" i="6" s="1"/>
  <c r="S638" i="6"/>
  <c r="S648" i="6" s="1"/>
  <c r="U638" i="6"/>
  <c r="AI620" i="13"/>
  <c r="V585" i="6" a="1"/>
  <c r="V585" i="6" s="1"/>
  <c r="S585" i="6"/>
  <c r="U585" i="6"/>
  <c r="S541" i="6"/>
  <c r="U541" i="6"/>
  <c r="U513" i="6"/>
  <c r="S513" i="6"/>
  <c r="S558" i="6" s="1"/>
  <c r="S572" i="6" s="1"/>
  <c r="S589" i="6" s="1"/>
  <c r="S592" i="6" s="1"/>
  <c r="S595" i="6" s="1"/>
  <c r="S603" i="6" s="1"/>
  <c r="U470" i="6"/>
  <c r="S470" i="6"/>
  <c r="U476" i="6" s="1"/>
  <c r="U450" i="6"/>
  <c r="V450" i="6" a="1"/>
  <c r="V450" i="6" s="1"/>
  <c r="S450" i="6"/>
  <c r="V456" i="6" s="1" a="1"/>
  <c r="V456" i="6" s="1"/>
  <c r="S476" i="6"/>
  <c r="S344" i="6"/>
  <c r="V349" i="6" s="1" a="1"/>
  <c r="V349" i="6" s="1"/>
  <c r="V344" i="6" a="1"/>
  <c r="V344" i="6" s="1"/>
  <c r="V224" i="6" a="1"/>
  <c r="V224" i="6" s="1"/>
  <c r="U224" i="6"/>
  <c r="S772" i="6" l="1"/>
  <c r="U772" i="6"/>
  <c r="S742" i="6"/>
  <c r="U742" i="6"/>
  <c r="S732" i="6"/>
  <c r="AG517" i="13" s="1" a="1"/>
  <c r="AG517" i="13" s="1"/>
  <c r="S751" i="6"/>
  <c r="S695" i="6"/>
  <c r="U695" i="6"/>
  <c r="U731" i="6"/>
  <c r="S731" i="6"/>
  <c r="V763" i="6" s="1" a="1"/>
  <c r="V763" i="6" s="1"/>
  <c r="V648" i="6" a="1"/>
  <c r="V648" i="6" s="1"/>
  <c r="U648" i="6"/>
  <c r="U624" i="6"/>
  <c r="V624" i="6" a="1"/>
  <c r="V624" i="6" s="1"/>
  <c r="S624" i="6"/>
  <c r="U617" i="6"/>
  <c r="V617" i="6" a="1"/>
  <c r="V617" i="6" s="1"/>
  <c r="S617" i="6"/>
  <c r="V590" i="6" a="1"/>
  <c r="V590" i="6" s="1"/>
  <c r="S590" i="6"/>
  <c r="U590" i="6"/>
  <c r="V476" i="6" a="1"/>
  <c r="V476" i="6" s="1"/>
  <c r="S456" i="6"/>
  <c r="U458" i="6" s="1"/>
  <c r="U456" i="6"/>
  <c r="S349" i="6"/>
  <c r="U363" i="6" s="1"/>
  <c r="U349" i="6"/>
  <c r="S773" i="6" l="1"/>
  <c r="AG672" i="13" s="1" a="1"/>
  <c r="AG672" i="13" s="1"/>
  <c r="J672" i="13" s="1"/>
  <c r="AD672" i="13" s="1"/>
  <c r="AQ672" i="13" s="1"/>
  <c r="U773" i="6"/>
  <c r="S763" i="6"/>
  <c r="U763" i="6"/>
  <c r="S722" i="6"/>
  <c r="AG656" i="13" s="1" a="1"/>
  <c r="AG656" i="13" s="1"/>
  <c r="J656" i="13" s="1"/>
  <c r="AD656" i="13" s="1"/>
  <c r="AQ656" i="13" s="1"/>
  <c r="S726" i="6"/>
  <c r="J517" i="13"/>
  <c r="AD517" i="13" s="1"/>
  <c r="AQ517" i="13" s="1"/>
  <c r="AI517" i="13"/>
  <c r="AG671" i="13" a="1"/>
  <c r="AG671" i="13" s="1"/>
  <c r="J671" i="13" s="1"/>
  <c r="S721" i="6"/>
  <c r="U721" i="6"/>
  <c r="V618" i="6" a="1"/>
  <c r="V618" i="6" s="1"/>
  <c r="S618" i="6"/>
  <c r="S641" i="6" s="1"/>
  <c r="S650" i="6" s="1"/>
  <c r="S688" i="6" s="1"/>
  <c r="U618" i="6"/>
  <c r="S610" i="6"/>
  <c r="V610" i="6" a="1"/>
  <c r="V610" i="6" s="1"/>
  <c r="U610" i="6"/>
  <c r="V458" i="6" a="1"/>
  <c r="V458" i="6" s="1"/>
  <c r="S458" i="6"/>
  <c r="V363" i="6" a="1"/>
  <c r="V363" i="6" s="1"/>
  <c r="S363" i="6"/>
  <c r="U449" i="6" s="1"/>
  <c r="V766" i="6" l="1" a="1"/>
  <c r="V766" i="6" s="1"/>
  <c r="S766" i="6"/>
  <c r="S769" i="6" s="1"/>
  <c r="U766" i="6"/>
  <c r="AI656" i="13"/>
  <c r="S702" i="6"/>
  <c r="S704" i="6"/>
  <c r="AI672" i="13"/>
  <c r="S747" i="6"/>
  <c r="V747" i="6" a="1"/>
  <c r="V747" i="6" s="1"/>
  <c r="I661" i="13" s="1"/>
  <c r="U747" i="6"/>
  <c r="K661" i="13" s="1"/>
  <c r="AP661" i="13" s="1"/>
  <c r="U706" i="6"/>
  <c r="S706" i="6"/>
  <c r="S746" i="6" s="1"/>
  <c r="AG644" i="13" s="1" a="1"/>
  <c r="AG644" i="13" s="1"/>
  <c r="S692" i="6"/>
  <c r="U692" i="6"/>
  <c r="V459" i="6" a="1"/>
  <c r="V459" i="6" s="1"/>
  <c r="U459" i="6"/>
  <c r="S459" i="6"/>
  <c r="S449" i="6"/>
  <c r="V449" i="6" a="1"/>
  <c r="V449" i="6" s="1"/>
  <c r="AS4" i="13"/>
  <c r="AS5" i="13"/>
  <c r="AS6" i="13"/>
  <c r="AS7" i="13"/>
  <c r="AS8" i="13"/>
  <c r="AS9" i="13"/>
  <c r="AS10" i="13"/>
  <c r="AS11" i="13"/>
  <c r="AS12" i="13"/>
  <c r="AS13" i="13"/>
  <c r="AS14" i="13"/>
  <c r="AS16" i="13"/>
  <c r="AS17" i="13"/>
  <c r="AS18" i="13"/>
  <c r="AS21" i="13"/>
  <c r="AS22" i="13"/>
  <c r="AS23" i="13"/>
  <c r="AS24" i="13"/>
  <c r="AS25" i="13"/>
  <c r="AS27" i="13"/>
  <c r="AS28" i="13"/>
  <c r="AS29" i="13"/>
  <c r="AS30" i="13"/>
  <c r="AS31" i="13"/>
  <c r="AS33" i="13"/>
  <c r="AS34" i="13"/>
  <c r="AS35" i="13"/>
  <c r="AS36" i="13"/>
  <c r="AS37" i="13"/>
  <c r="AS38" i="13"/>
  <c r="AS39" i="13"/>
  <c r="AS40" i="13"/>
  <c r="AS42" i="13"/>
  <c r="AS44" i="13"/>
  <c r="AS45" i="13"/>
  <c r="AS46" i="13"/>
  <c r="AS48" i="13"/>
  <c r="AS50" i="13"/>
  <c r="AS52" i="13"/>
  <c r="AS54" i="13"/>
  <c r="AS56" i="13"/>
  <c r="AS57" i="13"/>
  <c r="AS58" i="13"/>
  <c r="AS59" i="13"/>
  <c r="AS61" i="13"/>
  <c r="AS62" i="13"/>
  <c r="AS63" i="13"/>
  <c r="AS64" i="13"/>
  <c r="AS67" i="13"/>
  <c r="AS71" i="13"/>
  <c r="AS72" i="13"/>
  <c r="AS73" i="13"/>
  <c r="AS74" i="13"/>
  <c r="AS78" i="13"/>
  <c r="AS79" i="13"/>
  <c r="AS80" i="13"/>
  <c r="AS82" i="13"/>
  <c r="AS83" i="13"/>
  <c r="AS84" i="13"/>
  <c r="AS85" i="13"/>
  <c r="AS86" i="13"/>
  <c r="AS89" i="13"/>
  <c r="AS90" i="13"/>
  <c r="AS91" i="13"/>
  <c r="AS92" i="13"/>
  <c r="AS93" i="13"/>
  <c r="AS95" i="13"/>
  <c r="AS96" i="13"/>
  <c r="AS98" i="13"/>
  <c r="AS99" i="13"/>
  <c r="AS100" i="13"/>
  <c r="AS101" i="13"/>
  <c r="AS102" i="13"/>
  <c r="AS103" i="13"/>
  <c r="AS104" i="13"/>
  <c r="AS105" i="13"/>
  <c r="AS106" i="13"/>
  <c r="AS107" i="13"/>
  <c r="AS108" i="13"/>
  <c r="AS109" i="13"/>
  <c r="AS110" i="13"/>
  <c r="AS111" i="13"/>
  <c r="AS112" i="13"/>
  <c r="AS114" i="13"/>
  <c r="AS116" i="13"/>
  <c r="AS117" i="13"/>
  <c r="AS118" i="13"/>
  <c r="AS119" i="13"/>
  <c r="AS120" i="13"/>
  <c r="AS121" i="13"/>
  <c r="AS122" i="13"/>
  <c r="AS123" i="13"/>
  <c r="AS124" i="13"/>
  <c r="AS126" i="13"/>
  <c r="AS127" i="13"/>
  <c r="AS128" i="13"/>
  <c r="AS129" i="13"/>
  <c r="AS130" i="13"/>
  <c r="AS131" i="13"/>
  <c r="AS132" i="13"/>
  <c r="AS133" i="13"/>
  <c r="AS134" i="13"/>
  <c r="AS135" i="13"/>
  <c r="AS136" i="13"/>
  <c r="AS137" i="13"/>
  <c r="AS138" i="13"/>
  <c r="AS139" i="13"/>
  <c r="AS140" i="13"/>
  <c r="AS141" i="13"/>
  <c r="AS143" i="13"/>
  <c r="AS146" i="13"/>
  <c r="AS147" i="13"/>
  <c r="AS148" i="13"/>
  <c r="AS149" i="13"/>
  <c r="AS150" i="13"/>
  <c r="AS151" i="13"/>
  <c r="AS152" i="13"/>
  <c r="AS153" i="13"/>
  <c r="AS154" i="13"/>
  <c r="AS155" i="13"/>
  <c r="AS156" i="13"/>
  <c r="AS157" i="13"/>
  <c r="AS158" i="13"/>
  <c r="AS159" i="13"/>
  <c r="AS161" i="13"/>
  <c r="AS162" i="13"/>
  <c r="AS163" i="13"/>
  <c r="AS164" i="13"/>
  <c r="AS165" i="13"/>
  <c r="AS166" i="13"/>
  <c r="AS167" i="13"/>
  <c r="AS168" i="13"/>
  <c r="AS169" i="13"/>
  <c r="AS170" i="13"/>
  <c r="AS171" i="13"/>
  <c r="AS173" i="13"/>
  <c r="AS174" i="13"/>
  <c r="AS175" i="13"/>
  <c r="AS176" i="13"/>
  <c r="AS177" i="13"/>
  <c r="AS178" i="13"/>
  <c r="AS179" i="13"/>
  <c r="AS180" i="13"/>
  <c r="AS181" i="13"/>
  <c r="AS182" i="13"/>
  <c r="AS184" i="13"/>
  <c r="AS185" i="13"/>
  <c r="AS186" i="13"/>
  <c r="AS187" i="13"/>
  <c r="AS188" i="13"/>
  <c r="AS190" i="13"/>
  <c r="AS191" i="13"/>
  <c r="AS192" i="13"/>
  <c r="AS193" i="13"/>
  <c r="AS195" i="13"/>
  <c r="AS196" i="13"/>
  <c r="AS199" i="13"/>
  <c r="AS200" i="13"/>
  <c r="AS201" i="13"/>
  <c r="AS202" i="13"/>
  <c r="AS204" i="13"/>
  <c r="AS205" i="13"/>
  <c r="AS207" i="13"/>
  <c r="AS208" i="13"/>
  <c r="AS209" i="13"/>
  <c r="AS211" i="13"/>
  <c r="AS212" i="13"/>
  <c r="AS213" i="13"/>
  <c r="AS214" i="13"/>
  <c r="AS215" i="13"/>
  <c r="AS216" i="13"/>
  <c r="AS217" i="13"/>
  <c r="AS218" i="13"/>
  <c r="AS219" i="13"/>
  <c r="AS220" i="13"/>
  <c r="AS221" i="13"/>
  <c r="AS223" i="13"/>
  <c r="AS225" i="13"/>
  <c r="AS228" i="13"/>
  <c r="AS229" i="13"/>
  <c r="AS230" i="13"/>
  <c r="AS231" i="13"/>
  <c r="AS232" i="13"/>
  <c r="AS233" i="13"/>
  <c r="AS234" i="13"/>
  <c r="AS235" i="13"/>
  <c r="AS236" i="13"/>
  <c r="AS237" i="13"/>
  <c r="AS238" i="13"/>
  <c r="AS239" i="13"/>
  <c r="AS240" i="13"/>
  <c r="AS241" i="13"/>
  <c r="AS242" i="13"/>
  <c r="AS243" i="13"/>
  <c r="AS245" i="13"/>
  <c r="AS246" i="13"/>
  <c r="AS249" i="13"/>
  <c r="AS252" i="13"/>
  <c r="AS253" i="13"/>
  <c r="AS254" i="13"/>
  <c r="AS255" i="13"/>
  <c r="AS256" i="13"/>
  <c r="AS257" i="13"/>
  <c r="AS258" i="13"/>
  <c r="AS259" i="13"/>
  <c r="AS260" i="13"/>
  <c r="AS261" i="13"/>
  <c r="AS264" i="13"/>
  <c r="AS265" i="13"/>
  <c r="AS266" i="13"/>
  <c r="AS267" i="13"/>
  <c r="AS268" i="13"/>
  <c r="AS269" i="13"/>
  <c r="AS270" i="13"/>
  <c r="AS271" i="13"/>
  <c r="AS272" i="13"/>
  <c r="AS273" i="13"/>
  <c r="AS274" i="13"/>
  <c r="AS275" i="13"/>
  <c r="AS276" i="13"/>
  <c r="AS277" i="13"/>
  <c r="AS278" i="13"/>
  <c r="AS279" i="13"/>
  <c r="AS280" i="13"/>
  <c r="AS281" i="13"/>
  <c r="AS282" i="13"/>
  <c r="AS283" i="13"/>
  <c r="AS284" i="13"/>
  <c r="AS285" i="13"/>
  <c r="AS286" i="13"/>
  <c r="AS287" i="13"/>
  <c r="AS288" i="13"/>
  <c r="AS289" i="13"/>
  <c r="AS290" i="13"/>
  <c r="AS291" i="13"/>
  <c r="AS292" i="13"/>
  <c r="AS293" i="13"/>
  <c r="AS294" i="13"/>
  <c r="AS295" i="13"/>
  <c r="AS296" i="13"/>
  <c r="AS297" i="13"/>
  <c r="AS298" i="13"/>
  <c r="AS299" i="13"/>
  <c r="AS300" i="13"/>
  <c r="AS301" i="13"/>
  <c r="AS302" i="13"/>
  <c r="AS303" i="13"/>
  <c r="AS304" i="13"/>
  <c r="AS305" i="13"/>
  <c r="AS306" i="13"/>
  <c r="AS307" i="13"/>
  <c r="AS308" i="13"/>
  <c r="AS309" i="13"/>
  <c r="AS310" i="13"/>
  <c r="AS311" i="13"/>
  <c r="AS312" i="13"/>
  <c r="AS313" i="13"/>
  <c r="AS314" i="13"/>
  <c r="AS315" i="13"/>
  <c r="AS316" i="13"/>
  <c r="AS317" i="13"/>
  <c r="AS318" i="13"/>
  <c r="AS319" i="13"/>
  <c r="AS320" i="13"/>
  <c r="AS321" i="13"/>
  <c r="AS322" i="13"/>
  <c r="AS323" i="13"/>
  <c r="AS324" i="13"/>
  <c r="AS325" i="13"/>
  <c r="AS327" i="13"/>
  <c r="AS329" i="13"/>
  <c r="AS330" i="13"/>
  <c r="AS331" i="13"/>
  <c r="AS332" i="13"/>
  <c r="AS337" i="13"/>
  <c r="AS338" i="13"/>
  <c r="AS339" i="13"/>
  <c r="AS340" i="13"/>
  <c r="AS341" i="13"/>
  <c r="AS342" i="13"/>
  <c r="AS343" i="13"/>
  <c r="AS344" i="13"/>
  <c r="AS345" i="13"/>
  <c r="AS352" i="13"/>
  <c r="AS358" i="13"/>
  <c r="AS359" i="13"/>
  <c r="AS361" i="13"/>
  <c r="AS367" i="13"/>
  <c r="AS368" i="13"/>
  <c r="AS374" i="13"/>
  <c r="AS376" i="13"/>
  <c r="AS377" i="13"/>
  <c r="AS378" i="13"/>
  <c r="AS379" i="13"/>
  <c r="AS380" i="13"/>
  <c r="AS383" i="13"/>
  <c r="AS384" i="13"/>
  <c r="AS385" i="13"/>
  <c r="AS386" i="13"/>
  <c r="AS387" i="13"/>
  <c r="AS388" i="13"/>
  <c r="AS390" i="13"/>
  <c r="AS391" i="13"/>
  <c r="AS392" i="13"/>
  <c r="AS393" i="13"/>
  <c r="AS394" i="13"/>
  <c r="AS395" i="13"/>
  <c r="AS396" i="13"/>
  <c r="AS397" i="13"/>
  <c r="AS398" i="13"/>
  <c r="AS399" i="13"/>
  <c r="AS400" i="13"/>
  <c r="AS401" i="13"/>
  <c r="AS402" i="13"/>
  <c r="AS403" i="13"/>
  <c r="AS404" i="13"/>
  <c r="AS406" i="13"/>
  <c r="AS407" i="13"/>
  <c r="AS408" i="13"/>
  <c r="AS409" i="13"/>
  <c r="AS410" i="13"/>
  <c r="AS411" i="13"/>
  <c r="AS412" i="13"/>
  <c r="AS413" i="13"/>
  <c r="AS414" i="13"/>
  <c r="AS415" i="13"/>
  <c r="AS416" i="13"/>
  <c r="AS421" i="13"/>
  <c r="AS422" i="13"/>
  <c r="AS424" i="13"/>
  <c r="AS425" i="13"/>
  <c r="AS426" i="13"/>
  <c r="AS427" i="13"/>
  <c r="AS429" i="13"/>
  <c r="AS430" i="13"/>
  <c r="AS431" i="13"/>
  <c r="AS432" i="13"/>
  <c r="AS433" i="13"/>
  <c r="AS434" i="13"/>
  <c r="AS435" i="13"/>
  <c r="AS436" i="13"/>
  <c r="AS437" i="13"/>
  <c r="AS438" i="13"/>
  <c r="AS439" i="13"/>
  <c r="AS440" i="13"/>
  <c r="AS441" i="13"/>
  <c r="AS442" i="13"/>
  <c r="AS443" i="13"/>
  <c r="AS444" i="13"/>
  <c r="AS445" i="13"/>
  <c r="AS446" i="13"/>
  <c r="AS447" i="13"/>
  <c r="AS448" i="13"/>
  <c r="AS449" i="13"/>
  <c r="AS450" i="13"/>
  <c r="AS451" i="13"/>
  <c r="AS452" i="13"/>
  <c r="AS453" i="13"/>
  <c r="AS454" i="13"/>
  <c r="AS455" i="13"/>
  <c r="AS456" i="13"/>
  <c r="AS457" i="13"/>
  <c r="AS458" i="13"/>
  <c r="AS459" i="13"/>
  <c r="AS460" i="13"/>
  <c r="AS461" i="13"/>
  <c r="AS462" i="13"/>
  <c r="AS463" i="13"/>
  <c r="AS464" i="13"/>
  <c r="AS465" i="13"/>
  <c r="AS467" i="13"/>
  <c r="AS468" i="13"/>
  <c r="AS469" i="13"/>
  <c r="AS470" i="13"/>
  <c r="AS471" i="13"/>
  <c r="AS472" i="13"/>
  <c r="AS473" i="13"/>
  <c r="AS474" i="13"/>
  <c r="AS475" i="13"/>
  <c r="AS476" i="13"/>
  <c r="AS477" i="13"/>
  <c r="AS478" i="13"/>
  <c r="AS479" i="13"/>
  <c r="AS480" i="13"/>
  <c r="AS481" i="13"/>
  <c r="AS482" i="13"/>
  <c r="AS483" i="13"/>
  <c r="AS484" i="13"/>
  <c r="AS485" i="13"/>
  <c r="AS486" i="13"/>
  <c r="AS487" i="13"/>
  <c r="AS488" i="13"/>
  <c r="AS489" i="13"/>
  <c r="AS490" i="13"/>
  <c r="AS491" i="13"/>
  <c r="AS492" i="13"/>
  <c r="AS493" i="13"/>
  <c r="AS494" i="13"/>
  <c r="AS495" i="13"/>
  <c r="AS496" i="13"/>
  <c r="AS497" i="13"/>
  <c r="AS498" i="13"/>
  <c r="AS499" i="13"/>
  <c r="AS500" i="13"/>
  <c r="AS501" i="13"/>
  <c r="AS502" i="13"/>
  <c r="AS503" i="13"/>
  <c r="AS504" i="13"/>
  <c r="AS505" i="13"/>
  <c r="AS506" i="13"/>
  <c r="AS507" i="13"/>
  <c r="AS508" i="13"/>
  <c r="AS509" i="13"/>
  <c r="AR4" i="13"/>
  <c r="AR5" i="13"/>
  <c r="AR6" i="13"/>
  <c r="AR7" i="13"/>
  <c r="AR8" i="13"/>
  <c r="AR9" i="13"/>
  <c r="AR10" i="13"/>
  <c r="AR11" i="13"/>
  <c r="AR12" i="13"/>
  <c r="AR13" i="13"/>
  <c r="AR14" i="13"/>
  <c r="AR16" i="13"/>
  <c r="AR17" i="13"/>
  <c r="AR18" i="13"/>
  <c r="AR21" i="13"/>
  <c r="AR22" i="13"/>
  <c r="AR23" i="13"/>
  <c r="AR24" i="13"/>
  <c r="AR25" i="13"/>
  <c r="AR27" i="13"/>
  <c r="AR28" i="13"/>
  <c r="AR29" i="13"/>
  <c r="AR30" i="13"/>
  <c r="AR31" i="13"/>
  <c r="AR33" i="13"/>
  <c r="AR34" i="13"/>
  <c r="AR35" i="13"/>
  <c r="AR36" i="13"/>
  <c r="AR37" i="13"/>
  <c r="AR38" i="13"/>
  <c r="AR39" i="13"/>
  <c r="AR40" i="13"/>
  <c r="AR42" i="13"/>
  <c r="AR44" i="13"/>
  <c r="AR45" i="13"/>
  <c r="AR46" i="13"/>
  <c r="AR48" i="13"/>
  <c r="AR50" i="13"/>
  <c r="AR52" i="13"/>
  <c r="AR54" i="13"/>
  <c r="AR56" i="13"/>
  <c r="AR57" i="13"/>
  <c r="AR58" i="13"/>
  <c r="AR59" i="13"/>
  <c r="AR61" i="13"/>
  <c r="AR62" i="13"/>
  <c r="AR63" i="13"/>
  <c r="AR64" i="13"/>
  <c r="AR67" i="13"/>
  <c r="AR71" i="13"/>
  <c r="AR72" i="13"/>
  <c r="AR73" i="13"/>
  <c r="AR74" i="13"/>
  <c r="AR78" i="13"/>
  <c r="AR79" i="13"/>
  <c r="AR80" i="13"/>
  <c r="AR82" i="13"/>
  <c r="AR83" i="13"/>
  <c r="AR84" i="13"/>
  <c r="AR85" i="13"/>
  <c r="AR86" i="13"/>
  <c r="AR89" i="13"/>
  <c r="AR90" i="13"/>
  <c r="AR91" i="13"/>
  <c r="AR92" i="13"/>
  <c r="AR93" i="13"/>
  <c r="AR95" i="13"/>
  <c r="AR96" i="13"/>
  <c r="AR98" i="13"/>
  <c r="AR99" i="13"/>
  <c r="AR100" i="13"/>
  <c r="AR101" i="13"/>
  <c r="AR102" i="13"/>
  <c r="AR103" i="13"/>
  <c r="AR104" i="13"/>
  <c r="AR105" i="13"/>
  <c r="AR106" i="13"/>
  <c r="AR107" i="13"/>
  <c r="AR108" i="13"/>
  <c r="AR109" i="13"/>
  <c r="AR110" i="13"/>
  <c r="AR111" i="13"/>
  <c r="AR112" i="13"/>
  <c r="AR114" i="13"/>
  <c r="AR116" i="13"/>
  <c r="AR117" i="13"/>
  <c r="AR118" i="13"/>
  <c r="AR119" i="13"/>
  <c r="AR120" i="13"/>
  <c r="AR121" i="13"/>
  <c r="AR122" i="13"/>
  <c r="AR123" i="13"/>
  <c r="AR124" i="13"/>
  <c r="AR126" i="13"/>
  <c r="AR127" i="13"/>
  <c r="AR128" i="13"/>
  <c r="AR129" i="13"/>
  <c r="AR130" i="13"/>
  <c r="AR131" i="13"/>
  <c r="AR132" i="13"/>
  <c r="AR133" i="13"/>
  <c r="AR134" i="13"/>
  <c r="AR135" i="13"/>
  <c r="AR136" i="13"/>
  <c r="AR137" i="13"/>
  <c r="AR138" i="13"/>
  <c r="AR139" i="13"/>
  <c r="AR140" i="13"/>
  <c r="AR141" i="13"/>
  <c r="AR143" i="13"/>
  <c r="AR146" i="13"/>
  <c r="AR147" i="13"/>
  <c r="AR148" i="13"/>
  <c r="AR149" i="13"/>
  <c r="AR150" i="13"/>
  <c r="AR151" i="13"/>
  <c r="AR152" i="13"/>
  <c r="AR153" i="13"/>
  <c r="AR154" i="13"/>
  <c r="AR155" i="13"/>
  <c r="AR156" i="13"/>
  <c r="AR157" i="13"/>
  <c r="AR158" i="13"/>
  <c r="AR159" i="13"/>
  <c r="AR161" i="13"/>
  <c r="AR162" i="13"/>
  <c r="AR163" i="13"/>
  <c r="AR164" i="13"/>
  <c r="AR165" i="13"/>
  <c r="AR166" i="13"/>
  <c r="AR167" i="13"/>
  <c r="AR168" i="13"/>
  <c r="AR169" i="13"/>
  <c r="AR170" i="13"/>
  <c r="AR171" i="13"/>
  <c r="AR173" i="13"/>
  <c r="AR174" i="13"/>
  <c r="AR175" i="13"/>
  <c r="AR176" i="13"/>
  <c r="AR177" i="13"/>
  <c r="AR178" i="13"/>
  <c r="AR179" i="13"/>
  <c r="AR180" i="13"/>
  <c r="AR181" i="13"/>
  <c r="AR182" i="13"/>
  <c r="AR184" i="13"/>
  <c r="AR185" i="13"/>
  <c r="AR186" i="13"/>
  <c r="AR187" i="13"/>
  <c r="AR188" i="13"/>
  <c r="AR190" i="13"/>
  <c r="AR191" i="13"/>
  <c r="AR192" i="13"/>
  <c r="AR193" i="13"/>
  <c r="AR195" i="13"/>
  <c r="AR196" i="13"/>
  <c r="AR199" i="13"/>
  <c r="AR200" i="13"/>
  <c r="AR201" i="13"/>
  <c r="AR202" i="13"/>
  <c r="AR204" i="13"/>
  <c r="AR205" i="13"/>
  <c r="AR207" i="13"/>
  <c r="AR208" i="13"/>
  <c r="AR209" i="13"/>
  <c r="AR211" i="13"/>
  <c r="AR212" i="13"/>
  <c r="AR213" i="13"/>
  <c r="AR214" i="13"/>
  <c r="AR215" i="13"/>
  <c r="AR216" i="13"/>
  <c r="AR217" i="13"/>
  <c r="AR218" i="13"/>
  <c r="AR219" i="13"/>
  <c r="AR220" i="13"/>
  <c r="AR221" i="13"/>
  <c r="AR223" i="13"/>
  <c r="AR225" i="13"/>
  <c r="AR228" i="13"/>
  <c r="AR229" i="13"/>
  <c r="AR230" i="13"/>
  <c r="AR231" i="13"/>
  <c r="AR232" i="13"/>
  <c r="AR233" i="13"/>
  <c r="AR234" i="13"/>
  <c r="AR235" i="13"/>
  <c r="AR236" i="13"/>
  <c r="AR237" i="13"/>
  <c r="AR238" i="13"/>
  <c r="AR239" i="13"/>
  <c r="AR240" i="13"/>
  <c r="AR241" i="13"/>
  <c r="AR242" i="13"/>
  <c r="AR243" i="13"/>
  <c r="AR245" i="13"/>
  <c r="AR246" i="13"/>
  <c r="AR249" i="13"/>
  <c r="AR252" i="13"/>
  <c r="AR253" i="13"/>
  <c r="AR254" i="13"/>
  <c r="AR255" i="13"/>
  <c r="AR256" i="13"/>
  <c r="AR257" i="13"/>
  <c r="AR258" i="13"/>
  <c r="AR259" i="13"/>
  <c r="AR260" i="13"/>
  <c r="AR261" i="13"/>
  <c r="AR264" i="13"/>
  <c r="AR265" i="13"/>
  <c r="AR266" i="13"/>
  <c r="AR267" i="13"/>
  <c r="AR268" i="13"/>
  <c r="AR269" i="13"/>
  <c r="AR270" i="13"/>
  <c r="AR271" i="13"/>
  <c r="AR272" i="13"/>
  <c r="AR273" i="13"/>
  <c r="AR274" i="13"/>
  <c r="AR275" i="13"/>
  <c r="AR276" i="13"/>
  <c r="AR277" i="13"/>
  <c r="AR278" i="13"/>
  <c r="AR279" i="13"/>
  <c r="AR280" i="13"/>
  <c r="AR281" i="13"/>
  <c r="AR282" i="13"/>
  <c r="AR283" i="13"/>
  <c r="AR284" i="13"/>
  <c r="AR285" i="13"/>
  <c r="AR286" i="13"/>
  <c r="AR287" i="13"/>
  <c r="AR288" i="13"/>
  <c r="AR289" i="13"/>
  <c r="AR290" i="13"/>
  <c r="AR291" i="13"/>
  <c r="AR292" i="13"/>
  <c r="AR293" i="13"/>
  <c r="AR294" i="13"/>
  <c r="AR295" i="13"/>
  <c r="AR296" i="13"/>
  <c r="AR297" i="13"/>
  <c r="AR298" i="13"/>
  <c r="AR299" i="13"/>
  <c r="AR300" i="13"/>
  <c r="AR301" i="13"/>
  <c r="AR302" i="13"/>
  <c r="AR303" i="13"/>
  <c r="AR304" i="13"/>
  <c r="AR305" i="13"/>
  <c r="AR306" i="13"/>
  <c r="AR307" i="13"/>
  <c r="AR308" i="13"/>
  <c r="AR309" i="13"/>
  <c r="AR310" i="13"/>
  <c r="AR311" i="13"/>
  <c r="AR312" i="13"/>
  <c r="AR313" i="13"/>
  <c r="AR314" i="13"/>
  <c r="AR315" i="13"/>
  <c r="AR316" i="13"/>
  <c r="AR317" i="13"/>
  <c r="AR318" i="13"/>
  <c r="AR319" i="13"/>
  <c r="AR320" i="13"/>
  <c r="AR321" i="13"/>
  <c r="AR322" i="13"/>
  <c r="AR323" i="13"/>
  <c r="AR324" i="13"/>
  <c r="AR325" i="13"/>
  <c r="AR327" i="13"/>
  <c r="AR329" i="13"/>
  <c r="AR330" i="13"/>
  <c r="AR331" i="13"/>
  <c r="AR332" i="13"/>
  <c r="AR337" i="13"/>
  <c r="AR338" i="13"/>
  <c r="AR339" i="13"/>
  <c r="AR340" i="13"/>
  <c r="AR341" i="13"/>
  <c r="AR342" i="13"/>
  <c r="AR343" i="13"/>
  <c r="AR344" i="13"/>
  <c r="AR345" i="13"/>
  <c r="AR352" i="13"/>
  <c r="AR358" i="13"/>
  <c r="AR359" i="13"/>
  <c r="AR361" i="13"/>
  <c r="AR367" i="13"/>
  <c r="AR368" i="13"/>
  <c r="AR374" i="13"/>
  <c r="AR376" i="13"/>
  <c r="AR377" i="13"/>
  <c r="AR378" i="13"/>
  <c r="AR379" i="13"/>
  <c r="AR380" i="13"/>
  <c r="AR383" i="13"/>
  <c r="AR384" i="13"/>
  <c r="AR385" i="13"/>
  <c r="AR386" i="13"/>
  <c r="AR387" i="13"/>
  <c r="AR388" i="13"/>
  <c r="AR390" i="13"/>
  <c r="AR391" i="13"/>
  <c r="AR392" i="13"/>
  <c r="AR393" i="13"/>
  <c r="AR394" i="13"/>
  <c r="AR395" i="13"/>
  <c r="AR396" i="13"/>
  <c r="AR397" i="13"/>
  <c r="AR398" i="13"/>
  <c r="AR399" i="13"/>
  <c r="AR400" i="13"/>
  <c r="AR401" i="13"/>
  <c r="AR402" i="13"/>
  <c r="AR403" i="13"/>
  <c r="AR404" i="13"/>
  <c r="AR406" i="13"/>
  <c r="AR407" i="13"/>
  <c r="AR408" i="13"/>
  <c r="AR409" i="13"/>
  <c r="AR410" i="13"/>
  <c r="AR411" i="13"/>
  <c r="AR412" i="13"/>
  <c r="AR413" i="13"/>
  <c r="AR414" i="13"/>
  <c r="AR415" i="13"/>
  <c r="AR416" i="13"/>
  <c r="AR421" i="13"/>
  <c r="AR422" i="13"/>
  <c r="AR424" i="13"/>
  <c r="AR425" i="13"/>
  <c r="AR426" i="13"/>
  <c r="AR427" i="13"/>
  <c r="AR429" i="13"/>
  <c r="AR430" i="13"/>
  <c r="AR431" i="13"/>
  <c r="AR432" i="13"/>
  <c r="AR433" i="13"/>
  <c r="AR434" i="13"/>
  <c r="AR435" i="13"/>
  <c r="AR436" i="13"/>
  <c r="AR437" i="13"/>
  <c r="AR438" i="13"/>
  <c r="AR439" i="13"/>
  <c r="AR440" i="13"/>
  <c r="AR441" i="13"/>
  <c r="AR442" i="13"/>
  <c r="AR443" i="13"/>
  <c r="AR444" i="13"/>
  <c r="AR445" i="13"/>
  <c r="AR446" i="13"/>
  <c r="AR447" i="13"/>
  <c r="AR448" i="13"/>
  <c r="AR449" i="13"/>
  <c r="AR450" i="13"/>
  <c r="AR451" i="13"/>
  <c r="AR452" i="13"/>
  <c r="AR453" i="13"/>
  <c r="AR454" i="13"/>
  <c r="AR455" i="13"/>
  <c r="AR456" i="13"/>
  <c r="AR457" i="13"/>
  <c r="AR458" i="13"/>
  <c r="AR459" i="13"/>
  <c r="AR460" i="13"/>
  <c r="AR461" i="13"/>
  <c r="AR462" i="13"/>
  <c r="AR463" i="13"/>
  <c r="AR464" i="13"/>
  <c r="AR465" i="13"/>
  <c r="AR467" i="13"/>
  <c r="AR468" i="13"/>
  <c r="AR469" i="13"/>
  <c r="AR470" i="13"/>
  <c r="AR471" i="13"/>
  <c r="AR472" i="13"/>
  <c r="AR473" i="13"/>
  <c r="AR474" i="13"/>
  <c r="AR475" i="13"/>
  <c r="AR476" i="13"/>
  <c r="AR477" i="13"/>
  <c r="AR478" i="13"/>
  <c r="AR479" i="13"/>
  <c r="AR480" i="13"/>
  <c r="AR481" i="13"/>
  <c r="AR482" i="13"/>
  <c r="AR483" i="13"/>
  <c r="AR484" i="13"/>
  <c r="AR485" i="13"/>
  <c r="AR486" i="13"/>
  <c r="AR487" i="13"/>
  <c r="AR488" i="13"/>
  <c r="AR489" i="13"/>
  <c r="AR490" i="13"/>
  <c r="AR491" i="13"/>
  <c r="AR492" i="13"/>
  <c r="AR493" i="13"/>
  <c r="AR494" i="13"/>
  <c r="AR495" i="13"/>
  <c r="AR496" i="13"/>
  <c r="AR497" i="13"/>
  <c r="AR498" i="13"/>
  <c r="AR499" i="13"/>
  <c r="AR500" i="13"/>
  <c r="AR501" i="13"/>
  <c r="AR502" i="13"/>
  <c r="AR503" i="13"/>
  <c r="AR504" i="13"/>
  <c r="AR505" i="13"/>
  <c r="AR506" i="13"/>
  <c r="AR507" i="13"/>
  <c r="AR508" i="13"/>
  <c r="AR509" i="13"/>
  <c r="S765" i="6" l="1"/>
  <c r="V765" i="6" a="1"/>
  <c r="V765" i="6" s="1"/>
  <c r="U765" i="6"/>
  <c r="AG661" i="13" a="1"/>
  <c r="AG661" i="13" s="1"/>
  <c r="AI661" i="13" s="1"/>
  <c r="V753" i="6" a="1"/>
  <c r="V753" i="6" s="1"/>
  <c r="S753" i="6"/>
  <c r="U753" i="6"/>
  <c r="AI644" i="13"/>
  <c r="J644" i="13"/>
  <c r="AD644" i="13" s="1"/>
  <c r="AQ644" i="13" s="1"/>
  <c r="V746" i="6" a="1"/>
  <c r="V746" i="6" s="1"/>
  <c r="I644" i="13" s="1"/>
  <c r="U746" i="6"/>
  <c r="K644" i="13" s="1"/>
  <c r="AP644" i="13" s="1"/>
  <c r="S465" i="6"/>
  <c r="V465" i="6" a="1"/>
  <c r="V465" i="6" s="1"/>
  <c r="U465" i="6"/>
  <c r="D73" i="16"/>
  <c r="E73" i="16" a="1"/>
  <c r="E73" i="16" s="1"/>
  <c r="G73" i="16"/>
  <c r="H73" i="16" s="1"/>
  <c r="I73" i="16"/>
  <c r="S73" i="16"/>
  <c r="U73" i="16" a="1"/>
  <c r="U73" i="16" s="1"/>
  <c r="V73" i="16"/>
  <c r="U755" i="6" l="1"/>
  <c r="V755" i="6" a="1"/>
  <c r="V755" i="6" s="1"/>
  <c r="J661" i="13"/>
  <c r="AD661" i="13" s="1"/>
  <c r="AQ661" i="13" s="1"/>
  <c r="V468" i="6" a="1"/>
  <c r="V468" i="6" s="1"/>
  <c r="S468" i="6"/>
  <c r="S474" i="6" s="1"/>
  <c r="U468" i="6"/>
  <c r="U477" i="6"/>
  <c r="N73" i="16"/>
  <c r="M73" i="16" s="1"/>
  <c r="S475" i="6" l="1"/>
  <c r="S477" i="6" s="1"/>
  <c r="V481" i="6" s="1" a="1"/>
  <c r="V481" i="6" s="1"/>
  <c r="U475" i="6"/>
  <c r="V475" i="6" a="1"/>
  <c r="V475" i="6" s="1"/>
  <c r="U96" i="21"/>
  <c r="T96" i="21"/>
  <c r="L96" i="21"/>
  <c r="D96" i="21"/>
  <c r="U95" i="21"/>
  <c r="T95" i="21"/>
  <c r="L95" i="21"/>
  <c r="D95" i="21"/>
  <c r="U94" i="21"/>
  <c r="T94" i="21"/>
  <c r="L94" i="21"/>
  <c r="D94" i="21"/>
  <c r="U93" i="21"/>
  <c r="T93" i="21"/>
  <c r="L93" i="21"/>
  <c r="D93" i="21"/>
  <c r="U92" i="21"/>
  <c r="T92" i="21"/>
  <c r="L92" i="21"/>
  <c r="D92" i="21"/>
  <c r="U91" i="21"/>
  <c r="T91" i="21"/>
  <c r="L91" i="21"/>
  <c r="L145" i="20" s="1" a="1"/>
  <c r="L145" i="20" s="1"/>
  <c r="L129" i="20" s="1"/>
  <c r="D91" i="21"/>
  <c r="U90" i="21"/>
  <c r="T90" i="21"/>
  <c r="L90" i="21"/>
  <c r="D90" i="21"/>
  <c r="U89" i="21"/>
  <c r="T89" i="21"/>
  <c r="L89" i="21"/>
  <c r="D89" i="21"/>
  <c r="U88" i="21"/>
  <c r="T88" i="21"/>
  <c r="L88" i="21"/>
  <c r="D88" i="21"/>
  <c r="U87" i="21"/>
  <c r="T87" i="21"/>
  <c r="L87" i="21"/>
  <c r="D87" i="21"/>
  <c r="U86" i="21"/>
  <c r="T86" i="21"/>
  <c r="L86" i="21"/>
  <c r="D86" i="21"/>
  <c r="U85" i="21"/>
  <c r="T85" i="21"/>
  <c r="L85" i="21"/>
  <c r="D85" i="21"/>
  <c r="U84" i="21"/>
  <c r="T84" i="21"/>
  <c r="L84" i="21"/>
  <c r="D84" i="21"/>
  <c r="U83" i="21"/>
  <c r="T83" i="21"/>
  <c r="L83" i="21"/>
  <c r="D83" i="21"/>
  <c r="U82" i="21"/>
  <c r="T82" i="21"/>
  <c r="L82" i="21"/>
  <c r="D82" i="21"/>
  <c r="U81" i="21"/>
  <c r="T81" i="21"/>
  <c r="L81" i="21"/>
  <c r="D81" i="21"/>
  <c r="U80" i="21"/>
  <c r="T80" i="21"/>
  <c r="L80" i="21"/>
  <c r="D80" i="21"/>
  <c r="U79" i="21"/>
  <c r="T79" i="21"/>
  <c r="L79" i="21"/>
  <c r="D79" i="21"/>
  <c r="U78" i="21"/>
  <c r="T78" i="21"/>
  <c r="L78" i="21"/>
  <c r="D78" i="21"/>
  <c r="U77" i="21"/>
  <c r="T77" i="21"/>
  <c r="L77" i="21"/>
  <c r="D77" i="21"/>
  <c r="U76" i="21"/>
  <c r="T76" i="21"/>
  <c r="L76" i="21"/>
  <c r="D76" i="21"/>
  <c r="U75" i="21"/>
  <c r="T75" i="21"/>
  <c r="L75" i="21"/>
  <c r="D75" i="21"/>
  <c r="U74" i="21"/>
  <c r="T74" i="21"/>
  <c r="L74" i="21"/>
  <c r="D74" i="21"/>
  <c r="U73" i="21"/>
  <c r="T73" i="21"/>
  <c r="L73" i="21"/>
  <c r="D73" i="21"/>
  <c r="U72" i="21"/>
  <c r="T72" i="21"/>
  <c r="L72" i="21"/>
  <c r="D72" i="21"/>
  <c r="U71" i="21"/>
  <c r="T71" i="21"/>
  <c r="L71" i="21"/>
  <c r="D71" i="21"/>
  <c r="U70" i="21"/>
  <c r="T70" i="21"/>
  <c r="L70" i="21"/>
  <c r="D70" i="21"/>
  <c r="U69" i="21"/>
  <c r="T69" i="21"/>
  <c r="L69" i="21"/>
  <c r="D69" i="21"/>
  <c r="U68" i="21"/>
  <c r="T68" i="21"/>
  <c r="L68" i="21"/>
  <c r="D68" i="21"/>
  <c r="U67" i="21"/>
  <c r="T67" i="21"/>
  <c r="L67" i="21"/>
  <c r="D67" i="21"/>
  <c r="U66" i="21"/>
  <c r="T66" i="21"/>
  <c r="L66" i="21"/>
  <c r="D66" i="21"/>
  <c r="U65" i="21"/>
  <c r="T65" i="21"/>
  <c r="L65" i="21"/>
  <c r="D65" i="21"/>
  <c r="U64" i="21"/>
  <c r="T64" i="21"/>
  <c r="L64" i="21"/>
  <c r="D64" i="21"/>
  <c r="U63" i="21"/>
  <c r="T63" i="21"/>
  <c r="L63" i="21"/>
  <c r="D63" i="21"/>
  <c r="U62" i="21"/>
  <c r="T62" i="21"/>
  <c r="L62" i="21"/>
  <c r="D62" i="21"/>
  <c r="U61" i="21"/>
  <c r="T61" i="21"/>
  <c r="L61" i="21"/>
  <c r="D61" i="21"/>
  <c r="U60" i="21"/>
  <c r="T60" i="21"/>
  <c r="L60" i="21"/>
  <c r="D60" i="21"/>
  <c r="U59" i="21"/>
  <c r="T59" i="21"/>
  <c r="L59" i="21"/>
  <c r="D59" i="21"/>
  <c r="U58" i="21"/>
  <c r="T58" i="21"/>
  <c r="L58" i="21"/>
  <c r="D58" i="21"/>
  <c r="U57" i="21"/>
  <c r="T57" i="21"/>
  <c r="L57" i="21"/>
  <c r="D57" i="21"/>
  <c r="U56" i="21"/>
  <c r="T56" i="21"/>
  <c r="L56" i="21"/>
  <c r="D56" i="21"/>
  <c r="U55" i="21"/>
  <c r="T55" i="21"/>
  <c r="L55" i="21"/>
  <c r="D55" i="21"/>
  <c r="U54" i="21"/>
  <c r="T54" i="21"/>
  <c r="L54" i="21"/>
  <c r="D54" i="21"/>
  <c r="U53" i="21"/>
  <c r="T53" i="21"/>
  <c r="L53" i="21"/>
  <c r="D53" i="21"/>
  <c r="U52" i="21"/>
  <c r="T52" i="21"/>
  <c r="L52" i="21"/>
  <c r="D52" i="21"/>
  <c r="U51" i="21"/>
  <c r="T51" i="21"/>
  <c r="L51" i="21"/>
  <c r="D51" i="21"/>
  <c r="U50" i="21"/>
  <c r="T50" i="21"/>
  <c r="L50" i="21"/>
  <c r="D50" i="21"/>
  <c r="U49" i="21"/>
  <c r="T49" i="21"/>
  <c r="L49" i="21"/>
  <c r="D49" i="21"/>
  <c r="U48" i="21"/>
  <c r="T48" i="21"/>
  <c r="L48" i="21"/>
  <c r="D48" i="21"/>
  <c r="U47" i="21"/>
  <c r="T47" i="21"/>
  <c r="L47" i="21"/>
  <c r="D47" i="21"/>
  <c r="U46" i="21"/>
  <c r="T46" i="21"/>
  <c r="L46" i="21"/>
  <c r="D46" i="21"/>
  <c r="U45" i="21"/>
  <c r="T45" i="21"/>
  <c r="L45" i="21"/>
  <c r="D45" i="21"/>
  <c r="U44" i="21"/>
  <c r="T44" i="21"/>
  <c r="L44" i="21"/>
  <c r="D44" i="21"/>
  <c r="U43" i="21"/>
  <c r="T43" i="21"/>
  <c r="L43" i="21"/>
  <c r="D43" i="21"/>
  <c r="U42" i="21"/>
  <c r="T42" i="21"/>
  <c r="L42" i="21"/>
  <c r="D42" i="21"/>
  <c r="U41" i="21"/>
  <c r="T41" i="21"/>
  <c r="L41" i="21"/>
  <c r="D41" i="21"/>
  <c r="U40" i="21"/>
  <c r="T40" i="21"/>
  <c r="L40" i="21"/>
  <c r="D40" i="21"/>
  <c r="U39" i="21"/>
  <c r="T39" i="21"/>
  <c r="L39" i="21"/>
  <c r="D39" i="21"/>
  <c r="U38" i="21"/>
  <c r="T38" i="21"/>
  <c r="L38" i="21"/>
  <c r="D38" i="21"/>
  <c r="U37" i="21"/>
  <c r="T37" i="21"/>
  <c r="L37" i="21"/>
  <c r="D37" i="21"/>
  <c r="U36" i="21"/>
  <c r="T36" i="21"/>
  <c r="L36" i="21"/>
  <c r="D36" i="21"/>
  <c r="U35" i="21"/>
  <c r="T35" i="21"/>
  <c r="L35" i="21"/>
  <c r="D35" i="21"/>
  <c r="U34" i="21"/>
  <c r="T34" i="21"/>
  <c r="L34" i="21"/>
  <c r="D34" i="21"/>
  <c r="U33" i="21"/>
  <c r="T33" i="21"/>
  <c r="L33" i="21"/>
  <c r="D33" i="21"/>
  <c r="U32" i="21"/>
  <c r="T32" i="21"/>
  <c r="L32" i="21"/>
  <c r="D32" i="21"/>
  <c r="U31" i="21"/>
  <c r="T31" i="21"/>
  <c r="L31" i="21"/>
  <c r="D31" i="21"/>
  <c r="U30" i="21"/>
  <c r="T30" i="21"/>
  <c r="L30" i="21"/>
  <c r="D30" i="21"/>
  <c r="U29" i="21"/>
  <c r="T29" i="21"/>
  <c r="L29" i="21"/>
  <c r="D29" i="21"/>
  <c r="U28" i="21"/>
  <c r="T28" i="21"/>
  <c r="L28" i="21"/>
  <c r="D28" i="21"/>
  <c r="U27" i="21"/>
  <c r="T27" i="21"/>
  <c r="L27" i="21"/>
  <c r="D27" i="21"/>
  <c r="U26" i="21"/>
  <c r="T26" i="21"/>
  <c r="L26" i="21"/>
  <c r="D26" i="21"/>
  <c r="U25" i="21"/>
  <c r="T25" i="21"/>
  <c r="L25" i="21"/>
  <c r="D25" i="21"/>
  <c r="U24" i="21"/>
  <c r="T24" i="21"/>
  <c r="L24" i="21"/>
  <c r="D24" i="21"/>
  <c r="U23" i="21"/>
  <c r="T23" i="21"/>
  <c r="L23" i="21"/>
  <c r="D23" i="21"/>
  <c r="U22" i="21"/>
  <c r="T22" i="21"/>
  <c r="L22" i="21"/>
  <c r="D22" i="21"/>
  <c r="U21" i="21"/>
  <c r="T21" i="21"/>
  <c r="L21" i="21"/>
  <c r="D21" i="21"/>
  <c r="U20" i="21"/>
  <c r="T20" i="21"/>
  <c r="L20" i="21"/>
  <c r="D20" i="21"/>
  <c r="U19" i="21"/>
  <c r="T19" i="21"/>
  <c r="L19" i="21"/>
  <c r="D19" i="21"/>
  <c r="U18" i="21"/>
  <c r="T18" i="21"/>
  <c r="L18" i="21"/>
  <c r="D18" i="21"/>
  <c r="U17" i="21"/>
  <c r="T17" i="21"/>
  <c r="L17" i="21"/>
  <c r="D17" i="21"/>
  <c r="U16" i="21"/>
  <c r="T16" i="21"/>
  <c r="L16" i="21"/>
  <c r="D16" i="21"/>
  <c r="U15" i="21"/>
  <c r="T15" i="21"/>
  <c r="L15" i="21"/>
  <c r="D15" i="21"/>
  <c r="U14" i="21"/>
  <c r="T14" i="21"/>
  <c r="L14" i="21"/>
  <c r="D14" i="21"/>
  <c r="U13" i="21"/>
  <c r="T13" i="21"/>
  <c r="L13" i="21"/>
  <c r="D13" i="21"/>
  <c r="U12" i="21"/>
  <c r="T12" i="21"/>
  <c r="L12" i="21"/>
  <c r="D12" i="21"/>
  <c r="U11" i="21"/>
  <c r="T11" i="21"/>
  <c r="L11" i="21"/>
  <c r="D11" i="21"/>
  <c r="U10" i="21"/>
  <c r="T10" i="21"/>
  <c r="L10" i="21"/>
  <c r="D10" i="21"/>
  <c r="U9" i="21"/>
  <c r="T9" i="21"/>
  <c r="L9" i="21"/>
  <c r="D9" i="21"/>
  <c r="U8" i="21"/>
  <c r="T8" i="21"/>
  <c r="L8" i="21"/>
  <c r="D8" i="21"/>
  <c r="U7" i="21"/>
  <c r="T7" i="21"/>
  <c r="L7" i="21"/>
  <c r="D7" i="21"/>
  <c r="U6" i="21"/>
  <c r="T6" i="21"/>
  <c r="L6" i="21"/>
  <c r="D6" i="21"/>
  <c r="U5" i="21"/>
  <c r="T5" i="21"/>
  <c r="L5" i="21"/>
  <c r="D5" i="21"/>
  <c r="U4" i="21"/>
  <c r="T4" i="21"/>
  <c r="L4" i="21"/>
  <c r="D4" i="21"/>
  <c r="U3" i="21"/>
  <c r="T3" i="21"/>
  <c r="L3" i="21"/>
  <c r="D3" i="21"/>
  <c r="U2" i="21"/>
  <c r="T2" i="21"/>
  <c r="L2" i="21"/>
  <c r="D2" i="21"/>
  <c r="S481" i="6" l="1"/>
  <c r="V482" i="6" s="1" a="1"/>
  <c r="V482" i="6" s="1"/>
  <c r="U481" i="6"/>
  <c r="AS49" i="13"/>
  <c r="AS417" i="13"/>
  <c r="AS3" i="13"/>
  <c r="AS19" i="13"/>
  <c r="AS350" i="13"/>
  <c r="AS355" i="13"/>
  <c r="AS428" i="13"/>
  <c r="M67" i="21"/>
  <c r="M90" i="21"/>
  <c r="M2" i="21"/>
  <c r="N2" i="21" s="1" a="1"/>
  <c r="N2" i="21" s="1"/>
  <c r="O2" i="21" s="1"/>
  <c r="AR2" i="13" s="1"/>
  <c r="AS2" i="13"/>
  <c r="M6" i="21"/>
  <c r="N6" i="21" s="1" a="1"/>
  <c r="N6" i="21" s="1"/>
  <c r="AS20" i="13"/>
  <c r="M10" i="21"/>
  <c r="N10" i="21" s="1" a="1"/>
  <c r="N10" i="21" s="1"/>
  <c r="AS43" i="13"/>
  <c r="M92" i="21"/>
  <c r="AS419" i="13"/>
  <c r="M94" i="21"/>
  <c r="AS423" i="13"/>
  <c r="M18" i="21"/>
  <c r="N18" i="21" s="1" a="1"/>
  <c r="N18" i="21" s="1"/>
  <c r="AS66" i="13"/>
  <c r="M24" i="21"/>
  <c r="N24" i="21" s="1" a="1"/>
  <c r="N24" i="21" s="1"/>
  <c r="AS77" i="13"/>
  <c r="M32" i="21"/>
  <c r="N32" i="21" s="1" a="1"/>
  <c r="N32" i="21" s="1"/>
  <c r="AS125" i="13"/>
  <c r="M38" i="21"/>
  <c r="N38" i="21" s="1" a="1"/>
  <c r="N38" i="21" s="1"/>
  <c r="AS183" i="13"/>
  <c r="M44" i="21"/>
  <c r="N44" i="21" s="1" a="1"/>
  <c r="N44" i="21" s="1"/>
  <c r="AS206" i="13"/>
  <c r="M52" i="21"/>
  <c r="N52" i="21" s="1" a="1"/>
  <c r="N52" i="21" s="1"/>
  <c r="AS248" i="13"/>
  <c r="M54" i="21"/>
  <c r="O54" i="21" s="1"/>
  <c r="P54" i="21" s="1"/>
  <c r="AS251" i="13"/>
  <c r="M56" i="21"/>
  <c r="O56" i="21" s="1"/>
  <c r="P56" i="21" s="1"/>
  <c r="AS263" i="13"/>
  <c r="M58" i="21"/>
  <c r="AS328" i="13"/>
  <c r="M60" i="21"/>
  <c r="AS334" i="13"/>
  <c r="M62" i="21"/>
  <c r="AS336" i="13"/>
  <c r="M64" i="21"/>
  <c r="AS347" i="13"/>
  <c r="M66" i="21"/>
  <c r="AS349" i="13"/>
  <c r="M71" i="21"/>
  <c r="M73" i="21"/>
  <c r="O73" i="21" s="1"/>
  <c r="P73" i="21" s="1"/>
  <c r="AS357" i="13"/>
  <c r="M75" i="21"/>
  <c r="AS362" i="13"/>
  <c r="M77" i="21"/>
  <c r="AS364" i="13"/>
  <c r="M79" i="21"/>
  <c r="AS366" i="13"/>
  <c r="M81" i="21"/>
  <c r="AS370" i="13"/>
  <c r="M83" i="21"/>
  <c r="AS372" i="13"/>
  <c r="M85" i="21"/>
  <c r="AS375" i="13"/>
  <c r="M87" i="21"/>
  <c r="AS382" i="13"/>
  <c r="M89" i="21"/>
  <c r="AS405" i="13"/>
  <c r="M96" i="21"/>
  <c r="AS466" i="13"/>
  <c r="M69" i="21"/>
  <c r="AS353" i="13"/>
  <c r="M12" i="21"/>
  <c r="N12" i="21" s="1" a="1"/>
  <c r="N12" i="21" s="1"/>
  <c r="M14" i="21"/>
  <c r="N14" i="21" s="1" a="1"/>
  <c r="N14" i="21" s="1"/>
  <c r="AS53" i="13"/>
  <c r="M16" i="21"/>
  <c r="N16" i="21" s="1" a="1"/>
  <c r="N16" i="21" s="1"/>
  <c r="AS60" i="13"/>
  <c r="M22" i="21"/>
  <c r="N22" i="21" s="1" a="1"/>
  <c r="N22" i="21" s="1"/>
  <c r="AS75" i="13"/>
  <c r="M28" i="21"/>
  <c r="N28" i="21" s="1" a="1"/>
  <c r="N28" i="21" s="1"/>
  <c r="AS94" i="13"/>
  <c r="M30" i="21"/>
  <c r="N30" i="21" s="1" a="1"/>
  <c r="N30" i="21" s="1"/>
  <c r="AS113" i="13"/>
  <c r="M36" i="21"/>
  <c r="N36" i="21" s="1" a="1"/>
  <c r="N36" i="21" s="1"/>
  <c r="AS160" i="13"/>
  <c r="M40" i="21"/>
  <c r="N40" i="21" s="1" a="1"/>
  <c r="N40" i="21" s="1"/>
  <c r="AS194" i="13"/>
  <c r="M46" i="21"/>
  <c r="N46" i="21" s="1" a="1"/>
  <c r="N46" i="21" s="1"/>
  <c r="AS222" i="13"/>
  <c r="M48" i="21"/>
  <c r="N48" i="21" s="1" a="1"/>
  <c r="N48" i="21" s="1"/>
  <c r="AS226" i="13"/>
  <c r="M7" i="21"/>
  <c r="N7" i="21" s="1" a="1"/>
  <c r="N7" i="21" s="1"/>
  <c r="AS26" i="13"/>
  <c r="M9" i="21"/>
  <c r="N9" i="21" s="1" a="1"/>
  <c r="N9" i="21" s="1"/>
  <c r="AS41" i="13"/>
  <c r="M68" i="21"/>
  <c r="AS351" i="13"/>
  <c r="M70" i="21"/>
  <c r="AS354" i="13"/>
  <c r="M91" i="21"/>
  <c r="AS418" i="13"/>
  <c r="M93" i="21"/>
  <c r="O93" i="21" s="1"/>
  <c r="P93" i="21" s="1"/>
  <c r="AS420" i="13"/>
  <c r="M4" i="21"/>
  <c r="N4" i="21" s="1" a="1"/>
  <c r="N4" i="21" s="1"/>
  <c r="AS15" i="13"/>
  <c r="M8" i="21"/>
  <c r="N8" i="21" s="1" a="1"/>
  <c r="N8" i="21" s="1"/>
  <c r="AS32" i="13"/>
  <c r="M20" i="21"/>
  <c r="N20" i="21" s="1" a="1"/>
  <c r="N20" i="21" s="1"/>
  <c r="AS69" i="13"/>
  <c r="M26" i="21"/>
  <c r="N26" i="21" s="1" a="1"/>
  <c r="N26" i="21" s="1"/>
  <c r="AS87" i="13"/>
  <c r="M34" i="21"/>
  <c r="N34" i="21" s="1" a="1"/>
  <c r="N34" i="21" s="1"/>
  <c r="AS144" i="13"/>
  <c r="M42" i="21"/>
  <c r="N42" i="21" s="1" a="1"/>
  <c r="N42" i="21" s="1"/>
  <c r="AS198" i="13"/>
  <c r="M50" i="21"/>
  <c r="N50" i="21" s="1" a="1"/>
  <c r="N50" i="21" s="1"/>
  <c r="AS244" i="13"/>
  <c r="M11" i="21"/>
  <c r="N11" i="21" s="1" a="1"/>
  <c r="N11" i="21" s="1"/>
  <c r="AS47" i="13"/>
  <c r="M13" i="21"/>
  <c r="N13" i="21" s="1" a="1"/>
  <c r="N13" i="21" s="1"/>
  <c r="AS51" i="13"/>
  <c r="M15" i="21"/>
  <c r="N15" i="21" s="1" a="1"/>
  <c r="N15" i="21" s="1"/>
  <c r="AS55" i="13"/>
  <c r="M17" i="21"/>
  <c r="N17" i="21" s="1" a="1"/>
  <c r="N17" i="21" s="1"/>
  <c r="AS65" i="13"/>
  <c r="M19" i="21"/>
  <c r="N19" i="21" s="1" a="1"/>
  <c r="N19" i="21" s="1"/>
  <c r="AS68" i="13"/>
  <c r="M21" i="21"/>
  <c r="N21" i="21" s="1" a="1"/>
  <c r="N21" i="21" s="1"/>
  <c r="AS70" i="13"/>
  <c r="M23" i="21"/>
  <c r="N23" i="21" s="1" a="1"/>
  <c r="N23" i="21" s="1"/>
  <c r="AS76" i="13"/>
  <c r="M25" i="21"/>
  <c r="N25" i="21" s="1" a="1"/>
  <c r="N25" i="21" s="1"/>
  <c r="AS81" i="13"/>
  <c r="M27" i="21"/>
  <c r="N27" i="21" s="1" a="1"/>
  <c r="N27" i="21" s="1"/>
  <c r="AS88" i="13"/>
  <c r="M29" i="21"/>
  <c r="N29" i="21" s="1" a="1"/>
  <c r="N29" i="21" s="1"/>
  <c r="AS97" i="13"/>
  <c r="M31" i="21"/>
  <c r="N31" i="21" s="1" a="1"/>
  <c r="N31" i="21" s="1"/>
  <c r="AS115" i="13"/>
  <c r="M33" i="21"/>
  <c r="N33" i="21" s="1" a="1"/>
  <c r="N33" i="21" s="1"/>
  <c r="AS142" i="13"/>
  <c r="M35" i="21"/>
  <c r="N35" i="21" s="1" a="1"/>
  <c r="N35" i="21" s="1"/>
  <c r="AS145" i="13"/>
  <c r="M37" i="21"/>
  <c r="N37" i="21" s="1" a="1"/>
  <c r="N37" i="21" s="1"/>
  <c r="AS172" i="13"/>
  <c r="M39" i="21"/>
  <c r="N39" i="21" s="1" a="1"/>
  <c r="N39" i="21" s="1"/>
  <c r="AS189" i="13"/>
  <c r="M41" i="21"/>
  <c r="N41" i="21" s="1" a="1"/>
  <c r="N41" i="21" s="1"/>
  <c r="AS197" i="13"/>
  <c r="M43" i="21"/>
  <c r="N43" i="21" s="1" a="1"/>
  <c r="N43" i="21" s="1"/>
  <c r="AS203" i="13"/>
  <c r="M45" i="21"/>
  <c r="N45" i="21" s="1" a="1"/>
  <c r="N45" i="21" s="1"/>
  <c r="AS210" i="13"/>
  <c r="M47" i="21"/>
  <c r="N47" i="21" s="1" a="1"/>
  <c r="N47" i="21" s="1"/>
  <c r="AS224" i="13"/>
  <c r="M49" i="21"/>
  <c r="N49" i="21" s="1" a="1"/>
  <c r="N49" i="21" s="1"/>
  <c r="AS227" i="13"/>
  <c r="M51" i="21"/>
  <c r="N51" i="21" s="1" a="1"/>
  <c r="N51" i="21" s="1"/>
  <c r="AS247" i="13"/>
  <c r="M53" i="21"/>
  <c r="N53" i="21" s="1" a="1"/>
  <c r="N53" i="21" s="1"/>
  <c r="AS250" i="13"/>
  <c r="M55" i="21"/>
  <c r="AS262" i="13"/>
  <c r="M57" i="21"/>
  <c r="AS326" i="13"/>
  <c r="M59" i="21"/>
  <c r="AS333" i="13"/>
  <c r="M61" i="21"/>
  <c r="AS335" i="13"/>
  <c r="M63" i="21"/>
  <c r="AS346" i="13"/>
  <c r="M65" i="21"/>
  <c r="AS348" i="13"/>
  <c r="M72" i="21"/>
  <c r="O72" i="21" s="1"/>
  <c r="P72" i="21" s="1"/>
  <c r="AS356" i="13"/>
  <c r="M74" i="21"/>
  <c r="AS360" i="13"/>
  <c r="M76" i="21"/>
  <c r="O76" i="21" s="1"/>
  <c r="P76" i="21" s="1"/>
  <c r="AS363" i="13"/>
  <c r="M78" i="21"/>
  <c r="AS365" i="13"/>
  <c r="M80" i="21"/>
  <c r="AS369" i="13"/>
  <c r="M82" i="21"/>
  <c r="AS371" i="13"/>
  <c r="M84" i="21"/>
  <c r="O84" i="21" s="1"/>
  <c r="AR373" i="13" s="1"/>
  <c r="AS373" i="13"/>
  <c r="M86" i="21"/>
  <c r="AS381" i="13"/>
  <c r="M88" i="21"/>
  <c r="AS389" i="13"/>
  <c r="M95" i="21"/>
  <c r="M3" i="21"/>
  <c r="N3" i="21" s="1" a="1"/>
  <c r="N3" i="21" s="1"/>
  <c r="M5" i="21"/>
  <c r="N5" i="21" s="1" a="1"/>
  <c r="N5" i="21" s="1"/>
  <c r="L140" i="20" l="1"/>
  <c r="S482" i="6"/>
  <c r="S495" i="6" s="1"/>
  <c r="S501" i="6" s="1"/>
  <c r="S502" i="6" s="1"/>
  <c r="U482" i="6"/>
  <c r="O70" i="21"/>
  <c r="P70" i="21" s="1"/>
  <c r="O63" i="21"/>
  <c r="AR346" i="13" s="1"/>
  <c r="O27" i="21"/>
  <c r="AR88" i="13" s="1"/>
  <c r="P2" i="21"/>
  <c r="P84" i="21"/>
  <c r="O64" i="21"/>
  <c r="P64" i="21" s="1"/>
  <c r="O22" i="21"/>
  <c r="P22" i="21" s="1"/>
  <c r="O24" i="21"/>
  <c r="P24" i="21" s="1"/>
  <c r="O94" i="21"/>
  <c r="P94" i="21" s="1"/>
  <c r="O38" i="21"/>
  <c r="P38" i="21" s="1"/>
  <c r="O43" i="21"/>
  <c r="P43" i="21" s="1"/>
  <c r="O42" i="21"/>
  <c r="P42" i="21" s="1"/>
  <c r="O48" i="21"/>
  <c r="P48" i="21" s="1"/>
  <c r="O71" i="21"/>
  <c r="P71" i="21" s="1"/>
  <c r="O60" i="21"/>
  <c r="P60" i="21" s="1"/>
  <c r="O23" i="21"/>
  <c r="P23" i="21" s="1"/>
  <c r="O88" i="21"/>
  <c r="P88" i="21" s="1"/>
  <c r="O26" i="21"/>
  <c r="P26" i="21" s="1"/>
  <c r="O40" i="21"/>
  <c r="P40" i="21" s="1"/>
  <c r="O39" i="21"/>
  <c r="P39" i="21" s="1"/>
  <c r="O47" i="21"/>
  <c r="P47" i="21" s="1"/>
  <c r="O52" i="21"/>
  <c r="P52" i="21" s="1"/>
  <c r="O15" i="21"/>
  <c r="P15" i="21" s="1"/>
  <c r="O10" i="21"/>
  <c r="P10" i="21" s="1"/>
  <c r="O9" i="21"/>
  <c r="P9" i="21" s="1"/>
  <c r="O19" i="21"/>
  <c r="P19" i="21" s="1"/>
  <c r="O51" i="21"/>
  <c r="P51" i="21" s="1"/>
  <c r="O59" i="21"/>
  <c r="P59" i="21" s="1"/>
  <c r="O30" i="21"/>
  <c r="P30" i="21" s="1"/>
  <c r="O11" i="21"/>
  <c r="P11" i="21" s="1"/>
  <c r="O80" i="21"/>
  <c r="P80" i="21" s="1"/>
  <c r="O55" i="21"/>
  <c r="P55" i="21" s="1"/>
  <c r="O31" i="21"/>
  <c r="P31" i="21" s="1"/>
  <c r="O35" i="21"/>
  <c r="P35" i="21" s="1"/>
  <c r="O89" i="21"/>
  <c r="P89" i="21" s="1"/>
  <c r="O82" i="21"/>
  <c r="P82" i="21" s="1"/>
  <c r="O78" i="21"/>
  <c r="P78" i="21" s="1"/>
  <c r="O74" i="21"/>
  <c r="P74" i="21" s="1"/>
  <c r="O67" i="21"/>
  <c r="P67" i="21" s="1"/>
  <c r="O69" i="21"/>
  <c r="P69" i="21" s="1"/>
  <c r="O85" i="21"/>
  <c r="P85" i="21" s="1"/>
  <c r="O81" i="21"/>
  <c r="P81" i="21" s="1"/>
  <c r="O57" i="21"/>
  <c r="P57" i="21" s="1"/>
  <c r="O62" i="21"/>
  <c r="P62" i="21" s="1"/>
  <c r="O58" i="21"/>
  <c r="P58" i="21" s="1"/>
  <c r="O96" i="21"/>
  <c r="P96" i="21" s="1"/>
  <c r="O87" i="21"/>
  <c r="P87" i="21" s="1"/>
  <c r="O95" i="21"/>
  <c r="P95" i="21" s="1"/>
  <c r="O86" i="21"/>
  <c r="P86" i="21" s="1"/>
  <c r="O91" i="21"/>
  <c r="P91" i="21" s="1"/>
  <c r="O68" i="21"/>
  <c r="P68" i="21" s="1"/>
  <c r="O92" i="21"/>
  <c r="P92" i="21" s="1"/>
  <c r="O77" i="21"/>
  <c r="P77" i="21" s="1"/>
  <c r="O65" i="21"/>
  <c r="P65" i="21" s="1"/>
  <c r="O61" i="21"/>
  <c r="P61" i="21" s="1"/>
  <c r="O66" i="21"/>
  <c r="P66" i="21" s="1"/>
  <c r="O83" i="21"/>
  <c r="P83" i="21" s="1"/>
  <c r="O79" i="21"/>
  <c r="P79" i="21" s="1"/>
  <c r="O75" i="21"/>
  <c r="P75" i="21" s="1"/>
  <c r="O90" i="21"/>
  <c r="P90" i="21" s="1"/>
  <c r="O8" i="21"/>
  <c r="P8" i="21" s="1"/>
  <c r="O34" i="21"/>
  <c r="P34" i="21" s="1"/>
  <c r="O4" i="21"/>
  <c r="P4" i="21" s="1"/>
  <c r="O7" i="21"/>
  <c r="P7" i="21" s="1"/>
  <c r="O53" i="21"/>
  <c r="P53" i="21" s="1"/>
  <c r="O49" i="21"/>
  <c r="P49" i="21" s="1"/>
  <c r="O45" i="21"/>
  <c r="P45" i="21" s="1"/>
  <c r="O41" i="21"/>
  <c r="P41" i="21" s="1"/>
  <c r="O37" i="21"/>
  <c r="P37" i="21" s="1"/>
  <c r="O33" i="21"/>
  <c r="P33" i="21" s="1"/>
  <c r="O29" i="21"/>
  <c r="P29" i="21" s="1"/>
  <c r="O25" i="21"/>
  <c r="O21" i="21"/>
  <c r="P21" i="21" s="1"/>
  <c r="O17" i="21"/>
  <c r="P17" i="21" s="1"/>
  <c r="O13" i="21"/>
  <c r="P13" i="21" s="1"/>
  <c r="O50" i="21"/>
  <c r="P50" i="21" s="1"/>
  <c r="O20" i="21"/>
  <c r="P20" i="21" s="1"/>
  <c r="O46" i="21"/>
  <c r="P46" i="21" s="1"/>
  <c r="O36" i="21"/>
  <c r="P36" i="21" s="1"/>
  <c r="O16" i="21"/>
  <c r="P16" i="21" s="1"/>
  <c r="O44" i="21"/>
  <c r="P44" i="21" s="1"/>
  <c r="O32" i="21"/>
  <c r="P32" i="21" s="1"/>
  <c r="O18" i="21"/>
  <c r="P18" i="21" s="1"/>
  <c r="O6" i="21"/>
  <c r="P6" i="21" s="1"/>
  <c r="O14" i="21"/>
  <c r="P14" i="21" s="1"/>
  <c r="O3" i="21"/>
  <c r="P3" i="21" s="1"/>
  <c r="O28" i="21"/>
  <c r="P28" i="21" s="1"/>
  <c r="O5" i="21"/>
  <c r="P5" i="21" s="1"/>
  <c r="O12" i="21"/>
  <c r="P12" i="21" s="1"/>
  <c r="AR357" i="13"/>
  <c r="AR263" i="13"/>
  <c r="AR356" i="13"/>
  <c r="AR363" i="13"/>
  <c r="AR420" i="13"/>
  <c r="AR251" i="13"/>
  <c r="D75" i="16"/>
  <c r="D76" i="16"/>
  <c r="E75" i="16" a="1"/>
  <c r="E75" i="16" s="1"/>
  <c r="E76" i="16" a="1"/>
  <c r="E76" i="16" s="1"/>
  <c r="G75" i="16"/>
  <c r="H75" i="16" s="1"/>
  <c r="G76" i="16"/>
  <c r="H76" i="16" s="1"/>
  <c r="I75" i="16"/>
  <c r="I76" i="16"/>
  <c r="N76" i="16"/>
  <c r="M76" i="16" s="1"/>
  <c r="S75" i="16"/>
  <c r="S76" i="16"/>
  <c r="U75" i="16" a="1"/>
  <c r="U75" i="16" s="1"/>
  <c r="U76" i="16" a="1"/>
  <c r="U76" i="16" s="1"/>
  <c r="V75" i="16"/>
  <c r="V76" i="16"/>
  <c r="P25" i="21" l="1"/>
  <c r="O145" i="20" a="1"/>
  <c r="O145" i="20" s="1"/>
  <c r="V503" i="6" a="1"/>
  <c r="V503" i="6" s="1"/>
  <c r="S503" i="6"/>
  <c r="U503" i="6"/>
  <c r="AR354" i="13"/>
  <c r="AR347" i="13"/>
  <c r="P63" i="21"/>
  <c r="P27" i="21"/>
  <c r="AR77" i="13"/>
  <c r="AR113" i="13"/>
  <c r="AR224" i="13"/>
  <c r="AR333" i="13"/>
  <c r="AR43" i="13"/>
  <c r="AR189" i="13"/>
  <c r="AR76" i="13"/>
  <c r="AR198" i="13"/>
  <c r="AR145" i="13"/>
  <c r="AR248" i="13"/>
  <c r="AR87" i="13"/>
  <c r="AR183" i="13"/>
  <c r="AR115" i="13"/>
  <c r="AR41" i="13"/>
  <c r="AR226" i="13"/>
  <c r="AR369" i="13"/>
  <c r="AR203" i="13"/>
  <c r="AR75" i="13"/>
  <c r="AR389" i="13"/>
  <c r="AR423" i="13"/>
  <c r="AR262" i="13"/>
  <c r="AR355" i="13"/>
  <c r="AR47" i="13"/>
  <c r="AR68" i="13"/>
  <c r="AR405" i="13"/>
  <c r="AR334" i="13"/>
  <c r="AR194" i="13"/>
  <c r="AR55" i="13"/>
  <c r="AR247" i="13"/>
  <c r="AR382" i="13"/>
  <c r="AR326" i="13"/>
  <c r="AR370" i="13"/>
  <c r="AR328" i="13"/>
  <c r="AR375" i="13"/>
  <c r="AR365" i="13"/>
  <c r="AR350" i="13"/>
  <c r="AR466" i="13"/>
  <c r="AR360" i="13"/>
  <c r="AR336" i="13"/>
  <c r="AR353" i="13"/>
  <c r="AR371" i="13"/>
  <c r="AR351" i="13"/>
  <c r="AR348" i="13"/>
  <c r="AR418" i="13"/>
  <c r="AR372" i="13"/>
  <c r="AR364" i="13"/>
  <c r="AR381" i="13"/>
  <c r="AR362" i="13"/>
  <c r="AR335" i="13"/>
  <c r="AR366" i="13"/>
  <c r="AR417" i="13"/>
  <c r="AR349" i="13"/>
  <c r="AR419" i="13"/>
  <c r="AR428" i="13"/>
  <c r="AR144" i="13"/>
  <c r="AR32" i="13"/>
  <c r="AR222" i="13"/>
  <c r="AR227" i="13"/>
  <c r="AR49" i="13"/>
  <c r="AR53" i="13"/>
  <c r="AR206" i="13"/>
  <c r="AR69" i="13"/>
  <c r="AR70" i="13"/>
  <c r="AR172" i="13"/>
  <c r="AR250" i="13"/>
  <c r="AR125" i="13"/>
  <c r="AR65" i="13"/>
  <c r="AR19" i="13"/>
  <c r="AR20" i="13"/>
  <c r="AR60" i="13"/>
  <c r="AR244" i="13"/>
  <c r="AR81" i="13"/>
  <c r="AR197" i="13"/>
  <c r="AR26" i="13"/>
  <c r="AR3" i="13"/>
  <c r="AR142" i="13"/>
  <c r="AR94" i="13"/>
  <c r="AR66" i="13"/>
  <c r="AR160" i="13"/>
  <c r="AR51" i="13"/>
  <c r="AR97" i="13"/>
  <c r="AR210" i="13"/>
  <c r="AR15" i="13"/>
  <c r="N75" i="16"/>
  <c r="M75" i="16" s="1"/>
  <c r="P145" i="20" l="1" a="1"/>
  <c r="P145" i="20" s="1"/>
  <c r="U505" i="6"/>
  <c r="S505" i="6"/>
  <c r="D74" i="16"/>
  <c r="E74" i="16" a="1"/>
  <c r="E74" i="16" s="1"/>
  <c r="G74" i="16"/>
  <c r="H74" i="16" s="1"/>
  <c r="I74" i="16"/>
  <c r="N74" i="16"/>
  <c r="S74" i="16"/>
  <c r="V74" i="16"/>
  <c r="D71" i="16"/>
  <c r="D72" i="16"/>
  <c r="E71" i="16" a="1"/>
  <c r="E71" i="16" s="1"/>
  <c r="E72" i="16" a="1"/>
  <c r="E72" i="16" s="1"/>
  <c r="G71" i="16"/>
  <c r="H71" i="16" s="1"/>
  <c r="G72" i="16"/>
  <c r="H72" i="16" s="1"/>
  <c r="I71" i="16"/>
  <c r="I72" i="16"/>
  <c r="N71" i="16"/>
  <c r="M71" i="16" s="1"/>
  <c r="N72" i="16"/>
  <c r="M72" i="16" s="1"/>
  <c r="S71" i="16"/>
  <c r="S72" i="16"/>
  <c r="U71" i="16" a="1"/>
  <c r="U71" i="16" s="1"/>
  <c r="U72" i="16" a="1"/>
  <c r="U72" i="16" s="1"/>
  <c r="V71" i="16"/>
  <c r="V72" i="16"/>
  <c r="S615" i="6" l="1"/>
  <c r="V615" i="6" a="1"/>
  <c r="V615" i="6" s="1"/>
  <c r="U615" i="6"/>
  <c r="M74" i="16"/>
  <c r="N70" i="16"/>
  <c r="N69" i="16"/>
  <c r="M69" i="16" s="1"/>
  <c r="D70" i="16"/>
  <c r="E70" i="16" a="1"/>
  <c r="E70" i="16" s="1"/>
  <c r="G70" i="16"/>
  <c r="H70" i="16" s="1"/>
  <c r="I70" i="16"/>
  <c r="S70" i="16"/>
  <c r="U70" i="16" a="1"/>
  <c r="U70" i="16" s="1"/>
  <c r="V70" i="16"/>
  <c r="D69" i="16"/>
  <c r="E69" i="16" a="1"/>
  <c r="E69" i="16" s="1"/>
  <c r="G69" i="16"/>
  <c r="H69" i="16" s="1"/>
  <c r="I69" i="16"/>
  <c r="S69" i="16"/>
  <c r="U69" i="16" a="1"/>
  <c r="U69" i="16" s="1"/>
  <c r="V69" i="16"/>
  <c r="N68" i="16"/>
  <c r="M68" i="16" s="1"/>
  <c r="N67" i="16"/>
  <c r="M67" i="16" s="1"/>
  <c r="D67" i="16"/>
  <c r="D68" i="16"/>
  <c r="E67" i="16" a="1"/>
  <c r="E67" i="16" s="1"/>
  <c r="E68" i="16" a="1"/>
  <c r="E68" i="16" s="1"/>
  <c r="G67" i="16"/>
  <c r="H67" i="16" s="1"/>
  <c r="G68" i="16"/>
  <c r="H68" i="16" s="1"/>
  <c r="I67" i="16"/>
  <c r="I68" i="16"/>
  <c r="S67" i="16"/>
  <c r="S68" i="16"/>
  <c r="U67" i="16" a="1"/>
  <c r="U67" i="16" s="1"/>
  <c r="U68" i="16" a="1"/>
  <c r="U68" i="16" s="1"/>
  <c r="V67" i="16"/>
  <c r="V68" i="16"/>
  <c r="V625" i="6" l="1" a="1"/>
  <c r="V625" i="6" s="1"/>
  <c r="S625" i="6"/>
  <c r="U625" i="6"/>
  <c r="M70" i="16"/>
  <c r="T68" i="16"/>
  <c r="T67" i="16"/>
  <c r="S627" i="6" l="1"/>
  <c r="V627" i="6" a="1"/>
  <c r="V627" i="6" s="1"/>
  <c r="U627" i="6"/>
  <c r="N65" i="16"/>
  <c r="M65" i="16" s="1"/>
  <c r="D66" i="16"/>
  <c r="E66" i="16" a="1"/>
  <c r="E66" i="16" s="1"/>
  <c r="G66" i="16"/>
  <c r="H66" i="16" s="1"/>
  <c r="I66" i="16"/>
  <c r="N66" i="16"/>
  <c r="S66" i="16"/>
  <c r="U66" i="16" a="1"/>
  <c r="U66" i="16" s="1"/>
  <c r="V66" i="16"/>
  <c r="D65" i="16"/>
  <c r="E65" i="16" a="1"/>
  <c r="E65" i="16" s="1"/>
  <c r="G65" i="16"/>
  <c r="H65" i="16" s="1"/>
  <c r="I65" i="16"/>
  <c r="S65" i="16"/>
  <c r="U65" i="16" a="1"/>
  <c r="U65" i="16" s="1"/>
  <c r="V65" i="16"/>
  <c r="S636" i="6" l="1"/>
  <c r="V636" i="6" a="1"/>
  <c r="V636" i="6" s="1"/>
  <c r="U636" i="6"/>
  <c r="M66" i="16"/>
  <c r="V649" i="6" l="1" a="1"/>
  <c r="V649" i="6" s="1"/>
  <c r="S649" i="6"/>
  <c r="S652" i="6" s="1"/>
  <c r="S654" i="6" s="1"/>
  <c r="U649" i="6"/>
  <c r="D64" i="16"/>
  <c r="E64" i="16" a="1"/>
  <c r="E64" i="16" s="1"/>
  <c r="G64" i="16"/>
  <c r="H64" i="16" s="1"/>
  <c r="I64" i="16"/>
  <c r="S64" i="16"/>
  <c r="V64" i="16"/>
  <c r="X144" i="13" s="1"/>
  <c r="N63" i="16"/>
  <c r="M63" i="16" s="1"/>
  <c r="N62" i="16"/>
  <c r="M62" i="16" s="1"/>
  <c r="D62" i="16"/>
  <c r="D63" i="16"/>
  <c r="E62" i="16" a="1"/>
  <c r="E62" i="16" s="1"/>
  <c r="E63" i="16" a="1"/>
  <c r="E63" i="16" s="1"/>
  <c r="G62" i="16"/>
  <c r="H62" i="16" s="1"/>
  <c r="G63" i="16"/>
  <c r="H63" i="16" s="1"/>
  <c r="I62" i="16"/>
  <c r="I63" i="16"/>
  <c r="S62" i="16"/>
  <c r="S63" i="16"/>
  <c r="U62" i="16" a="1"/>
  <c r="U62" i="16" s="1"/>
  <c r="U63" i="16" a="1"/>
  <c r="U63" i="16" s="1"/>
  <c r="V62" i="16"/>
  <c r="V63" i="16"/>
  <c r="U682" i="6" l="1"/>
  <c r="S682" i="6"/>
  <c r="V768" i="6" s="1" a="1"/>
  <c r="V768" i="6" s="1"/>
  <c r="N64" i="16"/>
  <c r="S768" i="6" l="1"/>
  <c r="U768" i="6"/>
  <c r="M64" i="16"/>
  <c r="N60" i="16"/>
  <c r="D61" i="16"/>
  <c r="E61" i="16" a="1"/>
  <c r="E61" i="16" s="1"/>
  <c r="G61" i="16"/>
  <c r="H61" i="16" s="1"/>
  <c r="I61" i="16"/>
  <c r="N61" i="16"/>
  <c r="S61" i="16"/>
  <c r="U61" i="16" a="1"/>
  <c r="U61" i="16" s="1"/>
  <c r="V61" i="16"/>
  <c r="D60" i="16"/>
  <c r="E60" i="16" a="1"/>
  <c r="E60" i="16" s="1"/>
  <c r="G60" i="16"/>
  <c r="H60" i="16" s="1"/>
  <c r="I60" i="16"/>
  <c r="S60" i="16"/>
  <c r="U60" i="16" a="1"/>
  <c r="U60" i="16" s="1"/>
  <c r="V60" i="16"/>
  <c r="E501" i="13"/>
  <c r="H501" i="13" s="1"/>
  <c r="E502" i="13"/>
  <c r="G502" i="13" s="1"/>
  <c r="J502" i="13" s="1"/>
  <c r="E503" i="13"/>
  <c r="H503" i="13" s="1"/>
  <c r="E504" i="13"/>
  <c r="E505" i="13"/>
  <c r="G505" i="13" s="1"/>
  <c r="E506" i="13"/>
  <c r="H506" i="13" s="1"/>
  <c r="E507" i="13"/>
  <c r="H507" i="13" s="1"/>
  <c r="E508" i="13"/>
  <c r="E509" i="13"/>
  <c r="AG509" i="13" s="1" a="1"/>
  <c r="AG509" i="13" s="1"/>
  <c r="F501" i="13"/>
  <c r="I501" i="13" s="1"/>
  <c r="F502" i="13"/>
  <c r="I502" i="13" s="1"/>
  <c r="F503" i="13"/>
  <c r="F504" i="13"/>
  <c r="I504" i="13" s="1"/>
  <c r="F505" i="13"/>
  <c r="K505" i="13" s="1"/>
  <c r="F506" i="13"/>
  <c r="K506" i="13" s="1"/>
  <c r="F507" i="13"/>
  <c r="F508" i="13"/>
  <c r="I508" i="13" s="1"/>
  <c r="F509" i="13"/>
  <c r="I509" i="13" s="1"/>
  <c r="L501" i="13"/>
  <c r="L502" i="13"/>
  <c r="L503" i="13"/>
  <c r="L504" i="13"/>
  <c r="L505" i="13"/>
  <c r="L506" i="13"/>
  <c r="L507" i="13"/>
  <c r="L508" i="13"/>
  <c r="L509" i="13"/>
  <c r="M501" i="13"/>
  <c r="P501" i="13" s="1"/>
  <c r="M502" i="13"/>
  <c r="R502" i="13" s="1"/>
  <c r="M503" i="13"/>
  <c r="M504" i="13"/>
  <c r="P504" i="13" s="1"/>
  <c r="M505" i="13"/>
  <c r="R505" i="13" s="1"/>
  <c r="M506" i="13"/>
  <c r="R506" i="13" s="1"/>
  <c r="M507" i="13"/>
  <c r="R507" i="13" s="1"/>
  <c r="M508" i="13"/>
  <c r="P508" i="13" s="1"/>
  <c r="M509" i="13"/>
  <c r="R509" i="13" s="1"/>
  <c r="V501" i="13"/>
  <c r="V502" i="13"/>
  <c r="V503" i="13"/>
  <c r="V504" i="13"/>
  <c r="V505" i="13"/>
  <c r="V506" i="13"/>
  <c r="V507" i="13"/>
  <c r="V508" i="13"/>
  <c r="V509" i="13"/>
  <c r="W501" i="13"/>
  <c r="W502" i="13"/>
  <c r="W503" i="13"/>
  <c r="W504" i="13"/>
  <c r="W505" i="13"/>
  <c r="W506" i="13"/>
  <c r="W507" i="13"/>
  <c r="W508" i="13"/>
  <c r="W509" i="13"/>
  <c r="AJ501" i="13"/>
  <c r="AJ502" i="13"/>
  <c r="AJ503" i="13"/>
  <c r="AJ504" i="13"/>
  <c r="AJ505" i="13"/>
  <c r="AJ506" i="13"/>
  <c r="AJ507" i="13"/>
  <c r="AJ508" i="13"/>
  <c r="AJ509" i="13"/>
  <c r="AO501" i="13"/>
  <c r="AO502" i="13"/>
  <c r="AO503" i="13"/>
  <c r="AO504" i="13"/>
  <c r="AO505" i="13"/>
  <c r="AO506" i="13"/>
  <c r="AO507" i="13"/>
  <c r="AO508" i="13"/>
  <c r="AO509" i="13"/>
  <c r="S770" i="6" l="1"/>
  <c r="V770" i="6" a="1"/>
  <c r="V770" i="6" s="1"/>
  <c r="U770" i="6"/>
  <c r="S503" i="13"/>
  <c r="O509" i="13"/>
  <c r="S509" i="13"/>
  <c r="O505" i="13"/>
  <c r="S505" i="13"/>
  <c r="O501" i="13"/>
  <c r="S501" i="13"/>
  <c r="O508" i="13"/>
  <c r="S508" i="13"/>
  <c r="N504" i="13"/>
  <c r="Q504" i="13" s="1"/>
  <c r="S504" i="13"/>
  <c r="AH507" i="13" a="1"/>
  <c r="AH507" i="13" s="1"/>
  <c r="S507" i="13"/>
  <c r="N506" i="13"/>
  <c r="AM506" i="13" s="1"/>
  <c r="S506" i="13"/>
  <c r="N502" i="13"/>
  <c r="AM502" i="13" s="1"/>
  <c r="S502" i="13"/>
  <c r="Z509" i="13"/>
  <c r="Z505" i="13"/>
  <c r="Z501" i="13"/>
  <c r="Z508" i="13"/>
  <c r="Z504" i="13"/>
  <c r="Z507" i="13"/>
  <c r="Z503" i="13"/>
  <c r="Z506" i="13"/>
  <c r="Z502" i="13"/>
  <c r="N503" i="13"/>
  <c r="AM503" i="13" s="1"/>
  <c r="G503" i="13"/>
  <c r="J503" i="13" s="1"/>
  <c r="G507" i="13"/>
  <c r="J507" i="13" s="1"/>
  <c r="G509" i="13"/>
  <c r="J509" i="13" s="1"/>
  <c r="K502" i="13"/>
  <c r="AP502" i="13" s="1"/>
  <c r="AG503" i="13" a="1"/>
  <c r="AG503" i="13" s="1"/>
  <c r="I506" i="13"/>
  <c r="AH505" i="13" a="1"/>
  <c r="AH505" i="13" s="1"/>
  <c r="H505" i="13"/>
  <c r="AG501" i="13" a="1"/>
  <c r="AG501" i="13" s="1"/>
  <c r="K501" i="13"/>
  <c r="G506" i="13"/>
  <c r="J506" i="13" s="1"/>
  <c r="AG502" i="13" a="1"/>
  <c r="AG502" i="13" s="1"/>
  <c r="H502" i="13"/>
  <c r="I505" i="13"/>
  <c r="AG506" i="13" a="1"/>
  <c r="AG506" i="13" s="1"/>
  <c r="AP505" i="13"/>
  <c r="AL505" i="13"/>
  <c r="J505" i="13"/>
  <c r="K504" i="13"/>
  <c r="H509" i="13"/>
  <c r="AG505" i="13" a="1"/>
  <c r="AG505" i="13" s="1"/>
  <c r="K508" i="13"/>
  <c r="G501" i="13"/>
  <c r="AG507" i="13" a="1"/>
  <c r="AG507" i="13" s="1"/>
  <c r="AP506" i="13"/>
  <c r="AH504" i="13" a="1"/>
  <c r="AH504" i="13" s="1"/>
  <c r="O504" i="13"/>
  <c r="M61" i="16"/>
  <c r="N508" i="13"/>
  <c r="AM508" i="13" s="1"/>
  <c r="AH508" i="13" a="1"/>
  <c r="AH508" i="13" s="1"/>
  <c r="P507" i="13"/>
  <c r="N505" i="13"/>
  <c r="Q505" i="13" s="1"/>
  <c r="R508" i="13"/>
  <c r="AH509" i="13" a="1"/>
  <c r="AH509" i="13" s="1"/>
  <c r="AH501" i="13" a="1"/>
  <c r="AH501" i="13" s="1"/>
  <c r="T508" i="13"/>
  <c r="N509" i="13"/>
  <c r="Q509" i="13" s="1"/>
  <c r="N501" i="13"/>
  <c r="Q501" i="13" s="1"/>
  <c r="T504" i="13"/>
  <c r="R504" i="13"/>
  <c r="T501" i="13"/>
  <c r="M60" i="16"/>
  <c r="O502" i="13"/>
  <c r="R501" i="13"/>
  <c r="T502" i="13"/>
  <c r="T506" i="13"/>
  <c r="AH506" i="13" a="1"/>
  <c r="AH506" i="13" s="1"/>
  <c r="AH502" i="13" a="1"/>
  <c r="AH502" i="13" s="1"/>
  <c r="T505" i="13"/>
  <c r="T509" i="13"/>
  <c r="P505" i="13"/>
  <c r="O506" i="13"/>
  <c r="P509" i="13"/>
  <c r="T507" i="13"/>
  <c r="T503" i="13"/>
  <c r="AL502" i="13"/>
  <c r="AG504" i="13" a="1"/>
  <c r="AG504" i="13" s="1"/>
  <c r="P506" i="13"/>
  <c r="P502" i="13"/>
  <c r="O507" i="13"/>
  <c r="O503" i="13"/>
  <c r="K507" i="13"/>
  <c r="AP507" i="13" s="1"/>
  <c r="K503" i="13"/>
  <c r="I507" i="13"/>
  <c r="I503" i="13"/>
  <c r="H508" i="13"/>
  <c r="H504" i="13"/>
  <c r="N507" i="13"/>
  <c r="G508" i="13"/>
  <c r="G504" i="13"/>
  <c r="AG508" i="13" a="1"/>
  <c r="AG508" i="13" s="1"/>
  <c r="K509" i="13"/>
  <c r="AP509" i="13" s="1"/>
  <c r="Q506" i="13" l="1"/>
  <c r="AD506" i="13" s="1"/>
  <c r="AM504" i="13"/>
  <c r="Q502" i="13"/>
  <c r="AD502" i="13" s="1"/>
  <c r="AL503" i="13"/>
  <c r="AL507" i="13"/>
  <c r="AL509" i="13"/>
  <c r="AD509" i="13"/>
  <c r="AP501" i="13"/>
  <c r="AD505" i="13"/>
  <c r="AP508" i="13"/>
  <c r="AM509" i="13"/>
  <c r="AA507" i="13"/>
  <c r="AL506" i="13"/>
  <c r="AP504" i="13"/>
  <c r="AL501" i="13"/>
  <c r="J501" i="13"/>
  <c r="AD501" i="13" s="1"/>
  <c r="AA501" i="13"/>
  <c r="AM501" i="13"/>
  <c r="AA508" i="13"/>
  <c r="Q508" i="13"/>
  <c r="AM505" i="13"/>
  <c r="AA504" i="13"/>
  <c r="AB504" i="13" s="1"/>
  <c r="AA505" i="13"/>
  <c r="AA502" i="13"/>
  <c r="AA509" i="13"/>
  <c r="AA503" i="13"/>
  <c r="AA506" i="13"/>
  <c r="J508" i="13"/>
  <c r="AL508" i="13"/>
  <c r="AM507" i="13"/>
  <c r="Q507" i="13"/>
  <c r="AD507" i="13" s="1"/>
  <c r="J504" i="13"/>
  <c r="AD504" i="13" s="1"/>
  <c r="AL504" i="13"/>
  <c r="AF503" i="13" l="1"/>
  <c r="AB503" i="13"/>
  <c r="AK509" i="13"/>
  <c r="AQ509" i="13" s="1"/>
  <c r="AB509" i="13"/>
  <c r="AE501" i="13"/>
  <c r="AB501" i="13"/>
  <c r="AK502" i="13"/>
  <c r="AQ502" i="13" s="1"/>
  <c r="AB502" i="13"/>
  <c r="AK506" i="13"/>
  <c r="AQ506" i="13" s="1"/>
  <c r="AB506" i="13"/>
  <c r="AF505" i="13"/>
  <c r="AB505" i="13"/>
  <c r="AF508" i="13"/>
  <c r="AB508" i="13"/>
  <c r="AF507" i="13"/>
  <c r="AB507" i="13"/>
  <c r="AE507" i="13"/>
  <c r="AI507" i="13"/>
  <c r="AK507" i="13"/>
  <c r="AQ507" i="13" s="1"/>
  <c r="AK501" i="13"/>
  <c r="AQ501" i="13" s="1"/>
  <c r="AF501" i="13"/>
  <c r="AI501" i="13"/>
  <c r="AD508" i="13"/>
  <c r="AK503" i="13"/>
  <c r="AK508" i="13"/>
  <c r="AE509" i="13"/>
  <c r="AE508" i="13"/>
  <c r="AI508" i="13"/>
  <c r="AK505" i="13"/>
  <c r="AQ505" i="13" s="1"/>
  <c r="AE502" i="13"/>
  <c r="AE505" i="13"/>
  <c r="AI509" i="13"/>
  <c r="AF502" i="13"/>
  <c r="AF509" i="13"/>
  <c r="AF504" i="13"/>
  <c r="AE504" i="13"/>
  <c r="AK504" i="13"/>
  <c r="AQ504" i="13" s="1"/>
  <c r="AI504" i="13"/>
  <c r="AI506" i="13"/>
  <c r="AI505" i="13"/>
  <c r="AE503" i="13"/>
  <c r="AF506" i="13"/>
  <c r="AI502" i="13"/>
  <c r="AE506" i="13"/>
  <c r="AQ508" i="13" l="1"/>
  <c r="N58" i="16" l="1"/>
  <c r="D59" i="16"/>
  <c r="E59" i="16" a="1"/>
  <c r="E59" i="16" s="1"/>
  <c r="G59" i="16"/>
  <c r="H59" i="16" s="1"/>
  <c r="I59" i="16"/>
  <c r="N59" i="16"/>
  <c r="S59" i="16"/>
  <c r="U59" i="16" a="1"/>
  <c r="U59" i="16" s="1"/>
  <c r="V59" i="16"/>
  <c r="D58" i="16"/>
  <c r="E58" i="16" a="1"/>
  <c r="E58" i="16" s="1"/>
  <c r="G58" i="16"/>
  <c r="H58" i="16" s="1"/>
  <c r="I58" i="16"/>
  <c r="S58" i="16"/>
  <c r="U58" i="16" a="1"/>
  <c r="U58" i="16" s="1"/>
  <c r="V58" i="16"/>
  <c r="N57" i="16"/>
  <c r="D57" i="16"/>
  <c r="E57" i="16" a="1"/>
  <c r="E57" i="16" s="1"/>
  <c r="G57" i="16"/>
  <c r="H57" i="16" s="1"/>
  <c r="I57" i="16"/>
  <c r="S57" i="16"/>
  <c r="V57" i="16"/>
  <c r="X432" i="13" s="1"/>
  <c r="D56" i="16"/>
  <c r="E56" i="16" a="1"/>
  <c r="E56" i="16" s="1"/>
  <c r="G56" i="16"/>
  <c r="H56" i="16" s="1"/>
  <c r="I56" i="16"/>
  <c r="N56" i="16"/>
  <c r="M56" i="16" s="1"/>
  <c r="S56" i="16"/>
  <c r="U56" i="16" a="1"/>
  <c r="U56" i="16" s="1"/>
  <c r="V56" i="16"/>
  <c r="D55" i="16"/>
  <c r="E55" i="16" a="1"/>
  <c r="E55" i="16" s="1"/>
  <c r="G55" i="16"/>
  <c r="H55" i="16" s="1"/>
  <c r="I55" i="16"/>
  <c r="N55" i="16"/>
  <c r="S55" i="16"/>
  <c r="U55" i="16" a="1"/>
  <c r="U55" i="16" s="1"/>
  <c r="V55" i="16"/>
  <c r="D54" i="16"/>
  <c r="E54" i="16" a="1"/>
  <c r="E54" i="16" s="1"/>
  <c r="G54" i="16"/>
  <c r="H54" i="16" s="1"/>
  <c r="I54" i="16"/>
  <c r="N54" i="16"/>
  <c r="S54" i="16"/>
  <c r="U54" i="16" a="1"/>
  <c r="U54" i="16" s="1"/>
  <c r="V54" i="16"/>
  <c r="E494" i="13"/>
  <c r="G494" i="13" s="1"/>
  <c r="J494" i="13" s="1"/>
  <c r="E495" i="13"/>
  <c r="G495" i="13" s="1"/>
  <c r="J495" i="13" s="1"/>
  <c r="E496" i="13"/>
  <c r="AG496" i="13" s="1" a="1"/>
  <c r="AG496" i="13" s="1"/>
  <c r="E497" i="13"/>
  <c r="H497" i="13" s="1"/>
  <c r="E498" i="13"/>
  <c r="H498" i="13" s="1"/>
  <c r="E500" i="13"/>
  <c r="H500" i="13" s="1"/>
  <c r="F494" i="13"/>
  <c r="I494" i="13" s="1"/>
  <c r="F495" i="13"/>
  <c r="K495" i="13" s="1"/>
  <c r="F496" i="13"/>
  <c r="K496" i="13" s="1"/>
  <c r="F497" i="13"/>
  <c r="I497" i="13" s="1"/>
  <c r="F498" i="13"/>
  <c r="I498" i="13" s="1"/>
  <c r="F499" i="13"/>
  <c r="F500" i="13"/>
  <c r="K500" i="13" s="1"/>
  <c r="L494" i="13"/>
  <c r="L495" i="13"/>
  <c r="L496" i="13"/>
  <c r="L497" i="13"/>
  <c r="L498" i="13"/>
  <c r="L499" i="13"/>
  <c r="L500" i="13"/>
  <c r="M494" i="13"/>
  <c r="R494" i="13" s="1"/>
  <c r="M495" i="13"/>
  <c r="R495" i="13" s="1"/>
  <c r="M496" i="13"/>
  <c r="P496" i="13" s="1"/>
  <c r="M497" i="13"/>
  <c r="P497" i="13" s="1"/>
  <c r="M498" i="13"/>
  <c r="P498" i="13" s="1"/>
  <c r="M499" i="13"/>
  <c r="R499" i="13" s="1"/>
  <c r="M500" i="13"/>
  <c r="R500" i="13" s="1"/>
  <c r="V494" i="13"/>
  <c r="V495" i="13"/>
  <c r="V496" i="13"/>
  <c r="V497" i="13"/>
  <c r="V498" i="13"/>
  <c r="V500" i="13"/>
  <c r="W494" i="13"/>
  <c r="W495" i="13"/>
  <c r="W496" i="13"/>
  <c r="W497" i="13"/>
  <c r="W498" i="13"/>
  <c r="W499" i="13"/>
  <c r="W500" i="13"/>
  <c r="AJ494" i="13"/>
  <c r="AJ495" i="13"/>
  <c r="AJ496" i="13"/>
  <c r="AJ497" i="13"/>
  <c r="AJ498" i="13"/>
  <c r="AJ499" i="13"/>
  <c r="AJ500" i="13"/>
  <c r="AO494" i="13"/>
  <c r="AO495" i="13"/>
  <c r="AO496" i="13"/>
  <c r="AO497" i="13"/>
  <c r="AO498" i="13"/>
  <c r="AO499" i="13"/>
  <c r="AO500" i="13"/>
  <c r="E491" i="13"/>
  <c r="G491" i="13" s="1"/>
  <c r="J491" i="13" s="1"/>
  <c r="E492" i="13"/>
  <c r="G492" i="13" s="1"/>
  <c r="J492" i="13" s="1"/>
  <c r="E493" i="13"/>
  <c r="H493" i="13" s="1"/>
  <c r="F491" i="13"/>
  <c r="I491" i="13" s="1"/>
  <c r="F492" i="13"/>
  <c r="K492" i="13" s="1"/>
  <c r="F493" i="13"/>
  <c r="K493" i="13" s="1"/>
  <c r="L491" i="13"/>
  <c r="L492" i="13"/>
  <c r="L493" i="13"/>
  <c r="M491" i="13"/>
  <c r="P491" i="13" s="1"/>
  <c r="M492" i="13"/>
  <c r="R492" i="13" s="1"/>
  <c r="M493" i="13"/>
  <c r="P493" i="13" s="1"/>
  <c r="V491" i="13"/>
  <c r="V492" i="13"/>
  <c r="V493" i="13"/>
  <c r="W491" i="13"/>
  <c r="W492" i="13"/>
  <c r="W493" i="13"/>
  <c r="AJ491" i="13"/>
  <c r="AJ492" i="13"/>
  <c r="AJ493" i="13"/>
  <c r="AO491" i="13"/>
  <c r="AO492" i="13"/>
  <c r="AO493" i="13"/>
  <c r="O491" i="13" l="1"/>
  <c r="S491" i="13"/>
  <c r="AH497" i="13" a="1"/>
  <c r="AH497" i="13" s="1"/>
  <c r="S497" i="13"/>
  <c r="O500" i="13"/>
  <c r="S500" i="13"/>
  <c r="O496" i="13"/>
  <c r="S496" i="13"/>
  <c r="O493" i="13"/>
  <c r="S493" i="13"/>
  <c r="N499" i="13"/>
  <c r="AM499" i="13" s="1"/>
  <c r="N495" i="13"/>
  <c r="AM495" i="13" s="1"/>
  <c r="S495" i="13"/>
  <c r="N492" i="13"/>
  <c r="AM492" i="13" s="1"/>
  <c r="S492" i="13"/>
  <c r="N498" i="13"/>
  <c r="Q498" i="13" s="1"/>
  <c r="S498" i="13"/>
  <c r="O494" i="13"/>
  <c r="S494" i="13"/>
  <c r="Z492" i="13"/>
  <c r="Z491" i="13"/>
  <c r="Z495" i="13"/>
  <c r="Z498" i="13"/>
  <c r="Z494" i="13"/>
  <c r="Z497" i="13"/>
  <c r="Z496" i="13"/>
  <c r="Z493" i="13"/>
  <c r="Z500" i="13"/>
  <c r="AH499" i="13" a="1"/>
  <c r="AH499" i="13" s="1"/>
  <c r="M54" i="16"/>
  <c r="V499" i="13"/>
  <c r="Z499" i="13" s="1"/>
  <c r="M59" i="16"/>
  <c r="M58" i="16"/>
  <c r="M57" i="16"/>
  <c r="P500" i="13"/>
  <c r="AH492" i="13" a="1"/>
  <c r="AH492" i="13" s="1"/>
  <c r="O492" i="13"/>
  <c r="O499" i="13"/>
  <c r="AH495" i="13" a="1"/>
  <c r="AH495" i="13" s="1"/>
  <c r="O498" i="13"/>
  <c r="R496" i="13"/>
  <c r="AP496" i="13" s="1"/>
  <c r="O495" i="13"/>
  <c r="M55" i="16"/>
  <c r="AH493" i="13" a="1"/>
  <c r="AH493" i="13" s="1"/>
  <c r="R493" i="13"/>
  <c r="AP493" i="13" s="1"/>
  <c r="AH494" i="13" a="1"/>
  <c r="AH494" i="13" s="1"/>
  <c r="AG495" i="13" a="1"/>
  <c r="AG495" i="13" s="1"/>
  <c r="N497" i="13"/>
  <c r="AG498" i="13" a="1"/>
  <c r="AG498" i="13" s="1"/>
  <c r="O497" i="13"/>
  <c r="H494" i="13"/>
  <c r="E499" i="13"/>
  <c r="H499" i="13" s="1"/>
  <c r="G498" i="13"/>
  <c r="AL498" i="13" s="1"/>
  <c r="AG494" i="13" a="1"/>
  <c r="AG494" i="13" s="1"/>
  <c r="I496" i="13"/>
  <c r="G500" i="13"/>
  <c r="J500" i="13" s="1"/>
  <c r="AL494" i="13"/>
  <c r="I495" i="13"/>
  <c r="P495" i="13"/>
  <c r="AH498" i="13" a="1"/>
  <c r="AH498" i="13" s="1"/>
  <c r="AG500" i="13" a="1"/>
  <c r="AG500" i="13" s="1"/>
  <c r="R491" i="13"/>
  <c r="T496" i="13"/>
  <c r="P499" i="13"/>
  <c r="P494" i="13"/>
  <c r="N494" i="13"/>
  <c r="I500" i="13"/>
  <c r="H495" i="13"/>
  <c r="G496" i="13"/>
  <c r="R498" i="13"/>
  <c r="K497" i="13"/>
  <c r="H496" i="13"/>
  <c r="T495" i="13"/>
  <c r="AP500" i="13"/>
  <c r="T500" i="13"/>
  <c r="T499" i="13"/>
  <c r="AP495" i="13"/>
  <c r="R497" i="13"/>
  <c r="K498" i="13"/>
  <c r="K494" i="13"/>
  <c r="AP494" i="13" s="1"/>
  <c r="AH491" i="13" a="1"/>
  <c r="AH491" i="13" s="1"/>
  <c r="N491" i="13"/>
  <c r="AG497" i="13" a="1"/>
  <c r="AG497" i="13" s="1"/>
  <c r="T498" i="13"/>
  <c r="T494" i="13"/>
  <c r="N500" i="13"/>
  <c r="N496" i="13"/>
  <c r="G497" i="13"/>
  <c r="AL495" i="13"/>
  <c r="AH500" i="13" a="1"/>
  <c r="AH500" i="13" s="1"/>
  <c r="AH496" i="13" a="1"/>
  <c r="AH496" i="13" s="1"/>
  <c r="T497" i="13"/>
  <c r="AP492" i="13"/>
  <c r="AG492" i="13" a="1"/>
  <c r="AG492" i="13" s="1"/>
  <c r="H492" i="13"/>
  <c r="AG491" i="13" a="1"/>
  <c r="AG491" i="13" s="1"/>
  <c r="H491" i="13"/>
  <c r="AL491" i="13"/>
  <c r="AL492" i="13"/>
  <c r="I492" i="13"/>
  <c r="T493" i="13"/>
  <c r="G493" i="13"/>
  <c r="AG493" i="13" a="1"/>
  <c r="AG493" i="13" s="1"/>
  <c r="T492" i="13"/>
  <c r="P492" i="13"/>
  <c r="K491" i="13"/>
  <c r="I493" i="13"/>
  <c r="T491" i="13"/>
  <c r="N493" i="13"/>
  <c r="Q495" i="13" l="1"/>
  <c r="AD495" i="13" s="1"/>
  <c r="Q492" i="13"/>
  <c r="AD492" i="13" s="1"/>
  <c r="Q499" i="13"/>
  <c r="AM498" i="13"/>
  <c r="S499" i="13"/>
  <c r="AA499" i="13" s="1"/>
  <c r="J498" i="13"/>
  <c r="AD498" i="13" s="1"/>
  <c r="AA493" i="13"/>
  <c r="AA498" i="13"/>
  <c r="AM497" i="13"/>
  <c r="Q497" i="13"/>
  <c r="G499" i="13"/>
  <c r="AL499" i="13" s="1"/>
  <c r="AA496" i="13"/>
  <c r="AA495" i="13"/>
  <c r="AL500" i="13"/>
  <c r="AP497" i="13"/>
  <c r="AP491" i="13"/>
  <c r="AL496" i="13"/>
  <c r="J496" i="13"/>
  <c r="AA494" i="13"/>
  <c r="AP498" i="13"/>
  <c r="Q494" i="13"/>
  <c r="AD494" i="13" s="1"/>
  <c r="AM494" i="13"/>
  <c r="AA500" i="13"/>
  <c r="AL497" i="13"/>
  <c r="J497" i="13"/>
  <c r="AA497" i="13"/>
  <c r="AB497" i="13" s="1"/>
  <c r="Q491" i="13"/>
  <c r="AD491" i="13" s="1"/>
  <c r="AM491" i="13"/>
  <c r="AM496" i="13"/>
  <c r="Q496" i="13"/>
  <c r="AM500" i="13"/>
  <c r="Q500" i="13"/>
  <c r="AD500" i="13" s="1"/>
  <c r="AA492" i="13"/>
  <c r="AL493" i="13"/>
  <c r="J493" i="13"/>
  <c r="AM493" i="13"/>
  <c r="Q493" i="13"/>
  <c r="AA491" i="13"/>
  <c r="AB491" i="13" s="1"/>
  <c r="E490" i="13"/>
  <c r="F490" i="13"/>
  <c r="K490" i="13" s="1"/>
  <c r="L490" i="13"/>
  <c r="M490" i="13"/>
  <c r="R490" i="13" s="1"/>
  <c r="V490" i="13"/>
  <c r="W490" i="13"/>
  <c r="AJ490" i="13"/>
  <c r="AO490" i="13"/>
  <c r="D53" i="16"/>
  <c r="E53" i="16" a="1"/>
  <c r="E53" i="16" s="1"/>
  <c r="G53" i="16"/>
  <c r="H53" i="16" s="1"/>
  <c r="I53" i="16"/>
  <c r="N53" i="16"/>
  <c r="M53" i="16" s="1"/>
  <c r="S53" i="16"/>
  <c r="U53" i="16" a="1"/>
  <c r="U53" i="16" s="1"/>
  <c r="V53" i="16"/>
  <c r="E477" i="13"/>
  <c r="G477" i="13" s="1"/>
  <c r="E478" i="13"/>
  <c r="G478" i="13" s="1"/>
  <c r="AL478" i="13" s="1"/>
  <c r="E479" i="13"/>
  <c r="G479" i="13" s="1"/>
  <c r="E480" i="13"/>
  <c r="G480" i="13" s="1"/>
  <c r="E481" i="13"/>
  <c r="H481" i="13" s="1"/>
  <c r="E482" i="13"/>
  <c r="H482" i="13" s="1"/>
  <c r="E483" i="13"/>
  <c r="H483" i="13" s="1"/>
  <c r="E484" i="13"/>
  <c r="G484" i="13" s="1"/>
  <c r="E485" i="13"/>
  <c r="G485" i="13" s="1"/>
  <c r="E486" i="13"/>
  <c r="G486" i="13" s="1"/>
  <c r="AL486" i="13" s="1"/>
  <c r="E487" i="13"/>
  <c r="H487" i="13" s="1"/>
  <c r="E488" i="13"/>
  <c r="G488" i="13" s="1"/>
  <c r="E489" i="13"/>
  <c r="G489" i="13" s="1"/>
  <c r="J489" i="13" s="1"/>
  <c r="F477" i="13"/>
  <c r="K477" i="13" s="1"/>
  <c r="F478" i="13"/>
  <c r="K478" i="13" s="1"/>
  <c r="F479" i="13"/>
  <c r="K479" i="13" s="1"/>
  <c r="F480" i="13"/>
  <c r="I480" i="13" s="1"/>
  <c r="F481" i="13"/>
  <c r="K481" i="13" s="1"/>
  <c r="F482" i="13"/>
  <c r="I482" i="13" s="1"/>
  <c r="F483" i="13"/>
  <c r="K483" i="13" s="1"/>
  <c r="F484" i="13"/>
  <c r="K484" i="13" s="1"/>
  <c r="F485" i="13"/>
  <c r="F486" i="13"/>
  <c r="I486" i="13" s="1"/>
  <c r="F487" i="13"/>
  <c r="K487" i="13" s="1"/>
  <c r="F488" i="13"/>
  <c r="K488" i="13" s="1"/>
  <c r="F489" i="13"/>
  <c r="I489" i="13" s="1"/>
  <c r="L477" i="13"/>
  <c r="L478" i="13"/>
  <c r="L479" i="13"/>
  <c r="L480" i="13"/>
  <c r="L481" i="13"/>
  <c r="L482" i="13"/>
  <c r="L483" i="13"/>
  <c r="L484" i="13"/>
  <c r="L485" i="13"/>
  <c r="L486" i="13"/>
  <c r="L487" i="13"/>
  <c r="L488" i="13"/>
  <c r="L489" i="13"/>
  <c r="M477" i="13"/>
  <c r="P477" i="13" s="1"/>
  <c r="M478" i="13"/>
  <c r="P478" i="13" s="1"/>
  <c r="M479" i="13"/>
  <c r="P479" i="13" s="1"/>
  <c r="M480" i="13"/>
  <c r="R480" i="13" s="1"/>
  <c r="M481" i="13"/>
  <c r="R481" i="13" s="1"/>
  <c r="M482" i="13"/>
  <c r="P482" i="13" s="1"/>
  <c r="M483" i="13"/>
  <c r="P483" i="13" s="1"/>
  <c r="M484" i="13"/>
  <c r="R484" i="13" s="1"/>
  <c r="M485" i="13"/>
  <c r="P485" i="13" s="1"/>
  <c r="M486" i="13"/>
  <c r="P486" i="13" s="1"/>
  <c r="M487" i="13"/>
  <c r="P487" i="13" s="1"/>
  <c r="M488" i="13"/>
  <c r="R488" i="13" s="1"/>
  <c r="M489" i="13"/>
  <c r="R489" i="13" s="1"/>
  <c r="V477" i="13"/>
  <c r="V478" i="13"/>
  <c r="V479" i="13"/>
  <c r="V480" i="13"/>
  <c r="V481" i="13"/>
  <c r="V482" i="13"/>
  <c r="V483" i="13"/>
  <c r="V484" i="13"/>
  <c r="V485" i="13"/>
  <c r="V486" i="13"/>
  <c r="V487" i="13"/>
  <c r="V488" i="13"/>
  <c r="V489" i="13"/>
  <c r="W477" i="13"/>
  <c r="W478" i="13"/>
  <c r="W479" i="13"/>
  <c r="W480" i="13"/>
  <c r="W481" i="13"/>
  <c r="W482" i="13"/>
  <c r="W483" i="13"/>
  <c r="W484" i="13"/>
  <c r="W485" i="13"/>
  <c r="W486" i="13"/>
  <c r="W487" i="13"/>
  <c r="W488" i="13"/>
  <c r="W489" i="13"/>
  <c r="AJ477" i="13"/>
  <c r="AJ478" i="13"/>
  <c r="AJ479" i="13"/>
  <c r="AJ480" i="13"/>
  <c r="AJ481" i="13"/>
  <c r="AJ482" i="13"/>
  <c r="AJ483" i="13"/>
  <c r="AJ484" i="13"/>
  <c r="AJ485" i="13"/>
  <c r="AJ486" i="13"/>
  <c r="AJ487" i="13"/>
  <c r="AJ488" i="13"/>
  <c r="AJ489" i="13"/>
  <c r="AO477" i="13"/>
  <c r="AO478" i="13"/>
  <c r="AO479" i="13"/>
  <c r="AO480" i="13"/>
  <c r="AO481" i="13"/>
  <c r="AO482" i="13"/>
  <c r="AO483" i="13"/>
  <c r="AO484" i="13"/>
  <c r="AO485" i="13"/>
  <c r="AO486" i="13"/>
  <c r="AO487" i="13"/>
  <c r="AO488" i="13"/>
  <c r="AO489" i="13"/>
  <c r="N52" i="16"/>
  <c r="N51" i="16"/>
  <c r="D52" i="16"/>
  <c r="E52" i="16" a="1"/>
  <c r="E52" i="16" s="1"/>
  <c r="G52" i="16"/>
  <c r="H52" i="16" s="1"/>
  <c r="I52" i="16"/>
  <c r="S52" i="16"/>
  <c r="U52" i="16" a="1"/>
  <c r="U52" i="16" s="1"/>
  <c r="V52" i="16"/>
  <c r="D51" i="16"/>
  <c r="E51" i="16" a="1"/>
  <c r="E51" i="16" s="1"/>
  <c r="G51" i="16"/>
  <c r="H51" i="16" s="1"/>
  <c r="I51" i="16"/>
  <c r="S51" i="16"/>
  <c r="U51" i="16" a="1"/>
  <c r="U51" i="16" s="1"/>
  <c r="V51" i="16"/>
  <c r="AH488" i="13" l="1" a="1"/>
  <c r="AH488" i="13" s="1"/>
  <c r="S488" i="13"/>
  <c r="O484" i="13"/>
  <c r="S484" i="13"/>
  <c r="N480" i="13"/>
  <c r="AM480" i="13" s="1"/>
  <c r="S480" i="13"/>
  <c r="O487" i="13"/>
  <c r="S487" i="13"/>
  <c r="N483" i="13"/>
  <c r="AM483" i="13" s="1"/>
  <c r="S483" i="13"/>
  <c r="O479" i="13"/>
  <c r="S479" i="13"/>
  <c r="O486" i="13"/>
  <c r="S486" i="13"/>
  <c r="O482" i="13"/>
  <c r="S482" i="13"/>
  <c r="N478" i="13"/>
  <c r="Q478" i="13" s="1"/>
  <c r="S478" i="13"/>
  <c r="N489" i="13"/>
  <c r="AM489" i="13" s="1"/>
  <c r="S489" i="13"/>
  <c r="N485" i="13"/>
  <c r="Q485" i="13" s="1"/>
  <c r="S485" i="13"/>
  <c r="N481" i="13"/>
  <c r="Q481" i="13" s="1"/>
  <c r="S481" i="13"/>
  <c r="N477" i="13"/>
  <c r="Q477" i="13" s="1"/>
  <c r="S477" i="13"/>
  <c r="N490" i="13"/>
  <c r="AM490" i="13" s="1"/>
  <c r="S490" i="13"/>
  <c r="N479" i="13"/>
  <c r="Q479" i="13" s="1"/>
  <c r="G490" i="13"/>
  <c r="AL490" i="13" s="1"/>
  <c r="Z490" i="13"/>
  <c r="Z488" i="13"/>
  <c r="Z484" i="13"/>
  <c r="Z480" i="13"/>
  <c r="Z487" i="13"/>
  <c r="Z483" i="13"/>
  <c r="Z479" i="13"/>
  <c r="Z486" i="13"/>
  <c r="Z482" i="13"/>
  <c r="Z478" i="13"/>
  <c r="Z489" i="13"/>
  <c r="Z485" i="13"/>
  <c r="Z481" i="13"/>
  <c r="Z477" i="13"/>
  <c r="AK496" i="13"/>
  <c r="AB496" i="13"/>
  <c r="AE500" i="13"/>
  <c r="AB500" i="13"/>
  <c r="AE494" i="13"/>
  <c r="AB494" i="13"/>
  <c r="AE498" i="13"/>
  <c r="AB498" i="13"/>
  <c r="AK499" i="13"/>
  <c r="AB499" i="13"/>
  <c r="AK493" i="13"/>
  <c r="AB493" i="13"/>
  <c r="AE492" i="13"/>
  <c r="AB492" i="13"/>
  <c r="AK495" i="13"/>
  <c r="AQ495" i="13" s="1"/>
  <c r="AB495" i="13"/>
  <c r="AE493" i="13"/>
  <c r="G483" i="13"/>
  <c r="J483" i="13" s="1"/>
  <c r="AK498" i="13"/>
  <c r="AQ498" i="13" s="1"/>
  <c r="AF493" i="13"/>
  <c r="AI493" i="13"/>
  <c r="AI498" i="13"/>
  <c r="AD497" i="13"/>
  <c r="AF498" i="13"/>
  <c r="AE496" i="13"/>
  <c r="AF499" i="13"/>
  <c r="AH486" i="13" a="1"/>
  <c r="AH486" i="13" s="1"/>
  <c r="AI500" i="13"/>
  <c r="AF496" i="13"/>
  <c r="AF495" i="13"/>
  <c r="AF494" i="13"/>
  <c r="AK500" i="13"/>
  <c r="AQ500" i="13" s="1"/>
  <c r="AF500" i="13"/>
  <c r="AI494" i="13"/>
  <c r="AK494" i="13"/>
  <c r="AQ494" i="13" s="1"/>
  <c r="AE499" i="13"/>
  <c r="AE495" i="13"/>
  <c r="AI495" i="13"/>
  <c r="AD496" i="13"/>
  <c r="AE497" i="13"/>
  <c r="AK497" i="13"/>
  <c r="AF497" i="13"/>
  <c r="AH490" i="13" a="1"/>
  <c r="AH490" i="13" s="1"/>
  <c r="AK492" i="13"/>
  <c r="AQ492" i="13" s="1"/>
  <c r="AF492" i="13"/>
  <c r="AI492" i="13"/>
  <c r="AD493" i="13"/>
  <c r="AF491" i="13"/>
  <c r="AE491" i="13"/>
  <c r="AK491" i="13"/>
  <c r="AQ491" i="13" s="1"/>
  <c r="AI491" i="13"/>
  <c r="AH487" i="13" a="1"/>
  <c r="AH487" i="13" s="1"/>
  <c r="P490" i="13"/>
  <c r="K480" i="13"/>
  <c r="AP480" i="13" s="1"/>
  <c r="I477" i="13"/>
  <c r="I478" i="13"/>
  <c r="AG487" i="13" a="1"/>
  <c r="AG487" i="13" s="1"/>
  <c r="K482" i="13"/>
  <c r="H479" i="13"/>
  <c r="AG483" i="13" a="1"/>
  <c r="AG483" i="13" s="1"/>
  <c r="AG479" i="13" a="1"/>
  <c r="AG479" i="13" s="1"/>
  <c r="G487" i="13"/>
  <c r="J487" i="13" s="1"/>
  <c r="AG490" i="13" a="1"/>
  <c r="AG490" i="13" s="1"/>
  <c r="T490" i="13"/>
  <c r="I490" i="13"/>
  <c r="H490" i="13"/>
  <c r="AP490" i="13"/>
  <c r="AG488" i="13" a="1"/>
  <c r="AG488" i="13" s="1"/>
  <c r="AG480" i="13" a="1"/>
  <c r="AG480" i="13" s="1"/>
  <c r="O478" i="13"/>
  <c r="O490" i="13"/>
  <c r="T485" i="13"/>
  <c r="AG484" i="13" a="1"/>
  <c r="AG484" i="13" s="1"/>
  <c r="K485" i="13"/>
  <c r="H486" i="13"/>
  <c r="H478" i="13"/>
  <c r="G482" i="13"/>
  <c r="AL482" i="13" s="1"/>
  <c r="I485" i="13"/>
  <c r="AG486" i="13" a="1"/>
  <c r="AG486" i="13" s="1"/>
  <c r="AG482" i="13" a="1"/>
  <c r="AG482" i="13" s="1"/>
  <c r="AG478" i="13" a="1"/>
  <c r="AG478" i="13" s="1"/>
  <c r="I481" i="13"/>
  <c r="H485" i="13"/>
  <c r="G481" i="13"/>
  <c r="AG489" i="13" a="1"/>
  <c r="AG489" i="13" s="1"/>
  <c r="AG485" i="13" a="1"/>
  <c r="AG485" i="13" s="1"/>
  <c r="AG481" i="13" a="1"/>
  <c r="AG481" i="13" s="1"/>
  <c r="AG477" i="13" a="1"/>
  <c r="AG477" i="13" s="1"/>
  <c r="R483" i="13"/>
  <c r="AP483" i="13" s="1"/>
  <c r="AL477" i="13"/>
  <c r="J477" i="13"/>
  <c r="J485" i="13"/>
  <c r="AL485" i="13"/>
  <c r="I484" i="13"/>
  <c r="N487" i="13"/>
  <c r="Q487" i="13" s="1"/>
  <c r="H477" i="13"/>
  <c r="AH483" i="13" a="1"/>
  <c r="AH483" i="13" s="1"/>
  <c r="O483" i="13"/>
  <c r="N484" i="13"/>
  <c r="AM484" i="13" s="1"/>
  <c r="AP488" i="13"/>
  <c r="AP484" i="13"/>
  <c r="I488" i="13"/>
  <c r="H489" i="13"/>
  <c r="AH479" i="13" a="1"/>
  <c r="AH479" i="13" s="1"/>
  <c r="R485" i="13"/>
  <c r="J479" i="13"/>
  <c r="AL479" i="13"/>
  <c r="AH481" i="13" a="1"/>
  <c r="AH481" i="13" s="1"/>
  <c r="AL489" i="13"/>
  <c r="P489" i="13"/>
  <c r="K486" i="13"/>
  <c r="AP481" i="13"/>
  <c r="AH478" i="13" a="1"/>
  <c r="AH478" i="13" s="1"/>
  <c r="T477" i="13"/>
  <c r="N482" i="13"/>
  <c r="AH482" i="13" a="1"/>
  <c r="AH482" i="13" s="1"/>
  <c r="R477" i="13"/>
  <c r="AP477" i="13" s="1"/>
  <c r="P481" i="13"/>
  <c r="N486" i="13"/>
  <c r="T489" i="13"/>
  <c r="AH485" i="13" a="1"/>
  <c r="AH485" i="13" s="1"/>
  <c r="AH489" i="13" a="1"/>
  <c r="AH489" i="13" s="1"/>
  <c r="AH477" i="13" a="1"/>
  <c r="AH477" i="13" s="1"/>
  <c r="T481" i="13"/>
  <c r="O488" i="13"/>
  <c r="N488" i="13"/>
  <c r="AH484" i="13" a="1"/>
  <c r="AH484" i="13" s="1"/>
  <c r="AH480" i="13" a="1"/>
  <c r="AH480" i="13" s="1"/>
  <c r="R487" i="13"/>
  <c r="AP487" i="13" s="1"/>
  <c r="R479" i="13"/>
  <c r="AP479" i="13" s="1"/>
  <c r="O480" i="13"/>
  <c r="AM481" i="13"/>
  <c r="J488" i="13"/>
  <c r="AL488" i="13"/>
  <c r="J484" i="13"/>
  <c r="AL484" i="13"/>
  <c r="J480" i="13"/>
  <c r="AL480" i="13"/>
  <c r="T488" i="13"/>
  <c r="T484" i="13"/>
  <c r="T480" i="13"/>
  <c r="R486" i="13"/>
  <c r="R482" i="13"/>
  <c r="R478" i="13"/>
  <c r="AP478" i="13" s="1"/>
  <c r="P488" i="13"/>
  <c r="P484" i="13"/>
  <c r="P480" i="13"/>
  <c r="O489" i="13"/>
  <c r="O485" i="13"/>
  <c r="O481" i="13"/>
  <c r="O477" i="13"/>
  <c r="K489" i="13"/>
  <c r="AP489" i="13" s="1"/>
  <c r="J486" i="13"/>
  <c r="J478" i="13"/>
  <c r="I487" i="13"/>
  <c r="I483" i="13"/>
  <c r="I479" i="13"/>
  <c r="H488" i="13"/>
  <c r="H484" i="13"/>
  <c r="H480" i="13"/>
  <c r="T487" i="13"/>
  <c r="T483" i="13"/>
  <c r="T479" i="13"/>
  <c r="T486" i="13"/>
  <c r="T482" i="13"/>
  <c r="T478" i="13"/>
  <c r="M52" i="16"/>
  <c r="M51" i="16"/>
  <c r="Q489" i="13" l="1"/>
  <c r="AD489" i="13" s="1"/>
  <c r="Q483" i="13"/>
  <c r="AD483" i="13" s="1"/>
  <c r="AM485" i="13"/>
  <c r="AD479" i="13"/>
  <c r="Q490" i="13"/>
  <c r="AM477" i="13"/>
  <c r="Q480" i="13"/>
  <c r="AD480" i="13" s="1"/>
  <c r="AM478" i="13"/>
  <c r="AM479" i="13"/>
  <c r="J490" i="13"/>
  <c r="AI496" i="13"/>
  <c r="AQ493" i="13"/>
  <c r="AQ496" i="13"/>
  <c r="AI497" i="13"/>
  <c r="AL483" i="13"/>
  <c r="AQ497" i="13"/>
  <c r="Q484" i="13"/>
  <c r="AD484" i="13" s="1"/>
  <c r="AA482" i="13"/>
  <c r="AL487" i="13"/>
  <c r="AA479" i="13"/>
  <c r="AP482" i="13"/>
  <c r="AD487" i="13"/>
  <c r="AA490" i="13"/>
  <c r="AP486" i="13"/>
  <c r="AA487" i="13"/>
  <c r="J482" i="13"/>
  <c r="AA489" i="13"/>
  <c r="AP485" i="13"/>
  <c r="AA485" i="13"/>
  <c r="AD477" i="13"/>
  <c r="AD485" i="13"/>
  <c r="AM487" i="13"/>
  <c r="AA486" i="13"/>
  <c r="AL481" i="13"/>
  <c r="J481" i="13"/>
  <c r="AD481" i="13" s="1"/>
  <c r="AA483" i="13"/>
  <c r="AD478" i="13"/>
  <c r="AA477" i="13"/>
  <c r="AA478" i="13"/>
  <c r="Q486" i="13"/>
  <c r="AD486" i="13" s="1"/>
  <c r="AM486" i="13"/>
  <c r="Q482" i="13"/>
  <c r="AM482" i="13"/>
  <c r="AA480" i="13"/>
  <c r="Q488" i="13"/>
  <c r="AD488" i="13" s="1"/>
  <c r="AM488" i="13"/>
  <c r="AA481" i="13"/>
  <c r="AA484" i="13"/>
  <c r="AB484" i="13" s="1"/>
  <c r="AA488" i="13"/>
  <c r="AB488" i="13" s="1"/>
  <c r="E473" i="13"/>
  <c r="E474" i="13"/>
  <c r="AG474" i="13" s="1" a="1"/>
  <c r="AG474" i="13" s="1"/>
  <c r="E475" i="13"/>
  <c r="AG475" i="13" s="1" a="1"/>
  <c r="AG475" i="13" s="1"/>
  <c r="E476" i="13"/>
  <c r="AG476" i="13" s="1" a="1"/>
  <c r="AG476" i="13" s="1"/>
  <c r="F473" i="13"/>
  <c r="I473" i="13" s="1"/>
  <c r="F474" i="13"/>
  <c r="K474" i="13" s="1"/>
  <c r="F475" i="13"/>
  <c r="K475" i="13" s="1"/>
  <c r="F476" i="13"/>
  <c r="I476" i="13" s="1"/>
  <c r="L473" i="13"/>
  <c r="L474" i="13"/>
  <c r="L475" i="13"/>
  <c r="L476" i="13"/>
  <c r="M473" i="13"/>
  <c r="R473" i="13" s="1"/>
  <c r="M474" i="13"/>
  <c r="P474" i="13" s="1"/>
  <c r="M475" i="13"/>
  <c r="P475" i="13" s="1"/>
  <c r="M476" i="13"/>
  <c r="P476" i="13" s="1"/>
  <c r="V473" i="13"/>
  <c r="V474" i="13"/>
  <c r="V475" i="13"/>
  <c r="V476" i="13"/>
  <c r="W473" i="13"/>
  <c r="W474" i="13"/>
  <c r="W475" i="13"/>
  <c r="W476" i="13"/>
  <c r="AJ473" i="13"/>
  <c r="AJ474" i="13"/>
  <c r="AJ475" i="13"/>
  <c r="AJ476" i="13"/>
  <c r="AO473" i="13"/>
  <c r="AO474" i="13"/>
  <c r="AO475" i="13"/>
  <c r="AO476" i="13"/>
  <c r="D50" i="16"/>
  <c r="E50" i="16" a="1"/>
  <c r="E50" i="16" s="1"/>
  <c r="G50" i="16"/>
  <c r="H50" i="16" s="1"/>
  <c r="I50" i="16"/>
  <c r="N50" i="16"/>
  <c r="M50" i="16" s="1"/>
  <c r="S50" i="16"/>
  <c r="T50" i="16"/>
  <c r="U50" i="16" a="1"/>
  <c r="U50" i="16" s="1"/>
  <c r="V50" i="16"/>
  <c r="AD490" i="13" l="1"/>
  <c r="AH473" i="13" a="1"/>
  <c r="AH473" i="13" s="1"/>
  <c r="S473" i="13"/>
  <c r="AH476" i="13" a="1"/>
  <c r="AH476" i="13" s="1"/>
  <c r="S476" i="13"/>
  <c r="AH475" i="13" a="1"/>
  <c r="AH475" i="13" s="1"/>
  <c r="S475" i="13"/>
  <c r="AH474" i="13" a="1"/>
  <c r="AH474" i="13" s="1"/>
  <c r="S474" i="13"/>
  <c r="Z476" i="13"/>
  <c r="Z475" i="13"/>
  <c r="Z474" i="13"/>
  <c r="Z473" i="13"/>
  <c r="AF478" i="13"/>
  <c r="AB478" i="13"/>
  <c r="AE489" i="13"/>
  <c r="AB489" i="13"/>
  <c r="AF490" i="13"/>
  <c r="AB490" i="13"/>
  <c r="AE477" i="13"/>
  <c r="AB477" i="13"/>
  <c r="AK482" i="13"/>
  <c r="AB482" i="13"/>
  <c r="AK486" i="13"/>
  <c r="AQ486" i="13" s="1"/>
  <c r="AB486" i="13"/>
  <c r="AI485" i="13"/>
  <c r="AB485" i="13"/>
  <c r="AI487" i="13"/>
  <c r="AB487" i="13"/>
  <c r="AF481" i="13"/>
  <c r="AB481" i="13"/>
  <c r="AK480" i="13"/>
  <c r="AQ480" i="13" s="1"/>
  <c r="AB480" i="13"/>
  <c r="AI483" i="13"/>
  <c r="AB483" i="13"/>
  <c r="AE479" i="13"/>
  <c r="AB479" i="13"/>
  <c r="AE482" i="13"/>
  <c r="AK489" i="13"/>
  <c r="AQ489" i="13" s="1"/>
  <c r="AI489" i="13"/>
  <c r="AE487" i="13"/>
  <c r="AI482" i="13"/>
  <c r="AF482" i="13"/>
  <c r="AK490" i="13"/>
  <c r="AE490" i="13"/>
  <c r="AI479" i="13"/>
  <c r="AF479" i="13"/>
  <c r="AK479" i="13"/>
  <c r="AQ479" i="13" s="1"/>
  <c r="AE486" i="13"/>
  <c r="AK487" i="13"/>
  <c r="AQ487" i="13" s="1"/>
  <c r="AF477" i="13"/>
  <c r="AE485" i="13"/>
  <c r="AF485" i="13"/>
  <c r="AI486" i="13"/>
  <c r="AF487" i="13"/>
  <c r="AK485" i="13"/>
  <c r="AQ485" i="13" s="1"/>
  <c r="AF486" i="13"/>
  <c r="AI477" i="13"/>
  <c r="AD482" i="13"/>
  <c r="AF483" i="13"/>
  <c r="AK478" i="13"/>
  <c r="AQ478" i="13" s="1"/>
  <c r="AF489" i="13"/>
  <c r="AK483" i="13"/>
  <c r="AQ483" i="13" s="1"/>
  <c r="AE478" i="13"/>
  <c r="AE483" i="13"/>
  <c r="AK477" i="13"/>
  <c r="AQ477" i="13" s="1"/>
  <c r="AE480" i="13"/>
  <c r="AK481" i="13"/>
  <c r="AQ481" i="13" s="1"/>
  <c r="AF480" i="13"/>
  <c r="AI480" i="13"/>
  <c r="AI481" i="13"/>
  <c r="AI478" i="13"/>
  <c r="AE481" i="13"/>
  <c r="AI488" i="13"/>
  <c r="AF488" i="13"/>
  <c r="AE488" i="13"/>
  <c r="AK488" i="13"/>
  <c r="AQ488" i="13" s="1"/>
  <c r="AI484" i="13"/>
  <c r="AF484" i="13"/>
  <c r="AE484" i="13"/>
  <c r="AK484" i="13"/>
  <c r="AQ484" i="13" s="1"/>
  <c r="N473" i="13"/>
  <c r="AM473" i="13" s="1"/>
  <c r="N476" i="13"/>
  <c r="Q476" i="13" s="1"/>
  <c r="O476" i="13"/>
  <c r="O474" i="13"/>
  <c r="N474" i="13"/>
  <c r="O473" i="13"/>
  <c r="O475" i="13"/>
  <c r="N475" i="13"/>
  <c r="Q475" i="13" s="1"/>
  <c r="K473" i="13"/>
  <c r="AP473" i="13" s="1"/>
  <c r="R474" i="13"/>
  <c r="AP474" i="13" s="1"/>
  <c r="P473" i="13"/>
  <c r="R476" i="13"/>
  <c r="I475" i="13"/>
  <c r="G474" i="13"/>
  <c r="AL474" i="13" s="1"/>
  <c r="H476" i="13"/>
  <c r="T476" i="13"/>
  <c r="K476" i="13"/>
  <c r="G473" i="13"/>
  <c r="AG473" i="13" a="1"/>
  <c r="AG473" i="13" s="1"/>
  <c r="H474" i="13"/>
  <c r="T474" i="13"/>
  <c r="I474" i="13"/>
  <c r="H473" i="13"/>
  <c r="T473" i="13"/>
  <c r="G476" i="13"/>
  <c r="T475" i="13"/>
  <c r="R475" i="13"/>
  <c r="AP475" i="13" s="1"/>
  <c r="H475" i="13"/>
  <c r="G475" i="13"/>
  <c r="AQ490" i="13" l="1"/>
  <c r="AI490" i="13"/>
  <c r="AQ482" i="13"/>
  <c r="AM476" i="13"/>
  <c r="Q473" i="13"/>
  <c r="AM474" i="13"/>
  <c r="Q474" i="13"/>
  <c r="AP476" i="13"/>
  <c r="AM475" i="13"/>
  <c r="J474" i="13"/>
  <c r="AA475" i="13"/>
  <c r="AA473" i="13"/>
  <c r="AA476" i="13"/>
  <c r="J473" i="13"/>
  <c r="AL473" i="13"/>
  <c r="AL476" i="13"/>
  <c r="J476" i="13"/>
  <c r="AD476" i="13" s="1"/>
  <c r="AA474" i="13"/>
  <c r="AB474" i="13" s="1"/>
  <c r="AL475" i="13"/>
  <c r="J475" i="13"/>
  <c r="AD475" i="13" s="1"/>
  <c r="AI475" i="13" l="1"/>
  <c r="AB475" i="13"/>
  <c r="AI476" i="13"/>
  <c r="AB476" i="13"/>
  <c r="AI473" i="13"/>
  <c r="AB473" i="13"/>
  <c r="AD473" i="13"/>
  <c r="AF473" i="13"/>
  <c r="AF475" i="13"/>
  <c r="AD474" i="13"/>
  <c r="AE475" i="13"/>
  <c r="AK475" i="13"/>
  <c r="AQ475" i="13" s="1"/>
  <c r="AK473" i="13"/>
  <c r="AE473" i="13"/>
  <c r="AK476" i="13"/>
  <c r="AQ476" i="13" s="1"/>
  <c r="AF476" i="13"/>
  <c r="AE476" i="13"/>
  <c r="AF474" i="13"/>
  <c r="AK474" i="13"/>
  <c r="AE474" i="13"/>
  <c r="AI474" i="13"/>
  <c r="AQ473" i="13" l="1"/>
  <c r="AQ474" i="13"/>
  <c r="N49" i="16"/>
  <c r="N48" i="16"/>
  <c r="D49" i="16"/>
  <c r="E49" i="16" a="1"/>
  <c r="E49" i="16" s="1"/>
  <c r="G49" i="16"/>
  <c r="H49" i="16" s="1"/>
  <c r="I49" i="16"/>
  <c r="S49" i="16"/>
  <c r="U49" i="16" a="1"/>
  <c r="U49" i="16" s="1"/>
  <c r="V49" i="16"/>
  <c r="D48" i="16"/>
  <c r="E48" i="16" a="1"/>
  <c r="E48" i="16" s="1"/>
  <c r="G48" i="16"/>
  <c r="H48" i="16" s="1"/>
  <c r="I48" i="16"/>
  <c r="S48" i="16"/>
  <c r="U48" i="16" a="1"/>
  <c r="U48" i="16" s="1"/>
  <c r="V48" i="16"/>
  <c r="E470" i="13"/>
  <c r="E471" i="13"/>
  <c r="G471" i="13" s="1"/>
  <c r="E472" i="13"/>
  <c r="H472" i="13" s="1"/>
  <c r="F470" i="13"/>
  <c r="I470" i="13" s="1"/>
  <c r="F471" i="13"/>
  <c r="I471" i="13" s="1"/>
  <c r="F472" i="13"/>
  <c r="I472" i="13" s="1"/>
  <c r="L470" i="13"/>
  <c r="L471" i="13"/>
  <c r="L472" i="13"/>
  <c r="M470" i="13"/>
  <c r="P470" i="13" s="1"/>
  <c r="M471" i="13"/>
  <c r="R471" i="13" s="1"/>
  <c r="M472" i="13"/>
  <c r="P472" i="13" s="1"/>
  <c r="V470" i="13"/>
  <c r="V471" i="13"/>
  <c r="V472" i="13"/>
  <c r="W470" i="13"/>
  <c r="W471" i="13"/>
  <c r="W472" i="13"/>
  <c r="AJ470" i="13"/>
  <c r="AJ471" i="13"/>
  <c r="AJ472" i="13"/>
  <c r="AO470" i="13"/>
  <c r="AO471" i="13"/>
  <c r="AO472" i="13"/>
  <c r="N47" i="16"/>
  <c r="M47" i="16" s="1"/>
  <c r="N46" i="16"/>
  <c r="D47" i="16"/>
  <c r="E47" i="16" a="1"/>
  <c r="E47" i="16" s="1"/>
  <c r="G47" i="16"/>
  <c r="H47" i="16" s="1"/>
  <c r="I47" i="16"/>
  <c r="S47" i="16"/>
  <c r="U47" i="16" a="1"/>
  <c r="U47" i="16" s="1"/>
  <c r="V47" i="16"/>
  <c r="D46" i="16"/>
  <c r="E46" i="16" a="1"/>
  <c r="E46" i="16" s="1"/>
  <c r="G46" i="16"/>
  <c r="H46" i="16" s="1"/>
  <c r="I46" i="16"/>
  <c r="S46" i="16"/>
  <c r="U46" i="16" a="1"/>
  <c r="U46" i="16" s="1"/>
  <c r="V46" i="16"/>
  <c r="O472" i="13" l="1"/>
  <c r="S472" i="13"/>
  <c r="AH471" i="13" a="1"/>
  <c r="AH471" i="13" s="1"/>
  <c r="S471" i="13"/>
  <c r="O470" i="13"/>
  <c r="S470" i="13"/>
  <c r="G470" i="13"/>
  <c r="AL470" i="13" s="1"/>
  <c r="Z470" i="13"/>
  <c r="Z471" i="13"/>
  <c r="Z472" i="13"/>
  <c r="K471" i="13"/>
  <c r="AP471" i="13" s="1"/>
  <c r="H470" i="13"/>
  <c r="AG470" i="13" a="1"/>
  <c r="AG470" i="13" s="1"/>
  <c r="M49" i="16"/>
  <c r="M48" i="16"/>
  <c r="AH470" i="13" a="1"/>
  <c r="AH470" i="13" s="1"/>
  <c r="R470" i="13"/>
  <c r="H471" i="13"/>
  <c r="AH472" i="13" a="1"/>
  <c r="AH472" i="13" s="1"/>
  <c r="R472" i="13"/>
  <c r="J471" i="13"/>
  <c r="AL471" i="13"/>
  <c r="AG472" i="13" a="1"/>
  <c r="AG472" i="13" s="1"/>
  <c r="O471" i="13"/>
  <c r="AG471" i="13" a="1"/>
  <c r="AG471" i="13" s="1"/>
  <c r="T472" i="13"/>
  <c r="N471" i="13"/>
  <c r="K472" i="13"/>
  <c r="G472" i="13"/>
  <c r="T471" i="13"/>
  <c r="N470" i="13"/>
  <c r="P471" i="13"/>
  <c r="K470" i="13"/>
  <c r="T470" i="13"/>
  <c r="N472" i="13"/>
  <c r="M46" i="16"/>
  <c r="J470" i="13" l="1"/>
  <c r="AP472" i="13"/>
  <c r="AP470" i="13"/>
  <c r="AA472" i="13"/>
  <c r="Q470" i="13"/>
  <c r="AM470" i="13"/>
  <c r="J472" i="13"/>
  <c r="AL472" i="13"/>
  <c r="AA471" i="13"/>
  <c r="AB471" i="13" s="1"/>
  <c r="Q471" i="13"/>
  <c r="AD471" i="13" s="1"/>
  <c r="AM471" i="13"/>
  <c r="AM472" i="13"/>
  <c r="Q472" i="13"/>
  <c r="AA470" i="13"/>
  <c r="AB470" i="13" s="1"/>
  <c r="N45" i="16"/>
  <c r="D45" i="16"/>
  <c r="E45" i="16" a="1"/>
  <c r="E45" i="16" s="1"/>
  <c r="G45" i="16"/>
  <c r="H45" i="16" s="1"/>
  <c r="I45" i="16"/>
  <c r="S45" i="16"/>
  <c r="U45" i="16" a="1"/>
  <c r="U45" i="16" s="1"/>
  <c r="V45" i="16"/>
  <c r="N44" i="16"/>
  <c r="D44" i="16"/>
  <c r="E44" i="16" a="1"/>
  <c r="E44" i="16" s="1"/>
  <c r="G44" i="16"/>
  <c r="H44" i="16" s="1"/>
  <c r="I44" i="16"/>
  <c r="S44" i="16"/>
  <c r="V44" i="16"/>
  <c r="N43" i="16"/>
  <c r="D43" i="16"/>
  <c r="E43" i="16" a="1"/>
  <c r="E43" i="16" s="1"/>
  <c r="G43" i="16"/>
  <c r="H43" i="16" s="1"/>
  <c r="I43" i="16"/>
  <c r="S43" i="16"/>
  <c r="U43" i="16" a="1"/>
  <c r="U43" i="16" s="1"/>
  <c r="V43" i="16"/>
  <c r="AD470" i="13" l="1"/>
  <c r="AE472" i="13"/>
  <c r="AB472" i="13"/>
  <c r="AF472" i="13"/>
  <c r="AK472" i="13"/>
  <c r="AI472" i="13"/>
  <c r="AE471" i="13"/>
  <c r="AI471" i="13"/>
  <c r="AK471" i="13"/>
  <c r="AQ471" i="13" s="1"/>
  <c r="AF471" i="13"/>
  <c r="AD472" i="13"/>
  <c r="AE470" i="13"/>
  <c r="AK470" i="13"/>
  <c r="AF470" i="13"/>
  <c r="M45" i="16"/>
  <c r="M44" i="16"/>
  <c r="M43" i="16"/>
  <c r="AQ470" i="13" l="1"/>
  <c r="AI470" i="13"/>
  <c r="AQ472" i="13"/>
  <c r="E463" i="13"/>
  <c r="E464" i="13"/>
  <c r="G464" i="13" s="1"/>
  <c r="J464" i="13" s="1"/>
  <c r="E465" i="13"/>
  <c r="G465" i="13" s="1"/>
  <c r="E466" i="13"/>
  <c r="H466" i="13" s="1"/>
  <c r="E467" i="13"/>
  <c r="H467" i="13" s="1"/>
  <c r="E468" i="13"/>
  <c r="E469" i="13"/>
  <c r="H469" i="13" s="1"/>
  <c r="F463" i="13"/>
  <c r="I463" i="13" s="1"/>
  <c r="F464" i="13"/>
  <c r="I464" i="13" s="1"/>
  <c r="F465" i="13"/>
  <c r="I465" i="13" s="1"/>
  <c r="F466" i="13"/>
  <c r="F467" i="13"/>
  <c r="I467" i="13" s="1"/>
  <c r="F468" i="13"/>
  <c r="I468" i="13" s="1"/>
  <c r="F469" i="13"/>
  <c r="K469" i="13" s="1"/>
  <c r="L463" i="13"/>
  <c r="L464" i="13"/>
  <c r="L465" i="13"/>
  <c r="L466" i="13"/>
  <c r="L467" i="13"/>
  <c r="L468" i="13"/>
  <c r="L469" i="13"/>
  <c r="M463" i="13"/>
  <c r="P463" i="13" s="1"/>
  <c r="M464" i="13"/>
  <c r="R464" i="13" s="1"/>
  <c r="M465" i="13"/>
  <c r="P465" i="13" s="1"/>
  <c r="M466" i="13"/>
  <c r="P466" i="13" s="1"/>
  <c r="M467" i="13"/>
  <c r="P467" i="13" s="1"/>
  <c r="M468" i="13"/>
  <c r="R468" i="13" s="1"/>
  <c r="M469" i="13"/>
  <c r="R469" i="13" s="1"/>
  <c r="V463" i="13"/>
  <c r="V464" i="13"/>
  <c r="V465" i="13"/>
  <c r="V466" i="13"/>
  <c r="V467" i="13"/>
  <c r="V468" i="13"/>
  <c r="V469" i="13"/>
  <c r="W463" i="13"/>
  <c r="W464" i="13"/>
  <c r="W465" i="13"/>
  <c r="W466" i="13"/>
  <c r="W467" i="13"/>
  <c r="W468" i="13"/>
  <c r="W469" i="13"/>
  <c r="AJ463" i="13"/>
  <c r="AJ464" i="13"/>
  <c r="AJ465" i="13"/>
  <c r="AJ466" i="13"/>
  <c r="AJ467" i="13"/>
  <c r="AJ468" i="13"/>
  <c r="AJ469" i="13"/>
  <c r="AO463" i="13"/>
  <c r="AO464" i="13"/>
  <c r="AO465" i="13"/>
  <c r="AO466" i="13"/>
  <c r="AO467" i="13"/>
  <c r="AO468" i="13"/>
  <c r="AO469" i="13"/>
  <c r="N42" i="16"/>
  <c r="D42" i="16"/>
  <c r="E42" i="16" a="1"/>
  <c r="E42" i="16" s="1"/>
  <c r="G42" i="16"/>
  <c r="H42" i="16" s="1"/>
  <c r="I42" i="16"/>
  <c r="S42" i="16"/>
  <c r="U42" i="16" a="1"/>
  <c r="U42" i="16" s="1"/>
  <c r="V42" i="16"/>
  <c r="O469" i="13" l="1"/>
  <c r="S469" i="13"/>
  <c r="O465" i="13"/>
  <c r="S465" i="13"/>
  <c r="O468" i="13"/>
  <c r="S468" i="13"/>
  <c r="O464" i="13"/>
  <c r="S464" i="13"/>
  <c r="O467" i="13"/>
  <c r="S467" i="13"/>
  <c r="O463" i="13"/>
  <c r="S463" i="13"/>
  <c r="N466" i="13"/>
  <c r="AM466" i="13" s="1"/>
  <c r="S466" i="13"/>
  <c r="G468" i="13"/>
  <c r="AL468" i="13" s="1"/>
  <c r="Z469" i="13"/>
  <c r="Z465" i="13"/>
  <c r="Z468" i="13"/>
  <c r="Z464" i="13"/>
  <c r="Z467" i="13"/>
  <c r="Z463" i="13"/>
  <c r="Z466" i="13"/>
  <c r="H464" i="13"/>
  <c r="AG464" i="13" a="1"/>
  <c r="AG464" i="13" s="1"/>
  <c r="AG468" i="13" a="1"/>
  <c r="AG468" i="13" s="1"/>
  <c r="AH463" i="13" a="1"/>
  <c r="AH463" i="13" s="1"/>
  <c r="H468" i="13"/>
  <c r="AG469" i="13" a="1"/>
  <c r="AG469" i="13" s="1"/>
  <c r="AH464" i="13" a="1"/>
  <c r="AH464" i="13" s="1"/>
  <c r="AG465" i="13" a="1"/>
  <c r="AG465" i="13" s="1"/>
  <c r="N468" i="13"/>
  <c r="H465" i="13"/>
  <c r="G469" i="13"/>
  <c r="AL469" i="13" s="1"/>
  <c r="N467" i="13"/>
  <c r="Q467" i="13" s="1"/>
  <c r="AH465" i="13" a="1"/>
  <c r="AH465" i="13" s="1"/>
  <c r="AH469" i="13" a="1"/>
  <c r="AH469" i="13" s="1"/>
  <c r="P469" i="13"/>
  <c r="AH467" i="13" a="1"/>
  <c r="AH467" i="13" s="1"/>
  <c r="N464" i="13"/>
  <c r="Q464" i="13" s="1"/>
  <c r="AD464" i="13" s="1"/>
  <c r="R465" i="13"/>
  <c r="N463" i="13"/>
  <c r="Q463" i="13" s="1"/>
  <c r="R463" i="13"/>
  <c r="AH466" i="13" a="1"/>
  <c r="AH466" i="13" s="1"/>
  <c r="R467" i="13"/>
  <c r="O466" i="13"/>
  <c r="G467" i="13"/>
  <c r="T465" i="13"/>
  <c r="AG467" i="13" a="1"/>
  <c r="AG467" i="13" s="1"/>
  <c r="AG463" i="13" a="1"/>
  <c r="AG463" i="13" s="1"/>
  <c r="H463" i="13"/>
  <c r="K464" i="13"/>
  <c r="AP464" i="13" s="1"/>
  <c r="G463" i="13"/>
  <c r="J465" i="13"/>
  <c r="AL465" i="13"/>
  <c r="AL464" i="13"/>
  <c r="K468" i="13"/>
  <c r="AP468" i="13" s="1"/>
  <c r="T469" i="13"/>
  <c r="K465" i="13"/>
  <c r="AP469" i="13"/>
  <c r="T468" i="13"/>
  <c r="T464" i="13"/>
  <c r="R466" i="13"/>
  <c r="P468" i="13"/>
  <c r="P464" i="13"/>
  <c r="K467" i="13"/>
  <c r="K463" i="13"/>
  <c r="I469" i="13"/>
  <c r="T467" i="13"/>
  <c r="T463" i="13"/>
  <c r="N469" i="13"/>
  <c r="N465" i="13"/>
  <c r="G466" i="13"/>
  <c r="T466" i="13"/>
  <c r="M42" i="16"/>
  <c r="Q466" i="13" l="1"/>
  <c r="J468" i="13"/>
  <c r="J469" i="13"/>
  <c r="AM463" i="13"/>
  <c r="AM467" i="13"/>
  <c r="AM468" i="13"/>
  <c r="AA468" i="13"/>
  <c r="AA465" i="13"/>
  <c r="AP463" i="13"/>
  <c r="AP467" i="13"/>
  <c r="AM464" i="13"/>
  <c r="AA464" i="13"/>
  <c r="AP465" i="13"/>
  <c r="AA463" i="13"/>
  <c r="AA469" i="13"/>
  <c r="J467" i="13"/>
  <c r="AD467" i="13" s="1"/>
  <c r="AL467" i="13"/>
  <c r="AL463" i="13"/>
  <c r="J463" i="13"/>
  <c r="AD463" i="13" s="1"/>
  <c r="AA467" i="13"/>
  <c r="AL466" i="13"/>
  <c r="AM469" i="13"/>
  <c r="Q469" i="13"/>
  <c r="AM465" i="13"/>
  <c r="Q465" i="13"/>
  <c r="AD465" i="13" s="1"/>
  <c r="AA466" i="13"/>
  <c r="AB466" i="13" s="1"/>
  <c r="D41" i="16"/>
  <c r="E41" i="16" a="1"/>
  <c r="E41" i="16" s="1"/>
  <c r="G41" i="16"/>
  <c r="H41" i="16" s="1"/>
  <c r="I41" i="16"/>
  <c r="N41" i="16"/>
  <c r="S41" i="16"/>
  <c r="U41" i="16" a="1"/>
  <c r="U41" i="16" s="1"/>
  <c r="V41" i="16"/>
  <c r="E444" i="13"/>
  <c r="AG444" i="13" s="1" a="1"/>
  <c r="AG444" i="13" s="1"/>
  <c r="E445" i="13"/>
  <c r="G445" i="13" s="1"/>
  <c r="J445" i="13" s="1"/>
  <c r="E446" i="13"/>
  <c r="AG446" i="13" s="1" a="1"/>
  <c r="AG446" i="13" s="1"/>
  <c r="E447" i="13"/>
  <c r="AG447" i="13" s="1" a="1"/>
  <c r="AG447" i="13" s="1"/>
  <c r="E448" i="13"/>
  <c r="G448" i="13" s="1"/>
  <c r="E449" i="13"/>
  <c r="AG449" i="13" s="1" a="1"/>
  <c r="AG449" i="13" s="1"/>
  <c r="E450" i="13"/>
  <c r="G450" i="13" s="1"/>
  <c r="J450" i="13" s="1"/>
  <c r="E451" i="13"/>
  <c r="AG451" i="13" s="1" a="1"/>
  <c r="AG451" i="13" s="1"/>
  <c r="E452" i="13"/>
  <c r="H452" i="13" s="1"/>
  <c r="E453" i="13"/>
  <c r="G453" i="13" s="1"/>
  <c r="J453" i="13" s="1"/>
  <c r="E454" i="13"/>
  <c r="H454" i="13" s="1"/>
  <c r="E455" i="13"/>
  <c r="AG455" i="13" s="1" a="1"/>
  <c r="AG455" i="13" s="1"/>
  <c r="E456" i="13"/>
  <c r="AG456" i="13" s="1" a="1"/>
  <c r="AG456" i="13" s="1"/>
  <c r="E457" i="13"/>
  <c r="AG457" i="13" s="1" a="1"/>
  <c r="AG457" i="13" s="1"/>
  <c r="E458" i="13"/>
  <c r="H458" i="13" s="1"/>
  <c r="E459" i="13"/>
  <c r="AG459" i="13" s="1" a="1"/>
  <c r="AG459" i="13" s="1"/>
  <c r="E460" i="13"/>
  <c r="G460" i="13" s="1"/>
  <c r="E461" i="13"/>
  <c r="H461" i="13" s="1"/>
  <c r="E462" i="13"/>
  <c r="G462" i="13" s="1"/>
  <c r="F444" i="13"/>
  <c r="F445" i="13"/>
  <c r="F446" i="13"/>
  <c r="I446" i="13" s="1"/>
  <c r="F447" i="13"/>
  <c r="K447" i="13" s="1"/>
  <c r="F448" i="13"/>
  <c r="F449" i="13"/>
  <c r="F450" i="13"/>
  <c r="I450" i="13" s="1"/>
  <c r="F451" i="13"/>
  <c r="K451" i="13" s="1"/>
  <c r="F452" i="13"/>
  <c r="F453" i="13"/>
  <c r="I453" i="13" s="1"/>
  <c r="F454" i="13"/>
  <c r="K454" i="13" s="1"/>
  <c r="F455" i="13"/>
  <c r="I455" i="13" s="1"/>
  <c r="F456" i="13"/>
  <c r="F457" i="13"/>
  <c r="I457" i="13" s="1"/>
  <c r="F458" i="13"/>
  <c r="I458" i="13" s="1"/>
  <c r="F459" i="13"/>
  <c r="K459" i="13" s="1"/>
  <c r="F460" i="13"/>
  <c r="F461" i="13"/>
  <c r="I461" i="13" s="1"/>
  <c r="F462" i="13"/>
  <c r="I462" i="13" s="1"/>
  <c r="L444" i="13"/>
  <c r="L445" i="13"/>
  <c r="L446" i="13"/>
  <c r="L447" i="13"/>
  <c r="L448" i="13"/>
  <c r="L449" i="13"/>
  <c r="L450" i="13"/>
  <c r="L451" i="13"/>
  <c r="L452" i="13"/>
  <c r="L453" i="13"/>
  <c r="L454" i="13"/>
  <c r="L455" i="13"/>
  <c r="L456" i="13"/>
  <c r="L457" i="13"/>
  <c r="L458" i="13"/>
  <c r="L459" i="13"/>
  <c r="L460" i="13"/>
  <c r="L461" i="13"/>
  <c r="L462" i="13"/>
  <c r="M444" i="13"/>
  <c r="P444" i="13" s="1"/>
  <c r="M445" i="13"/>
  <c r="R445" i="13" s="1"/>
  <c r="M446" i="13"/>
  <c r="R446" i="13" s="1"/>
  <c r="M447" i="13"/>
  <c r="M448" i="13"/>
  <c r="P448" i="13" s="1"/>
  <c r="M449" i="13"/>
  <c r="R449" i="13" s="1"/>
  <c r="M450" i="13"/>
  <c r="R450" i="13" s="1"/>
  <c r="M451" i="13"/>
  <c r="M452" i="13"/>
  <c r="P452" i="13" s="1"/>
  <c r="M453" i="13"/>
  <c r="R453" i="13" s="1"/>
  <c r="M454" i="13"/>
  <c r="R454" i="13" s="1"/>
  <c r="M455" i="13"/>
  <c r="M456" i="13"/>
  <c r="P456" i="13" s="1"/>
  <c r="M457" i="13"/>
  <c r="R457" i="13" s="1"/>
  <c r="M458" i="13"/>
  <c r="R458" i="13" s="1"/>
  <c r="M459" i="13"/>
  <c r="M460" i="13"/>
  <c r="P460" i="13" s="1"/>
  <c r="M461" i="13"/>
  <c r="P461" i="13" s="1"/>
  <c r="M462" i="13"/>
  <c r="R462" i="13" s="1"/>
  <c r="V444" i="13"/>
  <c r="V445" i="13"/>
  <c r="V446" i="13"/>
  <c r="V447" i="13"/>
  <c r="V448" i="13"/>
  <c r="V449" i="13"/>
  <c r="V450" i="13"/>
  <c r="V451" i="13"/>
  <c r="V452" i="13"/>
  <c r="V453" i="13"/>
  <c r="V454" i="13"/>
  <c r="V455" i="13"/>
  <c r="V456" i="13"/>
  <c r="V457" i="13"/>
  <c r="V458" i="13"/>
  <c r="V459" i="13"/>
  <c r="V460" i="13"/>
  <c r="V461" i="13"/>
  <c r="V462" i="13"/>
  <c r="W444" i="13"/>
  <c r="W445" i="13"/>
  <c r="W446" i="13"/>
  <c r="W447" i="13"/>
  <c r="W448" i="13"/>
  <c r="W449" i="13"/>
  <c r="W450" i="13"/>
  <c r="W451" i="13"/>
  <c r="W452" i="13"/>
  <c r="W453" i="13"/>
  <c r="W454" i="13"/>
  <c r="W455" i="13"/>
  <c r="W456" i="13"/>
  <c r="W457" i="13"/>
  <c r="W458" i="13"/>
  <c r="W459" i="13"/>
  <c r="W460" i="13"/>
  <c r="W461" i="13"/>
  <c r="W462" i="13"/>
  <c r="AJ444" i="13"/>
  <c r="AJ445" i="13"/>
  <c r="AJ446" i="13"/>
  <c r="AJ447" i="13"/>
  <c r="AJ448" i="13"/>
  <c r="AJ449" i="13"/>
  <c r="AJ450" i="13"/>
  <c r="AJ451" i="13"/>
  <c r="AJ452" i="13"/>
  <c r="AJ453" i="13"/>
  <c r="AJ454" i="13"/>
  <c r="AJ455" i="13"/>
  <c r="AJ456" i="13"/>
  <c r="AJ457" i="13"/>
  <c r="AJ458" i="13"/>
  <c r="AJ459" i="13"/>
  <c r="AJ460" i="13"/>
  <c r="AJ461" i="13"/>
  <c r="AJ462" i="13"/>
  <c r="AO444" i="13"/>
  <c r="AO445" i="13"/>
  <c r="AO446" i="13"/>
  <c r="AO447" i="13"/>
  <c r="AO448" i="13"/>
  <c r="AO449" i="13"/>
  <c r="AO450" i="13"/>
  <c r="AO451" i="13"/>
  <c r="AO452" i="13"/>
  <c r="AO453" i="13"/>
  <c r="AO454" i="13"/>
  <c r="AO455" i="13"/>
  <c r="AO456" i="13"/>
  <c r="AO457" i="13"/>
  <c r="AO458" i="13"/>
  <c r="AO459" i="13"/>
  <c r="AO460" i="13"/>
  <c r="AO461" i="13"/>
  <c r="AO462" i="13"/>
  <c r="S453" i="13" l="1"/>
  <c r="O460" i="13"/>
  <c r="S460" i="13"/>
  <c r="AH456" i="13" a="1"/>
  <c r="AH456" i="13" s="1"/>
  <c r="S456" i="13"/>
  <c r="O452" i="13"/>
  <c r="S452" i="13"/>
  <c r="AH448" i="13" a="1"/>
  <c r="AH448" i="13" s="1"/>
  <c r="S448" i="13"/>
  <c r="O444" i="13"/>
  <c r="S444" i="13"/>
  <c r="O459" i="13"/>
  <c r="S459" i="13"/>
  <c r="O455" i="13"/>
  <c r="S455" i="13"/>
  <c r="O451" i="13"/>
  <c r="S451" i="13"/>
  <c r="O447" i="13"/>
  <c r="S447" i="13"/>
  <c r="AH462" i="13" a="1"/>
  <c r="AH462" i="13" s="1"/>
  <c r="S462" i="13"/>
  <c r="AH458" i="13" a="1"/>
  <c r="AH458" i="13" s="1"/>
  <c r="S458" i="13"/>
  <c r="AH454" i="13" a="1"/>
  <c r="AH454" i="13" s="1"/>
  <c r="S454" i="13"/>
  <c r="AH450" i="13" a="1"/>
  <c r="AH450" i="13" s="1"/>
  <c r="S450" i="13"/>
  <c r="AH446" i="13" a="1"/>
  <c r="AH446" i="13" s="1"/>
  <c r="S446" i="13"/>
  <c r="N461" i="13"/>
  <c r="Q461" i="13" s="1"/>
  <c r="S461" i="13"/>
  <c r="O457" i="13"/>
  <c r="S457" i="13"/>
  <c r="N449" i="13"/>
  <c r="AM449" i="13" s="1"/>
  <c r="S449" i="13"/>
  <c r="N445" i="13"/>
  <c r="AM445" i="13" s="1"/>
  <c r="S445" i="13"/>
  <c r="Z462" i="13"/>
  <c r="Z458" i="13"/>
  <c r="Z454" i="13"/>
  <c r="Z450" i="13"/>
  <c r="Z446" i="13"/>
  <c r="Z461" i="13"/>
  <c r="Z457" i="13"/>
  <c r="Z453" i="13"/>
  <c r="Z449" i="13"/>
  <c r="Z445" i="13"/>
  <c r="Z460" i="13"/>
  <c r="Z456" i="13"/>
  <c r="Z452" i="13"/>
  <c r="Z448" i="13"/>
  <c r="Z444" i="13"/>
  <c r="Z459" i="13"/>
  <c r="Z455" i="13"/>
  <c r="Z451" i="13"/>
  <c r="Z447" i="13"/>
  <c r="AF463" i="13"/>
  <c r="AB463" i="13"/>
  <c r="AK467" i="13"/>
  <c r="AQ467" i="13" s="1"/>
  <c r="AB467" i="13"/>
  <c r="AE464" i="13"/>
  <c r="AB464" i="13"/>
  <c r="AK465" i="13"/>
  <c r="AQ465" i="13" s="1"/>
  <c r="AB465" i="13"/>
  <c r="AF469" i="13"/>
  <c r="AB469" i="13"/>
  <c r="AF468" i="13"/>
  <c r="AB468" i="13"/>
  <c r="G446" i="13"/>
  <c r="J446" i="13" s="1"/>
  <c r="AD469" i="13"/>
  <c r="AK468" i="13"/>
  <c r="AE468" i="13"/>
  <c r="G461" i="13"/>
  <c r="J461" i="13" s="1"/>
  <c r="AF465" i="13"/>
  <c r="AE465" i="13"/>
  <c r="AI464" i="13"/>
  <c r="AF464" i="13"/>
  <c r="AI465" i="13"/>
  <c r="H450" i="13"/>
  <c r="AG454" i="13" a="1"/>
  <c r="AG454" i="13" s="1"/>
  <c r="AK463" i="13"/>
  <c r="AQ463" i="13" s="1"/>
  <c r="AE463" i="13"/>
  <c r="AI463" i="13"/>
  <c r="N460" i="13"/>
  <c r="Q460" i="13" s="1"/>
  <c r="AK464" i="13"/>
  <c r="AQ464" i="13" s="1"/>
  <c r="AE467" i="13"/>
  <c r="AI469" i="13"/>
  <c r="AK469" i="13"/>
  <c r="AG450" i="13" a="1"/>
  <c r="AG450" i="13" s="1"/>
  <c r="H446" i="13"/>
  <c r="AI467" i="13"/>
  <c r="AG458" i="13" a="1"/>
  <c r="AG458" i="13" s="1"/>
  <c r="AE469" i="13"/>
  <c r="AF467" i="13"/>
  <c r="I447" i="13"/>
  <c r="K455" i="13"/>
  <c r="AG462" i="13" a="1"/>
  <c r="AG462" i="13" s="1"/>
  <c r="H462" i="13"/>
  <c r="G454" i="13"/>
  <c r="J454" i="13" s="1"/>
  <c r="N453" i="13"/>
  <c r="Q453" i="13" s="1"/>
  <c r="AD453" i="13" s="1"/>
  <c r="AG461" i="13" a="1"/>
  <c r="AG461" i="13" s="1"/>
  <c r="I454" i="13"/>
  <c r="AF466" i="13"/>
  <c r="AE466" i="13"/>
  <c r="AK466" i="13"/>
  <c r="P453" i="13"/>
  <c r="N452" i="13"/>
  <c r="AM452" i="13" s="1"/>
  <c r="AH452" i="13" a="1"/>
  <c r="AH452" i="13" s="1"/>
  <c r="O456" i="13"/>
  <c r="P449" i="13"/>
  <c r="N456" i="13"/>
  <c r="N448" i="13"/>
  <c r="Q448" i="13" s="1"/>
  <c r="P445" i="13"/>
  <c r="O448" i="13"/>
  <c r="N455" i="13"/>
  <c r="AM455" i="13" s="1"/>
  <c r="N444" i="13"/>
  <c r="AM444" i="13" s="1"/>
  <c r="AH460" i="13" a="1"/>
  <c r="AH460" i="13" s="1"/>
  <c r="AH444" i="13" a="1"/>
  <c r="AH444" i="13" s="1"/>
  <c r="O453" i="13"/>
  <c r="P457" i="13"/>
  <c r="AH461" i="13" a="1"/>
  <c r="AH461" i="13" s="1"/>
  <c r="O461" i="13"/>
  <c r="P450" i="13"/>
  <c r="AH457" i="13" a="1"/>
  <c r="AH457" i="13" s="1"/>
  <c r="AH445" i="13" a="1"/>
  <c r="AH445" i="13" s="1"/>
  <c r="P458" i="13"/>
  <c r="O445" i="13"/>
  <c r="M41" i="16"/>
  <c r="T449" i="13"/>
  <c r="T445" i="13"/>
  <c r="R461" i="13"/>
  <c r="K450" i="13"/>
  <c r="AP450" i="13" s="1"/>
  <c r="AG453" i="13" a="1"/>
  <c r="AG453" i="13" s="1"/>
  <c r="K446" i="13"/>
  <c r="AP446" i="13" s="1"/>
  <c r="H449" i="13"/>
  <c r="G457" i="13"/>
  <c r="G449" i="13"/>
  <c r="J449" i="13" s="1"/>
  <c r="AG445" i="13" a="1"/>
  <c r="AG445" i="13" s="1"/>
  <c r="T454" i="13"/>
  <c r="K458" i="13"/>
  <c r="AP458" i="13" s="1"/>
  <c r="H457" i="13"/>
  <c r="T446" i="13"/>
  <c r="H453" i="13"/>
  <c r="H445" i="13"/>
  <c r="I445" i="13"/>
  <c r="AH451" i="13" a="1"/>
  <c r="AH451" i="13" s="1"/>
  <c r="AH447" i="13" a="1"/>
  <c r="AH447" i="13" s="1"/>
  <c r="R448" i="13"/>
  <c r="N459" i="13"/>
  <c r="K445" i="13"/>
  <c r="AP445" i="13" s="1"/>
  <c r="G452" i="13"/>
  <c r="J452" i="13" s="1"/>
  <c r="AL453" i="13"/>
  <c r="AH459" i="13" a="1"/>
  <c r="AH459" i="13" s="1"/>
  <c r="AH455" i="13" a="1"/>
  <c r="AH455" i="13" s="1"/>
  <c r="R456" i="13"/>
  <c r="N451" i="13"/>
  <c r="K453" i="13"/>
  <c r="AP453" i="13" s="1"/>
  <c r="T462" i="13"/>
  <c r="T457" i="13"/>
  <c r="K462" i="13"/>
  <c r="AP462" i="13" s="1"/>
  <c r="AL460" i="13"/>
  <c r="J460" i="13"/>
  <c r="J448" i="13"/>
  <c r="AL448" i="13"/>
  <c r="I449" i="13"/>
  <c r="H456" i="13"/>
  <c r="H444" i="13"/>
  <c r="G456" i="13"/>
  <c r="AL456" i="13" s="1"/>
  <c r="T453" i="13"/>
  <c r="K449" i="13"/>
  <c r="AP449" i="13" s="1"/>
  <c r="H448" i="13"/>
  <c r="G444" i="13"/>
  <c r="AG460" i="13" a="1"/>
  <c r="AG460" i="13" s="1"/>
  <c r="AG452" i="13" a="1"/>
  <c r="AG452" i="13" s="1"/>
  <c r="AG448" i="13" a="1"/>
  <c r="AG448" i="13" s="1"/>
  <c r="H460" i="13"/>
  <c r="J462" i="13"/>
  <c r="AL462" i="13"/>
  <c r="K461" i="13"/>
  <c r="I459" i="13"/>
  <c r="I451" i="13"/>
  <c r="G458" i="13"/>
  <c r="AP454" i="13"/>
  <c r="AL450" i="13"/>
  <c r="AH453" i="13" a="1"/>
  <c r="AH453" i="13" s="1"/>
  <c r="AH449" i="13" a="1"/>
  <c r="AH449" i="13" s="1"/>
  <c r="T461" i="13"/>
  <c r="R460" i="13"/>
  <c r="R452" i="13"/>
  <c r="R444" i="13"/>
  <c r="N457" i="13"/>
  <c r="N447" i="13"/>
  <c r="K457" i="13"/>
  <c r="AP457" i="13" s="1"/>
  <c r="T458" i="13"/>
  <c r="T450" i="13"/>
  <c r="P462" i="13"/>
  <c r="P454" i="13"/>
  <c r="P446" i="13"/>
  <c r="O449" i="13"/>
  <c r="I452" i="13"/>
  <c r="T452" i="13"/>
  <c r="K452" i="13"/>
  <c r="I444" i="13"/>
  <c r="T444" i="13"/>
  <c r="K444" i="13"/>
  <c r="H459" i="13"/>
  <c r="G459" i="13"/>
  <c r="H451" i="13"/>
  <c r="G451" i="13"/>
  <c r="H447" i="13"/>
  <c r="G447" i="13"/>
  <c r="I456" i="13"/>
  <c r="T456" i="13"/>
  <c r="K456" i="13"/>
  <c r="I448" i="13"/>
  <c r="T448" i="13"/>
  <c r="K448" i="13"/>
  <c r="H455" i="13"/>
  <c r="G455" i="13"/>
  <c r="AL445" i="13"/>
  <c r="I460" i="13"/>
  <c r="T460" i="13"/>
  <c r="K460" i="13"/>
  <c r="P459" i="13"/>
  <c r="T459" i="13"/>
  <c r="R459" i="13"/>
  <c r="AP459" i="13" s="1"/>
  <c r="P455" i="13"/>
  <c r="T455" i="13"/>
  <c r="R455" i="13"/>
  <c r="P451" i="13"/>
  <c r="T451" i="13"/>
  <c r="R451" i="13"/>
  <c r="AP451" i="13" s="1"/>
  <c r="P447" i="13"/>
  <c r="T447" i="13"/>
  <c r="R447" i="13"/>
  <c r="AP447" i="13" s="1"/>
  <c r="O462" i="13"/>
  <c r="N462" i="13"/>
  <c r="O458" i="13"/>
  <c r="N458" i="13"/>
  <c r="O454" i="13"/>
  <c r="N454" i="13"/>
  <c r="O450" i="13"/>
  <c r="N450" i="13"/>
  <c r="O446" i="13"/>
  <c r="N446" i="13"/>
  <c r="Q449" i="13" l="1"/>
  <c r="AD449" i="13" s="1"/>
  <c r="Q445" i="13"/>
  <c r="AD445" i="13" s="1"/>
  <c r="AM461" i="13"/>
  <c r="AQ469" i="13"/>
  <c r="AL446" i="13"/>
  <c r="AA453" i="13"/>
  <c r="AL449" i="13"/>
  <c r="AL461" i="13"/>
  <c r="AD461" i="13"/>
  <c r="Q452" i="13"/>
  <c r="AD452" i="13" s="1"/>
  <c r="AD460" i="13"/>
  <c r="AM453" i="13"/>
  <c r="AM460" i="13"/>
  <c r="AL454" i="13"/>
  <c r="AP455" i="13"/>
  <c r="Q444" i="13"/>
  <c r="AM448" i="13"/>
  <c r="AA457" i="13"/>
  <c r="Q456" i="13"/>
  <c r="AM456" i="13"/>
  <c r="Q455" i="13"/>
  <c r="AP461" i="13"/>
  <c r="AA449" i="13"/>
  <c r="AP448" i="13"/>
  <c r="AA445" i="13"/>
  <c r="AA446" i="13"/>
  <c r="AA456" i="13"/>
  <c r="AA454" i="13"/>
  <c r="AA444" i="13"/>
  <c r="J457" i="13"/>
  <c r="AL457" i="13"/>
  <c r="AA448" i="13"/>
  <c r="AA452" i="13"/>
  <c r="AA450" i="13"/>
  <c r="AM451" i="13"/>
  <c r="Q451" i="13"/>
  <c r="AA462" i="13"/>
  <c r="AP460" i="13"/>
  <c r="AP456" i="13"/>
  <c r="AL452" i="13"/>
  <c r="Q459" i="13"/>
  <c r="AM459" i="13"/>
  <c r="J456" i="13"/>
  <c r="AA460" i="13"/>
  <c r="J444" i="13"/>
  <c r="AL444" i="13"/>
  <c r="AD448" i="13"/>
  <c r="J458" i="13"/>
  <c r="AL458" i="13"/>
  <c r="AP452" i="13"/>
  <c r="AP444" i="13"/>
  <c r="AA461" i="13"/>
  <c r="AB461" i="13" s="1"/>
  <c r="Q457" i="13"/>
  <c r="AM457" i="13"/>
  <c r="AA458" i="13"/>
  <c r="AM447" i="13"/>
  <c r="Q447" i="13"/>
  <c r="AL455" i="13"/>
  <c r="J455" i="13"/>
  <c r="Q446" i="13"/>
  <c r="AD446" i="13" s="1"/>
  <c r="AM446" i="13"/>
  <c r="Q462" i="13"/>
  <c r="AD462" i="13" s="1"/>
  <c r="AM462" i="13"/>
  <c r="AA459" i="13"/>
  <c r="AB459" i="13" s="1"/>
  <c r="Q458" i="13"/>
  <c r="AM458" i="13"/>
  <c r="AA451" i="13"/>
  <c r="AB451" i="13" s="1"/>
  <c r="AL459" i="13"/>
  <c r="J459" i="13"/>
  <c r="Q450" i="13"/>
  <c r="AD450" i="13" s="1"/>
  <c r="AM450" i="13"/>
  <c r="AL447" i="13"/>
  <c r="J447" i="13"/>
  <c r="Q454" i="13"/>
  <c r="AD454" i="13" s="1"/>
  <c r="AM454" i="13"/>
  <c r="AA455" i="13"/>
  <c r="AB455" i="13" s="1"/>
  <c r="AA447" i="13"/>
  <c r="AB447" i="13" s="1"/>
  <c r="AL451" i="13"/>
  <c r="J451" i="13"/>
  <c r="AK450" i="13" l="1"/>
  <c r="AQ450" i="13" s="1"/>
  <c r="AB450" i="13"/>
  <c r="AF449" i="13"/>
  <c r="AB449" i="13"/>
  <c r="AF446" i="13"/>
  <c r="AB446" i="13"/>
  <c r="AF462" i="13"/>
  <c r="AB462" i="13"/>
  <c r="AE452" i="13"/>
  <c r="AB452" i="13"/>
  <c r="AI444" i="13"/>
  <c r="AB444" i="13"/>
  <c r="AE457" i="13"/>
  <c r="AB457" i="13"/>
  <c r="AF453" i="13"/>
  <c r="AB453" i="13"/>
  <c r="AF460" i="13"/>
  <c r="AB460" i="13"/>
  <c r="AK448" i="13"/>
  <c r="AQ448" i="13" s="1"/>
  <c r="AB448" i="13"/>
  <c r="AE454" i="13"/>
  <c r="AB454" i="13"/>
  <c r="AI445" i="13"/>
  <c r="AB445" i="13"/>
  <c r="AI458" i="13"/>
  <c r="AB458" i="13"/>
  <c r="AE456" i="13"/>
  <c r="AB456" i="13"/>
  <c r="AK453" i="13"/>
  <c r="AQ453" i="13" s="1"/>
  <c r="AI453" i="13"/>
  <c r="AE453" i="13"/>
  <c r="AK446" i="13"/>
  <c r="AQ446" i="13" s="1"/>
  <c r="AK456" i="13"/>
  <c r="AF456" i="13"/>
  <c r="AK445" i="13"/>
  <c r="AQ445" i="13" s="1"/>
  <c r="AE449" i="13"/>
  <c r="AD444" i="13"/>
  <c r="AF457" i="13"/>
  <c r="AD456" i="13"/>
  <c r="AI457" i="13"/>
  <c r="AK457" i="13"/>
  <c r="AF448" i="13"/>
  <c r="AD455" i="13"/>
  <c r="AI456" i="13"/>
  <c r="AK449" i="13"/>
  <c r="AQ449" i="13" s="1"/>
  <c r="AD451" i="13"/>
  <c r="AE448" i="13"/>
  <c r="AF445" i="13"/>
  <c r="AK452" i="13"/>
  <c r="AQ452" i="13" s="1"/>
  <c r="AF454" i="13"/>
  <c r="AE445" i="13"/>
  <c r="AI454" i="13"/>
  <c r="AE446" i="13"/>
  <c r="AI446" i="13"/>
  <c r="AE450" i="13"/>
  <c r="AK444" i="13"/>
  <c r="AF452" i="13"/>
  <c r="AI448" i="13"/>
  <c r="AI452" i="13"/>
  <c r="AE444" i="13"/>
  <c r="AK454" i="13"/>
  <c r="AQ454" i="13" s="1"/>
  <c r="AF444" i="13"/>
  <c r="AK460" i="13"/>
  <c r="AQ460" i="13" s="1"/>
  <c r="AD457" i="13"/>
  <c r="AI450" i="13"/>
  <c r="AK462" i="13"/>
  <c r="AQ462" i="13" s="1"/>
  <c r="AF450" i="13"/>
  <c r="AE462" i="13"/>
  <c r="AI462" i="13"/>
  <c r="AD459" i="13"/>
  <c r="AK458" i="13"/>
  <c r="AE460" i="13"/>
  <c r="AD458" i="13"/>
  <c r="AI460" i="13"/>
  <c r="AE458" i="13"/>
  <c r="AF458" i="13"/>
  <c r="AD447" i="13"/>
  <c r="AE461" i="13"/>
  <c r="AK461" i="13"/>
  <c r="AQ461" i="13" s="1"/>
  <c r="AF461" i="13"/>
  <c r="AI461" i="13"/>
  <c r="AF447" i="13"/>
  <c r="AI447" i="13"/>
  <c r="AK447" i="13"/>
  <c r="AE447" i="13"/>
  <c r="AF451" i="13"/>
  <c r="AK451" i="13"/>
  <c r="AE451" i="13"/>
  <c r="AI451" i="13"/>
  <c r="AF455" i="13"/>
  <c r="AE455" i="13"/>
  <c r="AI455" i="13"/>
  <c r="AK455" i="13"/>
  <c r="AF459" i="13"/>
  <c r="AE459" i="13"/>
  <c r="AI459" i="13"/>
  <c r="AK459" i="13"/>
  <c r="AI449" i="13" l="1"/>
  <c r="AQ457" i="13"/>
  <c r="AQ444" i="13"/>
  <c r="AQ456" i="13"/>
  <c r="AQ455" i="13"/>
  <c r="AQ451" i="13"/>
  <c r="AQ459" i="13"/>
  <c r="AQ458" i="13"/>
  <c r="AQ447" i="13"/>
  <c r="J6" i="20" a="1"/>
  <c r="J6" i="20" s="1"/>
  <c r="N40" i="16" l="1"/>
  <c r="D40" i="16"/>
  <c r="E40" i="16" a="1"/>
  <c r="E40" i="16" s="1"/>
  <c r="G40" i="16"/>
  <c r="H40" i="16" s="1"/>
  <c r="I40" i="16"/>
  <c r="S40" i="16"/>
  <c r="U40" i="16" a="1"/>
  <c r="U40" i="16" s="1"/>
  <c r="V40" i="16"/>
  <c r="M40" i="16" l="1"/>
  <c r="N39" i="16" l="1"/>
  <c r="M39" i="16" s="1"/>
  <c r="D39" i="16"/>
  <c r="E39" i="16" a="1"/>
  <c r="E39" i="16" s="1"/>
  <c r="G39" i="16"/>
  <c r="H39" i="16" s="1"/>
  <c r="I39" i="16"/>
  <c r="S39" i="16"/>
  <c r="U39" i="16" a="1"/>
  <c r="U39" i="16" s="1"/>
  <c r="V39" i="16"/>
  <c r="D38" i="16"/>
  <c r="E38" i="16" a="1"/>
  <c r="E38" i="16" s="1"/>
  <c r="G38" i="16"/>
  <c r="H38" i="16" s="1"/>
  <c r="I38" i="16"/>
  <c r="S38" i="16"/>
  <c r="U38" i="16" a="1"/>
  <c r="U38" i="16" s="1"/>
  <c r="V38" i="16"/>
  <c r="N38" i="16" l="1"/>
  <c r="M38" i="16" l="1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U1" i="6"/>
  <c r="L136" i="20" s="1"/>
  <c r="E132" i="20"/>
  <c r="J7" i="20"/>
  <c r="D37" i="16" l="1"/>
  <c r="E37" i="16" a="1"/>
  <c r="E37" i="16" s="1"/>
  <c r="G37" i="16"/>
  <c r="H37" i="16" s="1"/>
  <c r="S37" i="16"/>
  <c r="U37" i="16" a="1"/>
  <c r="U37" i="16" s="1"/>
  <c r="V37" i="16"/>
  <c r="D36" i="16"/>
  <c r="E36" i="16" a="1"/>
  <c r="E36" i="16" s="1"/>
  <c r="G36" i="16"/>
  <c r="H36" i="16" s="1"/>
  <c r="N36" i="16"/>
  <c r="M36" i="16" s="1"/>
  <c r="S36" i="16"/>
  <c r="U36" i="16" a="1"/>
  <c r="U36" i="16" s="1"/>
  <c r="V36" i="16"/>
  <c r="N37" i="16" l="1"/>
  <c r="M37" i="16" s="1"/>
  <c r="D35" i="16" l="1"/>
  <c r="E35" i="16" a="1"/>
  <c r="E35" i="16" s="1"/>
  <c r="G35" i="16"/>
  <c r="H35" i="16" s="1"/>
  <c r="S35" i="16"/>
  <c r="U35" i="16" a="1"/>
  <c r="U35" i="16" s="1"/>
  <c r="V35" i="16"/>
  <c r="N35" i="16" l="1"/>
  <c r="M35" i="16" s="1"/>
  <c r="D34" i="16" l="1"/>
  <c r="E34" i="16" a="1"/>
  <c r="E34" i="16" s="1"/>
  <c r="G34" i="16"/>
  <c r="H34" i="16" s="1"/>
  <c r="S34" i="16"/>
  <c r="U34" i="16" a="1"/>
  <c r="U34" i="16" s="1"/>
  <c r="V34" i="16"/>
  <c r="N34" i="16" l="1"/>
  <c r="M34" i="16" s="1"/>
  <c r="N33" i="16" l="1"/>
  <c r="M33" i="16" s="1"/>
  <c r="D33" i="16"/>
  <c r="E33" i="16" a="1"/>
  <c r="E33" i="16" s="1"/>
  <c r="G33" i="16"/>
  <c r="H33" i="16" s="1"/>
  <c r="S33" i="16"/>
  <c r="U33" i="16" a="1"/>
  <c r="U33" i="16" s="1"/>
  <c r="V33" i="16"/>
  <c r="N32" i="16" l="1"/>
  <c r="M32" i="16" s="1"/>
  <c r="D32" i="16"/>
  <c r="E32" i="16" a="1"/>
  <c r="E32" i="16" s="1"/>
  <c r="G32" i="16"/>
  <c r="H32" i="16" s="1"/>
  <c r="S32" i="16"/>
  <c r="U32" i="16" a="1"/>
  <c r="U32" i="16" s="1"/>
  <c r="V32" i="16"/>
  <c r="D31" i="16"/>
  <c r="E31" i="16" a="1"/>
  <c r="E31" i="16" s="1"/>
  <c r="G31" i="16"/>
  <c r="H31" i="16" s="1"/>
  <c r="S31" i="16"/>
  <c r="U31" i="16" a="1"/>
  <c r="U31" i="16" s="1"/>
  <c r="V31" i="16"/>
  <c r="E439" i="13"/>
  <c r="H439" i="13" s="1"/>
  <c r="E440" i="13"/>
  <c r="H440" i="13" s="1"/>
  <c r="E441" i="13"/>
  <c r="G441" i="13" s="1"/>
  <c r="E442" i="13"/>
  <c r="G442" i="13" s="1"/>
  <c r="F439" i="13"/>
  <c r="K439" i="13" s="1"/>
  <c r="F440" i="13"/>
  <c r="F441" i="13"/>
  <c r="K441" i="13" s="1"/>
  <c r="F442" i="13"/>
  <c r="K442" i="13" s="1"/>
  <c r="F443" i="13"/>
  <c r="L439" i="13"/>
  <c r="L440" i="13"/>
  <c r="L441" i="13"/>
  <c r="L442" i="13"/>
  <c r="L443" i="13"/>
  <c r="M439" i="13"/>
  <c r="P439" i="13" s="1"/>
  <c r="M440" i="13"/>
  <c r="P440" i="13" s="1"/>
  <c r="M441" i="13"/>
  <c r="R441" i="13" s="1"/>
  <c r="M442" i="13"/>
  <c r="R442" i="13" s="1"/>
  <c r="M443" i="13"/>
  <c r="R443" i="13" s="1"/>
  <c r="V439" i="13"/>
  <c r="V440" i="13"/>
  <c r="V441" i="13"/>
  <c r="V442" i="13"/>
  <c r="W439" i="13"/>
  <c r="W440" i="13"/>
  <c r="W441" i="13"/>
  <c r="W442" i="13"/>
  <c r="W443" i="13"/>
  <c r="AJ439" i="13"/>
  <c r="AJ440" i="13"/>
  <c r="AJ441" i="13"/>
  <c r="AJ442" i="13"/>
  <c r="AJ443" i="13"/>
  <c r="AO439" i="13"/>
  <c r="AO440" i="13"/>
  <c r="AO441" i="13"/>
  <c r="AO442" i="13"/>
  <c r="AO443" i="13"/>
  <c r="W2" i="13"/>
  <c r="W4" i="13"/>
  <c r="W5" i="13"/>
  <c r="W6" i="13"/>
  <c r="W8" i="13"/>
  <c r="W9" i="13"/>
  <c r="W10" i="13"/>
  <c r="W11" i="13"/>
  <c r="W12" i="13"/>
  <c r="W13" i="13"/>
  <c r="W14" i="13"/>
  <c r="W15" i="13"/>
  <c r="W16" i="13"/>
  <c r="W17" i="13"/>
  <c r="W19" i="13"/>
  <c r="W20" i="13"/>
  <c r="W21" i="13"/>
  <c r="W22" i="13"/>
  <c r="W23" i="13"/>
  <c r="W24" i="13"/>
  <c r="W25" i="13"/>
  <c r="W26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4" i="13"/>
  <c r="W55" i="13"/>
  <c r="W56" i="13"/>
  <c r="W57" i="13"/>
  <c r="W58" i="13"/>
  <c r="W59" i="13"/>
  <c r="W60" i="13"/>
  <c r="W61" i="13"/>
  <c r="W62" i="13"/>
  <c r="W64" i="13"/>
  <c r="W65" i="13"/>
  <c r="W66" i="13"/>
  <c r="W67" i="13"/>
  <c r="W68" i="13"/>
  <c r="W69" i="13"/>
  <c r="W70" i="13"/>
  <c r="W71" i="13"/>
  <c r="W72" i="13"/>
  <c r="W74" i="13"/>
  <c r="W75" i="13"/>
  <c r="W76" i="13"/>
  <c r="W77" i="13"/>
  <c r="W79" i="13"/>
  <c r="W80" i="13"/>
  <c r="W81" i="13"/>
  <c r="W82" i="13"/>
  <c r="W84" i="13"/>
  <c r="W85" i="13"/>
  <c r="W86" i="13"/>
  <c r="W87" i="13"/>
  <c r="W88" i="13"/>
  <c r="W89" i="13"/>
  <c r="W91" i="13"/>
  <c r="W92" i="13"/>
  <c r="W93" i="13"/>
  <c r="W94" i="13"/>
  <c r="W95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1" i="13"/>
  <c r="W122" i="13"/>
  <c r="W123" i="13"/>
  <c r="W124" i="13"/>
  <c r="W125" i="13"/>
  <c r="W126" i="13"/>
  <c r="W128" i="13"/>
  <c r="W129" i="13"/>
  <c r="W130" i="13"/>
  <c r="W131" i="13"/>
  <c r="W133" i="13"/>
  <c r="W134" i="13"/>
  <c r="W135" i="13"/>
  <c r="W137" i="13"/>
  <c r="W138" i="13"/>
  <c r="W139" i="13"/>
  <c r="W140" i="13"/>
  <c r="W141" i="13"/>
  <c r="W142" i="13"/>
  <c r="W143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W178" i="13"/>
  <c r="W179" i="13"/>
  <c r="W180" i="13"/>
  <c r="W181" i="13"/>
  <c r="W182" i="13"/>
  <c r="W184" i="13"/>
  <c r="W185" i="13"/>
  <c r="W186" i="13"/>
  <c r="W187" i="13"/>
  <c r="W188" i="13"/>
  <c r="W189" i="13"/>
  <c r="W190" i="13"/>
  <c r="W192" i="13"/>
  <c r="W193" i="13"/>
  <c r="W195" i="13"/>
  <c r="W197" i="13"/>
  <c r="W198" i="13"/>
  <c r="W199" i="13"/>
  <c r="W200" i="13"/>
  <c r="W201" i="13"/>
  <c r="W202" i="13"/>
  <c r="W203" i="13"/>
  <c r="W204" i="13"/>
  <c r="W205" i="13"/>
  <c r="W206" i="13"/>
  <c r="W207" i="13"/>
  <c r="W208" i="13"/>
  <c r="W209" i="13"/>
  <c r="W210" i="13"/>
  <c r="W211" i="13"/>
  <c r="W213" i="13"/>
  <c r="W214" i="13"/>
  <c r="W217" i="13"/>
  <c r="W218" i="13"/>
  <c r="W219" i="13"/>
  <c r="W220" i="13"/>
  <c r="W221" i="13"/>
  <c r="W222" i="13"/>
  <c r="W223" i="13"/>
  <c r="W224" i="13"/>
  <c r="W226" i="13"/>
  <c r="W227" i="13"/>
  <c r="W228" i="13"/>
  <c r="W229" i="13"/>
  <c r="W230" i="13"/>
  <c r="W232" i="13"/>
  <c r="W233" i="13"/>
  <c r="W234" i="13"/>
  <c r="W235" i="13"/>
  <c r="W236" i="13"/>
  <c r="W237" i="13"/>
  <c r="W238" i="13"/>
  <c r="W239" i="13"/>
  <c r="W240" i="13"/>
  <c r="W241" i="13"/>
  <c r="W242" i="13"/>
  <c r="W243" i="13"/>
  <c r="W244" i="13"/>
  <c r="W245" i="13"/>
  <c r="W247" i="13"/>
  <c r="W248" i="13"/>
  <c r="W249" i="13"/>
  <c r="W250" i="13"/>
  <c r="W251" i="13"/>
  <c r="W253" i="13"/>
  <c r="W254" i="13"/>
  <c r="W255" i="13"/>
  <c r="W256" i="13"/>
  <c r="W257" i="13"/>
  <c r="W258" i="13"/>
  <c r="W259" i="13"/>
  <c r="W260" i="13"/>
  <c r="W261" i="13"/>
  <c r="W262" i="13"/>
  <c r="W264" i="13"/>
  <c r="W265" i="13"/>
  <c r="W266" i="13"/>
  <c r="W268" i="13"/>
  <c r="W271" i="13"/>
  <c r="W272" i="13"/>
  <c r="W273" i="13"/>
  <c r="W274" i="13"/>
  <c r="W275" i="13"/>
  <c r="W276" i="13"/>
  <c r="W277" i="13"/>
  <c r="W278" i="13"/>
  <c r="W280" i="13"/>
  <c r="W281" i="13"/>
  <c r="W282" i="13"/>
  <c r="W283" i="13"/>
  <c r="W284" i="13"/>
  <c r="W285" i="13"/>
  <c r="W286" i="13"/>
  <c r="W287" i="13"/>
  <c r="W288" i="13"/>
  <c r="W289" i="13"/>
  <c r="W290" i="13"/>
  <c r="W291" i="13"/>
  <c r="W292" i="13"/>
  <c r="W293" i="13"/>
  <c r="W294" i="13"/>
  <c r="W295" i="13"/>
  <c r="W296" i="13"/>
  <c r="W297" i="13"/>
  <c r="W298" i="13"/>
  <c r="W299" i="13"/>
  <c r="W300" i="13"/>
  <c r="W302" i="13"/>
  <c r="W303" i="13"/>
  <c r="W304" i="13"/>
  <c r="W305" i="13"/>
  <c r="W306" i="13"/>
  <c r="W307" i="13"/>
  <c r="W308" i="13"/>
  <c r="W309" i="13"/>
  <c r="W310" i="13"/>
  <c r="W311" i="13"/>
  <c r="W312" i="13"/>
  <c r="W313" i="13"/>
  <c r="W314" i="13"/>
  <c r="W315" i="13"/>
  <c r="W316" i="13"/>
  <c r="W318" i="13"/>
  <c r="W319" i="13"/>
  <c r="W320" i="13"/>
  <c r="W322" i="13"/>
  <c r="W323" i="13"/>
  <c r="W324" i="13"/>
  <c r="W325" i="13"/>
  <c r="W326" i="13"/>
  <c r="W328" i="13"/>
  <c r="W329" i="13"/>
  <c r="W330" i="13"/>
  <c r="W333" i="13"/>
  <c r="W334" i="13"/>
  <c r="W335" i="13"/>
  <c r="W336" i="13"/>
  <c r="W337" i="13"/>
  <c r="W340" i="13"/>
  <c r="W341" i="13"/>
  <c r="W344" i="13"/>
  <c r="W345" i="13"/>
  <c r="W346" i="13"/>
  <c r="W347" i="13"/>
  <c r="W348" i="13"/>
  <c r="W349" i="13"/>
  <c r="W350" i="13"/>
  <c r="W351" i="13"/>
  <c r="W352" i="13"/>
  <c r="W353" i="13"/>
  <c r="W354" i="13"/>
  <c r="W355" i="13"/>
  <c r="W356" i="13"/>
  <c r="W357" i="13"/>
  <c r="W360" i="13"/>
  <c r="W361" i="13"/>
  <c r="W362" i="13"/>
  <c r="W363" i="13"/>
  <c r="W364" i="13"/>
  <c r="W365" i="13"/>
  <c r="W367" i="13"/>
  <c r="W368" i="13"/>
  <c r="W369" i="13"/>
  <c r="W370" i="13"/>
  <c r="W371" i="13"/>
  <c r="W372" i="13"/>
  <c r="W373" i="13"/>
  <c r="W375" i="13"/>
  <c r="W376" i="13"/>
  <c r="W382" i="13"/>
  <c r="W385" i="13"/>
  <c r="W386" i="13"/>
  <c r="W387" i="13"/>
  <c r="W388" i="13"/>
  <c r="W389" i="13"/>
  <c r="W390" i="13"/>
  <c r="W391" i="13"/>
  <c r="W392" i="13"/>
  <c r="W393" i="13"/>
  <c r="W395" i="13"/>
  <c r="W396" i="13"/>
  <c r="W397" i="13"/>
  <c r="W398" i="13"/>
  <c r="W399" i="13"/>
  <c r="W400" i="13"/>
  <c r="W401" i="13"/>
  <c r="W402" i="13"/>
  <c r="W403" i="13"/>
  <c r="W404" i="13"/>
  <c r="W405" i="13"/>
  <c r="W406" i="13"/>
  <c r="W407" i="13"/>
  <c r="W408" i="13"/>
  <c r="W409" i="13"/>
  <c r="W410" i="13"/>
  <c r="W411" i="13"/>
  <c r="W412" i="13"/>
  <c r="W413" i="13"/>
  <c r="W414" i="13"/>
  <c r="W417" i="13"/>
  <c r="W418" i="13"/>
  <c r="W420" i="13"/>
  <c r="W422" i="13"/>
  <c r="W423" i="13"/>
  <c r="W424" i="13"/>
  <c r="W429" i="13"/>
  <c r="W430" i="13"/>
  <c r="W431" i="13"/>
  <c r="W432" i="13"/>
  <c r="W433" i="13"/>
  <c r="W434" i="13"/>
  <c r="W435" i="13"/>
  <c r="W436" i="13"/>
  <c r="W437" i="13"/>
  <c r="W438" i="13"/>
  <c r="V4" i="13"/>
  <c r="Z4" i="13" s="1"/>
  <c r="V5" i="13"/>
  <c r="V6" i="13"/>
  <c r="V8" i="13"/>
  <c r="Z8" i="13" s="1"/>
  <c r="V9" i="13"/>
  <c r="Z9" i="13" s="1"/>
  <c r="V11" i="13"/>
  <c r="V12" i="13"/>
  <c r="V13" i="13"/>
  <c r="V16" i="13"/>
  <c r="V17" i="13"/>
  <c r="V20" i="13"/>
  <c r="V21" i="13"/>
  <c r="Z21" i="13" s="1"/>
  <c r="V23" i="13"/>
  <c r="V24" i="13"/>
  <c r="V25" i="13"/>
  <c r="V29" i="13"/>
  <c r="V31" i="13"/>
  <c r="V33" i="13"/>
  <c r="V34" i="13"/>
  <c r="V35" i="13"/>
  <c r="Z35" i="13" s="1"/>
  <c r="V36" i="13"/>
  <c r="Z36" i="13" s="1"/>
  <c r="V37" i="13"/>
  <c r="Z37" i="13" s="1"/>
  <c r="V38" i="13"/>
  <c r="Z38" i="13" s="1"/>
  <c r="V39" i="13"/>
  <c r="Z39" i="13" s="1"/>
  <c r="V40" i="13"/>
  <c r="V42" i="13"/>
  <c r="V45" i="13"/>
  <c r="V46" i="13"/>
  <c r="V48" i="13"/>
  <c r="V50" i="13"/>
  <c r="V54" i="13"/>
  <c r="V56" i="13"/>
  <c r="Z56" i="13" s="1"/>
  <c r="V57" i="13"/>
  <c r="Z57" i="13" s="1"/>
  <c r="V58" i="13"/>
  <c r="V59" i="13"/>
  <c r="V61" i="13"/>
  <c r="V64" i="13"/>
  <c r="V67" i="13"/>
  <c r="Z67" i="13" s="1"/>
  <c r="V71" i="13"/>
  <c r="V72" i="13"/>
  <c r="V74" i="13"/>
  <c r="V79" i="13"/>
  <c r="V80" i="13"/>
  <c r="V82" i="13"/>
  <c r="V84" i="13"/>
  <c r="V85" i="13"/>
  <c r="V86" i="13"/>
  <c r="V89" i="13"/>
  <c r="V92" i="13"/>
  <c r="V95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4" i="13"/>
  <c r="V116" i="13"/>
  <c r="V117" i="13"/>
  <c r="V118" i="13"/>
  <c r="V119" i="13"/>
  <c r="V122" i="13"/>
  <c r="V124" i="13"/>
  <c r="V126" i="13"/>
  <c r="V128" i="13"/>
  <c r="V129" i="13"/>
  <c r="V130" i="13"/>
  <c r="V131" i="13"/>
  <c r="V133" i="13"/>
  <c r="V134" i="13"/>
  <c r="V135" i="13"/>
  <c r="V137" i="13"/>
  <c r="V138" i="13"/>
  <c r="V139" i="13"/>
  <c r="V140" i="13"/>
  <c r="V141" i="13"/>
  <c r="V142" i="13"/>
  <c r="V143" i="13"/>
  <c r="V146" i="13"/>
  <c r="V147" i="13"/>
  <c r="V148" i="13"/>
  <c r="V149" i="13"/>
  <c r="V150" i="13"/>
  <c r="V151" i="13"/>
  <c r="V152" i="13"/>
  <c r="V153" i="13"/>
  <c r="V154" i="13"/>
  <c r="V155" i="13"/>
  <c r="V156" i="13"/>
  <c r="V159" i="13"/>
  <c r="V161" i="13"/>
  <c r="V162" i="13"/>
  <c r="V163" i="13"/>
  <c r="V164" i="13"/>
  <c r="V165" i="13"/>
  <c r="V166" i="13"/>
  <c r="V167" i="13"/>
  <c r="V168" i="13"/>
  <c r="V169" i="13"/>
  <c r="V171" i="13"/>
  <c r="V173" i="13"/>
  <c r="V174" i="13"/>
  <c r="V175" i="13"/>
  <c r="V176" i="13"/>
  <c r="V177" i="13"/>
  <c r="V178" i="13"/>
  <c r="V179" i="13"/>
  <c r="V180" i="13"/>
  <c r="V181" i="13"/>
  <c r="V182" i="13"/>
  <c r="V184" i="13"/>
  <c r="V185" i="13"/>
  <c r="V186" i="13"/>
  <c r="V187" i="13"/>
  <c r="V188" i="13"/>
  <c r="V190" i="13"/>
  <c r="Z190" i="13" s="1"/>
  <c r="V192" i="13"/>
  <c r="Z192" i="13" s="1"/>
  <c r="V193" i="13"/>
  <c r="Z193" i="13" s="1"/>
  <c r="V195" i="13"/>
  <c r="Z195" i="13" s="1"/>
  <c r="V199" i="13"/>
  <c r="V200" i="13"/>
  <c r="V201" i="13"/>
  <c r="V202" i="13"/>
  <c r="V204" i="13"/>
  <c r="V205" i="13"/>
  <c r="V207" i="13"/>
  <c r="Z207" i="13" s="1"/>
  <c r="V208" i="13"/>
  <c r="Z208" i="13" s="1"/>
  <c r="V209" i="13"/>
  <c r="Z209" i="13" s="1"/>
  <c r="V211" i="13"/>
  <c r="V213" i="13"/>
  <c r="V214" i="13"/>
  <c r="V217" i="13"/>
  <c r="V218" i="13"/>
  <c r="V219" i="13"/>
  <c r="V220" i="13"/>
  <c r="V221" i="13"/>
  <c r="V223" i="13"/>
  <c r="V228" i="13"/>
  <c r="V229" i="13"/>
  <c r="V230" i="13"/>
  <c r="V232" i="13"/>
  <c r="V233" i="13"/>
  <c r="V234" i="13"/>
  <c r="V235" i="13"/>
  <c r="V236" i="13"/>
  <c r="V237" i="13"/>
  <c r="V238" i="13"/>
  <c r="V239" i="13"/>
  <c r="V241" i="13"/>
  <c r="V242" i="13"/>
  <c r="V243" i="13"/>
  <c r="V245" i="13"/>
  <c r="V249" i="13"/>
  <c r="V253" i="13"/>
  <c r="V255" i="13"/>
  <c r="Z255" i="13" s="1"/>
  <c r="V256" i="13"/>
  <c r="Z256" i="13" s="1"/>
  <c r="V257" i="13"/>
  <c r="Z257" i="13" s="1"/>
  <c r="V258" i="13"/>
  <c r="V259" i="13"/>
  <c r="Z259" i="13" s="1"/>
  <c r="V260" i="13"/>
  <c r="Z260" i="13" s="1"/>
  <c r="V261" i="13"/>
  <c r="Z261" i="13" s="1"/>
  <c r="V262" i="13"/>
  <c r="V264" i="13"/>
  <c r="Z264" i="13" s="1"/>
  <c r="V265" i="13"/>
  <c r="Z265" i="13" s="1"/>
  <c r="V266" i="13"/>
  <c r="Z266" i="13" s="1"/>
  <c r="V268" i="13"/>
  <c r="V271" i="13"/>
  <c r="Z271" i="13" s="1"/>
  <c r="V272" i="13"/>
  <c r="Z272" i="13" s="1"/>
  <c r="V273" i="13"/>
  <c r="Z273" i="13" s="1"/>
  <c r="V274" i="13"/>
  <c r="Z274" i="13" s="1"/>
  <c r="V275" i="13"/>
  <c r="Z275" i="13" s="1"/>
  <c r="V276" i="13"/>
  <c r="Z276" i="13" s="1"/>
  <c r="V277" i="13"/>
  <c r="Z277" i="13" s="1"/>
  <c r="V278" i="13"/>
  <c r="V280" i="13"/>
  <c r="V281" i="13"/>
  <c r="Z281" i="13" s="1"/>
  <c r="V282" i="13"/>
  <c r="Z282" i="13" s="1"/>
  <c r="V283" i="13"/>
  <c r="Z283" i="13" s="1"/>
  <c r="V284" i="13"/>
  <c r="Z284" i="13" s="1"/>
  <c r="V285" i="13"/>
  <c r="Z285" i="13" s="1"/>
  <c r="V286" i="13"/>
  <c r="Z286" i="13" s="1"/>
  <c r="V287" i="13"/>
  <c r="Z287" i="13" s="1"/>
  <c r="V288" i="13"/>
  <c r="Z288" i="13" s="1"/>
  <c r="V289" i="13"/>
  <c r="Z289" i="13" s="1"/>
  <c r="V290" i="13"/>
  <c r="Z290" i="13" s="1"/>
  <c r="V291" i="13"/>
  <c r="V293" i="13"/>
  <c r="V294" i="13"/>
  <c r="V295" i="13"/>
  <c r="V296" i="13"/>
  <c r="V297" i="13"/>
  <c r="V298" i="13"/>
  <c r="V299" i="13"/>
  <c r="V300" i="13"/>
  <c r="V302" i="13"/>
  <c r="V303" i="13"/>
  <c r="V304" i="13"/>
  <c r="V305" i="13"/>
  <c r="V306" i="13"/>
  <c r="V307" i="13"/>
  <c r="V308" i="13"/>
  <c r="V309" i="13"/>
  <c r="V310" i="13"/>
  <c r="V311" i="13"/>
  <c r="V312" i="13"/>
  <c r="V313" i="13"/>
  <c r="V314" i="13"/>
  <c r="V315" i="13"/>
  <c r="V316" i="13"/>
  <c r="V320" i="13"/>
  <c r="V322" i="13"/>
  <c r="V329" i="13"/>
  <c r="Z329" i="13" s="1"/>
  <c r="V330" i="13"/>
  <c r="Z330" i="13" s="1"/>
  <c r="V337" i="13"/>
  <c r="Z337" i="13" s="1"/>
  <c r="V341" i="13"/>
  <c r="V345" i="13"/>
  <c r="V376" i="13"/>
  <c r="Z376" i="13" s="1"/>
  <c r="V385" i="13"/>
  <c r="V387" i="13"/>
  <c r="V388" i="13"/>
  <c r="V390" i="13"/>
  <c r="V391" i="13"/>
  <c r="V392" i="13"/>
  <c r="V395" i="13"/>
  <c r="Z395" i="13" s="1"/>
  <c r="V396" i="13"/>
  <c r="V397" i="13"/>
  <c r="V398" i="13"/>
  <c r="V399" i="13"/>
  <c r="Z399" i="13" s="1"/>
  <c r="V401" i="13"/>
  <c r="V402" i="13"/>
  <c r="V403" i="13"/>
  <c r="V404" i="13"/>
  <c r="V406" i="13"/>
  <c r="V407" i="13"/>
  <c r="V408" i="13"/>
  <c r="V409" i="13"/>
  <c r="V410" i="13"/>
  <c r="V411" i="13"/>
  <c r="V412" i="13"/>
  <c r="V413" i="13"/>
  <c r="V414" i="13"/>
  <c r="V420" i="13"/>
  <c r="V422" i="13"/>
  <c r="Z422" i="13" s="1"/>
  <c r="V430" i="13"/>
  <c r="V431" i="13"/>
  <c r="V432" i="13"/>
  <c r="V433" i="13"/>
  <c r="V434" i="13"/>
  <c r="V435" i="13"/>
  <c r="V436" i="13"/>
  <c r="V437" i="13"/>
  <c r="V438" i="13"/>
  <c r="V3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73" i="13"/>
  <c r="V7" i="13"/>
  <c r="V377" i="13"/>
  <c r="V96" i="13"/>
  <c r="V90" i="13"/>
  <c r="V127" i="13"/>
  <c r="V358" i="13"/>
  <c r="V120" i="13"/>
  <c r="V28" i="13"/>
  <c r="V380" i="13"/>
  <c r="V317" i="13"/>
  <c r="W231" i="13"/>
  <c r="W83" i="13"/>
  <c r="W279" i="13"/>
  <c r="W7" i="13"/>
  <c r="W379" i="13"/>
  <c r="W327" i="13"/>
  <c r="W343" i="13"/>
  <c r="W194" i="13"/>
  <c r="W96" i="13"/>
  <c r="W216" i="13"/>
  <c r="W342" i="13"/>
  <c r="W377" i="13"/>
  <c r="W378" i="13"/>
  <c r="W415" i="13"/>
  <c r="W27" i="13"/>
  <c r="W225" i="13"/>
  <c r="W317" i="13"/>
  <c r="W321" i="13"/>
  <c r="W380" i="13"/>
  <c r="W383" i="13"/>
  <c r="V212" i="13"/>
  <c r="W212" i="13"/>
  <c r="W339" i="13"/>
  <c r="W426" i="13"/>
  <c r="W18" i="13"/>
  <c r="W425" i="13"/>
  <c r="W28" i="13"/>
  <c r="W381" i="13"/>
  <c r="W267" i="13"/>
  <c r="W419" i="13"/>
  <c r="W428" i="13"/>
  <c r="W269" i="13"/>
  <c r="W270" i="13"/>
  <c r="W427" i="13"/>
  <c r="W136" i="13"/>
  <c r="W252" i="13"/>
  <c r="W78" i="13"/>
  <c r="W338" i="13"/>
  <c r="W394" i="13"/>
  <c r="W90" i="13"/>
  <c r="W145" i="13"/>
  <c r="W120" i="13"/>
  <c r="W127" i="13"/>
  <c r="W246" i="13"/>
  <c r="W359" i="13"/>
  <c r="W301" i="13"/>
  <c r="W331" i="13"/>
  <c r="W183" i="13"/>
  <c r="W358" i="13"/>
  <c r="W421" i="13"/>
  <c r="W416" i="13"/>
  <c r="N440" i="13" l="1"/>
  <c r="S440" i="13"/>
  <c r="N443" i="13"/>
  <c r="AM443" i="13" s="1"/>
  <c r="N439" i="13"/>
  <c r="AM439" i="13" s="1"/>
  <c r="S439" i="13"/>
  <c r="N442" i="13"/>
  <c r="Q442" i="13" s="1"/>
  <c r="S442" i="13"/>
  <c r="O441" i="13"/>
  <c r="S441" i="13"/>
  <c r="Z398" i="13"/>
  <c r="Z268" i="13"/>
  <c r="Z25" i="13"/>
  <c r="Z12" i="13"/>
  <c r="Z16" i="13"/>
  <c r="Z98" i="13"/>
  <c r="Z291" i="13"/>
  <c r="Z48" i="13"/>
  <c r="Z79" i="13"/>
  <c r="Z31" i="13"/>
  <c r="Z122" i="13"/>
  <c r="Z258" i="13"/>
  <c r="Z40" i="13"/>
  <c r="Z17" i="13"/>
  <c r="Z237" i="13"/>
  <c r="Z219" i="13"/>
  <c r="Z168" i="13"/>
  <c r="Z164" i="13"/>
  <c r="Z110" i="13"/>
  <c r="Z106" i="13"/>
  <c r="Z102" i="13"/>
  <c r="Z233" i="13"/>
  <c r="Z213" i="13"/>
  <c r="Z241" i="13"/>
  <c r="Z223" i="13"/>
  <c r="Z200" i="13"/>
  <c r="Z156" i="13"/>
  <c r="Z152" i="13"/>
  <c r="Z148" i="13"/>
  <c r="Z138" i="13"/>
  <c r="Z133" i="13"/>
  <c r="Z128" i="13"/>
  <c r="Z114" i="13"/>
  <c r="Z228" i="13"/>
  <c r="Z245" i="13"/>
  <c r="Z204" i="13"/>
  <c r="Z185" i="13"/>
  <c r="Z180" i="13"/>
  <c r="Z176" i="13"/>
  <c r="Z118" i="13"/>
  <c r="Z84" i="13"/>
  <c r="Z74" i="13"/>
  <c r="W123" i="16"/>
  <c r="Z278" i="13"/>
  <c r="Z262" i="13"/>
  <c r="Z396" i="13"/>
  <c r="Z95" i="13"/>
  <c r="Z58" i="13"/>
  <c r="Z33" i="13"/>
  <c r="Z5" i="13"/>
  <c r="Z397" i="13"/>
  <c r="Z159" i="13"/>
  <c r="Z59" i="13"/>
  <c r="Z34" i="13"/>
  <c r="X420" i="13"/>
  <c r="Y381" i="13"/>
  <c r="Y144" i="13"/>
  <c r="Y420" i="13"/>
  <c r="Y20" i="13"/>
  <c r="Z20" i="13" s="1"/>
  <c r="Y432" i="13"/>
  <c r="Z432" i="13" s="1"/>
  <c r="W77" i="16"/>
  <c r="Y142" i="13"/>
  <c r="Z142" i="13" s="1"/>
  <c r="Z61" i="13"/>
  <c r="Z13" i="13"/>
  <c r="Z411" i="13"/>
  <c r="Z407" i="13"/>
  <c r="Z242" i="13"/>
  <c r="Z201" i="13"/>
  <c r="Z153" i="13"/>
  <c r="Z149" i="13"/>
  <c r="Z143" i="13"/>
  <c r="Z139" i="13"/>
  <c r="Z134" i="13"/>
  <c r="Z129" i="13"/>
  <c r="Z80" i="13"/>
  <c r="Z435" i="13"/>
  <c r="Z431" i="13"/>
  <c r="Z390" i="13"/>
  <c r="Z205" i="13"/>
  <c r="Z186" i="13"/>
  <c r="Z181" i="13"/>
  <c r="Z177" i="13"/>
  <c r="Z173" i="13"/>
  <c r="Z119" i="13"/>
  <c r="Z85" i="13"/>
  <c r="Z403" i="13"/>
  <c r="Z341" i="13"/>
  <c r="Z314" i="13"/>
  <c r="Z310" i="13"/>
  <c r="Z306" i="13"/>
  <c r="Z302" i="13"/>
  <c r="Z297" i="13"/>
  <c r="Z293" i="13"/>
  <c r="Z238" i="13"/>
  <c r="Z234" i="13"/>
  <c r="Z229" i="13"/>
  <c r="Z220" i="13"/>
  <c r="Z214" i="13"/>
  <c r="Z169" i="13"/>
  <c r="Z165" i="13"/>
  <c r="Z161" i="13"/>
  <c r="Z124" i="13"/>
  <c r="Z111" i="13"/>
  <c r="Z107" i="13"/>
  <c r="Z103" i="13"/>
  <c r="Z99" i="13"/>
  <c r="Z89" i="13"/>
  <c r="Z6" i="13"/>
  <c r="Z436" i="13"/>
  <c r="Z391" i="13"/>
  <c r="Z320" i="13"/>
  <c r="Z253" i="13"/>
  <c r="Z187" i="13"/>
  <c r="Z182" i="13"/>
  <c r="Z178" i="13"/>
  <c r="Z174" i="13"/>
  <c r="Z116" i="13"/>
  <c r="Z86" i="13"/>
  <c r="Z71" i="13"/>
  <c r="Z54" i="13"/>
  <c r="Z45" i="13"/>
  <c r="Z404" i="13"/>
  <c r="Z315" i="13"/>
  <c r="Z311" i="13"/>
  <c r="Z307" i="13"/>
  <c r="Z303" i="13"/>
  <c r="Z298" i="13"/>
  <c r="Z294" i="13"/>
  <c r="Z239" i="13"/>
  <c r="Z235" i="13"/>
  <c r="Z230" i="13"/>
  <c r="Z221" i="13"/>
  <c r="Z217" i="13"/>
  <c r="Z166" i="13"/>
  <c r="Z162" i="13"/>
  <c r="Z112" i="13"/>
  <c r="Z108" i="13"/>
  <c r="Z104" i="13"/>
  <c r="Z100" i="13"/>
  <c r="Z23" i="13"/>
  <c r="Z412" i="13"/>
  <c r="Z408" i="13"/>
  <c r="Z387" i="13"/>
  <c r="Z243" i="13"/>
  <c r="Z202" i="13"/>
  <c r="Z154" i="13"/>
  <c r="Z150" i="13"/>
  <c r="Z146" i="13"/>
  <c r="Z140" i="13"/>
  <c r="Z135" i="13"/>
  <c r="Z130" i="13"/>
  <c r="Z29" i="13"/>
  <c r="Z280" i="13"/>
  <c r="Z385" i="13"/>
  <c r="Z313" i="13"/>
  <c r="Z309" i="13"/>
  <c r="Z305" i="13"/>
  <c r="Z300" i="13"/>
  <c r="Z296" i="13"/>
  <c r="Z316" i="13"/>
  <c r="Z312" i="13"/>
  <c r="Z308" i="13"/>
  <c r="Z304" i="13"/>
  <c r="Z299" i="13"/>
  <c r="Z295" i="13"/>
  <c r="Z249" i="13"/>
  <c r="Z236" i="13"/>
  <c r="Z232" i="13"/>
  <c r="Z218" i="13"/>
  <c r="Z211" i="13"/>
  <c r="Z167" i="13"/>
  <c r="Z163" i="13"/>
  <c r="Z109" i="13"/>
  <c r="Z105" i="13"/>
  <c r="Z101" i="13"/>
  <c r="Z50" i="13"/>
  <c r="Z42" i="13"/>
  <c r="Z24" i="13"/>
  <c r="Z11" i="13"/>
  <c r="Z401" i="13"/>
  <c r="Z120" i="13"/>
  <c r="Z413" i="13"/>
  <c r="Z388" i="13"/>
  <c r="Z345" i="13"/>
  <c r="Z199" i="13"/>
  <c r="Z171" i="13"/>
  <c r="Z155" i="13"/>
  <c r="Z151" i="13"/>
  <c r="Z147" i="13"/>
  <c r="Z141" i="13"/>
  <c r="Z137" i="13"/>
  <c r="Z131" i="13"/>
  <c r="Z126" i="13"/>
  <c r="Z92" i="13"/>
  <c r="Z64" i="13"/>
  <c r="Z212" i="13"/>
  <c r="Z409" i="13"/>
  <c r="Z317" i="13"/>
  <c r="Z358" i="13"/>
  <c r="Z437" i="13"/>
  <c r="Z433" i="13"/>
  <c r="Z392" i="13"/>
  <c r="Z322" i="13"/>
  <c r="Z188" i="13"/>
  <c r="Z184" i="13"/>
  <c r="Z179" i="13"/>
  <c r="Z175" i="13"/>
  <c r="Z117" i="13"/>
  <c r="Z82" i="13"/>
  <c r="Z72" i="13"/>
  <c r="Z46" i="13"/>
  <c r="Z377" i="13"/>
  <c r="Z380" i="13"/>
  <c r="Z127" i="13"/>
  <c r="Z7" i="13"/>
  <c r="Z402" i="13"/>
  <c r="Z441" i="13"/>
  <c r="Z28" i="13"/>
  <c r="Z90" i="13"/>
  <c r="Z414" i="13"/>
  <c r="Z410" i="13"/>
  <c r="Z406" i="13"/>
  <c r="Z440" i="13"/>
  <c r="Z96" i="13"/>
  <c r="Z438" i="13"/>
  <c r="Z434" i="13"/>
  <c r="Z430" i="13"/>
  <c r="Z439" i="13"/>
  <c r="Z442" i="13"/>
  <c r="W116" i="16"/>
  <c r="W111" i="16"/>
  <c r="W114" i="16"/>
  <c r="W107" i="16"/>
  <c r="W103" i="16"/>
  <c r="W102" i="16"/>
  <c r="W98" i="16"/>
  <c r="W99" i="16"/>
  <c r="W94" i="16"/>
  <c r="W95" i="16"/>
  <c r="W90" i="16"/>
  <c r="W91" i="16"/>
  <c r="W89" i="16"/>
  <c r="W88" i="16"/>
  <c r="W87" i="16"/>
  <c r="W86" i="16"/>
  <c r="W84" i="16"/>
  <c r="W85" i="16"/>
  <c r="W83" i="16"/>
  <c r="W81" i="16"/>
  <c r="W80" i="16"/>
  <c r="W82" i="16"/>
  <c r="W78" i="16"/>
  <c r="W79" i="16"/>
  <c r="W74" i="16"/>
  <c r="W73" i="16"/>
  <c r="W75" i="16"/>
  <c r="W76" i="16"/>
  <c r="W71" i="16"/>
  <c r="W72" i="16"/>
  <c r="W70" i="16"/>
  <c r="W69" i="16"/>
  <c r="W67" i="16"/>
  <c r="W68" i="16"/>
  <c r="W66" i="16"/>
  <c r="W65" i="16"/>
  <c r="W64" i="16"/>
  <c r="W62" i="16"/>
  <c r="W63" i="16"/>
  <c r="W61" i="16"/>
  <c r="W60" i="16"/>
  <c r="W59" i="16"/>
  <c r="W58" i="16"/>
  <c r="W57" i="16"/>
  <c r="W56" i="16"/>
  <c r="W55" i="16"/>
  <c r="W54" i="16"/>
  <c r="W53" i="16"/>
  <c r="W3" i="16"/>
  <c r="W52" i="16"/>
  <c r="W51" i="16"/>
  <c r="W50" i="16"/>
  <c r="W48" i="16"/>
  <c r="W49" i="16"/>
  <c r="W47" i="16"/>
  <c r="W46" i="16"/>
  <c r="W45" i="16"/>
  <c r="W43" i="16"/>
  <c r="W44" i="16"/>
  <c r="W41" i="16"/>
  <c r="W42" i="16"/>
  <c r="W40" i="16"/>
  <c r="V417" i="13"/>
  <c r="Z417" i="13" s="1"/>
  <c r="W39" i="16"/>
  <c r="W38" i="16"/>
  <c r="W5" i="16"/>
  <c r="W37" i="16"/>
  <c r="W36" i="16"/>
  <c r="G439" i="13"/>
  <c r="J439" i="13" s="1"/>
  <c r="W9" i="16"/>
  <c r="W35" i="16"/>
  <c r="W34" i="16"/>
  <c r="W4" i="16"/>
  <c r="V384" i="13"/>
  <c r="V279" i="13"/>
  <c r="Z279" i="13" s="1"/>
  <c r="V194" i="13"/>
  <c r="Z194" i="13" s="1"/>
  <c r="V18" i="13"/>
  <c r="Z18" i="13" s="1"/>
  <c r="W191" i="13"/>
  <c r="AG441" i="13" a="1"/>
  <c r="AG441" i="13" s="1"/>
  <c r="W33" i="16"/>
  <c r="V78" i="13"/>
  <c r="Z78" i="13" s="1"/>
  <c r="V321" i="13"/>
  <c r="Z321" i="13" s="1"/>
  <c r="V326" i="13"/>
  <c r="Z326" i="13" s="1"/>
  <c r="W73" i="13"/>
  <c r="Z73" i="13" s="1"/>
  <c r="W132" i="13"/>
  <c r="V83" i="13"/>
  <c r="Z83" i="13" s="1"/>
  <c r="W263" i="13"/>
  <c r="V263" i="13"/>
  <c r="AG440" i="13" a="1"/>
  <c r="AG440" i="13" s="1"/>
  <c r="AG439" i="13" a="1"/>
  <c r="AG439" i="13" s="1"/>
  <c r="G440" i="13"/>
  <c r="J440" i="13" s="1"/>
  <c r="N31" i="16"/>
  <c r="M31" i="16" s="1"/>
  <c r="O442" i="13"/>
  <c r="P441" i="13"/>
  <c r="W32" i="16"/>
  <c r="AH442" i="13" a="1"/>
  <c r="AH442" i="13" s="1"/>
  <c r="AH440" i="13" a="1"/>
  <c r="AH440" i="13" s="1"/>
  <c r="P443" i="13"/>
  <c r="W31" i="16"/>
  <c r="W24" i="16"/>
  <c r="W20" i="16"/>
  <c r="W13" i="16"/>
  <c r="W25" i="16"/>
  <c r="AM442" i="13"/>
  <c r="T439" i="13"/>
  <c r="R439" i="13"/>
  <c r="AP439" i="13" s="1"/>
  <c r="O440" i="13"/>
  <c r="W16" i="16"/>
  <c r="W8" i="16"/>
  <c r="N441" i="13"/>
  <c r="AM441" i="13" s="1"/>
  <c r="W27" i="16"/>
  <c r="W23" i="16"/>
  <c r="W19" i="16"/>
  <c r="W15" i="16"/>
  <c r="W11" i="16"/>
  <c r="W7" i="16"/>
  <c r="AH441" i="13" a="1"/>
  <c r="AH441" i="13" s="1"/>
  <c r="AP441" i="13"/>
  <c r="W30" i="16"/>
  <c r="W26" i="16"/>
  <c r="W22" i="16"/>
  <c r="W18" i="16"/>
  <c r="W14" i="16"/>
  <c r="W10" i="16"/>
  <c r="W6" i="16"/>
  <c r="T440" i="13"/>
  <c r="W28" i="16"/>
  <c r="W12" i="16"/>
  <c r="W29" i="16"/>
  <c r="W21" i="16"/>
  <c r="W17" i="16"/>
  <c r="V443" i="13"/>
  <c r="Z443" i="13" s="1"/>
  <c r="E443" i="13"/>
  <c r="S443" i="13" s="1"/>
  <c r="I440" i="13"/>
  <c r="T443" i="13"/>
  <c r="J441" i="13"/>
  <c r="AL441" i="13"/>
  <c r="K440" i="13"/>
  <c r="H441" i="13"/>
  <c r="I442" i="13"/>
  <c r="V97" i="13"/>
  <c r="Z97" i="13" s="1"/>
  <c r="W332" i="13"/>
  <c r="W196" i="13"/>
  <c r="W144" i="13"/>
  <c r="V65" i="13"/>
  <c r="Z65" i="13" s="1"/>
  <c r="W215" i="13"/>
  <c r="W374" i="13"/>
  <c r="V76" i="13"/>
  <c r="Z76" i="13" s="1"/>
  <c r="V66" i="13"/>
  <c r="Z66" i="13" s="1"/>
  <c r="V30" i="13"/>
  <c r="Z30" i="13" s="1"/>
  <c r="V132" i="13"/>
  <c r="V113" i="13"/>
  <c r="Z113" i="13" s="1"/>
  <c r="V2" i="13"/>
  <c r="Z2" i="13" s="1"/>
  <c r="V77" i="13"/>
  <c r="Z77" i="13" s="1"/>
  <c r="V428" i="13"/>
  <c r="Z428" i="13" s="1"/>
  <c r="V424" i="13"/>
  <c r="Z424" i="13" s="1"/>
  <c r="V416" i="13"/>
  <c r="Z416" i="13" s="1"/>
  <c r="V400" i="13"/>
  <c r="Z400" i="13" s="1"/>
  <c r="V372" i="13"/>
  <c r="Z372" i="13" s="1"/>
  <c r="V368" i="13"/>
  <c r="Z368" i="13" s="1"/>
  <c r="V364" i="13"/>
  <c r="Z364" i="13" s="1"/>
  <c r="V360" i="13"/>
  <c r="Z360" i="13" s="1"/>
  <c r="V356" i="13"/>
  <c r="Z356" i="13" s="1"/>
  <c r="V352" i="13"/>
  <c r="Z352" i="13" s="1"/>
  <c r="V348" i="13"/>
  <c r="Z348" i="13" s="1"/>
  <c r="V344" i="13"/>
  <c r="Z344" i="13" s="1"/>
  <c r="V340" i="13"/>
  <c r="Z340" i="13" s="1"/>
  <c r="V336" i="13"/>
  <c r="Z336" i="13" s="1"/>
  <c r="V332" i="13"/>
  <c r="V328" i="13"/>
  <c r="Z328" i="13" s="1"/>
  <c r="V324" i="13"/>
  <c r="Z324" i="13" s="1"/>
  <c r="V292" i="13"/>
  <c r="Z292" i="13" s="1"/>
  <c r="V252" i="13"/>
  <c r="Z252" i="13" s="1"/>
  <c r="V248" i="13"/>
  <c r="Z248" i="13" s="1"/>
  <c r="V244" i="13"/>
  <c r="Z244" i="13" s="1"/>
  <c r="V240" i="13"/>
  <c r="Z240" i="13" s="1"/>
  <c r="V224" i="13"/>
  <c r="Z224" i="13" s="1"/>
  <c r="V216" i="13"/>
  <c r="Z216" i="13" s="1"/>
  <c r="V94" i="13"/>
  <c r="Z94" i="13" s="1"/>
  <c r="W53" i="13"/>
  <c r="W366" i="13"/>
  <c r="V115" i="13"/>
  <c r="Z115" i="13" s="1"/>
  <c r="V22" i="13"/>
  <c r="Z22" i="13" s="1"/>
  <c r="V91" i="13"/>
  <c r="Z91" i="13" s="1"/>
  <c r="V93" i="13"/>
  <c r="Z93" i="13" s="1"/>
  <c r="V47" i="13"/>
  <c r="Z47" i="13" s="1"/>
  <c r="V49" i="13"/>
  <c r="Z49" i="13" s="1"/>
  <c r="V160" i="13"/>
  <c r="Z160" i="13" s="1"/>
  <c r="V62" i="13"/>
  <c r="Z62" i="13" s="1"/>
  <c r="V69" i="13"/>
  <c r="Z69" i="13" s="1"/>
  <c r="V75" i="13"/>
  <c r="Z75" i="13" s="1"/>
  <c r="V63" i="13"/>
  <c r="V14" i="13"/>
  <c r="Z14" i="13" s="1"/>
  <c r="V191" i="13"/>
  <c r="V123" i="13"/>
  <c r="Z123" i="13" s="1"/>
  <c r="V427" i="13"/>
  <c r="Z427" i="13" s="1"/>
  <c r="V423" i="13"/>
  <c r="Z423" i="13" s="1"/>
  <c r="V419" i="13"/>
  <c r="Z419" i="13" s="1"/>
  <c r="V415" i="13"/>
  <c r="Z415" i="13" s="1"/>
  <c r="V383" i="13"/>
  <c r="Z383" i="13" s="1"/>
  <c r="V379" i="13"/>
  <c r="Z379" i="13" s="1"/>
  <c r="V375" i="13"/>
  <c r="Z375" i="13" s="1"/>
  <c r="V371" i="13"/>
  <c r="Z371" i="13" s="1"/>
  <c r="V367" i="13"/>
  <c r="Z367" i="13" s="1"/>
  <c r="V363" i="13"/>
  <c r="Z363" i="13" s="1"/>
  <c r="V359" i="13"/>
  <c r="Z359" i="13" s="1"/>
  <c r="V355" i="13"/>
  <c r="Z355" i="13" s="1"/>
  <c r="V351" i="13"/>
  <c r="Z351" i="13" s="1"/>
  <c r="V347" i="13"/>
  <c r="Z347" i="13" s="1"/>
  <c r="V343" i="13"/>
  <c r="Z343" i="13" s="1"/>
  <c r="V339" i="13"/>
  <c r="Z339" i="13" s="1"/>
  <c r="V335" i="13"/>
  <c r="Z335" i="13" s="1"/>
  <c r="V331" i="13"/>
  <c r="Z331" i="13" s="1"/>
  <c r="V327" i="13"/>
  <c r="Z327" i="13" s="1"/>
  <c r="V323" i="13"/>
  <c r="Z323" i="13" s="1"/>
  <c r="V319" i="13"/>
  <c r="Z319" i="13" s="1"/>
  <c r="V267" i="13"/>
  <c r="Z267" i="13" s="1"/>
  <c r="V251" i="13"/>
  <c r="Z251" i="13" s="1"/>
  <c r="V247" i="13"/>
  <c r="Z247" i="13" s="1"/>
  <c r="V231" i="13"/>
  <c r="Z231" i="13" s="1"/>
  <c r="V227" i="13"/>
  <c r="Z227" i="13" s="1"/>
  <c r="V215" i="13"/>
  <c r="V198" i="13"/>
  <c r="Z198" i="13" s="1"/>
  <c r="V189" i="13"/>
  <c r="Z189" i="13" s="1"/>
  <c r="V172" i="13"/>
  <c r="Z172" i="13" s="1"/>
  <c r="W384" i="13"/>
  <c r="V55" i="13"/>
  <c r="Z55" i="13" s="1"/>
  <c r="V145" i="13"/>
  <c r="Z145" i="13" s="1"/>
  <c r="W3" i="13"/>
  <c r="V203" i="13"/>
  <c r="Z203" i="13" s="1"/>
  <c r="W63" i="13"/>
  <c r="V26" i="13"/>
  <c r="Z26" i="13" s="1"/>
  <c r="V125" i="13"/>
  <c r="Z125" i="13" s="1"/>
  <c r="V19" i="13"/>
  <c r="Z19" i="13" s="1"/>
  <c r="V88" i="13"/>
  <c r="Z88" i="13" s="1"/>
  <c r="V87" i="13"/>
  <c r="Z87" i="13" s="1"/>
  <c r="V32" i="13"/>
  <c r="Z32" i="13" s="1"/>
  <c r="V121" i="13"/>
  <c r="Z121" i="13" s="1"/>
  <c r="V43" i="13"/>
  <c r="Z43" i="13" s="1"/>
  <c r="V157" i="13"/>
  <c r="Z157" i="13" s="1"/>
  <c r="V60" i="13"/>
  <c r="Z60" i="13" s="1"/>
  <c r="V15" i="13"/>
  <c r="Z15" i="13" s="1"/>
  <c r="V41" i="13"/>
  <c r="Z41" i="13" s="1"/>
  <c r="V10" i="13"/>
  <c r="Z10" i="13" s="1"/>
  <c r="V426" i="13"/>
  <c r="Z426" i="13" s="1"/>
  <c r="V418" i="13"/>
  <c r="Z418" i="13" s="1"/>
  <c r="V394" i="13"/>
  <c r="Z394" i="13" s="1"/>
  <c r="V386" i="13"/>
  <c r="Z386" i="13" s="1"/>
  <c r="V382" i="13"/>
  <c r="Z382" i="13" s="1"/>
  <c r="V378" i="13"/>
  <c r="Z378" i="13" s="1"/>
  <c r="V374" i="13"/>
  <c r="Z374" i="13" s="1"/>
  <c r="V370" i="13"/>
  <c r="Z370" i="13" s="1"/>
  <c r="V366" i="13"/>
  <c r="V362" i="13"/>
  <c r="Z362" i="13" s="1"/>
  <c r="V354" i="13"/>
  <c r="Z354" i="13" s="1"/>
  <c r="V350" i="13"/>
  <c r="Z350" i="13" s="1"/>
  <c r="V346" i="13"/>
  <c r="Z346" i="13" s="1"/>
  <c r="V342" i="13"/>
  <c r="Z342" i="13" s="1"/>
  <c r="V338" i="13"/>
  <c r="Z338" i="13" s="1"/>
  <c r="V334" i="13"/>
  <c r="Z334" i="13" s="1"/>
  <c r="V318" i="13"/>
  <c r="Z318" i="13" s="1"/>
  <c r="V270" i="13"/>
  <c r="Z270" i="13" s="1"/>
  <c r="V254" i="13"/>
  <c r="Z254" i="13" s="1"/>
  <c r="V250" i="13"/>
  <c r="Z250" i="13" s="1"/>
  <c r="V246" i="13"/>
  <c r="Z246" i="13" s="1"/>
  <c r="V226" i="13"/>
  <c r="Z226" i="13" s="1"/>
  <c r="V222" i="13"/>
  <c r="Z222" i="13" s="1"/>
  <c r="V210" i="13"/>
  <c r="Z210" i="13" s="1"/>
  <c r="V206" i="13"/>
  <c r="Z206" i="13" s="1"/>
  <c r="V197" i="13"/>
  <c r="Z197" i="13" s="1"/>
  <c r="V158" i="13"/>
  <c r="Z158" i="13" s="1"/>
  <c r="V70" i="13"/>
  <c r="Z70" i="13" s="1"/>
  <c r="V136" i="13"/>
  <c r="Z136" i="13" s="1"/>
  <c r="V27" i="13"/>
  <c r="Z27" i="13" s="1"/>
  <c r="V81" i="13"/>
  <c r="Z81" i="13" s="1"/>
  <c r="V68" i="13"/>
  <c r="Z68" i="13" s="1"/>
  <c r="V51" i="13"/>
  <c r="Z51" i="13" s="1"/>
  <c r="V52" i="13"/>
  <c r="Z52" i="13" s="1"/>
  <c r="V44" i="13"/>
  <c r="Z44" i="13" s="1"/>
  <c r="V183" i="13"/>
  <c r="Z183" i="13" s="1"/>
  <c r="V144" i="13"/>
  <c r="V53" i="13"/>
  <c r="V429" i="13"/>
  <c r="Z429" i="13" s="1"/>
  <c r="V425" i="13"/>
  <c r="Z425" i="13" s="1"/>
  <c r="V421" i="13"/>
  <c r="Z421" i="13" s="1"/>
  <c r="V405" i="13"/>
  <c r="Z405" i="13" s="1"/>
  <c r="V393" i="13"/>
  <c r="Z393" i="13" s="1"/>
  <c r="V389" i="13"/>
  <c r="Z389" i="13" s="1"/>
  <c r="V381" i="13"/>
  <c r="V373" i="13"/>
  <c r="Z373" i="13" s="1"/>
  <c r="V369" i="13"/>
  <c r="Z369" i="13" s="1"/>
  <c r="V365" i="13"/>
  <c r="Z365" i="13" s="1"/>
  <c r="V361" i="13"/>
  <c r="Z361" i="13" s="1"/>
  <c r="V357" i="13"/>
  <c r="Z357" i="13" s="1"/>
  <c r="V353" i="13"/>
  <c r="Z353" i="13" s="1"/>
  <c r="V349" i="13"/>
  <c r="Z349" i="13" s="1"/>
  <c r="V333" i="13"/>
  <c r="Z333" i="13" s="1"/>
  <c r="V325" i="13"/>
  <c r="Z325" i="13" s="1"/>
  <c r="V301" i="13"/>
  <c r="Z301" i="13" s="1"/>
  <c r="V269" i="13"/>
  <c r="Z269" i="13" s="1"/>
  <c r="V225" i="13"/>
  <c r="Z225" i="13" s="1"/>
  <c r="V196" i="13"/>
  <c r="V170" i="13"/>
  <c r="Z170" i="13" s="1"/>
  <c r="AP442" i="13"/>
  <c r="I439" i="13"/>
  <c r="Q443" i="13"/>
  <c r="J442" i="13"/>
  <c r="AL442" i="13"/>
  <c r="AM440" i="13"/>
  <c r="Q440" i="13"/>
  <c r="T442" i="13"/>
  <c r="R440" i="13"/>
  <c r="P442" i="13"/>
  <c r="O443" i="13"/>
  <c r="O439" i="13"/>
  <c r="I441" i="13"/>
  <c r="H442" i="13"/>
  <c r="AH443" i="13" a="1"/>
  <c r="AH443" i="13" s="1"/>
  <c r="AH439" i="13" a="1"/>
  <c r="AH439" i="13" s="1"/>
  <c r="AG442" i="13" a="1"/>
  <c r="AG442" i="13" s="1"/>
  <c r="T441" i="13"/>
  <c r="AD442" i="13" l="1"/>
  <c r="Q439" i="13"/>
  <c r="AD439" i="13" s="1"/>
  <c r="Z366" i="13"/>
  <c r="Z381" i="13"/>
  <c r="Z215" i="13"/>
  <c r="Z420" i="13"/>
  <c r="Z53" i="13"/>
  <c r="Z144" i="13"/>
  <c r="Z196" i="13"/>
  <c r="Z191" i="13"/>
  <c r="Z332" i="13"/>
  <c r="Z263" i="13"/>
  <c r="Z63" i="13"/>
  <c r="Z132" i="13"/>
  <c r="Z384" i="13"/>
  <c r="AL439" i="13"/>
  <c r="AL440" i="13"/>
  <c r="AD440" i="13"/>
  <c r="AP440" i="13"/>
  <c r="AA440" i="13"/>
  <c r="AA441" i="13"/>
  <c r="Q441" i="13"/>
  <c r="AD441" i="13" s="1"/>
  <c r="AA439" i="13"/>
  <c r="AA443" i="13"/>
  <c r="G443" i="13"/>
  <c r="H443" i="13"/>
  <c r="AA442" i="13"/>
  <c r="AK439" i="13" l="1"/>
  <c r="AQ439" i="13" s="1"/>
  <c r="AB439" i="13"/>
  <c r="AI442" i="13"/>
  <c r="AB442" i="13"/>
  <c r="AK443" i="13"/>
  <c r="AB443" i="13"/>
  <c r="AF440" i="13"/>
  <c r="AB440" i="13"/>
  <c r="AI441" i="13"/>
  <c r="AB441" i="13"/>
  <c r="AK440" i="13"/>
  <c r="AQ440" i="13" s="1"/>
  <c r="AK441" i="13"/>
  <c r="AQ441" i="13" s="1"/>
  <c r="AE440" i="13"/>
  <c r="AE441" i="13"/>
  <c r="AF441" i="13"/>
  <c r="AE439" i="13"/>
  <c r="AI440" i="13"/>
  <c r="AE443" i="13"/>
  <c r="AF439" i="13"/>
  <c r="AI439" i="13"/>
  <c r="AF443" i="13"/>
  <c r="AL443" i="13"/>
  <c r="AF442" i="13"/>
  <c r="AK442" i="13"/>
  <c r="AQ442" i="13" s="1"/>
  <c r="AE442" i="13"/>
  <c r="D30" i="16" l="1"/>
  <c r="E30" i="16" a="1"/>
  <c r="E30" i="16" s="1"/>
  <c r="G30" i="16"/>
  <c r="H30" i="16" s="1"/>
  <c r="N30" i="16"/>
  <c r="M30" i="16" s="1"/>
  <c r="S30" i="16"/>
  <c r="U30" i="16" a="1"/>
  <c r="U30" i="16" s="1"/>
  <c r="N29" i="16"/>
  <c r="D29" i="16"/>
  <c r="E29" i="16" a="1"/>
  <c r="E29" i="16" s="1"/>
  <c r="G29" i="16"/>
  <c r="H29" i="16" s="1"/>
  <c r="S29" i="16"/>
  <c r="M29" i="16" l="1"/>
  <c r="N26" i="16" l="1"/>
  <c r="M26" i="16" s="1"/>
  <c r="D26" i="16"/>
  <c r="D27" i="16"/>
  <c r="D28" i="16"/>
  <c r="E26" i="16" a="1"/>
  <c r="E26" i="16" s="1"/>
  <c r="E27" i="16" a="1"/>
  <c r="E27" i="16" s="1"/>
  <c r="E28" i="16" a="1"/>
  <c r="E28" i="16" s="1"/>
  <c r="G26" i="16"/>
  <c r="H26" i="16" s="1"/>
  <c r="G27" i="16"/>
  <c r="H27" i="16" s="1"/>
  <c r="G28" i="16"/>
  <c r="H28" i="16" s="1"/>
  <c r="N28" i="16"/>
  <c r="M28" i="16" s="1"/>
  <c r="S26" i="16"/>
  <c r="S27" i="16"/>
  <c r="S28" i="16"/>
  <c r="U26" i="16" a="1"/>
  <c r="U26" i="16" s="1"/>
  <c r="U27" i="16" a="1"/>
  <c r="U27" i="16" s="1"/>
  <c r="U28" i="16" a="1"/>
  <c r="U28" i="16" s="1"/>
  <c r="N27" i="16" l="1"/>
  <c r="M27" i="16" s="1"/>
  <c r="N25" i="16" l="1"/>
  <c r="D25" i="16"/>
  <c r="E25" i="16" a="1"/>
  <c r="E25" i="16" s="1"/>
  <c r="G25" i="16"/>
  <c r="H25" i="16" s="1"/>
  <c r="S25" i="16"/>
  <c r="T25" i="16"/>
  <c r="U25" i="16" a="1"/>
  <c r="U25" i="16" s="1"/>
  <c r="N23" i="16"/>
  <c r="M23" i="16" s="1"/>
  <c r="N22" i="16"/>
  <c r="D22" i="16"/>
  <c r="D23" i="16"/>
  <c r="D24" i="16"/>
  <c r="E22" i="16" a="1"/>
  <c r="E22" i="16" s="1"/>
  <c r="E23" i="16" a="1"/>
  <c r="E23" i="16" s="1"/>
  <c r="E24" i="16" a="1"/>
  <c r="E24" i="16" s="1"/>
  <c r="G22" i="16"/>
  <c r="H22" i="16" s="1"/>
  <c r="G23" i="16"/>
  <c r="H23" i="16" s="1"/>
  <c r="G24" i="16"/>
  <c r="H24" i="16" s="1"/>
  <c r="S22" i="16"/>
  <c r="S23" i="16"/>
  <c r="S24" i="16"/>
  <c r="U22" i="16" a="1"/>
  <c r="U22" i="16" s="1"/>
  <c r="U23" i="16" a="1"/>
  <c r="U23" i="16" s="1"/>
  <c r="U24" i="16" a="1"/>
  <c r="U24" i="16" s="1"/>
  <c r="N21" i="16"/>
  <c r="D21" i="16"/>
  <c r="E21" i="16" a="1"/>
  <c r="E21" i="16" s="1"/>
  <c r="G21" i="16"/>
  <c r="H21" i="16" s="1"/>
  <c r="S21" i="16"/>
  <c r="M25" i="16" l="1"/>
  <c r="N24" i="16"/>
  <c r="M22" i="16"/>
  <c r="M21" i="16"/>
  <c r="M24" i="16" l="1"/>
  <c r="N20" i="16" l="1"/>
  <c r="D20" i="16"/>
  <c r="E20" i="16" a="1"/>
  <c r="E20" i="16" s="1"/>
  <c r="G20" i="16"/>
  <c r="H20" i="16" s="1"/>
  <c r="S20" i="16"/>
  <c r="U20" i="16" a="1"/>
  <c r="U20" i="16" s="1"/>
  <c r="M20" i="16" l="1"/>
  <c r="T20" i="16" s="1"/>
  <c r="N18" i="16" l="1"/>
  <c r="M18" i="16" s="1"/>
  <c r="N17" i="16"/>
  <c r="D17" i="16"/>
  <c r="D18" i="16"/>
  <c r="D19" i="16"/>
  <c r="E17" i="16" a="1"/>
  <c r="E17" i="16" s="1"/>
  <c r="E18" i="16" a="1"/>
  <c r="E18" i="16" s="1"/>
  <c r="E19" i="16" a="1"/>
  <c r="E19" i="16" s="1"/>
  <c r="G17" i="16"/>
  <c r="H17" i="16" s="1"/>
  <c r="G18" i="16"/>
  <c r="H18" i="16" s="1"/>
  <c r="G19" i="16"/>
  <c r="S17" i="16"/>
  <c r="S18" i="16"/>
  <c r="S19" i="16"/>
  <c r="U17" i="16" a="1"/>
  <c r="U17" i="16" s="1"/>
  <c r="U18" i="16" a="1"/>
  <c r="U18" i="16" s="1"/>
  <c r="U19" i="16" a="1"/>
  <c r="U19" i="16" s="1"/>
  <c r="N19" i="16" l="1"/>
  <c r="M19" i="16" s="1"/>
  <c r="M17" i="16"/>
  <c r="H19" i="16"/>
  <c r="N16" i="16" l="1"/>
  <c r="D16" i="16"/>
  <c r="E16" i="16" a="1"/>
  <c r="E16" i="16" s="1"/>
  <c r="G16" i="16"/>
  <c r="H16" i="16" s="1"/>
  <c r="S16" i="16"/>
  <c r="U16" i="16" a="1"/>
  <c r="U16" i="16" s="1"/>
  <c r="D15" i="16"/>
  <c r="E15" i="16" a="1"/>
  <c r="E15" i="16" s="1"/>
  <c r="G15" i="16"/>
  <c r="H15" i="16" s="1"/>
  <c r="N15" i="16"/>
  <c r="S15" i="16"/>
  <c r="U15" i="16" a="1"/>
  <c r="U15" i="16" s="1"/>
  <c r="G3" i="16"/>
  <c r="H3" i="16" s="1"/>
  <c r="G4" i="16"/>
  <c r="H4" i="16" s="1"/>
  <c r="G5" i="16"/>
  <c r="H5" i="16" s="1"/>
  <c r="G6" i="16"/>
  <c r="H6" i="16" s="1"/>
  <c r="G7" i="16"/>
  <c r="H7" i="16" s="1"/>
  <c r="G8" i="16"/>
  <c r="H8" i="16" s="1"/>
  <c r="G9" i="16"/>
  <c r="G10" i="16"/>
  <c r="H10" i="16" s="1"/>
  <c r="G11" i="16"/>
  <c r="H11" i="16" s="1"/>
  <c r="G12" i="16"/>
  <c r="H12" i="16" s="1"/>
  <c r="G13" i="16"/>
  <c r="H13" i="16" s="1"/>
  <c r="G14" i="16"/>
  <c r="H14" i="16" s="1"/>
  <c r="T138" i="16" l="1"/>
  <c r="T97" i="16"/>
  <c r="O57" i="16"/>
  <c r="O56" i="16"/>
  <c r="O50" i="16"/>
  <c r="O53" i="16"/>
  <c r="H9" i="16"/>
  <c r="T73" i="16" s="1"/>
  <c r="O47" i="16"/>
  <c r="O43" i="16"/>
  <c r="O36" i="16"/>
  <c r="O40" i="16"/>
  <c r="O15" i="16"/>
  <c r="O33" i="16"/>
  <c r="O25" i="16"/>
  <c r="O30" i="16"/>
  <c r="M15" i="16"/>
  <c r="O20" i="16"/>
  <c r="M16" i="16"/>
  <c r="O16" i="16"/>
  <c r="T15" i="16"/>
  <c r="R195" i="16" l="1"/>
  <c r="AH712" i="13" s="1" a="1"/>
  <c r="AH712" i="13" s="1"/>
  <c r="R193" i="16"/>
  <c r="T193" i="16"/>
  <c r="T192" i="16"/>
  <c r="R191" i="16"/>
  <c r="AH708" i="13" s="1" a="1"/>
  <c r="AH708" i="13" s="1"/>
  <c r="Q708" i="13" s="1"/>
  <c r="AD708" i="13" s="1"/>
  <c r="AQ708" i="13" s="1"/>
  <c r="T191" i="16"/>
  <c r="T190" i="16"/>
  <c r="T189" i="16"/>
  <c r="T188" i="16"/>
  <c r="T187" i="16"/>
  <c r="AH587" i="13" a="1"/>
  <c r="AH587" i="13" s="1"/>
  <c r="Q587" i="13" s="1"/>
  <c r="AD587" i="13" s="1"/>
  <c r="AQ587" i="13" s="1"/>
  <c r="U184" i="16" a="1"/>
  <c r="U184" i="16" s="1"/>
  <c r="AH709" i="13" a="1"/>
  <c r="AH709" i="13" s="1"/>
  <c r="T186" i="16"/>
  <c r="AH560" i="13" a="1"/>
  <c r="AH560" i="13" s="1"/>
  <c r="R184" i="16"/>
  <c r="T184" i="16"/>
  <c r="R178" i="16"/>
  <c r="T181" i="16"/>
  <c r="R179" i="16"/>
  <c r="AH688" i="13" s="1" a="1"/>
  <c r="AH688" i="13" s="1"/>
  <c r="Q688" i="13" s="1"/>
  <c r="AD688" i="13" s="1"/>
  <c r="AQ688" i="13" s="1"/>
  <c r="T177" i="16"/>
  <c r="T176" i="16"/>
  <c r="T175" i="16"/>
  <c r="T182" i="16"/>
  <c r="T174" i="16"/>
  <c r="T178" i="16"/>
  <c r="T179" i="16"/>
  <c r="T171" i="16"/>
  <c r="AH705" i="13" a="1"/>
  <c r="AH705" i="13" s="1"/>
  <c r="T169" i="16"/>
  <c r="T167" i="16"/>
  <c r="R163" i="16"/>
  <c r="T163" i="16"/>
  <c r="R162" i="16"/>
  <c r="T185" i="16" s="1"/>
  <c r="T162" i="16"/>
  <c r="T161" i="16"/>
  <c r="T160" i="16"/>
  <c r="AH468" i="13" a="1"/>
  <c r="AH468" i="13" s="1"/>
  <c r="R156" i="16"/>
  <c r="T156" i="16"/>
  <c r="T155" i="16"/>
  <c r="T154" i="16"/>
  <c r="T152" i="16"/>
  <c r="T150" i="16"/>
  <c r="R147" i="16"/>
  <c r="R159" i="16" s="1"/>
  <c r="T173" i="16" s="1"/>
  <c r="T149" i="16"/>
  <c r="T148" i="16"/>
  <c r="T147" i="16"/>
  <c r="T146" i="16"/>
  <c r="T145" i="16"/>
  <c r="R145" i="16"/>
  <c r="R154" i="16" s="1"/>
  <c r="R168" i="16" s="1"/>
  <c r="R192" i="16" s="1"/>
  <c r="R142" i="16"/>
  <c r="R151" i="16" s="1"/>
  <c r="T144" i="16"/>
  <c r="T142" i="16"/>
  <c r="T143" i="16"/>
  <c r="T139" i="16"/>
  <c r="T141" i="16"/>
  <c r="T140" i="16"/>
  <c r="T137" i="16"/>
  <c r="R135" i="16"/>
  <c r="T136" i="16"/>
  <c r="T135" i="16"/>
  <c r="T133" i="16"/>
  <c r="T132" i="16"/>
  <c r="T131" i="16"/>
  <c r="T130" i="16"/>
  <c r="T129" i="16"/>
  <c r="T128" i="16"/>
  <c r="R127" i="16"/>
  <c r="R130" i="16" s="1"/>
  <c r="R136" i="16" s="1"/>
  <c r="R143" i="16" s="1"/>
  <c r="R152" i="16" s="1"/>
  <c r="R164" i="16" s="1"/>
  <c r="R189" i="16" s="1"/>
  <c r="T127" i="16"/>
  <c r="T126" i="16"/>
  <c r="T125" i="16"/>
  <c r="T124" i="16"/>
  <c r="R122" i="16"/>
  <c r="T120" i="16"/>
  <c r="T100" i="16"/>
  <c r="T101" i="16"/>
  <c r="T99" i="16"/>
  <c r="T98" i="16"/>
  <c r="R96" i="16"/>
  <c r="R97" i="16"/>
  <c r="R101" i="16" s="1"/>
  <c r="R105" i="16" s="1"/>
  <c r="R109" i="16" s="1"/>
  <c r="T94" i="16"/>
  <c r="T96" i="16"/>
  <c r="T95" i="16"/>
  <c r="T93" i="16"/>
  <c r="T92" i="16"/>
  <c r="T78" i="16"/>
  <c r="T79" i="16"/>
  <c r="R15" i="16"/>
  <c r="R16" i="16" s="1"/>
  <c r="R20" i="16" s="1"/>
  <c r="R25" i="16" s="1"/>
  <c r="T30" i="16" s="1"/>
  <c r="T16" i="16"/>
  <c r="E430" i="13"/>
  <c r="G430" i="13" s="1"/>
  <c r="J430" i="13" s="1"/>
  <c r="E431" i="13"/>
  <c r="H431" i="13" s="1"/>
  <c r="E432" i="13"/>
  <c r="H432" i="13" s="1"/>
  <c r="E433" i="13"/>
  <c r="G433" i="13" s="1"/>
  <c r="E434" i="13"/>
  <c r="H434" i="13" s="1"/>
  <c r="E435" i="13"/>
  <c r="G435" i="13" s="1"/>
  <c r="AL435" i="13" s="1"/>
  <c r="E436" i="13"/>
  <c r="G436" i="13" s="1"/>
  <c r="AL436" i="13" s="1"/>
  <c r="E437" i="13"/>
  <c r="G437" i="13" s="1"/>
  <c r="E438" i="13"/>
  <c r="G438" i="13" s="1"/>
  <c r="F430" i="13"/>
  <c r="I430" i="13" s="1"/>
  <c r="F431" i="13"/>
  <c r="I431" i="13" s="1"/>
  <c r="F432" i="13"/>
  <c r="K432" i="13" s="1"/>
  <c r="F433" i="13"/>
  <c r="K433" i="13" s="1"/>
  <c r="F434" i="13"/>
  <c r="F435" i="13"/>
  <c r="I435" i="13" s="1"/>
  <c r="F436" i="13"/>
  <c r="K436" i="13" s="1"/>
  <c r="F437" i="13"/>
  <c r="K437" i="13" s="1"/>
  <c r="F438" i="13"/>
  <c r="K438" i="13" s="1"/>
  <c r="L430" i="13"/>
  <c r="L431" i="13"/>
  <c r="L432" i="13"/>
  <c r="L433" i="13"/>
  <c r="L434" i="13"/>
  <c r="L435" i="13"/>
  <c r="L436" i="13"/>
  <c r="L437" i="13"/>
  <c r="L438" i="13"/>
  <c r="M430" i="13"/>
  <c r="R430" i="13" s="1"/>
  <c r="M431" i="13"/>
  <c r="R431" i="13" s="1"/>
  <c r="M432" i="13"/>
  <c r="M433" i="13"/>
  <c r="R433" i="13" s="1"/>
  <c r="M434" i="13"/>
  <c r="R434" i="13" s="1"/>
  <c r="M435" i="13"/>
  <c r="R435" i="13" s="1"/>
  <c r="M436" i="13"/>
  <c r="P436" i="13" s="1"/>
  <c r="M437" i="13"/>
  <c r="R437" i="13" s="1"/>
  <c r="M438" i="13"/>
  <c r="R438" i="13" s="1"/>
  <c r="AJ430" i="13"/>
  <c r="AJ431" i="13"/>
  <c r="AJ432" i="13"/>
  <c r="AJ433" i="13"/>
  <c r="AJ434" i="13"/>
  <c r="AJ435" i="13"/>
  <c r="AJ436" i="13"/>
  <c r="AJ437" i="13"/>
  <c r="AJ438" i="13"/>
  <c r="AO430" i="13"/>
  <c r="AO431" i="13"/>
  <c r="AO432" i="13"/>
  <c r="AO433" i="13"/>
  <c r="AO434" i="13"/>
  <c r="AO435" i="13"/>
  <c r="AO436" i="13"/>
  <c r="AO437" i="13"/>
  <c r="AO438" i="13"/>
  <c r="R188" i="16" l="1"/>
  <c r="AH689" i="13" s="1" a="1"/>
  <c r="AH689" i="13" s="1"/>
  <c r="AI689" i="13" s="1"/>
  <c r="AI587" i="13"/>
  <c r="Q560" i="13"/>
  <c r="AD560" i="13" s="1"/>
  <c r="AQ560" i="13" s="1"/>
  <c r="AI560" i="13"/>
  <c r="Q709" i="13"/>
  <c r="AD709" i="13" s="1"/>
  <c r="AQ709" i="13" s="1"/>
  <c r="AI709" i="13"/>
  <c r="R185" i="16"/>
  <c r="AH685" i="13" s="1" a="1"/>
  <c r="AH685" i="13" s="1"/>
  <c r="R173" i="16"/>
  <c r="U183" i="16" s="1" a="1"/>
  <c r="U183" i="16" s="1"/>
  <c r="P674" i="13" s="1"/>
  <c r="S432" i="13"/>
  <c r="Q712" i="13"/>
  <c r="AD712" i="13" s="1"/>
  <c r="AQ712" i="13" s="1"/>
  <c r="AI712" i="13"/>
  <c r="N438" i="13"/>
  <c r="Q438" i="13" s="1"/>
  <c r="S438" i="13"/>
  <c r="N430" i="13"/>
  <c r="AM430" i="13" s="1"/>
  <c r="S430" i="13"/>
  <c r="N435" i="13"/>
  <c r="AM435" i="13" s="1"/>
  <c r="S435" i="13"/>
  <c r="N431" i="13"/>
  <c r="Q431" i="13" s="1"/>
  <c r="S431" i="13"/>
  <c r="N434" i="13"/>
  <c r="AM434" i="13" s="1"/>
  <c r="S434" i="13"/>
  <c r="N437" i="13"/>
  <c r="Q437" i="13" s="1"/>
  <c r="S437" i="13"/>
  <c r="O433" i="13"/>
  <c r="S433" i="13"/>
  <c r="N436" i="13"/>
  <c r="Q436" i="13" s="1"/>
  <c r="S436" i="13"/>
  <c r="Q705" i="13"/>
  <c r="AD705" i="13" s="1"/>
  <c r="AQ705" i="13" s="1"/>
  <c r="AI705" i="13"/>
  <c r="T170" i="16"/>
  <c r="R170" i="16"/>
  <c r="T168" i="16"/>
  <c r="AI708" i="13"/>
  <c r="T166" i="16"/>
  <c r="R166" i="16"/>
  <c r="T164" i="16"/>
  <c r="AI688" i="13"/>
  <c r="T159" i="16"/>
  <c r="Q468" i="13"/>
  <c r="AD468" i="13" s="1"/>
  <c r="AQ468" i="13" s="1"/>
  <c r="AI468" i="13"/>
  <c r="T151" i="16"/>
  <c r="R144" i="16"/>
  <c r="R126" i="16"/>
  <c r="R110" i="16"/>
  <c r="T110" i="16"/>
  <c r="T109" i="16"/>
  <c r="T105" i="16"/>
  <c r="R100" i="16"/>
  <c r="R30" i="16"/>
  <c r="G432" i="13"/>
  <c r="AL432" i="13" s="1"/>
  <c r="H430" i="13"/>
  <c r="AG430" i="13" a="1"/>
  <c r="AG430" i="13" s="1"/>
  <c r="G434" i="13"/>
  <c r="AL434" i="13" s="1"/>
  <c r="AG432" i="13" a="1"/>
  <c r="AG432" i="13" s="1"/>
  <c r="AG434" i="13" a="1"/>
  <c r="AG434" i="13" s="1"/>
  <c r="H438" i="13"/>
  <c r="I433" i="13"/>
  <c r="AG438" i="13" a="1"/>
  <c r="AG438" i="13" s="1"/>
  <c r="AH435" i="13" a="1"/>
  <c r="AH435" i="13" s="1"/>
  <c r="K431" i="13"/>
  <c r="AP431" i="13" s="1"/>
  <c r="O431" i="13"/>
  <c r="P434" i="13"/>
  <c r="O435" i="13"/>
  <c r="K435" i="13"/>
  <c r="AP435" i="13" s="1"/>
  <c r="N433" i="13"/>
  <c r="AM433" i="13" s="1"/>
  <c r="AL430" i="13"/>
  <c r="AG436" i="13" a="1"/>
  <c r="AG436" i="13" s="1"/>
  <c r="H436" i="13"/>
  <c r="J438" i="13"/>
  <c r="AL438" i="13"/>
  <c r="P438" i="13"/>
  <c r="O436" i="13"/>
  <c r="N432" i="13"/>
  <c r="T435" i="13"/>
  <c r="O432" i="13"/>
  <c r="O437" i="13"/>
  <c r="T434" i="13"/>
  <c r="AH433" i="13" a="1"/>
  <c r="AH433" i="13" s="1"/>
  <c r="R436" i="13"/>
  <c r="AP436" i="13" s="1"/>
  <c r="AH437" i="13" a="1"/>
  <c r="AH437" i="13" s="1"/>
  <c r="T431" i="13"/>
  <c r="P431" i="13"/>
  <c r="AH436" i="13" a="1"/>
  <c r="AH436" i="13" s="1"/>
  <c r="AH431" i="13" a="1"/>
  <c r="AH431" i="13" s="1"/>
  <c r="P435" i="13"/>
  <c r="P430" i="13"/>
  <c r="H435" i="13"/>
  <c r="J436" i="13"/>
  <c r="I437" i="13"/>
  <c r="T438" i="13"/>
  <c r="T430" i="13"/>
  <c r="K430" i="13"/>
  <c r="AP430" i="13" s="1"/>
  <c r="K434" i="13"/>
  <c r="AP434" i="13" s="1"/>
  <c r="I434" i="13"/>
  <c r="G431" i="13"/>
  <c r="AL431" i="13" s="1"/>
  <c r="AG435" i="13" a="1"/>
  <c r="AG435" i="13" s="1"/>
  <c r="AG431" i="13" a="1"/>
  <c r="AG431" i="13" s="1"/>
  <c r="I438" i="13"/>
  <c r="AP433" i="13"/>
  <c r="J433" i="13"/>
  <c r="AL433" i="13"/>
  <c r="AP438" i="13"/>
  <c r="J437" i="13"/>
  <c r="AL437" i="13"/>
  <c r="AP437" i="13"/>
  <c r="AH438" i="13" a="1"/>
  <c r="AH438" i="13" s="1"/>
  <c r="AH434" i="13" a="1"/>
  <c r="AH434" i="13" s="1"/>
  <c r="AH430" i="13" a="1"/>
  <c r="AH430" i="13" s="1"/>
  <c r="AG437" i="13" a="1"/>
  <c r="AG437" i="13" s="1"/>
  <c r="AG433" i="13" a="1"/>
  <c r="AG433" i="13" s="1"/>
  <c r="T437" i="13"/>
  <c r="T433" i="13"/>
  <c r="P437" i="13"/>
  <c r="P433" i="13"/>
  <c r="O438" i="13"/>
  <c r="O434" i="13"/>
  <c r="O430" i="13"/>
  <c r="J435" i="13"/>
  <c r="I436" i="13"/>
  <c r="I432" i="13"/>
  <c r="H437" i="13"/>
  <c r="H433" i="13"/>
  <c r="T436" i="13"/>
  <c r="T432" i="13"/>
  <c r="D14" i="16"/>
  <c r="E14" i="16" a="1"/>
  <c r="E14" i="16" s="1"/>
  <c r="N14" i="16"/>
  <c r="S14" i="16"/>
  <c r="U14" i="16" a="1"/>
  <c r="U14" i="16" s="1"/>
  <c r="D13" i="16"/>
  <c r="E13" i="16" a="1"/>
  <c r="E13" i="16" s="1"/>
  <c r="N13" i="16"/>
  <c r="M13" i="16" s="1"/>
  <c r="S13" i="16"/>
  <c r="U13" i="16" a="1"/>
  <c r="U13" i="16" s="1"/>
  <c r="D12" i="16"/>
  <c r="E12" i="16" a="1"/>
  <c r="E12" i="16" s="1"/>
  <c r="N12" i="16"/>
  <c r="M12" i="16" s="1"/>
  <c r="S12" i="16"/>
  <c r="U12" i="16" a="1"/>
  <c r="U12" i="16" s="1"/>
  <c r="AH682" i="13" l="1" a="1"/>
  <c r="AH682" i="13" s="1"/>
  <c r="AI682" i="13" s="1"/>
  <c r="R194" i="16"/>
  <c r="Q689" i="13"/>
  <c r="AD689" i="13" s="1"/>
  <c r="AQ689" i="13" s="1"/>
  <c r="R190" i="16"/>
  <c r="AH671" i="13" s="1" a="1"/>
  <c r="AH671" i="13" s="1"/>
  <c r="Q430" i="13"/>
  <c r="AD430" i="13" s="1"/>
  <c r="Q685" i="13"/>
  <c r="AD685" i="13" s="1"/>
  <c r="AQ685" i="13" s="1"/>
  <c r="AI685" i="13"/>
  <c r="T183" i="16"/>
  <c r="R674" i="13" s="1"/>
  <c r="AP674" i="13" s="1"/>
  <c r="R183" i="16"/>
  <c r="AH674" i="13" s="1" a="1"/>
  <c r="AH674" i="13" s="1"/>
  <c r="Q435" i="13"/>
  <c r="AD435" i="13" s="1"/>
  <c r="Q434" i="13"/>
  <c r="AM431" i="13"/>
  <c r="AM438" i="13"/>
  <c r="AM437" i="13"/>
  <c r="AM436" i="13"/>
  <c r="AD436" i="13"/>
  <c r="Q682" i="13"/>
  <c r="AD682" i="13" s="1"/>
  <c r="AQ682" i="13" s="1"/>
  <c r="R153" i="16"/>
  <c r="T153" i="16"/>
  <c r="R134" i="16"/>
  <c r="T134" i="16"/>
  <c r="U134" i="16" a="1"/>
  <c r="U134" i="16" s="1"/>
  <c r="R128" i="16"/>
  <c r="R104" i="16"/>
  <c r="U106" i="16" s="1" a="1"/>
  <c r="U106" i="16" s="1"/>
  <c r="P503" i="13" s="1"/>
  <c r="T104" i="16"/>
  <c r="T33" i="16"/>
  <c r="R33" i="16"/>
  <c r="J432" i="13"/>
  <c r="AA434" i="13"/>
  <c r="J434" i="13"/>
  <c r="J431" i="13"/>
  <c r="AD431" i="13" s="1"/>
  <c r="AD438" i="13"/>
  <c r="AM432" i="13"/>
  <c r="Q433" i="13"/>
  <c r="AD433" i="13" s="1"/>
  <c r="AA435" i="13"/>
  <c r="AA436" i="13"/>
  <c r="AA430" i="13"/>
  <c r="AD437" i="13"/>
  <c r="AA432" i="13"/>
  <c r="AA438" i="13"/>
  <c r="M14" i="16"/>
  <c r="AA431" i="13"/>
  <c r="AA433" i="13"/>
  <c r="AA437" i="13"/>
  <c r="AB437" i="13" s="1"/>
  <c r="D11" i="16"/>
  <c r="E11" i="16" a="1"/>
  <c r="E11" i="16" s="1"/>
  <c r="N11" i="16"/>
  <c r="M11" i="16" s="1"/>
  <c r="S11" i="16"/>
  <c r="U11" i="16" a="1"/>
  <c r="U11" i="16" s="1"/>
  <c r="Q671" i="13" l="1"/>
  <c r="AD671" i="13" s="1"/>
  <c r="AQ671" i="13" s="1"/>
  <c r="AI671" i="13"/>
  <c r="Q674" i="13"/>
  <c r="AD674" i="13" s="1"/>
  <c r="AQ674" i="13" s="1"/>
  <c r="AI674" i="13"/>
  <c r="AD434" i="13"/>
  <c r="R165" i="16"/>
  <c r="T165" i="16"/>
  <c r="R133" i="16"/>
  <c r="AE433" i="13"/>
  <c r="AB433" i="13"/>
  <c r="AE432" i="13"/>
  <c r="AB432" i="13"/>
  <c r="AI435" i="13"/>
  <c r="AB435" i="13"/>
  <c r="AE431" i="13"/>
  <c r="AB431" i="13"/>
  <c r="AK430" i="13"/>
  <c r="AQ430" i="13" s="1"/>
  <c r="AB430" i="13"/>
  <c r="AE434" i="13"/>
  <c r="AB434" i="13"/>
  <c r="AI438" i="13"/>
  <c r="AB438" i="13"/>
  <c r="AE436" i="13"/>
  <c r="AB436" i="13"/>
  <c r="T106" i="16"/>
  <c r="R503" i="13" s="1"/>
  <c r="AP503" i="13" s="1"/>
  <c r="R106" i="16"/>
  <c r="R108" i="16" s="1"/>
  <c r="T36" i="16"/>
  <c r="R36" i="16"/>
  <c r="AI434" i="13"/>
  <c r="AF434" i="13"/>
  <c r="AK434" i="13"/>
  <c r="AI436" i="13"/>
  <c r="AF436" i="13"/>
  <c r="AK436" i="13"/>
  <c r="AQ436" i="13" s="1"/>
  <c r="AF432" i="13"/>
  <c r="AE430" i="13"/>
  <c r="AF430" i="13"/>
  <c r="AF433" i="13"/>
  <c r="AK432" i="13"/>
  <c r="AK435" i="13"/>
  <c r="AQ435" i="13" s="1"/>
  <c r="AE435" i="13"/>
  <c r="AK438" i="13"/>
  <c r="AQ438" i="13" s="1"/>
  <c r="AF435" i="13"/>
  <c r="AI430" i="13"/>
  <c r="AE438" i="13"/>
  <c r="AF438" i="13"/>
  <c r="AI433" i="13"/>
  <c r="AK433" i="13"/>
  <c r="AQ433" i="13" s="1"/>
  <c r="AI431" i="13"/>
  <c r="AK431" i="13"/>
  <c r="AQ431" i="13" s="1"/>
  <c r="AF431" i="13"/>
  <c r="AI437" i="13"/>
  <c r="AE437" i="13"/>
  <c r="AK437" i="13"/>
  <c r="AQ437" i="13" s="1"/>
  <c r="AF437" i="13"/>
  <c r="R187" i="16" l="1"/>
  <c r="AH659" i="13" s="1" a="1"/>
  <c r="AH659" i="13" s="1"/>
  <c r="AQ434" i="13"/>
  <c r="R140" i="16"/>
  <c r="R149" i="16" s="1"/>
  <c r="R112" i="16"/>
  <c r="T112" i="16"/>
  <c r="T108" i="16"/>
  <c r="T40" i="16"/>
  <c r="R40" i="16"/>
  <c r="Q659" i="13" l="1"/>
  <c r="AD659" i="13" s="1"/>
  <c r="AQ659" i="13" s="1"/>
  <c r="AI659" i="13"/>
  <c r="R158" i="16"/>
  <c r="T158" i="16"/>
  <c r="R113" i="16"/>
  <c r="T113" i="16"/>
  <c r="T43" i="16"/>
  <c r="R43" i="16"/>
  <c r="T180" i="16" l="1"/>
  <c r="R180" i="16"/>
  <c r="AH570" i="13" s="1" a="1"/>
  <c r="AH570" i="13" s="1"/>
  <c r="Q570" i="13" s="1"/>
  <c r="AD570" i="13" s="1"/>
  <c r="AQ570" i="13" s="1"/>
  <c r="R115" i="16"/>
  <c r="T115" i="16"/>
  <c r="T47" i="16"/>
  <c r="R47" i="16"/>
  <c r="R50" i="16" s="1"/>
  <c r="Y262" i="6"/>
  <c r="Y263" i="6"/>
  <c r="Y264" i="6"/>
  <c r="Y265" i="6"/>
  <c r="Y261" i="6"/>
  <c r="AI570" i="13" l="1"/>
  <c r="R117" i="16"/>
  <c r="T53" i="16"/>
  <c r="R53" i="16"/>
  <c r="T118" i="16" l="1"/>
  <c r="R118" i="16"/>
  <c r="T56" i="16"/>
  <c r="R56" i="16"/>
  <c r="D7" i="16"/>
  <c r="E7" i="16" a="1"/>
  <c r="E7" i="16" s="1"/>
  <c r="N7" i="16"/>
  <c r="M7" i="16" s="1"/>
  <c r="S7" i="16"/>
  <c r="U7" i="16" a="1"/>
  <c r="U7" i="16" s="1"/>
  <c r="T119" i="16" l="1"/>
  <c r="R119" i="16"/>
  <c r="T57" i="16"/>
  <c r="R432" i="13" s="1"/>
  <c r="AP432" i="13" s="1"/>
  <c r="R57" i="16"/>
  <c r="R121" i="16" l="1"/>
  <c r="T121" i="16"/>
  <c r="AH432" i="13" a="1"/>
  <c r="AH432" i="13" s="1"/>
  <c r="Q432" i="13" s="1"/>
  <c r="AD432" i="13" s="1"/>
  <c r="AQ432" i="13" s="1"/>
  <c r="U57" i="16" a="1"/>
  <c r="U57" i="16" s="1"/>
  <c r="P432" i="13" s="1"/>
  <c r="AI432" i="13"/>
  <c r="D10" i="16"/>
  <c r="E10" i="16" a="1"/>
  <c r="E10" i="16" s="1"/>
  <c r="N10" i="16"/>
  <c r="M10" i="16" s="1"/>
  <c r="S10" i="16"/>
  <c r="U10" i="16" a="1"/>
  <c r="U10" i="16" s="1"/>
  <c r="D9" i="16"/>
  <c r="E9" i="16" a="1"/>
  <c r="E9" i="16" s="1"/>
  <c r="N9" i="16"/>
  <c r="O102" i="16" s="1"/>
  <c r="S9" i="16"/>
  <c r="U9" i="16" a="1"/>
  <c r="U9" i="16" s="1"/>
  <c r="D8" i="16"/>
  <c r="E8" i="16" a="1"/>
  <c r="E8" i="16" s="1"/>
  <c r="N8" i="16"/>
  <c r="S8" i="16"/>
  <c r="U8" i="16" a="1"/>
  <c r="U8" i="16" s="1"/>
  <c r="R125" i="16" l="1"/>
  <c r="O95" i="16"/>
  <c r="O99" i="16"/>
  <c r="O85" i="16"/>
  <c r="O91" i="16"/>
  <c r="O80" i="16"/>
  <c r="O82" i="16"/>
  <c r="O76" i="16"/>
  <c r="O79" i="16"/>
  <c r="O74" i="16"/>
  <c r="O73" i="16"/>
  <c r="O70" i="16"/>
  <c r="O72" i="16"/>
  <c r="O68" i="16"/>
  <c r="O64" i="16"/>
  <c r="O66" i="16"/>
  <c r="O61" i="16"/>
  <c r="O63" i="16"/>
  <c r="O59" i="16"/>
  <c r="O52" i="16"/>
  <c r="O55" i="16"/>
  <c r="O46" i="16"/>
  <c r="O49" i="16"/>
  <c r="O29" i="16"/>
  <c r="O44" i="16"/>
  <c r="O39" i="16"/>
  <c r="O42" i="16"/>
  <c r="O31" i="16"/>
  <c r="O35" i="16"/>
  <c r="O17" i="16"/>
  <c r="O26" i="16"/>
  <c r="O22" i="16"/>
  <c r="O27" i="16"/>
  <c r="O23" i="16"/>
  <c r="O18" i="16"/>
  <c r="O21" i="16"/>
  <c r="O9" i="16"/>
  <c r="O12" i="16"/>
  <c r="O8" i="16"/>
  <c r="O13" i="16"/>
  <c r="M9" i="16"/>
  <c r="M8" i="16"/>
  <c r="R129" i="16" l="1"/>
  <c r="R9" i="16"/>
  <c r="R8" i="16"/>
  <c r="E4" i="13"/>
  <c r="G4" i="13" s="1"/>
  <c r="J4" i="13" s="1"/>
  <c r="E5" i="13"/>
  <c r="E6" i="13"/>
  <c r="G6" i="13" s="1"/>
  <c r="J6" i="13" s="1"/>
  <c r="E8" i="13"/>
  <c r="G8" i="13" s="1"/>
  <c r="AL8" i="13" s="1"/>
  <c r="E9" i="13"/>
  <c r="G9" i="13" s="1"/>
  <c r="J9" i="13" s="1"/>
  <c r="E11" i="13"/>
  <c r="G11" i="13" s="1"/>
  <c r="E12" i="13"/>
  <c r="AG12" i="13" s="1" a="1"/>
  <c r="AG12" i="13" s="1"/>
  <c r="E13" i="13"/>
  <c r="G13" i="13" s="1"/>
  <c r="J13" i="13" s="1"/>
  <c r="E16" i="13"/>
  <c r="H16" i="13" s="1"/>
  <c r="E17" i="13"/>
  <c r="G17" i="13" s="1"/>
  <c r="J17" i="13" s="1"/>
  <c r="E20" i="13"/>
  <c r="E21" i="13"/>
  <c r="G21" i="13" s="1"/>
  <c r="J21" i="13" s="1"/>
  <c r="E22" i="13"/>
  <c r="H22" i="13" s="1"/>
  <c r="E23" i="13"/>
  <c r="G23" i="13" s="1"/>
  <c r="E24" i="13"/>
  <c r="G24" i="13" s="1"/>
  <c r="J24" i="13" s="1"/>
  <c r="E25" i="13"/>
  <c r="G25" i="13" s="1"/>
  <c r="J25" i="13" s="1"/>
  <c r="E29" i="13"/>
  <c r="H29" i="13" s="1"/>
  <c r="E31" i="13"/>
  <c r="G31" i="13" s="1"/>
  <c r="J31" i="13" s="1"/>
  <c r="E33" i="13"/>
  <c r="AG33" i="13" s="1" a="1"/>
  <c r="AG33" i="13" s="1"/>
  <c r="E34" i="13"/>
  <c r="E35" i="13"/>
  <c r="G35" i="13" s="1"/>
  <c r="E36" i="13"/>
  <c r="G36" i="13" s="1"/>
  <c r="J36" i="13" s="1"/>
  <c r="E37" i="13"/>
  <c r="AG37" i="13" s="1" a="1"/>
  <c r="AG37" i="13" s="1"/>
  <c r="E38" i="13"/>
  <c r="E39" i="13"/>
  <c r="G39" i="13" s="1"/>
  <c r="J39" i="13" s="1"/>
  <c r="E40" i="13"/>
  <c r="AG40" i="13" s="1" a="1"/>
  <c r="AG40" i="13" s="1"/>
  <c r="E42" i="13"/>
  <c r="H42" i="13" s="1"/>
  <c r="E45" i="13"/>
  <c r="G45" i="13" s="1"/>
  <c r="J45" i="13" s="1"/>
  <c r="E46" i="13"/>
  <c r="H46" i="13" s="1"/>
  <c r="E48" i="13"/>
  <c r="G48" i="13" s="1"/>
  <c r="J48" i="13" s="1"/>
  <c r="E50" i="13"/>
  <c r="H50" i="13" s="1"/>
  <c r="E54" i="13"/>
  <c r="G54" i="13" s="1"/>
  <c r="E55" i="13"/>
  <c r="H55" i="13" s="1"/>
  <c r="E56" i="13"/>
  <c r="H56" i="13" s="1"/>
  <c r="E57" i="13"/>
  <c r="G57" i="13" s="1"/>
  <c r="J57" i="13" s="1"/>
  <c r="E58" i="13"/>
  <c r="G58" i="13" s="1"/>
  <c r="AL58" i="13" s="1"/>
  <c r="E59" i="13"/>
  <c r="G59" i="13" s="1"/>
  <c r="E61" i="13"/>
  <c r="AG61" i="13" s="1" a="1"/>
  <c r="AG61" i="13" s="1"/>
  <c r="E64" i="13"/>
  <c r="AG64" i="13" s="1" a="1"/>
  <c r="AG64" i="13" s="1"/>
  <c r="E67" i="13"/>
  <c r="G67" i="13" s="1"/>
  <c r="J67" i="13" s="1"/>
  <c r="E71" i="13"/>
  <c r="H71" i="13" s="1"/>
  <c r="E72" i="13"/>
  <c r="G72" i="13" s="1"/>
  <c r="AL72" i="13" s="1"/>
  <c r="E74" i="13"/>
  <c r="E79" i="13"/>
  <c r="G79" i="13" s="1"/>
  <c r="AL79" i="13" s="1"/>
  <c r="E80" i="13"/>
  <c r="H80" i="13" s="1"/>
  <c r="E82" i="13"/>
  <c r="AG82" i="13" s="1" a="1"/>
  <c r="AG82" i="13" s="1"/>
  <c r="E84" i="13"/>
  <c r="G84" i="13" s="1"/>
  <c r="AL84" i="13" s="1"/>
  <c r="E85" i="13"/>
  <c r="G85" i="13" s="1"/>
  <c r="J85" i="13" s="1"/>
  <c r="E86" i="13"/>
  <c r="H86" i="13" s="1"/>
  <c r="E89" i="13"/>
  <c r="G89" i="13" s="1"/>
  <c r="J89" i="13" s="1"/>
  <c r="E92" i="13"/>
  <c r="AG92" i="13" s="1" a="1"/>
  <c r="AG92" i="13" s="1"/>
  <c r="E95" i="13"/>
  <c r="E97" i="13"/>
  <c r="E98" i="13"/>
  <c r="H98" i="13" s="1"/>
  <c r="E99" i="13"/>
  <c r="AG99" i="13" s="1" a="1"/>
  <c r="AG99" i="13" s="1"/>
  <c r="E100" i="13"/>
  <c r="G100" i="13" s="1"/>
  <c r="J100" i="13" s="1"/>
  <c r="E101" i="13"/>
  <c r="H101" i="13" s="1"/>
  <c r="E102" i="13"/>
  <c r="G102" i="13" s="1"/>
  <c r="AL102" i="13" s="1"/>
  <c r="E103" i="13"/>
  <c r="H103" i="13" s="1"/>
  <c r="E104" i="13"/>
  <c r="G104" i="13" s="1"/>
  <c r="J104" i="13" s="1"/>
  <c r="E105" i="13"/>
  <c r="H105" i="13" s="1"/>
  <c r="E106" i="13"/>
  <c r="AG106" i="13" s="1" a="1"/>
  <c r="AG106" i="13" s="1"/>
  <c r="E107" i="13"/>
  <c r="E108" i="13"/>
  <c r="G108" i="13" s="1"/>
  <c r="J108" i="13" s="1"/>
  <c r="E109" i="13"/>
  <c r="H109" i="13" s="1"/>
  <c r="E110" i="13"/>
  <c r="H110" i="13" s="1"/>
  <c r="E111" i="13"/>
  <c r="G111" i="13" s="1"/>
  <c r="E112" i="13"/>
  <c r="G112" i="13" s="1"/>
  <c r="J112" i="13" s="1"/>
  <c r="E114" i="13"/>
  <c r="G114" i="13" s="1"/>
  <c r="J114" i="13" s="1"/>
  <c r="E115" i="13"/>
  <c r="H115" i="13" s="1"/>
  <c r="E116" i="13"/>
  <c r="AG116" i="13" s="1" a="1"/>
  <c r="AG116" i="13" s="1"/>
  <c r="E117" i="13"/>
  <c r="G117" i="13" s="1"/>
  <c r="J117" i="13" s="1"/>
  <c r="E118" i="13"/>
  <c r="H118" i="13" s="1"/>
  <c r="E119" i="13"/>
  <c r="H119" i="13" s="1"/>
  <c r="E122" i="13"/>
  <c r="E124" i="13"/>
  <c r="G124" i="13" s="1"/>
  <c r="J124" i="13" s="1"/>
  <c r="E126" i="13"/>
  <c r="H126" i="13" s="1"/>
  <c r="E128" i="13"/>
  <c r="G128" i="13" s="1"/>
  <c r="J128" i="13" s="1"/>
  <c r="E129" i="13"/>
  <c r="H129" i="13" s="1"/>
  <c r="E130" i="13"/>
  <c r="G130" i="13" s="1"/>
  <c r="J130" i="13" s="1"/>
  <c r="E131" i="13"/>
  <c r="G131" i="13" s="1"/>
  <c r="E133" i="13"/>
  <c r="G133" i="13" s="1"/>
  <c r="J133" i="13" s="1"/>
  <c r="E134" i="13"/>
  <c r="AG134" i="13" s="1" a="1"/>
  <c r="AG134" i="13" s="1"/>
  <c r="E135" i="13"/>
  <c r="G135" i="13" s="1"/>
  <c r="J135" i="13" s="1"/>
  <c r="E137" i="13"/>
  <c r="G137" i="13" s="1"/>
  <c r="J137" i="13" s="1"/>
  <c r="E138" i="13"/>
  <c r="E139" i="13"/>
  <c r="AG139" i="13" s="1" a="1"/>
  <c r="AG139" i="13" s="1"/>
  <c r="E140" i="13"/>
  <c r="G140" i="13" s="1"/>
  <c r="J140" i="13" s="1"/>
  <c r="E141" i="13"/>
  <c r="H141" i="13" s="1"/>
  <c r="E142" i="13"/>
  <c r="G142" i="13" s="1"/>
  <c r="J142" i="13" s="1"/>
  <c r="E143" i="13"/>
  <c r="H143" i="13" s="1"/>
  <c r="E145" i="13"/>
  <c r="E146" i="13"/>
  <c r="H146" i="13" s="1"/>
  <c r="E147" i="13"/>
  <c r="G147" i="13" s="1"/>
  <c r="E148" i="13"/>
  <c r="E149" i="13"/>
  <c r="G149" i="13" s="1"/>
  <c r="J149" i="13" s="1"/>
  <c r="E150" i="13"/>
  <c r="G150" i="13" s="1"/>
  <c r="E151" i="13"/>
  <c r="G151" i="13" s="1"/>
  <c r="J151" i="13" s="1"/>
  <c r="E152" i="13"/>
  <c r="G152" i="13" s="1"/>
  <c r="J152" i="13" s="1"/>
  <c r="E153" i="13"/>
  <c r="G153" i="13" s="1"/>
  <c r="J153" i="13" s="1"/>
  <c r="E154" i="13"/>
  <c r="G154" i="13" s="1"/>
  <c r="J154" i="13" s="1"/>
  <c r="E155" i="13"/>
  <c r="G155" i="13" s="1"/>
  <c r="E156" i="13"/>
  <c r="AG156" i="13" s="1" a="1"/>
  <c r="AG156" i="13" s="1"/>
  <c r="E159" i="13"/>
  <c r="G159" i="13" s="1"/>
  <c r="J159" i="13" s="1"/>
  <c r="E161" i="13"/>
  <c r="H161" i="13" s="1"/>
  <c r="E162" i="13"/>
  <c r="G162" i="13" s="1"/>
  <c r="J162" i="13" s="1"/>
  <c r="E163" i="13"/>
  <c r="AG163" i="13" s="1" a="1"/>
  <c r="AG163" i="13" s="1"/>
  <c r="E164" i="13"/>
  <c r="G164" i="13" s="1"/>
  <c r="J164" i="13" s="1"/>
  <c r="E165" i="13"/>
  <c r="H165" i="13" s="1"/>
  <c r="E166" i="13"/>
  <c r="AG166" i="13" s="1" a="1"/>
  <c r="AG166" i="13" s="1"/>
  <c r="E167" i="13"/>
  <c r="G167" i="13" s="1"/>
  <c r="J167" i="13" s="1"/>
  <c r="E168" i="13"/>
  <c r="E169" i="13"/>
  <c r="G169" i="13" s="1"/>
  <c r="J169" i="13" s="1"/>
  <c r="E171" i="13"/>
  <c r="AG171" i="13" s="1" a="1"/>
  <c r="AG171" i="13" s="1"/>
  <c r="E173" i="13"/>
  <c r="AG173" i="13" s="1" a="1"/>
  <c r="AG173" i="13" s="1"/>
  <c r="E174" i="13"/>
  <c r="G174" i="13" s="1"/>
  <c r="J174" i="13" s="1"/>
  <c r="E175" i="13"/>
  <c r="G175" i="13" s="1"/>
  <c r="J175" i="13" s="1"/>
  <c r="E176" i="13"/>
  <c r="AG176" i="13" s="1" a="1"/>
  <c r="AG176" i="13" s="1"/>
  <c r="E177" i="13"/>
  <c r="AG177" i="13" s="1" a="1"/>
  <c r="AG177" i="13" s="1"/>
  <c r="E178" i="13"/>
  <c r="G178" i="13" s="1"/>
  <c r="J178" i="13" s="1"/>
  <c r="E179" i="13"/>
  <c r="H179" i="13" s="1"/>
  <c r="E180" i="13"/>
  <c r="E181" i="13"/>
  <c r="H181" i="13" s="1"/>
  <c r="E182" i="13"/>
  <c r="G182" i="13" s="1"/>
  <c r="AL182" i="13" s="1"/>
  <c r="E184" i="13"/>
  <c r="H184" i="13" s="1"/>
  <c r="E185" i="13"/>
  <c r="H185" i="13" s="1"/>
  <c r="E186" i="13"/>
  <c r="E187" i="13"/>
  <c r="H187" i="13" s="1"/>
  <c r="E188" i="13"/>
  <c r="G188" i="13" s="1"/>
  <c r="J188" i="13" s="1"/>
  <c r="E190" i="13"/>
  <c r="G190" i="13" s="1"/>
  <c r="J190" i="13" s="1"/>
  <c r="E192" i="13"/>
  <c r="G192" i="13" s="1"/>
  <c r="J192" i="13" s="1"/>
  <c r="E193" i="13"/>
  <c r="G193" i="13" s="1"/>
  <c r="AL193" i="13" s="1"/>
  <c r="E195" i="13"/>
  <c r="G195" i="13" s="1"/>
  <c r="J195" i="13" s="1"/>
  <c r="E198" i="13"/>
  <c r="H198" i="13" s="1"/>
  <c r="E199" i="13"/>
  <c r="AG199" i="13" s="1" a="1"/>
  <c r="AG199" i="13" s="1"/>
  <c r="E200" i="13"/>
  <c r="H200" i="13" s="1"/>
  <c r="E201" i="13"/>
  <c r="H201" i="13" s="1"/>
  <c r="E202" i="13"/>
  <c r="G202" i="13" s="1"/>
  <c r="J202" i="13" s="1"/>
  <c r="E204" i="13"/>
  <c r="E205" i="13"/>
  <c r="G205" i="13" s="1"/>
  <c r="E206" i="13"/>
  <c r="H206" i="13" s="1"/>
  <c r="E207" i="13"/>
  <c r="H207" i="13" s="1"/>
  <c r="E208" i="13"/>
  <c r="H208" i="13" s="1"/>
  <c r="E209" i="13"/>
  <c r="G209" i="13" s="1"/>
  <c r="J209" i="13" s="1"/>
  <c r="E211" i="13"/>
  <c r="G211" i="13" s="1"/>
  <c r="E212" i="13"/>
  <c r="H212" i="13" s="1"/>
  <c r="E213" i="13"/>
  <c r="AG213" i="13" s="1" a="1"/>
  <c r="AG213" i="13" s="1"/>
  <c r="E214" i="13"/>
  <c r="H214" i="13" s="1"/>
  <c r="E217" i="13"/>
  <c r="G217" i="13" s="1"/>
  <c r="J217" i="13" s="1"/>
  <c r="E218" i="13"/>
  <c r="AG218" i="13" s="1" a="1"/>
  <c r="AG218" i="13" s="1"/>
  <c r="E219" i="13"/>
  <c r="H219" i="13" s="1"/>
  <c r="E220" i="13"/>
  <c r="H220" i="13" s="1"/>
  <c r="E221" i="13"/>
  <c r="H221" i="13" s="1"/>
  <c r="E223" i="13"/>
  <c r="AG223" i="13" s="1" a="1"/>
  <c r="AG223" i="13" s="1"/>
  <c r="E228" i="13"/>
  <c r="H228" i="13" s="1"/>
  <c r="E229" i="13"/>
  <c r="E230" i="13"/>
  <c r="H230" i="13" s="1"/>
  <c r="E232" i="13"/>
  <c r="AG232" i="13" s="1" a="1"/>
  <c r="AG232" i="13" s="1"/>
  <c r="E233" i="13"/>
  <c r="AG233" i="13" s="1" a="1"/>
  <c r="AG233" i="13" s="1"/>
  <c r="E234" i="13"/>
  <c r="H234" i="13" s="1"/>
  <c r="E235" i="13"/>
  <c r="AG235" i="13" s="1" a="1"/>
  <c r="AG235" i="13" s="1"/>
  <c r="E236" i="13"/>
  <c r="E237" i="13"/>
  <c r="G237" i="13" s="1"/>
  <c r="J237" i="13" s="1"/>
  <c r="E238" i="13"/>
  <c r="E239" i="13"/>
  <c r="H239" i="13" s="1"/>
  <c r="E241" i="13"/>
  <c r="AG241" i="13" s="1" a="1"/>
  <c r="AG241" i="13" s="1"/>
  <c r="E242" i="13"/>
  <c r="AG242" i="13" s="1" a="1"/>
  <c r="AG242" i="13" s="1"/>
  <c r="E243" i="13"/>
  <c r="E245" i="13"/>
  <c r="G245" i="13" s="1"/>
  <c r="J245" i="13" s="1"/>
  <c r="E249" i="13"/>
  <c r="E252" i="13"/>
  <c r="H252" i="13" s="1"/>
  <c r="E253" i="13"/>
  <c r="E255" i="13"/>
  <c r="H255" i="13" s="1"/>
  <c r="E256" i="13"/>
  <c r="E257" i="13"/>
  <c r="G257" i="13" s="1"/>
  <c r="J257" i="13" s="1"/>
  <c r="E258" i="13"/>
  <c r="E259" i="13"/>
  <c r="E260" i="13"/>
  <c r="E261" i="13"/>
  <c r="AG261" i="13" s="1" a="1"/>
  <c r="AG261" i="13" s="1"/>
  <c r="E262" i="13"/>
  <c r="E264" i="13"/>
  <c r="G264" i="13" s="1"/>
  <c r="AL264" i="13" s="1"/>
  <c r="E265" i="13"/>
  <c r="AG265" i="13" s="1" a="1"/>
  <c r="AG265" i="13" s="1"/>
  <c r="E266" i="13"/>
  <c r="H266" i="13" s="1"/>
  <c r="E267" i="13"/>
  <c r="E268" i="13"/>
  <c r="H268" i="13" s="1"/>
  <c r="E269" i="13"/>
  <c r="H269" i="13" s="1"/>
  <c r="E270" i="13"/>
  <c r="E271" i="13"/>
  <c r="E272" i="13"/>
  <c r="H272" i="13" s="1"/>
  <c r="E273" i="13"/>
  <c r="H273" i="13" s="1"/>
  <c r="E274" i="13"/>
  <c r="AG274" i="13" s="1" a="1"/>
  <c r="AG274" i="13" s="1"/>
  <c r="E275" i="13"/>
  <c r="E276" i="13"/>
  <c r="AG276" i="13" s="1" a="1"/>
  <c r="AG276" i="13" s="1"/>
  <c r="E277" i="13"/>
  <c r="G277" i="13" s="1"/>
  <c r="J277" i="13" s="1"/>
  <c r="E278" i="13"/>
  <c r="AG278" i="13" s="1" a="1"/>
  <c r="AG278" i="13" s="1"/>
  <c r="E280" i="13"/>
  <c r="E281" i="13"/>
  <c r="G281" i="13" s="1"/>
  <c r="J281" i="13" s="1"/>
  <c r="E282" i="13"/>
  <c r="H282" i="13" s="1"/>
  <c r="E283" i="13"/>
  <c r="E284" i="13"/>
  <c r="E285" i="13"/>
  <c r="H285" i="13" s="1"/>
  <c r="E286" i="13"/>
  <c r="G286" i="13" s="1"/>
  <c r="J286" i="13" s="1"/>
  <c r="E287" i="13"/>
  <c r="G287" i="13" s="1"/>
  <c r="E288" i="13"/>
  <c r="E289" i="13"/>
  <c r="H289" i="13" s="1"/>
  <c r="E290" i="13"/>
  <c r="H290" i="13" s="1"/>
  <c r="E291" i="13"/>
  <c r="G291" i="13" s="1"/>
  <c r="J291" i="13" s="1"/>
  <c r="E293" i="13"/>
  <c r="E294" i="13"/>
  <c r="AG294" i="13" s="1" a="1"/>
  <c r="AG294" i="13" s="1"/>
  <c r="E295" i="13"/>
  <c r="G295" i="13" s="1"/>
  <c r="E296" i="13"/>
  <c r="H296" i="13" s="1"/>
  <c r="E297" i="13"/>
  <c r="E298" i="13"/>
  <c r="G298" i="13" s="1"/>
  <c r="J298" i="13" s="1"/>
  <c r="E299" i="13"/>
  <c r="H299" i="13" s="1"/>
  <c r="E300" i="13"/>
  <c r="H300" i="13" s="1"/>
  <c r="E302" i="13"/>
  <c r="E303" i="13"/>
  <c r="H303" i="13" s="1"/>
  <c r="E304" i="13"/>
  <c r="H304" i="13" s="1"/>
  <c r="E305" i="13"/>
  <c r="E306" i="13"/>
  <c r="E307" i="13"/>
  <c r="H307" i="13" s="1"/>
  <c r="E308" i="13"/>
  <c r="H308" i="13" s="1"/>
  <c r="E309" i="13"/>
  <c r="AG309" i="13" s="1" a="1"/>
  <c r="AG309" i="13" s="1"/>
  <c r="E310" i="13"/>
  <c r="E311" i="13"/>
  <c r="AG311" i="13" s="1" a="1"/>
  <c r="AG311" i="13" s="1"/>
  <c r="E312" i="13"/>
  <c r="H312" i="13" s="1"/>
  <c r="E313" i="13"/>
  <c r="AG313" i="13" s="1" a="1"/>
  <c r="AG313" i="13" s="1"/>
  <c r="E314" i="13"/>
  <c r="E315" i="13"/>
  <c r="G315" i="13" s="1"/>
  <c r="E316" i="13"/>
  <c r="H316" i="13" s="1"/>
  <c r="E320" i="13"/>
  <c r="E322" i="13"/>
  <c r="E329" i="13"/>
  <c r="H329" i="13" s="1"/>
  <c r="E330" i="13"/>
  <c r="H330" i="13" s="1"/>
  <c r="E337" i="13"/>
  <c r="G337" i="13" s="1"/>
  <c r="J337" i="13" s="1"/>
  <c r="E341" i="13"/>
  <c r="E345" i="13"/>
  <c r="H345" i="13" s="1"/>
  <c r="E376" i="13"/>
  <c r="H376" i="13" s="1"/>
  <c r="E385" i="13"/>
  <c r="G385" i="13" s="1"/>
  <c r="J385" i="13" s="1"/>
  <c r="E387" i="13"/>
  <c r="E388" i="13"/>
  <c r="AG388" i="13" s="1" a="1"/>
  <c r="AG388" i="13" s="1"/>
  <c r="E390" i="13"/>
  <c r="H390" i="13" s="1"/>
  <c r="E391" i="13"/>
  <c r="H391" i="13" s="1"/>
  <c r="E392" i="13"/>
  <c r="E395" i="13"/>
  <c r="G395" i="13" s="1"/>
  <c r="AL395" i="13" s="1"/>
  <c r="E396" i="13"/>
  <c r="E397" i="13"/>
  <c r="H397" i="13" s="1"/>
  <c r="E398" i="13"/>
  <c r="E399" i="13"/>
  <c r="H399" i="13" s="1"/>
  <c r="E401" i="13"/>
  <c r="AG401" i="13" s="1" a="1"/>
  <c r="AG401" i="13" s="1"/>
  <c r="E402" i="13"/>
  <c r="E403" i="13"/>
  <c r="E404" i="13"/>
  <c r="H404" i="13" s="1"/>
  <c r="E406" i="13"/>
  <c r="E407" i="13"/>
  <c r="AG407" i="13" s="1" a="1"/>
  <c r="AG407" i="13" s="1"/>
  <c r="E408" i="13"/>
  <c r="E409" i="13"/>
  <c r="AG409" i="13" s="1" a="1"/>
  <c r="AG409" i="13" s="1"/>
  <c r="E410" i="13"/>
  <c r="E411" i="13"/>
  <c r="AG411" i="13" s="1" a="1"/>
  <c r="AG411" i="13" s="1"/>
  <c r="E412" i="13"/>
  <c r="E413" i="13"/>
  <c r="E414" i="13"/>
  <c r="AG414" i="13" s="1" a="1"/>
  <c r="AG414" i="13" s="1"/>
  <c r="E420" i="13"/>
  <c r="E422" i="13"/>
  <c r="E423" i="13"/>
  <c r="H423" i="13" s="1"/>
  <c r="E424" i="13"/>
  <c r="H424" i="13" s="1"/>
  <c r="E425" i="13"/>
  <c r="E426" i="13"/>
  <c r="E427" i="13"/>
  <c r="H427" i="13" s="1"/>
  <c r="E428" i="13"/>
  <c r="H428" i="13" s="1"/>
  <c r="E429" i="13"/>
  <c r="F2" i="13"/>
  <c r="F4" i="13"/>
  <c r="I4" i="13" s="1"/>
  <c r="F5" i="13"/>
  <c r="F6" i="13"/>
  <c r="F8" i="13"/>
  <c r="F9" i="13"/>
  <c r="K9" i="13" s="1"/>
  <c r="F10" i="13"/>
  <c r="F11" i="13"/>
  <c r="F12" i="13"/>
  <c r="F13" i="13"/>
  <c r="K13" i="13" s="1"/>
  <c r="F14" i="13"/>
  <c r="F15" i="13"/>
  <c r="I15" i="13" s="1"/>
  <c r="F16" i="13"/>
  <c r="F17" i="13"/>
  <c r="I17" i="13" s="1"/>
  <c r="F18" i="13"/>
  <c r="F19" i="13"/>
  <c r="I19" i="13" s="1"/>
  <c r="F20" i="13"/>
  <c r="F21" i="13"/>
  <c r="I21" i="13" s="1"/>
  <c r="F22" i="13"/>
  <c r="F23" i="13"/>
  <c r="F24" i="13"/>
  <c r="F25" i="13"/>
  <c r="K25" i="13" s="1"/>
  <c r="F26" i="13"/>
  <c r="F28" i="13"/>
  <c r="F29" i="13"/>
  <c r="F30" i="13"/>
  <c r="F31" i="13"/>
  <c r="F32" i="13"/>
  <c r="K32" i="13" s="1"/>
  <c r="F33" i="13"/>
  <c r="F34" i="13"/>
  <c r="I34" i="13" s="1"/>
  <c r="F35" i="13"/>
  <c r="F36" i="13"/>
  <c r="K36" i="13" s="1"/>
  <c r="F37" i="13"/>
  <c r="F38" i="13"/>
  <c r="I38" i="13" s="1"/>
  <c r="F39" i="13"/>
  <c r="K39" i="13" s="1"/>
  <c r="F40" i="13"/>
  <c r="F41" i="13"/>
  <c r="F42" i="13"/>
  <c r="K42" i="13" s="1"/>
  <c r="F43" i="13"/>
  <c r="K43" i="13" s="1"/>
  <c r="F44" i="13"/>
  <c r="F45" i="13"/>
  <c r="F46" i="13"/>
  <c r="I46" i="13" s="1"/>
  <c r="F47" i="13"/>
  <c r="I47" i="13" s="1"/>
  <c r="F48" i="13"/>
  <c r="I48" i="13" s="1"/>
  <c r="F49" i="13"/>
  <c r="F50" i="13"/>
  <c r="I50" i="13" s="1"/>
  <c r="F51" i="13"/>
  <c r="K51" i="13" s="1"/>
  <c r="F52" i="13"/>
  <c r="F53" i="13"/>
  <c r="F54" i="13"/>
  <c r="K54" i="13" s="1"/>
  <c r="F55" i="13"/>
  <c r="F56" i="13"/>
  <c r="F57" i="13"/>
  <c r="F58" i="13"/>
  <c r="K58" i="13" s="1"/>
  <c r="F59" i="13"/>
  <c r="F60" i="13"/>
  <c r="F61" i="13"/>
  <c r="F62" i="13"/>
  <c r="F64" i="13"/>
  <c r="I64" i="13" s="1"/>
  <c r="F65" i="13"/>
  <c r="F66" i="13"/>
  <c r="F67" i="13"/>
  <c r="I67" i="13" s="1"/>
  <c r="F68" i="13"/>
  <c r="K68" i="13" s="1"/>
  <c r="F69" i="13"/>
  <c r="K69" i="13" s="1"/>
  <c r="F70" i="13"/>
  <c r="F71" i="13"/>
  <c r="K71" i="13" s="1"/>
  <c r="F72" i="13"/>
  <c r="I72" i="13" s="1"/>
  <c r="F74" i="13"/>
  <c r="F75" i="13"/>
  <c r="I75" i="13" s="1"/>
  <c r="F76" i="13"/>
  <c r="K76" i="13" s="1"/>
  <c r="F77" i="13"/>
  <c r="F78" i="13"/>
  <c r="F79" i="13"/>
  <c r="I79" i="13" s="1"/>
  <c r="F80" i="13"/>
  <c r="K80" i="13" s="1"/>
  <c r="F81" i="13"/>
  <c r="F82" i="13"/>
  <c r="I82" i="13" s="1"/>
  <c r="F84" i="13"/>
  <c r="I84" i="13" s="1"/>
  <c r="F85" i="13"/>
  <c r="I85" i="13" s="1"/>
  <c r="F86" i="13"/>
  <c r="K86" i="13" s="1"/>
  <c r="F87" i="13"/>
  <c r="F88" i="13"/>
  <c r="F89" i="13"/>
  <c r="K89" i="13" s="1"/>
  <c r="F90" i="13"/>
  <c r="F91" i="13"/>
  <c r="F92" i="13"/>
  <c r="I92" i="13" s="1"/>
  <c r="F93" i="13"/>
  <c r="F94" i="13"/>
  <c r="I94" i="13" s="1"/>
  <c r="F95" i="13"/>
  <c r="F97" i="13"/>
  <c r="I97" i="13" s="1"/>
  <c r="F98" i="13"/>
  <c r="K98" i="13" s="1"/>
  <c r="F99" i="13"/>
  <c r="F100" i="13"/>
  <c r="K100" i="13" s="1"/>
  <c r="F101" i="13"/>
  <c r="I101" i="13" s="1"/>
  <c r="F102" i="13"/>
  <c r="I102" i="13" s="1"/>
  <c r="F103" i="13"/>
  <c r="F104" i="13"/>
  <c r="K104" i="13" s="1"/>
  <c r="F105" i="13"/>
  <c r="I105" i="13" s="1"/>
  <c r="F106" i="13"/>
  <c r="I106" i="13" s="1"/>
  <c r="F107" i="13"/>
  <c r="I107" i="13" s="1"/>
  <c r="F108" i="13"/>
  <c r="F109" i="13"/>
  <c r="I109" i="13" s="1"/>
  <c r="F110" i="13"/>
  <c r="K110" i="13" s="1"/>
  <c r="F111" i="13"/>
  <c r="I111" i="13" s="1"/>
  <c r="F112" i="13"/>
  <c r="F113" i="13"/>
  <c r="I113" i="13" s="1"/>
  <c r="F114" i="13"/>
  <c r="I114" i="13" s="1"/>
  <c r="F115" i="13"/>
  <c r="F116" i="13"/>
  <c r="I116" i="13" s="1"/>
  <c r="F117" i="13"/>
  <c r="I117" i="13" s="1"/>
  <c r="F118" i="13"/>
  <c r="K118" i="13" s="1"/>
  <c r="F119" i="13"/>
  <c r="I119" i="13" s="1"/>
  <c r="F120" i="13"/>
  <c r="F121" i="13"/>
  <c r="F122" i="13"/>
  <c r="K122" i="13" s="1"/>
  <c r="F123" i="13"/>
  <c r="F124" i="13"/>
  <c r="F125" i="13"/>
  <c r="I125" i="13" s="1"/>
  <c r="F126" i="13"/>
  <c r="K126" i="13" s="1"/>
  <c r="F127" i="13"/>
  <c r="F128" i="13"/>
  <c r="F129" i="13"/>
  <c r="I129" i="13" s="1"/>
  <c r="F130" i="13"/>
  <c r="I130" i="13" s="1"/>
  <c r="F131" i="13"/>
  <c r="K131" i="13" s="1"/>
  <c r="F133" i="13"/>
  <c r="K133" i="13" s="1"/>
  <c r="F134" i="13"/>
  <c r="I134" i="13" s="1"/>
  <c r="F135" i="13"/>
  <c r="K135" i="13" s="1"/>
  <c r="F136" i="13"/>
  <c r="F137" i="13"/>
  <c r="K137" i="13" s="1"/>
  <c r="F138" i="13"/>
  <c r="I138" i="13" s="1"/>
  <c r="F139" i="13"/>
  <c r="K139" i="13" s="1"/>
  <c r="F140" i="13"/>
  <c r="K140" i="13" s="1"/>
  <c r="F141" i="13"/>
  <c r="F142" i="13"/>
  <c r="I142" i="13" s="1"/>
  <c r="F143" i="13"/>
  <c r="K143" i="13" s="1"/>
  <c r="F145" i="13"/>
  <c r="F146" i="13"/>
  <c r="F147" i="13"/>
  <c r="I147" i="13" s="1"/>
  <c r="F148" i="13"/>
  <c r="I148" i="13" s="1"/>
  <c r="F149" i="13"/>
  <c r="F150" i="13"/>
  <c r="I150" i="13" s="1"/>
  <c r="F151" i="13"/>
  <c r="I151" i="13" s="1"/>
  <c r="F152" i="13"/>
  <c r="I152" i="13" s="1"/>
  <c r="F153" i="13"/>
  <c r="I153" i="13" s="1"/>
  <c r="F154" i="13"/>
  <c r="I154" i="13" s="1"/>
  <c r="F155" i="13"/>
  <c r="I155" i="13" s="1"/>
  <c r="F156" i="13"/>
  <c r="K156" i="13" s="1"/>
  <c r="F157" i="13"/>
  <c r="F158" i="13"/>
  <c r="F159" i="13"/>
  <c r="I159" i="13" s="1"/>
  <c r="F160" i="13"/>
  <c r="I160" i="13" s="1"/>
  <c r="F161" i="13"/>
  <c r="F162" i="13"/>
  <c r="F163" i="13"/>
  <c r="I163" i="13" s="1"/>
  <c r="F164" i="13"/>
  <c r="K164" i="13" s="1"/>
  <c r="F165" i="13"/>
  <c r="K165" i="13" s="1"/>
  <c r="F166" i="13"/>
  <c r="K166" i="13" s="1"/>
  <c r="F167" i="13"/>
  <c r="I167" i="13" s="1"/>
  <c r="F168" i="13"/>
  <c r="K168" i="13" s="1"/>
  <c r="F169" i="13"/>
  <c r="I169" i="13" s="1"/>
  <c r="F170" i="13"/>
  <c r="F171" i="13"/>
  <c r="I171" i="13" s="1"/>
  <c r="F172" i="13"/>
  <c r="F173" i="13"/>
  <c r="F174" i="13"/>
  <c r="F175" i="13"/>
  <c r="I175" i="13" s="1"/>
  <c r="F176" i="13"/>
  <c r="I176" i="13" s="1"/>
  <c r="F177" i="13"/>
  <c r="K177" i="13" s="1"/>
  <c r="F178" i="13"/>
  <c r="F179" i="13"/>
  <c r="I179" i="13" s="1"/>
  <c r="F180" i="13"/>
  <c r="I180" i="13" s="1"/>
  <c r="F181" i="13"/>
  <c r="F182" i="13"/>
  <c r="I182" i="13" s="1"/>
  <c r="F183" i="13"/>
  <c r="F184" i="13"/>
  <c r="I184" i="13" s="1"/>
  <c r="F185" i="13"/>
  <c r="K185" i="13" s="1"/>
  <c r="F186" i="13"/>
  <c r="I186" i="13" s="1"/>
  <c r="F187" i="13"/>
  <c r="I187" i="13" s="1"/>
  <c r="F188" i="13"/>
  <c r="I188" i="13" s="1"/>
  <c r="F189" i="13"/>
  <c r="F190" i="13"/>
  <c r="F191" i="13"/>
  <c r="F192" i="13"/>
  <c r="I192" i="13" s="1"/>
  <c r="F193" i="13"/>
  <c r="I193" i="13" s="1"/>
  <c r="F195" i="13"/>
  <c r="F196" i="13"/>
  <c r="F197" i="13"/>
  <c r="K197" i="13" s="1"/>
  <c r="F198" i="13"/>
  <c r="F199" i="13"/>
  <c r="F200" i="13"/>
  <c r="I200" i="13" s="1"/>
  <c r="F201" i="13"/>
  <c r="I201" i="13" s="1"/>
  <c r="F202" i="13"/>
  <c r="I202" i="13" s="1"/>
  <c r="F203" i="13"/>
  <c r="F204" i="13"/>
  <c r="I204" i="13" s="1"/>
  <c r="F205" i="13"/>
  <c r="I205" i="13" s="1"/>
  <c r="F206" i="13"/>
  <c r="F207" i="13"/>
  <c r="F208" i="13"/>
  <c r="I208" i="13" s="1"/>
  <c r="F209" i="13"/>
  <c r="I209" i="13" s="1"/>
  <c r="F210" i="13"/>
  <c r="F211" i="13"/>
  <c r="K211" i="13" s="1"/>
  <c r="F212" i="13"/>
  <c r="F213" i="13"/>
  <c r="I213" i="13" s="1"/>
  <c r="F214" i="13"/>
  <c r="F217" i="13"/>
  <c r="K217" i="13" s="1"/>
  <c r="F218" i="13"/>
  <c r="I218" i="13" s="1"/>
  <c r="F219" i="13"/>
  <c r="I219" i="13" s="1"/>
  <c r="F220" i="13"/>
  <c r="K220" i="13" s="1"/>
  <c r="F221" i="13"/>
  <c r="F222" i="13"/>
  <c r="I222" i="13" s="1"/>
  <c r="F223" i="13"/>
  <c r="I223" i="13" s="1"/>
  <c r="F224" i="13"/>
  <c r="F226" i="13"/>
  <c r="I226" i="13" s="1"/>
  <c r="F227" i="13"/>
  <c r="F228" i="13"/>
  <c r="K228" i="13" s="1"/>
  <c r="F229" i="13"/>
  <c r="K229" i="13" s="1"/>
  <c r="F230" i="13"/>
  <c r="K230" i="13" s="1"/>
  <c r="F232" i="13"/>
  <c r="I232" i="13" s="1"/>
  <c r="F233" i="13"/>
  <c r="I233" i="13" s="1"/>
  <c r="F234" i="13"/>
  <c r="F235" i="13"/>
  <c r="K235" i="13" s="1"/>
  <c r="F236" i="13"/>
  <c r="I236" i="13" s="1"/>
  <c r="F237" i="13"/>
  <c r="I237" i="13" s="1"/>
  <c r="F238" i="13"/>
  <c r="I238" i="13" s="1"/>
  <c r="F239" i="13"/>
  <c r="I239" i="13" s="1"/>
  <c r="F240" i="13"/>
  <c r="F241" i="13"/>
  <c r="I241" i="13" s="1"/>
  <c r="F242" i="13"/>
  <c r="F243" i="13"/>
  <c r="I243" i="13" s="1"/>
  <c r="F244" i="13"/>
  <c r="F245" i="13"/>
  <c r="I245" i="13" s="1"/>
  <c r="F246" i="13"/>
  <c r="F247" i="13"/>
  <c r="I247" i="13" s="1"/>
  <c r="F248" i="13"/>
  <c r="I248" i="13" s="1"/>
  <c r="F249" i="13"/>
  <c r="I249" i="13" s="1"/>
  <c r="F250" i="13"/>
  <c r="I250" i="13" s="1"/>
  <c r="F251" i="13"/>
  <c r="F252" i="13"/>
  <c r="F253" i="13"/>
  <c r="I253" i="13" s="1"/>
  <c r="F254" i="13"/>
  <c r="F255" i="13"/>
  <c r="I255" i="13" s="1"/>
  <c r="F256" i="13"/>
  <c r="I256" i="13" s="1"/>
  <c r="F257" i="13"/>
  <c r="I257" i="13" s="1"/>
  <c r="F258" i="13"/>
  <c r="K258" i="13" s="1"/>
  <c r="F259" i="13"/>
  <c r="F260" i="13"/>
  <c r="I260" i="13" s="1"/>
  <c r="F261" i="13"/>
  <c r="K261" i="13" s="1"/>
  <c r="F262" i="13"/>
  <c r="F264" i="13"/>
  <c r="I264" i="13" s="1"/>
  <c r="F265" i="13"/>
  <c r="I265" i="13" s="1"/>
  <c r="F266" i="13"/>
  <c r="K266" i="13" s="1"/>
  <c r="F267" i="13"/>
  <c r="F268" i="13"/>
  <c r="K268" i="13" s="1"/>
  <c r="F269" i="13"/>
  <c r="F270" i="13"/>
  <c r="F271" i="13"/>
  <c r="F272" i="13"/>
  <c r="K272" i="13" s="1"/>
  <c r="F273" i="13"/>
  <c r="I273" i="13" s="1"/>
  <c r="F274" i="13"/>
  <c r="K274" i="13" s="1"/>
  <c r="F275" i="13"/>
  <c r="K275" i="13" s="1"/>
  <c r="F276" i="13"/>
  <c r="I276" i="13" s="1"/>
  <c r="F277" i="13"/>
  <c r="I277" i="13" s="1"/>
  <c r="F278" i="13"/>
  <c r="I278" i="13" s="1"/>
  <c r="F280" i="13"/>
  <c r="I280" i="13" s="1"/>
  <c r="F281" i="13"/>
  <c r="I281" i="13" s="1"/>
  <c r="F282" i="13"/>
  <c r="I282" i="13" s="1"/>
  <c r="F283" i="13"/>
  <c r="K283" i="13" s="1"/>
  <c r="F284" i="13"/>
  <c r="I284" i="13" s="1"/>
  <c r="F285" i="13"/>
  <c r="F286" i="13"/>
  <c r="I286" i="13" s="1"/>
  <c r="F287" i="13"/>
  <c r="I287" i="13" s="1"/>
  <c r="F288" i="13"/>
  <c r="I288" i="13" s="1"/>
  <c r="F289" i="13"/>
  <c r="I289" i="13" s="1"/>
  <c r="F290" i="13"/>
  <c r="I290" i="13" s="1"/>
  <c r="F291" i="13"/>
  <c r="I291" i="13" s="1"/>
  <c r="F292" i="13"/>
  <c r="F293" i="13"/>
  <c r="I293" i="13" s="1"/>
  <c r="F294" i="13"/>
  <c r="I294" i="13" s="1"/>
  <c r="F295" i="13"/>
  <c r="I295" i="13" s="1"/>
  <c r="F296" i="13"/>
  <c r="I296" i="13" s="1"/>
  <c r="F297" i="13"/>
  <c r="I297" i="13" s="1"/>
  <c r="F298" i="13"/>
  <c r="I298" i="13" s="1"/>
  <c r="F299" i="13"/>
  <c r="F300" i="13"/>
  <c r="I300" i="13" s="1"/>
  <c r="F301" i="13"/>
  <c r="F302" i="13"/>
  <c r="I302" i="13" s="1"/>
  <c r="F303" i="13"/>
  <c r="F304" i="13"/>
  <c r="I304" i="13" s="1"/>
  <c r="F305" i="13"/>
  <c r="K305" i="13" s="1"/>
  <c r="F306" i="13"/>
  <c r="I306" i="13" s="1"/>
  <c r="F307" i="13"/>
  <c r="F308" i="13"/>
  <c r="F309" i="13"/>
  <c r="I309" i="13" s="1"/>
  <c r="F310" i="13"/>
  <c r="I310" i="13" s="1"/>
  <c r="F311" i="13"/>
  <c r="F312" i="13"/>
  <c r="I312" i="13" s="1"/>
  <c r="F313" i="13"/>
  <c r="K313" i="13" s="1"/>
  <c r="F314" i="13"/>
  <c r="I314" i="13" s="1"/>
  <c r="F315" i="13"/>
  <c r="F316" i="13"/>
  <c r="K316" i="13" s="1"/>
  <c r="F318" i="13"/>
  <c r="F319" i="13"/>
  <c r="F320" i="13"/>
  <c r="I320" i="13" s="1"/>
  <c r="F322" i="13"/>
  <c r="K322" i="13" s="1"/>
  <c r="F323" i="13"/>
  <c r="F324" i="13"/>
  <c r="F325" i="13"/>
  <c r="F326" i="13"/>
  <c r="I326" i="13" s="1"/>
  <c r="F328" i="13"/>
  <c r="I328" i="13" s="1"/>
  <c r="F329" i="13"/>
  <c r="I329" i="13" s="1"/>
  <c r="F330" i="13"/>
  <c r="I330" i="13" s="1"/>
  <c r="F331" i="13"/>
  <c r="F332" i="13"/>
  <c r="F333" i="13"/>
  <c r="I333" i="13" s="1"/>
  <c r="F334" i="13"/>
  <c r="F335" i="13"/>
  <c r="F336" i="13"/>
  <c r="I336" i="13" s="1"/>
  <c r="F337" i="13"/>
  <c r="F338" i="13"/>
  <c r="F339" i="13"/>
  <c r="F340" i="13"/>
  <c r="F341" i="13"/>
  <c r="I341" i="13" s="1"/>
  <c r="F344" i="13"/>
  <c r="K344" i="13" s="1"/>
  <c r="F345" i="13"/>
  <c r="I345" i="13" s="1"/>
  <c r="F346" i="13"/>
  <c r="I346" i="13" s="1"/>
  <c r="F347" i="13"/>
  <c r="F348" i="13"/>
  <c r="I348" i="13" s="1"/>
  <c r="F349" i="13"/>
  <c r="I349" i="13" s="1"/>
  <c r="F350" i="13"/>
  <c r="K350" i="13" s="1"/>
  <c r="F351" i="13"/>
  <c r="F352" i="13"/>
  <c r="F353" i="13"/>
  <c r="K353" i="13" s="1"/>
  <c r="F354" i="13"/>
  <c r="F355" i="13"/>
  <c r="F356" i="13"/>
  <c r="F357" i="13"/>
  <c r="F358" i="13"/>
  <c r="F359" i="13"/>
  <c r="F360" i="13"/>
  <c r="I360" i="13" s="1"/>
  <c r="F361" i="13"/>
  <c r="F362" i="13"/>
  <c r="I362" i="13" s="1"/>
  <c r="F363" i="13"/>
  <c r="F364" i="13"/>
  <c r="K364" i="13" s="1"/>
  <c r="F365" i="13"/>
  <c r="I365" i="13" s="1"/>
  <c r="F366" i="13"/>
  <c r="F367" i="13"/>
  <c r="F368" i="13"/>
  <c r="F369" i="13"/>
  <c r="F370" i="13"/>
  <c r="K370" i="13" s="1"/>
  <c r="F371" i="13"/>
  <c r="F372" i="13"/>
  <c r="I372" i="13" s="1"/>
  <c r="F373" i="13"/>
  <c r="F375" i="13"/>
  <c r="F376" i="13"/>
  <c r="I376" i="13" s="1"/>
  <c r="F381" i="13"/>
  <c r="F382" i="13"/>
  <c r="I382" i="13" s="1"/>
  <c r="F384" i="13"/>
  <c r="F385" i="13"/>
  <c r="I385" i="13" s="1"/>
  <c r="F386" i="13"/>
  <c r="F387" i="13"/>
  <c r="F388" i="13"/>
  <c r="I388" i="13" s="1"/>
  <c r="F389" i="13"/>
  <c r="I389" i="13" s="1"/>
  <c r="F390" i="13"/>
  <c r="I390" i="13" s="1"/>
  <c r="F391" i="13"/>
  <c r="F392" i="13"/>
  <c r="K392" i="13" s="1"/>
  <c r="F393" i="13"/>
  <c r="F394" i="13"/>
  <c r="F395" i="13"/>
  <c r="K395" i="13" s="1"/>
  <c r="F396" i="13"/>
  <c r="I396" i="13" s="1"/>
  <c r="F397" i="13"/>
  <c r="K397" i="13" s="1"/>
  <c r="F398" i="13"/>
  <c r="I398" i="13" s="1"/>
  <c r="F399" i="13"/>
  <c r="F400" i="13"/>
  <c r="F401" i="13"/>
  <c r="K401" i="13" s="1"/>
  <c r="F402" i="13"/>
  <c r="K402" i="13" s="1"/>
  <c r="F403" i="13"/>
  <c r="F404" i="13"/>
  <c r="K404" i="13" s="1"/>
  <c r="F405" i="13"/>
  <c r="K405" i="13" s="1"/>
  <c r="F406" i="13"/>
  <c r="I406" i="13" s="1"/>
  <c r="F407" i="13"/>
  <c r="K407" i="13" s="1"/>
  <c r="F408" i="13"/>
  <c r="I408" i="13" s="1"/>
  <c r="F409" i="13"/>
  <c r="K409" i="13" s="1"/>
  <c r="F410" i="13"/>
  <c r="K410" i="13" s="1"/>
  <c r="F411" i="13"/>
  <c r="F412" i="13"/>
  <c r="F413" i="13"/>
  <c r="K413" i="13" s="1"/>
  <c r="F414" i="13"/>
  <c r="I414" i="13" s="1"/>
  <c r="F416" i="13"/>
  <c r="F417" i="13"/>
  <c r="F418" i="13"/>
  <c r="I418" i="13" s="1"/>
  <c r="F419" i="13"/>
  <c r="F420" i="13"/>
  <c r="I420" i="13" s="1"/>
  <c r="F421" i="13"/>
  <c r="F422" i="13"/>
  <c r="I422" i="13" s="1"/>
  <c r="F423" i="13"/>
  <c r="I423" i="13" s="1"/>
  <c r="F424" i="13"/>
  <c r="F425" i="13"/>
  <c r="F426" i="13"/>
  <c r="F427" i="13"/>
  <c r="F428" i="13"/>
  <c r="F429" i="13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S36" i="13" s="1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S56" i="13" s="1"/>
  <c r="L57" i="13"/>
  <c r="L58" i="13"/>
  <c r="L59" i="13"/>
  <c r="L60" i="13"/>
  <c r="L61" i="13"/>
  <c r="L62" i="13"/>
  <c r="L63" i="13"/>
  <c r="L64" i="13"/>
  <c r="L65" i="13"/>
  <c r="L66" i="13"/>
  <c r="L67" i="13"/>
  <c r="S67" i="13" s="1"/>
  <c r="L68" i="13"/>
  <c r="L69" i="13"/>
  <c r="L70" i="13"/>
  <c r="L71" i="13"/>
  <c r="L72" i="13"/>
  <c r="L73" i="13"/>
  <c r="L74" i="13"/>
  <c r="L75" i="13"/>
  <c r="L76" i="13"/>
  <c r="L77" i="13"/>
  <c r="L78" i="13"/>
  <c r="L79" i="13"/>
  <c r="S79" i="13" s="1"/>
  <c r="L80" i="13"/>
  <c r="L81" i="13"/>
  <c r="L82" i="13"/>
  <c r="L83" i="13"/>
  <c r="L84" i="13"/>
  <c r="S84" i="13" s="1"/>
  <c r="L85" i="13"/>
  <c r="L86" i="13"/>
  <c r="L87" i="13"/>
  <c r="L88" i="13"/>
  <c r="L89" i="13"/>
  <c r="L90" i="13"/>
  <c r="L91" i="13"/>
  <c r="L92" i="13"/>
  <c r="S92" i="13" s="1"/>
  <c r="L93" i="13"/>
  <c r="L94" i="13"/>
  <c r="L95" i="13"/>
  <c r="S95" i="13" s="1"/>
  <c r="L96" i="13"/>
  <c r="L97" i="13"/>
  <c r="L98" i="13"/>
  <c r="L99" i="13"/>
  <c r="S99" i="13" s="1"/>
  <c r="L100" i="13"/>
  <c r="L101" i="13"/>
  <c r="L102" i="13"/>
  <c r="L103" i="13"/>
  <c r="S103" i="13" s="1"/>
  <c r="L104" i="13"/>
  <c r="L105" i="13"/>
  <c r="L106" i="13"/>
  <c r="L107" i="13"/>
  <c r="L108" i="13"/>
  <c r="L109" i="13"/>
  <c r="L110" i="13"/>
  <c r="S110" i="13" s="1"/>
  <c r="L111" i="13"/>
  <c r="S111" i="13" s="1"/>
  <c r="L112" i="13"/>
  <c r="L113" i="13"/>
  <c r="L114" i="13"/>
  <c r="L115" i="13"/>
  <c r="S115" i="13" s="1"/>
  <c r="L116" i="13"/>
  <c r="L117" i="13"/>
  <c r="L118" i="13"/>
  <c r="L119" i="13"/>
  <c r="S119" i="13" s="1"/>
  <c r="L120" i="13"/>
  <c r="L121" i="13"/>
  <c r="L122" i="13"/>
  <c r="L123" i="13"/>
  <c r="L124" i="13"/>
  <c r="S124" i="13" s="1"/>
  <c r="L125" i="13"/>
  <c r="L126" i="13"/>
  <c r="L127" i="13"/>
  <c r="L128" i="13"/>
  <c r="L129" i="13"/>
  <c r="L130" i="13"/>
  <c r="L131" i="13"/>
  <c r="L132" i="13"/>
  <c r="L133" i="13"/>
  <c r="S133" i="13" s="1"/>
  <c r="L134" i="13"/>
  <c r="L135" i="13"/>
  <c r="L136" i="13"/>
  <c r="L137" i="13"/>
  <c r="L138" i="13"/>
  <c r="L139" i="13"/>
  <c r="S139" i="13" s="1"/>
  <c r="L140" i="13"/>
  <c r="S140" i="13" s="1"/>
  <c r="L141" i="13"/>
  <c r="L143" i="13"/>
  <c r="L144" i="13"/>
  <c r="L145" i="13"/>
  <c r="L146" i="13"/>
  <c r="L147" i="13"/>
  <c r="L148" i="13"/>
  <c r="S148" i="13" s="1"/>
  <c r="L149" i="13"/>
  <c r="S149" i="13" s="1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S164" i="13" s="1"/>
  <c r="L165" i="13"/>
  <c r="L166" i="13"/>
  <c r="S166" i="13" s="1"/>
  <c r="L167" i="13"/>
  <c r="L168" i="13"/>
  <c r="S168" i="13" s="1"/>
  <c r="L169" i="13"/>
  <c r="L170" i="13"/>
  <c r="L171" i="13"/>
  <c r="L172" i="13"/>
  <c r="L173" i="13"/>
  <c r="L174" i="13"/>
  <c r="L175" i="13"/>
  <c r="L176" i="13"/>
  <c r="S176" i="13" s="1"/>
  <c r="L177" i="13"/>
  <c r="L178" i="13"/>
  <c r="L179" i="13"/>
  <c r="L180" i="13"/>
  <c r="S180" i="13" s="1"/>
  <c r="L181" i="13"/>
  <c r="S181" i="13" s="1"/>
  <c r="L182" i="13"/>
  <c r="L183" i="13"/>
  <c r="L184" i="13"/>
  <c r="L185" i="13"/>
  <c r="L186" i="13"/>
  <c r="L187" i="13"/>
  <c r="L188" i="13"/>
  <c r="L189" i="13"/>
  <c r="L190" i="13"/>
  <c r="L191" i="13"/>
  <c r="L192" i="13"/>
  <c r="S192" i="13" s="1"/>
  <c r="L193" i="13"/>
  <c r="L194" i="13"/>
  <c r="L195" i="13"/>
  <c r="L196" i="13"/>
  <c r="L197" i="13"/>
  <c r="L198" i="13"/>
  <c r="L199" i="13"/>
  <c r="S199" i="13" s="1"/>
  <c r="L200" i="13"/>
  <c r="L201" i="13"/>
  <c r="L202" i="13"/>
  <c r="S202" i="13" s="1"/>
  <c r="L203" i="13"/>
  <c r="L204" i="13"/>
  <c r="S204" i="13" s="1"/>
  <c r="L205" i="13"/>
  <c r="L206" i="13"/>
  <c r="L207" i="13"/>
  <c r="L208" i="13"/>
  <c r="S208" i="13" s="1"/>
  <c r="L209" i="13"/>
  <c r="L210" i="13"/>
  <c r="L211" i="13"/>
  <c r="L212" i="13"/>
  <c r="S212" i="13" s="1"/>
  <c r="L213" i="13"/>
  <c r="S213" i="13" s="1"/>
  <c r="L214" i="13"/>
  <c r="L215" i="13"/>
  <c r="L216" i="13"/>
  <c r="L217" i="13"/>
  <c r="L218" i="13"/>
  <c r="S218" i="13" s="1"/>
  <c r="L219" i="13"/>
  <c r="L220" i="13"/>
  <c r="L221" i="13"/>
  <c r="L222" i="13"/>
  <c r="L223" i="13"/>
  <c r="L224" i="13"/>
  <c r="L225" i="13"/>
  <c r="L226" i="13"/>
  <c r="L227" i="13"/>
  <c r="L228" i="13"/>
  <c r="S228" i="13" s="1"/>
  <c r="L229" i="13"/>
  <c r="L230" i="13"/>
  <c r="L231" i="13"/>
  <c r="L232" i="13"/>
  <c r="S232" i="13" s="1"/>
  <c r="L233" i="13"/>
  <c r="L234" i="13"/>
  <c r="L235" i="13"/>
  <c r="L236" i="13"/>
  <c r="L237" i="13"/>
  <c r="L238" i="13"/>
  <c r="L239" i="13"/>
  <c r="L240" i="13"/>
  <c r="L241" i="13"/>
  <c r="L242" i="13"/>
  <c r="S242" i="13" s="1"/>
  <c r="L243" i="13"/>
  <c r="L244" i="13"/>
  <c r="L245" i="13"/>
  <c r="S245" i="13" s="1"/>
  <c r="L246" i="13"/>
  <c r="L247" i="13"/>
  <c r="L248" i="13"/>
  <c r="L249" i="13"/>
  <c r="L250" i="13"/>
  <c r="L251" i="13"/>
  <c r="L252" i="13"/>
  <c r="S252" i="13" s="1"/>
  <c r="L253" i="13"/>
  <c r="L254" i="13"/>
  <c r="L255" i="13"/>
  <c r="L256" i="13"/>
  <c r="S256" i="13" s="1"/>
  <c r="L257" i="13"/>
  <c r="L258" i="13"/>
  <c r="L259" i="13"/>
  <c r="L260" i="13"/>
  <c r="S260" i="13" s="1"/>
  <c r="L261" i="13"/>
  <c r="S261" i="13" s="1"/>
  <c r="L262" i="13"/>
  <c r="L263" i="13"/>
  <c r="L264" i="13"/>
  <c r="L265" i="13"/>
  <c r="S265" i="13" s="1"/>
  <c r="L266" i="13"/>
  <c r="S266" i="13" s="1"/>
  <c r="L267" i="13"/>
  <c r="L268" i="13"/>
  <c r="L269" i="13"/>
  <c r="L270" i="13"/>
  <c r="L271" i="13"/>
  <c r="L272" i="13"/>
  <c r="L273" i="13"/>
  <c r="L274" i="13"/>
  <c r="L275" i="13"/>
  <c r="L276" i="13"/>
  <c r="L277" i="13"/>
  <c r="S277" i="13" s="1"/>
  <c r="L278" i="13"/>
  <c r="S278" i="13" s="1"/>
  <c r="L279" i="13"/>
  <c r="L280" i="13"/>
  <c r="L281" i="13"/>
  <c r="L282" i="13"/>
  <c r="S282" i="13" s="1"/>
  <c r="L283" i="13"/>
  <c r="L284" i="13"/>
  <c r="L285" i="13"/>
  <c r="L286" i="13"/>
  <c r="L287" i="13"/>
  <c r="L288" i="13"/>
  <c r="S288" i="13" s="1"/>
  <c r="L289" i="13"/>
  <c r="L290" i="13"/>
  <c r="S290" i="13" s="1"/>
  <c r="L291" i="13"/>
  <c r="L292" i="13"/>
  <c r="L293" i="13"/>
  <c r="L294" i="13"/>
  <c r="L295" i="13"/>
  <c r="L296" i="13"/>
  <c r="L297" i="13"/>
  <c r="L298" i="13"/>
  <c r="L299" i="13"/>
  <c r="L300" i="13"/>
  <c r="S300" i="13" s="1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S313" i="13" s="1"/>
  <c r="L314" i="13"/>
  <c r="L315" i="13"/>
  <c r="L316" i="13"/>
  <c r="L317" i="13"/>
  <c r="L318" i="13"/>
  <c r="L319" i="13"/>
  <c r="L320" i="13"/>
  <c r="S320" i="13" s="1"/>
  <c r="L321" i="13"/>
  <c r="L322" i="13"/>
  <c r="L323" i="13"/>
  <c r="L324" i="13"/>
  <c r="L325" i="13"/>
  <c r="L326" i="13"/>
  <c r="L327" i="13"/>
  <c r="L328" i="13"/>
  <c r="L329" i="13"/>
  <c r="L330" i="13"/>
  <c r="S330" i="13" s="1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2" i="13"/>
  <c r="L383" i="13"/>
  <c r="L384" i="13"/>
  <c r="L385" i="13"/>
  <c r="S385" i="13" s="1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402" i="13"/>
  <c r="L403" i="13"/>
  <c r="L404" i="13"/>
  <c r="L405" i="13"/>
  <c r="L406" i="13"/>
  <c r="L407" i="13"/>
  <c r="L408" i="13"/>
  <c r="L409" i="13"/>
  <c r="L410" i="13"/>
  <c r="L411" i="13"/>
  <c r="L412" i="13"/>
  <c r="L413" i="13"/>
  <c r="L414" i="13"/>
  <c r="L415" i="13"/>
  <c r="L416" i="13"/>
  <c r="L417" i="13"/>
  <c r="L418" i="13"/>
  <c r="L419" i="13"/>
  <c r="L420" i="13"/>
  <c r="L421" i="13"/>
  <c r="L422" i="13"/>
  <c r="L423" i="13"/>
  <c r="L424" i="13"/>
  <c r="L425" i="13"/>
  <c r="L426" i="13"/>
  <c r="L427" i="13"/>
  <c r="L428" i="13"/>
  <c r="L429" i="13"/>
  <c r="S429" i="13" s="1"/>
  <c r="M2" i="13"/>
  <c r="P2" i="13" s="1"/>
  <c r="M3" i="13"/>
  <c r="M4" i="13"/>
  <c r="M5" i="13"/>
  <c r="P5" i="13" s="1"/>
  <c r="M6" i="13"/>
  <c r="R6" i="13" s="1"/>
  <c r="M7" i="13"/>
  <c r="P7" i="13" s="1"/>
  <c r="M8" i="13"/>
  <c r="M9" i="13"/>
  <c r="P9" i="13" s="1"/>
  <c r="M10" i="13"/>
  <c r="R10" i="13" s="1"/>
  <c r="M11" i="13"/>
  <c r="P11" i="13" s="1"/>
  <c r="M12" i="13"/>
  <c r="R12" i="13" s="1"/>
  <c r="M13" i="13"/>
  <c r="R13" i="13" s="1"/>
  <c r="M14" i="13"/>
  <c r="P14" i="13" s="1"/>
  <c r="M15" i="13"/>
  <c r="P15" i="13" s="1"/>
  <c r="M16" i="13"/>
  <c r="P16" i="13" s="1"/>
  <c r="M17" i="13"/>
  <c r="P17" i="13" s="1"/>
  <c r="M18" i="13"/>
  <c r="P18" i="13" s="1"/>
  <c r="M19" i="13"/>
  <c r="M20" i="13"/>
  <c r="M21" i="13"/>
  <c r="M22" i="13"/>
  <c r="P22" i="13" s="1"/>
  <c r="M23" i="13"/>
  <c r="P23" i="13" s="1"/>
  <c r="M24" i="13"/>
  <c r="P24" i="13" s="1"/>
  <c r="M25" i="13"/>
  <c r="M26" i="13"/>
  <c r="R26" i="13" s="1"/>
  <c r="M27" i="13"/>
  <c r="P27" i="13" s="1"/>
  <c r="M28" i="13"/>
  <c r="R28" i="13" s="1"/>
  <c r="M29" i="13"/>
  <c r="M30" i="13"/>
  <c r="P30" i="13" s="1"/>
  <c r="M31" i="13"/>
  <c r="P31" i="13" s="1"/>
  <c r="M32" i="13"/>
  <c r="M33" i="13"/>
  <c r="M34" i="13"/>
  <c r="P34" i="13" s="1"/>
  <c r="M35" i="13"/>
  <c r="M36" i="13"/>
  <c r="R36" i="13" s="1"/>
  <c r="M37" i="13"/>
  <c r="M38" i="13"/>
  <c r="R38" i="13" s="1"/>
  <c r="M39" i="13"/>
  <c r="P39" i="13" s="1"/>
  <c r="M40" i="13"/>
  <c r="R40" i="13" s="1"/>
  <c r="M41" i="13"/>
  <c r="P41" i="13" s="1"/>
  <c r="M42" i="13"/>
  <c r="P42" i="13" s="1"/>
  <c r="M43" i="13"/>
  <c r="P43" i="13" s="1"/>
  <c r="M44" i="13"/>
  <c r="R44" i="13" s="1"/>
  <c r="M45" i="13"/>
  <c r="M46" i="13"/>
  <c r="P46" i="13" s="1"/>
  <c r="M47" i="13"/>
  <c r="P47" i="13" s="1"/>
  <c r="M48" i="13"/>
  <c r="R48" i="13" s="1"/>
  <c r="M49" i="13"/>
  <c r="P49" i="13" s="1"/>
  <c r="M50" i="13"/>
  <c r="P50" i="13" s="1"/>
  <c r="M51" i="13"/>
  <c r="M52" i="13"/>
  <c r="R52" i="13" s="1"/>
  <c r="M53" i="13"/>
  <c r="M54" i="13"/>
  <c r="R54" i="13" s="1"/>
  <c r="M55" i="13"/>
  <c r="P55" i="13" s="1"/>
  <c r="M56" i="13"/>
  <c r="R56" i="13" s="1"/>
  <c r="M57" i="13"/>
  <c r="M58" i="13"/>
  <c r="R58" i="13" s="1"/>
  <c r="M59" i="13"/>
  <c r="M60" i="13"/>
  <c r="R60" i="13" s="1"/>
  <c r="M61" i="13"/>
  <c r="M62" i="13"/>
  <c r="P62" i="13" s="1"/>
  <c r="M63" i="13"/>
  <c r="P63" i="13" s="1"/>
  <c r="M64" i="13"/>
  <c r="P64" i="13" s="1"/>
  <c r="M65" i="13"/>
  <c r="P65" i="13" s="1"/>
  <c r="M66" i="13"/>
  <c r="P66" i="13" s="1"/>
  <c r="M67" i="13"/>
  <c r="P67" i="13" s="1"/>
  <c r="M68" i="13"/>
  <c r="P68" i="13" s="1"/>
  <c r="M69" i="13"/>
  <c r="P69" i="13" s="1"/>
  <c r="M70" i="13"/>
  <c r="R70" i="13" s="1"/>
  <c r="M71" i="13"/>
  <c r="P71" i="13" s="1"/>
  <c r="M72" i="13"/>
  <c r="M73" i="13"/>
  <c r="P73" i="13" s="1"/>
  <c r="M74" i="13"/>
  <c r="R74" i="13" s="1"/>
  <c r="M75" i="13"/>
  <c r="P75" i="13" s="1"/>
  <c r="M76" i="13"/>
  <c r="R76" i="13" s="1"/>
  <c r="M77" i="13"/>
  <c r="P77" i="13" s="1"/>
  <c r="M78" i="13"/>
  <c r="P78" i="13" s="1"/>
  <c r="M79" i="13"/>
  <c r="P79" i="13" s="1"/>
  <c r="M80" i="13"/>
  <c r="R80" i="13" s="1"/>
  <c r="M81" i="13"/>
  <c r="P81" i="13" s="1"/>
  <c r="M82" i="13"/>
  <c r="R82" i="13" s="1"/>
  <c r="M83" i="13"/>
  <c r="P83" i="13" s="1"/>
  <c r="M84" i="13"/>
  <c r="R84" i="13" s="1"/>
  <c r="M85" i="13"/>
  <c r="M86" i="13"/>
  <c r="R86" i="13" s="1"/>
  <c r="M87" i="13"/>
  <c r="P87" i="13" s="1"/>
  <c r="M88" i="13"/>
  <c r="P88" i="13" s="1"/>
  <c r="M89" i="13"/>
  <c r="P89" i="13" s="1"/>
  <c r="M90" i="13"/>
  <c r="P90" i="13" s="1"/>
  <c r="M91" i="13"/>
  <c r="M92" i="13"/>
  <c r="R92" i="13" s="1"/>
  <c r="M93" i="13"/>
  <c r="M94" i="13"/>
  <c r="P94" i="13" s="1"/>
  <c r="M95" i="13"/>
  <c r="M96" i="13"/>
  <c r="R96" i="13" s="1"/>
  <c r="M97" i="13"/>
  <c r="P97" i="13" s="1"/>
  <c r="M98" i="13"/>
  <c r="R98" i="13" s="1"/>
  <c r="M99" i="13"/>
  <c r="M100" i="13"/>
  <c r="P100" i="13" s="1"/>
  <c r="M101" i="13"/>
  <c r="M102" i="13"/>
  <c r="R102" i="13" s="1"/>
  <c r="M103" i="13"/>
  <c r="M104" i="13"/>
  <c r="P104" i="13" s="1"/>
  <c r="M105" i="13"/>
  <c r="P105" i="13" s="1"/>
  <c r="M106" i="13"/>
  <c r="P106" i="13" s="1"/>
  <c r="M107" i="13"/>
  <c r="M108" i="13"/>
  <c r="P108" i="13" s="1"/>
  <c r="M109" i="13"/>
  <c r="P109" i="13" s="1"/>
  <c r="M110" i="13"/>
  <c r="R110" i="13" s="1"/>
  <c r="M111" i="13"/>
  <c r="M112" i="13"/>
  <c r="P112" i="13" s="1"/>
  <c r="M113" i="13"/>
  <c r="P113" i="13" s="1"/>
  <c r="M114" i="13"/>
  <c r="P114" i="13" s="1"/>
  <c r="M115" i="13"/>
  <c r="M116" i="13"/>
  <c r="R116" i="13" s="1"/>
  <c r="M117" i="13"/>
  <c r="M118" i="13"/>
  <c r="P118" i="13" s="1"/>
  <c r="M119" i="13"/>
  <c r="P119" i="13" s="1"/>
  <c r="M120" i="13"/>
  <c r="P120" i="13" s="1"/>
  <c r="M121" i="13"/>
  <c r="P121" i="13" s="1"/>
  <c r="M122" i="13"/>
  <c r="R122" i="13" s="1"/>
  <c r="M123" i="13"/>
  <c r="P123" i="13" s="1"/>
  <c r="M124" i="13"/>
  <c r="P124" i="13" s="1"/>
  <c r="M125" i="13"/>
  <c r="P125" i="13" s="1"/>
  <c r="M126" i="13"/>
  <c r="R126" i="13" s="1"/>
  <c r="M127" i="13"/>
  <c r="M128" i="13"/>
  <c r="M129" i="13"/>
  <c r="P129" i="13" s="1"/>
  <c r="M130" i="13"/>
  <c r="P130" i="13" s="1"/>
  <c r="M131" i="13"/>
  <c r="P131" i="13" s="1"/>
  <c r="M132" i="13"/>
  <c r="P132" i="13" s="1"/>
  <c r="M133" i="13"/>
  <c r="P133" i="13" s="1"/>
  <c r="M134" i="13"/>
  <c r="P134" i="13" s="1"/>
  <c r="M135" i="13"/>
  <c r="M136" i="13"/>
  <c r="P136" i="13" s="1"/>
  <c r="M137" i="13"/>
  <c r="P137" i="13" s="1"/>
  <c r="M138" i="13"/>
  <c r="P138" i="13" s="1"/>
  <c r="M139" i="13"/>
  <c r="P139" i="13" s="1"/>
  <c r="M140" i="13"/>
  <c r="P140" i="13" s="1"/>
  <c r="M141" i="13"/>
  <c r="P141" i="13" s="1"/>
  <c r="M142" i="13"/>
  <c r="M143" i="13"/>
  <c r="P143" i="13" s="1"/>
  <c r="M144" i="13"/>
  <c r="M145" i="13"/>
  <c r="P145" i="13" s="1"/>
  <c r="M146" i="13"/>
  <c r="P146" i="13" s="1"/>
  <c r="M147" i="13"/>
  <c r="P147" i="13" s="1"/>
  <c r="M148" i="13"/>
  <c r="R148" i="13" s="1"/>
  <c r="M149" i="13"/>
  <c r="P149" i="13" s="1"/>
  <c r="M150" i="13"/>
  <c r="R150" i="13" s="1"/>
  <c r="M151" i="13"/>
  <c r="M152" i="13"/>
  <c r="R152" i="13" s="1"/>
  <c r="M153" i="13"/>
  <c r="P153" i="13" s="1"/>
  <c r="M154" i="13"/>
  <c r="P154" i="13" s="1"/>
  <c r="M155" i="13"/>
  <c r="P155" i="13" s="1"/>
  <c r="M156" i="13"/>
  <c r="P156" i="13" s="1"/>
  <c r="M157" i="13"/>
  <c r="P157" i="13" s="1"/>
  <c r="M158" i="13"/>
  <c r="P158" i="13" s="1"/>
  <c r="M159" i="13"/>
  <c r="M160" i="13"/>
  <c r="P160" i="13" s="1"/>
  <c r="M161" i="13"/>
  <c r="P161" i="13" s="1"/>
  <c r="M162" i="13"/>
  <c r="R162" i="13" s="1"/>
  <c r="M163" i="13"/>
  <c r="M164" i="13"/>
  <c r="M165" i="13"/>
  <c r="P165" i="13" s="1"/>
  <c r="M166" i="13"/>
  <c r="R166" i="13" s="1"/>
  <c r="M167" i="13"/>
  <c r="M168" i="13"/>
  <c r="P168" i="13" s="1"/>
  <c r="M169" i="13"/>
  <c r="P169" i="13" s="1"/>
  <c r="M170" i="13"/>
  <c r="P170" i="13" s="1"/>
  <c r="M171" i="13"/>
  <c r="M172" i="13"/>
  <c r="P172" i="13" s="1"/>
  <c r="M173" i="13"/>
  <c r="P173" i="13" s="1"/>
  <c r="M174" i="13"/>
  <c r="P174" i="13" s="1"/>
  <c r="M175" i="13"/>
  <c r="P175" i="13" s="1"/>
  <c r="M176" i="13"/>
  <c r="P176" i="13" s="1"/>
  <c r="M177" i="13"/>
  <c r="P177" i="13" s="1"/>
  <c r="M178" i="13"/>
  <c r="R178" i="13" s="1"/>
  <c r="M179" i="13"/>
  <c r="M180" i="13"/>
  <c r="P180" i="13" s="1"/>
  <c r="M181" i="13"/>
  <c r="P181" i="13" s="1"/>
  <c r="M182" i="13"/>
  <c r="R182" i="13" s="1"/>
  <c r="M183" i="13"/>
  <c r="M184" i="13"/>
  <c r="R184" i="13" s="1"/>
  <c r="M185" i="13"/>
  <c r="P185" i="13" s="1"/>
  <c r="M186" i="13"/>
  <c r="R186" i="13" s="1"/>
  <c r="M187" i="13"/>
  <c r="P187" i="13" s="1"/>
  <c r="M188" i="13"/>
  <c r="P188" i="13" s="1"/>
  <c r="M189" i="13"/>
  <c r="P189" i="13" s="1"/>
  <c r="M190" i="13"/>
  <c r="P190" i="13" s="1"/>
  <c r="M191" i="13"/>
  <c r="M192" i="13"/>
  <c r="P192" i="13" s="1"/>
  <c r="M193" i="13"/>
  <c r="P193" i="13" s="1"/>
  <c r="M194" i="13"/>
  <c r="R194" i="13" s="1"/>
  <c r="M195" i="13"/>
  <c r="M196" i="13"/>
  <c r="R196" i="13" s="1"/>
  <c r="M197" i="13"/>
  <c r="P197" i="13" s="1"/>
  <c r="M198" i="13"/>
  <c r="P198" i="13" s="1"/>
  <c r="M199" i="13"/>
  <c r="P199" i="13" s="1"/>
  <c r="M200" i="13"/>
  <c r="P200" i="13" s="1"/>
  <c r="M201" i="13"/>
  <c r="P201" i="13" s="1"/>
  <c r="M202" i="13"/>
  <c r="R202" i="13" s="1"/>
  <c r="M203" i="13"/>
  <c r="M204" i="13"/>
  <c r="P204" i="13" s="1"/>
  <c r="M205" i="13"/>
  <c r="P205" i="13" s="1"/>
  <c r="M206" i="13"/>
  <c r="P206" i="13" s="1"/>
  <c r="M207" i="13"/>
  <c r="M208" i="13"/>
  <c r="P208" i="13" s="1"/>
  <c r="M209" i="13"/>
  <c r="M210" i="13"/>
  <c r="R210" i="13" s="1"/>
  <c r="M211" i="13"/>
  <c r="M212" i="13"/>
  <c r="R212" i="13" s="1"/>
  <c r="M213" i="13"/>
  <c r="M214" i="13"/>
  <c r="R214" i="13" s="1"/>
  <c r="M215" i="13"/>
  <c r="P215" i="13" s="1"/>
  <c r="M216" i="13"/>
  <c r="R216" i="13" s="1"/>
  <c r="M217" i="13"/>
  <c r="P217" i="13" s="1"/>
  <c r="M218" i="13"/>
  <c r="P218" i="13" s="1"/>
  <c r="M219" i="13"/>
  <c r="M220" i="13"/>
  <c r="R220" i="13" s="1"/>
  <c r="M221" i="13"/>
  <c r="P221" i="13" s="1"/>
  <c r="M222" i="13"/>
  <c r="R222" i="13" s="1"/>
  <c r="M223" i="13"/>
  <c r="P223" i="13" s="1"/>
  <c r="M224" i="13"/>
  <c r="P224" i="13" s="1"/>
  <c r="M225" i="13"/>
  <c r="P225" i="13" s="1"/>
  <c r="M226" i="13"/>
  <c r="R226" i="13" s="1"/>
  <c r="M227" i="13"/>
  <c r="M228" i="13"/>
  <c r="P228" i="13" s="1"/>
  <c r="M229" i="13"/>
  <c r="P229" i="13" s="1"/>
  <c r="M230" i="13"/>
  <c r="R230" i="13" s="1"/>
  <c r="M231" i="13"/>
  <c r="P231" i="13" s="1"/>
  <c r="M232" i="13"/>
  <c r="P232" i="13" s="1"/>
  <c r="M233" i="13"/>
  <c r="P233" i="13" s="1"/>
  <c r="M234" i="13"/>
  <c r="P234" i="13" s="1"/>
  <c r="M235" i="13"/>
  <c r="P235" i="13" s="1"/>
  <c r="M236" i="13"/>
  <c r="P236" i="13" s="1"/>
  <c r="M237" i="13"/>
  <c r="P237" i="13" s="1"/>
  <c r="M238" i="13"/>
  <c r="P238" i="13" s="1"/>
  <c r="M239" i="13"/>
  <c r="P239" i="13" s="1"/>
  <c r="M240" i="13"/>
  <c r="P240" i="13" s="1"/>
  <c r="M241" i="13"/>
  <c r="P241" i="13" s="1"/>
  <c r="M242" i="13"/>
  <c r="R242" i="13" s="1"/>
  <c r="M243" i="13"/>
  <c r="P243" i="13" s="1"/>
  <c r="M244" i="13"/>
  <c r="M245" i="13"/>
  <c r="P245" i="13" s="1"/>
  <c r="M246" i="13"/>
  <c r="P246" i="13" s="1"/>
  <c r="M247" i="13"/>
  <c r="P247" i="13" s="1"/>
  <c r="M248" i="13"/>
  <c r="R248" i="13" s="1"/>
  <c r="M249" i="13"/>
  <c r="P249" i="13" s="1"/>
  <c r="M250" i="13"/>
  <c r="R250" i="13" s="1"/>
  <c r="M251" i="13"/>
  <c r="M252" i="13"/>
  <c r="P252" i="13" s="1"/>
  <c r="M253" i="13"/>
  <c r="P253" i="13" s="1"/>
  <c r="M254" i="13"/>
  <c r="R254" i="13" s="1"/>
  <c r="M255" i="13"/>
  <c r="P255" i="13" s="1"/>
  <c r="M256" i="13"/>
  <c r="P256" i="13" s="1"/>
  <c r="M257" i="13"/>
  <c r="M258" i="13"/>
  <c r="R258" i="13" s="1"/>
  <c r="M259" i="13"/>
  <c r="P259" i="13" s="1"/>
  <c r="M260" i="13"/>
  <c r="R260" i="13" s="1"/>
  <c r="M261" i="13"/>
  <c r="P261" i="13" s="1"/>
  <c r="M262" i="13"/>
  <c r="P262" i="13" s="1"/>
  <c r="M263" i="13"/>
  <c r="P263" i="13" s="1"/>
  <c r="M264" i="13"/>
  <c r="P264" i="13" s="1"/>
  <c r="M265" i="13"/>
  <c r="M266" i="13"/>
  <c r="R266" i="13" s="1"/>
  <c r="M267" i="13"/>
  <c r="P267" i="13" s="1"/>
  <c r="M268" i="13"/>
  <c r="P268" i="13" s="1"/>
  <c r="M269" i="13"/>
  <c r="P269" i="13" s="1"/>
  <c r="M270" i="13"/>
  <c r="P270" i="13" s="1"/>
  <c r="M271" i="13"/>
  <c r="M272" i="13"/>
  <c r="P272" i="13" s="1"/>
  <c r="M273" i="13"/>
  <c r="P273" i="13" s="1"/>
  <c r="M274" i="13"/>
  <c r="M275" i="13"/>
  <c r="M276" i="13"/>
  <c r="P276" i="13" s="1"/>
  <c r="M277" i="13"/>
  <c r="P277" i="13" s="1"/>
  <c r="M278" i="13"/>
  <c r="M279" i="13"/>
  <c r="M280" i="13"/>
  <c r="R280" i="13" s="1"/>
  <c r="M281" i="13"/>
  <c r="M282" i="13"/>
  <c r="M283" i="13"/>
  <c r="M284" i="13"/>
  <c r="P284" i="13" s="1"/>
  <c r="M285" i="13"/>
  <c r="P285" i="13" s="1"/>
  <c r="M286" i="13"/>
  <c r="P286" i="13" s="1"/>
  <c r="M287" i="13"/>
  <c r="M288" i="13"/>
  <c r="P288" i="13" s="1"/>
  <c r="M289" i="13"/>
  <c r="P289" i="13" s="1"/>
  <c r="M290" i="13"/>
  <c r="P290" i="13" s="1"/>
  <c r="M291" i="13"/>
  <c r="M292" i="13"/>
  <c r="P292" i="13" s="1"/>
  <c r="M293" i="13"/>
  <c r="P293" i="13" s="1"/>
  <c r="M294" i="13"/>
  <c r="M295" i="13"/>
  <c r="M296" i="13"/>
  <c r="R296" i="13" s="1"/>
  <c r="M297" i="13"/>
  <c r="P297" i="13" s="1"/>
  <c r="M298" i="13"/>
  <c r="M299" i="13"/>
  <c r="M300" i="13"/>
  <c r="P300" i="13" s="1"/>
  <c r="M301" i="13"/>
  <c r="P301" i="13" s="1"/>
  <c r="M302" i="13"/>
  <c r="R302" i="13" s="1"/>
  <c r="M303" i="13"/>
  <c r="M304" i="13"/>
  <c r="P304" i="13" s="1"/>
  <c r="M305" i="13"/>
  <c r="P305" i="13" s="1"/>
  <c r="M306" i="13"/>
  <c r="M307" i="13"/>
  <c r="M308" i="13"/>
  <c r="R308" i="13" s="1"/>
  <c r="M309" i="13"/>
  <c r="P309" i="13" s="1"/>
  <c r="M310" i="13"/>
  <c r="M311" i="13"/>
  <c r="M312" i="13"/>
  <c r="P312" i="13" s="1"/>
  <c r="M313" i="13"/>
  <c r="P313" i="13" s="1"/>
  <c r="M314" i="13"/>
  <c r="R314" i="13" s="1"/>
  <c r="M315" i="13"/>
  <c r="M316" i="13"/>
  <c r="P316" i="13" s="1"/>
  <c r="M317" i="13"/>
  <c r="P317" i="13" s="1"/>
  <c r="M318" i="13"/>
  <c r="M319" i="13"/>
  <c r="M320" i="13"/>
  <c r="P320" i="13" s="1"/>
  <c r="M321" i="13"/>
  <c r="P321" i="13" s="1"/>
  <c r="M322" i="13"/>
  <c r="P322" i="13" s="1"/>
  <c r="M323" i="13"/>
  <c r="M324" i="13"/>
  <c r="P324" i="13" s="1"/>
  <c r="M325" i="13"/>
  <c r="M326" i="13"/>
  <c r="M327" i="13"/>
  <c r="P327" i="13" s="1"/>
  <c r="M328" i="13"/>
  <c r="P328" i="13" s="1"/>
  <c r="M329" i="13"/>
  <c r="P329" i="13" s="1"/>
  <c r="M330" i="13"/>
  <c r="R330" i="13" s="1"/>
  <c r="M331" i="13"/>
  <c r="P331" i="13" s="1"/>
  <c r="M332" i="13"/>
  <c r="P332" i="13" s="1"/>
  <c r="M333" i="13"/>
  <c r="P333" i="13" s="1"/>
  <c r="M334" i="13"/>
  <c r="R334" i="13" s="1"/>
  <c r="M335" i="13"/>
  <c r="P335" i="13" s="1"/>
  <c r="M336" i="13"/>
  <c r="P336" i="13" s="1"/>
  <c r="M337" i="13"/>
  <c r="P337" i="13" s="1"/>
  <c r="M338" i="13"/>
  <c r="R338" i="13" s="1"/>
  <c r="M339" i="13"/>
  <c r="M340" i="13"/>
  <c r="P340" i="13" s="1"/>
  <c r="M341" i="13"/>
  <c r="P341" i="13" s="1"/>
  <c r="M342" i="13"/>
  <c r="M343" i="13"/>
  <c r="P343" i="13" s="1"/>
  <c r="M344" i="13"/>
  <c r="P344" i="13" s="1"/>
  <c r="M345" i="13"/>
  <c r="R345" i="13" s="1"/>
  <c r="M346" i="13"/>
  <c r="M347" i="13"/>
  <c r="P347" i="13" s="1"/>
  <c r="M348" i="13"/>
  <c r="P348" i="13" s="1"/>
  <c r="M349" i="13"/>
  <c r="M350" i="13"/>
  <c r="M351" i="13"/>
  <c r="P351" i="13" s="1"/>
  <c r="M352" i="13"/>
  <c r="P352" i="13" s="1"/>
  <c r="M353" i="13"/>
  <c r="R353" i="13" s="1"/>
  <c r="M354" i="13"/>
  <c r="M355" i="13"/>
  <c r="M356" i="13"/>
  <c r="P356" i="13" s="1"/>
  <c r="M357" i="13"/>
  <c r="M358" i="13"/>
  <c r="M359" i="13"/>
  <c r="P359" i="13" s="1"/>
  <c r="M360" i="13"/>
  <c r="P360" i="13" s="1"/>
  <c r="M361" i="13"/>
  <c r="R361" i="13" s="1"/>
  <c r="M362" i="13"/>
  <c r="M363" i="13"/>
  <c r="P363" i="13" s="1"/>
  <c r="M364" i="13"/>
  <c r="P364" i="13" s="1"/>
  <c r="M365" i="13"/>
  <c r="M366" i="13"/>
  <c r="M367" i="13"/>
  <c r="P367" i="13" s="1"/>
  <c r="M368" i="13"/>
  <c r="P368" i="13" s="1"/>
  <c r="M369" i="13"/>
  <c r="P369" i="13" s="1"/>
  <c r="M370" i="13"/>
  <c r="P370" i="13" s="1"/>
  <c r="M371" i="13"/>
  <c r="M372" i="13"/>
  <c r="P372" i="13" s="1"/>
  <c r="M373" i="13"/>
  <c r="M374" i="13"/>
  <c r="R374" i="13" s="1"/>
  <c r="M375" i="13"/>
  <c r="P375" i="13" s="1"/>
  <c r="M376" i="13"/>
  <c r="P376" i="13" s="1"/>
  <c r="M377" i="13"/>
  <c r="R377" i="13" s="1"/>
  <c r="M378" i="13"/>
  <c r="M379" i="13"/>
  <c r="M380" i="13"/>
  <c r="P380" i="13" s="1"/>
  <c r="M381" i="13"/>
  <c r="M382" i="13"/>
  <c r="M383" i="13"/>
  <c r="P383" i="13" s="1"/>
  <c r="M384" i="13"/>
  <c r="P384" i="13" s="1"/>
  <c r="M385" i="13"/>
  <c r="M386" i="13"/>
  <c r="M387" i="13"/>
  <c r="M388" i="13"/>
  <c r="P388" i="13" s="1"/>
  <c r="M389" i="13"/>
  <c r="M390" i="13"/>
  <c r="P390" i="13" s="1"/>
  <c r="M391" i="13"/>
  <c r="P391" i="13" s="1"/>
  <c r="M392" i="13"/>
  <c r="P392" i="13" s="1"/>
  <c r="M393" i="13"/>
  <c r="R393" i="13" s="1"/>
  <c r="M394" i="13"/>
  <c r="M395" i="13"/>
  <c r="R395" i="13" s="1"/>
  <c r="M396" i="13"/>
  <c r="P396" i="13" s="1"/>
  <c r="M397" i="13"/>
  <c r="M398" i="13"/>
  <c r="P398" i="13" s="1"/>
  <c r="M399" i="13"/>
  <c r="P399" i="13" s="1"/>
  <c r="M400" i="13"/>
  <c r="P400" i="13" s="1"/>
  <c r="M401" i="13"/>
  <c r="M402" i="13"/>
  <c r="P402" i="13" s="1"/>
  <c r="M403" i="13"/>
  <c r="R403" i="13" s="1"/>
  <c r="M404" i="13"/>
  <c r="P404" i="13" s="1"/>
  <c r="M405" i="13"/>
  <c r="M406" i="13"/>
  <c r="R406" i="13" s="1"/>
  <c r="M407" i="13"/>
  <c r="P407" i="13" s="1"/>
  <c r="M408" i="13"/>
  <c r="P408" i="13" s="1"/>
  <c r="M409" i="13"/>
  <c r="R409" i="13" s="1"/>
  <c r="M410" i="13"/>
  <c r="M411" i="13"/>
  <c r="R411" i="13" s="1"/>
  <c r="M412" i="13"/>
  <c r="P412" i="13" s="1"/>
  <c r="M413" i="13"/>
  <c r="M414" i="13"/>
  <c r="M415" i="13"/>
  <c r="P415" i="13" s="1"/>
  <c r="M416" i="13"/>
  <c r="P416" i="13" s="1"/>
  <c r="M417" i="13"/>
  <c r="M418" i="13"/>
  <c r="P418" i="13" s="1"/>
  <c r="M419" i="13"/>
  <c r="M420" i="13"/>
  <c r="M421" i="13"/>
  <c r="M422" i="13"/>
  <c r="M423" i="13"/>
  <c r="P423" i="13" s="1"/>
  <c r="M424" i="13"/>
  <c r="P424" i="13" s="1"/>
  <c r="M425" i="13"/>
  <c r="M426" i="13"/>
  <c r="P426" i="13" s="1"/>
  <c r="M427" i="13"/>
  <c r="R427" i="13" s="1"/>
  <c r="M428" i="13"/>
  <c r="P428" i="13" s="1"/>
  <c r="M429" i="13"/>
  <c r="N3" i="13"/>
  <c r="AG24" i="13" a="1"/>
  <c r="AG24" i="13" s="1"/>
  <c r="AJ2" i="13"/>
  <c r="AJ3" i="13"/>
  <c r="AJ4" i="13"/>
  <c r="AJ5" i="13"/>
  <c r="AJ6" i="13"/>
  <c r="AJ7" i="13"/>
  <c r="AJ8" i="13"/>
  <c r="AJ9" i="13"/>
  <c r="AJ10" i="13"/>
  <c r="AJ11" i="13"/>
  <c r="AJ12" i="13"/>
  <c r="AJ13" i="13"/>
  <c r="AJ14" i="13"/>
  <c r="AJ15" i="13"/>
  <c r="AJ16" i="13"/>
  <c r="AJ17" i="13"/>
  <c r="AJ18" i="13"/>
  <c r="AJ19" i="13"/>
  <c r="AJ20" i="13"/>
  <c r="AJ21" i="13"/>
  <c r="AJ22" i="13"/>
  <c r="AJ23" i="13"/>
  <c r="AJ24" i="13"/>
  <c r="AJ25" i="13"/>
  <c r="AJ26" i="13"/>
  <c r="AJ27" i="13"/>
  <c r="AJ28" i="13"/>
  <c r="AJ29" i="13"/>
  <c r="AJ30" i="13"/>
  <c r="AJ31" i="13"/>
  <c r="AJ32" i="13"/>
  <c r="AJ33" i="13"/>
  <c r="AJ34" i="13"/>
  <c r="AJ35" i="13"/>
  <c r="AJ36" i="13"/>
  <c r="AJ37" i="13"/>
  <c r="AJ38" i="13"/>
  <c r="AJ39" i="13"/>
  <c r="AJ40" i="13"/>
  <c r="AJ41" i="13"/>
  <c r="AJ42" i="13"/>
  <c r="AJ43" i="13"/>
  <c r="AJ44" i="13"/>
  <c r="AJ45" i="13"/>
  <c r="AJ46" i="13"/>
  <c r="AJ47" i="13"/>
  <c r="AJ48" i="13"/>
  <c r="AJ49" i="13"/>
  <c r="AJ50" i="13"/>
  <c r="AJ51" i="13"/>
  <c r="AJ52" i="13"/>
  <c r="AJ53" i="13"/>
  <c r="AJ54" i="13"/>
  <c r="AJ55" i="13"/>
  <c r="AJ56" i="13"/>
  <c r="AJ57" i="13"/>
  <c r="AJ58" i="13"/>
  <c r="AJ59" i="13"/>
  <c r="AJ60" i="13"/>
  <c r="AJ61" i="13"/>
  <c r="AJ62" i="13"/>
  <c r="AJ63" i="13"/>
  <c r="AJ64" i="13"/>
  <c r="AJ65" i="13"/>
  <c r="AJ66" i="13"/>
  <c r="AJ67" i="13"/>
  <c r="AJ68" i="13"/>
  <c r="AJ69" i="13"/>
  <c r="AJ70" i="13"/>
  <c r="AJ71" i="13"/>
  <c r="AJ72" i="13"/>
  <c r="AJ73" i="13"/>
  <c r="AJ74" i="13"/>
  <c r="AJ75" i="13"/>
  <c r="AJ76" i="13"/>
  <c r="AJ77" i="13"/>
  <c r="AJ78" i="13"/>
  <c r="AJ79" i="13"/>
  <c r="AJ80" i="13"/>
  <c r="AJ81" i="13"/>
  <c r="AJ82" i="13"/>
  <c r="AJ83" i="13"/>
  <c r="AJ84" i="13"/>
  <c r="AJ85" i="13"/>
  <c r="AJ86" i="13"/>
  <c r="AJ87" i="13"/>
  <c r="AJ88" i="13"/>
  <c r="AJ89" i="13"/>
  <c r="AJ90" i="13"/>
  <c r="AJ91" i="13"/>
  <c r="AJ92" i="13"/>
  <c r="AJ93" i="13"/>
  <c r="AJ94" i="13"/>
  <c r="AJ95" i="13"/>
  <c r="AJ96" i="13"/>
  <c r="AJ97" i="13"/>
  <c r="AJ98" i="13"/>
  <c r="AJ99" i="13"/>
  <c r="AJ100" i="13"/>
  <c r="AJ101" i="13"/>
  <c r="AJ102" i="13"/>
  <c r="AJ103" i="13"/>
  <c r="AJ104" i="13"/>
  <c r="AJ105" i="13"/>
  <c r="AJ106" i="13"/>
  <c r="AJ107" i="13"/>
  <c r="AJ108" i="13"/>
  <c r="AJ109" i="13"/>
  <c r="AJ110" i="13"/>
  <c r="AJ111" i="13"/>
  <c r="AJ112" i="13"/>
  <c r="AJ113" i="13"/>
  <c r="AJ114" i="13"/>
  <c r="AJ115" i="13"/>
  <c r="AJ116" i="13"/>
  <c r="AJ117" i="13"/>
  <c r="AJ118" i="13"/>
  <c r="AJ119" i="13"/>
  <c r="AJ120" i="13"/>
  <c r="AJ121" i="13"/>
  <c r="AJ122" i="13"/>
  <c r="AJ123" i="13"/>
  <c r="AJ124" i="13"/>
  <c r="AJ125" i="13"/>
  <c r="AJ126" i="13"/>
  <c r="AJ127" i="13"/>
  <c r="AJ128" i="13"/>
  <c r="AJ129" i="13"/>
  <c r="AJ130" i="13"/>
  <c r="AJ131" i="13"/>
  <c r="AJ132" i="13"/>
  <c r="AJ133" i="13"/>
  <c r="AJ134" i="13"/>
  <c r="AJ135" i="13"/>
  <c r="AJ136" i="13"/>
  <c r="AJ137" i="13"/>
  <c r="AJ138" i="13"/>
  <c r="AJ139" i="13"/>
  <c r="AJ140" i="13"/>
  <c r="AJ141" i="13"/>
  <c r="AJ142" i="13"/>
  <c r="AJ143" i="13"/>
  <c r="AJ144" i="13"/>
  <c r="AJ145" i="13"/>
  <c r="AJ146" i="13"/>
  <c r="AJ147" i="13"/>
  <c r="AJ148" i="13"/>
  <c r="AJ149" i="13"/>
  <c r="AJ150" i="13"/>
  <c r="AJ151" i="13"/>
  <c r="AJ152" i="13"/>
  <c r="AJ153" i="13"/>
  <c r="AJ154" i="13"/>
  <c r="AJ155" i="13"/>
  <c r="AJ156" i="13"/>
  <c r="AJ157" i="13"/>
  <c r="AJ158" i="13"/>
  <c r="AJ159" i="13"/>
  <c r="AJ160" i="13"/>
  <c r="AJ161" i="13"/>
  <c r="AJ162" i="13"/>
  <c r="AJ163" i="13"/>
  <c r="AJ164" i="13"/>
  <c r="AJ165" i="13"/>
  <c r="AJ166" i="13"/>
  <c r="AJ167" i="13"/>
  <c r="AJ168" i="13"/>
  <c r="AJ169" i="13"/>
  <c r="AJ170" i="13"/>
  <c r="AJ171" i="13"/>
  <c r="AJ172" i="13"/>
  <c r="AJ173" i="13"/>
  <c r="AJ174" i="13"/>
  <c r="AJ175" i="13"/>
  <c r="AJ176" i="13"/>
  <c r="AJ177" i="13"/>
  <c r="AJ178" i="13"/>
  <c r="AJ179" i="13"/>
  <c r="AJ180" i="13"/>
  <c r="AJ181" i="13"/>
  <c r="AJ182" i="13"/>
  <c r="AJ183" i="13"/>
  <c r="AJ184" i="13"/>
  <c r="AJ185" i="13"/>
  <c r="AJ186" i="13"/>
  <c r="AJ187" i="13"/>
  <c r="AJ188" i="13"/>
  <c r="AJ189" i="13"/>
  <c r="AJ190" i="13"/>
  <c r="AJ191" i="13"/>
  <c r="AJ192" i="13"/>
  <c r="AJ193" i="13"/>
  <c r="AJ194" i="13"/>
  <c r="AJ195" i="13"/>
  <c r="AJ196" i="13"/>
  <c r="AJ197" i="13"/>
  <c r="AJ198" i="13"/>
  <c r="AJ199" i="13"/>
  <c r="AJ200" i="13"/>
  <c r="AJ201" i="13"/>
  <c r="AJ202" i="13"/>
  <c r="AJ203" i="13"/>
  <c r="AJ204" i="13"/>
  <c r="AJ205" i="13"/>
  <c r="AJ206" i="13"/>
  <c r="AJ207" i="13"/>
  <c r="AJ208" i="13"/>
  <c r="AJ209" i="13"/>
  <c r="AJ210" i="13"/>
  <c r="AJ211" i="13"/>
  <c r="AJ212" i="13"/>
  <c r="AJ213" i="13"/>
  <c r="AJ214" i="13"/>
  <c r="AJ215" i="13"/>
  <c r="AJ216" i="13"/>
  <c r="AJ217" i="13"/>
  <c r="AJ218" i="13"/>
  <c r="AJ219" i="13"/>
  <c r="AJ220" i="13"/>
  <c r="AJ221" i="13"/>
  <c r="AJ222" i="13"/>
  <c r="AJ223" i="13"/>
  <c r="AJ224" i="13"/>
  <c r="AJ225" i="13"/>
  <c r="AJ226" i="13"/>
  <c r="AJ227" i="13"/>
  <c r="AJ228" i="13"/>
  <c r="AJ229" i="13"/>
  <c r="AJ230" i="13"/>
  <c r="AJ231" i="13"/>
  <c r="AJ232" i="13"/>
  <c r="AJ233" i="13"/>
  <c r="AJ234" i="13"/>
  <c r="AJ235" i="13"/>
  <c r="AJ236" i="13"/>
  <c r="AJ237" i="13"/>
  <c r="AJ238" i="13"/>
  <c r="AJ239" i="13"/>
  <c r="AJ240" i="13"/>
  <c r="AJ241" i="13"/>
  <c r="AJ242" i="13"/>
  <c r="AJ243" i="13"/>
  <c r="AJ244" i="13"/>
  <c r="AJ245" i="13"/>
  <c r="AJ246" i="13"/>
  <c r="AJ247" i="13"/>
  <c r="AJ248" i="13"/>
  <c r="AJ249" i="13"/>
  <c r="AJ250" i="13"/>
  <c r="AJ251" i="13"/>
  <c r="AJ252" i="13"/>
  <c r="AJ253" i="13"/>
  <c r="AJ254" i="13"/>
  <c r="AJ255" i="13"/>
  <c r="AJ256" i="13"/>
  <c r="AJ257" i="13"/>
  <c r="AJ258" i="13"/>
  <c r="AJ259" i="13"/>
  <c r="AJ260" i="13"/>
  <c r="AJ261" i="13"/>
  <c r="AJ262" i="13"/>
  <c r="AJ263" i="13"/>
  <c r="AJ264" i="13"/>
  <c r="AJ265" i="13"/>
  <c r="AJ266" i="13"/>
  <c r="AJ267" i="13"/>
  <c r="AJ268" i="13"/>
  <c r="AJ269" i="13"/>
  <c r="AJ270" i="13"/>
  <c r="AJ271" i="13"/>
  <c r="AJ272" i="13"/>
  <c r="AJ273" i="13"/>
  <c r="AJ274" i="13"/>
  <c r="AJ275" i="13"/>
  <c r="AJ276" i="13"/>
  <c r="AJ277" i="13"/>
  <c r="AJ278" i="13"/>
  <c r="AJ279" i="13"/>
  <c r="AJ280" i="13"/>
  <c r="AJ281" i="13"/>
  <c r="AJ282" i="13"/>
  <c r="AJ283" i="13"/>
  <c r="AJ284" i="13"/>
  <c r="AJ285" i="13"/>
  <c r="AJ286" i="13"/>
  <c r="AJ287" i="13"/>
  <c r="AJ288" i="13"/>
  <c r="AJ289" i="13"/>
  <c r="AJ290" i="13"/>
  <c r="AJ291" i="13"/>
  <c r="AJ292" i="13"/>
  <c r="AJ293" i="13"/>
  <c r="AJ294" i="13"/>
  <c r="AJ295" i="13"/>
  <c r="AJ296" i="13"/>
  <c r="AJ297" i="13"/>
  <c r="AJ298" i="13"/>
  <c r="AJ299" i="13"/>
  <c r="AJ300" i="13"/>
  <c r="AJ301" i="13"/>
  <c r="AJ302" i="13"/>
  <c r="AJ303" i="13"/>
  <c r="AJ304" i="13"/>
  <c r="AJ305" i="13"/>
  <c r="AJ306" i="13"/>
  <c r="AJ307" i="13"/>
  <c r="AJ308" i="13"/>
  <c r="AJ309" i="13"/>
  <c r="AJ310" i="13"/>
  <c r="AJ311" i="13"/>
  <c r="AJ312" i="13"/>
  <c r="AJ313" i="13"/>
  <c r="AJ314" i="13"/>
  <c r="AJ315" i="13"/>
  <c r="AJ316" i="13"/>
  <c r="AJ317" i="13"/>
  <c r="AJ318" i="13"/>
  <c r="AJ319" i="13"/>
  <c r="AJ320" i="13"/>
  <c r="AJ321" i="13"/>
  <c r="AJ322" i="13"/>
  <c r="AJ323" i="13"/>
  <c r="AJ324" i="13"/>
  <c r="AJ325" i="13"/>
  <c r="AJ326" i="13"/>
  <c r="AJ327" i="13"/>
  <c r="AJ328" i="13"/>
  <c r="AJ329" i="13"/>
  <c r="AJ330" i="13"/>
  <c r="AJ331" i="13"/>
  <c r="AJ332" i="13"/>
  <c r="AJ333" i="13"/>
  <c r="AJ334" i="13"/>
  <c r="AJ335" i="13"/>
  <c r="AJ336" i="13"/>
  <c r="AJ337" i="13"/>
  <c r="AJ338" i="13"/>
  <c r="AJ339" i="13"/>
  <c r="AJ340" i="13"/>
  <c r="AJ341" i="13"/>
  <c r="AJ342" i="13"/>
  <c r="AJ343" i="13"/>
  <c r="AJ344" i="13"/>
  <c r="AJ345" i="13"/>
  <c r="AJ346" i="13"/>
  <c r="AJ347" i="13"/>
  <c r="AJ348" i="13"/>
  <c r="AJ349" i="13"/>
  <c r="AJ350" i="13"/>
  <c r="AJ351" i="13"/>
  <c r="AJ352" i="13"/>
  <c r="AJ353" i="13"/>
  <c r="AJ354" i="13"/>
  <c r="AJ355" i="13"/>
  <c r="AJ356" i="13"/>
  <c r="AJ357" i="13"/>
  <c r="AJ358" i="13"/>
  <c r="AJ359" i="13"/>
  <c r="AJ360" i="13"/>
  <c r="AJ361" i="13"/>
  <c r="AJ362" i="13"/>
  <c r="AJ363" i="13"/>
  <c r="AJ364" i="13"/>
  <c r="AJ365" i="13"/>
  <c r="AJ366" i="13"/>
  <c r="AJ367" i="13"/>
  <c r="AJ368" i="13"/>
  <c r="AJ369" i="13"/>
  <c r="AJ370" i="13"/>
  <c r="AJ371" i="13"/>
  <c r="AJ372" i="13"/>
  <c r="AJ373" i="13"/>
  <c r="AJ374" i="13"/>
  <c r="AJ375" i="13"/>
  <c r="AJ376" i="13"/>
  <c r="AJ377" i="13"/>
  <c r="AJ378" i="13"/>
  <c r="AJ379" i="13"/>
  <c r="AJ380" i="13"/>
  <c r="AJ381" i="13"/>
  <c r="AJ382" i="13"/>
  <c r="AJ383" i="13"/>
  <c r="AJ384" i="13"/>
  <c r="AJ385" i="13"/>
  <c r="AJ386" i="13"/>
  <c r="AJ387" i="13"/>
  <c r="AJ388" i="13"/>
  <c r="AJ389" i="13"/>
  <c r="AJ390" i="13"/>
  <c r="AJ391" i="13"/>
  <c r="AJ392" i="13"/>
  <c r="AJ393" i="13"/>
  <c r="AJ394" i="13"/>
  <c r="AJ395" i="13"/>
  <c r="AJ396" i="13"/>
  <c r="AJ397" i="13"/>
  <c r="AJ398" i="13"/>
  <c r="AJ399" i="13"/>
  <c r="AJ400" i="13"/>
  <c r="AJ401" i="13"/>
  <c r="AJ402" i="13"/>
  <c r="AJ403" i="13"/>
  <c r="AJ404" i="13"/>
  <c r="AJ405" i="13"/>
  <c r="AJ406" i="13"/>
  <c r="AJ407" i="13"/>
  <c r="AJ408" i="13"/>
  <c r="AJ409" i="13"/>
  <c r="AJ410" i="13"/>
  <c r="AJ411" i="13"/>
  <c r="AJ412" i="13"/>
  <c r="AJ413" i="13"/>
  <c r="AJ414" i="13"/>
  <c r="AJ415" i="13"/>
  <c r="AJ416" i="13"/>
  <c r="AJ417" i="13"/>
  <c r="AJ418" i="13"/>
  <c r="AJ419" i="13"/>
  <c r="AJ420" i="13"/>
  <c r="AJ421" i="13"/>
  <c r="AJ422" i="13"/>
  <c r="AJ423" i="13"/>
  <c r="AJ424" i="13"/>
  <c r="AJ425" i="13"/>
  <c r="AJ426" i="13"/>
  <c r="AJ427" i="13"/>
  <c r="AJ428" i="13"/>
  <c r="AJ429" i="13"/>
  <c r="AO2" i="13"/>
  <c r="AO3" i="13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22" i="13"/>
  <c r="AO123" i="13"/>
  <c r="AO124" i="13"/>
  <c r="AO125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0" i="13"/>
  <c r="AO141" i="13"/>
  <c r="AO142" i="13"/>
  <c r="AO143" i="13"/>
  <c r="AO144" i="13"/>
  <c r="AO145" i="13"/>
  <c r="AO146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64" i="13"/>
  <c r="AO165" i="13"/>
  <c r="AO166" i="13"/>
  <c r="AO167" i="13"/>
  <c r="AO168" i="13"/>
  <c r="AO169" i="13"/>
  <c r="AO170" i="13"/>
  <c r="AO171" i="13"/>
  <c r="AO172" i="13"/>
  <c r="AO173" i="13"/>
  <c r="AO174" i="13"/>
  <c r="AO175" i="13"/>
  <c r="AO176" i="13"/>
  <c r="AO177" i="13"/>
  <c r="AO178" i="13"/>
  <c r="AO179" i="13"/>
  <c r="AO180" i="13"/>
  <c r="AO181" i="13"/>
  <c r="AO182" i="13"/>
  <c r="AO183" i="13"/>
  <c r="AO184" i="13"/>
  <c r="AO185" i="13"/>
  <c r="AO186" i="13"/>
  <c r="AO187" i="13"/>
  <c r="AO188" i="13"/>
  <c r="AO189" i="13"/>
  <c r="AO190" i="13"/>
  <c r="AO191" i="13"/>
  <c r="AO192" i="13"/>
  <c r="AO193" i="13"/>
  <c r="AO194" i="13"/>
  <c r="AO195" i="13"/>
  <c r="AO196" i="13"/>
  <c r="AO197" i="13"/>
  <c r="AO198" i="13"/>
  <c r="AO199" i="13"/>
  <c r="AO200" i="13"/>
  <c r="AO201" i="13"/>
  <c r="AO202" i="13"/>
  <c r="AO203" i="13"/>
  <c r="AO204" i="13"/>
  <c r="AO205" i="13"/>
  <c r="AO206" i="13"/>
  <c r="AO207" i="13"/>
  <c r="AO208" i="13"/>
  <c r="AO209" i="13"/>
  <c r="AO210" i="13"/>
  <c r="AO211" i="13"/>
  <c r="AO212" i="13"/>
  <c r="AO213" i="13"/>
  <c r="AO214" i="13"/>
  <c r="AO215" i="13"/>
  <c r="AO216" i="13"/>
  <c r="AO217" i="13"/>
  <c r="AO218" i="13"/>
  <c r="AO219" i="13"/>
  <c r="AO220" i="13"/>
  <c r="AO221" i="13"/>
  <c r="AO222" i="13"/>
  <c r="AO223" i="13"/>
  <c r="AO224" i="13"/>
  <c r="AO225" i="13"/>
  <c r="AO226" i="13"/>
  <c r="AO227" i="13"/>
  <c r="AO228" i="13"/>
  <c r="AO229" i="13"/>
  <c r="AO230" i="13"/>
  <c r="AO231" i="13"/>
  <c r="AO232" i="13"/>
  <c r="AO233" i="13"/>
  <c r="AO234" i="13"/>
  <c r="AO235" i="13"/>
  <c r="AO236" i="13"/>
  <c r="AO237" i="13"/>
  <c r="AO238" i="13"/>
  <c r="AO239" i="13"/>
  <c r="AO240" i="13"/>
  <c r="AO241" i="13"/>
  <c r="AO242" i="13"/>
  <c r="AO243" i="13"/>
  <c r="AO244" i="13"/>
  <c r="AO245" i="13"/>
  <c r="AO246" i="13"/>
  <c r="AO247" i="13"/>
  <c r="AO248" i="13"/>
  <c r="AO249" i="13"/>
  <c r="AO250" i="13"/>
  <c r="AO251" i="13"/>
  <c r="AO252" i="13"/>
  <c r="AO253" i="13"/>
  <c r="AO254" i="13"/>
  <c r="AO255" i="13"/>
  <c r="AO256" i="13"/>
  <c r="AO257" i="13"/>
  <c r="AO258" i="13"/>
  <c r="AO259" i="13"/>
  <c r="AO260" i="13"/>
  <c r="AO261" i="13"/>
  <c r="AO262" i="13"/>
  <c r="AO263" i="13"/>
  <c r="AO264" i="13"/>
  <c r="AO265" i="13"/>
  <c r="AO266" i="13"/>
  <c r="AO267" i="13"/>
  <c r="AO268" i="13"/>
  <c r="AO269" i="13"/>
  <c r="AO270" i="13"/>
  <c r="AO271" i="13"/>
  <c r="AO272" i="13"/>
  <c r="AO273" i="13"/>
  <c r="AO274" i="13"/>
  <c r="AO275" i="13"/>
  <c r="AO276" i="13"/>
  <c r="AO277" i="13"/>
  <c r="AO278" i="13"/>
  <c r="AO279" i="13"/>
  <c r="AO280" i="13"/>
  <c r="AO281" i="13"/>
  <c r="AO282" i="13"/>
  <c r="AO283" i="13"/>
  <c r="AO284" i="13"/>
  <c r="AO285" i="13"/>
  <c r="AO286" i="13"/>
  <c r="AO287" i="13"/>
  <c r="AO288" i="13"/>
  <c r="AO289" i="13"/>
  <c r="AO290" i="13"/>
  <c r="AO291" i="13"/>
  <c r="AO292" i="13"/>
  <c r="AO293" i="13"/>
  <c r="AO294" i="13"/>
  <c r="AO295" i="13"/>
  <c r="AO296" i="13"/>
  <c r="AO297" i="13"/>
  <c r="AO298" i="13"/>
  <c r="AO299" i="13"/>
  <c r="AO300" i="13"/>
  <c r="AO301" i="13"/>
  <c r="AO302" i="13"/>
  <c r="AO303" i="13"/>
  <c r="AO304" i="13"/>
  <c r="AO305" i="13"/>
  <c r="AO306" i="13"/>
  <c r="AO307" i="13"/>
  <c r="AO308" i="13"/>
  <c r="AO309" i="13"/>
  <c r="AO310" i="13"/>
  <c r="AO311" i="13"/>
  <c r="AO312" i="13"/>
  <c r="AO313" i="13"/>
  <c r="AO314" i="13"/>
  <c r="AO315" i="13"/>
  <c r="AO316" i="13"/>
  <c r="AO317" i="13"/>
  <c r="AO318" i="13"/>
  <c r="AO319" i="13"/>
  <c r="AO320" i="13"/>
  <c r="AO321" i="13"/>
  <c r="AO322" i="13"/>
  <c r="AO323" i="13"/>
  <c r="AO324" i="13"/>
  <c r="AO325" i="13"/>
  <c r="AO326" i="13"/>
  <c r="AO327" i="13"/>
  <c r="AO328" i="13"/>
  <c r="AO329" i="13"/>
  <c r="AO330" i="13"/>
  <c r="AO331" i="13"/>
  <c r="AO332" i="13"/>
  <c r="AO333" i="13"/>
  <c r="AO334" i="13"/>
  <c r="AO335" i="13"/>
  <c r="AO336" i="13"/>
  <c r="AO337" i="13"/>
  <c r="AO338" i="13"/>
  <c r="AO339" i="13"/>
  <c r="AO340" i="13"/>
  <c r="AO341" i="13"/>
  <c r="AO342" i="13"/>
  <c r="AO343" i="13"/>
  <c r="AO344" i="13"/>
  <c r="AO345" i="13"/>
  <c r="AO346" i="13"/>
  <c r="AO347" i="13"/>
  <c r="AO348" i="13"/>
  <c r="AO349" i="13"/>
  <c r="AO350" i="13"/>
  <c r="AO351" i="13"/>
  <c r="AO352" i="13"/>
  <c r="AO353" i="13"/>
  <c r="AO354" i="13"/>
  <c r="AO355" i="13"/>
  <c r="AO356" i="13"/>
  <c r="AO357" i="13"/>
  <c r="AO358" i="13"/>
  <c r="AO359" i="13"/>
  <c r="AO360" i="13"/>
  <c r="AO361" i="13"/>
  <c r="AO362" i="13"/>
  <c r="AO363" i="13"/>
  <c r="AO364" i="13"/>
  <c r="AO365" i="13"/>
  <c r="AO366" i="13"/>
  <c r="AO367" i="13"/>
  <c r="AO368" i="13"/>
  <c r="AO369" i="13"/>
  <c r="AO370" i="13"/>
  <c r="AO371" i="13"/>
  <c r="AO372" i="13"/>
  <c r="AO373" i="13"/>
  <c r="AO374" i="13"/>
  <c r="AO375" i="13"/>
  <c r="AO376" i="13"/>
  <c r="AO377" i="13"/>
  <c r="AO378" i="13"/>
  <c r="AO379" i="13"/>
  <c r="AO380" i="13"/>
  <c r="AO381" i="13"/>
  <c r="AO382" i="13"/>
  <c r="AO383" i="13"/>
  <c r="AO384" i="13"/>
  <c r="AO385" i="13"/>
  <c r="AO386" i="13"/>
  <c r="AO387" i="13"/>
  <c r="AO388" i="13"/>
  <c r="AO389" i="13"/>
  <c r="AO390" i="13"/>
  <c r="AO391" i="13"/>
  <c r="AO392" i="13"/>
  <c r="AO393" i="13"/>
  <c r="AO394" i="13"/>
  <c r="AO395" i="13"/>
  <c r="AO396" i="13"/>
  <c r="AO397" i="13"/>
  <c r="AO398" i="13"/>
  <c r="AO399" i="13"/>
  <c r="AO400" i="13"/>
  <c r="AO401" i="13"/>
  <c r="AO402" i="13"/>
  <c r="AO403" i="13"/>
  <c r="AO404" i="13"/>
  <c r="AO405" i="13"/>
  <c r="AO406" i="13"/>
  <c r="AO407" i="13"/>
  <c r="AO408" i="13"/>
  <c r="AO409" i="13"/>
  <c r="AO410" i="13"/>
  <c r="AO411" i="13"/>
  <c r="AO412" i="13"/>
  <c r="AO413" i="13"/>
  <c r="AO414" i="13"/>
  <c r="AO415" i="13"/>
  <c r="AO416" i="13"/>
  <c r="AO417" i="13"/>
  <c r="AO418" i="13"/>
  <c r="AO419" i="13"/>
  <c r="AO420" i="13"/>
  <c r="AO421" i="13"/>
  <c r="AO422" i="13"/>
  <c r="AO423" i="13"/>
  <c r="AO424" i="13"/>
  <c r="AO425" i="13"/>
  <c r="AO426" i="13"/>
  <c r="AO427" i="13"/>
  <c r="AO428" i="13"/>
  <c r="AO429" i="13"/>
  <c r="S401" i="13" l="1"/>
  <c r="S376" i="13"/>
  <c r="S308" i="13"/>
  <c r="S229" i="13"/>
  <c r="S214" i="13"/>
  <c r="S182" i="13"/>
  <c r="S310" i="13"/>
  <c r="S306" i="13"/>
  <c r="S422" i="13"/>
  <c r="S297" i="13"/>
  <c r="S293" i="13"/>
  <c r="S413" i="13"/>
  <c r="S276" i="13"/>
  <c r="S268" i="13"/>
  <c r="S264" i="13"/>
  <c r="S184" i="13"/>
  <c r="S71" i="13"/>
  <c r="S55" i="13"/>
  <c r="S35" i="13"/>
  <c r="S307" i="13"/>
  <c r="S259" i="13"/>
  <c r="S255" i="13"/>
  <c r="S211" i="13"/>
  <c r="S9" i="13"/>
  <c r="S294" i="13"/>
  <c r="S230" i="13"/>
  <c r="AH426" i="13" a="1"/>
  <c r="AH426" i="13" s="1"/>
  <c r="S426" i="13"/>
  <c r="N418" i="13"/>
  <c r="Q418" i="13" s="1"/>
  <c r="AH414" i="13" a="1"/>
  <c r="AH414" i="13" s="1"/>
  <c r="S414" i="13"/>
  <c r="AH410" i="13" a="1"/>
  <c r="AH410" i="13" s="1"/>
  <c r="S410" i="13"/>
  <c r="AH406" i="13" a="1"/>
  <c r="AH406" i="13" s="1"/>
  <c r="S406" i="13"/>
  <c r="N402" i="13"/>
  <c r="Q402" i="13" s="1"/>
  <c r="S402" i="13"/>
  <c r="O398" i="13"/>
  <c r="S398" i="13"/>
  <c r="O394" i="13"/>
  <c r="O390" i="13"/>
  <c r="S390" i="13"/>
  <c r="AH382" i="13" a="1"/>
  <c r="AH382" i="13" s="1"/>
  <c r="N377" i="13"/>
  <c r="Q377" i="13" s="1"/>
  <c r="O373" i="13"/>
  <c r="N369" i="13"/>
  <c r="Q369" i="13" s="1"/>
  <c r="AH365" i="13" a="1"/>
  <c r="AH365" i="13" s="1"/>
  <c r="N361" i="13"/>
  <c r="Q361" i="13" s="1"/>
  <c r="O349" i="13"/>
  <c r="AH345" i="13" a="1"/>
  <c r="AH345" i="13" s="1"/>
  <c r="S345" i="13"/>
  <c r="AH341" i="13" a="1"/>
  <c r="AH341" i="13" s="1"/>
  <c r="S341" i="13"/>
  <c r="N337" i="13"/>
  <c r="Q337" i="13" s="1"/>
  <c r="AD337" i="13" s="1"/>
  <c r="S337" i="13"/>
  <c r="AH333" i="13" a="1"/>
  <c r="AH333" i="13" s="1"/>
  <c r="N329" i="13"/>
  <c r="Q329" i="13" s="1"/>
  <c r="S329" i="13"/>
  <c r="O325" i="13"/>
  <c r="N321" i="13"/>
  <c r="Q321" i="13" s="1"/>
  <c r="O309" i="13"/>
  <c r="S309" i="13"/>
  <c r="N305" i="13"/>
  <c r="Q305" i="13" s="1"/>
  <c r="S305" i="13"/>
  <c r="N289" i="13"/>
  <c r="S289" i="13"/>
  <c r="AH285" i="13" a="1"/>
  <c r="AH285" i="13" s="1"/>
  <c r="S285" i="13"/>
  <c r="N281" i="13"/>
  <c r="S281" i="13"/>
  <c r="O273" i="13"/>
  <c r="S273" i="13"/>
  <c r="AH269" i="13" a="1"/>
  <c r="AH269" i="13" s="1"/>
  <c r="S269" i="13"/>
  <c r="O257" i="13"/>
  <c r="S257" i="13"/>
  <c r="N253" i="13"/>
  <c r="S253" i="13"/>
  <c r="N249" i="13"/>
  <c r="Q249" i="13" s="1"/>
  <c r="S249" i="13"/>
  <c r="O241" i="13"/>
  <c r="S241" i="13"/>
  <c r="N237" i="13"/>
  <c r="Q237" i="13" s="1"/>
  <c r="AD237" i="13" s="1"/>
  <c r="S237" i="13"/>
  <c r="AH233" i="13" a="1"/>
  <c r="AH233" i="13" s="1"/>
  <c r="S233" i="13"/>
  <c r="O225" i="13"/>
  <c r="O221" i="13"/>
  <c r="S221" i="13"/>
  <c r="N217" i="13"/>
  <c r="Q217" i="13" s="1"/>
  <c r="AD217" i="13" s="1"/>
  <c r="S217" i="13"/>
  <c r="O209" i="13"/>
  <c r="S209" i="13"/>
  <c r="N205" i="13"/>
  <c r="Q205" i="13" s="1"/>
  <c r="S205" i="13"/>
  <c r="AH201" i="13" a="1"/>
  <c r="AH201" i="13" s="1"/>
  <c r="S201" i="13"/>
  <c r="O193" i="13"/>
  <c r="S193" i="13"/>
  <c r="N189" i="13"/>
  <c r="AM189" i="13" s="1"/>
  <c r="AH185" i="13" a="1"/>
  <c r="AH185" i="13" s="1"/>
  <c r="S185" i="13"/>
  <c r="O177" i="13"/>
  <c r="S177" i="13"/>
  <c r="N173" i="13"/>
  <c r="S173" i="13"/>
  <c r="AH169" i="13" a="1"/>
  <c r="AH169" i="13" s="1"/>
  <c r="S169" i="13"/>
  <c r="N165" i="13"/>
  <c r="S165" i="13"/>
  <c r="AH161" i="13" a="1"/>
  <c r="AH161" i="13" s="1"/>
  <c r="S161" i="13"/>
  <c r="O157" i="13"/>
  <c r="N153" i="13"/>
  <c r="Q153" i="13" s="1"/>
  <c r="AD153" i="13" s="1"/>
  <c r="S153" i="13"/>
  <c r="O145" i="13"/>
  <c r="S145" i="13"/>
  <c r="AH136" i="13" a="1"/>
  <c r="AH136" i="13" s="1"/>
  <c r="O132" i="13"/>
  <c r="O128" i="13"/>
  <c r="S128" i="13"/>
  <c r="AH120" i="13" a="1"/>
  <c r="AH120" i="13" s="1"/>
  <c r="O116" i="13"/>
  <c r="S116" i="13"/>
  <c r="AH112" i="13" a="1"/>
  <c r="AH112" i="13" s="1"/>
  <c r="S112" i="13"/>
  <c r="N108" i="13"/>
  <c r="Q108" i="13" s="1"/>
  <c r="AD108" i="13" s="1"/>
  <c r="S108" i="13"/>
  <c r="AH104" i="13" a="1"/>
  <c r="AH104" i="13" s="1"/>
  <c r="S104" i="13"/>
  <c r="N100" i="13"/>
  <c r="Q100" i="13" s="1"/>
  <c r="AD100" i="13" s="1"/>
  <c r="S100" i="13"/>
  <c r="O96" i="13"/>
  <c r="AH88" i="13" a="1"/>
  <c r="AH88" i="13" s="1"/>
  <c r="O80" i="13"/>
  <c r="S80" i="13"/>
  <c r="O76" i="13"/>
  <c r="AH72" i="13" a="1"/>
  <c r="AH72" i="13" s="1"/>
  <c r="S72" i="13"/>
  <c r="O68" i="13"/>
  <c r="O64" i="13"/>
  <c r="S64" i="13"/>
  <c r="N60" i="13"/>
  <c r="Q60" i="13" s="1"/>
  <c r="O52" i="13"/>
  <c r="O48" i="13"/>
  <c r="S48" i="13"/>
  <c r="O44" i="13"/>
  <c r="N40" i="13"/>
  <c r="AM40" i="13" s="1"/>
  <c r="S40" i="13"/>
  <c r="O32" i="13"/>
  <c r="AH24" i="13" a="1"/>
  <c r="AH24" i="13" s="1"/>
  <c r="S24" i="13"/>
  <c r="O19" i="13"/>
  <c r="O15" i="13"/>
  <c r="N11" i="13"/>
  <c r="Q11" i="13" s="1"/>
  <c r="S11" i="13"/>
  <c r="AH7" i="13" a="1"/>
  <c r="AH7" i="13" s="1"/>
  <c r="O3" i="13"/>
  <c r="O425" i="13"/>
  <c r="S425" i="13"/>
  <c r="AH417" i="13" a="1"/>
  <c r="AH417" i="13" s="1"/>
  <c r="N409" i="13"/>
  <c r="Q409" i="13" s="1"/>
  <c r="S409" i="13"/>
  <c r="AH397" i="13" a="1"/>
  <c r="AH397" i="13" s="1"/>
  <c r="S397" i="13"/>
  <c r="N389" i="13"/>
  <c r="Q389" i="13" s="1"/>
  <c r="N372" i="13"/>
  <c r="Q372" i="13" s="1"/>
  <c r="O368" i="13"/>
  <c r="N364" i="13"/>
  <c r="Q364" i="13" s="1"/>
  <c r="N360" i="13"/>
  <c r="Q360" i="13" s="1"/>
  <c r="N348" i="13"/>
  <c r="Q348" i="13" s="1"/>
  <c r="O336" i="13"/>
  <c r="N328" i="13"/>
  <c r="AM328" i="13" s="1"/>
  <c r="N316" i="13"/>
  <c r="Q316" i="13" s="1"/>
  <c r="S316" i="13"/>
  <c r="O312" i="13"/>
  <c r="S312" i="13"/>
  <c r="O304" i="13"/>
  <c r="S304" i="13"/>
  <c r="N296" i="13"/>
  <c r="Q296" i="13" s="1"/>
  <c r="S296" i="13"/>
  <c r="N284" i="13"/>
  <c r="Q284" i="13" s="1"/>
  <c r="S284" i="13"/>
  <c r="O280" i="13"/>
  <c r="S280" i="13"/>
  <c r="O272" i="13"/>
  <c r="S272" i="13"/>
  <c r="N244" i="13"/>
  <c r="Q244" i="13" s="1"/>
  <c r="N236" i="13"/>
  <c r="Q236" i="13" s="1"/>
  <c r="S236" i="13"/>
  <c r="O220" i="13"/>
  <c r="S220" i="13"/>
  <c r="O200" i="13"/>
  <c r="S200" i="13"/>
  <c r="O188" i="13"/>
  <c r="S188" i="13"/>
  <c r="O156" i="13"/>
  <c r="S156" i="13"/>
  <c r="N152" i="13"/>
  <c r="Q152" i="13" s="1"/>
  <c r="AD152" i="13" s="1"/>
  <c r="S152" i="13"/>
  <c r="O144" i="13"/>
  <c r="N135" i="13"/>
  <c r="Q135" i="13" s="1"/>
  <c r="AD135" i="13" s="1"/>
  <c r="S135" i="13"/>
  <c r="AH131" i="13" a="1"/>
  <c r="AH131" i="13" s="1"/>
  <c r="S131" i="13"/>
  <c r="N123" i="13"/>
  <c r="Q123" i="13" s="1"/>
  <c r="O107" i="13"/>
  <c r="S107" i="13"/>
  <c r="N91" i="13"/>
  <c r="Q91" i="13" s="1"/>
  <c r="AH83" i="13" a="1"/>
  <c r="AH83" i="13" s="1"/>
  <c r="N75" i="13"/>
  <c r="AM75" i="13" s="1"/>
  <c r="O59" i="13"/>
  <c r="S59" i="13"/>
  <c r="AH47" i="13" a="1"/>
  <c r="AH47" i="13" s="1"/>
  <c r="N43" i="13"/>
  <c r="Q43" i="13" s="1"/>
  <c r="N39" i="13"/>
  <c r="AM39" i="13" s="1"/>
  <c r="S39" i="13"/>
  <c r="AH31" i="13" a="1"/>
  <c r="AH31" i="13" s="1"/>
  <c r="S31" i="13"/>
  <c r="N27" i="13"/>
  <c r="Q27" i="13" s="1"/>
  <c r="N23" i="13"/>
  <c r="Q23" i="13" s="1"/>
  <c r="S23" i="13"/>
  <c r="AH18" i="13" a="1"/>
  <c r="AH18" i="13" s="1"/>
  <c r="AH14" i="13" a="1"/>
  <c r="AH14" i="13" s="1"/>
  <c r="N10" i="13"/>
  <c r="Q10" i="13" s="1"/>
  <c r="N6" i="13"/>
  <c r="Q6" i="13" s="1"/>
  <c r="AD6" i="13" s="1"/>
  <c r="S6" i="13"/>
  <c r="AH2" i="13" a="1"/>
  <c r="AH2" i="13" s="1"/>
  <c r="AH428" i="13" a="1"/>
  <c r="AH428" i="13" s="1"/>
  <c r="S428" i="13"/>
  <c r="N424" i="13"/>
  <c r="Q424" i="13" s="1"/>
  <c r="S424" i="13"/>
  <c r="O420" i="13"/>
  <c r="S420" i="13"/>
  <c r="N416" i="13"/>
  <c r="Q416" i="13" s="1"/>
  <c r="O412" i="13"/>
  <c r="S412" i="13"/>
  <c r="N408" i="13"/>
  <c r="Q408" i="13" s="1"/>
  <c r="S408" i="13"/>
  <c r="O404" i="13"/>
  <c r="S404" i="13"/>
  <c r="N400" i="13"/>
  <c r="Q400" i="13" s="1"/>
  <c r="N396" i="13"/>
  <c r="AM396" i="13" s="1"/>
  <c r="S396" i="13"/>
  <c r="O392" i="13"/>
  <c r="S392" i="13"/>
  <c r="AH388" i="13" a="1"/>
  <c r="AH388" i="13" s="1"/>
  <c r="S388" i="13"/>
  <c r="AH384" i="13" a="1"/>
  <c r="AH384" i="13" s="1"/>
  <c r="O379" i="13"/>
  <c r="AH375" i="13" a="1"/>
  <c r="AH375" i="13" s="1"/>
  <c r="AH371" i="13" a="1"/>
  <c r="AH371" i="13" s="1"/>
  <c r="N367" i="13"/>
  <c r="Q367" i="13" s="1"/>
  <c r="O363" i="13"/>
  <c r="AH359" i="13" a="1"/>
  <c r="AH359" i="13" s="1"/>
  <c r="O355" i="13"/>
  <c r="O351" i="13"/>
  <c r="N347" i="13"/>
  <c r="Q347" i="13" s="1"/>
  <c r="O343" i="13"/>
  <c r="N339" i="13"/>
  <c r="AM339" i="13" s="1"/>
  <c r="O335" i="13"/>
  <c r="AH331" i="13" a="1"/>
  <c r="AH331" i="13" s="1"/>
  <c r="AH327" i="13" a="1"/>
  <c r="AH327" i="13" s="1"/>
  <c r="O323" i="13"/>
  <c r="O319" i="13"/>
  <c r="N315" i="13"/>
  <c r="AM315" i="13" s="1"/>
  <c r="S315" i="13"/>
  <c r="O311" i="13"/>
  <c r="S311" i="13"/>
  <c r="N303" i="13"/>
  <c r="AM303" i="13" s="1"/>
  <c r="S303" i="13"/>
  <c r="AH299" i="13" a="1"/>
  <c r="AH299" i="13" s="1"/>
  <c r="S299" i="13"/>
  <c r="N295" i="13"/>
  <c r="Q295" i="13" s="1"/>
  <c r="S295" i="13"/>
  <c r="N291" i="13"/>
  <c r="AM291" i="13" s="1"/>
  <c r="S291" i="13"/>
  <c r="N287" i="13"/>
  <c r="Q287" i="13" s="1"/>
  <c r="S287" i="13"/>
  <c r="AH283" i="13" a="1"/>
  <c r="AH283" i="13" s="1"/>
  <c r="S283" i="13"/>
  <c r="O279" i="13"/>
  <c r="AH275" i="13" a="1"/>
  <c r="AH275" i="13" s="1"/>
  <c r="S275" i="13"/>
  <c r="N271" i="13"/>
  <c r="Q271" i="13" s="1"/>
  <c r="S271" i="13"/>
  <c r="N267" i="13"/>
  <c r="AM267" i="13" s="1"/>
  <c r="S267" i="13"/>
  <c r="N263" i="13"/>
  <c r="Q263" i="13" s="1"/>
  <c r="N251" i="13"/>
  <c r="AM251" i="13" s="1"/>
  <c r="O247" i="13"/>
  <c r="AH243" i="13" a="1"/>
  <c r="AH243" i="13" s="1"/>
  <c r="S243" i="13"/>
  <c r="N239" i="13"/>
  <c r="Q239" i="13" s="1"/>
  <c r="S239" i="13"/>
  <c r="N235" i="13"/>
  <c r="AM235" i="13" s="1"/>
  <c r="S235" i="13"/>
  <c r="N231" i="13"/>
  <c r="AM231" i="13" s="1"/>
  <c r="AH227" i="13" a="1"/>
  <c r="AH227" i="13" s="1"/>
  <c r="O223" i="13"/>
  <c r="S223" i="13"/>
  <c r="O219" i="13"/>
  <c r="S219" i="13"/>
  <c r="N215" i="13"/>
  <c r="Q215" i="13" s="1"/>
  <c r="N207" i="13"/>
  <c r="S207" i="13"/>
  <c r="AH203" i="13" a="1"/>
  <c r="AH203" i="13" s="1"/>
  <c r="O195" i="13"/>
  <c r="S195" i="13"/>
  <c r="N191" i="13"/>
  <c r="Q191" i="13" s="1"/>
  <c r="AH187" i="13" a="1"/>
  <c r="AH187" i="13" s="1"/>
  <c r="S187" i="13"/>
  <c r="O183" i="13"/>
  <c r="N179" i="13"/>
  <c r="AM179" i="13" s="1"/>
  <c r="S179" i="13"/>
  <c r="O175" i="13"/>
  <c r="S175" i="13"/>
  <c r="N171" i="13"/>
  <c r="Q171" i="13" s="1"/>
  <c r="S171" i="13"/>
  <c r="AH167" i="13" a="1"/>
  <c r="AH167" i="13" s="1"/>
  <c r="S167" i="13"/>
  <c r="N163" i="13"/>
  <c r="AM163" i="13" s="1"/>
  <c r="S163" i="13"/>
  <c r="O159" i="13"/>
  <c r="S159" i="13"/>
  <c r="N155" i="13"/>
  <c r="Q155" i="13" s="1"/>
  <c r="S155" i="13"/>
  <c r="N151" i="13"/>
  <c r="Q151" i="13" s="1"/>
  <c r="AD151" i="13" s="1"/>
  <c r="S151" i="13"/>
  <c r="AH147" i="13" a="1"/>
  <c r="AH147" i="13" s="1"/>
  <c r="S147" i="13"/>
  <c r="AH143" i="13" a="1"/>
  <c r="AH143" i="13" s="1"/>
  <c r="S143" i="13"/>
  <c r="N138" i="13"/>
  <c r="Q138" i="13" s="1"/>
  <c r="S138" i="13"/>
  <c r="AH134" i="13" a="1"/>
  <c r="AH134" i="13" s="1"/>
  <c r="S134" i="13"/>
  <c r="N130" i="13"/>
  <c r="Q130" i="13" s="1"/>
  <c r="AD130" i="13" s="1"/>
  <c r="S130" i="13"/>
  <c r="AH126" i="13" a="1"/>
  <c r="AH126" i="13" s="1"/>
  <c r="S126" i="13"/>
  <c r="O122" i="13"/>
  <c r="S122" i="13"/>
  <c r="O118" i="13"/>
  <c r="S118" i="13"/>
  <c r="N114" i="13"/>
  <c r="Q114" i="13" s="1"/>
  <c r="AD114" i="13" s="1"/>
  <c r="S114" i="13"/>
  <c r="O106" i="13"/>
  <c r="S106" i="13"/>
  <c r="O102" i="13"/>
  <c r="S102" i="13"/>
  <c r="N98" i="13"/>
  <c r="Q98" i="13" s="1"/>
  <c r="S98" i="13"/>
  <c r="O94" i="13"/>
  <c r="N90" i="13"/>
  <c r="Q90" i="13" s="1"/>
  <c r="O86" i="13"/>
  <c r="S86" i="13"/>
  <c r="O82" i="13"/>
  <c r="S82" i="13"/>
  <c r="N78" i="13"/>
  <c r="AM78" i="13" s="1"/>
  <c r="N74" i="13"/>
  <c r="Q74" i="13" s="1"/>
  <c r="S74" i="13"/>
  <c r="N70" i="13"/>
  <c r="Q70" i="13" s="1"/>
  <c r="O66" i="13"/>
  <c r="O62" i="13"/>
  <c r="N58" i="13"/>
  <c r="Q58" i="13" s="1"/>
  <c r="S58" i="13"/>
  <c r="N54" i="13"/>
  <c r="Q54" i="13" s="1"/>
  <c r="S54" i="13"/>
  <c r="O50" i="13"/>
  <c r="S50" i="13"/>
  <c r="O46" i="13"/>
  <c r="S46" i="13"/>
  <c r="N42" i="13"/>
  <c r="Q42" i="13" s="1"/>
  <c r="S42" i="13"/>
  <c r="O38" i="13"/>
  <c r="S38" i="13"/>
  <c r="N34" i="13"/>
  <c r="Q34" i="13" s="1"/>
  <c r="S34" i="13"/>
  <c r="AH30" i="13" a="1"/>
  <c r="AH30" i="13" s="1"/>
  <c r="O26" i="13"/>
  <c r="N22" i="13"/>
  <c r="AM22" i="13" s="1"/>
  <c r="S22" i="13"/>
  <c r="N17" i="13"/>
  <c r="AM17" i="13" s="1"/>
  <c r="S17" i="13"/>
  <c r="O13" i="13"/>
  <c r="S13" i="13"/>
  <c r="N5" i="13"/>
  <c r="AM5" i="13" s="1"/>
  <c r="S5" i="13"/>
  <c r="O427" i="13"/>
  <c r="S427" i="13"/>
  <c r="O423" i="13"/>
  <c r="S423" i="13"/>
  <c r="O419" i="13"/>
  <c r="O415" i="13"/>
  <c r="O411" i="13"/>
  <c r="S411" i="13"/>
  <c r="O407" i="13"/>
  <c r="S407" i="13"/>
  <c r="O403" i="13"/>
  <c r="S403" i="13"/>
  <c r="O399" i="13"/>
  <c r="S399" i="13"/>
  <c r="O395" i="13"/>
  <c r="S395" i="13"/>
  <c r="O391" i="13"/>
  <c r="S391" i="13"/>
  <c r="O387" i="13"/>
  <c r="S387" i="13"/>
  <c r="O383" i="13"/>
  <c r="O378" i="13"/>
  <c r="O370" i="13"/>
  <c r="O366" i="13"/>
  <c r="O362" i="13"/>
  <c r="O358" i="13"/>
  <c r="O350" i="13"/>
  <c r="O346" i="13"/>
  <c r="O338" i="13"/>
  <c r="O334" i="13"/>
  <c r="O326" i="13"/>
  <c r="O322" i="13"/>
  <c r="S322" i="13"/>
  <c r="O318" i="13"/>
  <c r="O314" i="13"/>
  <c r="S314" i="13"/>
  <c r="O302" i="13"/>
  <c r="S302" i="13"/>
  <c r="O298" i="13"/>
  <c r="S298" i="13"/>
  <c r="O286" i="13"/>
  <c r="S286" i="13"/>
  <c r="O274" i="13"/>
  <c r="S274" i="13"/>
  <c r="O270" i="13"/>
  <c r="S270" i="13"/>
  <c r="O262" i="13"/>
  <c r="S262" i="13"/>
  <c r="O258" i="13"/>
  <c r="S258" i="13"/>
  <c r="O254" i="13"/>
  <c r="O250" i="13"/>
  <c r="O246" i="13"/>
  <c r="O238" i="13"/>
  <c r="S238" i="13"/>
  <c r="O234" i="13"/>
  <c r="S234" i="13"/>
  <c r="O222" i="13"/>
  <c r="O210" i="13"/>
  <c r="O206" i="13"/>
  <c r="S206" i="13"/>
  <c r="O198" i="13"/>
  <c r="S198" i="13"/>
  <c r="O190" i="13"/>
  <c r="S190" i="13"/>
  <c r="O186" i="13"/>
  <c r="S186" i="13"/>
  <c r="O178" i="13"/>
  <c r="S178" i="13"/>
  <c r="O174" i="13"/>
  <c r="S174" i="13"/>
  <c r="O170" i="13"/>
  <c r="O162" i="13"/>
  <c r="S162" i="13"/>
  <c r="O158" i="13"/>
  <c r="O154" i="13"/>
  <c r="S154" i="13"/>
  <c r="O150" i="13"/>
  <c r="S150" i="13"/>
  <c r="O146" i="13"/>
  <c r="S146" i="13"/>
  <c r="O141" i="13"/>
  <c r="S141" i="13"/>
  <c r="O137" i="13"/>
  <c r="S137" i="13"/>
  <c r="O129" i="13"/>
  <c r="S129" i="13"/>
  <c r="O125" i="13"/>
  <c r="O117" i="13"/>
  <c r="S117" i="13"/>
  <c r="O113" i="13"/>
  <c r="O109" i="13"/>
  <c r="S109" i="13"/>
  <c r="O105" i="13"/>
  <c r="S105" i="13"/>
  <c r="O101" i="13"/>
  <c r="S101" i="13"/>
  <c r="O97" i="13"/>
  <c r="S97" i="13"/>
  <c r="O93" i="13"/>
  <c r="O89" i="13"/>
  <c r="S89" i="13"/>
  <c r="O85" i="13"/>
  <c r="S85" i="13"/>
  <c r="O81" i="13"/>
  <c r="O77" i="13"/>
  <c r="O73" i="13"/>
  <c r="O69" i="13"/>
  <c r="O65" i="13"/>
  <c r="O61" i="13"/>
  <c r="S61" i="13"/>
  <c r="O57" i="13"/>
  <c r="S57" i="13"/>
  <c r="O53" i="13"/>
  <c r="O49" i="13"/>
  <c r="O45" i="13"/>
  <c r="S45" i="13"/>
  <c r="O41" i="13"/>
  <c r="O37" i="13"/>
  <c r="S37" i="13"/>
  <c r="O33" i="13"/>
  <c r="S33" i="13"/>
  <c r="O29" i="13"/>
  <c r="S29" i="13"/>
  <c r="O25" i="13"/>
  <c r="S25" i="13"/>
  <c r="O21" i="13"/>
  <c r="S21" i="13"/>
  <c r="O16" i="13"/>
  <c r="S16" i="13"/>
  <c r="O12" i="13"/>
  <c r="S12" i="13"/>
  <c r="O8" i="13"/>
  <c r="S8" i="13"/>
  <c r="O4" i="13"/>
  <c r="S4" i="13"/>
  <c r="G413" i="13"/>
  <c r="AL413" i="13" s="1"/>
  <c r="G95" i="13"/>
  <c r="AL95" i="13" s="1"/>
  <c r="N56" i="13"/>
  <c r="AM56" i="13" s="1"/>
  <c r="R132" i="16"/>
  <c r="G256" i="13"/>
  <c r="AL256" i="13" s="1"/>
  <c r="AG57" i="13" a="1"/>
  <c r="AG57" i="13" s="1"/>
  <c r="G34" i="13"/>
  <c r="AL34" i="13" s="1"/>
  <c r="G138" i="13"/>
  <c r="AL138" i="13" s="1"/>
  <c r="G5" i="13"/>
  <c r="AL5" i="13" s="1"/>
  <c r="N212" i="13"/>
  <c r="H57" i="13"/>
  <c r="K65" i="13"/>
  <c r="T65" i="13"/>
  <c r="AG118" i="13" a="1"/>
  <c r="AG118" i="13" s="1"/>
  <c r="G97" i="13"/>
  <c r="AL97" i="13" s="1"/>
  <c r="G29" i="13"/>
  <c r="J29" i="13" s="1"/>
  <c r="AG141" i="13" a="1"/>
  <c r="AG141" i="13" s="1"/>
  <c r="AG86" i="13" a="1"/>
  <c r="AG86" i="13" s="1"/>
  <c r="G109" i="13"/>
  <c r="J109" i="13" s="1"/>
  <c r="AG16" i="13" a="1"/>
  <c r="AG16" i="13" s="1"/>
  <c r="H235" i="13"/>
  <c r="G86" i="13"/>
  <c r="J86" i="13" s="1"/>
  <c r="G55" i="13"/>
  <c r="AL55" i="13" s="1"/>
  <c r="AG285" i="13" a="1"/>
  <c r="AG285" i="13" s="1"/>
  <c r="AG101" i="13" a="1"/>
  <c r="AG101" i="13" s="1"/>
  <c r="G311" i="13"/>
  <c r="J311" i="13" s="1"/>
  <c r="G16" i="13"/>
  <c r="J16" i="13" s="1"/>
  <c r="AG179" i="13" a="1"/>
  <c r="AG179" i="13" s="1"/>
  <c r="H276" i="13"/>
  <c r="G161" i="13"/>
  <c r="J161" i="13" s="1"/>
  <c r="AG154" i="13" a="1"/>
  <c r="AG154" i="13" s="1"/>
  <c r="AG59" i="13" a="1"/>
  <c r="AG59" i="13" s="1"/>
  <c r="AG35" i="13" a="1"/>
  <c r="AG35" i="13" s="1"/>
  <c r="AG255" i="13" a="1"/>
  <c r="AG255" i="13" s="1"/>
  <c r="H195" i="13"/>
  <c r="G115" i="13"/>
  <c r="AL115" i="13" s="1"/>
  <c r="AG230" i="13" a="1"/>
  <c r="AG230" i="13" s="1"/>
  <c r="H114" i="13"/>
  <c r="G146" i="13"/>
  <c r="AL146" i="13" s="1"/>
  <c r="AG217" i="13" a="1"/>
  <c r="AG217" i="13" s="1"/>
  <c r="AG126" i="13" a="1"/>
  <c r="AG126" i="13" s="1"/>
  <c r="G22" i="13"/>
  <c r="AL22" i="13" s="1"/>
  <c r="H59" i="13"/>
  <c r="H395" i="13"/>
  <c r="H9" i="13"/>
  <c r="AG195" i="13" a="1"/>
  <c r="AG195" i="13" s="1"/>
  <c r="G345" i="13"/>
  <c r="J345" i="13" s="1"/>
  <c r="H257" i="13"/>
  <c r="G129" i="13"/>
  <c r="J129" i="13" s="1"/>
  <c r="T4" i="13"/>
  <c r="H264" i="13"/>
  <c r="H150" i="13"/>
  <c r="G255" i="13"/>
  <c r="AL255" i="13" s="1"/>
  <c r="AG345" i="13" a="1"/>
  <c r="AG345" i="13" s="1"/>
  <c r="H409" i="13"/>
  <c r="G235" i="13"/>
  <c r="J235" i="13" s="1"/>
  <c r="AG329" i="13" a="1"/>
  <c r="AG329" i="13" s="1"/>
  <c r="AG245" i="13" a="1"/>
  <c r="AG245" i="13" s="1"/>
  <c r="AG175" i="13" a="1"/>
  <c r="AG175" i="13" s="1"/>
  <c r="AG137" i="13" a="1"/>
  <c r="AG137" i="13" s="1"/>
  <c r="AG109" i="13" a="1"/>
  <c r="AG109" i="13" s="1"/>
  <c r="AG80" i="13" a="1"/>
  <c r="AG80" i="13" s="1"/>
  <c r="AG29" i="13" a="1"/>
  <c r="AG29" i="13" s="1"/>
  <c r="AG9" i="13" a="1"/>
  <c r="AG9" i="13" s="1"/>
  <c r="H311" i="13"/>
  <c r="H188" i="13"/>
  <c r="H39" i="13"/>
  <c r="H4" i="13"/>
  <c r="G289" i="13"/>
  <c r="J289" i="13" s="1"/>
  <c r="G201" i="13"/>
  <c r="J201" i="13" s="1"/>
  <c r="G80" i="13"/>
  <c r="J80" i="13" s="1"/>
  <c r="AG289" i="13" a="1"/>
  <c r="AG289" i="13" s="1"/>
  <c r="AG161" i="13" a="1"/>
  <c r="AG161" i="13" s="1"/>
  <c r="AG105" i="13" a="1"/>
  <c r="AG105" i="13" s="1"/>
  <c r="AG71" i="13" a="1"/>
  <c r="AG71" i="13" s="1"/>
  <c r="AG46" i="13" a="1"/>
  <c r="AG46" i="13" s="1"/>
  <c r="I13" i="13"/>
  <c r="H298" i="13"/>
  <c r="H245" i="13"/>
  <c r="H154" i="13"/>
  <c r="H35" i="13"/>
  <c r="G409" i="13"/>
  <c r="J409" i="13" s="1"/>
  <c r="G276" i="13"/>
  <c r="J276" i="13" s="1"/>
  <c r="G184" i="13"/>
  <c r="J184" i="13" s="1"/>
  <c r="G126" i="13"/>
  <c r="J126" i="13" s="1"/>
  <c r="G46" i="13"/>
  <c r="J46" i="13" s="1"/>
  <c r="AG404" i="13" a="1"/>
  <c r="AG404" i="13" s="1"/>
  <c r="AG307" i="13" a="1"/>
  <c r="AG307" i="13" s="1"/>
  <c r="AG272" i="13" a="1"/>
  <c r="AG272" i="13" s="1"/>
  <c r="AG188" i="13" a="1"/>
  <c r="AG188" i="13" s="1"/>
  <c r="AG169" i="13" a="1"/>
  <c r="AG169" i="13" s="1"/>
  <c r="AG150" i="13" a="1"/>
  <c r="AG150" i="13" s="1"/>
  <c r="AG114" i="13" a="1"/>
  <c r="AG114" i="13" s="1"/>
  <c r="AG39" i="13" a="1"/>
  <c r="AG39" i="13" s="1"/>
  <c r="AG4" i="13" a="1"/>
  <c r="AG4" i="13" s="1"/>
  <c r="K21" i="13"/>
  <c r="I9" i="13"/>
  <c r="H388" i="13"/>
  <c r="H294" i="13"/>
  <c r="H259" i="13"/>
  <c r="H217" i="13"/>
  <c r="H175" i="13"/>
  <c r="H137" i="13"/>
  <c r="H97" i="13"/>
  <c r="G404" i="13"/>
  <c r="AL404" i="13" s="1"/>
  <c r="G307" i="13"/>
  <c r="AL307" i="13" s="1"/>
  <c r="G272" i="13"/>
  <c r="J272" i="13" s="1"/>
  <c r="G230" i="13"/>
  <c r="AL230" i="13" s="1"/>
  <c r="G179" i="13"/>
  <c r="J179" i="13" s="1"/>
  <c r="G141" i="13"/>
  <c r="J141" i="13" s="1"/>
  <c r="G105" i="13"/>
  <c r="J105" i="13" s="1"/>
  <c r="AG399" i="13" a="1"/>
  <c r="AG399" i="13" s="1"/>
  <c r="AG303" i="13" a="1"/>
  <c r="AG303" i="13" s="1"/>
  <c r="AG268" i="13" a="1"/>
  <c r="AG268" i="13" s="1"/>
  <c r="AG211" i="13" a="1"/>
  <c r="AG211" i="13" s="1"/>
  <c r="AG184" i="13" a="1"/>
  <c r="AG184" i="13" s="1"/>
  <c r="AG165" i="13" a="1"/>
  <c r="AG165" i="13" s="1"/>
  <c r="AG146" i="13" a="1"/>
  <c r="AG146" i="13" s="1"/>
  <c r="AG131" i="13" a="1"/>
  <c r="AG131" i="13" s="1"/>
  <c r="K4" i="13"/>
  <c r="H413" i="13"/>
  <c r="H315" i="13"/>
  <c r="H281" i="13"/>
  <c r="H211" i="13"/>
  <c r="H169" i="13"/>
  <c r="H131" i="13"/>
  <c r="G388" i="13"/>
  <c r="J388" i="13" s="1"/>
  <c r="G294" i="13"/>
  <c r="AL294" i="13" s="1"/>
  <c r="G259" i="13"/>
  <c r="G165" i="13"/>
  <c r="J165" i="13" s="1"/>
  <c r="AG413" i="13" a="1"/>
  <c r="AG413" i="13" s="1"/>
  <c r="AG395" i="13" a="1"/>
  <c r="AG395" i="13" s="1"/>
  <c r="AG315" i="13" a="1"/>
  <c r="AG315" i="13" s="1"/>
  <c r="AG298" i="13" a="1"/>
  <c r="AG298" i="13" s="1"/>
  <c r="AG281" i="13" a="1"/>
  <c r="AG281" i="13" s="1"/>
  <c r="AG264" i="13" a="1"/>
  <c r="AG264" i="13" s="1"/>
  <c r="AG239" i="13" a="1"/>
  <c r="AG239" i="13" s="1"/>
  <c r="AG221" i="13" a="1"/>
  <c r="AG221" i="13" s="1"/>
  <c r="AG201" i="13" a="1"/>
  <c r="AG201" i="13" s="1"/>
  <c r="K17" i="13"/>
  <c r="I25" i="13"/>
  <c r="G399" i="13"/>
  <c r="J399" i="13" s="1"/>
  <c r="G329" i="13"/>
  <c r="J329" i="13" s="1"/>
  <c r="G303" i="13"/>
  <c r="J303" i="13" s="1"/>
  <c r="G285" i="13"/>
  <c r="J285" i="13" s="1"/>
  <c r="G268" i="13"/>
  <c r="G221" i="13"/>
  <c r="J221" i="13" s="1"/>
  <c r="G118" i="13"/>
  <c r="AL118" i="13" s="1"/>
  <c r="G101" i="13"/>
  <c r="J101" i="13" s="1"/>
  <c r="G71" i="13"/>
  <c r="J71" i="13" s="1"/>
  <c r="G239" i="13"/>
  <c r="J239" i="13" s="1"/>
  <c r="H72" i="13"/>
  <c r="G119" i="13"/>
  <c r="J119" i="13" s="1"/>
  <c r="AG316" i="13" a="1"/>
  <c r="AG316" i="13" s="1"/>
  <c r="H128" i="13"/>
  <c r="AG273" i="13" a="1"/>
  <c r="AG273" i="13" s="1"/>
  <c r="AG299" i="13" a="1"/>
  <c r="AG299" i="13" s="1"/>
  <c r="AG162" i="13" a="1"/>
  <c r="AG162" i="13" s="1"/>
  <c r="AG133" i="13" a="1"/>
  <c r="AG133" i="13" s="1"/>
  <c r="AG31" i="13" a="1"/>
  <c r="AG31" i="13" s="1"/>
  <c r="H102" i="13"/>
  <c r="AG376" i="13" a="1"/>
  <c r="AG376" i="13" s="1"/>
  <c r="AG119" i="13" a="1"/>
  <c r="AG119" i="13" s="1"/>
  <c r="AG17" i="13" a="1"/>
  <c r="AG17" i="13" s="1"/>
  <c r="H89" i="13"/>
  <c r="AG308" i="13" a="1"/>
  <c r="AG308" i="13" s="1"/>
  <c r="AG147" i="13" a="1"/>
  <c r="AG147" i="13" s="1"/>
  <c r="AG138" i="13" a="1"/>
  <c r="AG138" i="13" s="1"/>
  <c r="H138" i="13"/>
  <c r="H31" i="13"/>
  <c r="H5" i="13"/>
  <c r="AG98" i="13" a="1"/>
  <c r="AG98" i="13" s="1"/>
  <c r="AG48" i="13" a="1"/>
  <c r="AG48" i="13" s="1"/>
  <c r="AG36" i="13" a="1"/>
  <c r="AG36" i="13" s="1"/>
  <c r="AG5" i="13" a="1"/>
  <c r="AG5" i="13" s="1"/>
  <c r="H40" i="13"/>
  <c r="H17" i="13"/>
  <c r="G207" i="13"/>
  <c r="AL207" i="13" s="1"/>
  <c r="G106" i="13"/>
  <c r="J106" i="13" s="1"/>
  <c r="G98" i="13"/>
  <c r="J98" i="13" s="1"/>
  <c r="G82" i="13"/>
  <c r="J82" i="13" s="1"/>
  <c r="G61" i="13"/>
  <c r="J61" i="13" s="1"/>
  <c r="G40" i="13"/>
  <c r="J40" i="13" s="1"/>
  <c r="AG312" i="13" a="1"/>
  <c r="AG312" i="13" s="1"/>
  <c r="H106" i="13"/>
  <c r="H82" i="13"/>
  <c r="H61" i="13"/>
  <c r="AG330" i="13" a="1"/>
  <c r="AG330" i="13" s="1"/>
  <c r="AG304" i="13" a="1"/>
  <c r="AG304" i="13" s="1"/>
  <c r="AG128" i="13" a="1"/>
  <c r="AG128" i="13" s="1"/>
  <c r="AG290" i="13" a="1"/>
  <c r="AG290" i="13" s="1"/>
  <c r="AG207" i="13" a="1"/>
  <c r="AG207" i="13" s="1"/>
  <c r="AG151" i="13" a="1"/>
  <c r="AG151" i="13" s="1"/>
  <c r="AG142" i="13" a="1"/>
  <c r="AG142" i="13" s="1"/>
  <c r="AG110" i="13" a="1"/>
  <c r="AG110" i="13" s="1"/>
  <c r="AG102" i="13" a="1"/>
  <c r="AG102" i="13" s="1"/>
  <c r="AG89" i="13" a="1"/>
  <c r="AG89" i="13" s="1"/>
  <c r="AG72" i="13" a="1"/>
  <c r="AG72" i="13" s="1"/>
  <c r="AG23" i="13" a="1"/>
  <c r="AG23" i="13" s="1"/>
  <c r="AG11" i="13" a="1"/>
  <c r="AG11" i="13" s="1"/>
  <c r="I131" i="13"/>
  <c r="H48" i="13"/>
  <c r="H36" i="13"/>
  <c r="H23" i="13"/>
  <c r="H11" i="13"/>
  <c r="G110" i="13"/>
  <c r="J110" i="13" s="1"/>
  <c r="AM27" i="13"/>
  <c r="AH39" i="13" a="1"/>
  <c r="AH39" i="13" s="1"/>
  <c r="AH6" i="13" a="1"/>
  <c r="AH6" i="13" s="1"/>
  <c r="O135" i="13"/>
  <c r="AH425" i="13" a="1"/>
  <c r="AH425" i="13" s="1"/>
  <c r="O27" i="13"/>
  <c r="AH409" i="13" a="1"/>
  <c r="AH409" i="13" s="1"/>
  <c r="AH23" i="13" a="1"/>
  <c r="AH23" i="13" s="1"/>
  <c r="O6" i="13"/>
  <c r="AH389" i="13" a="1"/>
  <c r="AH389" i="13" s="1"/>
  <c r="O416" i="13"/>
  <c r="H237" i="13"/>
  <c r="AH80" i="13" a="1"/>
  <c r="AH80" i="13" s="1"/>
  <c r="O389" i="13"/>
  <c r="AH62" i="13" a="1"/>
  <c r="AH62" i="13" s="1"/>
  <c r="AH307" i="13" a="1"/>
  <c r="AH307" i="13" s="1"/>
  <c r="N66" i="13"/>
  <c r="Q66" i="13" s="1"/>
  <c r="O299" i="13"/>
  <c r="AH138" i="13" a="1"/>
  <c r="AH138" i="13" s="1"/>
  <c r="O179" i="13"/>
  <c r="N355" i="13"/>
  <c r="Q355" i="13" s="1"/>
  <c r="I89" i="13"/>
  <c r="I54" i="13"/>
  <c r="K34" i="13"/>
  <c r="I118" i="13"/>
  <c r="I80" i="13"/>
  <c r="I42" i="13"/>
  <c r="K38" i="13"/>
  <c r="AP38" i="13" s="1"/>
  <c r="K102" i="13"/>
  <c r="AP102" i="13" s="1"/>
  <c r="I110" i="13"/>
  <c r="I71" i="13"/>
  <c r="AH118" i="13" a="1"/>
  <c r="AH118" i="13" s="1"/>
  <c r="R4" i="13"/>
  <c r="AH287" i="13" a="1"/>
  <c r="AH287" i="13" s="1"/>
  <c r="AH42" i="13" a="1"/>
  <c r="AH42" i="13" s="1"/>
  <c r="N199" i="13"/>
  <c r="Q199" i="13" s="1"/>
  <c r="N26" i="13"/>
  <c r="Q26" i="13" s="1"/>
  <c r="AH351" i="13" a="1"/>
  <c r="AH351" i="13" s="1"/>
  <c r="AH263" i="13" a="1"/>
  <c r="AH263" i="13" s="1"/>
  <c r="AH183" i="13" a="1"/>
  <c r="AH183" i="13" s="1"/>
  <c r="AH98" i="13" a="1"/>
  <c r="AH98" i="13" s="1"/>
  <c r="P12" i="13"/>
  <c r="O388" i="13"/>
  <c r="O239" i="13"/>
  <c r="O98" i="13"/>
  <c r="O5" i="13"/>
  <c r="N283" i="13"/>
  <c r="AM283" i="13" s="1"/>
  <c r="N159" i="13"/>
  <c r="Q159" i="13" s="1"/>
  <c r="AD159" i="13" s="1"/>
  <c r="I100" i="13"/>
  <c r="P52" i="13"/>
  <c r="O271" i="13"/>
  <c r="N323" i="13"/>
  <c r="AM323" i="13" s="1"/>
  <c r="AH408" i="13" a="1"/>
  <c r="AH408" i="13" s="1"/>
  <c r="AH247" i="13" a="1"/>
  <c r="AH247" i="13" s="1"/>
  <c r="AH163" i="13" a="1"/>
  <c r="AH163" i="13" s="1"/>
  <c r="AH13" i="13" a="1"/>
  <c r="AH13" i="13" s="1"/>
  <c r="O347" i="13"/>
  <c r="O207" i="13"/>
  <c r="O58" i="13"/>
  <c r="N392" i="13"/>
  <c r="Q392" i="13" s="1"/>
  <c r="N247" i="13"/>
  <c r="Q247" i="13" s="1"/>
  <c r="N118" i="13"/>
  <c r="Q118" i="13" s="1"/>
  <c r="AH400" i="13" a="1"/>
  <c r="AH400" i="13" s="1"/>
  <c r="AH367" i="13" a="1"/>
  <c r="AH367" i="13" s="1"/>
  <c r="AH343" i="13" a="1"/>
  <c r="AH343" i="13" s="1"/>
  <c r="AH323" i="13" a="1"/>
  <c r="AH323" i="13" s="1"/>
  <c r="AH303" i="13" a="1"/>
  <c r="AH303" i="13" s="1"/>
  <c r="AH279" i="13" a="1"/>
  <c r="AH279" i="13" s="1"/>
  <c r="AH199" i="13" a="1"/>
  <c r="AH199" i="13" s="1"/>
  <c r="AH179" i="13" a="1"/>
  <c r="AH179" i="13" s="1"/>
  <c r="AH94" i="13" a="1"/>
  <c r="AH94" i="13" s="1"/>
  <c r="AH58" i="13" a="1"/>
  <c r="AH58" i="13" s="1"/>
  <c r="P116" i="13"/>
  <c r="P36" i="13"/>
  <c r="O408" i="13"/>
  <c r="O339" i="13"/>
  <c r="O263" i="13"/>
  <c r="O199" i="13"/>
  <c r="O130" i="13"/>
  <c r="O54" i="13"/>
  <c r="N412" i="13"/>
  <c r="Q412" i="13" s="1"/>
  <c r="N351" i="13"/>
  <c r="AM351" i="13" s="1"/>
  <c r="N311" i="13"/>
  <c r="Q311" i="13" s="1"/>
  <c r="N279" i="13"/>
  <c r="Q279" i="13" s="1"/>
  <c r="N195" i="13"/>
  <c r="AM195" i="13" s="1"/>
  <c r="N13" i="13"/>
  <c r="AM13" i="13" s="1"/>
  <c r="AH424" i="13" a="1"/>
  <c r="AH424" i="13" s="1"/>
  <c r="AH259" i="13" a="1"/>
  <c r="AH259" i="13" s="1"/>
  <c r="AH219" i="13" a="1"/>
  <c r="AH219" i="13" s="1"/>
  <c r="AH155" i="13" a="1"/>
  <c r="AH155" i="13" s="1"/>
  <c r="AH114" i="13" a="1"/>
  <c r="AH114" i="13" s="1"/>
  <c r="AH78" i="13" a="1"/>
  <c r="AH78" i="13" s="1"/>
  <c r="P84" i="13"/>
  <c r="O375" i="13"/>
  <c r="O295" i="13"/>
  <c r="O235" i="13"/>
  <c r="O163" i="13"/>
  <c r="O78" i="13"/>
  <c r="O22" i="13"/>
  <c r="N379" i="13"/>
  <c r="AM379" i="13" s="1"/>
  <c r="N147" i="13"/>
  <c r="AM147" i="13" s="1"/>
  <c r="N94" i="13"/>
  <c r="Q94" i="13" s="1"/>
  <c r="N62" i="13"/>
  <c r="Q62" i="13" s="1"/>
  <c r="AH412" i="13" a="1"/>
  <c r="AH412" i="13" s="1"/>
  <c r="AH339" i="13" a="1"/>
  <c r="AH339" i="13" s="1"/>
  <c r="AH319" i="13" a="1"/>
  <c r="AH319" i="13" s="1"/>
  <c r="AH295" i="13" a="1"/>
  <c r="AH295" i="13" s="1"/>
  <c r="AH255" i="13" a="1"/>
  <c r="AH255" i="13" s="1"/>
  <c r="AH235" i="13" a="1"/>
  <c r="AH235" i="13" s="1"/>
  <c r="AH215" i="13" a="1"/>
  <c r="AH215" i="13" s="1"/>
  <c r="AH195" i="13" a="1"/>
  <c r="AH195" i="13" s="1"/>
  <c r="AH171" i="13" a="1"/>
  <c r="AH171" i="13" s="1"/>
  <c r="AH151" i="13" a="1"/>
  <c r="AH151" i="13" s="1"/>
  <c r="AH130" i="13" a="1"/>
  <c r="AH130" i="13" s="1"/>
  <c r="AH110" i="13" a="1"/>
  <c r="AH110" i="13" s="1"/>
  <c r="AH90" i="13" a="1"/>
  <c r="AH90" i="13" s="1"/>
  <c r="AH74" i="13" a="1"/>
  <c r="AH74" i="13" s="1"/>
  <c r="AH54" i="13" a="1"/>
  <c r="AH54" i="13" s="1"/>
  <c r="AH38" i="13" a="1"/>
  <c r="AH38" i="13" s="1"/>
  <c r="AH22" i="13" a="1"/>
  <c r="AH22" i="13" s="1"/>
  <c r="AH5" i="13" a="1"/>
  <c r="AH5" i="13" s="1"/>
  <c r="P308" i="13"/>
  <c r="P152" i="13"/>
  <c r="P28" i="13"/>
  <c r="P4" i="13"/>
  <c r="O400" i="13"/>
  <c r="O367" i="13"/>
  <c r="O287" i="13"/>
  <c r="O255" i="13"/>
  <c r="O231" i="13"/>
  <c r="O191" i="13"/>
  <c r="O155" i="13"/>
  <c r="O114" i="13"/>
  <c r="O74" i="13"/>
  <c r="O42" i="13"/>
  <c r="O9" i="13"/>
  <c r="N375" i="13"/>
  <c r="Q375" i="13" s="1"/>
  <c r="N304" i="13"/>
  <c r="Q304" i="13" s="1"/>
  <c r="N223" i="13"/>
  <c r="Q223" i="13" s="1"/>
  <c r="N183" i="13"/>
  <c r="Q183" i="13" s="1"/>
  <c r="N86" i="13"/>
  <c r="Q86" i="13" s="1"/>
  <c r="N50" i="13"/>
  <c r="Q50" i="13" s="1"/>
  <c r="AH396" i="13" a="1"/>
  <c r="AH396" i="13" s="1"/>
  <c r="AH355" i="13" a="1"/>
  <c r="AH355" i="13" s="1"/>
  <c r="AH335" i="13" a="1"/>
  <c r="AH335" i="13" s="1"/>
  <c r="AH311" i="13" a="1"/>
  <c r="AH311" i="13" s="1"/>
  <c r="AH291" i="13" a="1"/>
  <c r="AH291" i="13" s="1"/>
  <c r="AH271" i="13" a="1"/>
  <c r="AH271" i="13" s="1"/>
  <c r="AH251" i="13" a="1"/>
  <c r="AH251" i="13" s="1"/>
  <c r="AH231" i="13" a="1"/>
  <c r="AH231" i="13" s="1"/>
  <c r="AH211" i="13" a="1"/>
  <c r="AH211" i="13" s="1"/>
  <c r="AH102" i="13" a="1"/>
  <c r="AH102" i="13" s="1"/>
  <c r="AH86" i="13" a="1"/>
  <c r="AH86" i="13" s="1"/>
  <c r="AH66" i="13" a="1"/>
  <c r="AH66" i="13" s="1"/>
  <c r="AH50" i="13" a="1"/>
  <c r="AH50" i="13" s="1"/>
  <c r="P148" i="13"/>
  <c r="O303" i="13"/>
  <c r="O283" i="13"/>
  <c r="O251" i="13"/>
  <c r="O215" i="13"/>
  <c r="O151" i="13"/>
  <c r="O70" i="13"/>
  <c r="O34" i="13"/>
  <c r="N363" i="13"/>
  <c r="AM363" i="13" s="1"/>
  <c r="N335" i="13"/>
  <c r="Q335" i="13" s="1"/>
  <c r="N299" i="13"/>
  <c r="AM299" i="13" s="1"/>
  <c r="N255" i="13"/>
  <c r="Q255" i="13" s="1"/>
  <c r="N219" i="13"/>
  <c r="Q219" i="13" s="1"/>
  <c r="N122" i="13"/>
  <c r="Q122" i="13" s="1"/>
  <c r="N82" i="13"/>
  <c r="Q82" i="13" s="1"/>
  <c r="N38" i="13"/>
  <c r="Q38" i="13" s="1"/>
  <c r="K111" i="13"/>
  <c r="I177" i="13"/>
  <c r="AH156" i="13" a="1"/>
  <c r="AH156" i="13" s="1"/>
  <c r="O328" i="13"/>
  <c r="N280" i="13"/>
  <c r="Q280" i="13" s="1"/>
  <c r="K193" i="13"/>
  <c r="T220" i="13"/>
  <c r="T72" i="13"/>
  <c r="K94" i="13"/>
  <c r="K107" i="13"/>
  <c r="K72" i="13"/>
  <c r="I165" i="13"/>
  <c r="G397" i="13"/>
  <c r="J397" i="13" s="1"/>
  <c r="G181" i="13"/>
  <c r="J181" i="13" s="1"/>
  <c r="AG385" i="13" a="1"/>
  <c r="AG385" i="13" s="1"/>
  <c r="I36" i="13"/>
  <c r="R164" i="13"/>
  <c r="AP164" i="13" s="1"/>
  <c r="P164" i="13"/>
  <c r="R32" i="13"/>
  <c r="AP32" i="13" s="1"/>
  <c r="P32" i="13"/>
  <c r="O384" i="13"/>
  <c r="N384" i="13"/>
  <c r="Q384" i="13" s="1"/>
  <c r="N327" i="13"/>
  <c r="Q327" i="13" s="1"/>
  <c r="O327" i="13"/>
  <c r="O307" i="13"/>
  <c r="N307" i="13"/>
  <c r="AM307" i="13" s="1"/>
  <c r="N275" i="13"/>
  <c r="AM275" i="13" s="1"/>
  <c r="O275" i="13"/>
  <c r="N259" i="13"/>
  <c r="AM259" i="13" s="1"/>
  <c r="O259" i="13"/>
  <c r="N243" i="13"/>
  <c r="AM243" i="13" s="1"/>
  <c r="O243" i="13"/>
  <c r="N203" i="13"/>
  <c r="Q203" i="13" s="1"/>
  <c r="O203" i="13"/>
  <c r="N187" i="13"/>
  <c r="Q187" i="13" s="1"/>
  <c r="O187" i="13"/>
  <c r="N167" i="13"/>
  <c r="AM167" i="13" s="1"/>
  <c r="O167" i="13"/>
  <c r="N143" i="13"/>
  <c r="Q143" i="13" s="1"/>
  <c r="O143" i="13"/>
  <c r="N126" i="13"/>
  <c r="AM126" i="13" s="1"/>
  <c r="O126" i="13"/>
  <c r="N110" i="13"/>
  <c r="Q110" i="13" s="1"/>
  <c r="O110" i="13"/>
  <c r="AH416" i="13" a="1"/>
  <c r="AH416" i="13" s="1"/>
  <c r="AH404" i="13" a="1"/>
  <c r="AH404" i="13" s="1"/>
  <c r="AH392" i="13" a="1"/>
  <c r="AH392" i="13" s="1"/>
  <c r="AH379" i="13" a="1"/>
  <c r="AH379" i="13" s="1"/>
  <c r="AH363" i="13" a="1"/>
  <c r="AH363" i="13" s="1"/>
  <c r="AH347" i="13" a="1"/>
  <c r="AH347" i="13" s="1"/>
  <c r="AH315" i="13" a="1"/>
  <c r="AH315" i="13" s="1"/>
  <c r="AH267" i="13" a="1"/>
  <c r="AH267" i="13" s="1"/>
  <c r="AH253" i="13" a="1"/>
  <c r="AH253" i="13" s="1"/>
  <c r="AH239" i="13" a="1"/>
  <c r="AH239" i="13" s="1"/>
  <c r="AH223" i="13" a="1"/>
  <c r="AH223" i="13" s="1"/>
  <c r="AH207" i="13" a="1"/>
  <c r="AH207" i="13" s="1"/>
  <c r="AH191" i="13" a="1"/>
  <c r="AH191" i="13" s="1"/>
  <c r="AH175" i="13" a="1"/>
  <c r="AH175" i="13" s="1"/>
  <c r="AH159" i="13" a="1"/>
  <c r="AH159" i="13" s="1"/>
  <c r="AH122" i="13" a="1"/>
  <c r="AH122" i="13" s="1"/>
  <c r="AH106" i="13" a="1"/>
  <c r="AH106" i="13" s="1"/>
  <c r="AH91" i="13" a="1"/>
  <c r="AH91" i="13" s="1"/>
  <c r="AH82" i="13" a="1"/>
  <c r="AH82" i="13" s="1"/>
  <c r="AH70" i="13" a="1"/>
  <c r="AH70" i="13" s="1"/>
  <c r="AH55" i="13" a="1"/>
  <c r="AH55" i="13" s="1"/>
  <c r="AH46" i="13" a="1"/>
  <c r="AH46" i="13" s="1"/>
  <c r="AH34" i="13" a="1"/>
  <c r="AH34" i="13" s="1"/>
  <c r="AH26" i="13" a="1"/>
  <c r="AH26" i="13" s="1"/>
  <c r="AH17" i="13" a="1"/>
  <c r="AH17" i="13" s="1"/>
  <c r="AH9" i="13" a="1"/>
  <c r="AH9" i="13" s="1"/>
  <c r="R5" i="13"/>
  <c r="P92" i="13"/>
  <c r="P76" i="13"/>
  <c r="P48" i="13"/>
  <c r="O315" i="13"/>
  <c r="O291" i="13"/>
  <c r="O267" i="13"/>
  <c r="O171" i="13"/>
  <c r="O138" i="13"/>
  <c r="O90" i="13"/>
  <c r="O39" i="13"/>
  <c r="O17" i="13"/>
  <c r="N368" i="13"/>
  <c r="Q368" i="13" s="1"/>
  <c r="N343" i="13"/>
  <c r="Q343" i="13" s="1"/>
  <c r="N319" i="13"/>
  <c r="AM319" i="13" s="1"/>
  <c r="N175" i="13"/>
  <c r="AM175" i="13" s="1"/>
  <c r="N106" i="13"/>
  <c r="Q106" i="13" s="1"/>
  <c r="N46" i="13"/>
  <c r="Q46" i="13" s="1"/>
  <c r="N9" i="13"/>
  <c r="AM9" i="13" s="1"/>
  <c r="I229" i="13"/>
  <c r="I98" i="13"/>
  <c r="N293" i="13"/>
  <c r="Q293" i="13" s="1"/>
  <c r="O293" i="13"/>
  <c r="T25" i="13"/>
  <c r="R25" i="13"/>
  <c r="AP25" i="13" s="1"/>
  <c r="N376" i="13"/>
  <c r="Q376" i="13" s="1"/>
  <c r="O376" i="13"/>
  <c r="I161" i="13"/>
  <c r="K161" i="13"/>
  <c r="K149" i="13"/>
  <c r="I149" i="13"/>
  <c r="N413" i="13"/>
  <c r="Q413" i="13" s="1"/>
  <c r="O413" i="13"/>
  <c r="O115" i="13"/>
  <c r="O31" i="13"/>
  <c r="AM91" i="13"/>
  <c r="AM10" i="13"/>
  <c r="AH123" i="13" a="1"/>
  <c r="AH123" i="13" s="1"/>
  <c r="AH27" i="13" a="1"/>
  <c r="AH27" i="13" s="1"/>
  <c r="AH10" i="13" a="1"/>
  <c r="AH10" i="13" s="1"/>
  <c r="O364" i="13"/>
  <c r="O316" i="13"/>
  <c r="O123" i="13"/>
  <c r="R244" i="13"/>
  <c r="P244" i="13"/>
  <c r="N428" i="13"/>
  <c r="AM428" i="13" s="1"/>
  <c r="O428" i="13"/>
  <c r="O147" i="13"/>
  <c r="N102" i="13"/>
  <c r="Q102" i="13" s="1"/>
  <c r="N30" i="13"/>
  <c r="Q30" i="13" s="1"/>
  <c r="O30" i="13"/>
  <c r="I86" i="13"/>
  <c r="I68" i="13"/>
  <c r="I51" i="13"/>
  <c r="P220" i="13"/>
  <c r="P184" i="13"/>
  <c r="O345" i="13"/>
  <c r="O104" i="13"/>
  <c r="O88" i="13"/>
  <c r="O72" i="13"/>
  <c r="P26" i="13"/>
  <c r="H84" i="13"/>
  <c r="H6" i="13"/>
  <c r="AG296" i="13" a="1"/>
  <c r="AG296" i="13" s="1"/>
  <c r="AG6" i="13" a="1"/>
  <c r="AG6" i="13" s="1"/>
  <c r="P58" i="13"/>
  <c r="N420" i="13"/>
  <c r="AM420" i="13" s="1"/>
  <c r="AG390" i="13" a="1"/>
  <c r="AG390" i="13" s="1"/>
  <c r="AG256" i="13" a="1"/>
  <c r="AG256" i="13" s="1"/>
  <c r="AG185" i="13" a="1"/>
  <c r="AG185" i="13" s="1"/>
  <c r="K238" i="13"/>
  <c r="K202" i="13"/>
  <c r="AP202" i="13" s="1"/>
  <c r="K169" i="13"/>
  <c r="K64" i="13"/>
  <c r="I220" i="13"/>
  <c r="I185" i="13"/>
  <c r="I39" i="13"/>
  <c r="H256" i="13"/>
  <c r="G424" i="13"/>
  <c r="G390" i="13"/>
  <c r="AL390" i="13" s="1"/>
  <c r="G330" i="13"/>
  <c r="J330" i="13" s="1"/>
  <c r="G312" i="13"/>
  <c r="J312" i="13" s="1"/>
  <c r="G304" i="13"/>
  <c r="J304" i="13" s="1"/>
  <c r="K271" i="13"/>
  <c r="I271" i="13"/>
  <c r="I224" i="13"/>
  <c r="K224" i="13"/>
  <c r="I214" i="13"/>
  <c r="K214" i="13"/>
  <c r="AP214" i="13" s="1"/>
  <c r="G206" i="13"/>
  <c r="AL206" i="13" s="1"/>
  <c r="I206" i="13"/>
  <c r="K206" i="13"/>
  <c r="I173" i="13"/>
  <c r="K173" i="13"/>
  <c r="K103" i="13"/>
  <c r="I103" i="13"/>
  <c r="I77" i="13"/>
  <c r="K77" i="13"/>
  <c r="K59" i="13"/>
  <c r="I59" i="13"/>
  <c r="I35" i="13"/>
  <c r="K35" i="13"/>
  <c r="I26" i="13"/>
  <c r="K26" i="13"/>
  <c r="AP26" i="13" s="1"/>
  <c r="H414" i="13"/>
  <c r="G414" i="13"/>
  <c r="J414" i="13" s="1"/>
  <c r="H406" i="13"/>
  <c r="G406" i="13"/>
  <c r="J406" i="13" s="1"/>
  <c r="AG406" i="13" a="1"/>
  <c r="AG406" i="13" s="1"/>
  <c r="H396" i="13"/>
  <c r="AG396" i="13" a="1"/>
  <c r="AG396" i="13" s="1"/>
  <c r="H277" i="13"/>
  <c r="AG277" i="13" a="1"/>
  <c r="AG277" i="13" s="1"/>
  <c r="H265" i="13"/>
  <c r="G265" i="13"/>
  <c r="J265" i="13" s="1"/>
  <c r="G249" i="13"/>
  <c r="J249" i="13" s="1"/>
  <c r="H249" i="13"/>
  <c r="AG249" i="13" a="1"/>
  <c r="AG249" i="13" s="1"/>
  <c r="G241" i="13"/>
  <c r="J241" i="13" s="1"/>
  <c r="H241" i="13"/>
  <c r="G232" i="13"/>
  <c r="J232" i="13" s="1"/>
  <c r="H232" i="13"/>
  <c r="G223" i="13"/>
  <c r="J223" i="13" s="1"/>
  <c r="H223" i="13"/>
  <c r="G218" i="13"/>
  <c r="J218" i="13" s="1"/>
  <c r="H218" i="13"/>
  <c r="H202" i="13"/>
  <c r="AG202" i="13" a="1"/>
  <c r="AG202" i="13" s="1"/>
  <c r="H190" i="13"/>
  <c r="AG190" i="13" a="1"/>
  <c r="AG190" i="13" s="1"/>
  <c r="G180" i="13"/>
  <c r="J180" i="13" s="1"/>
  <c r="H180" i="13"/>
  <c r="AG180" i="13" a="1"/>
  <c r="AG180" i="13" s="1"/>
  <c r="G176" i="13"/>
  <c r="J176" i="13" s="1"/>
  <c r="H176" i="13"/>
  <c r="G171" i="13"/>
  <c r="AL171" i="13" s="1"/>
  <c r="H171" i="13"/>
  <c r="G166" i="13"/>
  <c r="AL166" i="13" s="1"/>
  <c r="H166" i="13"/>
  <c r="I308" i="13"/>
  <c r="K308" i="13"/>
  <c r="AP308" i="13" s="1"/>
  <c r="I242" i="13"/>
  <c r="K242" i="13"/>
  <c r="AP242" i="13" s="1"/>
  <c r="I234" i="13"/>
  <c r="K234" i="13"/>
  <c r="I181" i="13"/>
  <c r="K181" i="13"/>
  <c r="K115" i="13"/>
  <c r="I115" i="13"/>
  <c r="I99" i="13"/>
  <c r="K99" i="13"/>
  <c r="I31" i="13"/>
  <c r="K31" i="13"/>
  <c r="I5" i="13"/>
  <c r="T5" i="13"/>
  <c r="G410" i="13"/>
  <c r="AL410" i="13" s="1"/>
  <c r="H410" i="13"/>
  <c r="G401" i="13"/>
  <c r="J401" i="13" s="1"/>
  <c r="H401" i="13"/>
  <c r="H295" i="13"/>
  <c r="AG295" i="13" a="1"/>
  <c r="AG295" i="13" s="1"/>
  <c r="H286" i="13"/>
  <c r="AG286" i="13" a="1"/>
  <c r="AG286" i="13" s="1"/>
  <c r="G260" i="13"/>
  <c r="J260" i="13" s="1"/>
  <c r="H260" i="13"/>
  <c r="AG260" i="13" a="1"/>
  <c r="AG260" i="13" s="1"/>
  <c r="G236" i="13"/>
  <c r="AL236" i="13" s="1"/>
  <c r="H236" i="13"/>
  <c r="AG236" i="13" a="1"/>
  <c r="AG236" i="13" s="1"/>
  <c r="AG410" i="13" a="1"/>
  <c r="AG410" i="13" s="1"/>
  <c r="AG282" i="13" a="1"/>
  <c r="AG282" i="13" s="1"/>
  <c r="K153" i="13"/>
  <c r="K119" i="13"/>
  <c r="K47" i="13"/>
  <c r="K5" i="13"/>
  <c r="I140" i="13"/>
  <c r="I43" i="13"/>
  <c r="G396" i="13"/>
  <c r="J396" i="13" s="1"/>
  <c r="G376" i="13"/>
  <c r="J376" i="13" s="1"/>
  <c r="G316" i="13"/>
  <c r="AL316" i="13" s="1"/>
  <c r="G308" i="13"/>
  <c r="AL308" i="13" s="1"/>
  <c r="G299" i="13"/>
  <c r="J299" i="13" s="1"/>
  <c r="G290" i="13"/>
  <c r="AL290" i="13" s="1"/>
  <c r="G282" i="13"/>
  <c r="AL282" i="13" s="1"/>
  <c r="G273" i="13"/>
  <c r="J273" i="13" s="1"/>
  <c r="G198" i="13"/>
  <c r="AL198" i="13" s="1"/>
  <c r="G185" i="13"/>
  <c r="J185" i="13" s="1"/>
  <c r="AG155" i="13" a="1"/>
  <c r="AG155" i="13" s="1"/>
  <c r="H155" i="13"/>
  <c r="H147" i="13"/>
  <c r="H162" i="13"/>
  <c r="H151" i="13"/>
  <c r="H142" i="13"/>
  <c r="H133" i="13"/>
  <c r="AG391" i="13" a="1"/>
  <c r="AG391" i="13" s="1"/>
  <c r="AG291" i="13" a="1"/>
  <c r="AG291" i="13" s="1"/>
  <c r="K48" i="13"/>
  <c r="AP48" i="13" s="1"/>
  <c r="I32" i="13"/>
  <c r="G296" i="13"/>
  <c r="J296" i="13" s="1"/>
  <c r="AG237" i="13" a="1"/>
  <c r="AG237" i="13" s="1"/>
  <c r="I166" i="13"/>
  <c r="H337" i="13"/>
  <c r="H152" i="13"/>
  <c r="G219" i="13"/>
  <c r="AL219" i="13" s="1"/>
  <c r="G208" i="13"/>
  <c r="J208" i="13" s="1"/>
  <c r="AG257" i="13" a="1"/>
  <c r="AG257" i="13" s="1"/>
  <c r="AG192" i="13" a="1"/>
  <c r="AG192" i="13" s="1"/>
  <c r="AG152" i="13" a="1"/>
  <c r="AG152" i="13" s="1"/>
  <c r="AG111" i="13" a="1"/>
  <c r="AG111" i="13" s="1"/>
  <c r="K154" i="13"/>
  <c r="K19" i="13"/>
  <c r="H385" i="13"/>
  <c r="H167" i="13"/>
  <c r="G103" i="13"/>
  <c r="AL103" i="13" s="1"/>
  <c r="K182" i="13"/>
  <c r="AP182" i="13" s="1"/>
  <c r="I258" i="13"/>
  <c r="I275" i="13"/>
  <c r="I135" i="13"/>
  <c r="I126" i="13"/>
  <c r="K201" i="13"/>
  <c r="I228" i="13"/>
  <c r="I197" i="13"/>
  <c r="I143" i="13"/>
  <c r="G428" i="13"/>
  <c r="AL428" i="13" s="1"/>
  <c r="P214" i="13"/>
  <c r="T45" i="13"/>
  <c r="P122" i="13"/>
  <c r="P393" i="13"/>
  <c r="K237" i="13"/>
  <c r="K116" i="13"/>
  <c r="AP116" i="13" s="1"/>
  <c r="I104" i="13"/>
  <c r="K46" i="13"/>
  <c r="K130" i="13"/>
  <c r="K85" i="13"/>
  <c r="K67" i="13"/>
  <c r="K50" i="13"/>
  <c r="K219" i="13"/>
  <c r="K184" i="13"/>
  <c r="AP184" i="13" s="1"/>
  <c r="K114" i="13"/>
  <c r="K106" i="13"/>
  <c r="I139" i="13"/>
  <c r="I122" i="13"/>
  <c r="I76" i="13"/>
  <c r="I58" i="13"/>
  <c r="K209" i="13"/>
  <c r="K192" i="13"/>
  <c r="K148" i="13"/>
  <c r="AP148" i="13" s="1"/>
  <c r="G427" i="13"/>
  <c r="AL427" i="13" s="1"/>
  <c r="K233" i="13"/>
  <c r="K223" i="13"/>
  <c r="K213" i="13"/>
  <c r="K205" i="13"/>
  <c r="K188" i="13"/>
  <c r="K152" i="13"/>
  <c r="AP152" i="13" s="1"/>
  <c r="I168" i="13"/>
  <c r="K245" i="13"/>
  <c r="K176" i="13"/>
  <c r="K160" i="13"/>
  <c r="I164" i="13"/>
  <c r="I156" i="13"/>
  <c r="K253" i="13"/>
  <c r="K180" i="13"/>
  <c r="G145" i="13"/>
  <c r="AL145" i="13" s="1"/>
  <c r="I285" i="13"/>
  <c r="K285" i="13"/>
  <c r="K221" i="13"/>
  <c r="I221" i="13"/>
  <c r="K207" i="13"/>
  <c r="I207" i="13"/>
  <c r="K195" i="13"/>
  <c r="I195" i="13"/>
  <c r="I146" i="13"/>
  <c r="K146" i="13"/>
  <c r="I108" i="13"/>
  <c r="K108" i="13"/>
  <c r="I95" i="13"/>
  <c r="K95" i="13"/>
  <c r="I40" i="13"/>
  <c r="K40" i="13"/>
  <c r="AP40" i="13" s="1"/>
  <c r="G425" i="13"/>
  <c r="AL425" i="13" s="1"/>
  <c r="G407" i="13"/>
  <c r="J407" i="13" s="1"/>
  <c r="H407" i="13"/>
  <c r="H320" i="13"/>
  <c r="G320" i="13"/>
  <c r="J320" i="13" s="1"/>
  <c r="G305" i="13"/>
  <c r="J305" i="13" s="1"/>
  <c r="H305" i="13"/>
  <c r="H278" i="13"/>
  <c r="G278" i="13"/>
  <c r="AL278" i="13" s="1"/>
  <c r="H204" i="13"/>
  <c r="G204" i="13"/>
  <c r="AL204" i="13" s="1"/>
  <c r="H186" i="13"/>
  <c r="G186" i="13"/>
  <c r="J186" i="13" s="1"/>
  <c r="G156" i="13"/>
  <c r="J156" i="13" s="1"/>
  <c r="H156" i="13"/>
  <c r="G92" i="13"/>
  <c r="J92" i="13" s="1"/>
  <c r="H92" i="13"/>
  <c r="H74" i="13"/>
  <c r="G74" i="13"/>
  <c r="G64" i="13"/>
  <c r="J64" i="13" s="1"/>
  <c r="H64" i="13"/>
  <c r="G37" i="13"/>
  <c r="J37" i="13" s="1"/>
  <c r="H37" i="13"/>
  <c r="G33" i="13"/>
  <c r="J33" i="13" s="1"/>
  <c r="H33" i="13"/>
  <c r="H20" i="13"/>
  <c r="G20" i="13"/>
  <c r="G12" i="13"/>
  <c r="AL12" i="13" s="1"/>
  <c r="H12" i="13"/>
  <c r="I199" i="13"/>
  <c r="K199" i="13"/>
  <c r="I190" i="13"/>
  <c r="K190" i="13"/>
  <c r="I178" i="13"/>
  <c r="K178" i="13"/>
  <c r="AP178" i="13" s="1"/>
  <c r="I124" i="13"/>
  <c r="K124" i="13"/>
  <c r="I112" i="13"/>
  <c r="K112" i="13"/>
  <c r="I74" i="13"/>
  <c r="K74" i="13"/>
  <c r="AP74" i="13" s="1"/>
  <c r="I23" i="13"/>
  <c r="K23" i="13"/>
  <c r="I11" i="13"/>
  <c r="K11" i="13"/>
  <c r="I6" i="13"/>
  <c r="K6" i="13"/>
  <c r="AP6" i="13" s="1"/>
  <c r="H420" i="13"/>
  <c r="G420" i="13"/>
  <c r="J420" i="13" s="1"/>
  <c r="G309" i="13"/>
  <c r="J309" i="13" s="1"/>
  <c r="H309" i="13"/>
  <c r="H283" i="13"/>
  <c r="G283" i="13"/>
  <c r="J283" i="13" s="1"/>
  <c r="G274" i="13"/>
  <c r="J274" i="13" s="1"/>
  <c r="H274" i="13"/>
  <c r="G252" i="13"/>
  <c r="AL252" i="13" s="1"/>
  <c r="G233" i="13"/>
  <c r="J233" i="13" s="1"/>
  <c r="H233" i="13"/>
  <c r="G213" i="13"/>
  <c r="J213" i="13" s="1"/>
  <c r="H213" i="13"/>
  <c r="G199" i="13"/>
  <c r="J199" i="13" s="1"/>
  <c r="H199" i="13"/>
  <c r="G173" i="13"/>
  <c r="J173" i="13" s="1"/>
  <c r="H173" i="13"/>
  <c r="G139" i="13"/>
  <c r="J139" i="13" s="1"/>
  <c r="H139" i="13"/>
  <c r="H122" i="13"/>
  <c r="G122" i="13"/>
  <c r="J122" i="13" s="1"/>
  <c r="H107" i="13"/>
  <c r="G107" i="13"/>
  <c r="J107" i="13" s="1"/>
  <c r="G99" i="13"/>
  <c r="AL99" i="13" s="1"/>
  <c r="H99" i="13"/>
  <c r="AG420" i="13" a="1"/>
  <c r="AG420" i="13" s="1"/>
  <c r="AG397" i="13" a="1"/>
  <c r="AG397" i="13" s="1"/>
  <c r="AG320" i="13" a="1"/>
  <c r="AG320" i="13" s="1"/>
  <c r="AG300" i="13" a="1"/>
  <c r="AG300" i="13" s="1"/>
  <c r="AG283" i="13" a="1"/>
  <c r="AG283" i="13" s="1"/>
  <c r="AG266" i="13" a="1"/>
  <c r="AG266" i="13" s="1"/>
  <c r="AG219" i="13" a="1"/>
  <c r="AG219" i="13" s="1"/>
  <c r="AG204" i="13" a="1"/>
  <c r="AG204" i="13" s="1"/>
  <c r="AG181" i="13" a="1"/>
  <c r="AG181" i="13" s="1"/>
  <c r="AG143" i="13" a="1"/>
  <c r="AG143" i="13" s="1"/>
  <c r="AG122" i="13" a="1"/>
  <c r="AG122" i="13" s="1"/>
  <c r="AG103" i="13" a="1"/>
  <c r="AG103" i="13" s="1"/>
  <c r="AG74" i="13" a="1"/>
  <c r="AG74" i="13" s="1"/>
  <c r="AG42" i="13" a="1"/>
  <c r="AG42" i="13" s="1"/>
  <c r="AH429" i="13" a="1"/>
  <c r="AH429" i="13" s="1"/>
  <c r="N429" i="13"/>
  <c r="O344" i="13"/>
  <c r="N344" i="13"/>
  <c r="Q344" i="13" s="1"/>
  <c r="N264" i="13"/>
  <c r="AM264" i="13" s="1"/>
  <c r="O264" i="13"/>
  <c r="O252" i="13"/>
  <c r="O83" i="13"/>
  <c r="N83" i="13"/>
  <c r="Q83" i="13" s="1"/>
  <c r="N71" i="13"/>
  <c r="Q71" i="13" s="1"/>
  <c r="O71" i="13"/>
  <c r="O55" i="13"/>
  <c r="N55" i="13"/>
  <c r="Q55" i="13" s="1"/>
  <c r="O47" i="13"/>
  <c r="N47" i="13"/>
  <c r="Q47" i="13" s="1"/>
  <c r="K186" i="13"/>
  <c r="AP186" i="13" s="1"/>
  <c r="I133" i="13"/>
  <c r="I65" i="13"/>
  <c r="H425" i="13"/>
  <c r="H287" i="13"/>
  <c r="H192" i="13"/>
  <c r="H111" i="13"/>
  <c r="G300" i="13"/>
  <c r="J300" i="13" s="1"/>
  <c r="G228" i="13"/>
  <c r="J228" i="13" s="1"/>
  <c r="G143" i="13"/>
  <c r="J143" i="13" s="1"/>
  <c r="G42" i="13"/>
  <c r="AL42" i="13" s="1"/>
  <c r="I203" i="13"/>
  <c r="K203" i="13"/>
  <c r="I174" i="13"/>
  <c r="K174" i="13"/>
  <c r="I162" i="13"/>
  <c r="K162" i="13"/>
  <c r="AP162" i="13" s="1"/>
  <c r="I141" i="13"/>
  <c r="K141" i="13"/>
  <c r="I128" i="13"/>
  <c r="K128" i="13"/>
  <c r="I91" i="13"/>
  <c r="K91" i="13"/>
  <c r="G56" i="13"/>
  <c r="AL56" i="13" s="1"/>
  <c r="I56" i="13"/>
  <c r="K56" i="13"/>
  <c r="AP56" i="13" s="1"/>
  <c r="G429" i="13"/>
  <c r="AL429" i="13" s="1"/>
  <c r="H411" i="13"/>
  <c r="G411" i="13"/>
  <c r="J411" i="13" s="1"/>
  <c r="G402" i="13"/>
  <c r="J402" i="13" s="1"/>
  <c r="H402" i="13"/>
  <c r="H313" i="13"/>
  <c r="G313" i="13"/>
  <c r="J313" i="13" s="1"/>
  <c r="G270" i="13"/>
  <c r="AL270" i="13" s="1"/>
  <c r="H270" i="13"/>
  <c r="G261" i="13"/>
  <c r="J261" i="13" s="1"/>
  <c r="H261" i="13"/>
  <c r="H242" i="13"/>
  <c r="G242" i="13"/>
  <c r="J242" i="13" s="1"/>
  <c r="G177" i="13"/>
  <c r="J177" i="13" s="1"/>
  <c r="H177" i="13"/>
  <c r="H163" i="13"/>
  <c r="G163" i="13"/>
  <c r="AL163" i="13" s="1"/>
  <c r="H148" i="13"/>
  <c r="G148" i="13"/>
  <c r="AL148" i="13" s="1"/>
  <c r="G134" i="13"/>
  <c r="AL134" i="13" s="1"/>
  <c r="H134" i="13"/>
  <c r="G116" i="13"/>
  <c r="J116" i="13" s="1"/>
  <c r="H116" i="13"/>
  <c r="AG402" i="13" a="1"/>
  <c r="AG402" i="13" s="1"/>
  <c r="AG337" i="13" a="1"/>
  <c r="AG337" i="13" s="1"/>
  <c r="AG305" i="13" a="1"/>
  <c r="AG305" i="13" s="1"/>
  <c r="AG287" i="13" a="1"/>
  <c r="AG287" i="13" s="1"/>
  <c r="AG228" i="13" a="1"/>
  <c r="AG228" i="13" s="1"/>
  <c r="AG208" i="13" a="1"/>
  <c r="AG208" i="13" s="1"/>
  <c r="AG186" i="13" a="1"/>
  <c r="AG186" i="13" s="1"/>
  <c r="AG167" i="13" a="1"/>
  <c r="AG167" i="13" s="1"/>
  <c r="AG148" i="13" a="1"/>
  <c r="AG148" i="13" s="1"/>
  <c r="AG129" i="13" a="1"/>
  <c r="AG129" i="13" s="1"/>
  <c r="AG107" i="13" a="1"/>
  <c r="AG107" i="13" s="1"/>
  <c r="AG84" i="13" a="1"/>
  <c r="AG84" i="13" s="1"/>
  <c r="AG50" i="13" a="1"/>
  <c r="AG50" i="13" s="1"/>
  <c r="T116" i="13"/>
  <c r="T128" i="13"/>
  <c r="R8" i="13"/>
  <c r="P8" i="13"/>
  <c r="O424" i="13"/>
  <c r="N404" i="13"/>
  <c r="AM404" i="13" s="1"/>
  <c r="O396" i="13"/>
  <c r="N388" i="13"/>
  <c r="Q388" i="13" s="1"/>
  <c r="N371" i="13"/>
  <c r="Q371" i="13" s="1"/>
  <c r="O371" i="13"/>
  <c r="N359" i="13"/>
  <c r="AM359" i="13" s="1"/>
  <c r="O359" i="13"/>
  <c r="N331" i="13"/>
  <c r="AM331" i="13" s="1"/>
  <c r="O331" i="13"/>
  <c r="N227" i="13"/>
  <c r="AM227" i="13" s="1"/>
  <c r="O227" i="13"/>
  <c r="N211" i="13"/>
  <c r="O211" i="13"/>
  <c r="N134" i="13"/>
  <c r="O134" i="13"/>
  <c r="K150" i="13"/>
  <c r="AP150" i="13" s="1"/>
  <c r="K82" i="13"/>
  <c r="AP82" i="13" s="1"/>
  <c r="K15" i="13"/>
  <c r="I137" i="13"/>
  <c r="I69" i="13"/>
  <c r="H429" i="13"/>
  <c r="H291" i="13"/>
  <c r="H24" i="13"/>
  <c r="G391" i="13"/>
  <c r="J391" i="13" s="1"/>
  <c r="G266" i="13"/>
  <c r="J266" i="13" s="1"/>
  <c r="G50" i="13"/>
  <c r="J50" i="13" s="1"/>
  <c r="T308" i="13"/>
  <c r="G269" i="13"/>
  <c r="AL269" i="13" s="1"/>
  <c r="G423" i="13"/>
  <c r="AL423" i="13" s="1"/>
  <c r="G212" i="13"/>
  <c r="AL212" i="13" s="1"/>
  <c r="I322" i="13"/>
  <c r="K291" i="13"/>
  <c r="I274" i="13"/>
  <c r="K300" i="13"/>
  <c r="K284" i="13"/>
  <c r="K345" i="13"/>
  <c r="AP345" i="13" s="1"/>
  <c r="I316" i="13"/>
  <c r="K276" i="13"/>
  <c r="I211" i="13"/>
  <c r="K309" i="13"/>
  <c r="K247" i="13"/>
  <c r="I344" i="13"/>
  <c r="AG79" i="13" a="1"/>
  <c r="AG79" i="13" s="1"/>
  <c r="AG54" i="13" a="1"/>
  <c r="AG54" i="13" s="1"/>
  <c r="AG34" i="13" a="1"/>
  <c r="AG34" i="13" s="1"/>
  <c r="AG13" i="13" a="1"/>
  <c r="AG13" i="13" s="1"/>
  <c r="AG85" i="13" a="1"/>
  <c r="AG85" i="13" s="1"/>
  <c r="AG58" i="13" a="1"/>
  <c r="AG58" i="13" s="1"/>
  <c r="AG38" i="13" a="1"/>
  <c r="AG38" i="13" s="1"/>
  <c r="AG8" i="13" a="1"/>
  <c r="AG8" i="13" s="1"/>
  <c r="AG95" i="13" a="1"/>
  <c r="AG95" i="13" s="1"/>
  <c r="AG67" i="13" a="1"/>
  <c r="AG67" i="13" s="1"/>
  <c r="AG45" i="13" a="1"/>
  <c r="AG45" i="13" s="1"/>
  <c r="AG25" i="13" a="1"/>
  <c r="AG25" i="13" s="1"/>
  <c r="AG21" i="13" a="1"/>
  <c r="AG21" i="13" s="1"/>
  <c r="AG178" i="13" a="1"/>
  <c r="AG178" i="13" s="1"/>
  <c r="AG174" i="13" a="1"/>
  <c r="AG174" i="13" s="1"/>
  <c r="AG168" i="13" a="1"/>
  <c r="AG168" i="13" s="1"/>
  <c r="AG164" i="13" a="1"/>
  <c r="AG164" i="13" s="1"/>
  <c r="AG159" i="13" a="1"/>
  <c r="AG159" i="13" s="1"/>
  <c r="AG153" i="13" a="1"/>
  <c r="AG153" i="13" s="1"/>
  <c r="AG149" i="13" a="1"/>
  <c r="AG149" i="13" s="1"/>
  <c r="K365" i="13"/>
  <c r="K420" i="13"/>
  <c r="I353" i="13"/>
  <c r="AG140" i="13" a="1"/>
  <c r="AG140" i="13" s="1"/>
  <c r="AG135" i="13" a="1"/>
  <c r="AG135" i="13" s="1"/>
  <c r="AG130" i="13" a="1"/>
  <c r="AG130" i="13" s="1"/>
  <c r="AG124" i="13" a="1"/>
  <c r="AG124" i="13" s="1"/>
  <c r="AG117" i="13" a="1"/>
  <c r="AG117" i="13" s="1"/>
  <c r="AG112" i="13" a="1"/>
  <c r="AG112" i="13" s="1"/>
  <c r="AG108" i="13" a="1"/>
  <c r="AG108" i="13" s="1"/>
  <c r="AG104" i="13" a="1"/>
  <c r="AG104" i="13" s="1"/>
  <c r="AG100" i="13" a="1"/>
  <c r="AG100" i="13" s="1"/>
  <c r="I370" i="13"/>
  <c r="H178" i="13"/>
  <c r="H168" i="13"/>
  <c r="H159" i="13"/>
  <c r="H149" i="13"/>
  <c r="H140" i="13"/>
  <c r="H130" i="13"/>
  <c r="H117" i="13"/>
  <c r="H108" i="13"/>
  <c r="H100" i="13"/>
  <c r="H85" i="13"/>
  <c r="H67" i="13"/>
  <c r="H54" i="13"/>
  <c r="H38" i="13"/>
  <c r="H25" i="13"/>
  <c r="H13" i="13"/>
  <c r="H174" i="13"/>
  <c r="H164" i="13"/>
  <c r="H153" i="13"/>
  <c r="H145" i="13"/>
  <c r="H135" i="13"/>
  <c r="H124" i="13"/>
  <c r="H112" i="13"/>
  <c r="H104" i="13"/>
  <c r="H95" i="13"/>
  <c r="H79" i="13"/>
  <c r="H58" i="13"/>
  <c r="H45" i="13"/>
  <c r="H34" i="13"/>
  <c r="H21" i="13"/>
  <c r="H8" i="13"/>
  <c r="K337" i="13"/>
  <c r="I337" i="13"/>
  <c r="I227" i="13"/>
  <c r="K227" i="13"/>
  <c r="I57" i="13"/>
  <c r="K57" i="13"/>
  <c r="I49" i="13"/>
  <c r="K49" i="13"/>
  <c r="I33" i="13"/>
  <c r="K33" i="13"/>
  <c r="I20" i="13"/>
  <c r="K20" i="13"/>
  <c r="I8" i="13"/>
  <c r="K8" i="13"/>
  <c r="G422" i="13"/>
  <c r="J422" i="13" s="1"/>
  <c r="H422" i="13"/>
  <c r="G408" i="13"/>
  <c r="J408" i="13" s="1"/>
  <c r="H408" i="13"/>
  <c r="G387" i="13"/>
  <c r="AL387" i="13" s="1"/>
  <c r="H387" i="13"/>
  <c r="G314" i="13"/>
  <c r="AL314" i="13" s="1"/>
  <c r="H314" i="13"/>
  <c r="G306" i="13"/>
  <c r="J306" i="13" s="1"/>
  <c r="H306" i="13"/>
  <c r="G288" i="13"/>
  <c r="J288" i="13" s="1"/>
  <c r="H288" i="13"/>
  <c r="AG288" i="13" a="1"/>
  <c r="AG288" i="13" s="1"/>
  <c r="G280" i="13"/>
  <c r="AL280" i="13" s="1"/>
  <c r="H280" i="13"/>
  <c r="AG280" i="13" a="1"/>
  <c r="AG280" i="13" s="1"/>
  <c r="G267" i="13"/>
  <c r="H267" i="13"/>
  <c r="G253" i="13"/>
  <c r="J253" i="13" s="1"/>
  <c r="H253" i="13"/>
  <c r="AG253" i="13" a="1"/>
  <c r="AG253" i="13" s="1"/>
  <c r="H209" i="13"/>
  <c r="H205" i="13"/>
  <c r="H193" i="13"/>
  <c r="H182" i="13"/>
  <c r="I41" i="13"/>
  <c r="K41" i="13"/>
  <c r="I29" i="13"/>
  <c r="K29" i="13"/>
  <c r="I16" i="13"/>
  <c r="K16" i="13"/>
  <c r="I2" i="13"/>
  <c r="K2" i="13"/>
  <c r="G412" i="13"/>
  <c r="AL412" i="13" s="1"/>
  <c r="H412" i="13"/>
  <c r="G398" i="13"/>
  <c r="J398" i="13" s="1"/>
  <c r="H398" i="13"/>
  <c r="G341" i="13"/>
  <c r="J341" i="13" s="1"/>
  <c r="H341" i="13"/>
  <c r="G310" i="13"/>
  <c r="AL310" i="13" s="1"/>
  <c r="H310" i="13"/>
  <c r="G297" i="13"/>
  <c r="J297" i="13" s="1"/>
  <c r="H297" i="13"/>
  <c r="G284" i="13"/>
  <c r="J284" i="13" s="1"/>
  <c r="H284" i="13"/>
  <c r="AG284" i="13" a="1"/>
  <c r="AG284" i="13" s="1"/>
  <c r="G271" i="13"/>
  <c r="AL271" i="13" s="1"/>
  <c r="H271" i="13"/>
  <c r="AG271" i="13" a="1"/>
  <c r="AG271" i="13" s="1"/>
  <c r="G258" i="13"/>
  <c r="AL258" i="13" s="1"/>
  <c r="H258" i="13"/>
  <c r="AG258" i="13" a="1"/>
  <c r="AG258" i="13" s="1"/>
  <c r="G238" i="13"/>
  <c r="AL238" i="13" s="1"/>
  <c r="AG238" i="13" a="1"/>
  <c r="AG238" i="13" s="1"/>
  <c r="H238" i="13"/>
  <c r="J205" i="13"/>
  <c r="AL205" i="13"/>
  <c r="AG205" i="13" a="1"/>
  <c r="AG205" i="13" s="1"/>
  <c r="AG193" i="13" a="1"/>
  <c r="AG193" i="13" s="1"/>
  <c r="K222" i="13"/>
  <c r="AP222" i="13" s="1"/>
  <c r="K70" i="13"/>
  <c r="AP70" i="13" s="1"/>
  <c r="I70" i="13"/>
  <c r="I61" i="13"/>
  <c r="K61" i="13"/>
  <c r="I45" i="13"/>
  <c r="K45" i="13"/>
  <c r="I37" i="13"/>
  <c r="K37" i="13"/>
  <c r="I24" i="13"/>
  <c r="K24" i="13"/>
  <c r="I12" i="13"/>
  <c r="K12" i="13"/>
  <c r="AP12" i="13" s="1"/>
  <c r="G426" i="13"/>
  <c r="AL426" i="13" s="1"/>
  <c r="H426" i="13"/>
  <c r="G403" i="13"/>
  <c r="J403" i="13" s="1"/>
  <c r="H403" i="13"/>
  <c r="G392" i="13"/>
  <c r="AL392" i="13" s="1"/>
  <c r="H392" i="13"/>
  <c r="G322" i="13"/>
  <c r="J322" i="13" s="1"/>
  <c r="H322" i="13"/>
  <c r="G302" i="13"/>
  <c r="J302" i="13" s="1"/>
  <c r="H302" i="13"/>
  <c r="G293" i="13"/>
  <c r="J293" i="13" s="1"/>
  <c r="H293" i="13"/>
  <c r="AG293" i="13" a="1"/>
  <c r="AG293" i="13" s="1"/>
  <c r="G275" i="13"/>
  <c r="J275" i="13" s="1"/>
  <c r="H275" i="13"/>
  <c r="AG275" i="13" a="1"/>
  <c r="AG275" i="13" s="1"/>
  <c r="G262" i="13"/>
  <c r="AL262" i="13" s="1"/>
  <c r="H262" i="13"/>
  <c r="G243" i="13"/>
  <c r="H243" i="13"/>
  <c r="AG243" i="13" a="1"/>
  <c r="AG243" i="13" s="1"/>
  <c r="G229" i="13"/>
  <c r="AG229" i="13" a="1"/>
  <c r="AG229" i="13" s="1"/>
  <c r="H229" i="13"/>
  <c r="G214" i="13"/>
  <c r="AL214" i="13" s="1"/>
  <c r="AG214" i="13" a="1"/>
  <c r="AG214" i="13" s="1"/>
  <c r="G200" i="13"/>
  <c r="J200" i="13" s="1"/>
  <c r="G187" i="13"/>
  <c r="AL187" i="13" s="1"/>
  <c r="AG209" i="13" a="1"/>
  <c r="AG209" i="13" s="1"/>
  <c r="AG200" i="13" a="1"/>
  <c r="AG200" i="13" s="1"/>
  <c r="AG187" i="13" a="1"/>
  <c r="AG187" i="13" s="1"/>
  <c r="AG182" i="13" a="1"/>
  <c r="AG182" i="13" s="1"/>
  <c r="AG422" i="13" a="1"/>
  <c r="AG422" i="13" s="1"/>
  <c r="AG408" i="13" a="1"/>
  <c r="AG408" i="13" s="1"/>
  <c r="AG403" i="13" a="1"/>
  <c r="AG403" i="13" s="1"/>
  <c r="AG398" i="13" a="1"/>
  <c r="AG398" i="13" s="1"/>
  <c r="AG392" i="13" a="1"/>
  <c r="AG392" i="13" s="1"/>
  <c r="AG387" i="13" a="1"/>
  <c r="AG387" i="13" s="1"/>
  <c r="AG341" i="13" a="1"/>
  <c r="AG341" i="13" s="1"/>
  <c r="AG322" i="13" a="1"/>
  <c r="AG322" i="13" s="1"/>
  <c r="AG314" i="13" a="1"/>
  <c r="AG314" i="13" s="1"/>
  <c r="AG310" i="13" a="1"/>
  <c r="AG310" i="13" s="1"/>
  <c r="AG306" i="13" a="1"/>
  <c r="AG306" i="13" s="1"/>
  <c r="AG302" i="13" a="1"/>
  <c r="AG302" i="13" s="1"/>
  <c r="AG297" i="13" a="1"/>
  <c r="AG297" i="13" s="1"/>
  <c r="G168" i="13"/>
  <c r="J168" i="13" s="1"/>
  <c r="G38" i="13"/>
  <c r="J38" i="13" s="1"/>
  <c r="T61" i="13"/>
  <c r="K398" i="13"/>
  <c r="K414" i="13"/>
  <c r="K390" i="13"/>
  <c r="K232" i="13"/>
  <c r="K208" i="13"/>
  <c r="K204" i="13"/>
  <c r="K200" i="13"/>
  <c r="K187" i="13"/>
  <c r="K179" i="13"/>
  <c r="K175" i="13"/>
  <c r="K171" i="13"/>
  <c r="K167" i="13"/>
  <c r="K163" i="13"/>
  <c r="K159" i="13"/>
  <c r="K155" i="13"/>
  <c r="K151" i="13"/>
  <c r="K147" i="13"/>
  <c r="K142" i="13"/>
  <c r="K138" i="13"/>
  <c r="K134" i="13"/>
  <c r="K129" i="13"/>
  <c r="K125" i="13"/>
  <c r="K117" i="13"/>
  <c r="K113" i="13"/>
  <c r="K109" i="13"/>
  <c r="K105" i="13"/>
  <c r="K101" i="13"/>
  <c r="K97" i="13"/>
  <c r="K92" i="13"/>
  <c r="AP92" i="13" s="1"/>
  <c r="K84" i="13"/>
  <c r="AP84" i="13" s="1"/>
  <c r="K79" i="13"/>
  <c r="K75" i="13"/>
  <c r="I364" i="13"/>
  <c r="K236" i="13"/>
  <c r="K218" i="13"/>
  <c r="AL237" i="13"/>
  <c r="AL13" i="13"/>
  <c r="K328" i="13"/>
  <c r="I268" i="13"/>
  <c r="AL209" i="13"/>
  <c r="AL57" i="13"/>
  <c r="K396" i="13"/>
  <c r="K382" i="13"/>
  <c r="K349" i="13"/>
  <c r="K336" i="13"/>
  <c r="K312" i="13"/>
  <c r="K293" i="13"/>
  <c r="K288" i="13"/>
  <c r="K280" i="13"/>
  <c r="AP280" i="13" s="1"/>
  <c r="K264" i="13"/>
  <c r="K255" i="13"/>
  <c r="K243" i="13"/>
  <c r="I404" i="13"/>
  <c r="I272" i="13"/>
  <c r="I230" i="13"/>
  <c r="I217" i="13"/>
  <c r="AL45" i="13"/>
  <c r="K297" i="13"/>
  <c r="I392" i="13"/>
  <c r="I305" i="13"/>
  <c r="I235" i="13"/>
  <c r="AL277" i="13"/>
  <c r="AL6" i="13"/>
  <c r="T382" i="13"/>
  <c r="T326" i="13"/>
  <c r="K388" i="13"/>
  <c r="K326" i="13"/>
  <c r="K304" i="13"/>
  <c r="K296" i="13"/>
  <c r="AP296" i="13" s="1"/>
  <c r="K289" i="13"/>
  <c r="K281" i="13"/>
  <c r="K239" i="13"/>
  <c r="K226" i="13"/>
  <c r="AP226" i="13" s="1"/>
  <c r="J84" i="13"/>
  <c r="I407" i="13"/>
  <c r="I350" i="13"/>
  <c r="I313" i="13"/>
  <c r="AL133" i="13"/>
  <c r="AL17" i="13"/>
  <c r="K360" i="13"/>
  <c r="K348" i="13"/>
  <c r="K330" i="13"/>
  <c r="AP330" i="13" s="1"/>
  <c r="K295" i="13"/>
  <c r="K278" i="13"/>
  <c r="K257" i="13"/>
  <c r="K241" i="13"/>
  <c r="I261" i="13"/>
  <c r="K320" i="13"/>
  <c r="I402" i="13"/>
  <c r="I283" i="13"/>
  <c r="AL190" i="13"/>
  <c r="K372" i="13"/>
  <c r="I266" i="13"/>
  <c r="AL149" i="13"/>
  <c r="AL117" i="13"/>
  <c r="K287" i="13"/>
  <c r="K249" i="13"/>
  <c r="I410" i="13"/>
  <c r="AL385" i="13"/>
  <c r="AL202" i="13"/>
  <c r="AL89" i="13"/>
  <c r="T394" i="13"/>
  <c r="T310" i="13"/>
  <c r="K406" i="13"/>
  <c r="AP406" i="13" s="1"/>
  <c r="K302" i="13"/>
  <c r="AP302" i="13" s="1"/>
  <c r="K265" i="13"/>
  <c r="K260" i="13"/>
  <c r="AP260" i="13" s="1"/>
  <c r="K256" i="13"/>
  <c r="K248" i="13"/>
  <c r="AP248" i="13" s="1"/>
  <c r="I397" i="13"/>
  <c r="J193" i="13"/>
  <c r="AL257" i="13"/>
  <c r="AL159" i="13"/>
  <c r="AL25" i="13"/>
  <c r="T366" i="13"/>
  <c r="K408" i="13"/>
  <c r="K362" i="13"/>
  <c r="K346" i="13"/>
  <c r="AL337" i="13"/>
  <c r="AL291" i="13"/>
  <c r="AL178" i="13"/>
  <c r="AL153" i="13"/>
  <c r="AL85" i="13"/>
  <c r="AL21" i="13"/>
  <c r="AG234" i="13" a="1"/>
  <c r="AG234" i="13" s="1"/>
  <c r="AG220" i="13" a="1"/>
  <c r="AG220" i="13" s="1"/>
  <c r="G234" i="13"/>
  <c r="J234" i="13" s="1"/>
  <c r="G220" i="13"/>
  <c r="J220" i="13" s="1"/>
  <c r="AL9" i="13"/>
  <c r="AL217" i="13"/>
  <c r="AL245" i="13"/>
  <c r="K422" i="13"/>
  <c r="AL169" i="13"/>
  <c r="AL39" i="13"/>
  <c r="T244" i="13"/>
  <c r="K385" i="13"/>
  <c r="K376" i="13"/>
  <c r="K341" i="13"/>
  <c r="K306" i="13"/>
  <c r="J72" i="13"/>
  <c r="I401" i="13"/>
  <c r="AL281" i="13"/>
  <c r="AL137" i="13"/>
  <c r="K418" i="13"/>
  <c r="K389" i="13"/>
  <c r="K329" i="13"/>
  <c r="K310" i="13"/>
  <c r="K273" i="13"/>
  <c r="AL114" i="13"/>
  <c r="K333" i="13"/>
  <c r="K314" i="13"/>
  <c r="AP314" i="13" s="1"/>
  <c r="K298" i="13"/>
  <c r="K294" i="13"/>
  <c r="K290" i="13"/>
  <c r="K286" i="13"/>
  <c r="K282" i="13"/>
  <c r="K277" i="13"/>
  <c r="J264" i="13"/>
  <c r="T212" i="13"/>
  <c r="T84" i="13"/>
  <c r="P296" i="13"/>
  <c r="P280" i="13"/>
  <c r="P260" i="13"/>
  <c r="P242" i="13"/>
  <c r="P212" i="13"/>
  <c r="P150" i="13"/>
  <c r="P128" i="13"/>
  <c r="P96" i="13"/>
  <c r="P86" i="13"/>
  <c r="P56" i="13"/>
  <c r="P44" i="13"/>
  <c r="O353" i="13"/>
  <c r="O301" i="13"/>
  <c r="O269" i="13"/>
  <c r="O249" i="13"/>
  <c r="O217" i="13"/>
  <c r="O165" i="13"/>
  <c r="O112" i="13"/>
  <c r="O7" i="13"/>
  <c r="N144" i="13"/>
  <c r="AM144" i="13" s="1"/>
  <c r="N68" i="13"/>
  <c r="Q68" i="13" s="1"/>
  <c r="T178" i="13"/>
  <c r="P10" i="13"/>
  <c r="O418" i="13"/>
  <c r="O173" i="13"/>
  <c r="P250" i="13"/>
  <c r="P178" i="13"/>
  <c r="O382" i="13"/>
  <c r="O361" i="13"/>
  <c r="O329" i="13"/>
  <c r="O277" i="13"/>
  <c r="O140" i="13"/>
  <c r="O120" i="13"/>
  <c r="N132" i="13"/>
  <c r="Q132" i="13" s="1"/>
  <c r="AM329" i="13"/>
  <c r="AH349" i="13" a="1"/>
  <c r="AH349" i="13" s="1"/>
  <c r="AH181" i="13" a="1"/>
  <c r="AH181" i="13" s="1"/>
  <c r="T296" i="13"/>
  <c r="T148" i="13"/>
  <c r="R72" i="13"/>
  <c r="P248" i="13"/>
  <c r="P216" i="13"/>
  <c r="P196" i="13"/>
  <c r="P186" i="13"/>
  <c r="P80" i="13"/>
  <c r="P72" i="13"/>
  <c r="P60" i="13"/>
  <c r="P40" i="13"/>
  <c r="O337" i="13"/>
  <c r="O285" i="13"/>
  <c r="O233" i="13"/>
  <c r="O201" i="13"/>
  <c r="O181" i="13"/>
  <c r="O149" i="13"/>
  <c r="O24" i="13"/>
  <c r="N422" i="13"/>
  <c r="Q422" i="13" s="1"/>
  <c r="AM289" i="13"/>
  <c r="AH373" i="13" a="1"/>
  <c r="AH373" i="13" s="1"/>
  <c r="AH277" i="13" a="1"/>
  <c r="AH277" i="13" s="1"/>
  <c r="T406" i="13"/>
  <c r="T254" i="13"/>
  <c r="T58" i="13"/>
  <c r="R418" i="13"/>
  <c r="P330" i="13"/>
  <c r="P266" i="13"/>
  <c r="P254" i="13"/>
  <c r="P226" i="13"/>
  <c r="P162" i="13"/>
  <c r="P126" i="13"/>
  <c r="P98" i="13"/>
  <c r="P70" i="13"/>
  <c r="O410" i="13"/>
  <c r="O402" i="13"/>
  <c r="O365" i="13"/>
  <c r="O321" i="13"/>
  <c r="O261" i="13"/>
  <c r="O253" i="13"/>
  <c r="O124" i="13"/>
  <c r="O36" i="13"/>
  <c r="O28" i="13"/>
  <c r="N265" i="13"/>
  <c r="Q265" i="13" s="1"/>
  <c r="N201" i="13"/>
  <c r="AM201" i="13" s="1"/>
  <c r="N136" i="13"/>
  <c r="Q136" i="13" s="1"/>
  <c r="AH60" i="13" a="1"/>
  <c r="AH60" i="13" s="1"/>
  <c r="T122" i="13"/>
  <c r="P210" i="13"/>
  <c r="P202" i="13"/>
  <c r="P182" i="13"/>
  <c r="P82" i="13"/>
  <c r="P54" i="13"/>
  <c r="P38" i="13"/>
  <c r="O422" i="13"/>
  <c r="O414" i="13"/>
  <c r="O386" i="13"/>
  <c r="O377" i="13"/>
  <c r="O357" i="13"/>
  <c r="O341" i="13"/>
  <c r="O333" i="13"/>
  <c r="O313" i="13"/>
  <c r="O305" i="13"/>
  <c r="O297" i="13"/>
  <c r="O289" i="13"/>
  <c r="O281" i="13"/>
  <c r="O265" i="13"/>
  <c r="O245" i="13"/>
  <c r="O237" i="13"/>
  <c r="O229" i="13"/>
  <c r="O213" i="13"/>
  <c r="O205" i="13"/>
  <c r="O185" i="13"/>
  <c r="O169" i="13"/>
  <c r="O161" i="13"/>
  <c r="O153" i="13"/>
  <c r="O136" i="13"/>
  <c r="O108" i="13"/>
  <c r="O100" i="13"/>
  <c r="O92" i="13"/>
  <c r="O84" i="13"/>
  <c r="O56" i="13"/>
  <c r="O40" i="13"/>
  <c r="O11" i="13"/>
  <c r="N426" i="13"/>
  <c r="Q426" i="13" s="1"/>
  <c r="N72" i="13"/>
  <c r="Q72" i="13" s="1"/>
  <c r="N7" i="13"/>
  <c r="Q7" i="13" s="1"/>
  <c r="AH245" i="13" a="1"/>
  <c r="AH245" i="13" s="1"/>
  <c r="P258" i="13"/>
  <c r="P230" i="13"/>
  <c r="P222" i="13"/>
  <c r="P194" i="13"/>
  <c r="P166" i="13"/>
  <c r="P110" i="13"/>
  <c r="P102" i="13"/>
  <c r="P74" i="13"/>
  <c r="P6" i="13"/>
  <c r="O426" i="13"/>
  <c r="O406" i="13"/>
  <c r="O369" i="13"/>
  <c r="O317" i="13"/>
  <c r="O197" i="13"/>
  <c r="O189" i="13"/>
  <c r="O60" i="13"/>
  <c r="N261" i="13"/>
  <c r="Q261" i="13" s="1"/>
  <c r="N197" i="13"/>
  <c r="Q197" i="13" s="1"/>
  <c r="O63" i="13"/>
  <c r="N63" i="13"/>
  <c r="Q63" i="13" s="1"/>
  <c r="N59" i="13"/>
  <c r="AH59" i="13" a="1"/>
  <c r="AH59" i="13" s="1"/>
  <c r="AH63" i="13" a="1"/>
  <c r="AH63" i="13" s="1"/>
  <c r="R425" i="13"/>
  <c r="P425" i="13"/>
  <c r="R401" i="13"/>
  <c r="AP401" i="13" s="1"/>
  <c r="T401" i="13"/>
  <c r="T209" i="13"/>
  <c r="P209" i="13"/>
  <c r="T57" i="13"/>
  <c r="P57" i="13"/>
  <c r="T33" i="13"/>
  <c r="P33" i="13"/>
  <c r="R33" i="13"/>
  <c r="N421" i="13"/>
  <c r="Q421" i="13" s="1"/>
  <c r="O421" i="13"/>
  <c r="N405" i="13"/>
  <c r="Q405" i="13" s="1"/>
  <c r="O405" i="13"/>
  <c r="N397" i="13"/>
  <c r="Q397" i="13" s="1"/>
  <c r="O397" i="13"/>
  <c r="N380" i="13"/>
  <c r="O380" i="13"/>
  <c r="N356" i="13"/>
  <c r="Q356" i="13" s="1"/>
  <c r="O356" i="13"/>
  <c r="O320" i="13"/>
  <c r="N320" i="13"/>
  <c r="Q320" i="13" s="1"/>
  <c r="O288" i="13"/>
  <c r="N288" i="13"/>
  <c r="Q288" i="13" s="1"/>
  <c r="AH256" i="13" a="1"/>
  <c r="AH256" i="13" s="1"/>
  <c r="N256" i="13"/>
  <c r="Q256" i="13" s="1"/>
  <c r="O256" i="13"/>
  <c r="AH248" i="13" a="1"/>
  <c r="AH248" i="13" s="1"/>
  <c r="N248" i="13"/>
  <c r="O248" i="13"/>
  <c r="AH240" i="13" a="1"/>
  <c r="AH240" i="13" s="1"/>
  <c r="N240" i="13"/>
  <c r="Q240" i="13" s="1"/>
  <c r="O240" i="13"/>
  <c r="AH232" i="13" a="1"/>
  <c r="AH232" i="13" s="1"/>
  <c r="N232" i="13"/>
  <c r="AH224" i="13" a="1"/>
  <c r="AH224" i="13" s="1"/>
  <c r="N224" i="13"/>
  <c r="Q224" i="13" s="1"/>
  <c r="O224" i="13"/>
  <c r="AH216" i="13" a="1"/>
  <c r="AH216" i="13" s="1"/>
  <c r="N216" i="13"/>
  <c r="Q216" i="13" s="1"/>
  <c r="O216" i="13"/>
  <c r="AH208" i="13" a="1"/>
  <c r="AH208" i="13" s="1"/>
  <c r="N208" i="13"/>
  <c r="Q208" i="13" s="1"/>
  <c r="O208" i="13"/>
  <c r="AH200" i="13" a="1"/>
  <c r="AH200" i="13" s="1"/>
  <c r="N200" i="13"/>
  <c r="Q200" i="13" s="1"/>
  <c r="AH192" i="13" a="1"/>
  <c r="AH192" i="13" s="1"/>
  <c r="O192" i="13"/>
  <c r="N192" i="13"/>
  <c r="Q192" i="13" s="1"/>
  <c r="AD192" i="13" s="1"/>
  <c r="AH184" i="13" a="1"/>
  <c r="AH184" i="13" s="1"/>
  <c r="O184" i="13"/>
  <c r="AH176" i="13" a="1"/>
  <c r="AH176" i="13" s="1"/>
  <c r="O176" i="13"/>
  <c r="AH168" i="13" a="1"/>
  <c r="AH168" i="13" s="1"/>
  <c r="N168" i="13"/>
  <c r="Q168" i="13" s="1"/>
  <c r="AH160" i="13" a="1"/>
  <c r="AH160" i="13" s="1"/>
  <c r="O160" i="13"/>
  <c r="N160" i="13"/>
  <c r="Q160" i="13" s="1"/>
  <c r="AH152" i="13" a="1"/>
  <c r="AH152" i="13" s="1"/>
  <c r="O152" i="13"/>
  <c r="O148" i="13"/>
  <c r="N148" i="13"/>
  <c r="Q148" i="13" s="1"/>
  <c r="N139" i="13"/>
  <c r="O139" i="13"/>
  <c r="O131" i="13"/>
  <c r="N131" i="13"/>
  <c r="Q131" i="13" s="1"/>
  <c r="N127" i="13"/>
  <c r="Q127" i="13" s="1"/>
  <c r="O127" i="13"/>
  <c r="AH127" i="13" a="1"/>
  <c r="AH127" i="13" s="1"/>
  <c r="N119" i="13"/>
  <c r="Q119" i="13" s="1"/>
  <c r="O119" i="13"/>
  <c r="AH119" i="13" a="1"/>
  <c r="AH119" i="13" s="1"/>
  <c r="O99" i="13"/>
  <c r="N99" i="13"/>
  <c r="Q99" i="13" s="1"/>
  <c r="O75" i="13"/>
  <c r="AH75" i="13" a="1"/>
  <c r="AH75" i="13" s="1"/>
  <c r="O67" i="13"/>
  <c r="N67" i="13"/>
  <c r="Q67" i="13" s="1"/>
  <c r="AD67" i="13" s="1"/>
  <c r="AH67" i="13" a="1"/>
  <c r="AH67" i="13" s="1"/>
  <c r="AH413" i="13" a="1"/>
  <c r="AH413" i="13" s="1"/>
  <c r="AH405" i="13" a="1"/>
  <c r="AH405" i="13" s="1"/>
  <c r="AH139" i="13" a="1"/>
  <c r="AH139" i="13" s="1"/>
  <c r="AH99" i="13" a="1"/>
  <c r="AH99" i="13" s="1"/>
  <c r="AH71" i="13" a="1"/>
  <c r="AH71" i="13" s="1"/>
  <c r="P361" i="13"/>
  <c r="P13" i="13"/>
  <c r="O429" i="13"/>
  <c r="O348" i="13"/>
  <c r="O284" i="13"/>
  <c r="O91" i="13"/>
  <c r="N312" i="13"/>
  <c r="Q312" i="13" s="1"/>
  <c r="N176" i="13"/>
  <c r="Q176" i="13" s="1"/>
  <c r="N107" i="13"/>
  <c r="T265" i="13"/>
  <c r="P265" i="13"/>
  <c r="T257" i="13"/>
  <c r="P257" i="13"/>
  <c r="T213" i="13"/>
  <c r="P213" i="13"/>
  <c r="T117" i="13"/>
  <c r="P117" i="13"/>
  <c r="T101" i="13"/>
  <c r="P101" i="13"/>
  <c r="T93" i="13"/>
  <c r="P93" i="13"/>
  <c r="T85" i="13"/>
  <c r="P85" i="13"/>
  <c r="P53" i="13"/>
  <c r="R53" i="13"/>
  <c r="R45" i="13"/>
  <c r="P45" i="13"/>
  <c r="R37" i="13"/>
  <c r="P37" i="13"/>
  <c r="T37" i="13"/>
  <c r="R29" i="13"/>
  <c r="T29" i="13"/>
  <c r="P29" i="13"/>
  <c r="R21" i="13"/>
  <c r="P21" i="13"/>
  <c r="N425" i="13"/>
  <c r="Q425" i="13" s="1"/>
  <c r="O417" i="13"/>
  <c r="N417" i="13"/>
  <c r="O409" i="13"/>
  <c r="O401" i="13"/>
  <c r="AH401" i="13" a="1"/>
  <c r="AH401" i="13" s="1"/>
  <c r="N393" i="13"/>
  <c r="Q393" i="13" s="1"/>
  <c r="O393" i="13"/>
  <c r="AH393" i="13" a="1"/>
  <c r="AH393" i="13" s="1"/>
  <c r="O385" i="13"/>
  <c r="N385" i="13"/>
  <c r="AH385" i="13" a="1"/>
  <c r="AH385" i="13" s="1"/>
  <c r="O352" i="13"/>
  <c r="N352" i="13"/>
  <c r="O340" i="13"/>
  <c r="N340" i="13"/>
  <c r="Q340" i="13" s="1"/>
  <c r="N332" i="13"/>
  <c r="Q332" i="13" s="1"/>
  <c r="O332" i="13"/>
  <c r="O324" i="13"/>
  <c r="N324" i="13"/>
  <c r="Q324" i="13" s="1"/>
  <c r="O308" i="13"/>
  <c r="N308" i="13"/>
  <c r="N300" i="13"/>
  <c r="Q300" i="13" s="1"/>
  <c r="O300" i="13"/>
  <c r="O292" i="13"/>
  <c r="N292" i="13"/>
  <c r="Q292" i="13" s="1"/>
  <c r="O276" i="13"/>
  <c r="N276" i="13"/>
  <c r="Q276" i="13" s="1"/>
  <c r="N268" i="13"/>
  <c r="O268" i="13"/>
  <c r="AH260" i="13" a="1"/>
  <c r="AH260" i="13" s="1"/>
  <c r="O260" i="13"/>
  <c r="N260" i="13"/>
  <c r="Q260" i="13" s="1"/>
  <c r="AH252" i="13" a="1"/>
  <c r="AH252" i="13" s="1"/>
  <c r="N252" i="13"/>
  <c r="Q252" i="13" s="1"/>
  <c r="AH244" i="13" a="1"/>
  <c r="AH244" i="13" s="1"/>
  <c r="O244" i="13"/>
  <c r="AH236" i="13" a="1"/>
  <c r="AH236" i="13" s="1"/>
  <c r="O236" i="13"/>
  <c r="AH228" i="13" a="1"/>
  <c r="AH228" i="13" s="1"/>
  <c r="O228" i="13"/>
  <c r="N228" i="13"/>
  <c r="Q228" i="13" s="1"/>
  <c r="AH220" i="13" a="1"/>
  <c r="AH220" i="13" s="1"/>
  <c r="N220" i="13"/>
  <c r="Q220" i="13" s="1"/>
  <c r="AH212" i="13" a="1"/>
  <c r="AH212" i="13" s="1"/>
  <c r="O212" i="13"/>
  <c r="AH204" i="13" a="1"/>
  <c r="AH204" i="13" s="1"/>
  <c r="O204" i="13"/>
  <c r="AH196" i="13" a="1"/>
  <c r="AH196" i="13" s="1"/>
  <c r="O196" i="13"/>
  <c r="N196" i="13"/>
  <c r="Q196" i="13" s="1"/>
  <c r="AH188" i="13" a="1"/>
  <c r="AH188" i="13" s="1"/>
  <c r="N188" i="13"/>
  <c r="AH180" i="13" a="1"/>
  <c r="AH180" i="13" s="1"/>
  <c r="O180" i="13"/>
  <c r="N180" i="13"/>
  <c r="Q180" i="13" s="1"/>
  <c r="AH172" i="13" a="1"/>
  <c r="AH172" i="13" s="1"/>
  <c r="N172" i="13"/>
  <c r="Q172" i="13" s="1"/>
  <c r="O172" i="13"/>
  <c r="AH164" i="13" a="1"/>
  <c r="AH164" i="13" s="1"/>
  <c r="O164" i="13"/>
  <c r="N164" i="13"/>
  <c r="Q164" i="13" s="1"/>
  <c r="AD164" i="13" s="1"/>
  <c r="N156" i="13"/>
  <c r="Q156" i="13" s="1"/>
  <c r="AH135" i="13" a="1"/>
  <c r="AH135" i="13" s="1"/>
  <c r="N111" i="13"/>
  <c r="Q111" i="13" s="1"/>
  <c r="O111" i="13"/>
  <c r="AH111" i="13" a="1"/>
  <c r="AH111" i="13" s="1"/>
  <c r="N103" i="13"/>
  <c r="Q103" i="13" s="1"/>
  <c r="AH103" i="13" a="1"/>
  <c r="AH103" i="13" s="1"/>
  <c r="N95" i="13"/>
  <c r="AM95" i="13" s="1"/>
  <c r="O95" i="13"/>
  <c r="AH95" i="13" a="1"/>
  <c r="AH95" i="13" s="1"/>
  <c r="N87" i="13"/>
  <c r="AM87" i="13" s="1"/>
  <c r="O87" i="13"/>
  <c r="AH87" i="13" a="1"/>
  <c r="AH87" i="13" s="1"/>
  <c r="N79" i="13"/>
  <c r="Q79" i="13" s="1"/>
  <c r="O79" i="13"/>
  <c r="AH421" i="13" a="1"/>
  <c r="AH421" i="13" s="1"/>
  <c r="AH148" i="13" a="1"/>
  <c r="AH148" i="13" s="1"/>
  <c r="AH115" i="13" a="1"/>
  <c r="AH115" i="13" s="1"/>
  <c r="AH107" i="13" a="1"/>
  <c r="AH107" i="13" s="1"/>
  <c r="AH79" i="13" a="1"/>
  <c r="AH79" i="13" s="1"/>
  <c r="T53" i="13"/>
  <c r="R61" i="13"/>
  <c r="P61" i="13"/>
  <c r="P25" i="13"/>
  <c r="O372" i="13"/>
  <c r="O360" i="13"/>
  <c r="O296" i="13"/>
  <c r="O232" i="13"/>
  <c r="O168" i="13"/>
  <c r="O103" i="13"/>
  <c r="N401" i="13"/>
  <c r="N336" i="13"/>
  <c r="N272" i="13"/>
  <c r="Q272" i="13" s="1"/>
  <c r="N204" i="13"/>
  <c r="Q204" i="13" s="1"/>
  <c r="N184" i="13"/>
  <c r="Q184" i="13" s="1"/>
  <c r="N115" i="13"/>
  <c r="AM115" i="13" s="1"/>
  <c r="O51" i="13"/>
  <c r="N51" i="13"/>
  <c r="AM51" i="13" s="1"/>
  <c r="O35" i="13"/>
  <c r="N35" i="13"/>
  <c r="Q35" i="13" s="1"/>
  <c r="O18" i="13"/>
  <c r="N18" i="13"/>
  <c r="N14" i="13"/>
  <c r="Q14" i="13" s="1"/>
  <c r="O14" i="13"/>
  <c r="N2" i="13"/>
  <c r="O2" i="13"/>
  <c r="O43" i="13"/>
  <c r="O10" i="13"/>
  <c r="N31" i="13"/>
  <c r="Q31" i="13" s="1"/>
  <c r="AD31" i="13" s="1"/>
  <c r="AH51" i="13" a="1"/>
  <c r="AH51" i="13" s="1"/>
  <c r="AH43" i="13" a="1"/>
  <c r="AH43" i="13" s="1"/>
  <c r="AH35" i="13" a="1"/>
  <c r="AH35" i="13" s="1"/>
  <c r="O23" i="13"/>
  <c r="AP98" i="13"/>
  <c r="AP58" i="13"/>
  <c r="AP54" i="13"/>
  <c r="AP409" i="13"/>
  <c r="AH202" i="13" a="1"/>
  <c r="AH202" i="13" s="1"/>
  <c r="O202" i="13"/>
  <c r="T251" i="13"/>
  <c r="P251" i="13"/>
  <c r="R227" i="13"/>
  <c r="P227" i="13"/>
  <c r="R219" i="13"/>
  <c r="P219" i="13"/>
  <c r="R211" i="13"/>
  <c r="AP211" i="13" s="1"/>
  <c r="P211" i="13"/>
  <c r="R203" i="13"/>
  <c r="P203" i="13"/>
  <c r="R195" i="13"/>
  <c r="P195" i="13"/>
  <c r="R179" i="13"/>
  <c r="P179" i="13"/>
  <c r="R171" i="13"/>
  <c r="P171" i="13"/>
  <c r="R163" i="13"/>
  <c r="P163" i="13"/>
  <c r="R115" i="13"/>
  <c r="P115" i="13"/>
  <c r="R107" i="13"/>
  <c r="P107" i="13"/>
  <c r="R99" i="13"/>
  <c r="P99" i="13"/>
  <c r="R59" i="13"/>
  <c r="P59" i="13"/>
  <c r="R51" i="13"/>
  <c r="AP51" i="13" s="1"/>
  <c r="P51" i="13"/>
  <c r="AH354" i="13" a="1"/>
  <c r="AH354" i="13" s="1"/>
  <c r="O354" i="13"/>
  <c r="N342" i="13"/>
  <c r="Q342" i="13" s="1"/>
  <c r="O342" i="13"/>
  <c r="AH330" i="13" a="1"/>
  <c r="AH330" i="13" s="1"/>
  <c r="O330" i="13"/>
  <c r="N310" i="13"/>
  <c r="Q310" i="13" s="1"/>
  <c r="O310" i="13"/>
  <c r="AH294" i="13" a="1"/>
  <c r="AH294" i="13" s="1"/>
  <c r="O294" i="13"/>
  <c r="AH278" i="13" a="1"/>
  <c r="AH278" i="13" s="1"/>
  <c r="O278" i="13"/>
  <c r="AH242" i="13" a="1"/>
  <c r="AH242" i="13" s="1"/>
  <c r="O242" i="13"/>
  <c r="AH230" i="13" a="1"/>
  <c r="AH230" i="13" s="1"/>
  <c r="O230" i="13"/>
  <c r="AH226" i="13" a="1"/>
  <c r="AH226" i="13" s="1"/>
  <c r="O226" i="13"/>
  <c r="AH218" i="13" a="1"/>
  <c r="AH218" i="13" s="1"/>
  <c r="O218" i="13"/>
  <c r="AH194" i="13" a="1"/>
  <c r="AH194" i="13" s="1"/>
  <c r="O194" i="13"/>
  <c r="AH182" i="13" a="1"/>
  <c r="AH182" i="13" s="1"/>
  <c r="O182" i="13"/>
  <c r="AH133" i="13" a="1"/>
  <c r="AH133" i="13" s="1"/>
  <c r="O133" i="13"/>
  <c r="AH121" i="13" a="1"/>
  <c r="AH121" i="13" s="1"/>
  <c r="O121" i="13"/>
  <c r="T207" i="13"/>
  <c r="P207" i="13"/>
  <c r="R191" i="13"/>
  <c r="P191" i="13"/>
  <c r="R183" i="13"/>
  <c r="P183" i="13"/>
  <c r="R167" i="13"/>
  <c r="P167" i="13"/>
  <c r="R159" i="13"/>
  <c r="P159" i="13"/>
  <c r="T151" i="13"/>
  <c r="P151" i="13"/>
  <c r="R135" i="13"/>
  <c r="AP135" i="13" s="1"/>
  <c r="P135" i="13"/>
  <c r="R127" i="13"/>
  <c r="P127" i="13"/>
  <c r="R111" i="13"/>
  <c r="P111" i="13"/>
  <c r="T103" i="13"/>
  <c r="P103" i="13"/>
  <c r="R95" i="13"/>
  <c r="P95" i="13"/>
  <c r="T91" i="13"/>
  <c r="P91" i="13"/>
  <c r="R35" i="13"/>
  <c r="P35" i="13"/>
  <c r="R19" i="13"/>
  <c r="P19" i="13"/>
  <c r="R3" i="13"/>
  <c r="P3" i="13"/>
  <c r="N374" i="13"/>
  <c r="Q374" i="13" s="1"/>
  <c r="O374" i="13"/>
  <c r="AH306" i="13" a="1"/>
  <c r="AH306" i="13" s="1"/>
  <c r="O306" i="13"/>
  <c r="AH290" i="13" a="1"/>
  <c r="AH290" i="13" s="1"/>
  <c r="O290" i="13"/>
  <c r="AH282" i="13" a="1"/>
  <c r="AH282" i="13" s="1"/>
  <c r="O282" i="13"/>
  <c r="AH266" i="13" a="1"/>
  <c r="AH266" i="13" s="1"/>
  <c r="O266" i="13"/>
  <c r="AH214" i="13" a="1"/>
  <c r="AH214" i="13" s="1"/>
  <c r="O214" i="13"/>
  <c r="AH166" i="13" a="1"/>
  <c r="AH166" i="13" s="1"/>
  <c r="O166" i="13"/>
  <c r="AM367" i="13"/>
  <c r="AM364" i="13"/>
  <c r="AH229" i="13" a="1"/>
  <c r="AH229" i="13" s="1"/>
  <c r="T150" i="13"/>
  <c r="AH402" i="13" a="1"/>
  <c r="AH402" i="13" s="1"/>
  <c r="AH357" i="13" a="1"/>
  <c r="AH357" i="13" s="1"/>
  <c r="AH261" i="13" a="1"/>
  <c r="AH261" i="13" s="1"/>
  <c r="AH189" i="13" a="1"/>
  <c r="AH189" i="13" s="1"/>
  <c r="AH11" i="13" a="1"/>
  <c r="AH11" i="13" s="1"/>
  <c r="T230" i="13"/>
  <c r="R290" i="13"/>
  <c r="P382" i="13"/>
  <c r="N229" i="13"/>
  <c r="Q229" i="13" s="1"/>
  <c r="N36" i="13"/>
  <c r="Q36" i="13" s="1"/>
  <c r="AD36" i="13" s="1"/>
  <c r="AM236" i="13"/>
  <c r="AH418" i="13" a="1"/>
  <c r="AH418" i="13" s="1"/>
  <c r="AH237" i="13" a="1"/>
  <c r="AH237" i="13" s="1"/>
  <c r="AH213" i="13" a="1"/>
  <c r="AH213" i="13" s="1"/>
  <c r="AH153" i="13" a="1"/>
  <c r="AH153" i="13" s="1"/>
  <c r="AH40" i="13" a="1"/>
  <c r="AH40" i="13" s="1"/>
  <c r="T330" i="13"/>
  <c r="T290" i="13"/>
  <c r="T214" i="13"/>
  <c r="T82" i="13"/>
  <c r="N297" i="13"/>
  <c r="Q297" i="13" s="1"/>
  <c r="N233" i="13"/>
  <c r="Q233" i="13" s="1"/>
  <c r="N169" i="13"/>
  <c r="N104" i="13"/>
  <c r="Q104" i="13" s="1"/>
  <c r="AD104" i="13" s="1"/>
  <c r="Q281" i="13"/>
  <c r="AD281" i="13" s="1"/>
  <c r="AM281" i="13"/>
  <c r="N278" i="13"/>
  <c r="Q278" i="13" s="1"/>
  <c r="P354" i="13"/>
  <c r="T354" i="13"/>
  <c r="R346" i="13"/>
  <c r="T346" i="13"/>
  <c r="T322" i="13"/>
  <c r="R322" i="13"/>
  <c r="AP322" i="13" s="1"/>
  <c r="P274" i="13"/>
  <c r="T274" i="13"/>
  <c r="T270" i="13"/>
  <c r="R270" i="13"/>
  <c r="R238" i="13"/>
  <c r="T238" i="13"/>
  <c r="R134" i="13"/>
  <c r="T134" i="13"/>
  <c r="R94" i="13"/>
  <c r="T94" i="13"/>
  <c r="R46" i="13"/>
  <c r="T46" i="13"/>
  <c r="R22" i="13"/>
  <c r="T22" i="13"/>
  <c r="R2" i="13"/>
  <c r="T2" i="13"/>
  <c r="AH394" i="13" a="1"/>
  <c r="AH394" i="13" s="1"/>
  <c r="N394" i="13"/>
  <c r="N386" i="13"/>
  <c r="AH386" i="13" a="1"/>
  <c r="AH386" i="13" s="1"/>
  <c r="N382" i="13"/>
  <c r="N373" i="13"/>
  <c r="Q373" i="13" s="1"/>
  <c r="N341" i="13"/>
  <c r="AH309" i="13" a="1"/>
  <c r="AH309" i="13" s="1"/>
  <c r="AH293" i="13" a="1"/>
  <c r="AH293" i="13" s="1"/>
  <c r="N285" i="13"/>
  <c r="Q285" i="13" s="1"/>
  <c r="N273" i="13"/>
  <c r="AH273" i="13" a="1"/>
  <c r="AH273" i="13" s="1"/>
  <c r="N257" i="13"/>
  <c r="N241" i="13"/>
  <c r="N225" i="13"/>
  <c r="N209" i="13"/>
  <c r="AH209" i="13" a="1"/>
  <c r="AH209" i="13" s="1"/>
  <c r="AH165" i="13" a="1"/>
  <c r="AH165" i="13" s="1"/>
  <c r="N157" i="13"/>
  <c r="Q157" i="13" s="1"/>
  <c r="AH157" i="13" a="1"/>
  <c r="AH157" i="13" s="1"/>
  <c r="N128" i="13"/>
  <c r="AM128" i="13" s="1"/>
  <c r="AH124" i="13" a="1"/>
  <c r="AH124" i="13" s="1"/>
  <c r="N124" i="13"/>
  <c r="AM124" i="13" s="1"/>
  <c r="AH116" i="13" a="1"/>
  <c r="AH116" i="13" s="1"/>
  <c r="N96" i="13"/>
  <c r="AM96" i="13" s="1"/>
  <c r="N80" i="13"/>
  <c r="Q80" i="13" s="1"/>
  <c r="AH76" i="13" a="1"/>
  <c r="AH76" i="13" s="1"/>
  <c r="N76" i="13"/>
  <c r="AM76" i="13" s="1"/>
  <c r="AH64" i="13" a="1"/>
  <c r="AH64" i="13" s="1"/>
  <c r="N64" i="13"/>
  <c r="Q64" i="13" s="1"/>
  <c r="AH52" i="13" a="1"/>
  <c r="AH52" i="13" s="1"/>
  <c r="AH44" i="13" a="1"/>
  <c r="AH44" i="13" s="1"/>
  <c r="N44" i="13"/>
  <c r="Q44" i="13" s="1"/>
  <c r="AH28" i="13" a="1"/>
  <c r="AH28" i="13" s="1"/>
  <c r="N28" i="13"/>
  <c r="Q28" i="13" s="1"/>
  <c r="AH19" i="13" a="1"/>
  <c r="AH19" i="13" s="1"/>
  <c r="AH3" i="13" a="1"/>
  <c r="AH3" i="13" s="1"/>
  <c r="AH422" i="13" a="1"/>
  <c r="AH422" i="13" s="1"/>
  <c r="AH377" i="13" a="1"/>
  <c r="AH377" i="13" s="1"/>
  <c r="AH369" i="13" a="1"/>
  <c r="AH369" i="13" s="1"/>
  <c r="AH361" i="13" a="1"/>
  <c r="AH361" i="13" s="1"/>
  <c r="AH337" i="13" a="1"/>
  <c r="AH337" i="13" s="1"/>
  <c r="AH321" i="13" a="1"/>
  <c r="AH321" i="13" s="1"/>
  <c r="AH297" i="13" a="1"/>
  <c r="AH297" i="13" s="1"/>
  <c r="AH289" i="13" a="1"/>
  <c r="AH289" i="13" s="1"/>
  <c r="AH281" i="13" a="1"/>
  <c r="AH281" i="13" s="1"/>
  <c r="AH265" i="13" a="1"/>
  <c r="AH265" i="13" s="1"/>
  <c r="AH257" i="13" a="1"/>
  <c r="AH257" i="13" s="1"/>
  <c r="AH249" i="13" a="1"/>
  <c r="AH249" i="13" s="1"/>
  <c r="AH241" i="13" a="1"/>
  <c r="AH241" i="13" s="1"/>
  <c r="AH217" i="13" a="1"/>
  <c r="AH217" i="13" s="1"/>
  <c r="AH197" i="13" a="1"/>
  <c r="AH197" i="13" s="1"/>
  <c r="AH128" i="13" a="1"/>
  <c r="AH128" i="13" s="1"/>
  <c r="AH96" i="13" a="1"/>
  <c r="AH96" i="13" s="1"/>
  <c r="AH84" i="13" a="1"/>
  <c r="AH84" i="13" s="1"/>
  <c r="T250" i="13"/>
  <c r="T102" i="13"/>
  <c r="T74" i="13"/>
  <c r="T26" i="13"/>
  <c r="R366" i="13"/>
  <c r="P338" i="13"/>
  <c r="N357" i="13"/>
  <c r="Q357" i="13" s="1"/>
  <c r="N277" i="13"/>
  <c r="Q277" i="13" s="1"/>
  <c r="AD277" i="13" s="1"/>
  <c r="N245" i="13"/>
  <c r="Q245" i="13" s="1"/>
  <c r="AD245" i="13" s="1"/>
  <c r="N213" i="13"/>
  <c r="Q213" i="13" s="1"/>
  <c r="Q207" i="13"/>
  <c r="AM207" i="13"/>
  <c r="N181" i="13"/>
  <c r="Q181" i="13" s="1"/>
  <c r="N149" i="13"/>
  <c r="Q149" i="13" s="1"/>
  <c r="AD149" i="13" s="1"/>
  <c r="N116" i="13"/>
  <c r="Q116" i="13" s="1"/>
  <c r="N84" i="13"/>
  <c r="Q84" i="13" s="1"/>
  <c r="N52" i="13"/>
  <c r="Q52" i="13" s="1"/>
  <c r="N19" i="13"/>
  <c r="R422" i="13"/>
  <c r="P422" i="13"/>
  <c r="P414" i="13"/>
  <c r="T414" i="13"/>
  <c r="T398" i="13"/>
  <c r="R398" i="13"/>
  <c r="R390" i="13"/>
  <c r="T390" i="13"/>
  <c r="P386" i="13"/>
  <c r="R386" i="13"/>
  <c r="T302" i="13"/>
  <c r="P302" i="13"/>
  <c r="R198" i="13"/>
  <c r="T198" i="13"/>
  <c r="R170" i="13"/>
  <c r="T170" i="13"/>
  <c r="R154" i="13"/>
  <c r="T154" i="13"/>
  <c r="R138" i="13"/>
  <c r="T138" i="13"/>
  <c r="R114" i="13"/>
  <c r="T114" i="13"/>
  <c r="R66" i="13"/>
  <c r="T66" i="13"/>
  <c r="R50" i="13"/>
  <c r="T50" i="13"/>
  <c r="R34" i="13"/>
  <c r="T34" i="13"/>
  <c r="R14" i="13"/>
  <c r="T14" i="13"/>
  <c r="N414" i="13"/>
  <c r="Q414" i="13" s="1"/>
  <c r="N406" i="13"/>
  <c r="AM406" i="13" s="1"/>
  <c r="N398" i="13"/>
  <c r="Q398" i="13" s="1"/>
  <c r="AH398" i="13" a="1"/>
  <c r="AH398" i="13" s="1"/>
  <c r="N390" i="13"/>
  <c r="N365" i="13"/>
  <c r="Q365" i="13" s="1"/>
  <c r="N349" i="13"/>
  <c r="N333" i="13"/>
  <c r="Q333" i="13" s="1"/>
  <c r="AH325" i="13" a="1"/>
  <c r="AH325" i="13" s="1"/>
  <c r="N325" i="13"/>
  <c r="Q325" i="13" s="1"/>
  <c r="N313" i="13"/>
  <c r="Q313" i="13" s="1"/>
  <c r="AH313" i="13" a="1"/>
  <c r="AH313" i="13" s="1"/>
  <c r="N269" i="13"/>
  <c r="AM269" i="13" s="1"/>
  <c r="AH221" i="13" a="1"/>
  <c r="AH221" i="13" s="1"/>
  <c r="N221" i="13"/>
  <c r="N193" i="13"/>
  <c r="AH193" i="13" a="1"/>
  <c r="AH193" i="13" s="1"/>
  <c r="N177" i="13"/>
  <c r="AH177" i="13" a="1"/>
  <c r="AH177" i="13" s="1"/>
  <c r="N161" i="13"/>
  <c r="N145" i="13"/>
  <c r="AH145" i="13" a="1"/>
  <c r="AH145" i="13" s="1"/>
  <c r="AH140" i="13" a="1"/>
  <c r="AH140" i="13" s="1"/>
  <c r="N140" i="13"/>
  <c r="AM140" i="13" s="1"/>
  <c r="AH132" i="13" a="1"/>
  <c r="AH132" i="13" s="1"/>
  <c r="N112" i="13"/>
  <c r="Q112" i="13" s="1"/>
  <c r="AD112" i="13" s="1"/>
  <c r="AH100" i="13" a="1"/>
  <c r="AH100" i="13" s="1"/>
  <c r="AH92" i="13" a="1"/>
  <c r="AH92" i="13" s="1"/>
  <c r="N92" i="13"/>
  <c r="Q92" i="13" s="1"/>
  <c r="AH68" i="13" a="1"/>
  <c r="AH68" i="13" s="1"/>
  <c r="AH48" i="13" a="1"/>
  <c r="AH48" i="13" s="1"/>
  <c r="N48" i="13"/>
  <c r="AM48" i="13" s="1"/>
  <c r="N32" i="13"/>
  <c r="Q32" i="13" s="1"/>
  <c r="AH32" i="13" a="1"/>
  <c r="AH32" i="13" s="1"/>
  <c r="N15" i="13"/>
  <c r="Q15" i="13" s="1"/>
  <c r="AH15" i="13" a="1"/>
  <c r="AH15" i="13" s="1"/>
  <c r="AM418" i="13"/>
  <c r="AH390" i="13" a="1"/>
  <c r="AH390" i="13" s="1"/>
  <c r="AH342" i="13" a="1"/>
  <c r="AH342" i="13" s="1"/>
  <c r="AH329" i="13" a="1"/>
  <c r="AH329" i="13" s="1"/>
  <c r="AH305" i="13" a="1"/>
  <c r="AH305" i="13" s="1"/>
  <c r="AH225" i="13" a="1"/>
  <c r="AH225" i="13" s="1"/>
  <c r="AH205" i="13" a="1"/>
  <c r="AH205" i="13" s="1"/>
  <c r="AH173" i="13" a="1"/>
  <c r="AH173" i="13" s="1"/>
  <c r="AH149" i="13" a="1"/>
  <c r="AH149" i="13" s="1"/>
  <c r="AH108" i="13" a="1"/>
  <c r="AH108" i="13" s="1"/>
  <c r="AH56" i="13" a="1"/>
  <c r="AH56" i="13" s="1"/>
  <c r="AH36" i="13" a="1"/>
  <c r="AH36" i="13" s="1"/>
  <c r="T370" i="13"/>
  <c r="T127" i="13"/>
  <c r="T98" i="13"/>
  <c r="T38" i="13"/>
  <c r="T6" i="13"/>
  <c r="R354" i="13"/>
  <c r="R207" i="13"/>
  <c r="N185" i="13"/>
  <c r="AM185" i="13" s="1"/>
  <c r="N120" i="13"/>
  <c r="Q120" i="13" s="1"/>
  <c r="N88" i="13"/>
  <c r="Q88" i="13" s="1"/>
  <c r="N24" i="13"/>
  <c r="Q24" i="13" s="1"/>
  <c r="AD24" i="13" s="1"/>
  <c r="R426" i="13"/>
  <c r="T426" i="13"/>
  <c r="R358" i="13"/>
  <c r="P358" i="13"/>
  <c r="T334" i="13"/>
  <c r="P334" i="13"/>
  <c r="P318" i="13"/>
  <c r="T318" i="13"/>
  <c r="T306" i="13"/>
  <c r="P306" i="13"/>
  <c r="R278" i="13"/>
  <c r="T278" i="13"/>
  <c r="R246" i="13"/>
  <c r="T246" i="13"/>
  <c r="R234" i="13"/>
  <c r="T234" i="13"/>
  <c r="R218" i="13"/>
  <c r="T218" i="13"/>
  <c r="R206" i="13"/>
  <c r="T206" i="13"/>
  <c r="R190" i="13"/>
  <c r="T190" i="13"/>
  <c r="R174" i="13"/>
  <c r="T174" i="13"/>
  <c r="R158" i="13"/>
  <c r="T158" i="13"/>
  <c r="R146" i="13"/>
  <c r="T146" i="13"/>
  <c r="R130" i="13"/>
  <c r="T130" i="13"/>
  <c r="R118" i="13"/>
  <c r="AP118" i="13" s="1"/>
  <c r="T118" i="13"/>
  <c r="R106" i="13"/>
  <c r="T106" i="13"/>
  <c r="R90" i="13"/>
  <c r="T90" i="13"/>
  <c r="R78" i="13"/>
  <c r="T78" i="13"/>
  <c r="R62" i="13"/>
  <c r="T62" i="13"/>
  <c r="R42" i="13"/>
  <c r="AP42" i="13" s="1"/>
  <c r="T42" i="13"/>
  <c r="R30" i="13"/>
  <c r="T30" i="13"/>
  <c r="R18" i="13"/>
  <c r="T18" i="13"/>
  <c r="N353" i="13"/>
  <c r="AH353" i="13" a="1"/>
  <c r="AH353" i="13" s="1"/>
  <c r="AH317" i="13" a="1"/>
  <c r="AH317" i="13" s="1"/>
  <c r="N317" i="13"/>
  <c r="Q317" i="13" s="1"/>
  <c r="AH301" i="13" a="1"/>
  <c r="AH301" i="13" s="1"/>
  <c r="N301" i="13"/>
  <c r="Q301" i="13" s="1"/>
  <c r="P394" i="13"/>
  <c r="R394" i="13"/>
  <c r="P362" i="13"/>
  <c r="R362" i="13"/>
  <c r="T350" i="13"/>
  <c r="P350" i="13"/>
  <c r="P326" i="13"/>
  <c r="R326" i="13"/>
  <c r="R294" i="13"/>
  <c r="T294" i="13"/>
  <c r="P282" i="13"/>
  <c r="R282" i="13"/>
  <c r="P278" i="13"/>
  <c r="N309" i="13"/>
  <c r="T410" i="13"/>
  <c r="P410" i="13"/>
  <c r="R410" i="13"/>
  <c r="AP410" i="13" s="1"/>
  <c r="P378" i="13"/>
  <c r="R378" i="13"/>
  <c r="R342" i="13"/>
  <c r="P342" i="13"/>
  <c r="P310" i="13"/>
  <c r="R310" i="13"/>
  <c r="P298" i="13"/>
  <c r="R298" i="13"/>
  <c r="R262" i="13"/>
  <c r="T262" i="13"/>
  <c r="AM271" i="13"/>
  <c r="T422" i="13"/>
  <c r="T402" i="13"/>
  <c r="T386" i="13"/>
  <c r="T362" i="13"/>
  <c r="T286" i="13"/>
  <c r="T266" i="13"/>
  <c r="T226" i="13"/>
  <c r="T210" i="13"/>
  <c r="T186" i="13"/>
  <c r="T166" i="13"/>
  <c r="R414" i="13"/>
  <c r="R382" i="13"/>
  <c r="R350" i="13"/>
  <c r="AP350" i="13" s="1"/>
  <c r="R318" i="13"/>
  <c r="R286" i="13"/>
  <c r="P406" i="13"/>
  <c r="P366" i="13"/>
  <c r="P346" i="13"/>
  <c r="AM74" i="13"/>
  <c r="T418" i="13"/>
  <c r="T358" i="13"/>
  <c r="T338" i="13"/>
  <c r="T314" i="13"/>
  <c r="T298" i="13"/>
  <c r="T282" i="13"/>
  <c r="T258" i="13"/>
  <c r="T242" i="13"/>
  <c r="T222" i="13"/>
  <c r="T202" i="13"/>
  <c r="T182" i="13"/>
  <c r="T162" i="13"/>
  <c r="T142" i="13"/>
  <c r="T126" i="13"/>
  <c r="T110" i="13"/>
  <c r="T86" i="13"/>
  <c r="T70" i="13"/>
  <c r="T54" i="13"/>
  <c r="T10" i="13"/>
  <c r="R402" i="13"/>
  <c r="AP402" i="13" s="1"/>
  <c r="R370" i="13"/>
  <c r="AP370" i="13" s="1"/>
  <c r="R306" i="13"/>
  <c r="R274" i="13"/>
  <c r="AP274" i="13" s="1"/>
  <c r="P374" i="13"/>
  <c r="P314" i="13"/>
  <c r="P294" i="13"/>
  <c r="N410" i="13"/>
  <c r="N345" i="13"/>
  <c r="R243" i="13"/>
  <c r="T243" i="13"/>
  <c r="R231" i="13"/>
  <c r="R223" i="13"/>
  <c r="T223" i="13"/>
  <c r="R147" i="13"/>
  <c r="T147" i="13"/>
  <c r="T123" i="13"/>
  <c r="R123" i="13"/>
  <c r="T87" i="13"/>
  <c r="R87" i="13"/>
  <c r="R75" i="13"/>
  <c r="T75" i="13"/>
  <c r="R63" i="13"/>
  <c r="R39" i="13"/>
  <c r="AP39" i="13" s="1"/>
  <c r="T39" i="13"/>
  <c r="R27" i="13"/>
  <c r="T15" i="13"/>
  <c r="R15" i="13"/>
  <c r="N419" i="13"/>
  <c r="AH419" i="13" a="1"/>
  <c r="AH419" i="13" s="1"/>
  <c r="N407" i="13"/>
  <c r="AH407" i="13" a="1"/>
  <c r="AH407" i="13" s="1"/>
  <c r="N395" i="13"/>
  <c r="AH395" i="13" a="1"/>
  <c r="AH395" i="13" s="1"/>
  <c r="N383" i="13"/>
  <c r="AH383" i="13" a="1"/>
  <c r="AH383" i="13" s="1"/>
  <c r="N370" i="13"/>
  <c r="N358" i="13"/>
  <c r="N346" i="13"/>
  <c r="N334" i="13"/>
  <c r="AH334" i="13" a="1"/>
  <c r="AH334" i="13" s="1"/>
  <c r="N322" i="13"/>
  <c r="N298" i="13"/>
  <c r="N286" i="13"/>
  <c r="AH286" i="13" a="1"/>
  <c r="AH286" i="13" s="1"/>
  <c r="N274" i="13"/>
  <c r="N262" i="13"/>
  <c r="N250" i="13"/>
  <c r="N238" i="13"/>
  <c r="AH238" i="13" a="1"/>
  <c r="AH238" i="13" s="1"/>
  <c r="N226" i="13"/>
  <c r="N202" i="13"/>
  <c r="N190" i="13"/>
  <c r="AH190" i="13" a="1"/>
  <c r="AH190" i="13" s="1"/>
  <c r="N178" i="13"/>
  <c r="N166" i="13"/>
  <c r="N154" i="13"/>
  <c r="AH154" i="13" a="1"/>
  <c r="AH154" i="13" s="1"/>
  <c r="N141" i="13"/>
  <c r="AH141" i="13" a="1"/>
  <c r="AH141" i="13" s="1"/>
  <c r="N129" i="13"/>
  <c r="N117" i="13"/>
  <c r="N105" i="13"/>
  <c r="AH105" i="13" a="1"/>
  <c r="AH105" i="13" s="1"/>
  <c r="N93" i="13"/>
  <c r="AH93" i="13" a="1"/>
  <c r="AH93" i="13" s="1"/>
  <c r="N81" i="13"/>
  <c r="N45" i="13"/>
  <c r="AH370" i="13" a="1"/>
  <c r="AH370" i="13" s="1"/>
  <c r="AH358" i="13" a="1"/>
  <c r="AH358" i="13" s="1"/>
  <c r="AH346" i="13" a="1"/>
  <c r="AH346" i="13" s="1"/>
  <c r="AH178" i="13" a="1"/>
  <c r="AH178" i="13" s="1"/>
  <c r="T219" i="13"/>
  <c r="T135" i="13"/>
  <c r="R103" i="13"/>
  <c r="P379" i="13"/>
  <c r="R379" i="13"/>
  <c r="R235" i="13"/>
  <c r="AP235" i="13" s="1"/>
  <c r="T235" i="13"/>
  <c r="T199" i="13"/>
  <c r="R199" i="13"/>
  <c r="T187" i="13"/>
  <c r="R187" i="13"/>
  <c r="T175" i="13"/>
  <c r="R175" i="13"/>
  <c r="T155" i="13"/>
  <c r="R155" i="13"/>
  <c r="R143" i="13"/>
  <c r="AP143" i="13" s="1"/>
  <c r="T143" i="13"/>
  <c r="R119" i="13"/>
  <c r="T119" i="13"/>
  <c r="R83" i="13"/>
  <c r="T71" i="13"/>
  <c r="R71" i="13"/>
  <c r="AP71" i="13" s="1"/>
  <c r="T47" i="13"/>
  <c r="R47" i="13"/>
  <c r="R23" i="13"/>
  <c r="T23" i="13"/>
  <c r="R11" i="13"/>
  <c r="T11" i="13"/>
  <c r="N427" i="13"/>
  <c r="N415" i="13"/>
  <c r="AH415" i="13" a="1"/>
  <c r="AH415" i="13" s="1"/>
  <c r="N403" i="13"/>
  <c r="AH403" i="13" a="1"/>
  <c r="AH403" i="13" s="1"/>
  <c r="N391" i="13"/>
  <c r="AH391" i="13" a="1"/>
  <c r="AH391" i="13" s="1"/>
  <c r="N362" i="13"/>
  <c r="N350" i="13"/>
  <c r="AH350" i="13" a="1"/>
  <c r="AH350" i="13" s="1"/>
  <c r="N338" i="13"/>
  <c r="N326" i="13"/>
  <c r="N314" i="13"/>
  <c r="N302" i="13"/>
  <c r="AH302" i="13" a="1"/>
  <c r="AH302" i="13" s="1"/>
  <c r="N290" i="13"/>
  <c r="N282" i="13"/>
  <c r="N270" i="13"/>
  <c r="AH270" i="13" a="1"/>
  <c r="AH270" i="13" s="1"/>
  <c r="N258" i="13"/>
  <c r="N246" i="13"/>
  <c r="N234" i="13"/>
  <c r="N218" i="13"/>
  <c r="N210" i="13"/>
  <c r="N206" i="13"/>
  <c r="AH206" i="13" a="1"/>
  <c r="AH206" i="13" s="1"/>
  <c r="N198" i="13"/>
  <c r="N186" i="13"/>
  <c r="N174" i="13"/>
  <c r="AH174" i="13" a="1"/>
  <c r="AH174" i="13" s="1"/>
  <c r="N162" i="13"/>
  <c r="N150" i="13"/>
  <c r="AH150" i="13" a="1"/>
  <c r="AH150" i="13" s="1"/>
  <c r="N137" i="13"/>
  <c r="AH137" i="13" a="1"/>
  <c r="AH137" i="13" s="1"/>
  <c r="N125" i="13"/>
  <c r="N113" i="13"/>
  <c r="N101" i="13"/>
  <c r="AH101" i="13" a="1"/>
  <c r="AH101" i="13" s="1"/>
  <c r="N89" i="13"/>
  <c r="AH89" i="13" a="1"/>
  <c r="AH89" i="13" s="1"/>
  <c r="N77" i="13"/>
  <c r="N69" i="13"/>
  <c r="N61" i="13"/>
  <c r="AH61" i="13" a="1"/>
  <c r="AH61" i="13" s="1"/>
  <c r="N57" i="13"/>
  <c r="AH57" i="13" a="1"/>
  <c r="AH57" i="13" s="1"/>
  <c r="N53" i="13"/>
  <c r="AH53" i="13" a="1"/>
  <c r="AH53" i="13" s="1"/>
  <c r="N49" i="13"/>
  <c r="AH49" i="13" a="1"/>
  <c r="AH49" i="13" s="1"/>
  <c r="N41" i="13"/>
  <c r="AH41" i="13" a="1"/>
  <c r="AH41" i="13" s="1"/>
  <c r="N37" i="13"/>
  <c r="AH37" i="13" a="1"/>
  <c r="AH37" i="13" s="1"/>
  <c r="N33" i="13"/>
  <c r="AH33" i="13" a="1"/>
  <c r="AH33" i="13" s="1"/>
  <c r="N25" i="13"/>
  <c r="AH25" i="13" a="1"/>
  <c r="AH25" i="13" s="1"/>
  <c r="N21" i="13"/>
  <c r="AH21" i="13" a="1"/>
  <c r="AH21" i="13" s="1"/>
  <c r="AH16" i="13" a="1"/>
  <c r="AH16" i="13" s="1"/>
  <c r="N16" i="13"/>
  <c r="AH12" i="13" a="1"/>
  <c r="AH12" i="13" s="1"/>
  <c r="N12" i="13"/>
  <c r="N8" i="13"/>
  <c r="AH8" i="13" a="1"/>
  <c r="AH8" i="13" s="1"/>
  <c r="N4" i="13"/>
  <c r="AH4" i="13" a="1"/>
  <c r="AH4" i="13" s="1"/>
  <c r="AH374" i="13" a="1"/>
  <c r="AH374" i="13" s="1"/>
  <c r="AH362" i="13" a="1"/>
  <c r="AH362" i="13" s="1"/>
  <c r="AH322" i="13" a="1"/>
  <c r="AH322" i="13" s="1"/>
  <c r="AH310" i="13" a="1"/>
  <c r="AH310" i="13" s="1"/>
  <c r="AH298" i="13" a="1"/>
  <c r="AH298" i="13" s="1"/>
  <c r="AH258" i="13" a="1"/>
  <c r="AH258" i="13" s="1"/>
  <c r="AH246" i="13" a="1"/>
  <c r="AH246" i="13" s="1"/>
  <c r="AH234" i="13" a="1"/>
  <c r="AH234" i="13" s="1"/>
  <c r="AH129" i="13" a="1"/>
  <c r="AH129" i="13" s="1"/>
  <c r="AH125" i="13" a="1"/>
  <c r="AH125" i="13" s="1"/>
  <c r="AH117" i="13" a="1"/>
  <c r="AH117" i="13" s="1"/>
  <c r="AH113" i="13" a="1"/>
  <c r="AH113" i="13" s="1"/>
  <c r="AH45" i="13" a="1"/>
  <c r="AH45" i="13" s="1"/>
  <c r="T227" i="13"/>
  <c r="R347" i="13"/>
  <c r="R263" i="13"/>
  <c r="R239" i="13"/>
  <c r="T239" i="13"/>
  <c r="R215" i="13"/>
  <c r="R139" i="13"/>
  <c r="AP139" i="13" s="1"/>
  <c r="T139" i="13"/>
  <c r="R131" i="13"/>
  <c r="AP131" i="13" s="1"/>
  <c r="T131" i="13"/>
  <c r="R79" i="13"/>
  <c r="T79" i="13"/>
  <c r="R67" i="13"/>
  <c r="T67" i="13"/>
  <c r="R55" i="13"/>
  <c r="T55" i="13"/>
  <c r="T43" i="13"/>
  <c r="R43" i="13"/>
  <c r="AP43" i="13" s="1"/>
  <c r="R31" i="13"/>
  <c r="T31" i="13"/>
  <c r="R7" i="13"/>
  <c r="N423" i="13"/>
  <c r="AH423" i="13" a="1"/>
  <c r="AH423" i="13" s="1"/>
  <c r="N411" i="13"/>
  <c r="AH411" i="13" a="1"/>
  <c r="AH411" i="13" s="1"/>
  <c r="N399" i="13"/>
  <c r="AH399" i="13" a="1"/>
  <c r="AH399" i="13" s="1"/>
  <c r="N387" i="13"/>
  <c r="AH387" i="13" a="1"/>
  <c r="AH387" i="13" s="1"/>
  <c r="N378" i="13"/>
  <c r="N366" i="13"/>
  <c r="AH366" i="13" a="1"/>
  <c r="AH366" i="13" s="1"/>
  <c r="N354" i="13"/>
  <c r="N330" i="13"/>
  <c r="N318" i="13"/>
  <c r="AH318" i="13" a="1"/>
  <c r="AH318" i="13" s="1"/>
  <c r="N306" i="13"/>
  <c r="N294" i="13"/>
  <c r="N266" i="13"/>
  <c r="N254" i="13"/>
  <c r="AH254" i="13" a="1"/>
  <c r="AH254" i="13" s="1"/>
  <c r="N242" i="13"/>
  <c r="N230" i="13"/>
  <c r="N222" i="13"/>
  <c r="AH222" i="13" a="1"/>
  <c r="AH222" i="13" s="1"/>
  <c r="N214" i="13"/>
  <c r="N194" i="13"/>
  <c r="N182" i="13"/>
  <c r="N170" i="13"/>
  <c r="AH170" i="13" a="1"/>
  <c r="AH170" i="13" s="1"/>
  <c r="N158" i="13"/>
  <c r="AH158" i="13" a="1"/>
  <c r="AH158" i="13" s="1"/>
  <c r="N146" i="13"/>
  <c r="AH146" i="13" a="1"/>
  <c r="AH146" i="13" s="1"/>
  <c r="N133" i="13"/>
  <c r="N121" i="13"/>
  <c r="N109" i="13"/>
  <c r="AH109" i="13" a="1"/>
  <c r="AH109" i="13" s="1"/>
  <c r="N97" i="13"/>
  <c r="AH97" i="13" a="1"/>
  <c r="AH97" i="13" s="1"/>
  <c r="N85" i="13"/>
  <c r="N73" i="13"/>
  <c r="N65" i="13"/>
  <c r="AH65" i="13" a="1"/>
  <c r="AH65" i="13" s="1"/>
  <c r="N29" i="13"/>
  <c r="AH29" i="13" a="1"/>
  <c r="AH29" i="13" s="1"/>
  <c r="AH427" i="13" a="1"/>
  <c r="AH427" i="13" s="1"/>
  <c r="AH378" i="13" a="1"/>
  <c r="AH378" i="13" s="1"/>
  <c r="AH338" i="13" a="1"/>
  <c r="AH338" i="13" s="1"/>
  <c r="AH326" i="13" a="1"/>
  <c r="AH326" i="13" s="1"/>
  <c r="AH314" i="13" a="1"/>
  <c r="AH314" i="13" s="1"/>
  <c r="AH274" i="13" a="1"/>
  <c r="AH274" i="13" s="1"/>
  <c r="AH262" i="13" a="1"/>
  <c r="AH262" i="13" s="1"/>
  <c r="AH250" i="13" a="1"/>
  <c r="AH250" i="13" s="1"/>
  <c r="AH210" i="13" a="1"/>
  <c r="AH210" i="13" s="1"/>
  <c r="AH198" i="13" a="1"/>
  <c r="AH198" i="13" s="1"/>
  <c r="AH186" i="13" a="1"/>
  <c r="AH186" i="13" s="1"/>
  <c r="AH162" i="13" a="1"/>
  <c r="AH162" i="13" s="1"/>
  <c r="AH85" i="13" a="1"/>
  <c r="AH85" i="13" s="1"/>
  <c r="AH81" i="13" a="1"/>
  <c r="AH81" i="13" s="1"/>
  <c r="AH77" i="13" a="1"/>
  <c r="AH77" i="13" s="1"/>
  <c r="AH73" i="13" a="1"/>
  <c r="AH73" i="13" s="1"/>
  <c r="AH69" i="13" a="1"/>
  <c r="AH69" i="13" s="1"/>
  <c r="R413" i="13"/>
  <c r="AP413" i="13" s="1"/>
  <c r="P413" i="13"/>
  <c r="R405" i="13"/>
  <c r="AP405" i="13" s="1"/>
  <c r="P405" i="13"/>
  <c r="R365" i="13"/>
  <c r="P365" i="13"/>
  <c r="T281" i="13"/>
  <c r="P281" i="13"/>
  <c r="P377" i="13"/>
  <c r="Q165" i="13"/>
  <c r="AM165" i="13"/>
  <c r="Q3" i="13"/>
  <c r="AM3" i="13"/>
  <c r="P355" i="13"/>
  <c r="R355" i="13"/>
  <c r="P339" i="13"/>
  <c r="R339" i="13"/>
  <c r="P323" i="13"/>
  <c r="R323" i="13"/>
  <c r="P319" i="13"/>
  <c r="R319" i="13"/>
  <c r="T319" i="13"/>
  <c r="P315" i="13"/>
  <c r="R315" i="13"/>
  <c r="P311" i="13"/>
  <c r="R311" i="13"/>
  <c r="P307" i="13"/>
  <c r="R307" i="13"/>
  <c r="P303" i="13"/>
  <c r="R303" i="13"/>
  <c r="P299" i="13"/>
  <c r="R299" i="13"/>
  <c r="P295" i="13"/>
  <c r="R295" i="13"/>
  <c r="P291" i="13"/>
  <c r="R291" i="13"/>
  <c r="P287" i="13"/>
  <c r="R287" i="13"/>
  <c r="P283" i="13"/>
  <c r="R283" i="13"/>
  <c r="AP283" i="13" s="1"/>
  <c r="P279" i="13"/>
  <c r="R279" i="13"/>
  <c r="P275" i="13"/>
  <c r="R275" i="13"/>
  <c r="AP275" i="13" s="1"/>
  <c r="P271" i="13"/>
  <c r="R271" i="13"/>
  <c r="T271" i="13"/>
  <c r="R267" i="13"/>
  <c r="T267" i="13"/>
  <c r="R259" i="13"/>
  <c r="T259" i="13"/>
  <c r="R255" i="13"/>
  <c r="T255" i="13"/>
  <c r="R247" i="13"/>
  <c r="T247" i="13"/>
  <c r="Q253" i="13"/>
  <c r="AM253" i="13"/>
  <c r="R421" i="13"/>
  <c r="P421" i="13"/>
  <c r="R397" i="13"/>
  <c r="AP397" i="13" s="1"/>
  <c r="P397" i="13"/>
  <c r="R385" i="13"/>
  <c r="T385" i="13"/>
  <c r="R373" i="13"/>
  <c r="P373" i="13"/>
  <c r="R349" i="13"/>
  <c r="P349" i="13"/>
  <c r="T325" i="13"/>
  <c r="P325" i="13"/>
  <c r="T353" i="13"/>
  <c r="Q328" i="13"/>
  <c r="P409" i="13"/>
  <c r="P345" i="13"/>
  <c r="R419" i="13"/>
  <c r="T419" i="13"/>
  <c r="P387" i="13"/>
  <c r="R387" i="13"/>
  <c r="P371" i="13"/>
  <c r="R371" i="13"/>
  <c r="AM409" i="13"/>
  <c r="T375" i="13"/>
  <c r="T295" i="13"/>
  <c r="T287" i="13"/>
  <c r="T21" i="13"/>
  <c r="T13" i="13"/>
  <c r="R331" i="13"/>
  <c r="R57" i="13"/>
  <c r="P401" i="13"/>
  <c r="Q173" i="13"/>
  <c r="AM173" i="13"/>
  <c r="R429" i="13"/>
  <c r="P429" i="13"/>
  <c r="R417" i="13"/>
  <c r="T417" i="13"/>
  <c r="T389" i="13"/>
  <c r="P389" i="13"/>
  <c r="R369" i="13"/>
  <c r="T369" i="13"/>
  <c r="R357" i="13"/>
  <c r="P357" i="13"/>
  <c r="T177" i="13"/>
  <c r="R177" i="13"/>
  <c r="AP177" i="13" s="1"/>
  <c r="R49" i="13"/>
  <c r="T49" i="13"/>
  <c r="T41" i="13"/>
  <c r="R41" i="13"/>
  <c r="R17" i="13"/>
  <c r="T17" i="13"/>
  <c r="R9" i="13"/>
  <c r="AP9" i="13" s="1"/>
  <c r="T9" i="13"/>
  <c r="T291" i="13"/>
  <c r="T283" i="13"/>
  <c r="R389" i="13"/>
  <c r="R363" i="13"/>
  <c r="R251" i="13"/>
  <c r="P417" i="13"/>
  <c r="P385" i="13"/>
  <c r="P353" i="13"/>
  <c r="T211" i="13"/>
  <c r="T203" i="13"/>
  <c r="T195" i="13"/>
  <c r="T179" i="13"/>
  <c r="T171" i="13"/>
  <c r="T163" i="13"/>
  <c r="T111" i="13"/>
  <c r="T95" i="13"/>
  <c r="T59" i="13"/>
  <c r="R151" i="13"/>
  <c r="R91" i="13"/>
  <c r="T191" i="13"/>
  <c r="T183" i="13"/>
  <c r="T167" i="13"/>
  <c r="T159" i="13"/>
  <c r="T115" i="13"/>
  <c r="T107" i="13"/>
  <c r="T99" i="13"/>
  <c r="T51" i="13"/>
  <c r="T35" i="13"/>
  <c r="T19" i="13"/>
  <c r="R423" i="13"/>
  <c r="R415" i="13"/>
  <c r="R407" i="13"/>
  <c r="AP407" i="13" s="1"/>
  <c r="R399" i="13"/>
  <c r="R391" i="13"/>
  <c r="R383" i="13"/>
  <c r="R375" i="13"/>
  <c r="R367" i="13"/>
  <c r="R359" i="13"/>
  <c r="R351" i="13"/>
  <c r="R343" i="13"/>
  <c r="R335" i="13"/>
  <c r="R327" i="13"/>
  <c r="P427" i="13"/>
  <c r="P419" i="13"/>
  <c r="P411" i="13"/>
  <c r="P403" i="13"/>
  <c r="P395" i="13"/>
  <c r="AP13" i="13"/>
  <c r="R340" i="13"/>
  <c r="T340" i="13"/>
  <c r="R328" i="13"/>
  <c r="T328" i="13"/>
  <c r="R276" i="13"/>
  <c r="T276" i="13"/>
  <c r="R264" i="13"/>
  <c r="T264" i="13"/>
  <c r="T236" i="13"/>
  <c r="R236" i="13"/>
  <c r="R232" i="13"/>
  <c r="T232" i="13"/>
  <c r="T228" i="13"/>
  <c r="R228" i="13"/>
  <c r="AP228" i="13" s="1"/>
  <c r="R200" i="13"/>
  <c r="T200" i="13"/>
  <c r="R180" i="13"/>
  <c r="T180" i="13"/>
  <c r="R168" i="13"/>
  <c r="AP168" i="13" s="1"/>
  <c r="T168" i="13"/>
  <c r="R136" i="13"/>
  <c r="T136" i="13"/>
  <c r="R132" i="13"/>
  <c r="R120" i="13"/>
  <c r="T120" i="13"/>
  <c r="R104" i="13"/>
  <c r="AP104" i="13" s="1"/>
  <c r="T104" i="13"/>
  <c r="R100" i="13"/>
  <c r="AP100" i="13" s="1"/>
  <c r="T100" i="13"/>
  <c r="R88" i="13"/>
  <c r="T88" i="13"/>
  <c r="R68" i="13"/>
  <c r="AP68" i="13" s="1"/>
  <c r="T68" i="13"/>
  <c r="T64" i="13"/>
  <c r="R64" i="13"/>
  <c r="T24" i="13"/>
  <c r="R24" i="13"/>
  <c r="T16" i="13"/>
  <c r="R16" i="13"/>
  <c r="AH380" i="13" a="1"/>
  <c r="AH380" i="13" s="1"/>
  <c r="AH376" i="13" a="1"/>
  <c r="AH376" i="13" s="1"/>
  <c r="AH372" i="13" a="1"/>
  <c r="AH372" i="13" s="1"/>
  <c r="AH368" i="13" a="1"/>
  <c r="AH368" i="13" s="1"/>
  <c r="AH364" i="13" a="1"/>
  <c r="AH364" i="13" s="1"/>
  <c r="AH360" i="13" a="1"/>
  <c r="AH360" i="13" s="1"/>
  <c r="AH356" i="13" a="1"/>
  <c r="AH356" i="13" s="1"/>
  <c r="AH352" i="13" a="1"/>
  <c r="AH352" i="13" s="1"/>
  <c r="AH348" i="13" a="1"/>
  <c r="AH348" i="13" s="1"/>
  <c r="AH344" i="13" a="1"/>
  <c r="AH344" i="13" s="1"/>
  <c r="AH340" i="13" a="1"/>
  <c r="AH340" i="13" s="1"/>
  <c r="AH336" i="13" a="1"/>
  <c r="AH336" i="13" s="1"/>
  <c r="AH332" i="13" a="1"/>
  <c r="AH332" i="13" s="1"/>
  <c r="AH328" i="13" a="1"/>
  <c r="AH328" i="13" s="1"/>
  <c r="AH324" i="13" a="1"/>
  <c r="AH324" i="13" s="1"/>
  <c r="AH320" i="13" a="1"/>
  <c r="AH320" i="13" s="1"/>
  <c r="AH316" i="13" a="1"/>
  <c r="AH316" i="13" s="1"/>
  <c r="AH312" i="13" a="1"/>
  <c r="AH312" i="13" s="1"/>
  <c r="AH308" i="13" a="1"/>
  <c r="AH308" i="13" s="1"/>
  <c r="AH304" i="13" a="1"/>
  <c r="AH304" i="13" s="1"/>
  <c r="AH300" i="13" a="1"/>
  <c r="AH300" i="13" s="1"/>
  <c r="AH296" i="13" a="1"/>
  <c r="AH296" i="13" s="1"/>
  <c r="AH292" i="13" a="1"/>
  <c r="AH292" i="13" s="1"/>
  <c r="AH288" i="13" a="1"/>
  <c r="AH288" i="13" s="1"/>
  <c r="AH284" i="13" a="1"/>
  <c r="AH284" i="13" s="1"/>
  <c r="AH280" i="13" a="1"/>
  <c r="AH280" i="13" s="1"/>
  <c r="AH276" i="13" a="1"/>
  <c r="AH276" i="13" s="1"/>
  <c r="AH272" i="13" a="1"/>
  <c r="AH272" i="13" s="1"/>
  <c r="AH268" i="13" a="1"/>
  <c r="AH268" i="13" s="1"/>
  <c r="AH264" i="13" a="1"/>
  <c r="AH264" i="13" s="1"/>
  <c r="AP353" i="13"/>
  <c r="AP36" i="13"/>
  <c r="T427" i="13"/>
  <c r="T423" i="13"/>
  <c r="T351" i="13"/>
  <c r="T335" i="13"/>
  <c r="AP166" i="13"/>
  <c r="AP395" i="13"/>
  <c r="AP258" i="13"/>
  <c r="AP220" i="13"/>
  <c r="AP86" i="13"/>
  <c r="AP230" i="13"/>
  <c r="AP266" i="13"/>
  <c r="AP126" i="13"/>
  <c r="AP122" i="13"/>
  <c r="AP110" i="13"/>
  <c r="AP80" i="13"/>
  <c r="AP76" i="13"/>
  <c r="AL315" i="13"/>
  <c r="J315" i="13"/>
  <c r="J111" i="13"/>
  <c r="AL111" i="13"/>
  <c r="AL59" i="13"/>
  <c r="J59" i="13"/>
  <c r="J11" i="13"/>
  <c r="AL11" i="13"/>
  <c r="K403" i="13"/>
  <c r="AP403" i="13" s="1"/>
  <c r="I403" i="13"/>
  <c r="T403" i="13"/>
  <c r="K391" i="13"/>
  <c r="I391" i="13"/>
  <c r="T367" i="13"/>
  <c r="I355" i="13"/>
  <c r="K355" i="13"/>
  <c r="T331" i="13"/>
  <c r="T323" i="13"/>
  <c r="I311" i="13"/>
  <c r="K311" i="13"/>
  <c r="T303" i="13"/>
  <c r="I303" i="13"/>
  <c r="K303" i="13"/>
  <c r="T391" i="13"/>
  <c r="K423" i="13"/>
  <c r="J155" i="13"/>
  <c r="AL155" i="13"/>
  <c r="J147" i="13"/>
  <c r="AL147" i="13"/>
  <c r="J131" i="13"/>
  <c r="AL131" i="13"/>
  <c r="J35" i="13"/>
  <c r="AL35" i="13"/>
  <c r="J23" i="13"/>
  <c r="AD23" i="13" s="1"/>
  <c r="AL23" i="13"/>
  <c r="I399" i="13"/>
  <c r="K399" i="13"/>
  <c r="I371" i="13"/>
  <c r="K371" i="13"/>
  <c r="T371" i="13"/>
  <c r="T359" i="13"/>
  <c r="I347" i="13"/>
  <c r="K347" i="13"/>
  <c r="T347" i="13"/>
  <c r="T339" i="13"/>
  <c r="I315" i="13"/>
  <c r="K315" i="13"/>
  <c r="T315" i="13"/>
  <c r="T307" i="13"/>
  <c r="I307" i="13"/>
  <c r="K307" i="13"/>
  <c r="I299" i="13"/>
  <c r="K299" i="13"/>
  <c r="T299" i="13"/>
  <c r="AL195" i="13"/>
  <c r="AL167" i="13"/>
  <c r="AL31" i="13"/>
  <c r="AL175" i="13"/>
  <c r="AL135" i="13"/>
  <c r="T407" i="13"/>
  <c r="T399" i="13"/>
  <c r="J395" i="13"/>
  <c r="J79" i="13"/>
  <c r="J295" i="13"/>
  <c r="AL295" i="13"/>
  <c r="J287" i="13"/>
  <c r="AL287" i="13"/>
  <c r="AL211" i="13"/>
  <c r="J211" i="13"/>
  <c r="I411" i="13"/>
  <c r="K411" i="13"/>
  <c r="AP411" i="13" s="1"/>
  <c r="T411" i="13"/>
  <c r="T395" i="13"/>
  <c r="I395" i="13"/>
  <c r="K387" i="13"/>
  <c r="T387" i="13"/>
  <c r="I387" i="13"/>
  <c r="I375" i="13"/>
  <c r="K375" i="13"/>
  <c r="I363" i="13"/>
  <c r="K363" i="13"/>
  <c r="T363" i="13"/>
  <c r="I351" i="13"/>
  <c r="K351" i="13"/>
  <c r="AL151" i="13"/>
  <c r="AL67" i="13"/>
  <c r="T355" i="13"/>
  <c r="T311" i="13"/>
  <c r="T275" i="13"/>
  <c r="J102" i="13"/>
  <c r="AL150" i="13"/>
  <c r="J150" i="13"/>
  <c r="AL54" i="13"/>
  <c r="J54" i="13"/>
  <c r="AL154" i="13"/>
  <c r="AL142" i="13"/>
  <c r="AL130" i="13"/>
  <c r="AL298" i="13"/>
  <c r="AL286" i="13"/>
  <c r="J182" i="13"/>
  <c r="J58" i="13"/>
  <c r="AL174" i="13"/>
  <c r="AL162" i="13"/>
  <c r="J8" i="13"/>
  <c r="AL192" i="13"/>
  <c r="AL188" i="13"/>
  <c r="AL164" i="13"/>
  <c r="AL152" i="13"/>
  <c r="AL140" i="13"/>
  <c r="AL128" i="13"/>
  <c r="AL124" i="13"/>
  <c r="AL112" i="13"/>
  <c r="AL108" i="13"/>
  <c r="AL104" i="13"/>
  <c r="AL100" i="13"/>
  <c r="AL48" i="13"/>
  <c r="AL36" i="13"/>
  <c r="AL24" i="13"/>
  <c r="AL4" i="13"/>
  <c r="I413" i="13"/>
  <c r="I409" i="13"/>
  <c r="I405" i="13"/>
  <c r="T341" i="13"/>
  <c r="R341" i="13"/>
  <c r="R337" i="13"/>
  <c r="T337" i="13"/>
  <c r="R333" i="13"/>
  <c r="T333" i="13"/>
  <c r="T329" i="13"/>
  <c r="R329" i="13"/>
  <c r="R321" i="13"/>
  <c r="R317" i="13"/>
  <c r="T313" i="13"/>
  <c r="R313" i="13"/>
  <c r="AP313" i="13" s="1"/>
  <c r="T309" i="13"/>
  <c r="R309" i="13"/>
  <c r="R305" i="13"/>
  <c r="AP305" i="13" s="1"/>
  <c r="T305" i="13"/>
  <c r="R301" i="13"/>
  <c r="T301" i="13"/>
  <c r="T297" i="13"/>
  <c r="R297" i="13"/>
  <c r="T293" i="13"/>
  <c r="R293" i="13"/>
  <c r="R289" i="13"/>
  <c r="T289" i="13"/>
  <c r="R285" i="13"/>
  <c r="T285" i="13"/>
  <c r="T277" i="13"/>
  <c r="R277" i="13"/>
  <c r="R273" i="13"/>
  <c r="T273" i="13"/>
  <c r="R269" i="13"/>
  <c r="T269" i="13"/>
  <c r="R261" i="13"/>
  <c r="AP261" i="13" s="1"/>
  <c r="T261" i="13"/>
  <c r="R253" i="13"/>
  <c r="T253" i="13"/>
  <c r="R249" i="13"/>
  <c r="T249" i="13"/>
  <c r="T245" i="13"/>
  <c r="R245" i="13"/>
  <c r="T241" i="13"/>
  <c r="R241" i="13"/>
  <c r="R237" i="13"/>
  <c r="T237" i="13"/>
  <c r="T233" i="13"/>
  <c r="R233" i="13"/>
  <c r="T229" i="13"/>
  <c r="R229" i="13"/>
  <c r="AP229" i="13" s="1"/>
  <c r="R225" i="13"/>
  <c r="R221" i="13"/>
  <c r="T221" i="13"/>
  <c r="R217" i="13"/>
  <c r="AP217" i="13" s="1"/>
  <c r="T217" i="13"/>
  <c r="R205" i="13"/>
  <c r="T205" i="13"/>
  <c r="R201" i="13"/>
  <c r="T201" i="13"/>
  <c r="T197" i="13"/>
  <c r="R197" i="13"/>
  <c r="AP197" i="13" s="1"/>
  <c r="R193" i="13"/>
  <c r="T193" i="13"/>
  <c r="T189" i="13"/>
  <c r="R189" i="13"/>
  <c r="R185" i="13"/>
  <c r="AP185" i="13" s="1"/>
  <c r="T185" i="13"/>
  <c r="R181" i="13"/>
  <c r="T181" i="13"/>
  <c r="T173" i="13"/>
  <c r="R173" i="13"/>
  <c r="R169" i="13"/>
  <c r="T169" i="13"/>
  <c r="T165" i="13"/>
  <c r="R165" i="13"/>
  <c r="AP165" i="13" s="1"/>
  <c r="R161" i="13"/>
  <c r="T161" i="13"/>
  <c r="R157" i="13"/>
  <c r="T157" i="13"/>
  <c r="R153" i="13"/>
  <c r="T153" i="13"/>
  <c r="R149" i="13"/>
  <c r="T149" i="13"/>
  <c r="R145" i="13"/>
  <c r="T145" i="13"/>
  <c r="T141" i="13"/>
  <c r="R141" i="13"/>
  <c r="R137" i="13"/>
  <c r="AP137" i="13" s="1"/>
  <c r="T137" i="13"/>
  <c r="R133" i="13"/>
  <c r="AP133" i="13" s="1"/>
  <c r="T133" i="13"/>
  <c r="R129" i="13"/>
  <c r="T129" i="13"/>
  <c r="R125" i="13"/>
  <c r="T125" i="13"/>
  <c r="T121" i="13"/>
  <c r="R121" i="13"/>
  <c r="R113" i="13"/>
  <c r="T113" i="13"/>
  <c r="T109" i="13"/>
  <c r="R109" i="13"/>
  <c r="R105" i="13"/>
  <c r="T105" i="13"/>
  <c r="R97" i="13"/>
  <c r="T97" i="13"/>
  <c r="R89" i="13"/>
  <c r="AP89" i="13" s="1"/>
  <c r="T89" i="13"/>
  <c r="R81" i="13"/>
  <c r="T81" i="13"/>
  <c r="T77" i="13"/>
  <c r="R77" i="13"/>
  <c r="R73" i="13"/>
  <c r="R69" i="13"/>
  <c r="AP69" i="13" s="1"/>
  <c r="T69" i="13"/>
  <c r="R65" i="13"/>
  <c r="T421" i="13"/>
  <c r="T405" i="13"/>
  <c r="T373" i="13"/>
  <c r="T357" i="13"/>
  <c r="R281" i="13"/>
  <c r="R265" i="13"/>
  <c r="R213" i="13"/>
  <c r="R101" i="13"/>
  <c r="R85" i="13"/>
  <c r="R428" i="13"/>
  <c r="T428" i="13"/>
  <c r="R424" i="13"/>
  <c r="T424" i="13"/>
  <c r="T420" i="13"/>
  <c r="R416" i="13"/>
  <c r="T416" i="13"/>
  <c r="R412" i="13"/>
  <c r="T412" i="13"/>
  <c r="R408" i="13"/>
  <c r="T408" i="13"/>
  <c r="R404" i="13"/>
  <c r="AP404" i="13" s="1"/>
  <c r="T404" i="13"/>
  <c r="R400" i="13"/>
  <c r="T400" i="13"/>
  <c r="R396" i="13"/>
  <c r="T396" i="13"/>
  <c r="R392" i="13"/>
  <c r="AP392" i="13" s="1"/>
  <c r="T392" i="13"/>
  <c r="R388" i="13"/>
  <c r="T388" i="13"/>
  <c r="R384" i="13"/>
  <c r="T384" i="13"/>
  <c r="R380" i="13"/>
  <c r="R376" i="13"/>
  <c r="T376" i="13"/>
  <c r="R372" i="13"/>
  <c r="T372" i="13"/>
  <c r="R368" i="13"/>
  <c r="T368" i="13"/>
  <c r="R364" i="13"/>
  <c r="AP364" i="13" s="1"/>
  <c r="T364" i="13"/>
  <c r="R360" i="13"/>
  <c r="T360" i="13"/>
  <c r="R356" i="13"/>
  <c r="T356" i="13"/>
  <c r="R352" i="13"/>
  <c r="T352" i="13"/>
  <c r="R348" i="13"/>
  <c r="T348" i="13"/>
  <c r="R344" i="13"/>
  <c r="AP344" i="13" s="1"/>
  <c r="T344" i="13"/>
  <c r="R336" i="13"/>
  <c r="T336" i="13"/>
  <c r="R332" i="13"/>
  <c r="T332" i="13"/>
  <c r="R324" i="13"/>
  <c r="T324" i="13"/>
  <c r="R320" i="13"/>
  <c r="T320" i="13"/>
  <c r="R316" i="13"/>
  <c r="AP316" i="13" s="1"/>
  <c r="T316" i="13"/>
  <c r="R312" i="13"/>
  <c r="T312" i="13"/>
  <c r="R304" i="13"/>
  <c r="T304" i="13"/>
  <c r="R300" i="13"/>
  <c r="T300" i="13"/>
  <c r="R292" i="13"/>
  <c r="T292" i="13"/>
  <c r="R288" i="13"/>
  <c r="T288" i="13"/>
  <c r="T425" i="13"/>
  <c r="T409" i="13"/>
  <c r="T393" i="13"/>
  <c r="T361" i="13"/>
  <c r="T345" i="13"/>
  <c r="R325" i="13"/>
  <c r="R209" i="13"/>
  <c r="R117" i="13"/>
  <c r="R93" i="13"/>
  <c r="T429" i="13"/>
  <c r="T413" i="13"/>
  <c r="T397" i="13"/>
  <c r="T381" i="13"/>
  <c r="T365" i="13"/>
  <c r="T349" i="13"/>
  <c r="R257" i="13"/>
  <c r="R284" i="13"/>
  <c r="T284" i="13"/>
  <c r="R272" i="13"/>
  <c r="AP272" i="13" s="1"/>
  <c r="T272" i="13"/>
  <c r="R268" i="13"/>
  <c r="AP268" i="13" s="1"/>
  <c r="T268" i="13"/>
  <c r="R256" i="13"/>
  <c r="T256" i="13"/>
  <c r="R252" i="13"/>
  <c r="T252" i="13"/>
  <c r="R240" i="13"/>
  <c r="T240" i="13"/>
  <c r="R224" i="13"/>
  <c r="T224" i="13"/>
  <c r="R208" i="13"/>
  <c r="T208" i="13"/>
  <c r="R204" i="13"/>
  <c r="T204" i="13"/>
  <c r="R192" i="13"/>
  <c r="T192" i="13"/>
  <c r="R188" i="13"/>
  <c r="T188" i="13"/>
  <c r="R176" i="13"/>
  <c r="T176" i="13"/>
  <c r="R172" i="13"/>
  <c r="T172" i="13"/>
  <c r="R160" i="13"/>
  <c r="T160" i="13"/>
  <c r="R156" i="13"/>
  <c r="AP156" i="13" s="1"/>
  <c r="T156" i="13"/>
  <c r="R140" i="13"/>
  <c r="AP140" i="13" s="1"/>
  <c r="T140" i="13"/>
  <c r="R124" i="13"/>
  <c r="T124" i="13"/>
  <c r="R112" i="13"/>
  <c r="T112" i="13"/>
  <c r="R108" i="13"/>
  <c r="T108" i="13"/>
  <c r="T280" i="13"/>
  <c r="T248" i="13"/>
  <c r="T184" i="13"/>
  <c r="T152" i="13"/>
  <c r="R128" i="13"/>
  <c r="T260" i="13"/>
  <c r="T196" i="13"/>
  <c r="T164" i="13"/>
  <c r="T92" i="13"/>
  <c r="T76" i="13"/>
  <c r="T80" i="13"/>
  <c r="T60" i="13"/>
  <c r="T56" i="13"/>
  <c r="T52" i="13"/>
  <c r="T48" i="13"/>
  <c r="T44" i="13"/>
  <c r="T40" i="13"/>
  <c r="T36" i="13"/>
  <c r="T32" i="13"/>
  <c r="T28" i="13"/>
  <c r="T20" i="13"/>
  <c r="T12" i="13"/>
  <c r="T8" i="13"/>
  <c r="Q235" i="13" l="1"/>
  <c r="AM151" i="13"/>
  <c r="AM263" i="13"/>
  <c r="Q188" i="13"/>
  <c r="AD188" i="13" s="1"/>
  <c r="Q289" i="13"/>
  <c r="AD289" i="13" s="1"/>
  <c r="Q40" i="13"/>
  <c r="AD40" i="13" s="1"/>
  <c r="Q189" i="13"/>
  <c r="AM296" i="13"/>
  <c r="Q5" i="13"/>
  <c r="Q17" i="13"/>
  <c r="AD17" i="13" s="1"/>
  <c r="Q78" i="13"/>
  <c r="Q339" i="13"/>
  <c r="AM98" i="13"/>
  <c r="AM244" i="13"/>
  <c r="AM361" i="13"/>
  <c r="Q291" i="13"/>
  <c r="AD291" i="13" s="1"/>
  <c r="AM215" i="13"/>
  <c r="Q39" i="13"/>
  <c r="AD39" i="13" s="1"/>
  <c r="AM54" i="13"/>
  <c r="AM377" i="13"/>
  <c r="AM402" i="13"/>
  <c r="AM321" i="13"/>
  <c r="AD296" i="13"/>
  <c r="AD98" i="13"/>
  <c r="AM23" i="13"/>
  <c r="AM217" i="13"/>
  <c r="AM347" i="13"/>
  <c r="Q251" i="13"/>
  <c r="AM369" i="13"/>
  <c r="AM191" i="13"/>
  <c r="AM389" i="13"/>
  <c r="Q22" i="13"/>
  <c r="AM6" i="13"/>
  <c r="Q179" i="13"/>
  <c r="AD179" i="13" s="1"/>
  <c r="AM114" i="13"/>
  <c r="AM360" i="13"/>
  <c r="AM205" i="13"/>
  <c r="Q315" i="13"/>
  <c r="AD315" i="13" s="1"/>
  <c r="AM408" i="13"/>
  <c r="AM400" i="13"/>
  <c r="AM123" i="13"/>
  <c r="AM337" i="13"/>
  <c r="Q303" i="13"/>
  <c r="AD303" i="13" s="1"/>
  <c r="AM130" i="13"/>
  <c r="AM58" i="13"/>
  <c r="AM155" i="13"/>
  <c r="AM287" i="13"/>
  <c r="AM171" i="13"/>
  <c r="Q163" i="13"/>
  <c r="AM239" i="13"/>
  <c r="Q231" i="13"/>
  <c r="AM34" i="13"/>
  <c r="AM135" i="13"/>
  <c r="AM138" i="13"/>
  <c r="AM153" i="13"/>
  <c r="AM42" i="13"/>
  <c r="AM316" i="13"/>
  <c r="AM295" i="13"/>
  <c r="AM284" i="13"/>
  <c r="AD287" i="13"/>
  <c r="AD155" i="13"/>
  <c r="AD58" i="13"/>
  <c r="AD284" i="13"/>
  <c r="AD295" i="13"/>
  <c r="AD409" i="13"/>
  <c r="AM108" i="13"/>
  <c r="AM249" i="13"/>
  <c r="AM416" i="13"/>
  <c r="AM305" i="13"/>
  <c r="Q396" i="13"/>
  <c r="AD396" i="13" s="1"/>
  <c r="AD239" i="13"/>
  <c r="AM60" i="13"/>
  <c r="AM70" i="13"/>
  <c r="AM90" i="13"/>
  <c r="Q267" i="13"/>
  <c r="AM43" i="13"/>
  <c r="AM100" i="13"/>
  <c r="AM152" i="13"/>
  <c r="AM237" i="13"/>
  <c r="AM11" i="13"/>
  <c r="AM372" i="13"/>
  <c r="Q75" i="13"/>
  <c r="AM424" i="13"/>
  <c r="AD305" i="13"/>
  <c r="AM348" i="13"/>
  <c r="AD249" i="13"/>
  <c r="J95" i="13"/>
  <c r="J138" i="13"/>
  <c r="AD138" i="13" s="1"/>
  <c r="Q56" i="13"/>
  <c r="J413" i="13"/>
  <c r="AD413" i="13" s="1"/>
  <c r="R139" i="16"/>
  <c r="J256" i="13"/>
  <c r="AD256" i="13" s="1"/>
  <c r="J268" i="13"/>
  <c r="J34" i="13"/>
  <c r="AD34" i="13" s="1"/>
  <c r="J5" i="13"/>
  <c r="AD408" i="13"/>
  <c r="AD402" i="13"/>
  <c r="AD329" i="13"/>
  <c r="Q212" i="13"/>
  <c r="AM212" i="13"/>
  <c r="J74" i="13"/>
  <c r="AD74" i="13" s="1"/>
  <c r="AA204" i="13"/>
  <c r="AP65" i="13"/>
  <c r="E91" i="13"/>
  <c r="AL29" i="13"/>
  <c r="AM199" i="13"/>
  <c r="E421" i="13"/>
  <c r="AL16" i="13"/>
  <c r="AL129" i="13"/>
  <c r="AL109" i="13"/>
  <c r="AL345" i="13"/>
  <c r="AA71" i="13"/>
  <c r="AL161" i="13"/>
  <c r="AL86" i="13"/>
  <c r="AA55" i="13"/>
  <c r="AL311" i="13"/>
  <c r="J404" i="13"/>
  <c r="AL303" i="13"/>
  <c r="AA199" i="13"/>
  <c r="AL409" i="13"/>
  <c r="AL259" i="13"/>
  <c r="AL239" i="13"/>
  <c r="AL221" i="13"/>
  <c r="AA307" i="13"/>
  <c r="J118" i="13"/>
  <c r="AD118" i="13" s="1"/>
  <c r="AL179" i="13"/>
  <c r="AA9" i="13"/>
  <c r="J146" i="13"/>
  <c r="AA414" i="13"/>
  <c r="AL46" i="13"/>
  <c r="AD82" i="13"/>
  <c r="AA259" i="13"/>
  <c r="J255" i="13"/>
  <c r="AD255" i="13" s="1"/>
  <c r="AA4" i="13"/>
  <c r="AP21" i="13"/>
  <c r="AL201" i="13"/>
  <c r="AA176" i="13"/>
  <c r="AA245" i="13"/>
  <c r="J294" i="13"/>
  <c r="AL329" i="13"/>
  <c r="AA211" i="13"/>
  <c r="AL126" i="13"/>
  <c r="AA413" i="13"/>
  <c r="J230" i="13"/>
  <c r="AL289" i="13"/>
  <c r="AL235" i="13"/>
  <c r="AL165" i="13"/>
  <c r="AL71" i="13"/>
  <c r="AA255" i="13"/>
  <c r="J307" i="13"/>
  <c r="AL80" i="13"/>
  <c r="AL276" i="13"/>
  <c r="AL141" i="13"/>
  <c r="AD46" i="13"/>
  <c r="AP4" i="13"/>
  <c r="AD165" i="13"/>
  <c r="AD276" i="13"/>
  <c r="AD119" i="13"/>
  <c r="AL388" i="13"/>
  <c r="AL268" i="13"/>
  <c r="AL106" i="13"/>
  <c r="AL119" i="13"/>
  <c r="AA110" i="13"/>
  <c r="AD80" i="13"/>
  <c r="AL110" i="13"/>
  <c r="AD184" i="13"/>
  <c r="AD106" i="13"/>
  <c r="AL40" i="13"/>
  <c r="AL184" i="13"/>
  <c r="AL272" i="13"/>
  <c r="AL399" i="13"/>
  <c r="AD272" i="13"/>
  <c r="AL105" i="13"/>
  <c r="AD388" i="13"/>
  <c r="AP17" i="13"/>
  <c r="AD110" i="13"/>
  <c r="AL285" i="13"/>
  <c r="J207" i="13"/>
  <c r="AD207" i="13" s="1"/>
  <c r="AD285" i="13"/>
  <c r="AL101" i="13"/>
  <c r="AL61" i="13"/>
  <c r="AA36" i="13"/>
  <c r="AL82" i="13"/>
  <c r="E136" i="13"/>
  <c r="AL98" i="13"/>
  <c r="AM118" i="13"/>
  <c r="AA6" i="13"/>
  <c r="AM375" i="13"/>
  <c r="Q147" i="13"/>
  <c r="AD147" i="13" s="1"/>
  <c r="Q195" i="13"/>
  <c r="AD195" i="13" s="1"/>
  <c r="Q428" i="13"/>
  <c r="AM86" i="13"/>
  <c r="AM82" i="13"/>
  <c r="Q13" i="13"/>
  <c r="AD13" i="13" s="1"/>
  <c r="AM277" i="13"/>
  <c r="Q351" i="13"/>
  <c r="Q323" i="13"/>
  <c r="AM280" i="13"/>
  <c r="AM94" i="13"/>
  <c r="Q299" i="13"/>
  <c r="AD299" i="13" s="1"/>
  <c r="AA39" i="13"/>
  <c r="Q126" i="13"/>
  <c r="AD126" i="13" s="1"/>
  <c r="AM62" i="13"/>
  <c r="AM392" i="13"/>
  <c r="AA138" i="13"/>
  <c r="AM30" i="13"/>
  <c r="AM368" i="13"/>
  <c r="AM38" i="13"/>
  <c r="AM255" i="13"/>
  <c r="AM311" i="13"/>
  <c r="AM304" i="13"/>
  <c r="AM50" i="13"/>
  <c r="Q259" i="13"/>
  <c r="AM132" i="13"/>
  <c r="AM26" i="13"/>
  <c r="AA298" i="13"/>
  <c r="AM327" i="13"/>
  <c r="AM159" i="13"/>
  <c r="Q9" i="13"/>
  <c r="AD9" i="13" s="1"/>
  <c r="AM143" i="13"/>
  <c r="AM355" i="13"/>
  <c r="Q379" i="13"/>
  <c r="Q283" i="13"/>
  <c r="AD283" i="13" s="1"/>
  <c r="AD199" i="13"/>
  <c r="AM46" i="13"/>
  <c r="Q363" i="13"/>
  <c r="AM219" i="13"/>
  <c r="Q307" i="13"/>
  <c r="AM223" i="13"/>
  <c r="AM247" i="13"/>
  <c r="AM66" i="13"/>
  <c r="AM384" i="13"/>
  <c r="AM279" i="13"/>
  <c r="AM343" i="13"/>
  <c r="AD50" i="13"/>
  <c r="AD311" i="13"/>
  <c r="AD304" i="13"/>
  <c r="AA106" i="13"/>
  <c r="AP34" i="13"/>
  <c r="AA22" i="13"/>
  <c r="AL424" i="13"/>
  <c r="AA299" i="13"/>
  <c r="AA23" i="13"/>
  <c r="AA155" i="13"/>
  <c r="AA147" i="13"/>
  <c r="AA175" i="13"/>
  <c r="AA86" i="13"/>
  <c r="AA38" i="13"/>
  <c r="AA114" i="13"/>
  <c r="AA115" i="13"/>
  <c r="AL232" i="13"/>
  <c r="AA17" i="13"/>
  <c r="AA235" i="13"/>
  <c r="AA151" i="13"/>
  <c r="AP111" i="13"/>
  <c r="AP107" i="13"/>
  <c r="AL414" i="13"/>
  <c r="AA42" i="13"/>
  <c r="AA126" i="13"/>
  <c r="AA179" i="13"/>
  <c r="AA239" i="13"/>
  <c r="AA315" i="13"/>
  <c r="AA5" i="13"/>
  <c r="AP94" i="13"/>
  <c r="Q319" i="13"/>
  <c r="AM335" i="13"/>
  <c r="Q275" i="13"/>
  <c r="AD275" i="13" s="1"/>
  <c r="AA220" i="13"/>
  <c r="AM413" i="13"/>
  <c r="Q359" i="13"/>
  <c r="J390" i="13"/>
  <c r="J219" i="13"/>
  <c r="AD219" i="13" s="1"/>
  <c r="AM261" i="13"/>
  <c r="Q201" i="13"/>
  <c r="AD201" i="13" s="1"/>
  <c r="AA311" i="13"/>
  <c r="AM412" i="13"/>
  <c r="AM187" i="13"/>
  <c r="AA118" i="13"/>
  <c r="Q243" i="13"/>
  <c r="AA207" i="13"/>
  <c r="AD293" i="13"/>
  <c r="AL176" i="13"/>
  <c r="AM84" i="13"/>
  <c r="AA287" i="13"/>
  <c r="AM285" i="13"/>
  <c r="AM293" i="13"/>
  <c r="AM110" i="13"/>
  <c r="AA291" i="13"/>
  <c r="AM122" i="13"/>
  <c r="AM376" i="13"/>
  <c r="AA219" i="13"/>
  <c r="AM83" i="13"/>
  <c r="AA82" i="13"/>
  <c r="AM102" i="13"/>
  <c r="AM183" i="13"/>
  <c r="AD122" i="13"/>
  <c r="AD223" i="13"/>
  <c r="AM106" i="13"/>
  <c r="AD181" i="13"/>
  <c r="AA168" i="13"/>
  <c r="AL181" i="13"/>
  <c r="AP193" i="13"/>
  <c r="AM203" i="13"/>
  <c r="Q167" i="13"/>
  <c r="AD167" i="13" s="1"/>
  <c r="AP161" i="13"/>
  <c r="AP72" i="13"/>
  <c r="AD397" i="13"/>
  <c r="AA72" i="13"/>
  <c r="AL397" i="13"/>
  <c r="AA195" i="13"/>
  <c r="AA25" i="13"/>
  <c r="AA223" i="13"/>
  <c r="AA46" i="13"/>
  <c r="AD376" i="13"/>
  <c r="AP5" i="13"/>
  <c r="AP169" i="13"/>
  <c r="AD176" i="13"/>
  <c r="AA275" i="13"/>
  <c r="AA303" i="13"/>
  <c r="AA31" i="13"/>
  <c r="AA98" i="13"/>
  <c r="AA236" i="13"/>
  <c r="AA171" i="13"/>
  <c r="AA295" i="13"/>
  <c r="J316" i="13"/>
  <c r="AD316" i="13" s="1"/>
  <c r="J282" i="13"/>
  <c r="AA122" i="13"/>
  <c r="AP160" i="13"/>
  <c r="AP192" i="13"/>
  <c r="AD102" i="13"/>
  <c r="AP103" i="13"/>
  <c r="AP149" i="13"/>
  <c r="AP206" i="13"/>
  <c r="AP234" i="13"/>
  <c r="AD414" i="13"/>
  <c r="AM229" i="13"/>
  <c r="AM278" i="13"/>
  <c r="Q175" i="13"/>
  <c r="AD175" i="13" s="1"/>
  <c r="AA107" i="13"/>
  <c r="AA102" i="13"/>
  <c r="AL330" i="13"/>
  <c r="AP224" i="13"/>
  <c r="AL260" i="13"/>
  <c r="AP115" i="13"/>
  <c r="AL33" i="13"/>
  <c r="AL304" i="13"/>
  <c r="AP85" i="13"/>
  <c r="AL376" i="13"/>
  <c r="J290" i="13"/>
  <c r="AL218" i="13"/>
  <c r="Q87" i="13"/>
  <c r="J410" i="13"/>
  <c r="AL185" i="13"/>
  <c r="AP119" i="13"/>
  <c r="AP59" i="13"/>
  <c r="AD260" i="13"/>
  <c r="AP271" i="13"/>
  <c r="AP31" i="13"/>
  <c r="AP47" i="13"/>
  <c r="AP154" i="13"/>
  <c r="AP64" i="13"/>
  <c r="AL180" i="13"/>
  <c r="J171" i="13"/>
  <c r="AD171" i="13" s="1"/>
  <c r="AL299" i="13"/>
  <c r="J103" i="13"/>
  <c r="AD103" i="13" s="1"/>
  <c r="Q48" i="13"/>
  <c r="AD48" i="13" s="1"/>
  <c r="AM67" i="13"/>
  <c r="AM55" i="13"/>
  <c r="AA212" i="13"/>
  <c r="J308" i="13"/>
  <c r="AA277" i="13"/>
  <c r="AL406" i="13"/>
  <c r="Q227" i="13"/>
  <c r="AA181" i="13"/>
  <c r="AL296" i="13"/>
  <c r="AL249" i="13"/>
  <c r="AP238" i="13"/>
  <c r="AP35" i="13"/>
  <c r="AD180" i="13"/>
  <c r="AD312" i="13"/>
  <c r="AD265" i="13"/>
  <c r="AL401" i="13"/>
  <c r="AL273" i="13"/>
  <c r="AA424" i="13"/>
  <c r="AA428" i="13"/>
  <c r="AP77" i="13"/>
  <c r="AP173" i="13"/>
  <c r="AL312" i="13"/>
  <c r="J166" i="13"/>
  <c r="AL223" i="13"/>
  <c r="AL241" i="13"/>
  <c r="AL265" i="13"/>
  <c r="AP153" i="13"/>
  <c r="AP181" i="13"/>
  <c r="AP99" i="13"/>
  <c r="AA265" i="13"/>
  <c r="AL313" i="13"/>
  <c r="J148" i="13"/>
  <c r="AD148" i="13" s="1"/>
  <c r="AL396" i="13"/>
  <c r="J236" i="13"/>
  <c r="AD236" i="13" s="1"/>
  <c r="AA143" i="13"/>
  <c r="AL208" i="13"/>
  <c r="AD208" i="13"/>
  <c r="AP19" i="13"/>
  <c r="AA163" i="13"/>
  <c r="AL92" i="13"/>
  <c r="AP205" i="13"/>
  <c r="AP300" i="13"/>
  <c r="AA420" i="13"/>
  <c r="AP141" i="13"/>
  <c r="AL64" i="13"/>
  <c r="AL274" i="13"/>
  <c r="J163" i="13"/>
  <c r="AP106" i="13"/>
  <c r="AD92" i="13"/>
  <c r="J12" i="13"/>
  <c r="AP245" i="13"/>
  <c r="AL107" i="13"/>
  <c r="AP50" i="13"/>
  <c r="AL309" i="13"/>
  <c r="J42" i="13"/>
  <c r="AD42" i="13" s="1"/>
  <c r="AA45" i="13"/>
  <c r="AP146" i="13"/>
  <c r="AP174" i="13"/>
  <c r="AP46" i="13"/>
  <c r="AL156" i="13"/>
  <c r="AL228" i="13"/>
  <c r="AL411" i="13"/>
  <c r="AP180" i="13"/>
  <c r="AP203" i="13"/>
  <c r="J99" i="13"/>
  <c r="AD99" i="13" s="1"/>
  <c r="AL20" i="13"/>
  <c r="AL139" i="13"/>
  <c r="AP128" i="13"/>
  <c r="AP201" i="13"/>
  <c r="AP223" i="13"/>
  <c r="AP108" i="13"/>
  <c r="AL122" i="13"/>
  <c r="AD156" i="13"/>
  <c r="AD228" i="13"/>
  <c r="AL37" i="13"/>
  <c r="AP285" i="13"/>
  <c r="AP247" i="13"/>
  <c r="AD313" i="13"/>
  <c r="AP213" i="13"/>
  <c r="AL391" i="13"/>
  <c r="AL143" i="13"/>
  <c r="AL199" i="13"/>
  <c r="J134" i="13"/>
  <c r="AL233" i="13"/>
  <c r="AP24" i="13"/>
  <c r="AA167" i="13"/>
  <c r="AP207" i="13"/>
  <c r="AP219" i="13"/>
  <c r="AD300" i="13"/>
  <c r="AD173" i="13"/>
  <c r="AP23" i="13"/>
  <c r="AL213" i="13"/>
  <c r="AP209" i="13"/>
  <c r="AA388" i="13"/>
  <c r="AB388" i="13" s="1"/>
  <c r="AA404" i="13"/>
  <c r="AB404" i="13" s="1"/>
  <c r="AP188" i="13"/>
  <c r="AP130" i="13"/>
  <c r="AP190" i="13"/>
  <c r="AD320" i="13"/>
  <c r="AD261" i="13"/>
  <c r="AL173" i="13"/>
  <c r="AP176" i="13"/>
  <c r="AP237" i="13"/>
  <c r="AP253" i="13"/>
  <c r="AL116" i="13"/>
  <c r="AL320" i="13"/>
  <c r="AL186" i="13"/>
  <c r="J278" i="13"/>
  <c r="AD278" i="13" s="1"/>
  <c r="AD116" i="13"/>
  <c r="AP124" i="13"/>
  <c r="AP233" i="13"/>
  <c r="AL300" i="13"/>
  <c r="AD213" i="13"/>
  <c r="AA213" i="13"/>
  <c r="AL261" i="13"/>
  <c r="AL177" i="13"/>
  <c r="AM136" i="13"/>
  <c r="Q404" i="13"/>
  <c r="AP315" i="13"/>
  <c r="AM324" i="13"/>
  <c r="AP307" i="13"/>
  <c r="AM172" i="13"/>
  <c r="Q264" i="13"/>
  <c r="AD264" i="13" s="1"/>
  <c r="AM24" i="13"/>
  <c r="AM220" i="13"/>
  <c r="Q269" i="13"/>
  <c r="AM7" i="13"/>
  <c r="AM422" i="13"/>
  <c r="AM265" i="13"/>
  <c r="AM120" i="13"/>
  <c r="AM176" i="13"/>
  <c r="AM365" i="13"/>
  <c r="AM15" i="13"/>
  <c r="AM276" i="13"/>
  <c r="AM79" i="13"/>
  <c r="AM340" i="13"/>
  <c r="AA92" i="13"/>
  <c r="AD111" i="13"/>
  <c r="AM156" i="13"/>
  <c r="AM204" i="13"/>
  <c r="AM197" i="13"/>
  <c r="AM47" i="13"/>
  <c r="AM344" i="13"/>
  <c r="Q51" i="13"/>
  <c r="AM68" i="13"/>
  <c r="AM103" i="13"/>
  <c r="AM371" i="13"/>
  <c r="Q331" i="13"/>
  <c r="AA134" i="13"/>
  <c r="AM356" i="13"/>
  <c r="AM131" i="13"/>
  <c r="AD131" i="13"/>
  <c r="AM224" i="13"/>
  <c r="AM317" i="13"/>
  <c r="AD71" i="13"/>
  <c r="AA308" i="13"/>
  <c r="AA283" i="13"/>
  <c r="AM388" i="13"/>
  <c r="AA252" i="13"/>
  <c r="AM260" i="13"/>
  <c r="Q124" i="13"/>
  <c r="AD124" i="13" s="1"/>
  <c r="AM148" i="13"/>
  <c r="AM71" i="13"/>
  <c r="J387" i="13"/>
  <c r="AP167" i="13"/>
  <c r="AL266" i="13"/>
  <c r="AP112" i="13"/>
  <c r="AP67" i="13"/>
  <c r="AP276" i="13"/>
  <c r="AD253" i="13"/>
  <c r="AP114" i="13"/>
  <c r="AP159" i="13"/>
  <c r="AP29" i="13"/>
  <c r="AA74" i="13"/>
  <c r="AL305" i="13"/>
  <c r="AL407" i="13"/>
  <c r="AP221" i="13"/>
  <c r="AL420" i="13"/>
  <c r="AL402" i="13"/>
  <c r="AP11" i="13"/>
  <c r="AP195" i="13"/>
  <c r="AA396" i="13"/>
  <c r="AB396" i="13" s="1"/>
  <c r="AL283" i="13"/>
  <c r="AP291" i="13"/>
  <c r="AD143" i="13"/>
  <c r="AP390" i="13"/>
  <c r="AA209" i="13"/>
  <c r="AD233" i="13"/>
  <c r="J204" i="13"/>
  <c r="AD204" i="13" s="1"/>
  <c r="AL242" i="13"/>
  <c r="AP175" i="13"/>
  <c r="AP199" i="13"/>
  <c r="AA50" i="13"/>
  <c r="AA128" i="13"/>
  <c r="AL74" i="13"/>
  <c r="AM228" i="13"/>
  <c r="AM111" i="13"/>
  <c r="AA257" i="13"/>
  <c r="AA152" i="13"/>
  <c r="AA313" i="13"/>
  <c r="Q96" i="13"/>
  <c r="AM168" i="13"/>
  <c r="AM208" i="13"/>
  <c r="AM333" i="13"/>
  <c r="AM425" i="13"/>
  <c r="AM312" i="13"/>
  <c r="AM272" i="13"/>
  <c r="AM240" i="13"/>
  <c r="AM256" i="13"/>
  <c r="AA116" i="13"/>
  <c r="AM332" i="13"/>
  <c r="AM426" i="13"/>
  <c r="AA84" i="13"/>
  <c r="AM216" i="13"/>
  <c r="AM301" i="13"/>
  <c r="AM393" i="13"/>
  <c r="AA29" i="13"/>
  <c r="AA117" i="13"/>
  <c r="AA178" i="13"/>
  <c r="AA261" i="13"/>
  <c r="Q76" i="13"/>
  <c r="AM200" i="13"/>
  <c r="Q95" i="13"/>
  <c r="AM320" i="13"/>
  <c r="AM397" i="13"/>
  <c r="AP91" i="13"/>
  <c r="AD64" i="13"/>
  <c r="AP15" i="13"/>
  <c r="AP418" i="13"/>
  <c r="AP8" i="13"/>
  <c r="AP284" i="13"/>
  <c r="AP95" i="13"/>
  <c r="AP306" i="13"/>
  <c r="AP163" i="13"/>
  <c r="Q134" i="13"/>
  <c r="AM134" i="13"/>
  <c r="AP362" i="13"/>
  <c r="AD200" i="13"/>
  <c r="AP138" i="13"/>
  <c r="AD398" i="13"/>
  <c r="AL50" i="13"/>
  <c r="AM211" i="13"/>
  <c r="Q211" i="13"/>
  <c r="AD211" i="13" s="1"/>
  <c r="AP37" i="13"/>
  <c r="AP61" i="13"/>
  <c r="AD422" i="13"/>
  <c r="Q429" i="13"/>
  <c r="AM429" i="13"/>
  <c r="AL234" i="13"/>
  <c r="AA310" i="13"/>
  <c r="AP309" i="13"/>
  <c r="AL267" i="13"/>
  <c r="AD168" i="13"/>
  <c r="AL306" i="13"/>
  <c r="AA290" i="13"/>
  <c r="AA201" i="13"/>
  <c r="AL403" i="13"/>
  <c r="AA79" i="13"/>
  <c r="J214" i="13"/>
  <c r="AA64" i="13"/>
  <c r="AA180" i="13"/>
  <c r="AA410" i="13"/>
  <c r="AB410" i="13" s="1"/>
  <c r="AP97" i="13"/>
  <c r="AP129" i="13"/>
  <c r="AP341" i="13"/>
  <c r="AP333" i="13"/>
  <c r="AP290" i="13"/>
  <c r="AP422" i="13"/>
  <c r="AP208" i="13"/>
  <c r="AP125" i="13"/>
  <c r="AP117" i="13"/>
  <c r="AP289" i="13"/>
  <c r="AP337" i="13"/>
  <c r="AP151" i="13"/>
  <c r="AA13" i="13"/>
  <c r="AA61" i="13"/>
  <c r="AA34" i="13"/>
  <c r="AA140" i="13"/>
  <c r="AP312" i="13"/>
  <c r="AP320" i="13"/>
  <c r="AP101" i="13"/>
  <c r="AP328" i="13"/>
  <c r="AP382" i="13"/>
  <c r="AL200" i="13"/>
  <c r="AL275" i="13"/>
  <c r="AP288" i="13"/>
  <c r="AP249" i="13"/>
  <c r="AP278" i="13"/>
  <c r="AA130" i="13"/>
  <c r="AA124" i="13"/>
  <c r="AP256" i="13"/>
  <c r="J238" i="13"/>
  <c r="AA177" i="13"/>
  <c r="AA271" i="13"/>
  <c r="AP365" i="13"/>
  <c r="AA139" i="13"/>
  <c r="AP147" i="13"/>
  <c r="AA243" i="13"/>
  <c r="AL341" i="13"/>
  <c r="AL297" i="13"/>
  <c r="AP372" i="13"/>
  <c r="AP113" i="13"/>
  <c r="J187" i="13"/>
  <c r="AD187" i="13" s="1"/>
  <c r="AP236" i="13"/>
  <c r="AP57" i="13"/>
  <c r="AP79" i="13"/>
  <c r="AP414" i="13"/>
  <c r="AA297" i="13"/>
  <c r="AL322" i="13"/>
  <c r="AA267" i="13"/>
  <c r="AA281" i="13"/>
  <c r="AP346" i="13"/>
  <c r="AA401" i="13"/>
  <c r="AB401" i="13" s="1"/>
  <c r="AP33" i="13"/>
  <c r="AA58" i="13"/>
  <c r="AP179" i="13"/>
  <c r="AA234" i="13"/>
  <c r="AP286" i="13"/>
  <c r="AP398" i="13"/>
  <c r="AD297" i="13"/>
  <c r="AL293" i="13"/>
  <c r="AA192" i="13"/>
  <c r="AP376" i="13"/>
  <c r="AA273" i="13"/>
  <c r="AA232" i="13"/>
  <c r="AA166" i="13"/>
  <c r="AA148" i="13"/>
  <c r="AA149" i="13"/>
  <c r="AL302" i="13"/>
  <c r="AA153" i="13"/>
  <c r="AA67" i="13"/>
  <c r="AA119" i="13"/>
  <c r="AP294" i="13"/>
  <c r="AA398" i="13"/>
  <c r="AB398" i="13" s="1"/>
  <c r="AA164" i="13"/>
  <c r="AA429" i="13"/>
  <c r="AP388" i="13"/>
  <c r="AP396" i="13"/>
  <c r="AL288" i="13"/>
  <c r="J314" i="13"/>
  <c r="AP200" i="13"/>
  <c r="AP232" i="13"/>
  <c r="AD205" i="13"/>
  <c r="AP239" i="13"/>
  <c r="AA258" i="13"/>
  <c r="AA422" i="13"/>
  <c r="AP45" i="13"/>
  <c r="AD288" i="13"/>
  <c r="AA402" i="13"/>
  <c r="AB402" i="13" s="1"/>
  <c r="AA48" i="13"/>
  <c r="AA268" i="13"/>
  <c r="AA284" i="13"/>
  <c r="AP336" i="13"/>
  <c r="AP348" i="13"/>
  <c r="AA392" i="13"/>
  <c r="AB392" i="13" s="1"/>
  <c r="AP277" i="13"/>
  <c r="AP297" i="13"/>
  <c r="AP329" i="13"/>
  <c r="AL408" i="13"/>
  <c r="AP287" i="13"/>
  <c r="AA182" i="13"/>
  <c r="AP243" i="13"/>
  <c r="AP2" i="13"/>
  <c r="AP134" i="13"/>
  <c r="AA156" i="13"/>
  <c r="AB156" i="13" s="1"/>
  <c r="AD220" i="13"/>
  <c r="AP408" i="13"/>
  <c r="AL220" i="13"/>
  <c r="J392" i="13"/>
  <c r="AL398" i="13"/>
  <c r="AP218" i="13"/>
  <c r="AP265" i="13"/>
  <c r="AP105" i="13"/>
  <c r="J310" i="13"/>
  <c r="AD310" i="13" s="1"/>
  <c r="AL38" i="13"/>
  <c r="J229" i="13"/>
  <c r="AD229" i="13" s="1"/>
  <c r="AL229" i="13"/>
  <c r="J243" i="13"/>
  <c r="AL243" i="13"/>
  <c r="AP204" i="13"/>
  <c r="AP257" i="13"/>
  <c r="AA300" i="13"/>
  <c r="AP281" i="13"/>
  <c r="AP109" i="13"/>
  <c r="AA229" i="13"/>
  <c r="AL422" i="13"/>
  <c r="AA24" i="13"/>
  <c r="AA200" i="13"/>
  <c r="AA159" i="13"/>
  <c r="AP49" i="13"/>
  <c r="AD38" i="13"/>
  <c r="AP349" i="13"/>
  <c r="AP155" i="13"/>
  <c r="AP187" i="13"/>
  <c r="AP75" i="13"/>
  <c r="AP171" i="13"/>
  <c r="AP227" i="13"/>
  <c r="J271" i="13"/>
  <c r="AD271" i="13" s="1"/>
  <c r="AL253" i="13"/>
  <c r="AP304" i="13"/>
  <c r="AA408" i="13"/>
  <c r="AB408" i="13" s="1"/>
  <c r="AP295" i="13"/>
  <c r="AA208" i="13"/>
  <c r="AP360" i="13"/>
  <c r="AA412" i="13"/>
  <c r="AP241" i="13"/>
  <c r="AP293" i="13"/>
  <c r="AL168" i="13"/>
  <c r="AL284" i="13"/>
  <c r="J280" i="13"/>
  <c r="AD280" i="13" s="1"/>
  <c r="J258" i="13"/>
  <c r="AP16" i="13"/>
  <c r="AP264" i="13"/>
  <c r="AD84" i="13"/>
  <c r="AP41" i="13"/>
  <c r="AP255" i="13"/>
  <c r="AA187" i="13"/>
  <c r="AA54" i="13"/>
  <c r="AP326" i="13"/>
  <c r="AD72" i="13"/>
  <c r="AA146" i="13"/>
  <c r="AA242" i="13"/>
  <c r="AA131" i="13"/>
  <c r="AP310" i="13"/>
  <c r="AA100" i="13"/>
  <c r="AA35" i="13"/>
  <c r="AA33" i="13"/>
  <c r="AA99" i="13"/>
  <c r="AA282" i="13"/>
  <c r="AA266" i="13"/>
  <c r="AA205" i="13"/>
  <c r="AA221" i="13"/>
  <c r="AP389" i="13"/>
  <c r="AA262" i="13"/>
  <c r="AP298" i="13"/>
  <c r="AA316" i="13"/>
  <c r="AA59" i="13"/>
  <c r="AP385" i="13"/>
  <c r="AA306" i="13"/>
  <c r="AP273" i="13"/>
  <c r="AA341" i="13"/>
  <c r="AB341" i="13" s="1"/>
  <c r="AP282" i="13"/>
  <c r="F383" i="13"/>
  <c r="T383" i="13" s="1"/>
  <c r="AA228" i="13"/>
  <c r="AA21" i="13"/>
  <c r="AA109" i="13"/>
  <c r="AM72" i="13"/>
  <c r="AM213" i="13"/>
  <c r="AA37" i="13"/>
  <c r="AA202" i="13"/>
  <c r="AA270" i="13"/>
  <c r="AM252" i="13"/>
  <c r="AA150" i="13"/>
  <c r="AA103" i="13"/>
  <c r="AA135" i="13"/>
  <c r="AA133" i="13"/>
  <c r="AA407" i="13"/>
  <c r="AB407" i="13" s="1"/>
  <c r="AM160" i="13"/>
  <c r="AM196" i="13"/>
  <c r="AA385" i="13"/>
  <c r="AB385" i="13" s="1"/>
  <c r="AA85" i="13"/>
  <c r="AA198" i="13"/>
  <c r="AB198" i="13" s="1"/>
  <c r="AM31" i="13"/>
  <c r="AM35" i="13"/>
  <c r="AA40" i="13"/>
  <c r="AA89" i="13"/>
  <c r="AA188" i="13"/>
  <c r="AA141" i="13"/>
  <c r="AA296" i="13"/>
  <c r="AM112" i="13"/>
  <c r="Q128" i="13"/>
  <c r="AD128" i="13" s="1"/>
  <c r="AA111" i="13"/>
  <c r="AA101" i="13"/>
  <c r="AM421" i="13"/>
  <c r="AM99" i="13"/>
  <c r="Q115" i="13"/>
  <c r="AM300" i="13"/>
  <c r="AA345" i="13"/>
  <c r="AB345" i="13" s="1"/>
  <c r="AA214" i="13"/>
  <c r="AA322" i="13"/>
  <c r="AM63" i="13"/>
  <c r="AM373" i="13"/>
  <c r="Q406" i="13"/>
  <c r="AD406" i="13" s="1"/>
  <c r="AA274" i="13"/>
  <c r="AA397" i="13"/>
  <c r="AB397" i="13" s="1"/>
  <c r="AA425" i="13"/>
  <c r="AB425" i="13" s="1"/>
  <c r="AP423" i="13"/>
  <c r="AM36" i="13"/>
  <c r="AM180" i="13"/>
  <c r="AM310" i="13"/>
  <c r="AA390" i="13"/>
  <c r="AB390" i="13" s="1"/>
  <c r="AA302" i="13"/>
  <c r="AA184" i="13"/>
  <c r="AA256" i="13"/>
  <c r="AA169" i="13"/>
  <c r="AP363" i="13"/>
  <c r="AP391" i="13"/>
  <c r="AM164" i="13"/>
  <c r="AM188" i="13"/>
  <c r="AM119" i="13"/>
  <c r="AM342" i="13"/>
  <c r="AM233" i="13"/>
  <c r="AA278" i="13"/>
  <c r="AA406" i="13"/>
  <c r="AB406" i="13" s="1"/>
  <c r="AA426" i="13"/>
  <c r="Q185" i="13"/>
  <c r="AD185" i="13" s="1"/>
  <c r="AM297" i="13"/>
  <c r="AM405" i="13"/>
  <c r="Q18" i="13"/>
  <c r="AM18" i="13"/>
  <c r="Q268" i="13"/>
  <c r="AM268" i="13"/>
  <c r="Q139" i="13"/>
  <c r="AD139" i="13" s="1"/>
  <c r="AM139" i="13"/>
  <c r="Q385" i="13"/>
  <c r="AM385" i="13"/>
  <c r="AA185" i="13"/>
  <c r="AM44" i="13"/>
  <c r="AM92" i="13"/>
  <c r="AM398" i="13"/>
  <c r="AM157" i="13"/>
  <c r="AA112" i="13"/>
  <c r="AA233" i="13"/>
  <c r="AA241" i="13"/>
  <c r="AA293" i="13"/>
  <c r="AD35" i="13"/>
  <c r="AM116" i="13"/>
  <c r="Q140" i="13"/>
  <c r="AD140" i="13" s="1"/>
  <c r="AM184" i="13"/>
  <c r="AM192" i="13"/>
  <c r="AM127" i="13"/>
  <c r="AM292" i="13"/>
  <c r="AM325" i="13"/>
  <c r="AM288" i="13"/>
  <c r="AA11" i="13"/>
  <c r="Q2" i="13"/>
  <c r="AM2" i="13"/>
  <c r="Q417" i="13"/>
  <c r="AM417" i="13"/>
  <c r="Q107" i="13"/>
  <c r="AD107" i="13" s="1"/>
  <c r="AM107" i="13"/>
  <c r="Q232" i="13"/>
  <c r="AD232" i="13" s="1"/>
  <c r="AM232" i="13"/>
  <c r="Q248" i="13"/>
  <c r="AM248" i="13"/>
  <c r="Q401" i="13"/>
  <c r="AD401" i="13" s="1"/>
  <c r="AM401" i="13"/>
  <c r="Q308" i="13"/>
  <c r="AM308" i="13"/>
  <c r="Q352" i="13"/>
  <c r="AM352" i="13"/>
  <c r="AA56" i="13"/>
  <c r="AA260" i="13"/>
  <c r="AP371" i="13"/>
  <c r="AA95" i="13"/>
  <c r="AA409" i="13"/>
  <c r="AB409" i="13" s="1"/>
  <c r="AA237" i="13"/>
  <c r="AA253" i="13"/>
  <c r="AA269" i="13"/>
  <c r="AB269" i="13" s="1"/>
  <c r="AA305" i="13"/>
  <c r="AP299" i="13"/>
  <c r="AA104" i="13"/>
  <c r="AM414" i="13"/>
  <c r="AM374" i="13"/>
  <c r="AA57" i="13"/>
  <c r="AA238" i="13"/>
  <c r="AM14" i="13"/>
  <c r="Q336" i="13"/>
  <c r="AM336" i="13"/>
  <c r="Q380" i="13"/>
  <c r="AM380" i="13"/>
  <c r="AM59" i="13"/>
  <c r="Q59" i="13"/>
  <c r="AD59" i="13" s="1"/>
  <c r="AD86" i="13"/>
  <c r="AA193" i="13"/>
  <c r="AA249" i="13"/>
  <c r="AA285" i="13"/>
  <c r="AD54" i="13"/>
  <c r="AM313" i="13"/>
  <c r="AA165" i="13"/>
  <c r="AM32" i="13"/>
  <c r="AM80" i="13"/>
  <c r="AM88" i="13"/>
  <c r="AA294" i="13"/>
  <c r="AA218" i="13"/>
  <c r="AA206" i="13"/>
  <c r="AA173" i="13"/>
  <c r="AA309" i="13"/>
  <c r="AA387" i="13"/>
  <c r="AB387" i="13" s="1"/>
  <c r="AA162" i="13"/>
  <c r="AA314" i="13"/>
  <c r="AA154" i="13"/>
  <c r="AA330" i="13"/>
  <c r="AB330" i="13" s="1"/>
  <c r="AA230" i="13"/>
  <c r="Q19" i="13"/>
  <c r="AM19" i="13"/>
  <c r="Q382" i="13"/>
  <c r="AM382" i="13"/>
  <c r="AM104" i="13"/>
  <c r="AA217" i="13"/>
  <c r="AM64" i="13"/>
  <c r="Q221" i="13"/>
  <c r="AD221" i="13" s="1"/>
  <c r="AM221" i="13"/>
  <c r="Q349" i="13"/>
  <c r="AM349" i="13"/>
  <c r="Q390" i="13"/>
  <c r="AM390" i="13"/>
  <c r="Q341" i="13"/>
  <c r="AD341" i="13" s="1"/>
  <c r="AM341" i="13"/>
  <c r="AA105" i="13"/>
  <c r="AA337" i="13"/>
  <c r="AB337" i="13" s="1"/>
  <c r="AA329" i="13"/>
  <c r="AB329" i="13" s="1"/>
  <c r="AA427" i="13"/>
  <c r="AM149" i="13"/>
  <c r="AA8" i="13"/>
  <c r="AA129" i="13"/>
  <c r="AA145" i="13"/>
  <c r="AB145" i="13" s="1"/>
  <c r="AA161" i="13"/>
  <c r="AA289" i="13"/>
  <c r="AB289" i="13" s="1"/>
  <c r="AA411" i="13"/>
  <c r="AM28" i="13"/>
  <c r="AM52" i="13"/>
  <c r="AM181" i="13"/>
  <c r="AM245" i="13"/>
  <c r="AA391" i="13"/>
  <c r="AB391" i="13" s="1"/>
  <c r="Q169" i="13"/>
  <c r="AD169" i="13" s="1"/>
  <c r="AM169" i="13"/>
  <c r="AA80" i="13"/>
  <c r="AA12" i="13"/>
  <c r="AA108" i="13"/>
  <c r="AA272" i="13"/>
  <c r="AA288" i="13"/>
  <c r="AA312" i="13"/>
  <c r="AA320" i="13"/>
  <c r="AA376" i="13"/>
  <c r="AB376" i="13" s="1"/>
  <c r="AA174" i="13"/>
  <c r="AM357" i="13"/>
  <c r="AD79" i="13"/>
  <c r="AD235" i="13"/>
  <c r="AP347" i="13"/>
  <c r="AA276" i="13"/>
  <c r="Q177" i="13"/>
  <c r="AD177" i="13" s="1"/>
  <c r="AM177" i="13"/>
  <c r="Q209" i="13"/>
  <c r="AD209" i="13" s="1"/>
  <c r="AM209" i="13"/>
  <c r="Q241" i="13"/>
  <c r="AD241" i="13" s="1"/>
  <c r="AM241" i="13"/>
  <c r="Q273" i="13"/>
  <c r="AD273" i="13" s="1"/>
  <c r="AM273" i="13"/>
  <c r="Q161" i="13"/>
  <c r="AD161" i="13" s="1"/>
  <c r="AM161" i="13"/>
  <c r="AA423" i="13"/>
  <c r="AA395" i="13"/>
  <c r="AB395" i="13" s="1"/>
  <c r="AA186" i="13"/>
  <c r="AA286" i="13"/>
  <c r="AA190" i="13"/>
  <c r="Q225" i="13"/>
  <c r="AM225" i="13"/>
  <c r="Q257" i="13"/>
  <c r="AD257" i="13" s="1"/>
  <c r="AM257" i="13"/>
  <c r="Q386" i="13"/>
  <c r="AM386" i="13"/>
  <c r="AA264" i="13"/>
  <c r="Q145" i="13"/>
  <c r="AM145" i="13"/>
  <c r="Q193" i="13"/>
  <c r="AD193" i="13" s="1"/>
  <c r="AM193" i="13"/>
  <c r="Q394" i="13"/>
  <c r="AM394" i="13"/>
  <c r="AA399" i="13"/>
  <c r="AB399" i="13" s="1"/>
  <c r="Q345" i="13"/>
  <c r="AD345" i="13" s="1"/>
  <c r="AM345" i="13"/>
  <c r="Q309" i="13"/>
  <c r="AD309" i="13" s="1"/>
  <c r="AM309" i="13"/>
  <c r="Q410" i="13"/>
  <c r="AM410" i="13"/>
  <c r="AA16" i="13"/>
  <c r="Q353" i="13"/>
  <c r="AM353" i="13"/>
  <c r="Q133" i="13"/>
  <c r="AD133" i="13" s="1"/>
  <c r="AM133" i="13"/>
  <c r="Q230" i="13"/>
  <c r="AM230" i="13"/>
  <c r="Q330" i="13"/>
  <c r="AD330" i="13" s="1"/>
  <c r="AM330" i="13"/>
  <c r="Q399" i="13"/>
  <c r="AD399" i="13" s="1"/>
  <c r="AM399" i="13"/>
  <c r="Q49" i="13"/>
  <c r="AM49" i="13"/>
  <c r="Q89" i="13"/>
  <c r="AD89" i="13" s="1"/>
  <c r="AM89" i="13"/>
  <c r="AA403" i="13"/>
  <c r="AB403" i="13" s="1"/>
  <c r="Q97" i="13"/>
  <c r="AM97" i="13"/>
  <c r="Q170" i="13"/>
  <c r="AM170" i="13"/>
  <c r="Q194" i="13"/>
  <c r="AM194" i="13"/>
  <c r="Q254" i="13"/>
  <c r="AM254" i="13"/>
  <c r="Q294" i="13"/>
  <c r="AM294" i="13"/>
  <c r="Q366" i="13"/>
  <c r="AM366" i="13"/>
  <c r="AM4" i="13"/>
  <c r="Q4" i="13"/>
  <c r="AD4" i="13" s="1"/>
  <c r="AM16" i="13"/>
  <c r="Q16" i="13"/>
  <c r="AD16" i="13" s="1"/>
  <c r="Q21" i="13"/>
  <c r="AD21" i="13" s="1"/>
  <c r="AM21" i="13"/>
  <c r="Q41" i="13"/>
  <c r="AM41" i="13"/>
  <c r="Q61" i="13"/>
  <c r="AD61" i="13" s="1"/>
  <c r="AM61" i="13"/>
  <c r="Q77" i="13"/>
  <c r="AM77" i="13"/>
  <c r="Q113" i="13"/>
  <c r="AM113" i="13"/>
  <c r="Q150" i="13"/>
  <c r="AD150" i="13" s="1"/>
  <c r="AM150" i="13"/>
  <c r="Q206" i="13"/>
  <c r="AM206" i="13"/>
  <c r="Q218" i="13"/>
  <c r="AD218" i="13" s="1"/>
  <c r="AM218" i="13"/>
  <c r="Q246" i="13"/>
  <c r="AM246" i="13"/>
  <c r="Q302" i="13"/>
  <c r="AD302" i="13" s="1"/>
  <c r="AM302" i="13"/>
  <c r="Q326" i="13"/>
  <c r="AM326" i="13"/>
  <c r="Q141" i="13"/>
  <c r="AD141" i="13" s="1"/>
  <c r="AM141" i="13"/>
  <c r="Q202" i="13"/>
  <c r="AD202" i="13" s="1"/>
  <c r="AM202" i="13"/>
  <c r="Q298" i="13"/>
  <c r="AD298" i="13" s="1"/>
  <c r="AM298" i="13"/>
  <c r="Q407" i="13"/>
  <c r="AD407" i="13" s="1"/>
  <c r="AM407" i="13"/>
  <c r="Q109" i="13"/>
  <c r="AD109" i="13" s="1"/>
  <c r="AM109" i="13"/>
  <c r="Q186" i="13"/>
  <c r="AD186" i="13" s="1"/>
  <c r="AM186" i="13"/>
  <c r="Q282" i="13"/>
  <c r="AM282" i="13"/>
  <c r="Q362" i="13"/>
  <c r="AM362" i="13"/>
  <c r="Q415" i="13"/>
  <c r="AM415" i="13"/>
  <c r="Q117" i="13"/>
  <c r="AD117" i="13" s="1"/>
  <c r="AM117" i="13"/>
  <c r="Q154" i="13"/>
  <c r="AD154" i="13" s="1"/>
  <c r="AM154" i="13"/>
  <c r="Q250" i="13"/>
  <c r="AM250" i="13"/>
  <c r="Q346" i="13"/>
  <c r="AM346" i="13"/>
  <c r="Q370" i="13"/>
  <c r="AM370" i="13"/>
  <c r="AA304" i="13"/>
  <c r="AP375" i="13"/>
  <c r="AP387" i="13"/>
  <c r="AP355" i="13"/>
  <c r="Q65" i="13"/>
  <c r="AM65" i="13"/>
  <c r="Q85" i="13"/>
  <c r="AD85" i="13" s="1"/>
  <c r="AM85" i="13"/>
  <c r="Q121" i="13"/>
  <c r="AM121" i="13"/>
  <c r="Q158" i="13"/>
  <c r="AM158" i="13"/>
  <c r="Q222" i="13"/>
  <c r="AM222" i="13"/>
  <c r="Q242" i="13"/>
  <c r="AD242" i="13" s="1"/>
  <c r="AM242" i="13"/>
  <c r="Q318" i="13"/>
  <c r="AM318" i="13"/>
  <c r="Q354" i="13"/>
  <c r="AM354" i="13"/>
  <c r="AM387" i="13"/>
  <c r="Q387" i="13"/>
  <c r="Q423" i="13"/>
  <c r="AM423" i="13"/>
  <c r="AM12" i="13"/>
  <c r="Q12" i="13"/>
  <c r="Q37" i="13"/>
  <c r="AD37" i="13" s="1"/>
  <c r="AM37" i="13"/>
  <c r="Q57" i="13"/>
  <c r="AD57" i="13" s="1"/>
  <c r="AM57" i="13"/>
  <c r="Q137" i="13"/>
  <c r="AD137" i="13" s="1"/>
  <c r="AM137" i="13"/>
  <c r="Q174" i="13"/>
  <c r="AD174" i="13" s="1"/>
  <c r="AM174" i="13"/>
  <c r="Q198" i="13"/>
  <c r="AM198" i="13"/>
  <c r="Q270" i="13"/>
  <c r="AM270" i="13"/>
  <c r="Q290" i="13"/>
  <c r="AM290" i="13"/>
  <c r="Q350" i="13"/>
  <c r="AM350" i="13"/>
  <c r="Q403" i="13"/>
  <c r="AD403" i="13" s="1"/>
  <c r="AM403" i="13"/>
  <c r="Q427" i="13"/>
  <c r="AM427" i="13"/>
  <c r="Q45" i="13"/>
  <c r="AD45" i="13" s="1"/>
  <c r="AM45" i="13"/>
  <c r="Q105" i="13"/>
  <c r="AD105" i="13" s="1"/>
  <c r="AM105" i="13"/>
  <c r="Q129" i="13"/>
  <c r="AD129" i="13" s="1"/>
  <c r="AM129" i="13"/>
  <c r="Q166" i="13"/>
  <c r="AM166" i="13"/>
  <c r="Q238" i="13"/>
  <c r="AM238" i="13"/>
  <c r="Q262" i="13"/>
  <c r="AM262" i="13"/>
  <c r="Q334" i="13"/>
  <c r="AM334" i="13"/>
  <c r="Q358" i="13"/>
  <c r="AM358" i="13"/>
  <c r="Q395" i="13"/>
  <c r="AD395" i="13" s="1"/>
  <c r="AM395" i="13"/>
  <c r="Q73" i="13"/>
  <c r="AM73" i="13"/>
  <c r="AM8" i="13"/>
  <c r="Q8" i="13"/>
  <c r="AD8" i="13" s="1"/>
  <c r="Q25" i="13"/>
  <c r="AD25" i="13" s="1"/>
  <c r="AM25" i="13"/>
  <c r="Q81" i="13"/>
  <c r="AM81" i="13"/>
  <c r="Q178" i="13"/>
  <c r="AD178" i="13" s="1"/>
  <c r="AM178" i="13"/>
  <c r="Q274" i="13"/>
  <c r="AD274" i="13" s="1"/>
  <c r="AM274" i="13"/>
  <c r="AA280" i="13"/>
  <c r="AA97" i="13"/>
  <c r="AA137" i="13"/>
  <c r="AP399" i="13"/>
  <c r="Q29" i="13"/>
  <c r="AD29" i="13" s="1"/>
  <c r="AM29" i="13"/>
  <c r="Q146" i="13"/>
  <c r="AM146" i="13"/>
  <c r="Q182" i="13"/>
  <c r="AD182" i="13" s="1"/>
  <c r="AM182" i="13"/>
  <c r="Q214" i="13"/>
  <c r="AM214" i="13"/>
  <c r="Q266" i="13"/>
  <c r="AD266" i="13" s="1"/>
  <c r="AM266" i="13"/>
  <c r="Q306" i="13"/>
  <c r="AD306" i="13" s="1"/>
  <c r="AM306" i="13"/>
  <c r="Q378" i="13"/>
  <c r="AM378" i="13"/>
  <c r="Q411" i="13"/>
  <c r="AD411" i="13" s="1"/>
  <c r="AM411" i="13"/>
  <c r="Q33" i="13"/>
  <c r="AD33" i="13" s="1"/>
  <c r="AM33" i="13"/>
  <c r="Q53" i="13"/>
  <c r="AM53" i="13"/>
  <c r="Q69" i="13"/>
  <c r="AM69" i="13"/>
  <c r="Q101" i="13"/>
  <c r="AD101" i="13" s="1"/>
  <c r="AM101" i="13"/>
  <c r="Q125" i="13"/>
  <c r="AM125" i="13"/>
  <c r="Q162" i="13"/>
  <c r="AD162" i="13" s="1"/>
  <c r="AM162" i="13"/>
  <c r="Q210" i="13"/>
  <c r="AM210" i="13"/>
  <c r="Q234" i="13"/>
  <c r="AD234" i="13" s="1"/>
  <c r="AM234" i="13"/>
  <c r="Q258" i="13"/>
  <c r="AM258" i="13"/>
  <c r="Q314" i="13"/>
  <c r="AM314" i="13"/>
  <c r="Q338" i="13"/>
  <c r="AM338" i="13"/>
  <c r="Q391" i="13"/>
  <c r="AD391" i="13" s="1"/>
  <c r="AM391" i="13"/>
  <c r="Q93" i="13"/>
  <c r="AM93" i="13"/>
  <c r="Q190" i="13"/>
  <c r="AD190" i="13" s="1"/>
  <c r="AM190" i="13"/>
  <c r="Q226" i="13"/>
  <c r="AM226" i="13"/>
  <c r="Q286" i="13"/>
  <c r="AD286" i="13" s="1"/>
  <c r="AM286" i="13"/>
  <c r="Q322" i="13"/>
  <c r="AD322" i="13" s="1"/>
  <c r="AM322" i="13"/>
  <c r="Q383" i="13"/>
  <c r="AM383" i="13"/>
  <c r="Q419" i="13"/>
  <c r="AM419" i="13"/>
  <c r="AP351" i="13"/>
  <c r="AD11" i="13"/>
  <c r="AP311" i="13"/>
  <c r="AP303" i="13"/>
  <c r="AD5" i="13" l="1"/>
  <c r="AB55" i="13"/>
  <c r="AD163" i="13"/>
  <c r="S136" i="13"/>
  <c r="AA136" i="13" s="1"/>
  <c r="G91" i="13"/>
  <c r="AL91" i="13" s="1"/>
  <c r="S91" i="13"/>
  <c r="AA91" i="13" s="1"/>
  <c r="G421" i="13"/>
  <c r="AL421" i="13" s="1"/>
  <c r="S421" i="13"/>
  <c r="AA421" i="13" s="1"/>
  <c r="AD95" i="13"/>
  <c r="R148" i="16"/>
  <c r="AD268" i="13"/>
  <c r="AB427" i="13"/>
  <c r="AK137" i="13"/>
  <c r="AQ137" i="13" s="1"/>
  <c r="AB137" i="13"/>
  <c r="AI16" i="13"/>
  <c r="AB16" i="13"/>
  <c r="AI276" i="13"/>
  <c r="AB276" i="13"/>
  <c r="AF320" i="13"/>
  <c r="AB320" i="13"/>
  <c r="AI108" i="13"/>
  <c r="AB108" i="13"/>
  <c r="AE161" i="13"/>
  <c r="AB161" i="13"/>
  <c r="AI105" i="13"/>
  <c r="AB105" i="13"/>
  <c r="AK230" i="13"/>
  <c r="AB230" i="13"/>
  <c r="AI162" i="13"/>
  <c r="AB162" i="13"/>
  <c r="AK206" i="13"/>
  <c r="AB206" i="13"/>
  <c r="AK238" i="13"/>
  <c r="AB238" i="13"/>
  <c r="AK104" i="13"/>
  <c r="AQ104" i="13" s="1"/>
  <c r="AB104" i="13"/>
  <c r="AK253" i="13"/>
  <c r="AQ253" i="13" s="1"/>
  <c r="AB253" i="13"/>
  <c r="AI112" i="13"/>
  <c r="AB112" i="13"/>
  <c r="AF256" i="13"/>
  <c r="AB256" i="13"/>
  <c r="AE89" i="13"/>
  <c r="AB89" i="13"/>
  <c r="AK103" i="13"/>
  <c r="AQ103" i="13" s="1"/>
  <c r="AB103" i="13"/>
  <c r="AI202" i="13"/>
  <c r="AB202" i="13"/>
  <c r="AI109" i="13"/>
  <c r="AB109" i="13"/>
  <c r="AE262" i="13"/>
  <c r="AB262" i="13"/>
  <c r="AF266" i="13"/>
  <c r="AB266" i="13"/>
  <c r="AF35" i="13"/>
  <c r="AB35" i="13"/>
  <c r="AI242" i="13"/>
  <c r="AB242" i="13"/>
  <c r="AK54" i="13"/>
  <c r="AQ54" i="13" s="1"/>
  <c r="AB54" i="13"/>
  <c r="AI300" i="13"/>
  <c r="AB300" i="13"/>
  <c r="AE48" i="13"/>
  <c r="AB48" i="13"/>
  <c r="AF164" i="13"/>
  <c r="AB164" i="13"/>
  <c r="AF67" i="13"/>
  <c r="AB67" i="13"/>
  <c r="AK148" i="13"/>
  <c r="AQ148" i="13" s="1"/>
  <c r="AB148" i="13"/>
  <c r="AI58" i="13"/>
  <c r="AB58" i="13"/>
  <c r="AE281" i="13"/>
  <c r="AB281" i="13"/>
  <c r="AK13" i="13"/>
  <c r="AQ13" i="13" s="1"/>
  <c r="AB13" i="13"/>
  <c r="AF290" i="13"/>
  <c r="AB290" i="13"/>
  <c r="AE178" i="13"/>
  <c r="AB178" i="13"/>
  <c r="AI152" i="13"/>
  <c r="AB152" i="13"/>
  <c r="AE209" i="13"/>
  <c r="AB209" i="13"/>
  <c r="AE252" i="13"/>
  <c r="AB252" i="13"/>
  <c r="AF420" i="13"/>
  <c r="AB420" i="13"/>
  <c r="AK163" i="13"/>
  <c r="AB163" i="13"/>
  <c r="AF143" i="13"/>
  <c r="AB143" i="13"/>
  <c r="AK181" i="13"/>
  <c r="AQ181" i="13" s="1"/>
  <c r="AB181" i="13"/>
  <c r="AF236" i="13"/>
  <c r="AB236" i="13"/>
  <c r="AK275" i="13"/>
  <c r="AQ275" i="13" s="1"/>
  <c r="AB275" i="13"/>
  <c r="AF195" i="13"/>
  <c r="AB195" i="13"/>
  <c r="AE118" i="13"/>
  <c r="AB118" i="13"/>
  <c r="AI315" i="13"/>
  <c r="AB315" i="13"/>
  <c r="AF42" i="13"/>
  <c r="AB42" i="13"/>
  <c r="AK151" i="13"/>
  <c r="AQ151" i="13" s="1"/>
  <c r="AB151" i="13"/>
  <c r="AK115" i="13"/>
  <c r="AB115" i="13"/>
  <c r="AE175" i="13"/>
  <c r="AB175" i="13"/>
  <c r="AI299" i="13"/>
  <c r="AB299" i="13"/>
  <c r="AF106" i="13"/>
  <c r="AB106" i="13"/>
  <c r="AF6" i="13"/>
  <c r="AB6" i="13"/>
  <c r="AK255" i="13"/>
  <c r="AQ255" i="13" s="1"/>
  <c r="AB255" i="13"/>
  <c r="AK211" i="13"/>
  <c r="AQ211" i="13" s="1"/>
  <c r="AB211" i="13"/>
  <c r="AK176" i="13"/>
  <c r="AQ176" i="13" s="1"/>
  <c r="AB176" i="13"/>
  <c r="AF414" i="13"/>
  <c r="AB414" i="13"/>
  <c r="AF280" i="13"/>
  <c r="AB280" i="13"/>
  <c r="AK186" i="13"/>
  <c r="AQ186" i="13" s="1"/>
  <c r="AB186" i="13"/>
  <c r="AF272" i="13"/>
  <c r="AB272" i="13"/>
  <c r="AI173" i="13"/>
  <c r="AB173" i="13"/>
  <c r="AI193" i="13"/>
  <c r="AB193" i="13"/>
  <c r="AB95" i="13"/>
  <c r="AE214" i="13"/>
  <c r="AB214" i="13"/>
  <c r="AE97" i="13"/>
  <c r="AB97" i="13"/>
  <c r="AE190" i="13"/>
  <c r="AB190" i="13"/>
  <c r="AF423" i="13"/>
  <c r="AB423" i="13"/>
  <c r="AE312" i="13"/>
  <c r="AB312" i="13"/>
  <c r="AF12" i="13"/>
  <c r="AB12" i="13"/>
  <c r="AI218" i="13"/>
  <c r="AB218" i="13"/>
  <c r="AK285" i="13"/>
  <c r="AQ285" i="13" s="1"/>
  <c r="AB285" i="13"/>
  <c r="AK57" i="13"/>
  <c r="AQ57" i="13" s="1"/>
  <c r="AB57" i="13"/>
  <c r="AI237" i="13"/>
  <c r="AB237" i="13"/>
  <c r="AI260" i="13"/>
  <c r="AB260" i="13"/>
  <c r="AK293" i="13"/>
  <c r="AQ293" i="13" s="1"/>
  <c r="AB293" i="13"/>
  <c r="AE185" i="13"/>
  <c r="AB185" i="13"/>
  <c r="AE426" i="13"/>
  <c r="AB426" i="13"/>
  <c r="AI184" i="13"/>
  <c r="AB184" i="13"/>
  <c r="AF101" i="13"/>
  <c r="AB101" i="13"/>
  <c r="AE296" i="13"/>
  <c r="AB296" i="13"/>
  <c r="AK40" i="13"/>
  <c r="AQ40" i="13" s="1"/>
  <c r="AB40" i="13"/>
  <c r="AF85" i="13"/>
  <c r="AB85" i="13"/>
  <c r="AF150" i="13"/>
  <c r="AB150" i="13"/>
  <c r="AI37" i="13"/>
  <c r="AB37" i="13"/>
  <c r="AK21" i="13"/>
  <c r="AQ21" i="13" s="1"/>
  <c r="AB21" i="13"/>
  <c r="AI59" i="13"/>
  <c r="AB59" i="13"/>
  <c r="AE282" i="13"/>
  <c r="AB282" i="13"/>
  <c r="AF100" i="13"/>
  <c r="AB100" i="13"/>
  <c r="AE146" i="13"/>
  <c r="AB146" i="13"/>
  <c r="AI187" i="13"/>
  <c r="AB187" i="13"/>
  <c r="AF412" i="13"/>
  <c r="AB412" i="13"/>
  <c r="AK159" i="13"/>
  <c r="AQ159" i="13" s="1"/>
  <c r="AB159" i="13"/>
  <c r="AI229" i="13"/>
  <c r="AB229" i="13"/>
  <c r="AI182" i="13"/>
  <c r="AB182" i="13"/>
  <c r="AF422" i="13"/>
  <c r="AB422" i="13"/>
  <c r="AE153" i="13"/>
  <c r="AB153" i="13"/>
  <c r="AF166" i="13"/>
  <c r="AB166" i="13"/>
  <c r="AI192" i="13"/>
  <c r="AB192" i="13"/>
  <c r="AE267" i="13"/>
  <c r="AB267" i="13"/>
  <c r="AK243" i="13"/>
  <c r="AB243" i="13"/>
  <c r="AI271" i="13"/>
  <c r="AB271" i="13"/>
  <c r="AF124" i="13"/>
  <c r="AB124" i="13"/>
  <c r="AI140" i="13"/>
  <c r="AB140" i="13"/>
  <c r="AF79" i="13"/>
  <c r="AB79" i="13"/>
  <c r="AE310" i="13"/>
  <c r="AB310" i="13"/>
  <c r="AF117" i="13"/>
  <c r="AB117" i="13"/>
  <c r="AF116" i="13"/>
  <c r="AB116" i="13"/>
  <c r="AI257" i="13"/>
  <c r="AB257" i="13"/>
  <c r="AE128" i="13"/>
  <c r="AB128" i="13"/>
  <c r="AK74" i="13"/>
  <c r="AQ74" i="13" s="1"/>
  <c r="AB74" i="13"/>
  <c r="AF213" i="13"/>
  <c r="AB213" i="13"/>
  <c r="AF167" i="13"/>
  <c r="AB167" i="13"/>
  <c r="AE265" i="13"/>
  <c r="AB265" i="13"/>
  <c r="AE428" i="13"/>
  <c r="AB428" i="13"/>
  <c r="AF212" i="13"/>
  <c r="AB212" i="13"/>
  <c r="AI98" i="13"/>
  <c r="AB98" i="13"/>
  <c r="AK46" i="13"/>
  <c r="AQ46" i="13" s="1"/>
  <c r="AB46" i="13"/>
  <c r="AI82" i="13"/>
  <c r="AB82" i="13"/>
  <c r="AF239" i="13"/>
  <c r="AB239" i="13"/>
  <c r="AI235" i="13"/>
  <c r="AB235" i="13"/>
  <c r="AI114" i="13"/>
  <c r="AB114" i="13"/>
  <c r="AI147" i="13"/>
  <c r="AB147" i="13"/>
  <c r="AK36" i="13"/>
  <c r="AQ36" i="13" s="1"/>
  <c r="AB36" i="13"/>
  <c r="AF259" i="13"/>
  <c r="AB259" i="13"/>
  <c r="AF307" i="13"/>
  <c r="AB307" i="13"/>
  <c r="AF71" i="13"/>
  <c r="AB71" i="13"/>
  <c r="AI304" i="13"/>
  <c r="AB304" i="13"/>
  <c r="AI264" i="13"/>
  <c r="AB264" i="13"/>
  <c r="AI286" i="13"/>
  <c r="AB286" i="13"/>
  <c r="AI174" i="13"/>
  <c r="AB174" i="13"/>
  <c r="AE288" i="13"/>
  <c r="AB288" i="13"/>
  <c r="AE80" i="13"/>
  <c r="AB80" i="13"/>
  <c r="AI411" i="13"/>
  <c r="AB411" i="13"/>
  <c r="AK129" i="13"/>
  <c r="AQ129" i="13" s="1"/>
  <c r="AB129" i="13"/>
  <c r="AK217" i="13"/>
  <c r="AQ217" i="13" s="1"/>
  <c r="AB217" i="13"/>
  <c r="AF154" i="13"/>
  <c r="AB154" i="13"/>
  <c r="AE309" i="13"/>
  <c r="AB309" i="13"/>
  <c r="AK294" i="13"/>
  <c r="AB294" i="13"/>
  <c r="AF165" i="13"/>
  <c r="AB165" i="13"/>
  <c r="AK249" i="13"/>
  <c r="AQ249" i="13" s="1"/>
  <c r="AB249" i="13"/>
  <c r="AF305" i="13"/>
  <c r="AB305" i="13"/>
  <c r="AK56" i="13"/>
  <c r="AB56" i="13"/>
  <c r="AE241" i="13"/>
  <c r="AB241" i="13"/>
  <c r="AF302" i="13"/>
  <c r="AB302" i="13"/>
  <c r="AF274" i="13"/>
  <c r="AB274" i="13"/>
  <c r="AI322" i="13"/>
  <c r="AB322" i="13"/>
  <c r="AE111" i="13"/>
  <c r="AB111" i="13"/>
  <c r="AI141" i="13"/>
  <c r="AB141" i="13"/>
  <c r="AI133" i="13"/>
  <c r="AB133" i="13"/>
  <c r="AF228" i="13"/>
  <c r="AB228" i="13"/>
  <c r="AF316" i="13"/>
  <c r="AB316" i="13"/>
  <c r="AK221" i="13"/>
  <c r="AQ221" i="13" s="1"/>
  <c r="AB221" i="13"/>
  <c r="AF99" i="13"/>
  <c r="AB99" i="13"/>
  <c r="AE200" i="13"/>
  <c r="AB200" i="13"/>
  <c r="AI284" i="13"/>
  <c r="AB284" i="13"/>
  <c r="AK258" i="13"/>
  <c r="AB258" i="13"/>
  <c r="AF232" i="13"/>
  <c r="AB232" i="13"/>
  <c r="AK234" i="13"/>
  <c r="AQ234" i="13" s="1"/>
  <c r="AB234" i="13"/>
  <c r="AE177" i="13"/>
  <c r="AB177" i="13"/>
  <c r="AE130" i="13"/>
  <c r="AB130" i="13"/>
  <c r="AE34" i="13"/>
  <c r="AB34" i="13"/>
  <c r="AE180" i="13"/>
  <c r="AB180" i="13"/>
  <c r="AK29" i="13"/>
  <c r="AQ29" i="13" s="1"/>
  <c r="AB29" i="13"/>
  <c r="AI84" i="13"/>
  <c r="AB84" i="13"/>
  <c r="AI50" i="13"/>
  <c r="AB50" i="13"/>
  <c r="AE283" i="13"/>
  <c r="AB283" i="13"/>
  <c r="AI134" i="13"/>
  <c r="AB134" i="13"/>
  <c r="AF92" i="13"/>
  <c r="AB92" i="13"/>
  <c r="AK424" i="13"/>
  <c r="AB424" i="13"/>
  <c r="AK102" i="13"/>
  <c r="AQ102" i="13" s="1"/>
  <c r="AB102" i="13"/>
  <c r="AE295" i="13"/>
  <c r="AB295" i="13"/>
  <c r="AE31" i="13"/>
  <c r="AB31" i="13"/>
  <c r="AE223" i="13"/>
  <c r="AB223" i="13"/>
  <c r="AE72" i="13"/>
  <c r="AB72" i="13"/>
  <c r="AI168" i="13"/>
  <c r="AB168" i="13"/>
  <c r="AE291" i="13"/>
  <c r="AB291" i="13"/>
  <c r="AE287" i="13"/>
  <c r="AB287" i="13"/>
  <c r="AE207" i="13"/>
  <c r="AB207" i="13"/>
  <c r="AI220" i="13"/>
  <c r="AB220" i="13"/>
  <c r="AK179" i="13"/>
  <c r="AQ179" i="13" s="1"/>
  <c r="AB179" i="13"/>
  <c r="AK17" i="13"/>
  <c r="AQ17" i="13" s="1"/>
  <c r="AB17" i="13"/>
  <c r="AF38" i="13"/>
  <c r="AB38" i="13"/>
  <c r="AE155" i="13"/>
  <c r="AB155" i="13"/>
  <c r="AE22" i="13"/>
  <c r="AB22" i="13"/>
  <c r="AK138" i="13"/>
  <c r="AQ138" i="13" s="1"/>
  <c r="AB138" i="13"/>
  <c r="AF39" i="13"/>
  <c r="AB39" i="13"/>
  <c r="AK110" i="13"/>
  <c r="AQ110" i="13" s="1"/>
  <c r="AB110" i="13"/>
  <c r="AE413" i="13"/>
  <c r="AB413" i="13"/>
  <c r="AI9" i="13"/>
  <c r="AB9" i="13"/>
  <c r="AF199" i="13"/>
  <c r="AB199" i="13"/>
  <c r="AI8" i="13"/>
  <c r="AB8" i="13"/>
  <c r="AI314" i="13"/>
  <c r="AB314" i="13"/>
  <c r="AE11" i="13"/>
  <c r="AB11" i="13"/>
  <c r="AK233" i="13"/>
  <c r="AQ233" i="13" s="1"/>
  <c r="AB233" i="13"/>
  <c r="AI278" i="13"/>
  <c r="AB278" i="13"/>
  <c r="AK169" i="13"/>
  <c r="AQ169" i="13" s="1"/>
  <c r="AB169" i="13"/>
  <c r="AF188" i="13"/>
  <c r="AB188" i="13"/>
  <c r="AK135" i="13"/>
  <c r="AQ135" i="13" s="1"/>
  <c r="AB135" i="13"/>
  <c r="AK270" i="13"/>
  <c r="AB270" i="13"/>
  <c r="AE306" i="13"/>
  <c r="AB306" i="13"/>
  <c r="AE205" i="13"/>
  <c r="AB205" i="13"/>
  <c r="AI33" i="13"/>
  <c r="AB33" i="13"/>
  <c r="AF131" i="13"/>
  <c r="AB131" i="13"/>
  <c r="AI208" i="13"/>
  <c r="AB208" i="13"/>
  <c r="AK24" i="13"/>
  <c r="AQ24" i="13" s="1"/>
  <c r="AB24" i="13"/>
  <c r="AB268" i="13"/>
  <c r="AK429" i="13"/>
  <c r="AB429" i="13"/>
  <c r="AF119" i="13"/>
  <c r="AB119" i="13"/>
  <c r="AK149" i="13"/>
  <c r="AQ149" i="13" s="1"/>
  <c r="AB149" i="13"/>
  <c r="AI273" i="13"/>
  <c r="AB273" i="13"/>
  <c r="AE297" i="13"/>
  <c r="AB297" i="13"/>
  <c r="AE139" i="13"/>
  <c r="AB139" i="13"/>
  <c r="AE61" i="13"/>
  <c r="AB61" i="13"/>
  <c r="AI64" i="13"/>
  <c r="AB64" i="13"/>
  <c r="AE201" i="13"/>
  <c r="AB201" i="13"/>
  <c r="AI261" i="13"/>
  <c r="AB261" i="13"/>
  <c r="AE313" i="13"/>
  <c r="AB313" i="13"/>
  <c r="AF308" i="13"/>
  <c r="AB308" i="13"/>
  <c r="AK45" i="13"/>
  <c r="AQ45" i="13" s="1"/>
  <c r="AB45" i="13"/>
  <c r="AK277" i="13"/>
  <c r="AQ277" i="13" s="1"/>
  <c r="AB277" i="13"/>
  <c r="AK107" i="13"/>
  <c r="AQ107" i="13" s="1"/>
  <c r="AB107" i="13"/>
  <c r="AK122" i="13"/>
  <c r="AQ122" i="13" s="1"/>
  <c r="AB122" i="13"/>
  <c r="AI171" i="13"/>
  <c r="AB171" i="13"/>
  <c r="AE303" i="13"/>
  <c r="AB303" i="13"/>
  <c r="AI25" i="13"/>
  <c r="AB25" i="13"/>
  <c r="AI219" i="13"/>
  <c r="AB219" i="13"/>
  <c r="AE311" i="13"/>
  <c r="AB311" i="13"/>
  <c r="AF5" i="13"/>
  <c r="AB5" i="13"/>
  <c r="AE126" i="13"/>
  <c r="AB126" i="13"/>
  <c r="AE86" i="13"/>
  <c r="AB86" i="13"/>
  <c r="AE23" i="13"/>
  <c r="AB23" i="13"/>
  <c r="AF298" i="13"/>
  <c r="AB298" i="13"/>
  <c r="AI245" i="13"/>
  <c r="AB245" i="13"/>
  <c r="AK4" i="13"/>
  <c r="AQ4" i="13" s="1"/>
  <c r="AB4" i="13"/>
  <c r="AI204" i="13"/>
  <c r="AB204" i="13"/>
  <c r="AE55" i="13"/>
  <c r="AF390" i="13"/>
  <c r="AK395" i="13"/>
  <c r="AQ395" i="13" s="1"/>
  <c r="AK345" i="13"/>
  <c r="AQ345" i="13" s="1"/>
  <c r="AF404" i="13"/>
  <c r="AI376" i="13"/>
  <c r="AE337" i="13"/>
  <c r="AE392" i="13"/>
  <c r="AF403" i="13"/>
  <c r="AK391" i="13"/>
  <c r="AQ391" i="13" s="1"/>
  <c r="AE330" i="13"/>
  <c r="AF387" i="13"/>
  <c r="AK397" i="13"/>
  <c r="AQ397" i="13" s="1"/>
  <c r="AI407" i="13"/>
  <c r="AF341" i="13"/>
  <c r="AI408" i="13"/>
  <c r="AE402" i="13"/>
  <c r="AK398" i="13"/>
  <c r="AQ398" i="13" s="1"/>
  <c r="AE410" i="13"/>
  <c r="AK396" i="13"/>
  <c r="AQ396" i="13" s="1"/>
  <c r="AK388" i="13"/>
  <c r="AQ388" i="13" s="1"/>
  <c r="AI399" i="13"/>
  <c r="AK329" i="13"/>
  <c r="AQ329" i="13" s="1"/>
  <c r="AK409" i="13"/>
  <c r="AQ409" i="13" s="1"/>
  <c r="AF406" i="13"/>
  <c r="AK385" i="13"/>
  <c r="AK401" i="13"/>
  <c r="AQ401" i="13" s="1"/>
  <c r="AD385" i="13"/>
  <c r="AD392" i="13"/>
  <c r="AF204" i="13"/>
  <c r="AK204" i="13"/>
  <c r="AQ204" i="13" s="1"/>
  <c r="AE204" i="13"/>
  <c r="AF156" i="13"/>
  <c r="H91" i="13"/>
  <c r="AI307" i="13"/>
  <c r="H421" i="13"/>
  <c r="AE145" i="13"/>
  <c r="AF289" i="13"/>
  <c r="AK71" i="13"/>
  <c r="AQ71" i="13" s="1"/>
  <c r="AI71" i="13"/>
  <c r="AE71" i="13"/>
  <c r="AK307" i="13"/>
  <c r="AE259" i="13"/>
  <c r="AE307" i="13"/>
  <c r="AK259" i="13"/>
  <c r="AD404" i="13"/>
  <c r="AK199" i="13"/>
  <c r="AQ199" i="13" s="1"/>
  <c r="AE110" i="13"/>
  <c r="AI199" i="13"/>
  <c r="AK55" i="13"/>
  <c r="AE199" i="13"/>
  <c r="AF55" i="13"/>
  <c r="AF9" i="13"/>
  <c r="AE9" i="13"/>
  <c r="AF176" i="13"/>
  <c r="AE414" i="13"/>
  <c r="AK414" i="13"/>
  <c r="AQ414" i="13" s="1"/>
  <c r="AE176" i="13"/>
  <c r="AI414" i="13"/>
  <c r="AF245" i="13"/>
  <c r="AE245" i="13"/>
  <c r="AD146" i="13"/>
  <c r="AK9" i="13"/>
  <c r="AQ9" i="13" s="1"/>
  <c r="AK245" i="13"/>
  <c r="AQ245" i="13" s="1"/>
  <c r="AI6" i="13"/>
  <c r="AF115" i="13"/>
  <c r="AI211" i="13"/>
  <c r="AF211" i="13"/>
  <c r="AF4" i="13"/>
  <c r="AE4" i="13"/>
  <c r="AI4" i="13"/>
  <c r="AF413" i="13"/>
  <c r="AD294" i="13"/>
  <c r="AK413" i="13"/>
  <c r="AQ413" i="13" s="1"/>
  <c r="AI176" i="13"/>
  <c r="AE211" i="13"/>
  <c r="AD230" i="13"/>
  <c r="AI255" i="13"/>
  <c r="AD307" i="13"/>
  <c r="AE255" i="13"/>
  <c r="AF255" i="13"/>
  <c r="AK6" i="13"/>
  <c r="AQ6" i="13" s="1"/>
  <c r="AI110" i="13"/>
  <c r="AF110" i="13"/>
  <c r="AI36" i="13"/>
  <c r="AF36" i="13"/>
  <c r="AE36" i="13"/>
  <c r="H136" i="13"/>
  <c r="G136" i="13"/>
  <c r="AL136" i="13" s="1"/>
  <c r="AE6" i="13"/>
  <c r="AK39" i="13"/>
  <c r="AQ39" i="13" s="1"/>
  <c r="AE39" i="13"/>
  <c r="AI151" i="13"/>
  <c r="AE115" i="13"/>
  <c r="AF46" i="13"/>
  <c r="AI175" i="13"/>
  <c r="AI39" i="13"/>
  <c r="AI275" i="13"/>
  <c r="AK155" i="13"/>
  <c r="AQ155" i="13" s="1"/>
  <c r="AF138" i="13"/>
  <c r="AE138" i="13"/>
  <c r="AF428" i="13"/>
  <c r="AF151" i="13"/>
  <c r="AF299" i="13"/>
  <c r="AK299" i="13"/>
  <c r="AQ299" i="13" s="1"/>
  <c r="AK106" i="13"/>
  <c r="AQ106" i="13" s="1"/>
  <c r="AK5" i="13"/>
  <c r="AE298" i="13"/>
  <c r="AF175" i="13"/>
  <c r="AE151" i="13"/>
  <c r="AI298" i="13"/>
  <c r="AK42" i="13"/>
  <c r="AQ42" i="13" s="1"/>
  <c r="AE42" i="13"/>
  <c r="AK175" i="13"/>
  <c r="AQ175" i="13" s="1"/>
  <c r="AI106" i="13"/>
  <c r="AK298" i="13"/>
  <c r="AQ298" i="13" s="1"/>
  <c r="AI287" i="13"/>
  <c r="AE299" i="13"/>
  <c r="AK168" i="13"/>
  <c r="AQ168" i="13" s="1"/>
  <c r="AE106" i="13"/>
  <c r="AF179" i="13"/>
  <c r="AE17" i="13"/>
  <c r="AE38" i="13"/>
  <c r="AK311" i="13"/>
  <c r="AQ311" i="13" s="1"/>
  <c r="AK236" i="13"/>
  <c r="AQ236" i="13" s="1"/>
  <c r="AF25" i="13"/>
  <c r="AE277" i="13"/>
  <c r="AE404" i="13"/>
  <c r="AE179" i="13"/>
  <c r="AI143" i="13"/>
  <c r="AF275" i="13"/>
  <c r="AI311" i="13"/>
  <c r="AI155" i="13"/>
  <c r="AK22" i="13"/>
  <c r="AF155" i="13"/>
  <c r="AI236" i="13"/>
  <c r="AK38" i="13"/>
  <c r="AQ38" i="13" s="1"/>
  <c r="AK428" i="13"/>
  <c r="AI179" i="13"/>
  <c r="AK143" i="13"/>
  <c r="AQ143" i="13" s="1"/>
  <c r="AE275" i="13"/>
  <c r="AF311" i="13"/>
  <c r="AI118" i="13"/>
  <c r="AK118" i="13"/>
  <c r="AQ118" i="13" s="1"/>
  <c r="AI17" i="13"/>
  <c r="AE236" i="13"/>
  <c r="AI38" i="13"/>
  <c r="AE143" i="13"/>
  <c r="AE234" i="13"/>
  <c r="AF118" i="13"/>
  <c r="AF17" i="13"/>
  <c r="AF22" i="13"/>
  <c r="AE25" i="13"/>
  <c r="AK25" i="13"/>
  <c r="AQ25" i="13" s="1"/>
  <c r="AI23" i="13"/>
  <c r="AI86" i="13"/>
  <c r="AE82" i="13"/>
  <c r="AF82" i="13"/>
  <c r="AF86" i="13"/>
  <c r="AK86" i="13"/>
  <c r="AQ86" i="13" s="1"/>
  <c r="AF23" i="13"/>
  <c r="AK82" i="13"/>
  <c r="AQ82" i="13" s="1"/>
  <c r="AI126" i="13"/>
  <c r="AK126" i="13"/>
  <c r="AQ126" i="13" s="1"/>
  <c r="AK23" i="13"/>
  <c r="AQ23" i="13" s="1"/>
  <c r="AE5" i="13"/>
  <c r="AI195" i="13"/>
  <c r="AF126" i="13"/>
  <c r="AF114" i="13"/>
  <c r="AE147" i="13"/>
  <c r="AD243" i="13"/>
  <c r="AI239" i="13"/>
  <c r="AK147" i="13"/>
  <c r="AQ147" i="13" s="1"/>
  <c r="AF147" i="13"/>
  <c r="AF235" i="13"/>
  <c r="AK114" i="13"/>
  <c r="AQ114" i="13" s="1"/>
  <c r="AK235" i="13"/>
  <c r="AQ235" i="13" s="1"/>
  <c r="AE235" i="13"/>
  <c r="AE114" i="13"/>
  <c r="AD390" i="13"/>
  <c r="AK239" i="13"/>
  <c r="AQ239" i="13" s="1"/>
  <c r="AK291" i="13"/>
  <c r="AQ291" i="13" s="1"/>
  <c r="AK223" i="13"/>
  <c r="AQ223" i="13" s="1"/>
  <c r="AE219" i="13"/>
  <c r="AF219" i="13"/>
  <c r="AF72" i="13"/>
  <c r="AI42" i="13"/>
  <c r="AE239" i="13"/>
  <c r="AK295" i="13"/>
  <c r="AQ295" i="13" s="1"/>
  <c r="AE46" i="13"/>
  <c r="AF220" i="13"/>
  <c r="AI207" i="13"/>
  <c r="AF291" i="13"/>
  <c r="AK287" i="13"/>
  <c r="AQ287" i="13" s="1"/>
  <c r="AI46" i="13"/>
  <c r="AI291" i="13"/>
  <c r="AK207" i="13"/>
  <c r="AQ207" i="13" s="1"/>
  <c r="AF287" i="13"/>
  <c r="AF107" i="13"/>
  <c r="AF207" i="13"/>
  <c r="AF168" i="13"/>
  <c r="AE315" i="13"/>
  <c r="AE168" i="13"/>
  <c r="AK315" i="13"/>
  <c r="AQ315" i="13" s="1"/>
  <c r="AF315" i="13"/>
  <c r="AI72" i="13"/>
  <c r="AK72" i="13"/>
  <c r="AQ72" i="13" s="1"/>
  <c r="AK219" i="13"/>
  <c r="AQ219" i="13" s="1"/>
  <c r="AE171" i="13"/>
  <c r="AE220" i="13"/>
  <c r="AK220" i="13"/>
  <c r="AQ220" i="13" s="1"/>
  <c r="AK195" i="13"/>
  <c r="AQ195" i="13" s="1"/>
  <c r="AF98" i="13"/>
  <c r="AE195" i="13"/>
  <c r="AI223" i="13"/>
  <c r="AF223" i="13"/>
  <c r="AF171" i="13"/>
  <c r="AK303" i="13"/>
  <c r="AQ303" i="13" s="1"/>
  <c r="AK420" i="13"/>
  <c r="AI303" i="13"/>
  <c r="AK171" i="13"/>
  <c r="AQ171" i="13" s="1"/>
  <c r="AE122" i="13"/>
  <c r="AK31" i="13"/>
  <c r="AQ31" i="13" s="1"/>
  <c r="AE212" i="13"/>
  <c r="AI31" i="13"/>
  <c r="AF45" i="13"/>
  <c r="AI295" i="13"/>
  <c r="AK212" i="13"/>
  <c r="AF295" i="13"/>
  <c r="AI107" i="13"/>
  <c r="AF303" i="13"/>
  <c r="AE107" i="13"/>
  <c r="AF163" i="13"/>
  <c r="AI163" i="13"/>
  <c r="AF122" i="13"/>
  <c r="AF31" i="13"/>
  <c r="AI122" i="13"/>
  <c r="AD290" i="13"/>
  <c r="AD282" i="13"/>
  <c r="AE98" i="13"/>
  <c r="AK98" i="13"/>
  <c r="AQ98" i="13" s="1"/>
  <c r="AI265" i="13"/>
  <c r="AI102" i="13"/>
  <c r="AE102" i="13"/>
  <c r="AF181" i="13"/>
  <c r="AF102" i="13"/>
  <c r="AE424" i="13"/>
  <c r="AD308" i="13"/>
  <c r="AD410" i="13"/>
  <c r="AD166" i="13"/>
  <c r="AF424" i="13"/>
  <c r="AD134" i="13"/>
  <c r="AI277" i="13"/>
  <c r="AF265" i="13"/>
  <c r="AF277" i="13"/>
  <c r="AI181" i="13"/>
  <c r="AE181" i="13"/>
  <c r="AK265" i="13"/>
  <c r="AQ265" i="13" s="1"/>
  <c r="AE420" i="13"/>
  <c r="AK167" i="13"/>
  <c r="AQ167" i="13" s="1"/>
  <c r="AE163" i="13"/>
  <c r="AE45" i="13"/>
  <c r="AI45" i="13"/>
  <c r="AK213" i="13"/>
  <c r="AQ213" i="13" s="1"/>
  <c r="AE388" i="13"/>
  <c r="AE308" i="13"/>
  <c r="AK92" i="13"/>
  <c r="AQ92" i="13" s="1"/>
  <c r="AI404" i="13"/>
  <c r="AK404" i="13"/>
  <c r="AI117" i="13"/>
  <c r="AK134" i="13"/>
  <c r="AK283" i="13"/>
  <c r="AQ283" i="13" s="1"/>
  <c r="AE134" i="13"/>
  <c r="AF134" i="13"/>
  <c r="AD12" i="13"/>
  <c r="AD387" i="13"/>
  <c r="AI388" i="13"/>
  <c r="AE92" i="13"/>
  <c r="AF180" i="13"/>
  <c r="AK128" i="13"/>
  <c r="AQ128" i="13" s="1"/>
  <c r="AE213" i="13"/>
  <c r="AF396" i="13"/>
  <c r="AF388" i="13"/>
  <c r="AE396" i="13"/>
  <c r="AE140" i="13"/>
  <c r="AI213" i="13"/>
  <c r="AD238" i="13"/>
  <c r="AE167" i="13"/>
  <c r="AI167" i="13"/>
  <c r="AE74" i="13"/>
  <c r="AK164" i="13"/>
  <c r="AQ164" i="13" s="1"/>
  <c r="AE249" i="13"/>
  <c r="AF61" i="13"/>
  <c r="AF182" i="13"/>
  <c r="AF313" i="13"/>
  <c r="AI396" i="13"/>
  <c r="AF284" i="13"/>
  <c r="AI92" i="13"/>
  <c r="AK124" i="13"/>
  <c r="AQ124" i="13" s="1"/>
  <c r="AI308" i="13"/>
  <c r="AF257" i="13"/>
  <c r="AF29" i="13"/>
  <c r="AK140" i="13"/>
  <c r="AQ140" i="13" s="1"/>
  <c r="AE124" i="13"/>
  <c r="AK308" i="13"/>
  <c r="AE29" i="13"/>
  <c r="AE84" i="13"/>
  <c r="AF128" i="13"/>
  <c r="AK180" i="13"/>
  <c r="AQ180" i="13" s="1"/>
  <c r="AF234" i="13"/>
  <c r="AI128" i="13"/>
  <c r="AF201" i="13"/>
  <c r="AE290" i="13"/>
  <c r="AI297" i="13"/>
  <c r="AK50" i="13"/>
  <c r="AQ50" i="13" s="1"/>
  <c r="AF262" i="13"/>
  <c r="AF178" i="13"/>
  <c r="AI178" i="13"/>
  <c r="AK252" i="13"/>
  <c r="AF252" i="13"/>
  <c r="AE261" i="13"/>
  <c r="AI24" i="13"/>
  <c r="AI185" i="13"/>
  <c r="AK111" i="13"/>
  <c r="AQ111" i="13" s="1"/>
  <c r="AK64" i="13"/>
  <c r="AQ64" i="13" s="1"/>
  <c r="AK130" i="13"/>
  <c r="AQ130" i="13" s="1"/>
  <c r="AI283" i="13"/>
  <c r="AK209" i="13"/>
  <c r="AQ209" i="13" s="1"/>
  <c r="AK410" i="13"/>
  <c r="AI79" i="13"/>
  <c r="AF283" i="13"/>
  <c r="AE345" i="13"/>
  <c r="AK178" i="13"/>
  <c r="AQ178" i="13" s="1"/>
  <c r="AK313" i="13"/>
  <c r="AQ313" i="13" s="1"/>
  <c r="AI290" i="13"/>
  <c r="AK297" i="13"/>
  <c r="AQ297" i="13" s="1"/>
  <c r="AI48" i="13"/>
  <c r="AK61" i="13"/>
  <c r="AQ61" i="13" s="1"/>
  <c r="AK290" i="13"/>
  <c r="AF297" i="13"/>
  <c r="AI67" i="13"/>
  <c r="AI61" i="13"/>
  <c r="AI313" i="13"/>
  <c r="AF56" i="13"/>
  <c r="AF50" i="13"/>
  <c r="AI293" i="13"/>
  <c r="AF261" i="13"/>
  <c r="AK185" i="13"/>
  <c r="AQ185" i="13" s="1"/>
  <c r="AE64" i="13"/>
  <c r="AE293" i="13"/>
  <c r="AE56" i="13"/>
  <c r="AK261" i="13"/>
  <c r="AQ261" i="13" s="1"/>
  <c r="AI201" i="13"/>
  <c r="AF37" i="13"/>
  <c r="AF64" i="13"/>
  <c r="AF74" i="13"/>
  <c r="AE50" i="13"/>
  <c r="AK201" i="13"/>
  <c r="AQ201" i="13" s="1"/>
  <c r="AE409" i="13"/>
  <c r="AF111" i="13"/>
  <c r="AF426" i="13"/>
  <c r="AE278" i="13"/>
  <c r="AE152" i="13"/>
  <c r="AF209" i="13"/>
  <c r="AE116" i="13"/>
  <c r="AI153" i="13"/>
  <c r="AF89" i="13"/>
  <c r="AI209" i="13"/>
  <c r="AK152" i="13"/>
  <c r="AQ152" i="13" s="1"/>
  <c r="AI410" i="13"/>
  <c r="AE79" i="13"/>
  <c r="AE117" i="13"/>
  <c r="AE159" i="13"/>
  <c r="AF229" i="13"/>
  <c r="AF152" i="13"/>
  <c r="AE305" i="13"/>
  <c r="AF140" i="13"/>
  <c r="AF293" i="13"/>
  <c r="AF40" i="13"/>
  <c r="AF185" i="13"/>
  <c r="AI124" i="13"/>
  <c r="AE390" i="13"/>
  <c r="AF410" i="13"/>
  <c r="AI85" i="13"/>
  <c r="AK426" i="13"/>
  <c r="AI29" i="13"/>
  <c r="AK407" i="13"/>
  <c r="AQ407" i="13" s="1"/>
  <c r="AE162" i="13"/>
  <c r="AF84" i="13"/>
  <c r="AK116" i="13"/>
  <c r="AQ116" i="13" s="1"/>
  <c r="AI169" i="13"/>
  <c r="AK79" i="13"/>
  <c r="AQ79" i="13" s="1"/>
  <c r="AE257" i="13"/>
  <c r="AK117" i="13"/>
  <c r="AQ117" i="13" s="1"/>
  <c r="AI180" i="13"/>
  <c r="AI234" i="13"/>
  <c r="AK267" i="13"/>
  <c r="AF267" i="13"/>
  <c r="AF310" i="13"/>
  <c r="AK257" i="13"/>
  <c r="AQ257" i="13" s="1"/>
  <c r="AI310" i="13"/>
  <c r="AK310" i="13"/>
  <c r="AQ310" i="13" s="1"/>
  <c r="AK84" i="13"/>
  <c r="AQ84" i="13" s="1"/>
  <c r="AI116" i="13"/>
  <c r="AD214" i="13"/>
  <c r="AD258" i="13"/>
  <c r="AE285" i="13"/>
  <c r="AF269" i="13"/>
  <c r="AF399" i="13"/>
  <c r="AF177" i="13"/>
  <c r="AE13" i="13"/>
  <c r="AK341" i="13"/>
  <c r="AQ341" i="13" s="1"/>
  <c r="AI205" i="13"/>
  <c r="AK273" i="13"/>
  <c r="AQ273" i="13" s="1"/>
  <c r="AF11" i="13"/>
  <c r="AF13" i="13"/>
  <c r="AI13" i="13"/>
  <c r="AF402" i="13"/>
  <c r="AK281" i="13"/>
  <c r="AQ281" i="13" s="1"/>
  <c r="AI139" i="13"/>
  <c r="AE148" i="13"/>
  <c r="AI148" i="13"/>
  <c r="AI131" i="13"/>
  <c r="AK33" i="13"/>
  <c r="AQ33" i="13" s="1"/>
  <c r="AE54" i="13"/>
  <c r="AI302" i="13"/>
  <c r="AE100" i="13"/>
  <c r="AE103" i="13"/>
  <c r="AF34" i="13"/>
  <c r="AF268" i="13"/>
  <c r="AF192" i="13"/>
  <c r="AI401" i="13"/>
  <c r="AK34" i="13"/>
  <c r="AQ34" i="13" s="1"/>
  <c r="AI146" i="13"/>
  <c r="AE166" i="13"/>
  <c r="AE271" i="13"/>
  <c r="AF149" i="13"/>
  <c r="AF243" i="13"/>
  <c r="AI119" i="13"/>
  <c r="AE268" i="13"/>
  <c r="AF392" i="13"/>
  <c r="AK271" i="13"/>
  <c r="AQ271" i="13" s="1"/>
  <c r="AI149" i="13"/>
  <c r="AE429" i="13"/>
  <c r="AE208" i="13"/>
  <c r="AE192" i="13"/>
  <c r="AI228" i="13"/>
  <c r="AE401" i="13"/>
  <c r="AE243" i="13"/>
  <c r="AK119" i="13"/>
  <c r="AQ119" i="13" s="1"/>
  <c r="AI130" i="13"/>
  <c r="AI166" i="13"/>
  <c r="AK166" i="13"/>
  <c r="AK268" i="13"/>
  <c r="AF271" i="13"/>
  <c r="AF429" i="13"/>
  <c r="AE119" i="13"/>
  <c r="AD314" i="13"/>
  <c r="AF130" i="13"/>
  <c r="AK392" i="13"/>
  <c r="AE149" i="13"/>
  <c r="AK192" i="13"/>
  <c r="AQ192" i="13" s="1"/>
  <c r="AI243" i="13"/>
  <c r="AF401" i="13"/>
  <c r="AI101" i="13"/>
  <c r="AK408" i="13"/>
  <c r="AQ408" i="13" s="1"/>
  <c r="AF105" i="13"/>
  <c r="AE422" i="13"/>
  <c r="AF281" i="13"/>
  <c r="AI402" i="13"/>
  <c r="AK58" i="13"/>
  <c r="AQ58" i="13" s="1"/>
  <c r="AF58" i="13"/>
  <c r="AK139" i="13"/>
  <c r="AQ139" i="13" s="1"/>
  <c r="AK177" i="13"/>
  <c r="AQ177" i="13" s="1"/>
  <c r="AF273" i="13"/>
  <c r="AE403" i="13"/>
  <c r="AI177" i="13"/>
  <c r="AE58" i="13"/>
  <c r="AF148" i="13"/>
  <c r="AI281" i="13"/>
  <c r="AF139" i="13"/>
  <c r="AK48" i="13"/>
  <c r="AQ48" i="13" s="1"/>
  <c r="AE408" i="13"/>
  <c r="AE67" i="13"/>
  <c r="AI159" i="13"/>
  <c r="AK182" i="13"/>
  <c r="AQ182" i="13" s="1"/>
  <c r="AE182" i="13"/>
  <c r="AI232" i="13"/>
  <c r="AF159" i="13"/>
  <c r="AE21" i="13"/>
  <c r="AI103" i="13"/>
  <c r="AK296" i="13"/>
  <c r="AQ296" i="13" s="1"/>
  <c r="AI200" i="13"/>
  <c r="AE202" i="13"/>
  <c r="AK202" i="13"/>
  <c r="AQ202" i="13" s="1"/>
  <c r="AE232" i="13"/>
  <c r="AK229" i="13"/>
  <c r="AQ229" i="13" s="1"/>
  <c r="AI164" i="13"/>
  <c r="AK232" i="13"/>
  <c r="AQ232" i="13" s="1"/>
  <c r="AE229" i="13"/>
  <c r="AI316" i="13"/>
  <c r="AF48" i="13"/>
  <c r="AE253" i="13"/>
  <c r="AE129" i="13"/>
  <c r="AE156" i="13"/>
  <c r="AF300" i="13"/>
  <c r="AE273" i="13"/>
  <c r="AE164" i="13"/>
  <c r="AE398" i="13"/>
  <c r="AI35" i="13"/>
  <c r="AE316" i="13"/>
  <c r="AF397" i="13"/>
  <c r="AE270" i="13"/>
  <c r="AE184" i="13"/>
  <c r="AF286" i="13"/>
  <c r="AK67" i="13"/>
  <c r="AQ67" i="13" s="1"/>
  <c r="AK282" i="13"/>
  <c r="AK218" i="13"/>
  <c r="AQ218" i="13" s="1"/>
  <c r="AI54" i="13"/>
  <c r="AK187" i="13"/>
  <c r="AQ187" i="13" s="1"/>
  <c r="AE187" i="13"/>
  <c r="AI190" i="13"/>
  <c r="AK316" i="13"/>
  <c r="AQ316" i="13" s="1"/>
  <c r="AI397" i="13"/>
  <c r="AF408" i="13"/>
  <c r="AK89" i="13"/>
  <c r="AQ89" i="13" s="1"/>
  <c r="AI266" i="13"/>
  <c r="AE35" i="13"/>
  <c r="AE101" i="13"/>
  <c r="AE302" i="13"/>
  <c r="AF21" i="13"/>
  <c r="AF54" i="13"/>
  <c r="AK154" i="13"/>
  <c r="AQ154" i="13" s="1"/>
  <c r="AF103" i="13"/>
  <c r="AK242" i="13"/>
  <c r="AQ242" i="13" s="1"/>
  <c r="AE397" i="13"/>
  <c r="AE376" i="13"/>
  <c r="AI89" i="13"/>
  <c r="AK272" i="13"/>
  <c r="AQ272" i="13" s="1"/>
  <c r="AE266" i="13"/>
  <c r="AK35" i="13"/>
  <c r="AQ35" i="13" s="1"/>
  <c r="AK302" i="13"/>
  <c r="AQ302" i="13" s="1"/>
  <c r="AI21" i="13"/>
  <c r="AE154" i="13"/>
  <c r="AF242" i="13"/>
  <c r="AF237" i="13"/>
  <c r="AF112" i="13"/>
  <c r="AK266" i="13"/>
  <c r="AQ266" i="13" s="1"/>
  <c r="AK101" i="13"/>
  <c r="AQ101" i="13" s="1"/>
  <c r="AI154" i="13"/>
  <c r="AE242" i="13"/>
  <c r="AF202" i="13"/>
  <c r="AK153" i="13"/>
  <c r="AQ153" i="13" s="1"/>
  <c r="AK300" i="13"/>
  <c r="AQ300" i="13" s="1"/>
  <c r="AI40" i="13"/>
  <c r="AI249" i="13"/>
  <c r="AI422" i="13"/>
  <c r="AK390" i="13"/>
  <c r="AE228" i="13"/>
  <c r="AE85" i="13"/>
  <c r="AF282" i="13"/>
  <c r="AI111" i="13"/>
  <c r="AI282" i="13"/>
  <c r="AK306" i="13"/>
  <c r="AQ306" i="13" s="1"/>
  <c r="AK150" i="13"/>
  <c r="AQ150" i="13" s="1"/>
  <c r="AK200" i="13"/>
  <c r="AQ200" i="13" s="1"/>
  <c r="AE407" i="13"/>
  <c r="AF200" i="13"/>
  <c r="AK146" i="13"/>
  <c r="AF187" i="13"/>
  <c r="AF153" i="13"/>
  <c r="AI156" i="13"/>
  <c r="AE40" i="13"/>
  <c r="AF249" i="13"/>
  <c r="AK422" i="13"/>
  <c r="AQ422" i="13" s="1"/>
  <c r="AI398" i="13"/>
  <c r="AI306" i="13"/>
  <c r="AK100" i="13"/>
  <c r="AQ100" i="13" s="1"/>
  <c r="AF306" i="13"/>
  <c r="AI150" i="13"/>
  <c r="AF407" i="13"/>
  <c r="AE37" i="13"/>
  <c r="AK37" i="13"/>
  <c r="AQ37" i="13" s="1"/>
  <c r="AF190" i="13"/>
  <c r="AF146" i="13"/>
  <c r="AK269" i="13"/>
  <c r="AE169" i="13"/>
  <c r="AK156" i="13"/>
  <c r="AQ156" i="13" s="1"/>
  <c r="AE269" i="13"/>
  <c r="AF169" i="13"/>
  <c r="AI241" i="13"/>
  <c r="AE300" i="13"/>
  <c r="AI390" i="13"/>
  <c r="AK228" i="13"/>
  <c r="AQ228" i="13" s="1"/>
  <c r="AK80" i="13"/>
  <c r="AQ80" i="13" s="1"/>
  <c r="AF398" i="13"/>
  <c r="AK85" i="13"/>
  <c r="AQ85" i="13" s="1"/>
  <c r="AE387" i="13"/>
  <c r="AK402" i="13"/>
  <c r="AQ402" i="13" s="1"/>
  <c r="AI100" i="13"/>
  <c r="AE150" i="13"/>
  <c r="AI57" i="13"/>
  <c r="AE233" i="13"/>
  <c r="AF133" i="13"/>
  <c r="AF104" i="13"/>
  <c r="AE109" i="13"/>
  <c r="AK412" i="13"/>
  <c r="AK284" i="13"/>
  <c r="AQ284" i="13" s="1"/>
  <c r="AF304" i="13"/>
  <c r="AE221" i="13"/>
  <c r="AE284" i="13"/>
  <c r="AF141" i="13"/>
  <c r="AK99" i="13"/>
  <c r="AQ99" i="13" s="1"/>
  <c r="AE258" i="13"/>
  <c r="AI258" i="13"/>
  <c r="AF258" i="13"/>
  <c r="AF309" i="13"/>
  <c r="AI341" i="13"/>
  <c r="AE237" i="13"/>
  <c r="AF205" i="13"/>
  <c r="AE425" i="13"/>
  <c r="AE188" i="13"/>
  <c r="AE112" i="13"/>
  <c r="AE173" i="13"/>
  <c r="AI345" i="13"/>
  <c r="AF260" i="13"/>
  <c r="AK184" i="13"/>
  <c r="AQ184" i="13" s="1"/>
  <c r="AE411" i="13"/>
  <c r="AE131" i="13"/>
  <c r="AE33" i="13"/>
  <c r="AE59" i="13"/>
  <c r="AF59" i="13"/>
  <c r="AE341" i="13"/>
  <c r="AK237" i="13"/>
  <c r="AQ237" i="13" s="1"/>
  <c r="AK205" i="13"/>
  <c r="AQ205" i="13" s="1"/>
  <c r="AK188" i="13"/>
  <c r="AQ188" i="13" s="1"/>
  <c r="AK112" i="13"/>
  <c r="AQ112" i="13" s="1"/>
  <c r="AK165" i="13"/>
  <c r="AQ165" i="13" s="1"/>
  <c r="AK312" i="13"/>
  <c r="AQ312" i="13" s="1"/>
  <c r="AF345" i="13"/>
  <c r="AF184" i="13"/>
  <c r="AI135" i="13"/>
  <c r="AF33" i="13"/>
  <c r="AK59" i="13"/>
  <c r="AQ59" i="13" s="1"/>
  <c r="AF312" i="13"/>
  <c r="AE8" i="13"/>
  <c r="AK131" i="13"/>
  <c r="AQ131" i="13" s="1"/>
  <c r="AK406" i="13"/>
  <c r="AQ406" i="13" s="1"/>
  <c r="AE320" i="13"/>
  <c r="AF208" i="13"/>
  <c r="AK262" i="13"/>
  <c r="AE186" i="13"/>
  <c r="AF186" i="13"/>
  <c r="AK214" i="13"/>
  <c r="AE24" i="13"/>
  <c r="AE104" i="13"/>
  <c r="AF109" i="13"/>
  <c r="AE412" i="13"/>
  <c r="AI221" i="13"/>
  <c r="AK309" i="13"/>
  <c r="AQ309" i="13" s="1"/>
  <c r="AI233" i="13"/>
  <c r="AE141" i="13"/>
  <c r="AK133" i="13"/>
  <c r="AQ133" i="13" s="1"/>
  <c r="AE256" i="13"/>
  <c r="AI99" i="13"/>
  <c r="AK109" i="13"/>
  <c r="AQ109" i="13" s="1"/>
  <c r="AK289" i="13"/>
  <c r="AQ289" i="13" s="1"/>
  <c r="AF221" i="13"/>
  <c r="AI309" i="13"/>
  <c r="AF233" i="13"/>
  <c r="AK141" i="13"/>
  <c r="AQ141" i="13" s="1"/>
  <c r="AE280" i="13"/>
  <c r="AF193" i="13"/>
  <c r="AE133" i="13"/>
  <c r="AK208" i="13"/>
  <c r="AQ208" i="13" s="1"/>
  <c r="AK108" i="13"/>
  <c r="AQ108" i="13" s="1"/>
  <c r="AE99" i="13"/>
  <c r="AE385" i="13"/>
  <c r="AI385" i="13"/>
  <c r="AF24" i="13"/>
  <c r="AE289" i="13"/>
  <c r="AE314" i="13"/>
  <c r="AE399" i="13"/>
  <c r="AI104" i="13"/>
  <c r="AF385" i="13"/>
  <c r="AI214" i="13"/>
  <c r="AK162" i="13"/>
  <c r="AQ162" i="13" s="1"/>
  <c r="AE218" i="13"/>
  <c r="AF218" i="13"/>
  <c r="AK264" i="13"/>
  <c r="AQ264" i="13" s="1"/>
  <c r="AF395" i="13"/>
  <c r="AI406" i="13"/>
  <c r="AI230" i="13"/>
  <c r="AF57" i="13"/>
  <c r="AI238" i="13"/>
  <c r="AF322" i="13"/>
  <c r="AE57" i="13"/>
  <c r="AF162" i="13"/>
  <c r="AF214" i="13"/>
  <c r="AE406" i="13"/>
  <c r="AK276" i="13"/>
  <c r="AQ276" i="13" s="1"/>
  <c r="AI274" i="13"/>
  <c r="AF276" i="13"/>
  <c r="AE322" i="13"/>
  <c r="AE304" i="13"/>
  <c r="AI253" i="13"/>
  <c r="AF145" i="13"/>
  <c r="AF97" i="13"/>
  <c r="AF425" i="13"/>
  <c r="AF314" i="13"/>
  <c r="AI329" i="13"/>
  <c r="AF241" i="13"/>
  <c r="AF173" i="13"/>
  <c r="AI165" i="13"/>
  <c r="AF376" i="13"/>
  <c r="AE260" i="13"/>
  <c r="AI80" i="13"/>
  <c r="AI217" i="13"/>
  <c r="AE105" i="13"/>
  <c r="AI272" i="13"/>
  <c r="AK411" i="13"/>
  <c r="AQ411" i="13" s="1"/>
  <c r="AF135" i="13"/>
  <c r="AK330" i="13"/>
  <c r="AQ330" i="13" s="1"/>
  <c r="AE395" i="13"/>
  <c r="AK387" i="13"/>
  <c r="AF198" i="13"/>
  <c r="AI296" i="13"/>
  <c r="AE294" i="13"/>
  <c r="AI294" i="13"/>
  <c r="AK95" i="13"/>
  <c r="AK304" i="13"/>
  <c r="AQ304" i="13" s="1"/>
  <c r="AE329" i="13"/>
  <c r="AE165" i="13"/>
  <c r="AK260" i="13"/>
  <c r="AQ260" i="13" s="1"/>
  <c r="AF80" i="13"/>
  <c r="AE217" i="13"/>
  <c r="AE272" i="13"/>
  <c r="AF411" i="13"/>
  <c r="AE135" i="13"/>
  <c r="AI330" i="13"/>
  <c r="AI395" i="13"/>
  <c r="AI387" i="13"/>
  <c r="AE198" i="13"/>
  <c r="AF294" i="13"/>
  <c r="AF253" i="13"/>
  <c r="AK145" i="13"/>
  <c r="AK425" i="13"/>
  <c r="AK314" i="13"/>
  <c r="AK241" i="13"/>
  <c r="AQ241" i="13" s="1"/>
  <c r="AK173" i="13"/>
  <c r="AQ173" i="13" s="1"/>
  <c r="AF270" i="13"/>
  <c r="AK376" i="13"/>
  <c r="AQ376" i="13" s="1"/>
  <c r="AF330" i="13"/>
  <c r="AF296" i="13"/>
  <c r="AK190" i="13"/>
  <c r="AQ190" i="13" s="1"/>
  <c r="AK198" i="13"/>
  <c r="AI409" i="13"/>
  <c r="AK337" i="13"/>
  <c r="AQ337" i="13" s="1"/>
  <c r="AI285" i="13"/>
  <c r="AK256" i="13"/>
  <c r="AQ256" i="13" s="1"/>
  <c r="AK11" i="13"/>
  <c r="AQ11" i="13" s="1"/>
  <c r="AE230" i="13"/>
  <c r="AF230" i="13"/>
  <c r="AK278" i="13"/>
  <c r="AQ278" i="13" s="1"/>
  <c r="AF238" i="13"/>
  <c r="AE274" i="13"/>
  <c r="AF161" i="13"/>
  <c r="AI305" i="13"/>
  <c r="AF409" i="13"/>
  <c r="AF285" i="13"/>
  <c r="AI11" i="13"/>
  <c r="AF278" i="13"/>
  <c r="AE238" i="13"/>
  <c r="AK274" i="13"/>
  <c r="AQ274" i="13" s="1"/>
  <c r="AK305" i="13"/>
  <c r="AQ305" i="13" s="1"/>
  <c r="AK288" i="13"/>
  <c r="AQ288" i="13" s="1"/>
  <c r="AI12" i="13"/>
  <c r="AK322" i="13"/>
  <c r="AQ322" i="13" s="1"/>
  <c r="AF95" i="13"/>
  <c r="AE95" i="13"/>
  <c r="AK161" i="13"/>
  <c r="AQ161" i="13" s="1"/>
  <c r="AI288" i="13"/>
  <c r="AK193" i="13"/>
  <c r="AQ193" i="13" s="1"/>
  <c r="AE12" i="13"/>
  <c r="AI403" i="13"/>
  <c r="AE391" i="13"/>
  <c r="AE427" i="13"/>
  <c r="AF206" i="13"/>
  <c r="AF288" i="13"/>
  <c r="AE193" i="13"/>
  <c r="AK12" i="13"/>
  <c r="AK403" i="13"/>
  <c r="AQ403" i="13" s="1"/>
  <c r="AI391" i="13"/>
  <c r="AF427" i="13"/>
  <c r="AE206" i="13"/>
  <c r="AK427" i="13"/>
  <c r="AI161" i="13"/>
  <c r="AE137" i="13"/>
  <c r="AF391" i="13"/>
  <c r="AI129" i="13"/>
  <c r="AF137" i="13"/>
  <c r="AF129" i="13"/>
  <c r="AF329" i="13"/>
  <c r="AI320" i="13"/>
  <c r="AI312" i="13"/>
  <c r="AF8" i="13"/>
  <c r="AF337" i="13"/>
  <c r="AF217" i="13"/>
  <c r="AK105" i="13"/>
  <c r="AQ105" i="13" s="1"/>
  <c r="AE108" i="13"/>
  <c r="AK286" i="13"/>
  <c r="AQ286" i="13" s="1"/>
  <c r="AK399" i="13"/>
  <c r="AQ399" i="13" s="1"/>
  <c r="AI186" i="13"/>
  <c r="AF264" i="13"/>
  <c r="AE276" i="13"/>
  <c r="AK174" i="13"/>
  <c r="AQ174" i="13" s="1"/>
  <c r="AI137" i="13"/>
  <c r="AK320" i="13"/>
  <c r="AQ320" i="13" s="1"/>
  <c r="AK8" i="13"/>
  <c r="AQ8" i="13" s="1"/>
  <c r="AI337" i="13"/>
  <c r="AF108" i="13"/>
  <c r="AE286" i="13"/>
  <c r="AK423" i="13"/>
  <c r="AE264" i="13"/>
  <c r="AE423" i="13"/>
  <c r="AK16" i="13"/>
  <c r="AQ16" i="13" s="1"/>
  <c r="AF174" i="13"/>
  <c r="AE174" i="13"/>
  <c r="AE16" i="13"/>
  <c r="AK97" i="13"/>
  <c r="AF16" i="13"/>
  <c r="AK280" i="13"/>
  <c r="AQ280" i="13" s="1"/>
  <c r="AI280" i="13"/>
  <c r="AI289" i="13" l="1"/>
  <c r="AQ5" i="13"/>
  <c r="AI188" i="13"/>
  <c r="AQ95" i="13"/>
  <c r="AQ163" i="13"/>
  <c r="AK136" i="13"/>
  <c r="AE136" i="13"/>
  <c r="AB136" i="13"/>
  <c r="AF136" i="13"/>
  <c r="T157" i="16"/>
  <c r="R157" i="16"/>
  <c r="AI392" i="13"/>
  <c r="AI413" i="13"/>
  <c r="AI95" i="13"/>
  <c r="AI256" i="13"/>
  <c r="AQ268" i="13"/>
  <c r="AI268" i="13"/>
  <c r="AQ238" i="13"/>
  <c r="AQ258" i="13"/>
  <c r="AQ230" i="13"/>
  <c r="AQ243" i="13"/>
  <c r="AI34" i="13"/>
  <c r="AI5" i="13"/>
  <c r="AK91" i="13"/>
  <c r="AB91" i="13"/>
  <c r="AQ294" i="13"/>
  <c r="AF421" i="13"/>
  <c r="AB421" i="13"/>
  <c r="AI138" i="13"/>
  <c r="AQ385" i="13"/>
  <c r="AQ392" i="13"/>
  <c r="AI74" i="13"/>
  <c r="AF91" i="13"/>
  <c r="AE91" i="13"/>
  <c r="AE421" i="13"/>
  <c r="AK421" i="13"/>
  <c r="AQ307" i="13"/>
  <c r="AQ404" i="13"/>
  <c r="AQ146" i="13"/>
  <c r="AQ134" i="13"/>
  <c r="AQ390" i="13"/>
  <c r="AQ290" i="13"/>
  <c r="AQ282" i="13"/>
  <c r="AQ166" i="13"/>
  <c r="AQ308" i="13"/>
  <c r="AQ410" i="13"/>
  <c r="AQ12" i="13"/>
  <c r="AQ387" i="13"/>
  <c r="AQ214" i="13"/>
  <c r="AQ314" i="13"/>
  <c r="T172" i="16" l="1"/>
  <c r="R172" i="16"/>
  <c r="AH503" i="13" s="1" a="1"/>
  <c r="AH503" i="13" s="1"/>
  <c r="AI503" i="13" s="1"/>
  <c r="F380" i="13"/>
  <c r="T380" i="13" s="1"/>
  <c r="F3" i="13"/>
  <c r="T3" i="13" s="1"/>
  <c r="D6" i="16"/>
  <c r="E6" i="16" a="1"/>
  <c r="E6" i="16" s="1"/>
  <c r="N6" i="16"/>
  <c r="M6" i="16" s="1"/>
  <c r="S6" i="16"/>
  <c r="U6" i="16" a="1"/>
  <c r="U6" i="16" s="1"/>
  <c r="F144" i="13"/>
  <c r="T144" i="13" s="1"/>
  <c r="F321" i="13"/>
  <c r="T321" i="13" s="1"/>
  <c r="F317" i="13"/>
  <c r="T317" i="13" s="1"/>
  <c r="F225" i="13"/>
  <c r="T225" i="13" s="1"/>
  <c r="F415" i="13"/>
  <c r="T415" i="13" s="1"/>
  <c r="D5" i="16"/>
  <c r="E5" i="16" a="1"/>
  <c r="E5" i="16" s="1"/>
  <c r="N5" i="16"/>
  <c r="O89" i="16" s="1"/>
  <c r="S5" i="16"/>
  <c r="U5" i="16" a="1"/>
  <c r="U5" i="16" s="1"/>
  <c r="Q503" i="13" l="1"/>
  <c r="AD503" i="13" s="1"/>
  <c r="AQ503" i="13" s="1"/>
  <c r="O87" i="16"/>
  <c r="O88" i="16"/>
  <c r="E203" i="13"/>
  <c r="O11" i="16"/>
  <c r="O37" i="16"/>
  <c r="E416" i="13"/>
  <c r="E419" i="13"/>
  <c r="L381" i="13"/>
  <c r="O7" i="16"/>
  <c r="F27" i="13"/>
  <c r="T27" i="13" s="1"/>
  <c r="E417" i="13"/>
  <c r="S417" i="13" s="1"/>
  <c r="E418" i="13"/>
  <c r="S418" i="13" s="1"/>
  <c r="M5" i="16"/>
  <c r="O5" i="16"/>
  <c r="F378" i="13"/>
  <c r="T378" i="13" s="1"/>
  <c r="F377" i="13"/>
  <c r="T377" i="13" s="1"/>
  <c r="F342" i="13"/>
  <c r="T342" i="13" s="1"/>
  <c r="F216" i="13"/>
  <c r="T216" i="13" s="1"/>
  <c r="F96" i="13"/>
  <c r="T96" i="13" s="1"/>
  <c r="E415" i="13"/>
  <c r="S415" i="13" s="1"/>
  <c r="H416" i="13" l="1"/>
  <c r="S416" i="13"/>
  <c r="AA416" i="13" s="1"/>
  <c r="G419" i="13"/>
  <c r="AL419" i="13" s="1"/>
  <c r="S419" i="13"/>
  <c r="AA419" i="13" s="1"/>
  <c r="H203" i="13"/>
  <c r="S203" i="13"/>
  <c r="AA203" i="13" s="1"/>
  <c r="N381" i="13"/>
  <c r="AM381" i="13" s="1"/>
  <c r="G203" i="13"/>
  <c r="AL203" i="13" s="1"/>
  <c r="G416" i="13"/>
  <c r="AL416" i="13" s="1"/>
  <c r="H419" i="13"/>
  <c r="R5" i="16"/>
  <c r="O381" i="13"/>
  <c r="G418" i="13"/>
  <c r="AL418" i="13" s="1"/>
  <c r="H418" i="13"/>
  <c r="AA418" i="13"/>
  <c r="AB418" i="13" s="1"/>
  <c r="G415" i="13"/>
  <c r="H415" i="13"/>
  <c r="AA415" i="13"/>
  <c r="AB415" i="13" s="1"/>
  <c r="G417" i="13"/>
  <c r="AL417" i="13" s="1"/>
  <c r="H417" i="13"/>
  <c r="AA417" i="13"/>
  <c r="AB417" i="13" s="1"/>
  <c r="AK416" i="13" l="1"/>
  <c r="AB416" i="13"/>
  <c r="AK203" i="13"/>
  <c r="AB203" i="13"/>
  <c r="AF419" i="13"/>
  <c r="AB419" i="13"/>
  <c r="AF203" i="13"/>
  <c r="AE203" i="13"/>
  <c r="AF416" i="13"/>
  <c r="AE416" i="13"/>
  <c r="AK419" i="13"/>
  <c r="AE419" i="13"/>
  <c r="AE418" i="13"/>
  <c r="AK418" i="13"/>
  <c r="AF418" i="13"/>
  <c r="AF417" i="13"/>
  <c r="AK417" i="13"/>
  <c r="AE417" i="13"/>
  <c r="J415" i="13"/>
  <c r="AD415" i="13" s="1"/>
  <c r="AL415" i="13"/>
  <c r="AK415" i="13"/>
  <c r="AF415" i="13"/>
  <c r="AE415" i="13"/>
  <c r="AI415" i="13" s="1"/>
  <c r="D4" i="16"/>
  <c r="E4" i="16" a="1"/>
  <c r="E4" i="16" s="1"/>
  <c r="N4" i="16"/>
  <c r="O123" i="16" s="1"/>
  <c r="S4" i="16"/>
  <c r="U4" i="16" a="1"/>
  <c r="U4" i="16" s="1"/>
  <c r="E405" i="13"/>
  <c r="S405" i="13" s="1"/>
  <c r="F63" i="13"/>
  <c r="T63" i="13" s="1"/>
  <c r="O114" i="16" l="1"/>
  <c r="O116" i="16"/>
  <c r="O107" i="16"/>
  <c r="O111" i="16"/>
  <c r="O98" i="16"/>
  <c r="O103" i="16"/>
  <c r="O90" i="16"/>
  <c r="O94" i="16"/>
  <c r="O86" i="16"/>
  <c r="O84" i="16"/>
  <c r="O81" i="16"/>
  <c r="O83" i="16"/>
  <c r="O75" i="16"/>
  <c r="O78" i="16"/>
  <c r="O69" i="16"/>
  <c r="O71" i="16"/>
  <c r="O67" i="16"/>
  <c r="O62" i="16"/>
  <c r="O65" i="16"/>
  <c r="O58" i="16"/>
  <c r="O60" i="16"/>
  <c r="O51" i="16"/>
  <c r="O54" i="16"/>
  <c r="O45" i="16"/>
  <c r="O48" i="16"/>
  <c r="O38" i="16"/>
  <c r="O41" i="16"/>
  <c r="O34" i="16"/>
  <c r="O32" i="16"/>
  <c r="O28" i="16"/>
  <c r="O24" i="16"/>
  <c r="O14" i="16"/>
  <c r="O19" i="16"/>
  <c r="G405" i="13"/>
  <c r="AL405" i="13" s="1"/>
  <c r="H405" i="13"/>
  <c r="AQ415" i="13"/>
  <c r="L20" i="13"/>
  <c r="O10" i="16"/>
  <c r="O6" i="16"/>
  <c r="O4" i="16"/>
  <c r="M4" i="16"/>
  <c r="F194" i="13"/>
  <c r="T194" i="13" s="1"/>
  <c r="N20" i="13" l="1"/>
  <c r="AM20" i="13" s="1"/>
  <c r="S20" i="13"/>
  <c r="AA20" i="13" s="1"/>
  <c r="AA405" i="13"/>
  <c r="AB405" i="13" s="1"/>
  <c r="O20" i="13"/>
  <c r="R4" i="16"/>
  <c r="F343" i="13"/>
  <c r="T343" i="13" s="1"/>
  <c r="AE20" i="13" l="1"/>
  <c r="AB20" i="13"/>
  <c r="AK405" i="13"/>
  <c r="AE405" i="13"/>
  <c r="AF405" i="13"/>
  <c r="AK20" i="13"/>
  <c r="AF20" i="13"/>
  <c r="F327" i="13"/>
  <c r="T327" i="13" s="1"/>
  <c r="F132" i="13"/>
  <c r="T132" i="13" s="1"/>
  <c r="F379" i="13"/>
  <c r="T379" i="13" s="1"/>
  <c r="F73" i="13" l="1"/>
  <c r="T73" i="13" s="1"/>
  <c r="E65" i="13" l="1"/>
  <c r="S65" i="13" s="1"/>
  <c r="G65" i="13" l="1"/>
  <c r="AL65" i="13" s="1"/>
  <c r="H65" i="13"/>
  <c r="AA65" i="13"/>
  <c r="AB65" i="13" s="1"/>
  <c r="E26" i="13" l="1"/>
  <c r="E400" i="13"/>
  <c r="S400" i="13" s="1"/>
  <c r="AE65" i="13"/>
  <c r="AF65" i="13"/>
  <c r="AK65" i="13"/>
  <c r="F7" i="13"/>
  <c r="T7" i="13" s="1"/>
  <c r="F215" i="13"/>
  <c r="T215" i="13" s="1"/>
  <c r="F279" i="13"/>
  <c r="T279" i="13" s="1"/>
  <c r="F83" i="13"/>
  <c r="T83" i="13" s="1"/>
  <c r="G26" i="13" l="1"/>
  <c r="AL26" i="13" s="1"/>
  <c r="S26" i="13"/>
  <c r="AA26" i="13" s="1"/>
  <c r="AA400" i="13"/>
  <c r="AB400" i="13" s="1"/>
  <c r="H26" i="13"/>
  <c r="H400" i="13"/>
  <c r="G400" i="13"/>
  <c r="AL400" i="13" s="1"/>
  <c r="AK26" i="13" l="1"/>
  <c r="AB26" i="13"/>
  <c r="AF400" i="13"/>
  <c r="AE400" i="13"/>
  <c r="AK400" i="13"/>
  <c r="AE26" i="13"/>
  <c r="AF26" i="13"/>
  <c r="E394" i="13"/>
  <c r="F263" i="13"/>
  <c r="T263" i="13" s="1"/>
  <c r="F231" i="13"/>
  <c r="T231" i="13" s="1"/>
  <c r="F374" i="13"/>
  <c r="T374" i="13" s="1"/>
  <c r="G394" i="13" l="1"/>
  <c r="AL394" i="13" s="1"/>
  <c r="S394" i="13"/>
  <c r="E393" i="13"/>
  <c r="H394" i="13"/>
  <c r="H393" i="13" l="1"/>
  <c r="S393" i="13"/>
  <c r="AA394" i="13"/>
  <c r="AB394" i="13" s="1"/>
  <c r="G393" i="13"/>
  <c r="AL393" i="13" s="1"/>
  <c r="L1" i="6"/>
  <c r="E3" i="16" a="1"/>
  <c r="E3" i="16" s="1"/>
  <c r="D3" i="16"/>
  <c r="E73" i="13"/>
  <c r="S73" i="13" s="1"/>
  <c r="E327" i="13"/>
  <c r="S327" i="13" s="1"/>
  <c r="E231" i="13"/>
  <c r="S231" i="13" s="1"/>
  <c r="E7" i="13"/>
  <c r="S7" i="13" s="1"/>
  <c r="E41" i="13"/>
  <c r="S41" i="13" s="1"/>
  <c r="E222" i="13"/>
  <c r="S222" i="13" s="1"/>
  <c r="E378" i="13"/>
  <c r="S378" i="13" s="1"/>
  <c r="E377" i="13"/>
  <c r="S377" i="13" s="1"/>
  <c r="E374" i="13"/>
  <c r="S374" i="13" s="1"/>
  <c r="E375" i="13"/>
  <c r="S375" i="13" s="1"/>
  <c r="E96" i="13"/>
  <c r="S96" i="13" s="1"/>
  <c r="E216" i="13"/>
  <c r="S216" i="13" s="1"/>
  <c r="E346" i="13"/>
  <c r="S346" i="13" s="1"/>
  <c r="E347" i="13"/>
  <c r="S347" i="13" s="1"/>
  <c r="E348" i="13"/>
  <c r="S348" i="13" s="1"/>
  <c r="E349" i="13"/>
  <c r="S349" i="13" s="1"/>
  <c r="E351" i="13"/>
  <c r="S351" i="13" s="1"/>
  <c r="E333" i="13"/>
  <c r="S333" i="13" s="1"/>
  <c r="E75" i="13"/>
  <c r="S75" i="13" s="1"/>
  <c r="E227" i="13"/>
  <c r="S227" i="13" s="1"/>
  <c r="E379" i="13"/>
  <c r="S379" i="13" s="1"/>
  <c r="E250" i="13"/>
  <c r="S250" i="13" s="1"/>
  <c r="E355" i="13"/>
  <c r="S355" i="13" s="1"/>
  <c r="E47" i="13"/>
  <c r="S47" i="13" s="1"/>
  <c r="E360" i="13"/>
  <c r="S360" i="13" s="1"/>
  <c r="E362" i="13"/>
  <c r="S362" i="13" s="1"/>
  <c r="E363" i="13"/>
  <c r="S363" i="13" s="1"/>
  <c r="E364" i="13"/>
  <c r="S364" i="13" s="1"/>
  <c r="E342" i="13"/>
  <c r="S342" i="13" s="1"/>
  <c r="E380" i="13"/>
  <c r="S380" i="13" s="1"/>
  <c r="E27" i="13"/>
  <c r="S27" i="13" s="1"/>
  <c r="E215" i="13"/>
  <c r="S215" i="13" s="1"/>
  <c r="E365" i="13"/>
  <c r="S365" i="13" s="1"/>
  <c r="E372" i="13"/>
  <c r="S372" i="13" s="1"/>
  <c r="E343" i="13"/>
  <c r="S343" i="13" s="1"/>
  <c r="E317" i="13"/>
  <c r="S317" i="13" s="1"/>
  <c r="AE394" i="13" l="1"/>
  <c r="AF394" i="13"/>
  <c r="AK394" i="13"/>
  <c r="AA393" i="13"/>
  <c r="AB393" i="13" s="1"/>
  <c r="E49" i="13"/>
  <c r="E66" i="13"/>
  <c r="E51" i="13"/>
  <c r="E350" i="13"/>
  <c r="E43" i="13"/>
  <c r="E70" i="13"/>
  <c r="E328" i="13"/>
  <c r="E15" i="13"/>
  <c r="E113" i="13"/>
  <c r="E224" i="13"/>
  <c r="E77" i="13"/>
  <c r="E382" i="13"/>
  <c r="S382" i="13" s="1"/>
  <c r="E389" i="13"/>
  <c r="E125" i="13"/>
  <c r="E370" i="13"/>
  <c r="E197" i="13"/>
  <c r="E94" i="13"/>
  <c r="E68" i="13"/>
  <c r="E69" i="13"/>
  <c r="E357" i="13"/>
  <c r="E356" i="13"/>
  <c r="E247" i="13"/>
  <c r="E248" i="13"/>
  <c r="E226" i="13"/>
  <c r="E19" i="13"/>
  <c r="E371" i="13"/>
  <c r="E76" i="13"/>
  <c r="E244" i="13"/>
  <c r="E158" i="13"/>
  <c r="E251" i="13"/>
  <c r="E373" i="13"/>
  <c r="E369" i="13"/>
  <c r="S369" i="13" s="1"/>
  <c r="E172" i="13"/>
  <c r="E352" i="13"/>
  <c r="E52" i="13"/>
  <c r="E87" i="13"/>
  <c r="E44" i="13"/>
  <c r="E240" i="13"/>
  <c r="E340" i="13"/>
  <c r="E14" i="13"/>
  <c r="E93" i="13"/>
  <c r="E324" i="13"/>
  <c r="E157" i="13"/>
  <c r="E123" i="13"/>
  <c r="E319" i="13"/>
  <c r="E318" i="13"/>
  <c r="E354" i="13"/>
  <c r="E62" i="13"/>
  <c r="E88" i="13"/>
  <c r="E353" i="13"/>
  <c r="E30" i="13"/>
  <c r="E210" i="13"/>
  <c r="E2" i="13"/>
  <c r="E344" i="13"/>
  <c r="E361" i="13"/>
  <c r="E368" i="13"/>
  <c r="E367" i="13"/>
  <c r="E81" i="13"/>
  <c r="E323" i="13"/>
  <c r="E10" i="13"/>
  <c r="E325" i="13"/>
  <c r="E121" i="13"/>
  <c r="E292" i="13"/>
  <c r="E170" i="13"/>
  <c r="E386" i="13"/>
  <c r="S386" i="13" s="1"/>
  <c r="E32" i="13"/>
  <c r="E366" i="13"/>
  <c r="E358" i="13"/>
  <c r="E132" i="13"/>
  <c r="E183" i="13"/>
  <c r="E246" i="13"/>
  <c r="E359" i="13"/>
  <c r="E127" i="13"/>
  <c r="E90" i="13"/>
  <c r="E120" i="13"/>
  <c r="E331" i="13"/>
  <c r="E301" i="13"/>
  <c r="E332" i="13"/>
  <c r="E338" i="13"/>
  <c r="S338" i="13" s="1"/>
  <c r="E78" i="13"/>
  <c r="E196" i="13"/>
  <c r="E381" i="13"/>
  <c r="E28" i="13"/>
  <c r="T14" i="16"/>
  <c r="R12" i="16"/>
  <c r="R13" i="16"/>
  <c r="T12" i="16"/>
  <c r="T13" i="16"/>
  <c r="T7" i="16"/>
  <c r="R7" i="16"/>
  <c r="T11" i="16" s="1"/>
  <c r="E384" i="13"/>
  <c r="E160" i="13"/>
  <c r="E254" i="13"/>
  <c r="G317" i="13"/>
  <c r="H317" i="13"/>
  <c r="AA317" i="13"/>
  <c r="G380" i="13"/>
  <c r="H380" i="13"/>
  <c r="G75" i="13"/>
  <c r="AL75" i="13" s="1"/>
  <c r="H75" i="13"/>
  <c r="AA75" i="13"/>
  <c r="AB75" i="13" s="1"/>
  <c r="G333" i="13"/>
  <c r="AL333" i="13" s="1"/>
  <c r="H333" i="13"/>
  <c r="G346" i="13"/>
  <c r="AL346" i="13" s="1"/>
  <c r="H346" i="13"/>
  <c r="E279" i="13"/>
  <c r="S279" i="13" s="1"/>
  <c r="E63" i="13"/>
  <c r="S63" i="13" s="1"/>
  <c r="G216" i="13"/>
  <c r="H216" i="13"/>
  <c r="AA216" i="13"/>
  <c r="AB216" i="13" s="1"/>
  <c r="G343" i="13"/>
  <c r="H343" i="13"/>
  <c r="G250" i="13"/>
  <c r="AL250" i="13" s="1"/>
  <c r="H250" i="13"/>
  <c r="AA250" i="13"/>
  <c r="AB250" i="13" s="1"/>
  <c r="G379" i="13"/>
  <c r="H379" i="13"/>
  <c r="E339" i="13"/>
  <c r="S339" i="13" s="1"/>
  <c r="E263" i="13"/>
  <c r="S263" i="13" s="1"/>
  <c r="G374" i="13"/>
  <c r="H374" i="13"/>
  <c r="G377" i="13"/>
  <c r="H377" i="13"/>
  <c r="G378" i="13"/>
  <c r="H378" i="13"/>
  <c r="E335" i="13"/>
  <c r="S335" i="13" s="1"/>
  <c r="E60" i="13"/>
  <c r="S60" i="13" s="1"/>
  <c r="E191" i="13"/>
  <c r="S191" i="13" s="1"/>
  <c r="G222" i="13"/>
  <c r="AL222" i="13" s="1"/>
  <c r="H222" i="13"/>
  <c r="AA222" i="13"/>
  <c r="AB222" i="13" s="1"/>
  <c r="G41" i="13"/>
  <c r="AL41" i="13" s="1"/>
  <c r="H41" i="13"/>
  <c r="AA41" i="13"/>
  <c r="AB41" i="13" s="1"/>
  <c r="E189" i="13"/>
  <c r="S189" i="13" s="1"/>
  <c r="G7" i="13"/>
  <c r="H7" i="13"/>
  <c r="AA7" i="13"/>
  <c r="AB7" i="13" s="1"/>
  <c r="G231" i="13"/>
  <c r="H231" i="13"/>
  <c r="AA231" i="13"/>
  <c r="AB231" i="13" s="1"/>
  <c r="G327" i="13"/>
  <c r="H327" i="13"/>
  <c r="AA327" i="13"/>
  <c r="AB327" i="13" s="1"/>
  <c r="E194" i="13"/>
  <c r="S194" i="13" s="1"/>
  <c r="E18" i="13"/>
  <c r="S18" i="13" s="1"/>
  <c r="E144" i="13"/>
  <c r="S144" i="13" s="1"/>
  <c r="E321" i="13"/>
  <c r="S321" i="13" s="1"/>
  <c r="E326" i="13"/>
  <c r="S326" i="13" s="1"/>
  <c r="G73" i="13"/>
  <c r="H73" i="13"/>
  <c r="AA73" i="13"/>
  <c r="AB73" i="13" s="1"/>
  <c r="E53" i="13"/>
  <c r="S53" i="13" s="1"/>
  <c r="E383" i="13"/>
  <c r="S383" i="13" s="1"/>
  <c r="G372" i="13"/>
  <c r="AL372" i="13" s="1"/>
  <c r="H372" i="13"/>
  <c r="G363" i="13"/>
  <c r="AL363" i="13" s="1"/>
  <c r="H363" i="13"/>
  <c r="G362" i="13"/>
  <c r="AL362" i="13" s="1"/>
  <c r="H362" i="13"/>
  <c r="G360" i="13"/>
  <c r="AL360" i="13" s="1"/>
  <c r="H360" i="13"/>
  <c r="G355" i="13"/>
  <c r="AL355" i="13" s="1"/>
  <c r="H355" i="13"/>
  <c r="G227" i="13"/>
  <c r="AL227" i="13" s="1"/>
  <c r="H227" i="13"/>
  <c r="AA227" i="13"/>
  <c r="AB227" i="13" s="1"/>
  <c r="E225" i="13"/>
  <c r="S225" i="13" s="1"/>
  <c r="G348" i="13"/>
  <c r="AL348" i="13" s="1"/>
  <c r="H348" i="13"/>
  <c r="G364" i="13"/>
  <c r="AL364" i="13" s="1"/>
  <c r="H364" i="13"/>
  <c r="G365" i="13"/>
  <c r="AL365" i="13" s="1"/>
  <c r="H365" i="13"/>
  <c r="G215" i="13"/>
  <c r="H215" i="13"/>
  <c r="AA215" i="13"/>
  <c r="AB215" i="13" s="1"/>
  <c r="G27" i="13"/>
  <c r="H27" i="13"/>
  <c r="AA27" i="13"/>
  <c r="AB27" i="13" s="1"/>
  <c r="G342" i="13"/>
  <c r="H342" i="13"/>
  <c r="G47" i="13"/>
  <c r="AL47" i="13" s="1"/>
  <c r="H47" i="13"/>
  <c r="AA47" i="13"/>
  <c r="AB47" i="13" s="1"/>
  <c r="E83" i="13"/>
  <c r="S83" i="13" s="1"/>
  <c r="G351" i="13"/>
  <c r="AL351" i="13" s="1"/>
  <c r="H351" i="13"/>
  <c r="G349" i="13"/>
  <c r="AL349" i="13" s="1"/>
  <c r="H349" i="13"/>
  <c r="G347" i="13"/>
  <c r="AL347" i="13" s="1"/>
  <c r="H347" i="13"/>
  <c r="G96" i="13"/>
  <c r="H96" i="13"/>
  <c r="AA96" i="13"/>
  <c r="AB96" i="13" s="1"/>
  <c r="G375" i="13"/>
  <c r="AL375" i="13" s="1"/>
  <c r="H375" i="13"/>
  <c r="E336" i="13"/>
  <c r="S336" i="13" s="1"/>
  <c r="T8" i="16"/>
  <c r="T9" i="16"/>
  <c r="T6" i="16"/>
  <c r="R6" i="16"/>
  <c r="T5" i="16"/>
  <c r="T4" i="16"/>
  <c r="H160" i="13" l="1"/>
  <c r="S160" i="13"/>
  <c r="AA160" i="13" s="1"/>
  <c r="AB160" i="13" s="1"/>
  <c r="G78" i="13"/>
  <c r="AL78" i="13" s="1"/>
  <c r="S78" i="13"/>
  <c r="AA78" i="13" s="1"/>
  <c r="G331" i="13"/>
  <c r="AL331" i="13" s="1"/>
  <c r="S331" i="13"/>
  <c r="H359" i="13"/>
  <c r="S359" i="13"/>
  <c r="G358" i="13"/>
  <c r="AL358" i="13" s="1"/>
  <c r="S358" i="13"/>
  <c r="G170" i="13"/>
  <c r="AL170" i="13" s="1"/>
  <c r="S170" i="13"/>
  <c r="AA170" i="13" s="1"/>
  <c r="G10" i="13"/>
  <c r="AL10" i="13" s="1"/>
  <c r="S10" i="13"/>
  <c r="AA10" i="13" s="1"/>
  <c r="H368" i="13"/>
  <c r="S368" i="13"/>
  <c r="G210" i="13"/>
  <c r="AL210" i="13" s="1"/>
  <c r="S210" i="13"/>
  <c r="AA210" i="13" s="1"/>
  <c r="H62" i="13"/>
  <c r="S62" i="13"/>
  <c r="AA62" i="13" s="1"/>
  <c r="G123" i="13"/>
  <c r="AL123" i="13" s="1"/>
  <c r="S123" i="13"/>
  <c r="AA123" i="13" s="1"/>
  <c r="H14" i="13"/>
  <c r="S14" i="13"/>
  <c r="AA14" i="13" s="1"/>
  <c r="G87" i="13"/>
  <c r="AL87" i="13" s="1"/>
  <c r="S87" i="13"/>
  <c r="AA87" i="13" s="1"/>
  <c r="G244" i="13"/>
  <c r="AL244" i="13" s="1"/>
  <c r="S244" i="13"/>
  <c r="AA244" i="13" s="1"/>
  <c r="S226" i="13"/>
  <c r="AA226" i="13" s="1"/>
  <c r="G357" i="13"/>
  <c r="AL357" i="13" s="1"/>
  <c r="S357" i="13"/>
  <c r="S197" i="13"/>
  <c r="AA197" i="13" s="1"/>
  <c r="G15" i="13"/>
  <c r="AL15" i="13" s="1"/>
  <c r="S15" i="13"/>
  <c r="G350" i="13"/>
  <c r="AL350" i="13" s="1"/>
  <c r="S350" i="13"/>
  <c r="H384" i="13"/>
  <c r="S384" i="13"/>
  <c r="G28" i="13"/>
  <c r="AL28" i="13" s="1"/>
  <c r="S28" i="13"/>
  <c r="AA28" i="13" s="1"/>
  <c r="S120" i="13"/>
  <c r="AA120" i="13" s="1"/>
  <c r="H246" i="13"/>
  <c r="S246" i="13"/>
  <c r="AA246" i="13" s="1"/>
  <c r="G366" i="13"/>
  <c r="AL366" i="13" s="1"/>
  <c r="S366" i="13"/>
  <c r="H292" i="13"/>
  <c r="S292" i="13"/>
  <c r="AA292" i="13" s="1"/>
  <c r="S323" i="13"/>
  <c r="AA323" i="13" s="1"/>
  <c r="G361" i="13"/>
  <c r="AL361" i="13" s="1"/>
  <c r="S361" i="13"/>
  <c r="G30" i="13"/>
  <c r="AL30" i="13" s="1"/>
  <c r="S30" i="13"/>
  <c r="AA30" i="13" s="1"/>
  <c r="G354" i="13"/>
  <c r="AL354" i="13" s="1"/>
  <c r="S354" i="13"/>
  <c r="H157" i="13"/>
  <c r="S157" i="13"/>
  <c r="AA157" i="13" s="1"/>
  <c r="G340" i="13"/>
  <c r="AL340" i="13" s="1"/>
  <c r="S340" i="13"/>
  <c r="H52" i="13"/>
  <c r="S52" i="13"/>
  <c r="AA52" i="13" s="1"/>
  <c r="G373" i="13"/>
  <c r="AL373" i="13" s="1"/>
  <c r="S373" i="13"/>
  <c r="H76" i="13"/>
  <c r="S76" i="13"/>
  <c r="AA76" i="13" s="1"/>
  <c r="H248" i="13"/>
  <c r="S248" i="13"/>
  <c r="AA248" i="13" s="1"/>
  <c r="G69" i="13"/>
  <c r="AL69" i="13" s="1"/>
  <c r="S69" i="13"/>
  <c r="AA69" i="13" s="1"/>
  <c r="G370" i="13"/>
  <c r="AL370" i="13" s="1"/>
  <c r="S370" i="13"/>
  <c r="H77" i="13"/>
  <c r="S77" i="13"/>
  <c r="AA77" i="13" s="1"/>
  <c r="G328" i="13"/>
  <c r="AL328" i="13" s="1"/>
  <c r="S328" i="13"/>
  <c r="AA328" i="13" s="1"/>
  <c r="S51" i="13"/>
  <c r="AA51" i="13" s="1"/>
  <c r="H381" i="13"/>
  <c r="S381" i="13"/>
  <c r="H332" i="13"/>
  <c r="S332" i="13"/>
  <c r="S90" i="13"/>
  <c r="AA90" i="13" s="1"/>
  <c r="S183" i="13"/>
  <c r="AA183" i="13" s="1"/>
  <c r="G32" i="13"/>
  <c r="AL32" i="13" s="1"/>
  <c r="S32" i="13"/>
  <c r="AA32" i="13" s="1"/>
  <c r="H121" i="13"/>
  <c r="S121" i="13"/>
  <c r="AA121" i="13" s="1"/>
  <c r="S81" i="13"/>
  <c r="AA81" i="13" s="1"/>
  <c r="G344" i="13"/>
  <c r="AL344" i="13" s="1"/>
  <c r="S344" i="13"/>
  <c r="G353" i="13"/>
  <c r="AL353" i="13" s="1"/>
  <c r="S353" i="13"/>
  <c r="S318" i="13"/>
  <c r="AA318" i="13" s="1"/>
  <c r="G324" i="13"/>
  <c r="AL324" i="13" s="1"/>
  <c r="S324" i="13"/>
  <c r="AA324" i="13" s="1"/>
  <c r="H240" i="13"/>
  <c r="S240" i="13"/>
  <c r="AA240" i="13" s="1"/>
  <c r="G352" i="13"/>
  <c r="AL352" i="13" s="1"/>
  <c r="S352" i="13"/>
  <c r="S251" i="13"/>
  <c r="AA251" i="13" s="1"/>
  <c r="G371" i="13"/>
  <c r="AL371" i="13" s="1"/>
  <c r="S371" i="13"/>
  <c r="S247" i="13"/>
  <c r="AA247" i="13" s="1"/>
  <c r="G68" i="13"/>
  <c r="AL68" i="13" s="1"/>
  <c r="S68" i="13"/>
  <c r="AA68" i="13" s="1"/>
  <c r="H125" i="13"/>
  <c r="S125" i="13"/>
  <c r="AA125" i="13" s="1"/>
  <c r="G224" i="13"/>
  <c r="AL224" i="13" s="1"/>
  <c r="S224" i="13"/>
  <c r="AA224" i="13" s="1"/>
  <c r="H70" i="13"/>
  <c r="S70" i="13"/>
  <c r="AA70" i="13" s="1"/>
  <c r="S66" i="13"/>
  <c r="AA66" i="13" s="1"/>
  <c r="G254" i="13"/>
  <c r="AL254" i="13" s="1"/>
  <c r="S254" i="13"/>
  <c r="AA254" i="13" s="1"/>
  <c r="G196" i="13"/>
  <c r="AL196" i="13" s="1"/>
  <c r="S196" i="13"/>
  <c r="AA196" i="13" s="1"/>
  <c r="G301" i="13"/>
  <c r="AL301" i="13" s="1"/>
  <c r="S301" i="13"/>
  <c r="AA301" i="13" s="1"/>
  <c r="AB301" i="13" s="1"/>
  <c r="S127" i="13"/>
  <c r="AA127" i="13" s="1"/>
  <c r="S132" i="13"/>
  <c r="AA132" i="13" s="1"/>
  <c r="S325" i="13"/>
  <c r="AA325" i="13" s="1"/>
  <c r="G367" i="13"/>
  <c r="AL367" i="13" s="1"/>
  <c r="S367" i="13"/>
  <c r="H2" i="13"/>
  <c r="S2" i="13"/>
  <c r="AA2" i="13" s="1"/>
  <c r="H88" i="13"/>
  <c r="S88" i="13"/>
  <c r="AA88" i="13" s="1"/>
  <c r="L135" i="20" s="1"/>
  <c r="G319" i="13"/>
  <c r="AL319" i="13" s="1"/>
  <c r="S319" i="13"/>
  <c r="AA319" i="13" s="1"/>
  <c r="G93" i="13"/>
  <c r="AL93" i="13" s="1"/>
  <c r="S93" i="13"/>
  <c r="AA93" i="13" s="1"/>
  <c r="G44" i="13"/>
  <c r="AL44" i="13" s="1"/>
  <c r="S44" i="13"/>
  <c r="AA44" i="13" s="1"/>
  <c r="G172" i="13"/>
  <c r="AL172" i="13" s="1"/>
  <c r="S172" i="13"/>
  <c r="H158" i="13"/>
  <c r="S158" i="13"/>
  <c r="AA158" i="13" s="1"/>
  <c r="H19" i="13"/>
  <c r="S19" i="13"/>
  <c r="AA19" i="13" s="1"/>
  <c r="G356" i="13"/>
  <c r="AL356" i="13" s="1"/>
  <c r="S356" i="13"/>
  <c r="H94" i="13"/>
  <c r="S94" i="13"/>
  <c r="AA94" i="13" s="1"/>
  <c r="G389" i="13"/>
  <c r="AL389" i="13" s="1"/>
  <c r="S389" i="13"/>
  <c r="G113" i="13"/>
  <c r="AL113" i="13" s="1"/>
  <c r="S113" i="13"/>
  <c r="AA113" i="13" s="1"/>
  <c r="H43" i="13"/>
  <c r="S43" i="13"/>
  <c r="AA43" i="13" s="1"/>
  <c r="G49" i="13"/>
  <c r="AL49" i="13" s="1"/>
  <c r="S49" i="13"/>
  <c r="AA49" i="13" s="1"/>
  <c r="AB317" i="13"/>
  <c r="AE393" i="13"/>
  <c r="AF393" i="13"/>
  <c r="AK393" i="13"/>
  <c r="AA349" i="13"/>
  <c r="AB349" i="13" s="1"/>
  <c r="AA346" i="13"/>
  <c r="AA348" i="13"/>
  <c r="AA342" i="13"/>
  <c r="AB342" i="13" s="1"/>
  <c r="AA374" i="13"/>
  <c r="AB374" i="13" s="1"/>
  <c r="AA380" i="13"/>
  <c r="AB380" i="13" s="1"/>
  <c r="AA338" i="13"/>
  <c r="AA347" i="13"/>
  <c r="AA363" i="13"/>
  <c r="AB363" i="13" s="1"/>
  <c r="AA343" i="13"/>
  <c r="AB343" i="13" s="1"/>
  <c r="AA364" i="13"/>
  <c r="AB364" i="13" s="1"/>
  <c r="AA362" i="13"/>
  <c r="AB362" i="13" s="1"/>
  <c r="AA375" i="13"/>
  <c r="AB375" i="13" s="1"/>
  <c r="AA351" i="13"/>
  <c r="AB351" i="13" s="1"/>
  <c r="AA365" i="13"/>
  <c r="AA360" i="13"/>
  <c r="AB360" i="13" s="1"/>
  <c r="AA377" i="13"/>
  <c r="AB377" i="13" s="1"/>
  <c r="AA379" i="13"/>
  <c r="AB379" i="13" s="1"/>
  <c r="AA369" i="13"/>
  <c r="AA382" i="13"/>
  <c r="AB382" i="13" s="1"/>
  <c r="AA355" i="13"/>
  <c r="AB355" i="13" s="1"/>
  <c r="AA372" i="13"/>
  <c r="AB372" i="13" s="1"/>
  <c r="AA378" i="13"/>
  <c r="AA333" i="13"/>
  <c r="AB333" i="13" s="1"/>
  <c r="AA386" i="13"/>
  <c r="AB386" i="13" s="1"/>
  <c r="G70" i="13"/>
  <c r="AL70" i="13" s="1"/>
  <c r="G43" i="13"/>
  <c r="AL43" i="13" s="1"/>
  <c r="H224" i="13"/>
  <c r="H66" i="13"/>
  <c r="G247" i="13"/>
  <c r="AL247" i="13" s="1"/>
  <c r="H68" i="13"/>
  <c r="H197" i="13"/>
  <c r="H382" i="13"/>
  <c r="G94" i="13"/>
  <c r="AL94" i="13" s="1"/>
  <c r="H389" i="13"/>
  <c r="H356" i="13"/>
  <c r="H113" i="13"/>
  <c r="H49" i="13"/>
  <c r="H226" i="13"/>
  <c r="G19" i="13"/>
  <c r="AL19" i="13" s="1"/>
  <c r="G66" i="13"/>
  <c r="AL66" i="13" s="1"/>
  <c r="G125" i="13"/>
  <c r="AL125" i="13" s="1"/>
  <c r="H51" i="13"/>
  <c r="G76" i="13"/>
  <c r="AL76" i="13" s="1"/>
  <c r="H370" i="13"/>
  <c r="G51" i="13"/>
  <c r="AL51" i="13" s="1"/>
  <c r="G77" i="13"/>
  <c r="AL77" i="13" s="1"/>
  <c r="H328" i="13"/>
  <c r="G248" i="13"/>
  <c r="AL248" i="13" s="1"/>
  <c r="H69" i="13"/>
  <c r="G197" i="13"/>
  <c r="AL197" i="13" s="1"/>
  <c r="H357" i="13"/>
  <c r="G226" i="13"/>
  <c r="AL226" i="13" s="1"/>
  <c r="G382" i="13"/>
  <c r="AL382" i="13" s="1"/>
  <c r="H350" i="13"/>
  <c r="H247" i="13"/>
  <c r="AA15" i="13"/>
  <c r="H371" i="13"/>
  <c r="H15" i="13"/>
  <c r="H87" i="13"/>
  <c r="H244" i="13"/>
  <c r="G88" i="13"/>
  <c r="AL88" i="13" s="1"/>
  <c r="G240" i="13"/>
  <c r="AL240" i="13" s="1"/>
  <c r="H324" i="13"/>
  <c r="H369" i="13"/>
  <c r="H251" i="13"/>
  <c r="G369" i="13"/>
  <c r="AL369" i="13" s="1"/>
  <c r="G251" i="13"/>
  <c r="AL251" i="13" s="1"/>
  <c r="H352" i="13"/>
  <c r="G14" i="13"/>
  <c r="AL14" i="13" s="1"/>
  <c r="G52" i="13"/>
  <c r="AL52" i="13" s="1"/>
  <c r="AA172" i="13"/>
  <c r="H44" i="13"/>
  <c r="H172" i="13"/>
  <c r="H373" i="13"/>
  <c r="G158" i="13"/>
  <c r="AL158" i="13" s="1"/>
  <c r="H340" i="13"/>
  <c r="H123" i="13"/>
  <c r="H318" i="13"/>
  <c r="H93" i="13"/>
  <c r="G2" i="13"/>
  <c r="AL2" i="13" s="1"/>
  <c r="H354" i="13"/>
  <c r="H319" i="13"/>
  <c r="G157" i="13"/>
  <c r="AL157" i="13" s="1"/>
  <c r="H30" i="13"/>
  <c r="G62" i="13"/>
  <c r="AL62" i="13" s="1"/>
  <c r="H210" i="13"/>
  <c r="G318" i="13"/>
  <c r="AL318" i="13" s="1"/>
  <c r="H353" i="13"/>
  <c r="H81" i="13"/>
  <c r="H361" i="13"/>
  <c r="H367" i="13"/>
  <c r="H325" i="13"/>
  <c r="H344" i="13"/>
  <c r="G325" i="13"/>
  <c r="AL325" i="13" s="1"/>
  <c r="H10" i="13"/>
  <c r="G368" i="13"/>
  <c r="AL368" i="13" s="1"/>
  <c r="G81" i="13"/>
  <c r="AL81" i="13" s="1"/>
  <c r="H323" i="13"/>
  <c r="G323" i="13"/>
  <c r="AL323" i="13" s="1"/>
  <c r="H170" i="13"/>
  <c r="H32" i="13"/>
  <c r="G121" i="13"/>
  <c r="AL121" i="13" s="1"/>
  <c r="H183" i="13"/>
  <c r="G292" i="13"/>
  <c r="AL292" i="13" s="1"/>
  <c r="H90" i="13"/>
  <c r="G90" i="13"/>
  <c r="AL90" i="13" s="1"/>
  <c r="G246" i="13"/>
  <c r="AL246" i="13" s="1"/>
  <c r="H386" i="13"/>
  <c r="G386" i="13"/>
  <c r="AL386" i="13" s="1"/>
  <c r="H127" i="13"/>
  <c r="G183" i="13"/>
  <c r="AL183" i="13" s="1"/>
  <c r="H366" i="13"/>
  <c r="H331" i="13"/>
  <c r="G359" i="13"/>
  <c r="AL359" i="13" s="1"/>
  <c r="H132" i="13"/>
  <c r="G132" i="13"/>
  <c r="AL132" i="13" s="1"/>
  <c r="H338" i="13"/>
  <c r="G338" i="13"/>
  <c r="AL338" i="13" s="1"/>
  <c r="H301" i="13"/>
  <c r="G127" i="13"/>
  <c r="AL127" i="13" s="1"/>
  <c r="G120" i="13"/>
  <c r="AL120" i="13" s="1"/>
  <c r="H120" i="13"/>
  <c r="H358" i="13"/>
  <c r="G332" i="13"/>
  <c r="AL332" i="13" s="1"/>
  <c r="H78" i="13"/>
  <c r="T18" i="16"/>
  <c r="R18" i="16"/>
  <c r="U21" i="16" s="1" a="1"/>
  <c r="U21" i="16" s="1"/>
  <c r="T17" i="16"/>
  <c r="R17" i="16"/>
  <c r="H196" i="13"/>
  <c r="H28" i="13"/>
  <c r="G381" i="13"/>
  <c r="AL381" i="13" s="1"/>
  <c r="G384" i="13"/>
  <c r="AL384" i="13" s="1"/>
  <c r="G160" i="13"/>
  <c r="AL160" i="13" s="1"/>
  <c r="H254" i="13"/>
  <c r="R11" i="16"/>
  <c r="AL96" i="13"/>
  <c r="AK47" i="13"/>
  <c r="AE47" i="13"/>
  <c r="AF47" i="13"/>
  <c r="G326" i="13"/>
  <c r="AL326" i="13" s="1"/>
  <c r="H326" i="13"/>
  <c r="AA326" i="13"/>
  <c r="AB326" i="13" s="1"/>
  <c r="G144" i="13"/>
  <c r="H144" i="13"/>
  <c r="AA144" i="13"/>
  <c r="AB144" i="13" s="1"/>
  <c r="G194" i="13"/>
  <c r="AL194" i="13" s="1"/>
  <c r="H194" i="13"/>
  <c r="AA194" i="13"/>
  <c r="AB194" i="13" s="1"/>
  <c r="AL231" i="13"/>
  <c r="J231" i="13"/>
  <c r="AD231" i="13" s="1"/>
  <c r="AE41" i="13"/>
  <c r="AK41" i="13"/>
  <c r="AF41" i="13"/>
  <c r="AL378" i="13"/>
  <c r="G339" i="13"/>
  <c r="AL339" i="13" s="1"/>
  <c r="H339" i="13"/>
  <c r="AL216" i="13"/>
  <c r="AL342" i="13"/>
  <c r="AL27" i="13"/>
  <c r="AE215" i="13"/>
  <c r="AK215" i="13"/>
  <c r="AF215" i="13"/>
  <c r="G383" i="13"/>
  <c r="H383" i="13"/>
  <c r="G53" i="13"/>
  <c r="AL53" i="13" s="1"/>
  <c r="H53" i="13"/>
  <c r="AA53" i="13"/>
  <c r="AK73" i="13"/>
  <c r="AF73" i="13"/>
  <c r="AE73" i="13"/>
  <c r="AA18" i="13"/>
  <c r="AB18" i="13" s="1"/>
  <c r="G18" i="13"/>
  <c r="AL18" i="13" s="1"/>
  <c r="H18" i="13"/>
  <c r="AL327" i="13"/>
  <c r="AK7" i="13"/>
  <c r="AF7" i="13"/>
  <c r="AE7" i="13"/>
  <c r="AL374" i="13"/>
  <c r="G63" i="13"/>
  <c r="H63" i="13"/>
  <c r="AA63" i="13"/>
  <c r="AB63" i="13" s="1"/>
  <c r="AF75" i="13"/>
  <c r="AK75" i="13"/>
  <c r="AE75" i="13"/>
  <c r="AE317" i="13"/>
  <c r="AK317" i="13"/>
  <c r="AF317" i="13"/>
  <c r="G336" i="13"/>
  <c r="AL336" i="13" s="1"/>
  <c r="H336" i="13"/>
  <c r="AF96" i="13"/>
  <c r="AE96" i="13"/>
  <c r="AK96" i="13"/>
  <c r="H225" i="13"/>
  <c r="G225" i="13"/>
  <c r="AA225" i="13"/>
  <c r="AB225" i="13" s="1"/>
  <c r="AK227" i="13"/>
  <c r="AF227" i="13"/>
  <c r="AE227" i="13"/>
  <c r="G321" i="13"/>
  <c r="H321" i="13"/>
  <c r="AA321" i="13"/>
  <c r="AB321" i="13" s="1"/>
  <c r="AE231" i="13"/>
  <c r="AF231" i="13"/>
  <c r="AK231" i="13"/>
  <c r="AI231" i="13"/>
  <c r="G191" i="13"/>
  <c r="AL191" i="13" s="1"/>
  <c r="H191" i="13"/>
  <c r="AA191" i="13"/>
  <c r="AB191" i="13" s="1"/>
  <c r="G60" i="13"/>
  <c r="AL60" i="13" s="1"/>
  <c r="H60" i="13"/>
  <c r="AA60" i="13"/>
  <c r="AB60" i="13" s="1"/>
  <c r="G335" i="13"/>
  <c r="AL335" i="13" s="1"/>
  <c r="H335" i="13"/>
  <c r="AL379" i="13"/>
  <c r="AL343" i="13"/>
  <c r="AK216" i="13"/>
  <c r="AE216" i="13"/>
  <c r="AF216" i="13"/>
  <c r="G279" i="13"/>
  <c r="H279" i="13"/>
  <c r="AA279" i="13"/>
  <c r="AB279" i="13" s="1"/>
  <c r="AL380" i="13"/>
  <c r="G83" i="13"/>
  <c r="H83" i="13"/>
  <c r="AA83" i="13"/>
  <c r="AB83" i="13" s="1"/>
  <c r="AE27" i="13"/>
  <c r="AK27" i="13"/>
  <c r="AF27" i="13"/>
  <c r="AL215" i="13"/>
  <c r="AL73" i="13"/>
  <c r="AK327" i="13"/>
  <c r="AE327" i="13"/>
  <c r="AF327" i="13"/>
  <c r="AL7" i="13"/>
  <c r="G189" i="13"/>
  <c r="AL189" i="13" s="1"/>
  <c r="H189" i="13"/>
  <c r="AA189" i="13"/>
  <c r="AB189" i="13" s="1"/>
  <c r="AK222" i="13"/>
  <c r="AE222" i="13"/>
  <c r="AF222" i="13"/>
  <c r="AL377" i="13"/>
  <c r="G263" i="13"/>
  <c r="H263" i="13"/>
  <c r="AA263" i="13"/>
  <c r="AB263" i="13" s="1"/>
  <c r="AE250" i="13"/>
  <c r="AF250" i="13"/>
  <c r="AK250" i="13"/>
  <c r="AL317" i="13"/>
  <c r="R10" i="16"/>
  <c r="T10" i="16"/>
  <c r="AB53" i="13" l="1"/>
  <c r="AB346" i="13"/>
  <c r="AB347" i="13"/>
  <c r="AB183" i="13"/>
  <c r="AK183" i="13"/>
  <c r="AF183" i="13"/>
  <c r="AB318" i="13"/>
  <c r="AE318" i="13"/>
  <c r="AK318" i="13"/>
  <c r="AB197" i="13"/>
  <c r="AK197" i="13"/>
  <c r="AF197" i="13"/>
  <c r="AB132" i="13"/>
  <c r="AF132" i="13"/>
  <c r="AE132" i="13"/>
  <c r="AB251" i="13"/>
  <c r="AF251" i="13"/>
  <c r="AE251" i="13"/>
  <c r="AB51" i="13"/>
  <c r="AK51" i="13"/>
  <c r="AB247" i="13"/>
  <c r="AK247" i="13"/>
  <c r="AF247" i="13"/>
  <c r="AB226" i="13"/>
  <c r="AK226" i="13"/>
  <c r="AF226" i="13"/>
  <c r="AB81" i="13"/>
  <c r="AK81" i="13"/>
  <c r="AF81" i="13"/>
  <c r="AB127" i="13"/>
  <c r="AF127" i="13"/>
  <c r="AK127" i="13"/>
  <c r="AB325" i="13"/>
  <c r="AK325" i="13"/>
  <c r="AF325" i="13"/>
  <c r="AE325" i="13"/>
  <c r="AB90" i="13"/>
  <c r="AE90" i="13"/>
  <c r="AF90" i="13"/>
  <c r="AK90" i="13"/>
  <c r="AB66" i="13"/>
  <c r="AK66" i="13"/>
  <c r="AF66" i="13"/>
  <c r="AB120" i="13"/>
  <c r="AF120" i="13"/>
  <c r="AK120" i="13"/>
  <c r="AB323" i="13"/>
  <c r="AF323" i="13"/>
  <c r="AK323" i="13"/>
  <c r="AF318" i="13"/>
  <c r="AK132" i="13"/>
  <c r="AK251" i="13"/>
  <c r="AF51" i="13"/>
  <c r="AE323" i="13"/>
  <c r="AE127" i="13"/>
  <c r="AE66" i="13"/>
  <c r="AE120" i="13"/>
  <c r="AB2" i="13"/>
  <c r="AE28" i="13"/>
  <c r="AB28" i="13"/>
  <c r="AE170" i="13"/>
  <c r="AB170" i="13"/>
  <c r="AK292" i="13"/>
  <c r="AB292" i="13"/>
  <c r="AK319" i="13"/>
  <c r="AB319" i="13"/>
  <c r="AE87" i="13"/>
  <c r="AB87" i="13"/>
  <c r="AF244" i="13"/>
  <c r="AB244" i="13"/>
  <c r="AK15" i="13"/>
  <c r="AB15" i="13"/>
  <c r="AK77" i="13"/>
  <c r="AB77" i="13"/>
  <c r="AK68" i="13"/>
  <c r="AB68" i="13"/>
  <c r="AK19" i="13"/>
  <c r="AB19" i="13"/>
  <c r="AE121" i="13"/>
  <c r="AB121" i="13"/>
  <c r="AF123" i="13"/>
  <c r="AB123" i="13"/>
  <c r="AK93" i="13"/>
  <c r="AB93" i="13"/>
  <c r="AF52" i="13"/>
  <c r="AB52" i="13"/>
  <c r="AE324" i="13"/>
  <c r="AB324" i="13"/>
  <c r="AE14" i="13"/>
  <c r="AB14" i="13"/>
  <c r="AE196" i="13"/>
  <c r="AB196" i="13"/>
  <c r="AF78" i="13"/>
  <c r="AB78" i="13"/>
  <c r="AE246" i="13"/>
  <c r="AB246" i="13"/>
  <c r="AF10" i="13"/>
  <c r="AB10" i="13"/>
  <c r="AK210" i="13"/>
  <c r="AB210" i="13"/>
  <c r="AE44" i="13"/>
  <c r="AB44" i="13"/>
  <c r="AF172" i="13"/>
  <c r="AB172" i="13"/>
  <c r="AK328" i="13"/>
  <c r="AB328" i="13"/>
  <c r="AF69" i="13"/>
  <c r="AB69" i="13"/>
  <c r="AF70" i="13"/>
  <c r="AB70" i="13"/>
  <c r="AF43" i="13"/>
  <c r="AB43" i="13"/>
  <c r="AF113" i="13"/>
  <c r="AB113" i="13"/>
  <c r="AF94" i="13"/>
  <c r="AB94" i="13"/>
  <c r="AK378" i="13"/>
  <c r="AB378" i="13"/>
  <c r="AK369" i="13"/>
  <c r="AB369" i="13"/>
  <c r="AE365" i="13"/>
  <c r="AB365" i="13"/>
  <c r="AK338" i="13"/>
  <c r="AB338" i="13"/>
  <c r="AK348" i="13"/>
  <c r="AB348" i="13"/>
  <c r="AF254" i="13"/>
  <c r="AB254" i="13"/>
  <c r="AE32" i="13"/>
  <c r="AB32" i="13"/>
  <c r="AF62" i="13"/>
  <c r="AB62" i="13"/>
  <c r="AF88" i="13"/>
  <c r="AB88" i="13"/>
  <c r="AF30" i="13"/>
  <c r="AB30" i="13"/>
  <c r="AE158" i="13"/>
  <c r="AB158" i="13"/>
  <c r="AF240" i="13"/>
  <c r="AB240" i="13"/>
  <c r="AE157" i="13"/>
  <c r="AB157" i="13"/>
  <c r="AK49" i="13"/>
  <c r="AB49" i="13"/>
  <c r="AF248" i="13"/>
  <c r="AB248" i="13"/>
  <c r="AF76" i="13"/>
  <c r="AB76" i="13"/>
  <c r="AF224" i="13"/>
  <c r="AB224" i="13"/>
  <c r="AF125" i="13"/>
  <c r="AB125" i="13"/>
  <c r="AF378" i="13"/>
  <c r="AK372" i="13"/>
  <c r="AE351" i="13"/>
  <c r="AE343" i="13"/>
  <c r="AK380" i="13"/>
  <c r="AF346" i="13"/>
  <c r="AK364" i="13"/>
  <c r="AF338" i="13"/>
  <c r="AK386" i="13"/>
  <c r="AE355" i="13"/>
  <c r="AF375" i="13"/>
  <c r="AK363" i="13"/>
  <c r="AF374" i="13"/>
  <c r="AE349" i="13"/>
  <c r="AE348" i="13"/>
  <c r="AE364" i="13"/>
  <c r="AF369" i="13"/>
  <c r="AF365" i="13"/>
  <c r="AF364" i="13"/>
  <c r="AE378" i="13"/>
  <c r="AF348" i="13"/>
  <c r="AE338" i="13"/>
  <c r="AK365" i="13"/>
  <c r="AE333" i="13"/>
  <c r="AF382" i="13"/>
  <c r="AK360" i="13"/>
  <c r="AE362" i="13"/>
  <c r="AE347" i="13"/>
  <c r="AK333" i="13"/>
  <c r="AE375" i="13"/>
  <c r="AK375" i="13"/>
  <c r="AE363" i="13"/>
  <c r="AK377" i="13"/>
  <c r="AK374" i="13"/>
  <c r="AF355" i="13"/>
  <c r="AF377" i="13"/>
  <c r="AF363" i="13"/>
  <c r="AK355" i="13"/>
  <c r="AF349" i="13"/>
  <c r="AK351" i="13"/>
  <c r="AK379" i="13"/>
  <c r="AE372" i="13"/>
  <c r="AE346" i="13"/>
  <c r="AK346" i="13"/>
  <c r="AE380" i="13"/>
  <c r="AE379" i="13"/>
  <c r="AF351" i="13"/>
  <c r="AF386" i="13"/>
  <c r="AE377" i="13"/>
  <c r="AK349" i="13"/>
  <c r="AF380" i="13"/>
  <c r="AF343" i="13"/>
  <c r="AF379" i="13"/>
  <c r="AF372" i="13"/>
  <c r="AK343" i="13"/>
  <c r="AE374" i="13"/>
  <c r="AF360" i="13"/>
  <c r="AF347" i="13"/>
  <c r="AK362" i="13"/>
  <c r="AF342" i="13"/>
  <c r="AK347" i="13"/>
  <c r="AF333" i="13"/>
  <c r="AK382" i="13"/>
  <c r="AF362" i="13"/>
  <c r="AE342" i="13"/>
  <c r="AE360" i="13"/>
  <c r="AK342" i="13"/>
  <c r="AA331" i="13"/>
  <c r="AB331" i="13" s="1"/>
  <c r="AA354" i="13"/>
  <c r="AB354" i="13" s="1"/>
  <c r="AA356" i="13"/>
  <c r="AB356" i="13" s="1"/>
  <c r="AA366" i="13"/>
  <c r="AB366" i="13" s="1"/>
  <c r="AA368" i="13"/>
  <c r="AB368" i="13" s="1"/>
  <c r="AA370" i="13"/>
  <c r="AB370" i="13" s="1"/>
  <c r="AA357" i="13"/>
  <c r="AB357" i="13" s="1"/>
  <c r="AA336" i="13"/>
  <c r="AB336" i="13" s="1"/>
  <c r="AA383" i="13"/>
  <c r="AB383" i="13" s="1"/>
  <c r="AA384" i="13"/>
  <c r="AB384" i="13" s="1"/>
  <c r="AA367" i="13"/>
  <c r="AB367" i="13" s="1"/>
  <c r="AA344" i="13"/>
  <c r="AB344" i="13" s="1"/>
  <c r="AA353" i="13"/>
  <c r="AB353" i="13" s="1"/>
  <c r="AA373" i="13"/>
  <c r="AB373" i="13" s="1"/>
  <c r="AA352" i="13"/>
  <c r="AB352" i="13" s="1"/>
  <c r="AA389" i="13"/>
  <c r="AA335" i="13"/>
  <c r="AB335" i="13" s="1"/>
  <c r="AA359" i="13"/>
  <c r="AB359" i="13" s="1"/>
  <c r="AA361" i="13"/>
  <c r="AB361" i="13" s="1"/>
  <c r="AA339" i="13"/>
  <c r="AB339" i="13" s="1"/>
  <c r="AA381" i="13"/>
  <c r="AB381" i="13" s="1"/>
  <c r="AA332" i="13"/>
  <c r="AB332" i="13" s="1"/>
  <c r="AA358" i="13"/>
  <c r="AB358" i="13" s="1"/>
  <c r="AA340" i="13"/>
  <c r="AB340" i="13" s="1"/>
  <c r="AA371" i="13"/>
  <c r="AB371" i="13" s="1"/>
  <c r="AA350" i="13"/>
  <c r="AB350" i="13" s="1"/>
  <c r="AK94" i="13"/>
  <c r="AE247" i="13"/>
  <c r="AK125" i="13"/>
  <c r="AE19" i="13"/>
  <c r="AF19" i="13"/>
  <c r="AE94" i="13"/>
  <c r="AE43" i="13"/>
  <c r="AK43" i="13"/>
  <c r="AE113" i="13"/>
  <c r="AK113" i="13"/>
  <c r="AK70" i="13"/>
  <c r="AE224" i="13"/>
  <c r="AE369" i="13"/>
  <c r="AE125" i="13"/>
  <c r="AK224" i="13"/>
  <c r="AE69" i="13"/>
  <c r="AF68" i="13"/>
  <c r="AE68" i="13"/>
  <c r="AE70" i="13"/>
  <c r="AE382" i="13"/>
  <c r="AE76" i="13"/>
  <c r="AF14" i="13"/>
  <c r="AE328" i="13"/>
  <c r="AK248" i="13"/>
  <c r="AK76" i="13"/>
  <c r="AK69" i="13"/>
  <c r="AF328" i="13"/>
  <c r="AE49" i="13"/>
  <c r="AK244" i="13"/>
  <c r="AF77" i="13"/>
  <c r="AF49" i="13"/>
  <c r="AE248" i="13"/>
  <c r="AF157" i="13"/>
  <c r="AE51" i="13"/>
  <c r="AE226" i="13"/>
  <c r="AE15" i="13"/>
  <c r="AF15" i="13"/>
  <c r="AE244" i="13"/>
  <c r="AF87" i="13"/>
  <c r="AE197" i="13"/>
  <c r="AE77" i="13"/>
  <c r="AK88" i="13"/>
  <c r="L137" i="20" s="1"/>
  <c r="AK158" i="13"/>
  <c r="AE240" i="13"/>
  <c r="AK157" i="13"/>
  <c r="AF158" i="13"/>
  <c r="AK240" i="13"/>
  <c r="AK44" i="13"/>
  <c r="AF44" i="13"/>
  <c r="AK172" i="13"/>
  <c r="AE172" i="13"/>
  <c r="AF324" i="13"/>
  <c r="AK87" i="13"/>
  <c r="AK14" i="13"/>
  <c r="AK324" i="13"/>
  <c r="AK52" i="13"/>
  <c r="AE52" i="13"/>
  <c r="AE30" i="13"/>
  <c r="AF319" i="13"/>
  <c r="AK30" i="13"/>
  <c r="AE88" i="13"/>
  <c r="AE319" i="13"/>
  <c r="AE2" i="13"/>
  <c r="AF93" i="13"/>
  <c r="AE93" i="13"/>
  <c r="AE123" i="13"/>
  <c r="AF210" i="13"/>
  <c r="AE210" i="13"/>
  <c r="AK123" i="13"/>
  <c r="AK62" i="13"/>
  <c r="AE62" i="13"/>
  <c r="AK2" i="13"/>
  <c r="AK160" i="13"/>
  <c r="AF2" i="13"/>
  <c r="AK10" i="13"/>
  <c r="AE292" i="13"/>
  <c r="AE81" i="13"/>
  <c r="AE10" i="13"/>
  <c r="AF292" i="13"/>
  <c r="AF32" i="13"/>
  <c r="AK32" i="13"/>
  <c r="AK246" i="13"/>
  <c r="AF121" i="13"/>
  <c r="T37" i="16"/>
  <c r="R37" i="16"/>
  <c r="AK121" i="13"/>
  <c r="AF170" i="13"/>
  <c r="AK170" i="13"/>
  <c r="AF246" i="13"/>
  <c r="AE386" i="13"/>
  <c r="AE183" i="13"/>
  <c r="AE301" i="13"/>
  <c r="AF301" i="13"/>
  <c r="AK301" i="13"/>
  <c r="AK78" i="13"/>
  <c r="AE78" i="13"/>
  <c r="R22" i="16"/>
  <c r="T22" i="16"/>
  <c r="T21" i="16"/>
  <c r="R21" i="16"/>
  <c r="AF196" i="13"/>
  <c r="AK196" i="13"/>
  <c r="AK28" i="13"/>
  <c r="AF28" i="13"/>
  <c r="AF160" i="13"/>
  <c r="AE160" i="13"/>
  <c r="R14" i="16"/>
  <c r="AQ231" i="13"/>
  <c r="AK254" i="13"/>
  <c r="AE254" i="13"/>
  <c r="AF144" i="13"/>
  <c r="AE144" i="13"/>
  <c r="AK144" i="13"/>
  <c r="AK63" i="13"/>
  <c r="AE63" i="13"/>
  <c r="AF63" i="13"/>
  <c r="AL263" i="13"/>
  <c r="AL83" i="13"/>
  <c r="AF279" i="13"/>
  <c r="AK279" i="13"/>
  <c r="AE279" i="13"/>
  <c r="AK194" i="13"/>
  <c r="AF194" i="13"/>
  <c r="AE194" i="13"/>
  <c r="AK18" i="13"/>
  <c r="AE18" i="13"/>
  <c r="AF18" i="13"/>
  <c r="AF189" i="13"/>
  <c r="AK189" i="13"/>
  <c r="AE189" i="13"/>
  <c r="AE321" i="13"/>
  <c r="AF321" i="13"/>
  <c r="AK321" i="13"/>
  <c r="AK225" i="13"/>
  <c r="AF225" i="13"/>
  <c r="AE225" i="13"/>
  <c r="AL63" i="13"/>
  <c r="AE53" i="13"/>
  <c r="AK53" i="13"/>
  <c r="AF53" i="13"/>
  <c r="AL383" i="13"/>
  <c r="AL144" i="13"/>
  <c r="AE326" i="13"/>
  <c r="AF326" i="13"/>
  <c r="AK326" i="13"/>
  <c r="AE60" i="13"/>
  <c r="AK60" i="13"/>
  <c r="AF60" i="13"/>
  <c r="AL321" i="13"/>
  <c r="AE263" i="13"/>
  <c r="AF263" i="13"/>
  <c r="AK263" i="13"/>
  <c r="AF83" i="13"/>
  <c r="AE83" i="13"/>
  <c r="AK83" i="13"/>
  <c r="AL279" i="13"/>
  <c r="AK191" i="13"/>
  <c r="AE191" i="13"/>
  <c r="AF191" i="13"/>
  <c r="AL225" i="13"/>
  <c r="G1" i="6"/>
  <c r="AB389" i="13" l="1"/>
  <c r="L132" i="20"/>
  <c r="AF357" i="13"/>
  <c r="AF371" i="13"/>
  <c r="AF381" i="13"/>
  <c r="AK359" i="13"/>
  <c r="AF389" i="13"/>
  <c r="AE344" i="13"/>
  <c r="AK370" i="13"/>
  <c r="AK350" i="13"/>
  <c r="AE361" i="13"/>
  <c r="AF383" i="13"/>
  <c r="AF331" i="13"/>
  <c r="AE340" i="13"/>
  <c r="AK335" i="13"/>
  <c r="AE352" i="13"/>
  <c r="AF367" i="13"/>
  <c r="AK336" i="13"/>
  <c r="AK356" i="13"/>
  <c r="AK332" i="13"/>
  <c r="AE353" i="13"/>
  <c r="AF366" i="13"/>
  <c r="AK358" i="13"/>
  <c r="AE339" i="13"/>
  <c r="AK373" i="13"/>
  <c r="AE384" i="13"/>
  <c r="AE368" i="13"/>
  <c r="AE354" i="13"/>
  <c r="AK361" i="13"/>
  <c r="AF359" i="13"/>
  <c r="AE367" i="13"/>
  <c r="AE356" i="13"/>
  <c r="AE383" i="13"/>
  <c r="AF335" i="13"/>
  <c r="AE336" i="13"/>
  <c r="AK344" i="13"/>
  <c r="AF344" i="13"/>
  <c r="AF336" i="13"/>
  <c r="AK352" i="13"/>
  <c r="AE335" i="13"/>
  <c r="AK340" i="13"/>
  <c r="AF356" i="13"/>
  <c r="AK367" i="13"/>
  <c r="AF352" i="13"/>
  <c r="AF340" i="13"/>
  <c r="AE373" i="13"/>
  <c r="AF373" i="13"/>
  <c r="AK353" i="13"/>
  <c r="AK383" i="13"/>
  <c r="AK366" i="13"/>
  <c r="AK331" i="13"/>
  <c r="AF361" i="13"/>
  <c r="AF354" i="13"/>
  <c r="AE357" i="13"/>
  <c r="AE332" i="13"/>
  <c r="AE331" i="13"/>
  <c r="AF370" i="13"/>
  <c r="AE389" i="13"/>
  <c r="AK371" i="13"/>
  <c r="AE370" i="13"/>
  <c r="AF339" i="13"/>
  <c r="AK339" i="13"/>
  <c r="AF384" i="13"/>
  <c r="AK368" i="13"/>
  <c r="AK354" i="13"/>
  <c r="AK357" i="13"/>
  <c r="AF332" i="13"/>
  <c r="AE366" i="13"/>
  <c r="AF353" i="13"/>
  <c r="AF350" i="13"/>
  <c r="AE350" i="13"/>
  <c r="AK384" i="13"/>
  <c r="AK381" i="13"/>
  <c r="AE359" i="13"/>
  <c r="AF358" i="13"/>
  <c r="AF368" i="13"/>
  <c r="AE371" i="13"/>
  <c r="AE381" i="13"/>
  <c r="AE358" i="13"/>
  <c r="AK389" i="13"/>
  <c r="T87" i="16"/>
  <c r="R87" i="16"/>
  <c r="T26" i="16"/>
  <c r="R26" i="16"/>
  <c r="T23" i="16"/>
  <c r="R23" i="16"/>
  <c r="T19" i="16"/>
  <c r="R19" i="16"/>
  <c r="U87" i="16" l="1" a="1"/>
  <c r="U87" i="16" s="1"/>
  <c r="T88" i="16"/>
  <c r="R88" i="16"/>
  <c r="U89" i="16" s="1" a="1"/>
  <c r="U89" i="16" s="1"/>
  <c r="T31" i="16"/>
  <c r="R31" i="16"/>
  <c r="T27" i="16"/>
  <c r="R27" i="16"/>
  <c r="U29" i="16" s="1" a="1"/>
  <c r="U29" i="16" s="1"/>
  <c r="T24" i="16"/>
  <c r="R24" i="16"/>
  <c r="P1" i="16"/>
  <c r="K1" i="16"/>
  <c r="P381" i="13" l="1"/>
  <c r="T89" i="16"/>
  <c r="R381" i="13" s="1"/>
  <c r="R89" i="16"/>
  <c r="AH381" i="13" s="1" a="1"/>
  <c r="AH381" i="13" s="1"/>
  <c r="Q381" i="13" s="1"/>
  <c r="T35" i="16"/>
  <c r="R35" i="16"/>
  <c r="T29" i="16"/>
  <c r="R29" i="16"/>
  <c r="U44" i="16" s="1" a="1"/>
  <c r="U44" i="16" s="1"/>
  <c r="T28" i="16"/>
  <c r="R28" i="16"/>
  <c r="S3" i="16"/>
  <c r="T44" i="16" l="1"/>
  <c r="R44" i="16"/>
  <c r="R73" i="16" s="1"/>
  <c r="T39" i="16"/>
  <c r="R39" i="16"/>
  <c r="T32" i="16"/>
  <c r="R32" i="16"/>
  <c r="U3" i="16" a="1"/>
  <c r="U3" i="16" s="1"/>
  <c r="T74" i="16" l="1"/>
  <c r="R420" i="13" s="1"/>
  <c r="AP420" i="13" s="1"/>
  <c r="R74" i="16"/>
  <c r="T42" i="16"/>
  <c r="R42" i="16"/>
  <c r="T34" i="16"/>
  <c r="R34" i="16"/>
  <c r="Q1" i="16"/>
  <c r="N3" i="16"/>
  <c r="L142" i="13" l="1"/>
  <c r="O77" i="16"/>
  <c r="AH420" i="13" a="1"/>
  <c r="AH420" i="13" s="1"/>
  <c r="U74" i="16" a="1"/>
  <c r="U74" i="16" s="1"/>
  <c r="P420" i="13" s="1"/>
  <c r="T46" i="16"/>
  <c r="R46" i="16"/>
  <c r="T38" i="16"/>
  <c r="R38" i="16"/>
  <c r="M3" i="16"/>
  <c r="T3" i="16"/>
  <c r="O3" i="16"/>
  <c r="Z3" i="15"/>
  <c r="Z2" i="15"/>
  <c r="O142" i="13" l="1"/>
  <c r="S142" i="13"/>
  <c r="AA142" i="13" s="1"/>
  <c r="AB142" i="13" s="1"/>
  <c r="F441" i="15"/>
  <c r="H441" i="15" s="1"/>
  <c r="F445" i="15"/>
  <c r="H445" i="15" s="1"/>
  <c r="F449" i="15"/>
  <c r="H449" i="15" s="1"/>
  <c r="F453" i="15"/>
  <c r="H453" i="15" s="1"/>
  <c r="F457" i="15"/>
  <c r="H457" i="15" s="1"/>
  <c r="F461" i="15"/>
  <c r="H461" i="15" s="1"/>
  <c r="F465" i="15"/>
  <c r="H465" i="15" s="1"/>
  <c r="F469" i="15"/>
  <c r="H469" i="15" s="1"/>
  <c r="F473" i="15"/>
  <c r="H473" i="15" s="1"/>
  <c r="F477" i="15"/>
  <c r="H477" i="15" s="1"/>
  <c r="F481" i="15"/>
  <c r="H481" i="15" s="1"/>
  <c r="F485" i="15"/>
  <c r="H485" i="15" s="1"/>
  <c r="F489" i="15"/>
  <c r="H489" i="15" s="1"/>
  <c r="F493" i="15"/>
  <c r="H493" i="15" s="1"/>
  <c r="F497" i="15"/>
  <c r="H497" i="15" s="1"/>
  <c r="F501" i="15"/>
  <c r="H501" i="15" s="1"/>
  <c r="F505" i="15"/>
  <c r="H505" i="15" s="1"/>
  <c r="F509" i="15"/>
  <c r="H509" i="15" s="1"/>
  <c r="F513" i="15"/>
  <c r="H513" i="15" s="1"/>
  <c r="F517" i="15"/>
  <c r="H517" i="15" s="1"/>
  <c r="F521" i="15"/>
  <c r="H521" i="15" s="1"/>
  <c r="F525" i="15"/>
  <c r="H525" i="15" s="1"/>
  <c r="F529" i="15"/>
  <c r="H529" i="15" s="1"/>
  <c r="F533" i="15"/>
  <c r="H533" i="15" s="1"/>
  <c r="F537" i="15"/>
  <c r="H537" i="15" s="1"/>
  <c r="F541" i="15"/>
  <c r="H541" i="15" s="1"/>
  <c r="F545" i="15"/>
  <c r="H545" i="15" s="1"/>
  <c r="F549" i="15"/>
  <c r="H549" i="15" s="1"/>
  <c r="F553" i="15"/>
  <c r="H553" i="15" s="1"/>
  <c r="F557" i="15"/>
  <c r="H557" i="15" s="1"/>
  <c r="F561" i="15"/>
  <c r="H561" i="15" s="1"/>
  <c r="F565" i="15"/>
  <c r="H565" i="15" s="1"/>
  <c r="F569" i="15"/>
  <c r="H569" i="15" s="1"/>
  <c r="F573" i="15"/>
  <c r="H573" i="15" s="1"/>
  <c r="F577" i="15"/>
  <c r="H577" i="15" s="1"/>
  <c r="F581" i="15"/>
  <c r="H581" i="15" s="1"/>
  <c r="G441" i="15"/>
  <c r="G445" i="15"/>
  <c r="G449" i="15"/>
  <c r="G453" i="15"/>
  <c r="G457" i="15"/>
  <c r="G461" i="15"/>
  <c r="G465" i="15"/>
  <c r="G469" i="15"/>
  <c r="G473" i="15"/>
  <c r="G477" i="15"/>
  <c r="G481" i="15"/>
  <c r="G485" i="15"/>
  <c r="G489" i="15"/>
  <c r="G493" i="15"/>
  <c r="G497" i="15"/>
  <c r="G501" i="15"/>
  <c r="G505" i="15"/>
  <c r="G509" i="15"/>
  <c r="G513" i="15"/>
  <c r="G517" i="15"/>
  <c r="G521" i="15"/>
  <c r="G525" i="15"/>
  <c r="G529" i="15"/>
  <c r="G533" i="15"/>
  <c r="G537" i="15"/>
  <c r="G541" i="15"/>
  <c r="G545" i="15"/>
  <c r="G549" i="15"/>
  <c r="G553" i="15"/>
  <c r="G557" i="15"/>
  <c r="G561" i="15"/>
  <c r="G565" i="15"/>
  <c r="G569" i="15"/>
  <c r="G573" i="15"/>
  <c r="G577" i="15"/>
  <c r="G581" i="15"/>
  <c r="F442" i="15"/>
  <c r="H442" i="15" s="1"/>
  <c r="F446" i="15"/>
  <c r="H446" i="15" s="1"/>
  <c r="F450" i="15"/>
  <c r="H450" i="15" s="1"/>
  <c r="F454" i="15"/>
  <c r="H454" i="15" s="1"/>
  <c r="F458" i="15"/>
  <c r="H458" i="15" s="1"/>
  <c r="F462" i="15"/>
  <c r="H462" i="15" s="1"/>
  <c r="F466" i="15"/>
  <c r="H466" i="15" s="1"/>
  <c r="F470" i="15"/>
  <c r="H470" i="15" s="1"/>
  <c r="F474" i="15"/>
  <c r="H474" i="15" s="1"/>
  <c r="F478" i="15"/>
  <c r="H478" i="15" s="1"/>
  <c r="F482" i="15"/>
  <c r="H482" i="15" s="1"/>
  <c r="F486" i="15"/>
  <c r="H486" i="15" s="1"/>
  <c r="F490" i="15"/>
  <c r="H490" i="15" s="1"/>
  <c r="F494" i="15"/>
  <c r="H494" i="15" s="1"/>
  <c r="F498" i="15"/>
  <c r="H498" i="15" s="1"/>
  <c r="F502" i="15"/>
  <c r="H502" i="15" s="1"/>
  <c r="F506" i="15"/>
  <c r="H506" i="15" s="1"/>
  <c r="F510" i="15"/>
  <c r="H510" i="15" s="1"/>
  <c r="F514" i="15"/>
  <c r="H514" i="15" s="1"/>
  <c r="F518" i="15"/>
  <c r="H518" i="15" s="1"/>
  <c r="F522" i="15"/>
  <c r="H522" i="15" s="1"/>
  <c r="F526" i="15"/>
  <c r="H526" i="15" s="1"/>
  <c r="F530" i="15"/>
  <c r="H530" i="15" s="1"/>
  <c r="F534" i="15"/>
  <c r="H534" i="15" s="1"/>
  <c r="F538" i="15"/>
  <c r="H538" i="15" s="1"/>
  <c r="F542" i="15"/>
  <c r="H542" i="15" s="1"/>
  <c r="F546" i="15"/>
  <c r="H546" i="15" s="1"/>
  <c r="F550" i="15"/>
  <c r="H550" i="15" s="1"/>
  <c r="F554" i="15"/>
  <c r="H554" i="15" s="1"/>
  <c r="F558" i="15"/>
  <c r="H558" i="15" s="1"/>
  <c r="F562" i="15"/>
  <c r="H562" i="15" s="1"/>
  <c r="F566" i="15"/>
  <c r="H566" i="15" s="1"/>
  <c r="F570" i="15"/>
  <c r="H570" i="15" s="1"/>
  <c r="F574" i="15"/>
  <c r="H574" i="15" s="1"/>
  <c r="F578" i="15"/>
  <c r="H578" i="15" s="1"/>
  <c r="F582" i="15"/>
  <c r="H582" i="15" s="1"/>
  <c r="G442" i="15"/>
  <c r="G446" i="15"/>
  <c r="G450" i="15"/>
  <c r="G454" i="15"/>
  <c r="G458" i="15"/>
  <c r="G462" i="15"/>
  <c r="G466" i="15"/>
  <c r="G470" i="15"/>
  <c r="G474" i="15"/>
  <c r="G478" i="15"/>
  <c r="G482" i="15"/>
  <c r="G486" i="15"/>
  <c r="G490" i="15"/>
  <c r="G494" i="15"/>
  <c r="G498" i="15"/>
  <c r="G502" i="15"/>
  <c r="G506" i="15"/>
  <c r="G510" i="15"/>
  <c r="G514" i="15"/>
  <c r="G518" i="15"/>
  <c r="G522" i="15"/>
  <c r="G526" i="15"/>
  <c r="G530" i="15"/>
  <c r="G534" i="15"/>
  <c r="G538" i="15"/>
  <c r="G542" i="15"/>
  <c r="G546" i="15"/>
  <c r="G550" i="15"/>
  <c r="G554" i="15"/>
  <c r="G558" i="15"/>
  <c r="G562" i="15"/>
  <c r="G566" i="15"/>
  <c r="G570" i="15"/>
  <c r="G574" i="15"/>
  <c r="G578" i="15"/>
  <c r="G582" i="15"/>
  <c r="F439" i="15"/>
  <c r="H439" i="15" s="1"/>
  <c r="F447" i="15"/>
  <c r="H447" i="15" s="1"/>
  <c r="F455" i="15"/>
  <c r="H455" i="15" s="1"/>
  <c r="F463" i="15"/>
  <c r="H463" i="15" s="1"/>
  <c r="F471" i="15"/>
  <c r="H471" i="15" s="1"/>
  <c r="F479" i="15"/>
  <c r="H479" i="15" s="1"/>
  <c r="F487" i="15"/>
  <c r="H487" i="15" s="1"/>
  <c r="F495" i="15"/>
  <c r="H495" i="15" s="1"/>
  <c r="F503" i="15"/>
  <c r="H503" i="15" s="1"/>
  <c r="F511" i="15"/>
  <c r="H511" i="15" s="1"/>
  <c r="F519" i="15"/>
  <c r="H519" i="15" s="1"/>
  <c r="F527" i="15"/>
  <c r="H527" i="15" s="1"/>
  <c r="F535" i="15"/>
  <c r="H535" i="15" s="1"/>
  <c r="F543" i="15"/>
  <c r="H543" i="15" s="1"/>
  <c r="F551" i="15"/>
  <c r="H551" i="15" s="1"/>
  <c r="F559" i="15"/>
  <c r="H559" i="15" s="1"/>
  <c r="F567" i="15"/>
  <c r="H567" i="15" s="1"/>
  <c r="F575" i="15"/>
  <c r="H575" i="15" s="1"/>
  <c r="G439" i="15"/>
  <c r="G447" i="15"/>
  <c r="G455" i="15"/>
  <c r="G463" i="15"/>
  <c r="G471" i="15"/>
  <c r="G479" i="15"/>
  <c r="G487" i="15"/>
  <c r="G495" i="15"/>
  <c r="G503" i="15"/>
  <c r="G511" i="15"/>
  <c r="G519" i="15"/>
  <c r="G527" i="15"/>
  <c r="G535" i="15"/>
  <c r="G543" i="15"/>
  <c r="G551" i="15"/>
  <c r="G559" i="15"/>
  <c r="G567" i="15"/>
  <c r="G575" i="15"/>
  <c r="F440" i="15"/>
  <c r="H440" i="15" s="1"/>
  <c r="F448" i="15"/>
  <c r="H448" i="15" s="1"/>
  <c r="F456" i="15"/>
  <c r="H456" i="15" s="1"/>
  <c r="F464" i="15"/>
  <c r="H464" i="15" s="1"/>
  <c r="F472" i="15"/>
  <c r="H472" i="15" s="1"/>
  <c r="F480" i="15"/>
  <c r="H480" i="15" s="1"/>
  <c r="F488" i="15"/>
  <c r="H488" i="15" s="1"/>
  <c r="F496" i="15"/>
  <c r="H496" i="15" s="1"/>
  <c r="F504" i="15"/>
  <c r="H504" i="15" s="1"/>
  <c r="F512" i="15"/>
  <c r="H512" i="15" s="1"/>
  <c r="F520" i="15"/>
  <c r="H520" i="15" s="1"/>
  <c r="F528" i="15"/>
  <c r="H528" i="15" s="1"/>
  <c r="F536" i="15"/>
  <c r="H536" i="15" s="1"/>
  <c r="F544" i="15"/>
  <c r="H544" i="15" s="1"/>
  <c r="F552" i="15"/>
  <c r="H552" i="15" s="1"/>
  <c r="F560" i="15"/>
  <c r="H560" i="15" s="1"/>
  <c r="F568" i="15"/>
  <c r="H568" i="15" s="1"/>
  <c r="F576" i="15"/>
  <c r="H576" i="15" s="1"/>
  <c r="G440" i="15"/>
  <c r="G448" i="15"/>
  <c r="G456" i="15"/>
  <c r="G464" i="15"/>
  <c r="G472" i="15"/>
  <c r="G480" i="15"/>
  <c r="G488" i="15"/>
  <c r="G496" i="15"/>
  <c r="G504" i="15"/>
  <c r="G512" i="15"/>
  <c r="G520" i="15"/>
  <c r="G528" i="15"/>
  <c r="G536" i="15"/>
  <c r="G544" i="15"/>
  <c r="G552" i="15"/>
  <c r="G560" i="15"/>
  <c r="G568" i="15"/>
  <c r="G576" i="15"/>
  <c r="F443" i="15"/>
  <c r="H443" i="15" s="1"/>
  <c r="F459" i="15"/>
  <c r="H459" i="15" s="1"/>
  <c r="F475" i="15"/>
  <c r="H475" i="15" s="1"/>
  <c r="F491" i="15"/>
  <c r="H491" i="15" s="1"/>
  <c r="F507" i="15"/>
  <c r="H507" i="15" s="1"/>
  <c r="F523" i="15"/>
  <c r="H523" i="15" s="1"/>
  <c r="F539" i="15"/>
  <c r="H539" i="15" s="1"/>
  <c r="F555" i="15"/>
  <c r="H555" i="15" s="1"/>
  <c r="F571" i="15"/>
  <c r="H571" i="15" s="1"/>
  <c r="G443" i="15"/>
  <c r="G459" i="15"/>
  <c r="G475" i="15"/>
  <c r="G491" i="15"/>
  <c r="G507" i="15"/>
  <c r="G523" i="15"/>
  <c r="G539" i="15"/>
  <c r="G555" i="15"/>
  <c r="G571" i="15"/>
  <c r="F451" i="15"/>
  <c r="H451" i="15" s="1"/>
  <c r="F467" i="15"/>
  <c r="H467" i="15" s="1"/>
  <c r="F499" i="15"/>
  <c r="H499" i="15" s="1"/>
  <c r="F531" i="15"/>
  <c r="H531" i="15" s="1"/>
  <c r="F563" i="15"/>
  <c r="H563" i="15" s="1"/>
  <c r="G451" i="15"/>
  <c r="G483" i="15"/>
  <c r="G515" i="15"/>
  <c r="G547" i="15"/>
  <c r="G579" i="15"/>
  <c r="F444" i="15"/>
  <c r="H444" i="15" s="1"/>
  <c r="F460" i="15"/>
  <c r="H460" i="15" s="1"/>
  <c r="F476" i="15"/>
  <c r="H476" i="15" s="1"/>
  <c r="F492" i="15"/>
  <c r="H492" i="15" s="1"/>
  <c r="F508" i="15"/>
  <c r="H508" i="15" s="1"/>
  <c r="F524" i="15"/>
  <c r="H524" i="15" s="1"/>
  <c r="F540" i="15"/>
  <c r="H540" i="15" s="1"/>
  <c r="F556" i="15"/>
  <c r="H556" i="15" s="1"/>
  <c r="F572" i="15"/>
  <c r="H572" i="15" s="1"/>
  <c r="G444" i="15"/>
  <c r="G460" i="15"/>
  <c r="G476" i="15"/>
  <c r="G492" i="15"/>
  <c r="G508" i="15"/>
  <c r="G524" i="15"/>
  <c r="G540" i="15"/>
  <c r="G556" i="15"/>
  <c r="G572" i="15"/>
  <c r="F483" i="15"/>
  <c r="H483" i="15" s="1"/>
  <c r="F515" i="15"/>
  <c r="H515" i="15" s="1"/>
  <c r="F547" i="15"/>
  <c r="H547" i="15" s="1"/>
  <c r="F579" i="15"/>
  <c r="H579" i="15" s="1"/>
  <c r="G467" i="15"/>
  <c r="G499" i="15"/>
  <c r="G531" i="15"/>
  <c r="G563" i="15"/>
  <c r="F452" i="15"/>
  <c r="H452" i="15" s="1"/>
  <c r="F516" i="15"/>
  <c r="H516" i="15" s="1"/>
  <c r="F580" i="15"/>
  <c r="H580" i="15" s="1"/>
  <c r="G500" i="15"/>
  <c r="G564" i="15"/>
  <c r="F468" i="15"/>
  <c r="H468" i="15" s="1"/>
  <c r="F532" i="15"/>
  <c r="H532" i="15" s="1"/>
  <c r="G452" i="15"/>
  <c r="G516" i="15"/>
  <c r="G580" i="15"/>
  <c r="F484" i="15"/>
  <c r="H484" i="15" s="1"/>
  <c r="F548" i="15"/>
  <c r="H548" i="15" s="1"/>
  <c r="G468" i="15"/>
  <c r="G532" i="15"/>
  <c r="G548" i="15"/>
  <c r="F500" i="15"/>
  <c r="H500" i="15" s="1"/>
  <c r="F564" i="15"/>
  <c r="H564" i="15" s="1"/>
  <c r="G484" i="15"/>
  <c r="B439" i="15"/>
  <c r="D439" i="15" s="1"/>
  <c r="B443" i="15"/>
  <c r="D443" i="15" s="1"/>
  <c r="B447" i="15"/>
  <c r="D447" i="15" s="1"/>
  <c r="B451" i="15"/>
  <c r="D451" i="15" s="1"/>
  <c r="B455" i="15"/>
  <c r="D455" i="15" s="1"/>
  <c r="B459" i="15"/>
  <c r="D459" i="15" s="1"/>
  <c r="B463" i="15"/>
  <c r="D463" i="15" s="1"/>
  <c r="B467" i="15"/>
  <c r="D467" i="15" s="1"/>
  <c r="B471" i="15"/>
  <c r="D471" i="15" s="1"/>
  <c r="B475" i="15"/>
  <c r="D475" i="15" s="1"/>
  <c r="B479" i="15"/>
  <c r="D479" i="15" s="1"/>
  <c r="B483" i="15"/>
  <c r="D483" i="15" s="1"/>
  <c r="B487" i="15"/>
  <c r="D487" i="15" s="1"/>
  <c r="B491" i="15"/>
  <c r="D491" i="15" s="1"/>
  <c r="B495" i="15"/>
  <c r="D495" i="15" s="1"/>
  <c r="B499" i="15"/>
  <c r="D499" i="15" s="1"/>
  <c r="B503" i="15"/>
  <c r="D503" i="15" s="1"/>
  <c r="B507" i="15"/>
  <c r="D507" i="15" s="1"/>
  <c r="B511" i="15"/>
  <c r="D511" i="15" s="1"/>
  <c r="B515" i="15"/>
  <c r="D515" i="15" s="1"/>
  <c r="B519" i="15"/>
  <c r="D519" i="15" s="1"/>
  <c r="B523" i="15"/>
  <c r="D523" i="15" s="1"/>
  <c r="B527" i="15"/>
  <c r="D527" i="15" s="1"/>
  <c r="B531" i="15"/>
  <c r="D531" i="15" s="1"/>
  <c r="B535" i="15"/>
  <c r="D535" i="15" s="1"/>
  <c r="B539" i="15"/>
  <c r="D539" i="15" s="1"/>
  <c r="B543" i="15"/>
  <c r="D543" i="15" s="1"/>
  <c r="B547" i="15"/>
  <c r="D547" i="15" s="1"/>
  <c r="B551" i="15"/>
  <c r="D551" i="15" s="1"/>
  <c r="B555" i="15"/>
  <c r="D555" i="15" s="1"/>
  <c r="B559" i="15"/>
  <c r="D559" i="15" s="1"/>
  <c r="B563" i="15"/>
  <c r="D563" i="15" s="1"/>
  <c r="B567" i="15"/>
  <c r="D567" i="15" s="1"/>
  <c r="B571" i="15"/>
  <c r="D571" i="15" s="1"/>
  <c r="B575" i="15"/>
  <c r="D575" i="15" s="1"/>
  <c r="B579" i="15"/>
  <c r="D579" i="15" s="1"/>
  <c r="C439" i="15"/>
  <c r="C443" i="15"/>
  <c r="C447" i="15"/>
  <c r="C451" i="15"/>
  <c r="C455" i="15"/>
  <c r="C459" i="15"/>
  <c r="C463" i="15"/>
  <c r="C467" i="15"/>
  <c r="C471" i="15"/>
  <c r="C475" i="15"/>
  <c r="C479" i="15"/>
  <c r="C483" i="15"/>
  <c r="C487" i="15"/>
  <c r="C491" i="15"/>
  <c r="C495" i="15"/>
  <c r="C499" i="15"/>
  <c r="C503" i="15"/>
  <c r="C507" i="15"/>
  <c r="C511" i="15"/>
  <c r="C515" i="15"/>
  <c r="C519" i="15"/>
  <c r="C523" i="15"/>
  <c r="C527" i="15"/>
  <c r="C531" i="15"/>
  <c r="C535" i="15"/>
  <c r="C539" i="15"/>
  <c r="C543" i="15"/>
  <c r="C547" i="15"/>
  <c r="C551" i="15"/>
  <c r="C555" i="15"/>
  <c r="C559" i="15"/>
  <c r="C563" i="15"/>
  <c r="C567" i="15"/>
  <c r="C571" i="15"/>
  <c r="C575" i="15"/>
  <c r="C579" i="15"/>
  <c r="B440" i="15"/>
  <c r="D440" i="15" s="1"/>
  <c r="B444" i="15"/>
  <c r="D444" i="15" s="1"/>
  <c r="B448" i="15"/>
  <c r="D448" i="15" s="1"/>
  <c r="B452" i="15"/>
  <c r="D452" i="15" s="1"/>
  <c r="B456" i="15"/>
  <c r="D456" i="15" s="1"/>
  <c r="B460" i="15"/>
  <c r="D460" i="15" s="1"/>
  <c r="B464" i="15"/>
  <c r="D464" i="15" s="1"/>
  <c r="B468" i="15"/>
  <c r="D468" i="15" s="1"/>
  <c r="B472" i="15"/>
  <c r="D472" i="15" s="1"/>
  <c r="B476" i="15"/>
  <c r="D476" i="15" s="1"/>
  <c r="B480" i="15"/>
  <c r="D480" i="15" s="1"/>
  <c r="B484" i="15"/>
  <c r="D484" i="15" s="1"/>
  <c r="B488" i="15"/>
  <c r="D488" i="15" s="1"/>
  <c r="B492" i="15"/>
  <c r="D492" i="15" s="1"/>
  <c r="B496" i="15"/>
  <c r="D496" i="15" s="1"/>
  <c r="B500" i="15"/>
  <c r="D500" i="15" s="1"/>
  <c r="B504" i="15"/>
  <c r="D504" i="15" s="1"/>
  <c r="B508" i="15"/>
  <c r="D508" i="15" s="1"/>
  <c r="B512" i="15"/>
  <c r="D512" i="15" s="1"/>
  <c r="B516" i="15"/>
  <c r="D516" i="15" s="1"/>
  <c r="B520" i="15"/>
  <c r="D520" i="15" s="1"/>
  <c r="B524" i="15"/>
  <c r="D524" i="15" s="1"/>
  <c r="B528" i="15"/>
  <c r="D528" i="15" s="1"/>
  <c r="B532" i="15"/>
  <c r="D532" i="15" s="1"/>
  <c r="B536" i="15"/>
  <c r="D536" i="15" s="1"/>
  <c r="B540" i="15"/>
  <c r="D540" i="15" s="1"/>
  <c r="B544" i="15"/>
  <c r="D544" i="15" s="1"/>
  <c r="B548" i="15"/>
  <c r="D548" i="15" s="1"/>
  <c r="B552" i="15"/>
  <c r="D552" i="15" s="1"/>
  <c r="B556" i="15"/>
  <c r="D556" i="15" s="1"/>
  <c r="B560" i="15"/>
  <c r="D560" i="15" s="1"/>
  <c r="B564" i="15"/>
  <c r="D564" i="15" s="1"/>
  <c r="B568" i="15"/>
  <c r="D568" i="15" s="1"/>
  <c r="B572" i="15"/>
  <c r="D572" i="15" s="1"/>
  <c r="B576" i="15"/>
  <c r="D576" i="15" s="1"/>
  <c r="B580" i="15"/>
  <c r="D580" i="15" s="1"/>
  <c r="C440" i="15"/>
  <c r="C444" i="15"/>
  <c r="C448" i="15"/>
  <c r="C452" i="15"/>
  <c r="C456" i="15"/>
  <c r="C460" i="15"/>
  <c r="C464" i="15"/>
  <c r="C468" i="15"/>
  <c r="C472" i="15"/>
  <c r="C476" i="15"/>
  <c r="C480" i="15"/>
  <c r="C484" i="15"/>
  <c r="C488" i="15"/>
  <c r="C492" i="15"/>
  <c r="C496" i="15"/>
  <c r="C500" i="15"/>
  <c r="C504" i="15"/>
  <c r="C508" i="15"/>
  <c r="C512" i="15"/>
  <c r="C516" i="15"/>
  <c r="C520" i="15"/>
  <c r="C524" i="15"/>
  <c r="C528" i="15"/>
  <c r="C532" i="15"/>
  <c r="C536" i="15"/>
  <c r="C540" i="15"/>
  <c r="C544" i="15"/>
  <c r="C548" i="15"/>
  <c r="C552" i="15"/>
  <c r="C556" i="15"/>
  <c r="C560" i="15"/>
  <c r="C564" i="15"/>
  <c r="C568" i="15"/>
  <c r="C572" i="15"/>
  <c r="C576" i="15"/>
  <c r="C580" i="15"/>
  <c r="B441" i="15"/>
  <c r="D441" i="15" s="1"/>
  <c r="B445" i="15"/>
  <c r="D445" i="15" s="1"/>
  <c r="B449" i="15"/>
  <c r="D449" i="15" s="1"/>
  <c r="B453" i="15"/>
  <c r="D453" i="15" s="1"/>
  <c r="B457" i="15"/>
  <c r="D457" i="15" s="1"/>
  <c r="B461" i="15"/>
  <c r="D461" i="15" s="1"/>
  <c r="B465" i="15"/>
  <c r="D465" i="15" s="1"/>
  <c r="B469" i="15"/>
  <c r="D469" i="15" s="1"/>
  <c r="B473" i="15"/>
  <c r="D473" i="15" s="1"/>
  <c r="B477" i="15"/>
  <c r="D477" i="15" s="1"/>
  <c r="B481" i="15"/>
  <c r="D481" i="15" s="1"/>
  <c r="B485" i="15"/>
  <c r="D485" i="15" s="1"/>
  <c r="B489" i="15"/>
  <c r="D489" i="15" s="1"/>
  <c r="B493" i="15"/>
  <c r="D493" i="15" s="1"/>
  <c r="B497" i="15"/>
  <c r="D497" i="15" s="1"/>
  <c r="B501" i="15"/>
  <c r="D501" i="15" s="1"/>
  <c r="B505" i="15"/>
  <c r="D505" i="15" s="1"/>
  <c r="B509" i="15"/>
  <c r="D509" i="15" s="1"/>
  <c r="B513" i="15"/>
  <c r="D513" i="15" s="1"/>
  <c r="B517" i="15"/>
  <c r="D517" i="15" s="1"/>
  <c r="B521" i="15"/>
  <c r="D521" i="15" s="1"/>
  <c r="B525" i="15"/>
  <c r="D525" i="15" s="1"/>
  <c r="B529" i="15"/>
  <c r="D529" i="15" s="1"/>
  <c r="B533" i="15"/>
  <c r="D533" i="15" s="1"/>
  <c r="B537" i="15"/>
  <c r="D537" i="15" s="1"/>
  <c r="B541" i="15"/>
  <c r="D541" i="15" s="1"/>
  <c r="B545" i="15"/>
  <c r="D545" i="15" s="1"/>
  <c r="B549" i="15"/>
  <c r="D549" i="15" s="1"/>
  <c r="B553" i="15"/>
  <c r="D553" i="15" s="1"/>
  <c r="B557" i="15"/>
  <c r="D557" i="15" s="1"/>
  <c r="B561" i="15"/>
  <c r="D561" i="15" s="1"/>
  <c r="B565" i="15"/>
  <c r="D565" i="15" s="1"/>
  <c r="B569" i="15"/>
  <c r="D569" i="15" s="1"/>
  <c r="B573" i="15"/>
  <c r="D573" i="15" s="1"/>
  <c r="B577" i="15"/>
  <c r="D577" i="15" s="1"/>
  <c r="B581" i="15"/>
  <c r="D581" i="15" s="1"/>
  <c r="C441" i="15"/>
  <c r="C445" i="15"/>
  <c r="C449" i="15"/>
  <c r="C453" i="15"/>
  <c r="C457" i="15"/>
  <c r="C461" i="15"/>
  <c r="C465" i="15"/>
  <c r="C469" i="15"/>
  <c r="C473" i="15"/>
  <c r="C477" i="15"/>
  <c r="C481" i="15"/>
  <c r="C485" i="15"/>
  <c r="C489" i="15"/>
  <c r="C493" i="15"/>
  <c r="C497" i="15"/>
  <c r="C501" i="15"/>
  <c r="C505" i="15"/>
  <c r="C509" i="15"/>
  <c r="C513" i="15"/>
  <c r="C517" i="15"/>
  <c r="C521" i="15"/>
  <c r="C525" i="15"/>
  <c r="C529" i="15"/>
  <c r="C533" i="15"/>
  <c r="C537" i="15"/>
  <c r="C541" i="15"/>
  <c r="C545" i="15"/>
  <c r="C549" i="15"/>
  <c r="C553" i="15"/>
  <c r="C557" i="15"/>
  <c r="C561" i="15"/>
  <c r="C565" i="15"/>
  <c r="C569" i="15"/>
  <c r="C573" i="15"/>
  <c r="C577" i="15"/>
  <c r="C581" i="15"/>
  <c r="B442" i="15"/>
  <c r="D442" i="15" s="1"/>
  <c r="B458" i="15"/>
  <c r="D458" i="15" s="1"/>
  <c r="B474" i="15"/>
  <c r="D474" i="15" s="1"/>
  <c r="B490" i="15"/>
  <c r="D490" i="15" s="1"/>
  <c r="B506" i="15"/>
  <c r="D506" i="15" s="1"/>
  <c r="B522" i="15"/>
  <c r="D522" i="15" s="1"/>
  <c r="B538" i="15"/>
  <c r="D538" i="15" s="1"/>
  <c r="B554" i="15"/>
  <c r="D554" i="15" s="1"/>
  <c r="B570" i="15"/>
  <c r="D570" i="15" s="1"/>
  <c r="C442" i="15"/>
  <c r="C458" i="15"/>
  <c r="C474" i="15"/>
  <c r="C490" i="15"/>
  <c r="C506" i="15"/>
  <c r="C522" i="15"/>
  <c r="C538" i="15"/>
  <c r="C554" i="15"/>
  <c r="C570" i="15"/>
  <c r="B446" i="15"/>
  <c r="D446" i="15" s="1"/>
  <c r="B462" i="15"/>
  <c r="D462" i="15" s="1"/>
  <c r="B478" i="15"/>
  <c r="D478" i="15" s="1"/>
  <c r="B494" i="15"/>
  <c r="D494" i="15" s="1"/>
  <c r="B510" i="15"/>
  <c r="D510" i="15" s="1"/>
  <c r="B526" i="15"/>
  <c r="D526" i="15" s="1"/>
  <c r="B542" i="15"/>
  <c r="D542" i="15" s="1"/>
  <c r="B558" i="15"/>
  <c r="D558" i="15" s="1"/>
  <c r="B574" i="15"/>
  <c r="D574" i="15" s="1"/>
  <c r="C446" i="15"/>
  <c r="C462" i="15"/>
  <c r="C478" i="15"/>
  <c r="C494" i="15"/>
  <c r="C510" i="15"/>
  <c r="C526" i="15"/>
  <c r="C542" i="15"/>
  <c r="C558" i="15"/>
  <c r="C574" i="15"/>
  <c r="B450" i="15"/>
  <c r="D450" i="15" s="1"/>
  <c r="B482" i="15"/>
  <c r="D482" i="15" s="1"/>
  <c r="B514" i="15"/>
  <c r="D514" i="15" s="1"/>
  <c r="B546" i="15"/>
  <c r="D546" i="15" s="1"/>
  <c r="B578" i="15"/>
  <c r="D578" i="15" s="1"/>
  <c r="C466" i="15"/>
  <c r="C498" i="15"/>
  <c r="C530" i="15"/>
  <c r="C562" i="15"/>
  <c r="J442" i="15"/>
  <c r="J446" i="15"/>
  <c r="J450" i="15"/>
  <c r="J454" i="15"/>
  <c r="J458" i="15"/>
  <c r="J462" i="15"/>
  <c r="J466" i="15"/>
  <c r="J470" i="15"/>
  <c r="J474" i="15"/>
  <c r="J478" i="15"/>
  <c r="J482" i="15"/>
  <c r="J486" i="15"/>
  <c r="J490" i="15"/>
  <c r="J494" i="15"/>
  <c r="J498" i="15"/>
  <c r="J502" i="15"/>
  <c r="J506" i="15"/>
  <c r="J510" i="15"/>
  <c r="J514" i="15"/>
  <c r="J518" i="15"/>
  <c r="J522" i="15"/>
  <c r="J526" i="15"/>
  <c r="J530" i="15"/>
  <c r="J534" i="15"/>
  <c r="J538" i="15"/>
  <c r="J542" i="15"/>
  <c r="J546" i="15"/>
  <c r="B454" i="15"/>
  <c r="D454" i="15" s="1"/>
  <c r="B486" i="15"/>
  <c r="D486" i="15" s="1"/>
  <c r="B518" i="15"/>
  <c r="D518" i="15" s="1"/>
  <c r="B550" i="15"/>
  <c r="D550" i="15" s="1"/>
  <c r="B582" i="15"/>
  <c r="D582" i="15" s="1"/>
  <c r="C470" i="15"/>
  <c r="C502" i="15"/>
  <c r="C534" i="15"/>
  <c r="C566" i="15"/>
  <c r="B466" i="15"/>
  <c r="D466" i="15" s="1"/>
  <c r="B530" i="15"/>
  <c r="D530" i="15" s="1"/>
  <c r="C450" i="15"/>
  <c r="C514" i="15"/>
  <c r="C578" i="15"/>
  <c r="J441" i="15"/>
  <c r="J447" i="15"/>
  <c r="J452" i="15"/>
  <c r="J457" i="15"/>
  <c r="J463" i="15"/>
  <c r="J468" i="15"/>
  <c r="J473" i="15"/>
  <c r="J479" i="15"/>
  <c r="J484" i="15"/>
  <c r="J489" i="15"/>
  <c r="J495" i="15"/>
  <c r="J500" i="15"/>
  <c r="J505" i="15"/>
  <c r="J511" i="15"/>
  <c r="J516" i="15"/>
  <c r="J521" i="15"/>
  <c r="J527" i="15"/>
  <c r="J532" i="15"/>
  <c r="J537" i="15"/>
  <c r="J543" i="15"/>
  <c r="J548" i="15"/>
  <c r="J552" i="15"/>
  <c r="J556" i="15"/>
  <c r="J560" i="15"/>
  <c r="J564" i="15"/>
  <c r="J568" i="15"/>
  <c r="J572" i="15"/>
  <c r="J576" i="15"/>
  <c r="J580" i="15"/>
  <c r="K440" i="15"/>
  <c r="K444" i="15"/>
  <c r="K448" i="15"/>
  <c r="K452" i="15"/>
  <c r="K456" i="15"/>
  <c r="K460" i="15"/>
  <c r="K464" i="15"/>
  <c r="K468" i="15"/>
  <c r="K472" i="15"/>
  <c r="K476" i="15"/>
  <c r="K480" i="15"/>
  <c r="K484" i="15"/>
  <c r="K488" i="15"/>
  <c r="K492" i="15"/>
  <c r="K496" i="15"/>
  <c r="K500" i="15"/>
  <c r="K504" i="15"/>
  <c r="K508" i="15"/>
  <c r="K512" i="15"/>
  <c r="K516" i="15"/>
  <c r="K520" i="15"/>
  <c r="K524" i="15"/>
  <c r="K528" i="15"/>
  <c r="K532" i="15"/>
  <c r="K536" i="15"/>
  <c r="K540" i="15"/>
  <c r="K544" i="15"/>
  <c r="K548" i="15"/>
  <c r="K552" i="15"/>
  <c r="K556" i="15"/>
  <c r="K560" i="15"/>
  <c r="K564" i="15"/>
  <c r="K568" i="15"/>
  <c r="K572" i="15"/>
  <c r="K576" i="15"/>
  <c r="K580" i="15"/>
  <c r="L440" i="15"/>
  <c r="L444" i="15"/>
  <c r="L448" i="15"/>
  <c r="L452" i="15"/>
  <c r="L456" i="15"/>
  <c r="L460" i="15"/>
  <c r="L464" i="15"/>
  <c r="L468" i="15"/>
  <c r="L472" i="15"/>
  <c r="L476" i="15"/>
  <c r="L480" i="15"/>
  <c r="L484" i="15"/>
  <c r="L488" i="15"/>
  <c r="L492" i="15"/>
  <c r="L496" i="15"/>
  <c r="L500" i="15"/>
  <c r="L504" i="15"/>
  <c r="L508" i="15"/>
  <c r="L512" i="15"/>
  <c r="L516" i="15"/>
  <c r="L520" i="15"/>
  <c r="L524" i="15"/>
  <c r="L528" i="15"/>
  <c r="L532" i="15"/>
  <c r="L536" i="15"/>
  <c r="L540" i="15"/>
  <c r="L544" i="15"/>
  <c r="L548" i="15"/>
  <c r="L552" i="15"/>
  <c r="L556" i="15"/>
  <c r="L560" i="15"/>
  <c r="L564" i="15"/>
  <c r="L568" i="15"/>
  <c r="L572" i="15"/>
  <c r="L576" i="15"/>
  <c r="L580" i="15"/>
  <c r="M440" i="15"/>
  <c r="M444" i="15"/>
  <c r="M448" i="15"/>
  <c r="M452" i="15"/>
  <c r="M456" i="15"/>
  <c r="M460" i="15"/>
  <c r="M464" i="15"/>
  <c r="M468" i="15"/>
  <c r="M472" i="15"/>
  <c r="M476" i="15"/>
  <c r="M480" i="15"/>
  <c r="M484" i="15"/>
  <c r="M488" i="15"/>
  <c r="M492" i="15"/>
  <c r="M496" i="15"/>
  <c r="M500" i="15"/>
  <c r="M504" i="15"/>
  <c r="M508" i="15"/>
  <c r="M512" i="15"/>
  <c r="M516" i="15"/>
  <c r="M520" i="15"/>
  <c r="M524" i="15"/>
  <c r="M528" i="15"/>
  <c r="M532" i="15"/>
  <c r="M536" i="15"/>
  <c r="M540" i="15"/>
  <c r="M544" i="15"/>
  <c r="M548" i="15"/>
  <c r="M552" i="15"/>
  <c r="M556" i="15"/>
  <c r="M560" i="15"/>
  <c r="M564" i="15"/>
  <c r="M568" i="15"/>
  <c r="M572" i="15"/>
  <c r="M576" i="15"/>
  <c r="M580" i="15"/>
  <c r="O440" i="15"/>
  <c r="O444" i="15"/>
  <c r="O448" i="15"/>
  <c r="O452" i="15"/>
  <c r="O456" i="15"/>
  <c r="O460" i="15"/>
  <c r="O464" i="15"/>
  <c r="O468" i="15"/>
  <c r="O472" i="15"/>
  <c r="O476" i="15"/>
  <c r="O480" i="15"/>
  <c r="O484" i="15"/>
  <c r="O488" i="15"/>
  <c r="O492" i="15"/>
  <c r="O496" i="15"/>
  <c r="O500" i="15"/>
  <c r="O504" i="15"/>
  <c r="O508" i="15"/>
  <c r="O512" i="15"/>
  <c r="O516" i="15"/>
  <c r="O520" i="15"/>
  <c r="O524" i="15"/>
  <c r="O528" i="15"/>
  <c r="O532" i="15"/>
  <c r="O536" i="15"/>
  <c r="O540" i="15"/>
  <c r="O544" i="15"/>
  <c r="O548" i="15"/>
  <c r="O552" i="15"/>
  <c r="O556" i="15"/>
  <c r="O560" i="15"/>
  <c r="O564" i="15"/>
  <c r="O568" i="15"/>
  <c r="O572" i="15"/>
  <c r="O576" i="15"/>
  <c r="O580" i="15"/>
  <c r="O441" i="15"/>
  <c r="O445" i="15"/>
  <c r="O453" i="15"/>
  <c r="O461" i="15"/>
  <c r="O465" i="15"/>
  <c r="O473" i="15"/>
  <c r="O481" i="15"/>
  <c r="O489" i="15"/>
  <c r="O493" i="15"/>
  <c r="O501" i="15"/>
  <c r="O509" i="15"/>
  <c r="O517" i="15"/>
  <c r="O525" i="15"/>
  <c r="O533" i="15"/>
  <c r="O537" i="15"/>
  <c r="O545" i="15"/>
  <c r="O553" i="15"/>
  <c r="O561" i="15"/>
  <c r="O569" i="15"/>
  <c r="O577" i="15"/>
  <c r="B498" i="15"/>
  <c r="D498" i="15" s="1"/>
  <c r="B470" i="15"/>
  <c r="D470" i="15" s="1"/>
  <c r="B534" i="15"/>
  <c r="D534" i="15" s="1"/>
  <c r="C454" i="15"/>
  <c r="C518" i="15"/>
  <c r="C582" i="15"/>
  <c r="J443" i="15"/>
  <c r="J448" i="15"/>
  <c r="J453" i="15"/>
  <c r="J459" i="15"/>
  <c r="J464" i="15"/>
  <c r="J469" i="15"/>
  <c r="J475" i="15"/>
  <c r="J480" i="15"/>
  <c r="J485" i="15"/>
  <c r="J491" i="15"/>
  <c r="J496" i="15"/>
  <c r="J501" i="15"/>
  <c r="J507" i="15"/>
  <c r="J512" i="15"/>
  <c r="J517" i="15"/>
  <c r="J523" i="15"/>
  <c r="J528" i="15"/>
  <c r="J533" i="15"/>
  <c r="J539" i="15"/>
  <c r="J544" i="15"/>
  <c r="J549" i="15"/>
  <c r="J553" i="15"/>
  <c r="J557" i="15"/>
  <c r="J561" i="15"/>
  <c r="J565" i="15"/>
  <c r="J569" i="15"/>
  <c r="J573" i="15"/>
  <c r="J577" i="15"/>
  <c r="J581" i="15"/>
  <c r="K441" i="15"/>
  <c r="K445" i="15"/>
  <c r="K449" i="15"/>
  <c r="K453" i="15"/>
  <c r="K457" i="15"/>
  <c r="K461" i="15"/>
  <c r="K465" i="15"/>
  <c r="K469" i="15"/>
  <c r="K473" i="15"/>
  <c r="K477" i="15"/>
  <c r="K481" i="15"/>
  <c r="K485" i="15"/>
  <c r="K489" i="15"/>
  <c r="K493" i="15"/>
  <c r="K497" i="15"/>
  <c r="K501" i="15"/>
  <c r="K505" i="15"/>
  <c r="K509" i="15"/>
  <c r="K513" i="15"/>
  <c r="K517" i="15"/>
  <c r="K521" i="15"/>
  <c r="K525" i="15"/>
  <c r="K529" i="15"/>
  <c r="K533" i="15"/>
  <c r="K537" i="15"/>
  <c r="K541" i="15"/>
  <c r="K545" i="15"/>
  <c r="K549" i="15"/>
  <c r="K553" i="15"/>
  <c r="K557" i="15"/>
  <c r="K561" i="15"/>
  <c r="K565" i="15"/>
  <c r="K569" i="15"/>
  <c r="K573" i="15"/>
  <c r="K577" i="15"/>
  <c r="K581" i="15"/>
  <c r="L441" i="15"/>
  <c r="L445" i="15"/>
  <c r="L449" i="15"/>
  <c r="L453" i="15"/>
  <c r="L457" i="15"/>
  <c r="L461" i="15"/>
  <c r="L465" i="15"/>
  <c r="L469" i="15"/>
  <c r="L473" i="15"/>
  <c r="L477" i="15"/>
  <c r="L481" i="15"/>
  <c r="L485" i="15"/>
  <c r="L489" i="15"/>
  <c r="L493" i="15"/>
  <c r="L497" i="15"/>
  <c r="L501" i="15"/>
  <c r="L505" i="15"/>
  <c r="L509" i="15"/>
  <c r="L513" i="15"/>
  <c r="L517" i="15"/>
  <c r="L521" i="15"/>
  <c r="L525" i="15"/>
  <c r="L529" i="15"/>
  <c r="L533" i="15"/>
  <c r="L537" i="15"/>
  <c r="L541" i="15"/>
  <c r="L545" i="15"/>
  <c r="L549" i="15"/>
  <c r="L553" i="15"/>
  <c r="L557" i="15"/>
  <c r="L561" i="15"/>
  <c r="L565" i="15"/>
  <c r="L569" i="15"/>
  <c r="L573" i="15"/>
  <c r="L577" i="15"/>
  <c r="L581" i="15"/>
  <c r="M441" i="15"/>
  <c r="M445" i="15"/>
  <c r="M449" i="15"/>
  <c r="M453" i="15"/>
  <c r="M457" i="15"/>
  <c r="M461" i="15"/>
  <c r="M465" i="15"/>
  <c r="M469" i="15"/>
  <c r="M473" i="15"/>
  <c r="M477" i="15"/>
  <c r="M481" i="15"/>
  <c r="M485" i="15"/>
  <c r="M489" i="15"/>
  <c r="M493" i="15"/>
  <c r="M497" i="15"/>
  <c r="M501" i="15"/>
  <c r="M505" i="15"/>
  <c r="M509" i="15"/>
  <c r="M513" i="15"/>
  <c r="M517" i="15"/>
  <c r="M521" i="15"/>
  <c r="M525" i="15"/>
  <c r="M529" i="15"/>
  <c r="M533" i="15"/>
  <c r="M537" i="15"/>
  <c r="M541" i="15"/>
  <c r="M545" i="15"/>
  <c r="M549" i="15"/>
  <c r="M553" i="15"/>
  <c r="M557" i="15"/>
  <c r="M561" i="15"/>
  <c r="M565" i="15"/>
  <c r="M569" i="15"/>
  <c r="M573" i="15"/>
  <c r="M577" i="15"/>
  <c r="M581" i="15"/>
  <c r="O449" i="15"/>
  <c r="O457" i="15"/>
  <c r="O469" i="15"/>
  <c r="O477" i="15"/>
  <c r="O485" i="15"/>
  <c r="O497" i="15"/>
  <c r="O505" i="15"/>
  <c r="O513" i="15"/>
  <c r="O521" i="15"/>
  <c r="O529" i="15"/>
  <c r="O541" i="15"/>
  <c r="O549" i="15"/>
  <c r="O557" i="15"/>
  <c r="O565" i="15"/>
  <c r="O573" i="15"/>
  <c r="O581" i="15"/>
  <c r="B562" i="15"/>
  <c r="D562" i="15" s="1"/>
  <c r="C482" i="15"/>
  <c r="C546" i="15"/>
  <c r="B502" i="15"/>
  <c r="D502" i="15" s="1"/>
  <c r="J440" i="15"/>
  <c r="J451" i="15"/>
  <c r="J461" i="15"/>
  <c r="J472" i="15"/>
  <c r="J483" i="15"/>
  <c r="J493" i="15"/>
  <c r="J504" i="15"/>
  <c r="J515" i="15"/>
  <c r="J525" i="15"/>
  <c r="J536" i="15"/>
  <c r="J547" i="15"/>
  <c r="J555" i="15"/>
  <c r="J563" i="15"/>
  <c r="J571" i="15"/>
  <c r="J579" i="15"/>
  <c r="K443" i="15"/>
  <c r="K451" i="15"/>
  <c r="K459" i="15"/>
  <c r="K467" i="15"/>
  <c r="K475" i="15"/>
  <c r="K483" i="15"/>
  <c r="K491" i="15"/>
  <c r="K499" i="15"/>
  <c r="K507" i="15"/>
  <c r="K515" i="15"/>
  <c r="K523" i="15"/>
  <c r="K531" i="15"/>
  <c r="K539" i="15"/>
  <c r="K547" i="15"/>
  <c r="K555" i="15"/>
  <c r="K563" i="15"/>
  <c r="K571" i="15"/>
  <c r="K579" i="15"/>
  <c r="L443" i="15"/>
  <c r="L451" i="15"/>
  <c r="L459" i="15"/>
  <c r="L467" i="15"/>
  <c r="L475" i="15"/>
  <c r="L483" i="15"/>
  <c r="L491" i="15"/>
  <c r="L499" i="15"/>
  <c r="L507" i="15"/>
  <c r="L515" i="15"/>
  <c r="L523" i="15"/>
  <c r="L531" i="15"/>
  <c r="L539" i="15"/>
  <c r="L547" i="15"/>
  <c r="L555" i="15"/>
  <c r="L563" i="15"/>
  <c r="L571" i="15"/>
  <c r="L579" i="15"/>
  <c r="M443" i="15"/>
  <c r="M451" i="15"/>
  <c r="M459" i="15"/>
  <c r="M467" i="15"/>
  <c r="M475" i="15"/>
  <c r="M483" i="15"/>
  <c r="M491" i="15"/>
  <c r="M499" i="15"/>
  <c r="M507" i="15"/>
  <c r="M515" i="15"/>
  <c r="B566" i="15"/>
  <c r="D566" i="15" s="1"/>
  <c r="J444" i="15"/>
  <c r="J455" i="15"/>
  <c r="J465" i="15"/>
  <c r="J476" i="15"/>
  <c r="J487" i="15"/>
  <c r="J497" i="15"/>
  <c r="J508" i="15"/>
  <c r="J519" i="15"/>
  <c r="J529" i="15"/>
  <c r="J540" i="15"/>
  <c r="J550" i="15"/>
  <c r="J558" i="15"/>
  <c r="J566" i="15"/>
  <c r="J574" i="15"/>
  <c r="J582" i="15"/>
  <c r="K446" i="15"/>
  <c r="K454" i="15"/>
  <c r="K462" i="15"/>
  <c r="K470" i="15"/>
  <c r="K478" i="15"/>
  <c r="K486" i="15"/>
  <c r="K494" i="15"/>
  <c r="K502" i="15"/>
  <c r="K510" i="15"/>
  <c r="K518" i="15"/>
  <c r="K526" i="15"/>
  <c r="K534" i="15"/>
  <c r="K542" i="15"/>
  <c r="K550" i="15"/>
  <c r="K558" i="15"/>
  <c r="K566" i="15"/>
  <c r="K574" i="15"/>
  <c r="K582" i="15"/>
  <c r="L446" i="15"/>
  <c r="L454" i="15"/>
  <c r="L462" i="15"/>
  <c r="L470" i="15"/>
  <c r="L478" i="15"/>
  <c r="L486" i="15"/>
  <c r="L494" i="15"/>
  <c r="L502" i="15"/>
  <c r="L510" i="15"/>
  <c r="L518" i="15"/>
  <c r="L526" i="15"/>
  <c r="L534" i="15"/>
  <c r="L542" i="15"/>
  <c r="L550" i="15"/>
  <c r="L558" i="15"/>
  <c r="L566" i="15"/>
  <c r="L574" i="15"/>
  <c r="L582" i="15"/>
  <c r="M446" i="15"/>
  <c r="M454" i="15"/>
  <c r="M462" i="15"/>
  <c r="M470" i="15"/>
  <c r="M478" i="15"/>
  <c r="M486" i="15"/>
  <c r="M494" i="15"/>
  <c r="M502" i="15"/>
  <c r="M510" i="15"/>
  <c r="M518" i="15"/>
  <c r="M526" i="15"/>
  <c r="M534" i="15"/>
  <c r="M542" i="15"/>
  <c r="M550" i="15"/>
  <c r="M558" i="15"/>
  <c r="C486" i="15"/>
  <c r="J445" i="15"/>
  <c r="J456" i="15"/>
  <c r="J467" i="15"/>
  <c r="J477" i="15"/>
  <c r="J488" i="15"/>
  <c r="J499" i="15"/>
  <c r="J509" i="15"/>
  <c r="J520" i="15"/>
  <c r="J531" i="15"/>
  <c r="J541" i="15"/>
  <c r="J551" i="15"/>
  <c r="J559" i="15"/>
  <c r="J567" i="15"/>
  <c r="J575" i="15"/>
  <c r="K439" i="15"/>
  <c r="K447" i="15"/>
  <c r="K455" i="15"/>
  <c r="K463" i="15"/>
  <c r="K471" i="15"/>
  <c r="K479" i="15"/>
  <c r="K487" i="15"/>
  <c r="K495" i="15"/>
  <c r="K503" i="15"/>
  <c r="K511" i="15"/>
  <c r="K519" i="15"/>
  <c r="K527" i="15"/>
  <c r="K535" i="15"/>
  <c r="K543" i="15"/>
  <c r="K551" i="15"/>
  <c r="K559" i="15"/>
  <c r="K567" i="15"/>
  <c r="K575" i="15"/>
  <c r="L439" i="15"/>
  <c r="L447" i="15"/>
  <c r="L455" i="15"/>
  <c r="L463" i="15"/>
  <c r="L471" i="15"/>
  <c r="L479" i="15"/>
  <c r="L487" i="15"/>
  <c r="L495" i="15"/>
  <c r="L503" i="15"/>
  <c r="L511" i="15"/>
  <c r="L519" i="15"/>
  <c r="L527" i="15"/>
  <c r="L535" i="15"/>
  <c r="L543" i="15"/>
  <c r="L551" i="15"/>
  <c r="L559" i="15"/>
  <c r="L567" i="15"/>
  <c r="L575" i="15"/>
  <c r="M439" i="15"/>
  <c r="M447" i="15"/>
  <c r="M455" i="15"/>
  <c r="M463" i="15"/>
  <c r="M471" i="15"/>
  <c r="M479" i="15"/>
  <c r="M487" i="15"/>
  <c r="M495" i="15"/>
  <c r="M503" i="15"/>
  <c r="M511" i="15"/>
  <c r="M519" i="15"/>
  <c r="M527" i="15"/>
  <c r="M535" i="15"/>
  <c r="M543" i="15"/>
  <c r="M551" i="15"/>
  <c r="M559" i="15"/>
  <c r="C550" i="15"/>
  <c r="J460" i="15"/>
  <c r="J503" i="15"/>
  <c r="J545" i="15"/>
  <c r="J578" i="15"/>
  <c r="K466" i="15"/>
  <c r="K498" i="15"/>
  <c r="K530" i="15"/>
  <c r="K562" i="15"/>
  <c r="L450" i="15"/>
  <c r="L482" i="15"/>
  <c r="L514" i="15"/>
  <c r="L546" i="15"/>
  <c r="L578" i="15"/>
  <c r="M466" i="15"/>
  <c r="M498" i="15"/>
  <c r="M523" i="15"/>
  <c r="M539" i="15"/>
  <c r="M555" i="15"/>
  <c r="M567" i="15"/>
  <c r="M575" i="15"/>
  <c r="O439" i="15"/>
  <c r="O447" i="15"/>
  <c r="O455" i="15"/>
  <c r="O463" i="15"/>
  <c r="O471" i="15"/>
  <c r="O479" i="15"/>
  <c r="O487" i="15"/>
  <c r="O495" i="15"/>
  <c r="O503" i="15"/>
  <c r="O511" i="15"/>
  <c r="O519" i="15"/>
  <c r="O527" i="15"/>
  <c r="O535" i="15"/>
  <c r="O543" i="15"/>
  <c r="O551" i="15"/>
  <c r="O559" i="15"/>
  <c r="O567" i="15"/>
  <c r="O575" i="15"/>
  <c r="J471" i="15"/>
  <c r="J513" i="15"/>
  <c r="J554" i="15"/>
  <c r="K442" i="15"/>
  <c r="K474" i="15"/>
  <c r="K506" i="15"/>
  <c r="K538" i="15"/>
  <c r="K570" i="15"/>
  <c r="L458" i="15"/>
  <c r="L490" i="15"/>
  <c r="L522" i="15"/>
  <c r="L554" i="15"/>
  <c r="M442" i="15"/>
  <c r="M474" i="15"/>
  <c r="M506" i="15"/>
  <c r="M530" i="15"/>
  <c r="M546" i="15"/>
  <c r="M562" i="15"/>
  <c r="M570" i="15"/>
  <c r="M578" i="15"/>
  <c r="O442" i="15"/>
  <c r="O450" i="15"/>
  <c r="O458" i="15"/>
  <c r="O466" i="15"/>
  <c r="O474" i="15"/>
  <c r="O482" i="15"/>
  <c r="O490" i="15"/>
  <c r="O498" i="15"/>
  <c r="O506" i="15"/>
  <c r="O514" i="15"/>
  <c r="O522" i="15"/>
  <c r="O530" i="15"/>
  <c r="O538" i="15"/>
  <c r="O546" i="15"/>
  <c r="O554" i="15"/>
  <c r="O562" i="15"/>
  <c r="O570" i="15"/>
  <c r="O578" i="15"/>
  <c r="J439" i="15"/>
  <c r="J481" i="15"/>
  <c r="J524" i="15"/>
  <c r="J562" i="15"/>
  <c r="K450" i="15"/>
  <c r="K482" i="15"/>
  <c r="K514" i="15"/>
  <c r="K546" i="15"/>
  <c r="K578" i="15"/>
  <c r="L466" i="15"/>
  <c r="L498" i="15"/>
  <c r="L530" i="15"/>
  <c r="L562" i="15"/>
  <c r="M450" i="15"/>
  <c r="M482" i="15"/>
  <c r="M514" i="15"/>
  <c r="M531" i="15"/>
  <c r="M547" i="15"/>
  <c r="M563" i="15"/>
  <c r="M571" i="15"/>
  <c r="M579" i="15"/>
  <c r="O443" i="15"/>
  <c r="O451" i="15"/>
  <c r="O459" i="15"/>
  <c r="O467" i="15"/>
  <c r="O475" i="15"/>
  <c r="O483" i="15"/>
  <c r="O491" i="15"/>
  <c r="O499" i="15"/>
  <c r="O507" i="15"/>
  <c r="O515" i="15"/>
  <c r="O523" i="15"/>
  <c r="O531" i="15"/>
  <c r="O539" i="15"/>
  <c r="O547" i="15"/>
  <c r="O555" i="15"/>
  <c r="O563" i="15"/>
  <c r="O571" i="15"/>
  <c r="O579" i="15"/>
  <c r="J492" i="15"/>
  <c r="J570" i="15"/>
  <c r="K490" i="15"/>
  <c r="K554" i="15"/>
  <c r="L474" i="15"/>
  <c r="L538" i="15"/>
  <c r="M458" i="15"/>
  <c r="M522" i="15"/>
  <c r="M538" i="15"/>
  <c r="M566" i="15"/>
  <c r="M582" i="15"/>
  <c r="O446" i="15"/>
  <c r="O462" i="15"/>
  <c r="O470" i="15"/>
  <c r="O486" i="15"/>
  <c r="O502" i="15"/>
  <c r="O518" i="15"/>
  <c r="O534" i="15"/>
  <c r="O550" i="15"/>
  <c r="O566" i="15"/>
  <c r="O574" i="15"/>
  <c r="J449" i="15"/>
  <c r="J535" i="15"/>
  <c r="K458" i="15"/>
  <c r="K522" i="15"/>
  <c r="L442" i="15"/>
  <c r="L506" i="15"/>
  <c r="L570" i="15"/>
  <c r="M490" i="15"/>
  <c r="M554" i="15"/>
  <c r="M574" i="15"/>
  <c r="O454" i="15"/>
  <c r="O478" i="15"/>
  <c r="O494" i="15"/>
  <c r="O510" i="15"/>
  <c r="O526" i="15"/>
  <c r="O542" i="15"/>
  <c r="O558" i="15"/>
  <c r="O582" i="15"/>
  <c r="N142" i="13"/>
  <c r="AM142" i="13" s="1"/>
  <c r="Q420" i="13"/>
  <c r="AD420" i="13" s="1"/>
  <c r="AQ420" i="13" s="1"/>
  <c r="AI420" i="13"/>
  <c r="T49" i="16"/>
  <c r="R49" i="16"/>
  <c r="T41" i="16"/>
  <c r="R41" i="16"/>
  <c r="B310" i="15"/>
  <c r="D310" i="15" s="1"/>
  <c r="B314" i="15"/>
  <c r="D314" i="15" s="1"/>
  <c r="B318" i="15"/>
  <c r="B322" i="15"/>
  <c r="D322" i="15" s="1"/>
  <c r="B326" i="15"/>
  <c r="B330" i="15"/>
  <c r="D330" i="15" s="1"/>
  <c r="B334" i="15"/>
  <c r="B338" i="15"/>
  <c r="B342" i="15"/>
  <c r="D342" i="15" s="1"/>
  <c r="B346" i="15"/>
  <c r="D346" i="15" s="1"/>
  <c r="B350" i="15"/>
  <c r="B354" i="15"/>
  <c r="B358" i="15"/>
  <c r="B362" i="15"/>
  <c r="B366" i="15"/>
  <c r="B370" i="15"/>
  <c r="B374" i="15"/>
  <c r="D374" i="15" s="1"/>
  <c r="B378" i="15"/>
  <c r="D378" i="15" s="1"/>
  <c r="B382" i="15"/>
  <c r="B386" i="15"/>
  <c r="B390" i="15"/>
  <c r="D390" i="15" s="1"/>
  <c r="B394" i="15"/>
  <c r="B398" i="15"/>
  <c r="D398" i="15" s="1"/>
  <c r="B402" i="15"/>
  <c r="D402" i="15" s="1"/>
  <c r="B406" i="15"/>
  <c r="D406" i="15" s="1"/>
  <c r="B410" i="15"/>
  <c r="D410" i="15" s="1"/>
  <c r="B414" i="15"/>
  <c r="D414" i="15" s="1"/>
  <c r="B418" i="15"/>
  <c r="B422" i="15"/>
  <c r="D422" i="15" s="1"/>
  <c r="B426" i="15"/>
  <c r="B430" i="15"/>
  <c r="D430" i="15" s="1"/>
  <c r="B434" i="15"/>
  <c r="D434" i="15" s="1"/>
  <c r="B438" i="15"/>
  <c r="D438" i="15" s="1"/>
  <c r="C313" i="15"/>
  <c r="C317" i="15"/>
  <c r="C321" i="15"/>
  <c r="C325" i="15"/>
  <c r="C329" i="15"/>
  <c r="C333" i="15"/>
  <c r="C337" i="15"/>
  <c r="C341" i="15"/>
  <c r="C345" i="15"/>
  <c r="C349" i="15"/>
  <c r="C353" i="15"/>
  <c r="C357" i="15"/>
  <c r="C361" i="15"/>
  <c r="C365" i="15"/>
  <c r="C369" i="15"/>
  <c r="C373" i="15"/>
  <c r="C377" i="15"/>
  <c r="C381" i="15"/>
  <c r="C385" i="15"/>
  <c r="C389" i="15"/>
  <c r="C393" i="15"/>
  <c r="C397" i="15"/>
  <c r="C401" i="15"/>
  <c r="C405" i="15"/>
  <c r="C409" i="15"/>
  <c r="B313" i="15"/>
  <c r="D313" i="15" s="1"/>
  <c r="B317" i="15"/>
  <c r="D317" i="15" s="1"/>
  <c r="B321" i="15"/>
  <c r="D321" i="15" s="1"/>
  <c r="B325" i="15"/>
  <c r="B329" i="15"/>
  <c r="D329" i="15" s="1"/>
  <c r="B333" i="15"/>
  <c r="B337" i="15"/>
  <c r="D337" i="15" s="1"/>
  <c r="B341" i="15"/>
  <c r="D341" i="15" s="1"/>
  <c r="B345" i="15"/>
  <c r="D345" i="15" s="1"/>
  <c r="B349" i="15"/>
  <c r="D349" i="15" s="1"/>
  <c r="B353" i="15"/>
  <c r="B357" i="15"/>
  <c r="B361" i="15"/>
  <c r="B365" i="15"/>
  <c r="D365" i="15" s="1"/>
  <c r="B369" i="15"/>
  <c r="B373" i="15"/>
  <c r="B377" i="15"/>
  <c r="D377" i="15" s="1"/>
  <c r="B381" i="15"/>
  <c r="B385" i="15"/>
  <c r="D385" i="15" s="1"/>
  <c r="B389" i="15"/>
  <c r="B393" i="15"/>
  <c r="B397" i="15"/>
  <c r="D397" i="15" s="1"/>
  <c r="B401" i="15"/>
  <c r="D401" i="15" s="1"/>
  <c r="B405" i="15"/>
  <c r="B409" i="15"/>
  <c r="D409" i="15" s="1"/>
  <c r="B413" i="15"/>
  <c r="D413" i="15" s="1"/>
  <c r="B417" i="15"/>
  <c r="B421" i="15"/>
  <c r="B425" i="15"/>
  <c r="B429" i="15"/>
  <c r="B433" i="15"/>
  <c r="D433" i="15" s="1"/>
  <c r="B437" i="15"/>
  <c r="D437" i="15" s="1"/>
  <c r="C312" i="15"/>
  <c r="C316" i="15"/>
  <c r="C320" i="15"/>
  <c r="C324" i="15"/>
  <c r="C328" i="15"/>
  <c r="C332" i="15"/>
  <c r="C336" i="15"/>
  <c r="C340" i="15"/>
  <c r="C344" i="15"/>
  <c r="C348" i="15"/>
  <c r="C352" i="15"/>
  <c r="C356" i="15"/>
  <c r="C360" i="15"/>
  <c r="C364" i="15"/>
  <c r="C368" i="15"/>
  <c r="C372" i="15"/>
  <c r="C376" i="15"/>
  <c r="C380" i="15"/>
  <c r="C384" i="15"/>
  <c r="C388" i="15"/>
  <c r="C392" i="15"/>
  <c r="C396" i="15"/>
  <c r="C400" i="15"/>
  <c r="C404" i="15"/>
  <c r="C408" i="15"/>
  <c r="C412" i="15"/>
  <c r="C416" i="15"/>
  <c r="C420" i="15"/>
  <c r="C424" i="15"/>
  <c r="C428" i="15"/>
  <c r="C432" i="15"/>
  <c r="C436" i="15"/>
  <c r="B311" i="15"/>
  <c r="D311" i="15" s="1"/>
  <c r="B319" i="15"/>
  <c r="B327" i="15"/>
  <c r="D327" i="15" s="1"/>
  <c r="B335" i="15"/>
  <c r="B343" i="15"/>
  <c r="D343" i="15" s="1"/>
  <c r="B351" i="15"/>
  <c r="B359" i="15"/>
  <c r="D359" i="15" s="1"/>
  <c r="B367" i="15"/>
  <c r="B375" i="15"/>
  <c r="B383" i="15"/>
  <c r="D383" i="15" s="1"/>
  <c r="B391" i="15"/>
  <c r="D391" i="15" s="1"/>
  <c r="B399" i="15"/>
  <c r="D399" i="15" s="1"/>
  <c r="B407" i="15"/>
  <c r="D407" i="15" s="1"/>
  <c r="B415" i="15"/>
  <c r="D415" i="15" s="1"/>
  <c r="B423" i="15"/>
  <c r="B431" i="15"/>
  <c r="D431" i="15" s="1"/>
  <c r="C310" i="15"/>
  <c r="C318" i="15"/>
  <c r="C326" i="15"/>
  <c r="C334" i="15"/>
  <c r="C342" i="15"/>
  <c r="C350" i="15"/>
  <c r="C358" i="15"/>
  <c r="C366" i="15"/>
  <c r="C374" i="15"/>
  <c r="C382" i="15"/>
  <c r="C390" i="15"/>
  <c r="C398" i="15"/>
  <c r="C406" i="15"/>
  <c r="C413" i="15"/>
  <c r="C418" i="15"/>
  <c r="C423" i="15"/>
  <c r="C429" i="15"/>
  <c r="C434" i="15"/>
  <c r="B312" i="15"/>
  <c r="D312" i="15" s="1"/>
  <c r="B320" i="15"/>
  <c r="D320" i="15" s="1"/>
  <c r="B328" i="15"/>
  <c r="B336" i="15"/>
  <c r="B344" i="15"/>
  <c r="B352" i="15"/>
  <c r="D352" i="15" s="1"/>
  <c r="B360" i="15"/>
  <c r="D360" i="15" s="1"/>
  <c r="B368" i="15"/>
  <c r="B376" i="15"/>
  <c r="D376" i="15" s="1"/>
  <c r="B384" i="15"/>
  <c r="B392" i="15"/>
  <c r="D392" i="15" s="1"/>
  <c r="B400" i="15"/>
  <c r="B408" i="15"/>
  <c r="D408" i="15" s="1"/>
  <c r="B416" i="15"/>
  <c r="B424" i="15"/>
  <c r="D424" i="15" s="1"/>
  <c r="B432" i="15"/>
  <c r="D432" i="15" s="1"/>
  <c r="C311" i="15"/>
  <c r="C319" i="15"/>
  <c r="C327" i="15"/>
  <c r="C335" i="15"/>
  <c r="C343" i="15"/>
  <c r="C351" i="15"/>
  <c r="C359" i="15"/>
  <c r="C367" i="15"/>
  <c r="C375" i="15"/>
  <c r="C383" i="15"/>
  <c r="C391" i="15"/>
  <c r="C399" i="15"/>
  <c r="C407" i="15"/>
  <c r="C414" i="15"/>
  <c r="C419" i="15"/>
  <c r="C425" i="15"/>
  <c r="C430" i="15"/>
  <c r="C435" i="15"/>
  <c r="B315" i="15"/>
  <c r="D315" i="15" s="1"/>
  <c r="B331" i="15"/>
  <c r="B347" i="15"/>
  <c r="B363" i="15"/>
  <c r="B379" i="15"/>
  <c r="D379" i="15" s="1"/>
  <c r="B395" i="15"/>
  <c r="D395" i="15" s="1"/>
  <c r="B411" i="15"/>
  <c r="D411" i="15" s="1"/>
  <c r="B427" i="15"/>
  <c r="C314" i="15"/>
  <c r="C330" i="15"/>
  <c r="C346" i="15"/>
  <c r="C362" i="15"/>
  <c r="C378" i="15"/>
  <c r="C394" i="15"/>
  <c r="C410" i="15"/>
  <c r="C421" i="15"/>
  <c r="C431" i="15"/>
  <c r="B316" i="15"/>
  <c r="D316" i="15" s="1"/>
  <c r="B332" i="15"/>
  <c r="B348" i="15"/>
  <c r="B364" i="15"/>
  <c r="B380" i="15"/>
  <c r="D380" i="15" s="1"/>
  <c r="B396" i="15"/>
  <c r="D396" i="15" s="1"/>
  <c r="B412" i="15"/>
  <c r="D412" i="15" s="1"/>
  <c r="B428" i="15"/>
  <c r="C315" i="15"/>
  <c r="C331" i="15"/>
  <c r="C347" i="15"/>
  <c r="C363" i="15"/>
  <c r="C379" i="15"/>
  <c r="C395" i="15"/>
  <c r="C411" i="15"/>
  <c r="C422" i="15"/>
  <c r="C433" i="15"/>
  <c r="B323" i="15"/>
  <c r="B355" i="15"/>
  <c r="B387" i="15"/>
  <c r="D387" i="15" s="1"/>
  <c r="B419" i="15"/>
  <c r="C322" i="15"/>
  <c r="C354" i="15"/>
  <c r="C386" i="15"/>
  <c r="C415" i="15"/>
  <c r="C437" i="15"/>
  <c r="J313" i="15"/>
  <c r="J317" i="15"/>
  <c r="J321" i="15"/>
  <c r="J325" i="15"/>
  <c r="J329" i="15"/>
  <c r="J333" i="15"/>
  <c r="J337" i="15"/>
  <c r="J341" i="15"/>
  <c r="J345" i="15"/>
  <c r="J349" i="15"/>
  <c r="J353" i="15"/>
  <c r="J357" i="15"/>
  <c r="J361" i="15"/>
  <c r="J365" i="15"/>
  <c r="J369" i="15"/>
  <c r="J373" i="15"/>
  <c r="J377" i="15"/>
  <c r="J381" i="15"/>
  <c r="J385" i="15"/>
  <c r="J389" i="15"/>
  <c r="J393" i="15"/>
  <c r="J397" i="15"/>
  <c r="J401" i="15"/>
  <c r="J405" i="15"/>
  <c r="J409" i="15"/>
  <c r="J413" i="15"/>
  <c r="J417" i="15"/>
  <c r="J421" i="15"/>
  <c r="J425" i="15"/>
  <c r="J429" i="15"/>
  <c r="J433" i="15"/>
  <c r="J437" i="15"/>
  <c r="K312" i="15"/>
  <c r="K316" i="15"/>
  <c r="K320" i="15"/>
  <c r="K324" i="15"/>
  <c r="K328" i="15"/>
  <c r="K332" i="15"/>
  <c r="K336" i="15"/>
  <c r="K340" i="15"/>
  <c r="K344" i="15"/>
  <c r="K348" i="15"/>
  <c r="K352" i="15"/>
  <c r="K356" i="15"/>
  <c r="K360" i="15"/>
  <c r="K364" i="15"/>
  <c r="K368" i="15"/>
  <c r="K372" i="15"/>
  <c r="K376" i="15"/>
  <c r="K380" i="15"/>
  <c r="K384" i="15"/>
  <c r="K388" i="15"/>
  <c r="K392" i="15"/>
  <c r="K396" i="15"/>
  <c r="K400" i="15"/>
  <c r="K404" i="15"/>
  <c r="K408" i="15"/>
  <c r="K412" i="15"/>
  <c r="K416" i="15"/>
  <c r="K420" i="15"/>
  <c r="K424" i="15"/>
  <c r="K428" i="15"/>
  <c r="K432" i="15"/>
  <c r="K436" i="15"/>
  <c r="L311" i="15"/>
  <c r="L315" i="15"/>
  <c r="L319" i="15"/>
  <c r="L323" i="15"/>
  <c r="L327" i="15"/>
  <c r="L331" i="15"/>
  <c r="L335" i="15"/>
  <c r="L339" i="15"/>
  <c r="L343" i="15"/>
  <c r="L347" i="15"/>
  <c r="L351" i="15"/>
  <c r="L355" i="15"/>
  <c r="L359" i="15"/>
  <c r="L363" i="15"/>
  <c r="L367" i="15"/>
  <c r="L371" i="15"/>
  <c r="L375" i="15"/>
  <c r="B324" i="15"/>
  <c r="B356" i="15"/>
  <c r="B388" i="15"/>
  <c r="D388" i="15" s="1"/>
  <c r="B420" i="15"/>
  <c r="C323" i="15"/>
  <c r="C355" i="15"/>
  <c r="C387" i="15"/>
  <c r="C417" i="15"/>
  <c r="C438" i="15"/>
  <c r="J310" i="15"/>
  <c r="J314" i="15"/>
  <c r="J318" i="15"/>
  <c r="J322" i="15"/>
  <c r="J326" i="15"/>
  <c r="J330" i="15"/>
  <c r="J338" i="15"/>
  <c r="J342" i="15"/>
  <c r="J346" i="15"/>
  <c r="J350" i="15"/>
  <c r="J354" i="15"/>
  <c r="J358" i="15"/>
  <c r="J362" i="15"/>
  <c r="J366" i="15"/>
  <c r="J370" i="15"/>
  <c r="J374" i="15"/>
  <c r="J378" i="15"/>
  <c r="J382" i="15"/>
  <c r="J386" i="15"/>
  <c r="J390" i="15"/>
  <c r="J394" i="15"/>
  <c r="J398" i="15"/>
  <c r="J402" i="15"/>
  <c r="J406" i="15"/>
  <c r="J410" i="15"/>
  <c r="J414" i="15"/>
  <c r="J418" i="15"/>
  <c r="J422" i="15"/>
  <c r="J426" i="15"/>
  <c r="J430" i="15"/>
  <c r="J434" i="15"/>
  <c r="J438" i="15"/>
  <c r="K313" i="15"/>
  <c r="K317" i="15"/>
  <c r="K321" i="15"/>
  <c r="K325" i="15"/>
  <c r="K329" i="15"/>
  <c r="K333" i="15"/>
  <c r="K337" i="15"/>
  <c r="K341" i="15"/>
  <c r="K345" i="15"/>
  <c r="K349" i="15"/>
  <c r="K353" i="15"/>
  <c r="K357" i="15"/>
  <c r="K361" i="15"/>
  <c r="K365" i="15"/>
  <c r="K369" i="15"/>
  <c r="K373" i="15"/>
  <c r="K377" i="15"/>
  <c r="K381" i="15"/>
  <c r="K385" i="15"/>
  <c r="K389" i="15"/>
  <c r="K393" i="15"/>
  <c r="K397" i="15"/>
  <c r="K401" i="15"/>
  <c r="K405" i="15"/>
  <c r="K409" i="15"/>
  <c r="K413" i="15"/>
  <c r="K417" i="15"/>
  <c r="K421" i="15"/>
  <c r="K425" i="15"/>
  <c r="K429" i="15"/>
  <c r="K433" i="15"/>
  <c r="K437" i="15"/>
  <c r="L312" i="15"/>
  <c r="L316" i="15"/>
  <c r="L320" i="15"/>
  <c r="L324" i="15"/>
  <c r="L328" i="15"/>
  <c r="L332" i="15"/>
  <c r="L336" i="15"/>
  <c r="L340" i="15"/>
  <c r="L344" i="15"/>
  <c r="L348" i="15"/>
  <c r="L352" i="15"/>
  <c r="L356" i="15"/>
  <c r="L360" i="15"/>
  <c r="B339" i="15"/>
  <c r="B403" i="15"/>
  <c r="D403" i="15" s="1"/>
  <c r="C338" i="15"/>
  <c r="C402" i="15"/>
  <c r="J311" i="15"/>
  <c r="J319" i="15"/>
  <c r="J327" i="15"/>
  <c r="J335" i="15"/>
  <c r="J343" i="15"/>
  <c r="J351" i="15"/>
  <c r="J359" i="15"/>
  <c r="J367" i="15"/>
  <c r="J375" i="15"/>
  <c r="J383" i="15"/>
  <c r="J391" i="15"/>
  <c r="J399" i="15"/>
  <c r="J407" i="15"/>
  <c r="J415" i="15"/>
  <c r="J423" i="15"/>
  <c r="J431" i="15"/>
  <c r="K310" i="15"/>
  <c r="K318" i="15"/>
  <c r="K326" i="15"/>
  <c r="K334" i="15"/>
  <c r="K342" i="15"/>
  <c r="K350" i="15"/>
  <c r="K358" i="15"/>
  <c r="K366" i="15"/>
  <c r="K374" i="15"/>
  <c r="K382" i="15"/>
  <c r="K390" i="15"/>
  <c r="K398" i="15"/>
  <c r="K406" i="15"/>
  <c r="K414" i="15"/>
  <c r="K422" i="15"/>
  <c r="K430" i="15"/>
  <c r="K438" i="15"/>
  <c r="L317" i="15"/>
  <c r="L325" i="15"/>
  <c r="L333" i="15"/>
  <c r="L341" i="15"/>
  <c r="L349" i="15"/>
  <c r="L357" i="15"/>
  <c r="L364" i="15"/>
  <c r="L369" i="15"/>
  <c r="L374" i="15"/>
  <c r="L379" i="15"/>
  <c r="L383" i="15"/>
  <c r="L387" i="15"/>
  <c r="L391" i="15"/>
  <c r="L395" i="15"/>
  <c r="L399" i="15"/>
  <c r="L403" i="15"/>
  <c r="L407" i="15"/>
  <c r="L411" i="15"/>
  <c r="L415" i="15"/>
  <c r="L419" i="15"/>
  <c r="L423" i="15"/>
  <c r="L427" i="15"/>
  <c r="L431" i="15"/>
  <c r="L435" i="15"/>
  <c r="M310" i="15"/>
  <c r="M314" i="15"/>
  <c r="M318" i="15"/>
  <c r="M322" i="15"/>
  <c r="M326" i="15"/>
  <c r="M330" i="15"/>
  <c r="M338" i="15"/>
  <c r="M346" i="15"/>
  <c r="M350" i="15"/>
  <c r="M354" i="15"/>
  <c r="M358" i="15"/>
  <c r="M362" i="15"/>
  <c r="M366" i="15"/>
  <c r="M370" i="15"/>
  <c r="M382" i="15"/>
  <c r="M386" i="15"/>
  <c r="M390" i="15"/>
  <c r="M394" i="15"/>
  <c r="M398" i="15"/>
  <c r="M402" i="15"/>
  <c r="M406" i="15"/>
  <c r="M410" i="15"/>
  <c r="M414" i="15"/>
  <c r="M418" i="15"/>
  <c r="M422" i="15"/>
  <c r="M426" i="15"/>
  <c r="M430" i="15"/>
  <c r="M434" i="15"/>
  <c r="M438" i="15"/>
  <c r="O313" i="15"/>
  <c r="O325" i="15"/>
  <c r="O329" i="15"/>
  <c r="O333" i="15"/>
  <c r="O337" i="15"/>
  <c r="O341" i="15"/>
  <c r="O345" i="15"/>
  <c r="O353" i="15"/>
  <c r="O357" i="15"/>
  <c r="O361" i="15"/>
  <c r="O369" i="15"/>
  <c r="O373" i="15"/>
  <c r="B340" i="15"/>
  <c r="B404" i="15"/>
  <c r="D404" i="15" s="1"/>
  <c r="C339" i="15"/>
  <c r="C403" i="15"/>
  <c r="J312" i="15"/>
  <c r="J320" i="15"/>
  <c r="J328" i="15"/>
  <c r="J336" i="15"/>
  <c r="J344" i="15"/>
  <c r="J352" i="15"/>
  <c r="J360" i="15"/>
  <c r="J368" i="15"/>
  <c r="J376" i="15"/>
  <c r="J384" i="15"/>
  <c r="J392" i="15"/>
  <c r="J400" i="15"/>
  <c r="J408" i="15"/>
  <c r="J416" i="15"/>
  <c r="J424" i="15"/>
  <c r="J432" i="15"/>
  <c r="K311" i="15"/>
  <c r="K319" i="15"/>
  <c r="K327" i="15"/>
  <c r="K335" i="15"/>
  <c r="K343" i="15"/>
  <c r="K351" i="15"/>
  <c r="K359" i="15"/>
  <c r="K367" i="15"/>
  <c r="K375" i="15"/>
  <c r="K383" i="15"/>
  <c r="K391" i="15"/>
  <c r="K399" i="15"/>
  <c r="K407" i="15"/>
  <c r="K415" i="15"/>
  <c r="K423" i="15"/>
  <c r="K431" i="15"/>
  <c r="L310" i="15"/>
  <c r="L318" i="15"/>
  <c r="L326" i="15"/>
  <c r="L334" i="15"/>
  <c r="L342" i="15"/>
  <c r="L350" i="15"/>
  <c r="L358" i="15"/>
  <c r="L365" i="15"/>
  <c r="L370" i="15"/>
  <c r="L376" i="15"/>
  <c r="L380" i="15"/>
  <c r="L384" i="15"/>
  <c r="L388" i="15"/>
  <c r="L392" i="15"/>
  <c r="L396" i="15"/>
  <c r="L400" i="15"/>
  <c r="L404" i="15"/>
  <c r="L408" i="15"/>
  <c r="L412" i="15"/>
  <c r="L416" i="15"/>
  <c r="L420" i="15"/>
  <c r="L424" i="15"/>
  <c r="L428" i="15"/>
  <c r="L432" i="15"/>
  <c r="L436" i="15"/>
  <c r="M311" i="15"/>
  <c r="M315" i="15"/>
  <c r="M319" i="15"/>
  <c r="M323" i="15"/>
  <c r="M331" i="15"/>
  <c r="M335" i="15"/>
  <c r="M339" i="15"/>
  <c r="M347" i="15"/>
  <c r="M351" i="15"/>
  <c r="M355" i="15"/>
  <c r="M359" i="15"/>
  <c r="M363" i="15"/>
  <c r="M367" i="15"/>
  <c r="M371" i="15"/>
  <c r="M375" i="15"/>
  <c r="M387" i="15"/>
  <c r="M391" i="15"/>
  <c r="M395" i="15"/>
  <c r="M399" i="15"/>
  <c r="N399" i="15" s="1"/>
  <c r="M403" i="15"/>
  <c r="M407" i="15"/>
  <c r="M411" i="15"/>
  <c r="M419" i="15"/>
  <c r="M423" i="15"/>
  <c r="M427" i="15"/>
  <c r="M431" i="15"/>
  <c r="M435" i="15"/>
  <c r="O310" i="15"/>
  <c r="O314" i="15"/>
  <c r="O318" i="15"/>
  <c r="O322" i="15"/>
  <c r="O326" i="15"/>
  <c r="O330" i="15"/>
  <c r="O338" i="15"/>
  <c r="O346" i="15"/>
  <c r="O354" i="15"/>
  <c r="O358" i="15"/>
  <c r="O362" i="15"/>
  <c r="O366" i="15"/>
  <c r="O382" i="15"/>
  <c r="O386" i="15"/>
  <c r="O390" i="15"/>
  <c r="O398" i="15"/>
  <c r="O402" i="15"/>
  <c r="B371" i="15"/>
  <c r="C370" i="15"/>
  <c r="J315" i="15"/>
  <c r="J331" i="15"/>
  <c r="J347" i="15"/>
  <c r="J363" i="15"/>
  <c r="J379" i="15"/>
  <c r="J395" i="15"/>
  <c r="J411" i="15"/>
  <c r="J427" i="15"/>
  <c r="K314" i="15"/>
  <c r="K330" i="15"/>
  <c r="K346" i="15"/>
  <c r="K362" i="15"/>
  <c r="K378" i="15"/>
  <c r="K394" i="15"/>
  <c r="K410" i="15"/>
  <c r="K426" i="15"/>
  <c r="L313" i="15"/>
  <c r="L329" i="15"/>
  <c r="L345" i="15"/>
  <c r="L361" i="15"/>
  <c r="L372" i="15"/>
  <c r="L381" i="15"/>
  <c r="L389" i="15"/>
  <c r="L397" i="15"/>
  <c r="L405" i="15"/>
  <c r="L413" i="15"/>
  <c r="L421" i="15"/>
  <c r="L429" i="15"/>
  <c r="L437" i="15"/>
  <c r="M316" i="15"/>
  <c r="M324" i="15"/>
  <c r="M332" i="15"/>
  <c r="M340" i="15"/>
  <c r="M348" i="15"/>
  <c r="M356" i="15"/>
  <c r="M364" i="15"/>
  <c r="M372" i="15"/>
  <c r="M388" i="15"/>
  <c r="M396" i="15"/>
  <c r="M404" i="15"/>
  <c r="M412" i="15"/>
  <c r="M420" i="15"/>
  <c r="M428" i="15"/>
  <c r="M436" i="15"/>
  <c r="O311" i="15"/>
  <c r="O319" i="15"/>
  <c r="O335" i="15"/>
  <c r="O351" i="15"/>
  <c r="O359" i="15"/>
  <c r="O367" i="15"/>
  <c r="O375" i="15"/>
  <c r="O388" i="15"/>
  <c r="O393" i="15"/>
  <c r="O399" i="15"/>
  <c r="O404" i="15"/>
  <c r="O408" i="15"/>
  <c r="O412" i="15"/>
  <c r="O420" i="15"/>
  <c r="O424" i="15"/>
  <c r="O432" i="15"/>
  <c r="O436" i="15"/>
  <c r="B372" i="15"/>
  <c r="C371" i="15"/>
  <c r="J316" i="15"/>
  <c r="J332" i="15"/>
  <c r="J348" i="15"/>
  <c r="J364" i="15"/>
  <c r="J380" i="15"/>
  <c r="J396" i="15"/>
  <c r="J412" i="15"/>
  <c r="J428" i="15"/>
  <c r="K315" i="15"/>
  <c r="K331" i="15"/>
  <c r="K347" i="15"/>
  <c r="K363" i="15"/>
  <c r="K379" i="15"/>
  <c r="K395" i="15"/>
  <c r="K411" i="15"/>
  <c r="K427" i="15"/>
  <c r="L314" i="15"/>
  <c r="L330" i="15"/>
  <c r="L346" i="15"/>
  <c r="L362" i="15"/>
  <c r="L373" i="15"/>
  <c r="L382" i="15"/>
  <c r="L390" i="15"/>
  <c r="L398" i="15"/>
  <c r="L406" i="15"/>
  <c r="L414" i="15"/>
  <c r="L422" i="15"/>
  <c r="L430" i="15"/>
  <c r="L438" i="15"/>
  <c r="M325" i="15"/>
  <c r="M333" i="15"/>
  <c r="M341" i="15"/>
  <c r="M349" i="15"/>
  <c r="M357" i="15"/>
  <c r="M365" i="15"/>
  <c r="M373" i="15"/>
  <c r="M381" i="15"/>
  <c r="M389" i="15"/>
  <c r="M397" i="15"/>
  <c r="M405" i="15"/>
  <c r="M413" i="15"/>
  <c r="M421" i="15"/>
  <c r="M429" i="15"/>
  <c r="M437" i="15"/>
  <c r="O312" i="15"/>
  <c r="O320" i="15"/>
  <c r="O328" i="15"/>
  <c r="O344" i="15"/>
  <c r="O352" i="15"/>
  <c r="O360" i="15"/>
  <c r="O368" i="15"/>
  <c r="O376" i="15"/>
  <c r="O389" i="15"/>
  <c r="O395" i="15"/>
  <c r="O405" i="15"/>
  <c r="O409" i="15"/>
  <c r="O413" i="15"/>
  <c r="O433" i="15"/>
  <c r="O437" i="15"/>
  <c r="B435" i="15"/>
  <c r="D435" i="15" s="1"/>
  <c r="C426" i="15"/>
  <c r="J323" i="15"/>
  <c r="J339" i="15"/>
  <c r="J355" i="15"/>
  <c r="J371" i="15"/>
  <c r="J387" i="15"/>
  <c r="J403" i="15"/>
  <c r="J419" i="15"/>
  <c r="J435" i="15"/>
  <c r="K322" i="15"/>
  <c r="K338" i="15"/>
  <c r="K354" i="15"/>
  <c r="K370" i="15"/>
  <c r="K386" i="15"/>
  <c r="K402" i="15"/>
  <c r="K418" i="15"/>
  <c r="K434" i="15"/>
  <c r="L321" i="15"/>
  <c r="L337" i="15"/>
  <c r="L353" i="15"/>
  <c r="L366" i="15"/>
  <c r="L377" i="15"/>
  <c r="L385" i="15"/>
  <c r="L393" i="15"/>
  <c r="L401" i="15"/>
  <c r="L409" i="15"/>
  <c r="L417" i="15"/>
  <c r="L425" i="15"/>
  <c r="L433" i="15"/>
  <c r="M312" i="15"/>
  <c r="M320" i="15"/>
  <c r="M328" i="15"/>
  <c r="M336" i="15"/>
  <c r="M344" i="15"/>
  <c r="M352" i="15"/>
  <c r="M360" i="15"/>
  <c r="M368" i="15"/>
  <c r="M376" i="15"/>
  <c r="M384" i="15"/>
  <c r="M392" i="15"/>
  <c r="M400" i="15"/>
  <c r="M408" i="15"/>
  <c r="M416" i="15"/>
  <c r="M424" i="15"/>
  <c r="M432" i="15"/>
  <c r="O315" i="15"/>
  <c r="O331" i="15"/>
  <c r="O339" i="15"/>
  <c r="O355" i="15"/>
  <c r="O363" i="15"/>
  <c r="O371" i="15"/>
  <c r="O385" i="15"/>
  <c r="O391" i="15"/>
  <c r="O396" i="15"/>
  <c r="O401" i="15"/>
  <c r="O406" i="15"/>
  <c r="O410" i="15"/>
  <c r="O414" i="15"/>
  <c r="O422" i="15"/>
  <c r="O430" i="15"/>
  <c r="O434" i="15"/>
  <c r="O438" i="15"/>
  <c r="B436" i="15"/>
  <c r="D436" i="15" s="1"/>
  <c r="C427" i="15"/>
  <c r="J324" i="15"/>
  <c r="J340" i="15"/>
  <c r="J356" i="15"/>
  <c r="J372" i="15"/>
  <c r="J388" i="15"/>
  <c r="J404" i="15"/>
  <c r="J420" i="15"/>
  <c r="J436" i="15"/>
  <c r="K323" i="15"/>
  <c r="K339" i="15"/>
  <c r="K355" i="15"/>
  <c r="K371" i="15"/>
  <c r="K387" i="15"/>
  <c r="K403" i="15"/>
  <c r="K419" i="15"/>
  <c r="K435" i="15"/>
  <c r="L322" i="15"/>
  <c r="L338" i="15"/>
  <c r="L354" i="15"/>
  <c r="L368" i="15"/>
  <c r="L378" i="15"/>
  <c r="L386" i="15"/>
  <c r="L394" i="15"/>
  <c r="L402" i="15"/>
  <c r="L410" i="15"/>
  <c r="L418" i="15"/>
  <c r="L426" i="15"/>
  <c r="L434" i="15"/>
  <c r="M313" i="15"/>
  <c r="M329" i="15"/>
  <c r="M337" i="15"/>
  <c r="M345" i="15"/>
  <c r="M353" i="15"/>
  <c r="M361" i="15"/>
  <c r="M369" i="15"/>
  <c r="M385" i="15"/>
  <c r="M393" i="15"/>
  <c r="M401" i="15"/>
  <c r="M409" i="15"/>
  <c r="M417" i="15"/>
  <c r="M425" i="15"/>
  <c r="M433" i="15"/>
  <c r="O316" i="15"/>
  <c r="O332" i="15"/>
  <c r="O340" i="15"/>
  <c r="O356" i="15"/>
  <c r="O364" i="15"/>
  <c r="O372" i="15"/>
  <c r="O387" i="15"/>
  <c r="O392" i="15"/>
  <c r="O397" i="15"/>
  <c r="O403" i="15"/>
  <c r="O407" i="15"/>
  <c r="O411" i="15"/>
  <c r="O431" i="15"/>
  <c r="O435" i="15"/>
  <c r="F306" i="15"/>
  <c r="H306" i="15" s="1"/>
  <c r="F313" i="15"/>
  <c r="H313" i="15" s="1"/>
  <c r="F317" i="15"/>
  <c r="H317" i="15" s="1"/>
  <c r="F321" i="15"/>
  <c r="H321" i="15" s="1"/>
  <c r="F325" i="15"/>
  <c r="F329" i="15"/>
  <c r="H329" i="15" s="1"/>
  <c r="F333" i="15"/>
  <c r="F337" i="15"/>
  <c r="H337" i="15" s="1"/>
  <c r="F341" i="15"/>
  <c r="H341" i="15" s="1"/>
  <c r="F345" i="15"/>
  <c r="H345" i="15" s="1"/>
  <c r="F349" i="15"/>
  <c r="H349" i="15" s="1"/>
  <c r="F353" i="15"/>
  <c r="F357" i="15"/>
  <c r="F361" i="15"/>
  <c r="F365" i="15"/>
  <c r="H365" i="15" s="1"/>
  <c r="F369" i="15"/>
  <c r="F373" i="15"/>
  <c r="F377" i="15"/>
  <c r="H377" i="15" s="1"/>
  <c r="F381" i="15"/>
  <c r="F385" i="15"/>
  <c r="H385" i="15" s="1"/>
  <c r="F389" i="15"/>
  <c r="F393" i="15"/>
  <c r="F397" i="15"/>
  <c r="H397" i="15" s="1"/>
  <c r="F401" i="15"/>
  <c r="H401" i="15" s="1"/>
  <c r="F311" i="15"/>
  <c r="H311" i="15" s="1"/>
  <c r="F316" i="15"/>
  <c r="H316" i="15" s="1"/>
  <c r="F322" i="15"/>
  <c r="H322" i="15" s="1"/>
  <c r="F327" i="15"/>
  <c r="H327" i="15" s="1"/>
  <c r="F332" i="15"/>
  <c r="F338" i="15"/>
  <c r="F343" i="15"/>
  <c r="H343" i="15" s="1"/>
  <c r="F348" i="15"/>
  <c r="F354" i="15"/>
  <c r="F359" i="15"/>
  <c r="H359" i="15" s="1"/>
  <c r="F364" i="15"/>
  <c r="F370" i="15"/>
  <c r="F375" i="15"/>
  <c r="F380" i="15"/>
  <c r="H380" i="15" s="1"/>
  <c r="F386" i="15"/>
  <c r="F391" i="15"/>
  <c r="H391" i="15" s="1"/>
  <c r="F396" i="15"/>
  <c r="H396" i="15" s="1"/>
  <c r="F402" i="15"/>
  <c r="H402" i="15" s="1"/>
  <c r="F406" i="15"/>
  <c r="H406" i="15" s="1"/>
  <c r="F410" i="15"/>
  <c r="H410" i="15" s="1"/>
  <c r="F414" i="15"/>
  <c r="H414" i="15" s="1"/>
  <c r="F418" i="15"/>
  <c r="F422" i="15"/>
  <c r="H422" i="15" s="1"/>
  <c r="F426" i="15"/>
  <c r="F430" i="15"/>
  <c r="H430" i="15" s="1"/>
  <c r="F434" i="15"/>
  <c r="H434" i="15" s="1"/>
  <c r="F438" i="15"/>
  <c r="H438" i="15" s="1"/>
  <c r="G313" i="15"/>
  <c r="G325" i="15"/>
  <c r="G329" i="15"/>
  <c r="G333" i="15"/>
  <c r="G337" i="15"/>
  <c r="G341" i="15"/>
  <c r="G345" i="15"/>
  <c r="G349" i="15"/>
  <c r="G353" i="15"/>
  <c r="G357" i="15"/>
  <c r="G361" i="15"/>
  <c r="G365" i="15"/>
  <c r="G369" i="15"/>
  <c r="G373" i="15"/>
  <c r="G381" i="15"/>
  <c r="G385" i="15"/>
  <c r="G389" i="15"/>
  <c r="G393" i="15"/>
  <c r="G397" i="15"/>
  <c r="G401" i="15"/>
  <c r="F312" i="15"/>
  <c r="H312" i="15" s="1"/>
  <c r="F318" i="15"/>
  <c r="F323" i="15"/>
  <c r="F328" i="15"/>
  <c r="F339" i="15"/>
  <c r="F344" i="15"/>
  <c r="F350" i="15"/>
  <c r="F355" i="15"/>
  <c r="F360" i="15"/>
  <c r="H360" i="15" s="1"/>
  <c r="F366" i="15"/>
  <c r="F371" i="15"/>
  <c r="F376" i="15"/>
  <c r="H376" i="15" s="1"/>
  <c r="F382" i="15"/>
  <c r="F387" i="15"/>
  <c r="H387" i="15" s="1"/>
  <c r="F392" i="15"/>
  <c r="H392" i="15" s="1"/>
  <c r="F398" i="15"/>
  <c r="H398" i="15" s="1"/>
  <c r="F403" i="15"/>
  <c r="H403" i="15" s="1"/>
  <c r="F407" i="15"/>
  <c r="H407" i="15" s="1"/>
  <c r="F411" i="15"/>
  <c r="H411" i="15" s="1"/>
  <c r="F415" i="15"/>
  <c r="H415" i="15" s="1"/>
  <c r="F419" i="15"/>
  <c r="F423" i="15"/>
  <c r="F427" i="15"/>
  <c r="F431" i="15"/>
  <c r="H431" i="15" s="1"/>
  <c r="F435" i="15"/>
  <c r="H435" i="15" s="1"/>
  <c r="G310" i="15"/>
  <c r="G314" i="15"/>
  <c r="G318" i="15"/>
  <c r="G322" i="15"/>
  <c r="G326" i="15"/>
  <c r="G330" i="15"/>
  <c r="G338" i="15"/>
  <c r="G346" i="15"/>
  <c r="G350" i="15"/>
  <c r="G354" i="15"/>
  <c r="G358" i="15"/>
  <c r="G362" i="15"/>
  <c r="G366" i="15"/>
  <c r="G370" i="15"/>
  <c r="G382" i="15"/>
  <c r="G386" i="15"/>
  <c r="G390" i="15"/>
  <c r="G394" i="15"/>
  <c r="G398" i="15"/>
  <c r="F314" i="15"/>
  <c r="H314" i="15" s="1"/>
  <c r="F324" i="15"/>
  <c r="F335" i="15"/>
  <c r="F346" i="15"/>
  <c r="H346" i="15" s="1"/>
  <c r="F356" i="15"/>
  <c r="F367" i="15"/>
  <c r="F378" i="15"/>
  <c r="H378" i="15" s="1"/>
  <c r="F388" i="15"/>
  <c r="H388" i="15" s="1"/>
  <c r="F399" i="15"/>
  <c r="H399" i="15" s="1"/>
  <c r="F408" i="15"/>
  <c r="H408" i="15" s="1"/>
  <c r="F416" i="15"/>
  <c r="F424" i="15"/>
  <c r="H424" i="15" s="1"/>
  <c r="F432" i="15"/>
  <c r="H432" i="15" s="1"/>
  <c r="G311" i="15"/>
  <c r="G319" i="15"/>
  <c r="G335" i="15"/>
  <c r="G351" i="15"/>
  <c r="G359" i="15"/>
  <c r="G367" i="15"/>
  <c r="G375" i="15"/>
  <c r="G391" i="15"/>
  <c r="G399" i="15"/>
  <c r="G404" i="15"/>
  <c r="G408" i="15"/>
  <c r="G412" i="15"/>
  <c r="G416" i="15"/>
  <c r="G420" i="15"/>
  <c r="G424" i="15"/>
  <c r="G428" i="15"/>
  <c r="G432" i="15"/>
  <c r="G436" i="15"/>
  <c r="F315" i="15"/>
  <c r="H315" i="15" s="1"/>
  <c r="F326" i="15"/>
  <c r="F336" i="15"/>
  <c r="F347" i="15"/>
  <c r="F358" i="15"/>
  <c r="F368" i="15"/>
  <c r="F379" i="15"/>
  <c r="H379" i="15" s="1"/>
  <c r="F390" i="15"/>
  <c r="H390" i="15" s="1"/>
  <c r="F400" i="15"/>
  <c r="F409" i="15"/>
  <c r="H409" i="15" s="1"/>
  <c r="F417" i="15"/>
  <c r="F425" i="15"/>
  <c r="F433" i="15"/>
  <c r="H433" i="15" s="1"/>
  <c r="G312" i="15"/>
  <c r="G320" i="15"/>
  <c r="G328" i="15"/>
  <c r="G336" i="15"/>
  <c r="G344" i="15"/>
  <c r="G352" i="15"/>
  <c r="G360" i="15"/>
  <c r="G368" i="15"/>
  <c r="G376" i="15"/>
  <c r="G384" i="15"/>
  <c r="G392" i="15"/>
  <c r="G400" i="15"/>
  <c r="G405" i="15"/>
  <c r="G409" i="15"/>
  <c r="G413" i="15"/>
  <c r="G417" i="15"/>
  <c r="G421" i="15"/>
  <c r="G425" i="15"/>
  <c r="G429" i="15"/>
  <c r="G433" i="15"/>
  <c r="G437" i="15"/>
  <c r="F319" i="15"/>
  <c r="F340" i="15"/>
  <c r="F362" i="15"/>
  <c r="F383" i="15"/>
  <c r="H383" i="15" s="1"/>
  <c r="F404" i="15"/>
  <c r="H404" i="15" s="1"/>
  <c r="F420" i="15"/>
  <c r="F436" i="15"/>
  <c r="H436" i="15" s="1"/>
  <c r="G323" i="15"/>
  <c r="G339" i="15"/>
  <c r="G355" i="15"/>
  <c r="G371" i="15"/>
  <c r="G387" i="15"/>
  <c r="G402" i="15"/>
  <c r="G410" i="15"/>
  <c r="G418" i="15"/>
  <c r="G426" i="15"/>
  <c r="G434" i="15"/>
  <c r="F320" i="15"/>
  <c r="H320" i="15" s="1"/>
  <c r="F342" i="15"/>
  <c r="H342" i="15" s="1"/>
  <c r="F363" i="15"/>
  <c r="F384" i="15"/>
  <c r="F405" i="15"/>
  <c r="F421" i="15"/>
  <c r="F437" i="15"/>
  <c r="H437" i="15" s="1"/>
  <c r="G324" i="15"/>
  <c r="G340" i="15"/>
  <c r="G356" i="15"/>
  <c r="G372" i="15"/>
  <c r="G388" i="15"/>
  <c r="G403" i="15"/>
  <c r="G411" i="15"/>
  <c r="G419" i="15"/>
  <c r="G427" i="15"/>
  <c r="G435" i="15"/>
  <c r="F351" i="15"/>
  <c r="F394" i="15"/>
  <c r="F428" i="15"/>
  <c r="G331" i="15"/>
  <c r="G363" i="15"/>
  <c r="G395" i="15"/>
  <c r="G414" i="15"/>
  <c r="G430" i="15"/>
  <c r="F310" i="15"/>
  <c r="H310" i="15" s="1"/>
  <c r="F352" i="15"/>
  <c r="H352" i="15" s="1"/>
  <c r="F395" i="15"/>
  <c r="H395" i="15" s="1"/>
  <c r="F429" i="15"/>
  <c r="G332" i="15"/>
  <c r="G364" i="15"/>
  <c r="G396" i="15"/>
  <c r="G431" i="15"/>
  <c r="F330" i="15"/>
  <c r="H330" i="15" s="1"/>
  <c r="F372" i="15"/>
  <c r="F412" i="15"/>
  <c r="H412" i="15" s="1"/>
  <c r="G315" i="15"/>
  <c r="G347" i="15"/>
  <c r="G406" i="15"/>
  <c r="G422" i="15"/>
  <c r="G438" i="15"/>
  <c r="F331" i="15"/>
  <c r="F374" i="15"/>
  <c r="H374" i="15" s="1"/>
  <c r="F413" i="15"/>
  <c r="H413" i="15" s="1"/>
  <c r="G316" i="15"/>
  <c r="G348" i="15"/>
  <c r="G407" i="15"/>
  <c r="G423" i="15"/>
  <c r="R3" i="16"/>
  <c r="U77" i="16" s="1" a="1"/>
  <c r="U77" i="16" s="1"/>
  <c r="P142" i="13" s="1"/>
  <c r="O207" i="15"/>
  <c r="C94" i="15"/>
  <c r="G95" i="15"/>
  <c r="K100" i="15"/>
  <c r="C103" i="15"/>
  <c r="K103" i="15"/>
  <c r="C105" i="15"/>
  <c r="K105" i="15"/>
  <c r="G106" i="15"/>
  <c r="C107" i="15"/>
  <c r="K107" i="15"/>
  <c r="G108" i="15"/>
  <c r="C110" i="15"/>
  <c r="K110" i="15"/>
  <c r="G111" i="15"/>
  <c r="C112" i="15"/>
  <c r="K112" i="15"/>
  <c r="G114" i="15"/>
  <c r="C118" i="15"/>
  <c r="G143" i="15"/>
  <c r="C122" i="15"/>
  <c r="K122" i="15"/>
  <c r="G129" i="15"/>
  <c r="K129" i="15"/>
  <c r="G130" i="15"/>
  <c r="K132" i="15"/>
  <c r="G133" i="15"/>
  <c r="F135" i="15"/>
  <c r="H135" i="15" s="1"/>
  <c r="K135" i="15"/>
  <c r="G137" i="15"/>
  <c r="K139" i="15"/>
  <c r="G140" i="15"/>
  <c r="F141" i="15"/>
  <c r="H141" i="15" s="1"/>
  <c r="K141" i="15"/>
  <c r="B148" i="15"/>
  <c r="D148" i="15" s="1"/>
  <c r="K148" i="15"/>
  <c r="B155" i="15"/>
  <c r="D155" i="15" s="1"/>
  <c r="C162" i="15"/>
  <c r="K162" i="15"/>
  <c r="G164" i="15"/>
  <c r="B165" i="15"/>
  <c r="D165" i="15" s="1"/>
  <c r="K165" i="15"/>
  <c r="B166" i="15"/>
  <c r="D166" i="15" s="1"/>
  <c r="C175" i="15"/>
  <c r="K175" i="15"/>
  <c r="G176" i="15"/>
  <c r="C197" i="15"/>
  <c r="K197" i="15"/>
  <c r="B207" i="15"/>
  <c r="D207" i="15" s="1"/>
  <c r="F196" i="15"/>
  <c r="K196" i="15"/>
  <c r="G204" i="15"/>
  <c r="B205" i="15"/>
  <c r="D205" i="15" s="1"/>
  <c r="K205" i="15"/>
  <c r="G208" i="15"/>
  <c r="C212" i="15"/>
  <c r="K212" i="15"/>
  <c r="G217" i="15"/>
  <c r="G218" i="15"/>
  <c r="K218" i="15"/>
  <c r="G224" i="15"/>
  <c r="F228" i="15"/>
  <c r="H228" i="15" s="1"/>
  <c r="K228" i="15"/>
  <c r="G229" i="15"/>
  <c r="F236" i="15"/>
  <c r="H236" i="15" s="1"/>
  <c r="K236" i="15"/>
  <c r="G242" i="15"/>
  <c r="C243" i="15"/>
  <c r="G244" i="15"/>
  <c r="K245" i="15"/>
  <c r="F250" i="15"/>
  <c r="G271" i="15"/>
  <c r="J253" i="15"/>
  <c r="J272" i="15"/>
  <c r="K275" i="15"/>
  <c r="G286" i="15"/>
  <c r="F260" i="15"/>
  <c r="H260" i="15" s="1"/>
  <c r="F287" i="15"/>
  <c r="H287" i="15" s="1"/>
  <c r="F289" i="15"/>
  <c r="H289" i="15" s="1"/>
  <c r="J293" i="15"/>
  <c r="J295" i="15"/>
  <c r="O266" i="15"/>
  <c r="B290" i="15"/>
  <c r="D290" i="15" s="1"/>
  <c r="G300" i="15"/>
  <c r="F187" i="15"/>
  <c r="H187" i="15" s="1"/>
  <c r="F296" i="15"/>
  <c r="H296" i="15" s="1"/>
  <c r="B306" i="15"/>
  <c r="D306" i="15" s="1"/>
  <c r="F94" i="15"/>
  <c r="F95" i="15"/>
  <c r="H95" i="15" s="1"/>
  <c r="J95" i="15"/>
  <c r="F100" i="15"/>
  <c r="H100" i="15" s="1"/>
  <c r="C101" i="15"/>
  <c r="J101" i="15"/>
  <c r="F103" i="15"/>
  <c r="H103" i="15" s="1"/>
  <c r="F104" i="15"/>
  <c r="H104" i="15" s="1"/>
  <c r="J104" i="15"/>
  <c r="F105" i="15"/>
  <c r="H105" i="15" s="1"/>
  <c r="B106" i="15"/>
  <c r="D106" i="15" s="1"/>
  <c r="J106" i="15"/>
  <c r="F107" i="15"/>
  <c r="H107" i="15" s="1"/>
  <c r="F108" i="15"/>
  <c r="H108" i="15" s="1"/>
  <c r="J108" i="15"/>
  <c r="F110" i="15"/>
  <c r="H110" i="15" s="1"/>
  <c r="C111" i="15"/>
  <c r="J111" i="15"/>
  <c r="F112" i="15"/>
  <c r="H112" i="15" s="1"/>
  <c r="C114" i="15"/>
  <c r="J114" i="15"/>
  <c r="F118" i="15"/>
  <c r="H118" i="15" s="1"/>
  <c r="B143" i="15"/>
  <c r="D143" i="15" s="1"/>
  <c r="J143" i="15"/>
  <c r="F122" i="15"/>
  <c r="H122" i="15" s="1"/>
  <c r="C128" i="15"/>
  <c r="J128" i="15"/>
  <c r="B129" i="15"/>
  <c r="D129" i="15" s="1"/>
  <c r="B130" i="15"/>
  <c r="D130" i="15" s="1"/>
  <c r="J130" i="15"/>
  <c r="F132" i="15"/>
  <c r="C133" i="15"/>
  <c r="J133" i="15"/>
  <c r="B135" i="15"/>
  <c r="D135" i="15" s="1"/>
  <c r="B137" i="15"/>
  <c r="D137" i="15" s="1"/>
  <c r="J137" i="15"/>
  <c r="C139" i="15"/>
  <c r="C140" i="15"/>
  <c r="J140" i="15"/>
  <c r="G141" i="15"/>
  <c r="B142" i="15"/>
  <c r="J142" i="15"/>
  <c r="F148" i="15"/>
  <c r="H148" i="15" s="1"/>
  <c r="C155" i="15"/>
  <c r="J155" i="15"/>
  <c r="F162" i="15"/>
  <c r="H162" i="15" s="1"/>
  <c r="B164" i="15"/>
  <c r="D164" i="15" s="1"/>
  <c r="J164" i="15"/>
  <c r="F165" i="15"/>
  <c r="H165" i="15" s="1"/>
  <c r="C166" i="15"/>
  <c r="J166" i="15"/>
  <c r="F175" i="15"/>
  <c r="H175" i="15" s="1"/>
  <c r="B176" i="15"/>
  <c r="D176" i="15" s="1"/>
  <c r="J176" i="15"/>
  <c r="F197" i="15"/>
  <c r="C207" i="15"/>
  <c r="J207" i="15"/>
  <c r="B196" i="15"/>
  <c r="B204" i="15"/>
  <c r="D204" i="15" s="1"/>
  <c r="J204" i="15"/>
  <c r="F205" i="15"/>
  <c r="H205" i="15" s="1"/>
  <c r="B208" i="15"/>
  <c r="D208" i="15" s="1"/>
  <c r="J208" i="15"/>
  <c r="F212" i="15"/>
  <c r="C217" i="15"/>
  <c r="J217" i="15"/>
  <c r="F218" i="15"/>
  <c r="H218" i="15" s="1"/>
  <c r="B224" i="15"/>
  <c r="J224" i="15"/>
  <c r="C228" i="15"/>
  <c r="C229" i="15"/>
  <c r="J229" i="15"/>
  <c r="G236" i="15"/>
  <c r="B242" i="15"/>
  <c r="D242" i="15" s="1"/>
  <c r="J242" i="15"/>
  <c r="F243" i="15"/>
  <c r="H243" i="15" s="1"/>
  <c r="C244" i="15"/>
  <c r="J244" i="15"/>
  <c r="B245" i="15"/>
  <c r="D245" i="15" s="1"/>
  <c r="B248" i="15"/>
  <c r="J248" i="15"/>
  <c r="C250" i="15"/>
  <c r="C271" i="15"/>
  <c r="J271" i="15"/>
  <c r="B253" i="15"/>
  <c r="D253" i="15" s="1"/>
  <c r="K253" i="15"/>
  <c r="F272" i="15"/>
  <c r="H272" i="15" s="1"/>
  <c r="K272" i="15"/>
  <c r="F275" i="15"/>
  <c r="H275" i="15" s="1"/>
  <c r="B261" i="15"/>
  <c r="D261" i="15" s="1"/>
  <c r="G261" i="15"/>
  <c r="B286" i="15"/>
  <c r="D286" i="15" s="1"/>
  <c r="K286" i="15"/>
  <c r="G260" i="15"/>
  <c r="K260" i="15"/>
  <c r="G287" i="15"/>
  <c r="B289" i="15"/>
  <c r="D289" i="15" s="1"/>
  <c r="G289" i="15"/>
  <c r="B293" i="15"/>
  <c r="D293" i="15" s="1"/>
  <c r="K293" i="15"/>
  <c r="F295" i="15"/>
  <c r="H295" i="15" s="1"/>
  <c r="K295" i="15"/>
  <c r="G266" i="15"/>
  <c r="G297" i="15"/>
  <c r="J297" i="15"/>
  <c r="C290" i="15"/>
  <c r="K290" i="15"/>
  <c r="B300" i="15"/>
  <c r="D300" i="15" s="1"/>
  <c r="K300" i="15"/>
  <c r="G187" i="15"/>
  <c r="B296" i="15"/>
  <c r="D296" i="15" s="1"/>
  <c r="G296" i="15"/>
  <c r="C306" i="15"/>
  <c r="J306" i="15"/>
  <c r="O104" i="15"/>
  <c r="O135" i="15"/>
  <c r="O166" i="15"/>
  <c r="O248" i="15"/>
  <c r="O148" i="15"/>
  <c r="O218" i="15"/>
  <c r="O110" i="15"/>
  <c r="O140" i="15"/>
  <c r="O103" i="15"/>
  <c r="O143" i="15"/>
  <c r="O165" i="15"/>
  <c r="O208" i="15"/>
  <c r="O244" i="15"/>
  <c r="G94" i="15"/>
  <c r="C95" i="15"/>
  <c r="K95" i="15"/>
  <c r="G100" i="15"/>
  <c r="B101" i="15"/>
  <c r="D101" i="15" s="1"/>
  <c r="K101" i="15"/>
  <c r="G103" i="15"/>
  <c r="B104" i="15"/>
  <c r="D104" i="15" s="1"/>
  <c r="K104" i="15"/>
  <c r="G105" i="15"/>
  <c r="F106" i="15"/>
  <c r="H106" i="15" s="1"/>
  <c r="K106" i="15"/>
  <c r="G107" i="15"/>
  <c r="C108" i="15"/>
  <c r="K108" i="15"/>
  <c r="G110" i="15"/>
  <c r="B111" i="15"/>
  <c r="D111" i="15" s="1"/>
  <c r="K111" i="15"/>
  <c r="G112" i="15"/>
  <c r="F114" i="15"/>
  <c r="H114" i="15" s="1"/>
  <c r="K114" i="15"/>
  <c r="G118" i="15"/>
  <c r="C143" i="15"/>
  <c r="K143" i="15"/>
  <c r="G122" i="15"/>
  <c r="B128" i="15"/>
  <c r="D128" i="15" s="1"/>
  <c r="K128" i="15"/>
  <c r="C129" i="15"/>
  <c r="C130" i="15"/>
  <c r="K130" i="15"/>
  <c r="B133" i="15"/>
  <c r="D133" i="15" s="1"/>
  <c r="K133" i="15"/>
  <c r="G135" i="15"/>
  <c r="C137" i="15"/>
  <c r="K137" i="15"/>
  <c r="G139" i="15"/>
  <c r="B140" i="15"/>
  <c r="D140" i="15" s="1"/>
  <c r="K140" i="15"/>
  <c r="B141" i="15"/>
  <c r="D141" i="15" s="1"/>
  <c r="C142" i="15"/>
  <c r="K142" i="15"/>
  <c r="G148" i="15"/>
  <c r="G155" i="15"/>
  <c r="K155" i="15"/>
  <c r="G162" i="15"/>
  <c r="F164" i="15"/>
  <c r="H164" i="15" s="1"/>
  <c r="K164" i="15"/>
  <c r="G165" i="15"/>
  <c r="F166" i="15"/>
  <c r="H166" i="15" s="1"/>
  <c r="K166" i="15"/>
  <c r="G175" i="15"/>
  <c r="C176" i="15"/>
  <c r="K176" i="15"/>
  <c r="G197" i="15"/>
  <c r="F207" i="15"/>
  <c r="H207" i="15" s="1"/>
  <c r="K207" i="15"/>
  <c r="G196" i="15"/>
  <c r="F204" i="15"/>
  <c r="H204" i="15" s="1"/>
  <c r="K204" i="15"/>
  <c r="G205" i="15"/>
  <c r="C208" i="15"/>
  <c r="K208" i="15"/>
  <c r="G212" i="15"/>
  <c r="B217" i="15"/>
  <c r="D217" i="15" s="1"/>
  <c r="K217" i="15"/>
  <c r="B218" i="15"/>
  <c r="D218" i="15" s="1"/>
  <c r="C224" i="15"/>
  <c r="K224" i="15"/>
  <c r="G228" i="15"/>
  <c r="B229" i="15"/>
  <c r="D229" i="15" s="1"/>
  <c r="K229" i="15"/>
  <c r="B236" i="15"/>
  <c r="D236" i="15" s="1"/>
  <c r="C242" i="15"/>
  <c r="K242" i="15"/>
  <c r="G243" i="15"/>
  <c r="B244" i="15"/>
  <c r="K244" i="15"/>
  <c r="G245" i="15"/>
  <c r="C248" i="15"/>
  <c r="K248" i="15"/>
  <c r="G250" i="15"/>
  <c r="B271" i="15"/>
  <c r="D271" i="15" s="1"/>
  <c r="K271" i="15"/>
  <c r="F253" i="15"/>
  <c r="H253" i="15" s="1"/>
  <c r="O253" i="15"/>
  <c r="B272" i="15"/>
  <c r="D272" i="15" s="1"/>
  <c r="B275" i="15"/>
  <c r="D275" i="15" s="1"/>
  <c r="G275" i="15"/>
  <c r="C261" i="15"/>
  <c r="J261" i="15"/>
  <c r="F286" i="15"/>
  <c r="H286" i="15" s="1"/>
  <c r="O286" i="15"/>
  <c r="B260" i="15"/>
  <c r="D260" i="15" s="1"/>
  <c r="C287" i="15"/>
  <c r="J287" i="15"/>
  <c r="C289" i="15"/>
  <c r="J289" i="15"/>
  <c r="F293" i="15"/>
  <c r="H293" i="15" s="1"/>
  <c r="O293" i="15"/>
  <c r="B295" i="15"/>
  <c r="D295" i="15" s="1"/>
  <c r="B266" i="15"/>
  <c r="D266" i="15" s="1"/>
  <c r="J266" i="15"/>
  <c r="B297" i="15"/>
  <c r="D297" i="15" s="1"/>
  <c r="K297" i="15"/>
  <c r="G290" i="15"/>
  <c r="O290" i="15"/>
  <c r="F300" i="15"/>
  <c r="H300" i="15" s="1"/>
  <c r="C187" i="15"/>
  <c r="J187" i="15"/>
  <c r="C296" i="15"/>
  <c r="J296" i="15"/>
  <c r="O306" i="15"/>
  <c r="K306" i="15"/>
  <c r="O107" i="15"/>
  <c r="O139" i="15"/>
  <c r="O176" i="15"/>
  <c r="O217" i="15"/>
  <c r="O250" i="15"/>
  <c r="O101" i="15"/>
  <c r="O155" i="15"/>
  <c r="O243" i="15"/>
  <c r="O118" i="15"/>
  <c r="O164" i="15"/>
  <c r="O106" i="15"/>
  <c r="O129" i="15"/>
  <c r="O175" i="15"/>
  <c r="O309" i="15"/>
  <c r="M6" i="15"/>
  <c r="M12" i="15"/>
  <c r="M19" i="15"/>
  <c r="M24" i="15"/>
  <c r="M30" i="15"/>
  <c r="M34" i="15"/>
  <c r="M38" i="15"/>
  <c r="M44" i="15"/>
  <c r="M51" i="15"/>
  <c r="M56" i="15"/>
  <c r="M66" i="15"/>
  <c r="M71" i="15"/>
  <c r="M77" i="15"/>
  <c r="M85" i="15"/>
  <c r="M95" i="15"/>
  <c r="M101" i="15"/>
  <c r="M106" i="15"/>
  <c r="M111" i="15"/>
  <c r="M115" i="15"/>
  <c r="M120" i="15"/>
  <c r="M125" i="15"/>
  <c r="M129" i="15"/>
  <c r="M133" i="15"/>
  <c r="M139" i="15"/>
  <c r="M143" i="15"/>
  <c r="M152" i="15"/>
  <c r="M158" i="15"/>
  <c r="M165" i="15"/>
  <c r="M171" i="15"/>
  <c r="M176" i="15"/>
  <c r="M187" i="15"/>
  <c r="M192" i="15"/>
  <c r="M197" i="15"/>
  <c r="M202" i="15"/>
  <c r="M207" i="15"/>
  <c r="M214" i="15"/>
  <c r="M220" i="15"/>
  <c r="M229" i="15"/>
  <c r="M234" i="15"/>
  <c r="M238" i="15"/>
  <c r="M242" i="15"/>
  <c r="M246" i="15"/>
  <c r="M250" i="15"/>
  <c r="M254" i="15"/>
  <c r="M258" i="15"/>
  <c r="M269" i="15"/>
  <c r="M273" i="15"/>
  <c r="M277" i="15"/>
  <c r="M282" i="15"/>
  <c r="M286" i="15"/>
  <c r="M290" i="15"/>
  <c r="M294" i="15"/>
  <c r="M298" i="15"/>
  <c r="M302" i="15"/>
  <c r="M306" i="15"/>
  <c r="L2" i="15"/>
  <c r="L8" i="15"/>
  <c r="L15" i="15"/>
  <c r="L20" i="15"/>
  <c r="L25" i="15"/>
  <c r="L31" i="15"/>
  <c r="L35" i="15"/>
  <c r="L41" i="15"/>
  <c r="L48" i="15"/>
  <c r="L52" i="15"/>
  <c r="L62" i="15"/>
  <c r="L68" i="15"/>
  <c r="L73" i="15"/>
  <c r="L78" i="15"/>
  <c r="L86" i="15"/>
  <c r="L98" i="15"/>
  <c r="L103" i="15"/>
  <c r="L107" i="15"/>
  <c r="L112" i="15"/>
  <c r="L116" i="15"/>
  <c r="L121" i="15"/>
  <c r="L126" i="15"/>
  <c r="L130" i="15"/>
  <c r="L135" i="15"/>
  <c r="L140" i="15"/>
  <c r="L145" i="15"/>
  <c r="L155" i="15"/>
  <c r="L161" i="15"/>
  <c r="L166" i="15"/>
  <c r="L172" i="15"/>
  <c r="L182" i="15"/>
  <c r="L188" i="15"/>
  <c r="L194" i="15"/>
  <c r="L198" i="15"/>
  <c r="L203" i="15"/>
  <c r="L208" i="15"/>
  <c r="L216" i="15"/>
  <c r="L222" i="15"/>
  <c r="L226" i="15"/>
  <c r="L231" i="15"/>
  <c r="L235" i="15"/>
  <c r="L239" i="15"/>
  <c r="L243" i="15"/>
  <c r="L247" i="15"/>
  <c r="L251" i="15"/>
  <c r="L255" i="15"/>
  <c r="L259" i="15"/>
  <c r="L264" i="15"/>
  <c r="L270" i="15"/>
  <c r="L274" i="15"/>
  <c r="L279" i="15"/>
  <c r="L283" i="15"/>
  <c r="L287" i="15"/>
  <c r="L291" i="15"/>
  <c r="L295" i="15"/>
  <c r="L299" i="15"/>
  <c r="L303" i="15"/>
  <c r="L307" i="15"/>
  <c r="K298" i="15"/>
  <c r="J309" i="15"/>
  <c r="C298" i="15"/>
  <c r="B288" i="15"/>
  <c r="D288" i="15" s="1"/>
  <c r="O288" i="15"/>
  <c r="M9" i="15"/>
  <c r="M26" i="15"/>
  <c r="M36" i="15"/>
  <c r="M49" i="15"/>
  <c r="M64" i="15"/>
  <c r="M75" i="15"/>
  <c r="M93" i="15"/>
  <c r="M104" i="15"/>
  <c r="M117" i="15"/>
  <c r="M127" i="15"/>
  <c r="M137" i="15"/>
  <c r="M148" i="15"/>
  <c r="M162" i="15"/>
  <c r="M173" i="15"/>
  <c r="M190" i="15"/>
  <c r="M199" i="15"/>
  <c r="M217" i="15"/>
  <c r="M223" i="15"/>
  <c r="M232" i="15"/>
  <c r="M240" i="15"/>
  <c r="M248" i="15"/>
  <c r="M256" i="15"/>
  <c r="M265" i="15"/>
  <c r="M275" i="15"/>
  <c r="M284" i="15"/>
  <c r="M296" i="15"/>
  <c r="M304" i="15"/>
  <c r="L5" i="15"/>
  <c r="L18" i="15"/>
  <c r="L27" i="15"/>
  <c r="L37" i="15"/>
  <c r="L50" i="15"/>
  <c r="L65" i="15"/>
  <c r="L76" i="15"/>
  <c r="L94" i="15"/>
  <c r="L105" i="15"/>
  <c r="L114" i="15"/>
  <c r="L123" i="15"/>
  <c r="L132" i="15"/>
  <c r="L142" i="15"/>
  <c r="L157" i="15"/>
  <c r="L175" i="15"/>
  <c r="L191" i="15"/>
  <c r="L201" i="15"/>
  <c r="L212" i="15"/>
  <c r="L224" i="15"/>
  <c r="L233" i="15"/>
  <c r="L241" i="15"/>
  <c r="L249" i="15"/>
  <c r="L257" i="15"/>
  <c r="L266" i="15"/>
  <c r="L276" i="15"/>
  <c r="L285" i="15"/>
  <c r="L293" i="15"/>
  <c r="L301" i="15"/>
  <c r="L309" i="15"/>
  <c r="B309" i="15"/>
  <c r="D309" i="15" s="1"/>
  <c r="M5" i="15"/>
  <c r="M18" i="15"/>
  <c r="M37" i="15"/>
  <c r="M50" i="15"/>
  <c r="M65" i="15"/>
  <c r="M76" i="15"/>
  <c r="M94" i="15"/>
  <c r="M105" i="15"/>
  <c r="M118" i="15"/>
  <c r="M128" i="15"/>
  <c r="M138" i="15"/>
  <c r="M151" i="15"/>
  <c r="M164" i="15"/>
  <c r="M175" i="15"/>
  <c r="M191" i="15"/>
  <c r="M201" i="15"/>
  <c r="M212" i="15"/>
  <c r="M224" i="15"/>
  <c r="M233" i="15"/>
  <c r="M241" i="15"/>
  <c r="M249" i="15"/>
  <c r="M257" i="15"/>
  <c r="M266" i="15"/>
  <c r="M276" i="15"/>
  <c r="M285" i="15"/>
  <c r="M297" i="15"/>
  <c r="M305" i="15"/>
  <c r="L6" i="15"/>
  <c r="L19" i="15"/>
  <c r="L30" i="15"/>
  <c r="L38" i="15"/>
  <c r="L51" i="15"/>
  <c r="L66" i="15"/>
  <c r="L77" i="15"/>
  <c r="L85" i="15"/>
  <c r="L101" i="15"/>
  <c r="L111" i="15"/>
  <c r="L120" i="15"/>
  <c r="L129" i="15"/>
  <c r="L143" i="15"/>
  <c r="L158" i="15"/>
  <c r="L171" i="15"/>
  <c r="L187" i="15"/>
  <c r="L197" i="15"/>
  <c r="L207" i="15"/>
  <c r="L220" i="15"/>
  <c r="L229" i="15"/>
  <c r="L238" i="15"/>
  <c r="L246" i="15"/>
  <c r="L254" i="15"/>
  <c r="L263" i="15"/>
  <c r="L273" i="15"/>
  <c r="L282" i="15"/>
  <c r="L290" i="15"/>
  <c r="L298" i="15"/>
  <c r="L306" i="15"/>
  <c r="J298" i="15"/>
  <c r="C288" i="15"/>
  <c r="M2" i="15"/>
  <c r="M8" i="15"/>
  <c r="M15" i="15"/>
  <c r="M20" i="15"/>
  <c r="M25" i="15"/>
  <c r="M31" i="15"/>
  <c r="M35" i="15"/>
  <c r="M41" i="15"/>
  <c r="M48" i="15"/>
  <c r="M52" i="15"/>
  <c r="M62" i="15"/>
  <c r="M68" i="15"/>
  <c r="M78" i="15"/>
  <c r="M86" i="15"/>
  <c r="M98" i="15"/>
  <c r="M103" i="15"/>
  <c r="M107" i="15"/>
  <c r="M112" i="15"/>
  <c r="M116" i="15"/>
  <c r="M121" i="15"/>
  <c r="M126" i="15"/>
  <c r="M130" i="15"/>
  <c r="M135" i="15"/>
  <c r="M140" i="15"/>
  <c r="M145" i="15"/>
  <c r="M155" i="15"/>
  <c r="M161" i="15"/>
  <c r="M166" i="15"/>
  <c r="M172" i="15"/>
  <c r="M182" i="15"/>
  <c r="M188" i="15"/>
  <c r="M198" i="15"/>
  <c r="M203" i="15"/>
  <c r="M208" i="15"/>
  <c r="M222" i="15"/>
  <c r="M226" i="15"/>
  <c r="M235" i="15"/>
  <c r="M239" i="15"/>
  <c r="M243" i="15"/>
  <c r="M247" i="15"/>
  <c r="M251" i="15"/>
  <c r="M255" i="15"/>
  <c r="M259" i="15"/>
  <c r="M264" i="15"/>
  <c r="M270" i="15"/>
  <c r="M274" i="15"/>
  <c r="M283" i="15"/>
  <c r="M287" i="15"/>
  <c r="M291" i="15"/>
  <c r="M295" i="15"/>
  <c r="M299" i="15"/>
  <c r="M303" i="15"/>
  <c r="M307" i="15"/>
  <c r="L4" i="15"/>
  <c r="L9" i="15"/>
  <c r="L17" i="15"/>
  <c r="L21" i="15"/>
  <c r="L26" i="15"/>
  <c r="L32" i="15"/>
  <c r="L36" i="15"/>
  <c r="L42" i="15"/>
  <c r="L49" i="15"/>
  <c r="L54" i="15"/>
  <c r="L64" i="15"/>
  <c r="L69" i="15"/>
  <c r="L75" i="15"/>
  <c r="L80" i="15"/>
  <c r="L93" i="15"/>
  <c r="L99" i="15"/>
  <c r="L104" i="15"/>
  <c r="L108" i="15"/>
  <c r="L113" i="15"/>
  <c r="L117" i="15"/>
  <c r="L122" i="15"/>
  <c r="L127" i="15"/>
  <c r="L131" i="15"/>
  <c r="L137" i="15"/>
  <c r="L141" i="15"/>
  <c r="L148" i="15"/>
  <c r="L156" i="15"/>
  <c r="L162" i="15"/>
  <c r="L167" i="15"/>
  <c r="L173" i="15"/>
  <c r="L184" i="15"/>
  <c r="L190" i="15"/>
  <c r="L195" i="15"/>
  <c r="L199" i="15"/>
  <c r="L204" i="15"/>
  <c r="L210" i="15"/>
  <c r="L217" i="15"/>
  <c r="L223" i="15"/>
  <c r="L227" i="15"/>
  <c r="L232" i="15"/>
  <c r="L236" i="15"/>
  <c r="L240" i="15"/>
  <c r="L244" i="15"/>
  <c r="L248" i="15"/>
  <c r="L252" i="15"/>
  <c r="L256" i="15"/>
  <c r="L260" i="15"/>
  <c r="L265" i="15"/>
  <c r="L271" i="15"/>
  <c r="L275" i="15"/>
  <c r="L280" i="15"/>
  <c r="L284" i="15"/>
  <c r="L288" i="15"/>
  <c r="L292" i="15"/>
  <c r="L296" i="15"/>
  <c r="L300" i="15"/>
  <c r="L304" i="15"/>
  <c r="L308" i="15"/>
  <c r="K309" i="15"/>
  <c r="C309" i="15"/>
  <c r="M4" i="15"/>
  <c r="M17" i="15"/>
  <c r="M21" i="15"/>
  <c r="M32" i="15"/>
  <c r="M42" i="15"/>
  <c r="M54" i="15"/>
  <c r="M69" i="15"/>
  <c r="M80" i="15"/>
  <c r="M99" i="15"/>
  <c r="M108" i="15"/>
  <c r="M113" i="15"/>
  <c r="M122" i="15"/>
  <c r="M131" i="15"/>
  <c r="M141" i="15"/>
  <c r="M156" i="15"/>
  <c r="M167" i="15"/>
  <c r="M184" i="15"/>
  <c r="M195" i="15"/>
  <c r="M204" i="15"/>
  <c r="M210" i="15"/>
  <c r="M227" i="15"/>
  <c r="M236" i="15"/>
  <c r="M244" i="15"/>
  <c r="M252" i="15"/>
  <c r="M260" i="15"/>
  <c r="M271" i="15"/>
  <c r="M280" i="15"/>
  <c r="M288" i="15"/>
  <c r="M292" i="15"/>
  <c r="M300" i="15"/>
  <c r="M308" i="15"/>
  <c r="L11" i="15"/>
  <c r="L23" i="15"/>
  <c r="L33" i="15"/>
  <c r="L43" i="15"/>
  <c r="L55" i="15"/>
  <c r="L70" i="15"/>
  <c r="L81" i="15"/>
  <c r="L100" i="15"/>
  <c r="L110" i="15"/>
  <c r="L118" i="15"/>
  <c r="L128" i="15"/>
  <c r="L138" i="15"/>
  <c r="L151" i="15"/>
  <c r="L164" i="15"/>
  <c r="L168" i="15"/>
  <c r="L185" i="15"/>
  <c r="L196" i="15"/>
  <c r="L205" i="15"/>
  <c r="L218" i="15"/>
  <c r="L228" i="15"/>
  <c r="L237" i="15"/>
  <c r="L245" i="15"/>
  <c r="L253" i="15"/>
  <c r="L261" i="15"/>
  <c r="L272" i="15"/>
  <c r="L281" i="15"/>
  <c r="L289" i="15"/>
  <c r="L297" i="15"/>
  <c r="L305" i="15"/>
  <c r="J288" i="15"/>
  <c r="O298" i="15"/>
  <c r="M11" i="15"/>
  <c r="M23" i="15"/>
  <c r="M33" i="15"/>
  <c r="M43" i="15"/>
  <c r="M55" i="15"/>
  <c r="M70" i="15"/>
  <c r="M81" i="15"/>
  <c r="M100" i="15"/>
  <c r="M110" i="15"/>
  <c r="M114" i="15"/>
  <c r="M123" i="15"/>
  <c r="M157" i="15"/>
  <c r="M168" i="15"/>
  <c r="M185" i="15"/>
  <c r="M196" i="15"/>
  <c r="M205" i="15"/>
  <c r="M218" i="15"/>
  <c r="M228" i="15"/>
  <c r="M237" i="15"/>
  <c r="M245" i="15"/>
  <c r="M253" i="15"/>
  <c r="M261" i="15"/>
  <c r="M272" i="15"/>
  <c r="M281" i="15"/>
  <c r="M289" i="15"/>
  <c r="M293" i="15"/>
  <c r="M301" i="15"/>
  <c r="M309" i="15"/>
  <c r="L12" i="15"/>
  <c r="L24" i="15"/>
  <c r="L34" i="15"/>
  <c r="L44" i="15"/>
  <c r="L56" i="15"/>
  <c r="L71" i="15"/>
  <c r="L95" i="15"/>
  <c r="L106" i="15"/>
  <c r="L115" i="15"/>
  <c r="L125" i="15"/>
  <c r="L133" i="15"/>
  <c r="L139" i="15"/>
  <c r="L152" i="15"/>
  <c r="L165" i="15"/>
  <c r="L176" i="15"/>
  <c r="L192" i="15"/>
  <c r="L202" i="15"/>
  <c r="L214" i="15"/>
  <c r="L225" i="15"/>
  <c r="L234" i="15"/>
  <c r="L242" i="15"/>
  <c r="L250" i="15"/>
  <c r="L258" i="15"/>
  <c r="L269" i="15"/>
  <c r="L277" i="15"/>
  <c r="L286" i="15"/>
  <c r="L294" i="15"/>
  <c r="L302" i="15"/>
  <c r="K288" i="15"/>
  <c r="B298" i="15"/>
  <c r="D298" i="15" s="1"/>
  <c r="B94" i="15"/>
  <c r="J94" i="15"/>
  <c r="B95" i="15"/>
  <c r="D95" i="15" s="1"/>
  <c r="B100" i="15"/>
  <c r="D100" i="15" s="1"/>
  <c r="J100" i="15"/>
  <c r="F101" i="15"/>
  <c r="H101" i="15" s="1"/>
  <c r="B103" i="15"/>
  <c r="D103" i="15" s="1"/>
  <c r="J103" i="15"/>
  <c r="C104" i="15"/>
  <c r="B105" i="15"/>
  <c r="D105" i="15" s="1"/>
  <c r="J105" i="15"/>
  <c r="C106" i="15"/>
  <c r="B107" i="15"/>
  <c r="D107" i="15" s="1"/>
  <c r="J107" i="15"/>
  <c r="B108" i="15"/>
  <c r="D108" i="15" s="1"/>
  <c r="B110" i="15"/>
  <c r="D110" i="15" s="1"/>
  <c r="J110" i="15"/>
  <c r="F111" i="15"/>
  <c r="H111" i="15" s="1"/>
  <c r="B112" i="15"/>
  <c r="D112" i="15" s="1"/>
  <c r="J112" i="15"/>
  <c r="B114" i="15"/>
  <c r="D114" i="15" s="1"/>
  <c r="B118" i="15"/>
  <c r="D118" i="15" s="1"/>
  <c r="J118" i="15"/>
  <c r="F143" i="15"/>
  <c r="H143" i="15" s="1"/>
  <c r="B122" i="15"/>
  <c r="D122" i="15" s="1"/>
  <c r="J122" i="15"/>
  <c r="F128" i="15"/>
  <c r="H128" i="15" s="1"/>
  <c r="F129" i="15"/>
  <c r="H129" i="15" s="1"/>
  <c r="J129" i="15"/>
  <c r="F130" i="15"/>
  <c r="H130" i="15" s="1"/>
  <c r="B132" i="15"/>
  <c r="J132" i="15"/>
  <c r="F133" i="15"/>
  <c r="H133" i="15" s="1"/>
  <c r="C135" i="15"/>
  <c r="J135" i="15"/>
  <c r="F137" i="15"/>
  <c r="H137" i="15" s="1"/>
  <c r="B139" i="15"/>
  <c r="D139" i="15" s="1"/>
  <c r="J139" i="15"/>
  <c r="F140" i="15"/>
  <c r="H140" i="15" s="1"/>
  <c r="C141" i="15"/>
  <c r="J141" i="15"/>
  <c r="F142" i="15"/>
  <c r="C148" i="15"/>
  <c r="J148" i="15"/>
  <c r="F155" i="15"/>
  <c r="H155" i="15" s="1"/>
  <c r="B162" i="15"/>
  <c r="D162" i="15" s="1"/>
  <c r="J162" i="15"/>
  <c r="C164" i="15"/>
  <c r="C165" i="15"/>
  <c r="J165" i="15"/>
  <c r="G166" i="15"/>
  <c r="B175" i="15"/>
  <c r="D175" i="15" s="1"/>
  <c r="J175" i="15"/>
  <c r="F176" i="15"/>
  <c r="H176" i="15" s="1"/>
  <c r="B197" i="15"/>
  <c r="J197" i="15"/>
  <c r="G207" i="15"/>
  <c r="C196" i="15"/>
  <c r="J196" i="15"/>
  <c r="C204" i="15"/>
  <c r="C205" i="15"/>
  <c r="J205" i="15"/>
  <c r="F208" i="15"/>
  <c r="H208" i="15" s="1"/>
  <c r="B212" i="15"/>
  <c r="J212" i="15"/>
  <c r="F217" i="15"/>
  <c r="H217" i="15" s="1"/>
  <c r="C218" i="15"/>
  <c r="J218" i="15"/>
  <c r="F224" i="15"/>
  <c r="B228" i="15"/>
  <c r="D228" i="15" s="1"/>
  <c r="J228" i="15"/>
  <c r="F229" i="15"/>
  <c r="H229" i="15" s="1"/>
  <c r="C236" i="15"/>
  <c r="J236" i="15"/>
  <c r="F242" i="15"/>
  <c r="H242" i="15" s="1"/>
  <c r="B243" i="15"/>
  <c r="D243" i="15" s="1"/>
  <c r="J243" i="15"/>
  <c r="F244" i="15"/>
  <c r="C245" i="15"/>
  <c r="J245" i="15"/>
  <c r="F248" i="15"/>
  <c r="B250" i="15"/>
  <c r="J250" i="15"/>
  <c r="F271" i="15"/>
  <c r="H271" i="15" s="1"/>
  <c r="O271" i="15"/>
  <c r="G253" i="15"/>
  <c r="C272" i="15"/>
  <c r="O272" i="15"/>
  <c r="C275" i="15"/>
  <c r="J275" i="15"/>
  <c r="O261" i="15"/>
  <c r="K261" i="15"/>
  <c r="C286" i="15"/>
  <c r="C260" i="15"/>
  <c r="O260" i="15"/>
  <c r="B287" i="15"/>
  <c r="D287" i="15" s="1"/>
  <c r="K287" i="15"/>
  <c r="O289" i="15"/>
  <c r="K289" i="15"/>
  <c r="G293" i="15"/>
  <c r="C295" i="15"/>
  <c r="O295" i="15"/>
  <c r="C266" i="15"/>
  <c r="K266" i="15"/>
  <c r="F297" i="15"/>
  <c r="H297" i="15" s="1"/>
  <c r="O297" i="15"/>
  <c r="F290" i="15"/>
  <c r="H290" i="15" s="1"/>
  <c r="C300" i="15"/>
  <c r="O300" i="15"/>
  <c r="B187" i="15"/>
  <c r="D187" i="15" s="1"/>
  <c r="K187" i="15"/>
  <c r="O296" i="15"/>
  <c r="K296" i="15"/>
  <c r="O112" i="15"/>
  <c r="O196" i="15"/>
  <c r="O229" i="15"/>
  <c r="O122" i="15"/>
  <c r="O197" i="15"/>
  <c r="O228" i="15"/>
  <c r="O95" i="15"/>
  <c r="O128" i="15"/>
  <c r="O224" i="15"/>
  <c r="O108" i="15"/>
  <c r="O236" i="15"/>
  <c r="F288" i="15"/>
  <c r="H288" i="15" s="1"/>
  <c r="G298" i="15"/>
  <c r="G288" i="15"/>
  <c r="F298" i="15"/>
  <c r="H298" i="15" s="1"/>
  <c r="F309" i="15"/>
  <c r="H309" i="15" s="1"/>
  <c r="G309" i="15"/>
  <c r="K94" i="15"/>
  <c r="C100" i="15"/>
  <c r="G101" i="15"/>
  <c r="G104" i="15"/>
  <c r="K118" i="15"/>
  <c r="G128" i="15"/>
  <c r="C132" i="15"/>
  <c r="F139" i="15"/>
  <c r="H139" i="15" s="1"/>
  <c r="K243" i="15"/>
  <c r="F245" i="15"/>
  <c r="H245" i="15" s="1"/>
  <c r="G248" i="15"/>
  <c r="K250" i="15"/>
  <c r="C253" i="15"/>
  <c r="G272" i="15"/>
  <c r="O275" i="15"/>
  <c r="F261" i="15"/>
  <c r="H261" i="15" s="1"/>
  <c r="J286" i="15"/>
  <c r="J260" i="15"/>
  <c r="O287" i="15"/>
  <c r="C293" i="15"/>
  <c r="G295" i="15"/>
  <c r="F266" i="15"/>
  <c r="H266" i="15" s="1"/>
  <c r="C297" i="15"/>
  <c r="J290" i="15"/>
  <c r="J300" i="15"/>
  <c r="O187" i="15"/>
  <c r="G306" i="15"/>
  <c r="O94" i="15"/>
  <c r="O130" i="15"/>
  <c r="O162" i="15"/>
  <c r="O204" i="15"/>
  <c r="O242" i="15"/>
  <c r="O133" i="15"/>
  <c r="O205" i="15"/>
  <c r="O105" i="15"/>
  <c r="O137" i="15"/>
  <c r="O100" i="15"/>
  <c r="O111" i="15"/>
  <c r="O141" i="15"/>
  <c r="O245" i="15"/>
  <c r="O114" i="15"/>
  <c r="O308" i="15"/>
  <c r="K308" i="15"/>
  <c r="J308" i="15"/>
  <c r="G308" i="15"/>
  <c r="F308" i="15"/>
  <c r="H308" i="15" s="1"/>
  <c r="B308" i="15"/>
  <c r="D308" i="15" s="1"/>
  <c r="C308" i="15"/>
  <c r="I500" i="15" l="1"/>
  <c r="E466" i="15"/>
  <c r="I564" i="15"/>
  <c r="I515" i="15"/>
  <c r="E470" i="15"/>
  <c r="I492" i="15"/>
  <c r="E498" i="15"/>
  <c r="I483" i="15"/>
  <c r="N346" i="15"/>
  <c r="E566" i="15"/>
  <c r="I491" i="15"/>
  <c r="E562" i="15"/>
  <c r="I547" i="15"/>
  <c r="E502" i="15"/>
  <c r="M142" i="15"/>
  <c r="N142" i="15" s="1"/>
  <c r="I556" i="15"/>
  <c r="G142" i="15"/>
  <c r="N514" i="15"/>
  <c r="N474" i="15"/>
  <c r="E530" i="15"/>
  <c r="E534" i="15"/>
  <c r="I548" i="15"/>
  <c r="I579" i="15"/>
  <c r="N458" i="15"/>
  <c r="N554" i="15"/>
  <c r="N490" i="15"/>
  <c r="N570" i="15"/>
  <c r="E542" i="15"/>
  <c r="E478" i="15"/>
  <c r="E570" i="15"/>
  <c r="E506" i="15"/>
  <c r="E442" i="15"/>
  <c r="N482" i="15"/>
  <c r="N442" i="15"/>
  <c r="N498" i="15"/>
  <c r="N551" i="15"/>
  <c r="N519" i="15"/>
  <c r="N487" i="15"/>
  <c r="N455" i="15"/>
  <c r="N574" i="15"/>
  <c r="N542" i="15"/>
  <c r="N510" i="15"/>
  <c r="N478" i="15"/>
  <c r="N446" i="15"/>
  <c r="N578" i="15"/>
  <c r="N450" i="15"/>
  <c r="N538" i="15"/>
  <c r="N466" i="15"/>
  <c r="N575" i="15"/>
  <c r="N543" i="15"/>
  <c r="N511" i="15"/>
  <c r="N479" i="15"/>
  <c r="N447" i="15"/>
  <c r="N566" i="15"/>
  <c r="N534" i="15"/>
  <c r="N502" i="15"/>
  <c r="N470" i="15"/>
  <c r="N522" i="15"/>
  <c r="N546" i="15"/>
  <c r="N506" i="15"/>
  <c r="N562" i="15"/>
  <c r="N567" i="15"/>
  <c r="N535" i="15"/>
  <c r="N503" i="15"/>
  <c r="N471" i="15"/>
  <c r="N439" i="15"/>
  <c r="N558" i="15"/>
  <c r="N526" i="15"/>
  <c r="N494" i="15"/>
  <c r="N462" i="15"/>
  <c r="N530" i="15"/>
  <c r="N559" i="15"/>
  <c r="N527" i="15"/>
  <c r="N495" i="15"/>
  <c r="N463" i="15"/>
  <c r="N582" i="15"/>
  <c r="N550" i="15"/>
  <c r="N518" i="15"/>
  <c r="N486" i="15"/>
  <c r="N454" i="15"/>
  <c r="N563" i="15"/>
  <c r="N531" i="15"/>
  <c r="N499" i="15"/>
  <c r="N467" i="15"/>
  <c r="N555" i="15"/>
  <c r="N523" i="15"/>
  <c r="N491" i="15"/>
  <c r="N459" i="15"/>
  <c r="N573" i="15"/>
  <c r="N557" i="15"/>
  <c r="N541" i="15"/>
  <c r="N525" i="15"/>
  <c r="N509" i="15"/>
  <c r="N493" i="15"/>
  <c r="N477" i="15"/>
  <c r="N461" i="15"/>
  <c r="N445" i="15"/>
  <c r="N568" i="15"/>
  <c r="N552" i="15"/>
  <c r="N536" i="15"/>
  <c r="N520" i="15"/>
  <c r="N504" i="15"/>
  <c r="N488" i="15"/>
  <c r="N472" i="15"/>
  <c r="N456" i="15"/>
  <c r="N440" i="15"/>
  <c r="E550" i="15"/>
  <c r="E546" i="15"/>
  <c r="E526" i="15"/>
  <c r="E462" i="15"/>
  <c r="E554" i="15"/>
  <c r="E490" i="15"/>
  <c r="E581" i="15"/>
  <c r="E565" i="15"/>
  <c r="E549" i="15"/>
  <c r="E533" i="15"/>
  <c r="E517" i="15"/>
  <c r="E501" i="15"/>
  <c r="E485" i="15"/>
  <c r="E469" i="15"/>
  <c r="E453" i="15"/>
  <c r="E580" i="15"/>
  <c r="E564" i="15"/>
  <c r="E548" i="15"/>
  <c r="E532" i="15"/>
  <c r="E516" i="15"/>
  <c r="E500" i="15"/>
  <c r="E484" i="15"/>
  <c r="E468" i="15"/>
  <c r="E452" i="15"/>
  <c r="E579" i="15"/>
  <c r="E563" i="15"/>
  <c r="E547" i="15"/>
  <c r="E531" i="15"/>
  <c r="E515" i="15"/>
  <c r="E499" i="15"/>
  <c r="E483" i="15"/>
  <c r="E467" i="15"/>
  <c r="E451" i="15"/>
  <c r="I468" i="15"/>
  <c r="I516" i="15"/>
  <c r="I467" i="15"/>
  <c r="I555" i="15"/>
  <c r="I560" i="15"/>
  <c r="I528" i="15"/>
  <c r="I496" i="15"/>
  <c r="I464" i="15"/>
  <c r="I559" i="15"/>
  <c r="I527" i="15"/>
  <c r="I495" i="15"/>
  <c r="I463" i="15"/>
  <c r="I582" i="15"/>
  <c r="I566" i="15"/>
  <c r="I550" i="15"/>
  <c r="I534" i="15"/>
  <c r="I518" i="15"/>
  <c r="I502" i="15"/>
  <c r="I486" i="15"/>
  <c r="I470" i="15"/>
  <c r="I454" i="15"/>
  <c r="I581" i="15"/>
  <c r="I565" i="15"/>
  <c r="I549" i="15"/>
  <c r="I533" i="15"/>
  <c r="I517" i="15"/>
  <c r="I501" i="15"/>
  <c r="I485" i="15"/>
  <c r="I469" i="15"/>
  <c r="I453" i="15"/>
  <c r="N579" i="15"/>
  <c r="N547" i="15"/>
  <c r="N515" i="15"/>
  <c r="N483" i="15"/>
  <c r="N451" i="15"/>
  <c r="N569" i="15"/>
  <c r="N553" i="15"/>
  <c r="N537" i="15"/>
  <c r="N521" i="15"/>
  <c r="N505" i="15"/>
  <c r="N489" i="15"/>
  <c r="N473" i="15"/>
  <c r="N457" i="15"/>
  <c r="N441" i="15"/>
  <c r="N580" i="15"/>
  <c r="N564" i="15"/>
  <c r="N548" i="15"/>
  <c r="N532" i="15"/>
  <c r="N516" i="15"/>
  <c r="N500" i="15"/>
  <c r="N484" i="15"/>
  <c r="N468" i="15"/>
  <c r="N452" i="15"/>
  <c r="E518" i="15"/>
  <c r="E514" i="15"/>
  <c r="E574" i="15"/>
  <c r="E510" i="15"/>
  <c r="E446" i="15"/>
  <c r="E538" i="15"/>
  <c r="E474" i="15"/>
  <c r="E577" i="15"/>
  <c r="E561" i="15"/>
  <c r="E545" i="15"/>
  <c r="E529" i="15"/>
  <c r="E513" i="15"/>
  <c r="E497" i="15"/>
  <c r="E481" i="15"/>
  <c r="E465" i="15"/>
  <c r="E449" i="15"/>
  <c r="E576" i="15"/>
  <c r="E560" i="15"/>
  <c r="E544" i="15"/>
  <c r="E528" i="15"/>
  <c r="E512" i="15"/>
  <c r="E496" i="15"/>
  <c r="E480" i="15"/>
  <c r="E464" i="15"/>
  <c r="E448" i="15"/>
  <c r="E575" i="15"/>
  <c r="E559" i="15"/>
  <c r="E543" i="15"/>
  <c r="E527" i="15"/>
  <c r="E511" i="15"/>
  <c r="E495" i="15"/>
  <c r="E479" i="15"/>
  <c r="E463" i="15"/>
  <c r="E447" i="15"/>
  <c r="I452" i="15"/>
  <c r="I540" i="15"/>
  <c r="I476" i="15"/>
  <c r="I563" i="15"/>
  <c r="I451" i="15"/>
  <c r="I539" i="15"/>
  <c r="I475" i="15"/>
  <c r="I552" i="15"/>
  <c r="I520" i="15"/>
  <c r="I488" i="15"/>
  <c r="I456" i="15"/>
  <c r="I551" i="15"/>
  <c r="I519" i="15"/>
  <c r="I487" i="15"/>
  <c r="I455" i="15"/>
  <c r="I578" i="15"/>
  <c r="I562" i="15"/>
  <c r="I546" i="15"/>
  <c r="I530" i="15"/>
  <c r="I514" i="15"/>
  <c r="I498" i="15"/>
  <c r="I482" i="15"/>
  <c r="I466" i="15"/>
  <c r="I450" i="15"/>
  <c r="I577" i="15"/>
  <c r="I561" i="15"/>
  <c r="I545" i="15"/>
  <c r="I529" i="15"/>
  <c r="I513" i="15"/>
  <c r="I497" i="15"/>
  <c r="I481" i="15"/>
  <c r="I465" i="15"/>
  <c r="I449" i="15"/>
  <c r="N571" i="15"/>
  <c r="N539" i="15"/>
  <c r="N507" i="15"/>
  <c r="N475" i="15"/>
  <c r="N443" i="15"/>
  <c r="N581" i="15"/>
  <c r="N565" i="15"/>
  <c r="N549" i="15"/>
  <c r="N533" i="15"/>
  <c r="N517" i="15"/>
  <c r="N501" i="15"/>
  <c r="N485" i="15"/>
  <c r="N469" i="15"/>
  <c r="N453" i="15"/>
  <c r="N576" i="15"/>
  <c r="N560" i="15"/>
  <c r="N544" i="15"/>
  <c r="N528" i="15"/>
  <c r="N512" i="15"/>
  <c r="N496" i="15"/>
  <c r="N480" i="15"/>
  <c r="N464" i="15"/>
  <c r="N448" i="15"/>
  <c r="E486" i="15"/>
  <c r="E482" i="15"/>
  <c r="E558" i="15"/>
  <c r="E494" i="15"/>
  <c r="E522" i="15"/>
  <c r="E458" i="15"/>
  <c r="E573" i="15"/>
  <c r="E557" i="15"/>
  <c r="E541" i="15"/>
  <c r="E525" i="15"/>
  <c r="E509" i="15"/>
  <c r="E493" i="15"/>
  <c r="E477" i="15"/>
  <c r="E461" i="15"/>
  <c r="E445" i="15"/>
  <c r="E572" i="15"/>
  <c r="E556" i="15"/>
  <c r="E540" i="15"/>
  <c r="E524" i="15"/>
  <c r="E508" i="15"/>
  <c r="E492" i="15"/>
  <c r="E476" i="15"/>
  <c r="E460" i="15"/>
  <c r="E444" i="15"/>
  <c r="E571" i="15"/>
  <c r="E555" i="15"/>
  <c r="E539" i="15"/>
  <c r="E523" i="15"/>
  <c r="E507" i="15"/>
  <c r="E491" i="15"/>
  <c r="E475" i="15"/>
  <c r="E459" i="15"/>
  <c r="E443" i="15"/>
  <c r="I524" i="15"/>
  <c r="I460" i="15"/>
  <c r="I531" i="15"/>
  <c r="I523" i="15"/>
  <c r="I459" i="15"/>
  <c r="I576" i="15"/>
  <c r="I544" i="15"/>
  <c r="I512" i="15"/>
  <c r="I480" i="15"/>
  <c r="I448" i="15"/>
  <c r="I575" i="15"/>
  <c r="I543" i="15"/>
  <c r="I511" i="15"/>
  <c r="I479" i="15"/>
  <c r="I447" i="15"/>
  <c r="I574" i="15"/>
  <c r="I558" i="15"/>
  <c r="I542" i="15"/>
  <c r="I526" i="15"/>
  <c r="I510" i="15"/>
  <c r="I494" i="15"/>
  <c r="I478" i="15"/>
  <c r="I462" i="15"/>
  <c r="I446" i="15"/>
  <c r="I573" i="15"/>
  <c r="I557" i="15"/>
  <c r="I541" i="15"/>
  <c r="I525" i="15"/>
  <c r="I509" i="15"/>
  <c r="I493" i="15"/>
  <c r="I477" i="15"/>
  <c r="I461" i="15"/>
  <c r="I445" i="15"/>
  <c r="N577" i="15"/>
  <c r="N561" i="15"/>
  <c r="N545" i="15"/>
  <c r="N529" i="15"/>
  <c r="N513" i="15"/>
  <c r="N497" i="15"/>
  <c r="N481" i="15"/>
  <c r="N465" i="15"/>
  <c r="N449" i="15"/>
  <c r="N572" i="15"/>
  <c r="N556" i="15"/>
  <c r="N540" i="15"/>
  <c r="N524" i="15"/>
  <c r="N508" i="15"/>
  <c r="N492" i="15"/>
  <c r="N476" i="15"/>
  <c r="N460" i="15"/>
  <c r="N444" i="15"/>
  <c r="E582" i="15"/>
  <c r="E454" i="15"/>
  <c r="E578" i="15"/>
  <c r="E450" i="15"/>
  <c r="E569" i="15"/>
  <c r="E553" i="15"/>
  <c r="E537" i="15"/>
  <c r="E521" i="15"/>
  <c r="E505" i="15"/>
  <c r="E489" i="15"/>
  <c r="E473" i="15"/>
  <c r="E457" i="15"/>
  <c r="E441" i="15"/>
  <c r="E568" i="15"/>
  <c r="E552" i="15"/>
  <c r="E536" i="15"/>
  <c r="E520" i="15"/>
  <c r="E504" i="15"/>
  <c r="E488" i="15"/>
  <c r="E472" i="15"/>
  <c r="E456" i="15"/>
  <c r="E440" i="15"/>
  <c r="E567" i="15"/>
  <c r="E551" i="15"/>
  <c r="E535" i="15"/>
  <c r="E519" i="15"/>
  <c r="E503" i="15"/>
  <c r="E487" i="15"/>
  <c r="E471" i="15"/>
  <c r="E455" i="15"/>
  <c r="E439" i="15"/>
  <c r="I484" i="15"/>
  <c r="I532" i="15"/>
  <c r="I580" i="15"/>
  <c r="I572" i="15"/>
  <c r="I508" i="15"/>
  <c r="I444" i="15"/>
  <c r="I499" i="15"/>
  <c r="I571" i="15"/>
  <c r="I507" i="15"/>
  <c r="I443" i="15"/>
  <c r="I568" i="15"/>
  <c r="I536" i="15"/>
  <c r="I504" i="15"/>
  <c r="I472" i="15"/>
  <c r="I440" i="15"/>
  <c r="I567" i="15"/>
  <c r="I535" i="15"/>
  <c r="I503" i="15"/>
  <c r="I471" i="15"/>
  <c r="I439" i="15"/>
  <c r="I570" i="15"/>
  <c r="I554" i="15"/>
  <c r="I538" i="15"/>
  <c r="I522" i="15"/>
  <c r="I506" i="15"/>
  <c r="I490" i="15"/>
  <c r="I474" i="15"/>
  <c r="I458" i="15"/>
  <c r="I442" i="15"/>
  <c r="I569" i="15"/>
  <c r="I553" i="15"/>
  <c r="I537" i="15"/>
  <c r="I521" i="15"/>
  <c r="I505" i="15"/>
  <c r="I489" i="15"/>
  <c r="I473" i="15"/>
  <c r="I457" i="15"/>
  <c r="I441" i="15"/>
  <c r="AF142" i="13"/>
  <c r="AK142" i="13"/>
  <c r="AE142" i="13"/>
  <c r="T77" i="16"/>
  <c r="R77" i="16"/>
  <c r="AH142" i="13" s="1" a="1"/>
  <c r="AH142" i="13" s="1"/>
  <c r="Q142" i="13" s="1"/>
  <c r="AD142" i="13" s="1"/>
  <c r="R52" i="16"/>
  <c r="T52" i="16"/>
  <c r="T45" i="16"/>
  <c r="R45" i="16"/>
  <c r="I437" i="15"/>
  <c r="E341" i="15"/>
  <c r="E435" i="15"/>
  <c r="E329" i="15"/>
  <c r="E349" i="15"/>
  <c r="E317" i="15"/>
  <c r="N424" i="15"/>
  <c r="N392" i="15"/>
  <c r="N360" i="15"/>
  <c r="N408" i="15"/>
  <c r="N432" i="15"/>
  <c r="N412" i="15"/>
  <c r="N316" i="15"/>
  <c r="N376" i="15"/>
  <c r="N312" i="15"/>
  <c r="E345" i="15"/>
  <c r="E313" i="15"/>
  <c r="N322" i="15"/>
  <c r="N396" i="15"/>
  <c r="E377" i="15"/>
  <c r="E365" i="15"/>
  <c r="E397" i="15"/>
  <c r="H331" i="15"/>
  <c r="I331" i="15" s="1"/>
  <c r="H351" i="15"/>
  <c r="I351" i="15" s="1"/>
  <c r="H362" i="15"/>
  <c r="I362" i="15" s="1"/>
  <c r="H400" i="15"/>
  <c r="I400" i="15" s="1"/>
  <c r="H419" i="15"/>
  <c r="I419" i="15" s="1"/>
  <c r="H354" i="15"/>
  <c r="I354" i="15" s="1"/>
  <c r="H373" i="15"/>
  <c r="I373" i="15" s="1"/>
  <c r="H325" i="15"/>
  <c r="I325" i="15" s="1"/>
  <c r="N400" i="15"/>
  <c r="N332" i="15"/>
  <c r="H94" i="15"/>
  <c r="I94" i="15" s="1"/>
  <c r="H429" i="15"/>
  <c r="H405" i="15"/>
  <c r="I405" i="15" s="1"/>
  <c r="H420" i="15"/>
  <c r="I420" i="15" s="1"/>
  <c r="H340" i="15"/>
  <c r="H425" i="15"/>
  <c r="I425" i="15" s="1"/>
  <c r="H347" i="15"/>
  <c r="I347" i="15" s="1"/>
  <c r="H416" i="15"/>
  <c r="I416" i="15" s="1"/>
  <c r="H335" i="15"/>
  <c r="I335" i="15" s="1"/>
  <c r="H355" i="15"/>
  <c r="I355" i="15" s="1"/>
  <c r="H426" i="15"/>
  <c r="I426" i="15" s="1"/>
  <c r="H370" i="15"/>
  <c r="I370" i="15" s="1"/>
  <c r="H348" i="15"/>
  <c r="I348" i="15" s="1"/>
  <c r="H369" i="15"/>
  <c r="I369" i="15" s="1"/>
  <c r="H353" i="15"/>
  <c r="I353" i="15" s="1"/>
  <c r="N328" i="15"/>
  <c r="N418" i="15"/>
  <c r="N428" i="15"/>
  <c r="H248" i="15"/>
  <c r="I248" i="15" s="1"/>
  <c r="H421" i="15"/>
  <c r="I421" i="15" s="1"/>
  <c r="H358" i="15"/>
  <c r="I358" i="15" s="1"/>
  <c r="H382" i="15"/>
  <c r="I382" i="15" s="1"/>
  <c r="H339" i="15"/>
  <c r="I339" i="15" s="1"/>
  <c r="H318" i="15"/>
  <c r="I318" i="15" s="1"/>
  <c r="H375" i="15"/>
  <c r="I375" i="15" s="1"/>
  <c r="N368" i="15"/>
  <c r="H212" i="15"/>
  <c r="I212" i="15" s="1"/>
  <c r="H250" i="15"/>
  <c r="I250" i="15" s="1"/>
  <c r="H428" i="15"/>
  <c r="I428" i="15" s="1"/>
  <c r="H384" i="15"/>
  <c r="H319" i="15"/>
  <c r="I319" i="15" s="1"/>
  <c r="H417" i="15"/>
  <c r="I417" i="15" s="1"/>
  <c r="H336" i="15"/>
  <c r="I336" i="15" s="1"/>
  <c r="H367" i="15"/>
  <c r="I367" i="15" s="1"/>
  <c r="H324" i="15"/>
  <c r="I324" i="15" s="1"/>
  <c r="H427" i="15"/>
  <c r="I427" i="15" s="1"/>
  <c r="H371" i="15"/>
  <c r="I371" i="15" s="1"/>
  <c r="H350" i="15"/>
  <c r="I350" i="15" s="1"/>
  <c r="H328" i="15"/>
  <c r="I328" i="15" s="1"/>
  <c r="H386" i="15"/>
  <c r="I386" i="15" s="1"/>
  <c r="H364" i="15"/>
  <c r="I364" i="15" s="1"/>
  <c r="H381" i="15"/>
  <c r="I381" i="15" s="1"/>
  <c r="H333" i="15"/>
  <c r="I333" i="15" s="1"/>
  <c r="N338" i="15"/>
  <c r="N348" i="15"/>
  <c r="N351" i="15"/>
  <c r="H224" i="15"/>
  <c r="I224" i="15" s="1"/>
  <c r="H332" i="15"/>
  <c r="I332" i="15" s="1"/>
  <c r="H389" i="15"/>
  <c r="I389" i="15" s="1"/>
  <c r="H357" i="15"/>
  <c r="I357" i="15" s="1"/>
  <c r="N336" i="15"/>
  <c r="N364" i="15"/>
  <c r="H244" i="15"/>
  <c r="I244" i="15" s="1"/>
  <c r="H142" i="15"/>
  <c r="H197" i="15"/>
  <c r="I197" i="15" s="1"/>
  <c r="H132" i="15"/>
  <c r="H196" i="15"/>
  <c r="I196" i="15" s="1"/>
  <c r="H372" i="15"/>
  <c r="I372" i="15" s="1"/>
  <c r="H394" i="15"/>
  <c r="I394" i="15" s="1"/>
  <c r="H363" i="15"/>
  <c r="I363" i="15" s="1"/>
  <c r="H368" i="15"/>
  <c r="I368" i="15" s="1"/>
  <c r="H326" i="15"/>
  <c r="I326" i="15" s="1"/>
  <c r="H356" i="15"/>
  <c r="I356" i="15" s="1"/>
  <c r="H423" i="15"/>
  <c r="I423" i="15" s="1"/>
  <c r="H366" i="15"/>
  <c r="I366" i="15" s="1"/>
  <c r="H344" i="15"/>
  <c r="I344" i="15" s="1"/>
  <c r="H323" i="15"/>
  <c r="I323" i="15" s="1"/>
  <c r="H418" i="15"/>
  <c r="I418" i="15" s="1"/>
  <c r="H338" i="15"/>
  <c r="I338" i="15" s="1"/>
  <c r="H393" i="15"/>
  <c r="I393" i="15" s="1"/>
  <c r="H361" i="15"/>
  <c r="I361" i="15" s="1"/>
  <c r="N344" i="15"/>
  <c r="N372" i="15"/>
  <c r="N340" i="15"/>
  <c r="I330" i="15"/>
  <c r="N434" i="15"/>
  <c r="N402" i="15"/>
  <c r="N386" i="15"/>
  <c r="N362" i="15"/>
  <c r="E409" i="15"/>
  <c r="I346" i="15"/>
  <c r="N370" i="15"/>
  <c r="N436" i="15"/>
  <c r="N404" i="15"/>
  <c r="N426" i="15"/>
  <c r="N375" i="15"/>
  <c r="I316" i="15"/>
  <c r="N354" i="15"/>
  <c r="N356" i="15"/>
  <c r="N324" i="15"/>
  <c r="N410" i="15"/>
  <c r="N420" i="15"/>
  <c r="N388" i="15"/>
  <c r="N394" i="15"/>
  <c r="N407" i="15"/>
  <c r="N416" i="15"/>
  <c r="N384" i="15"/>
  <c r="N352" i="15"/>
  <c r="N320" i="15"/>
  <c r="N431" i="15"/>
  <c r="N335" i="15"/>
  <c r="I395" i="15"/>
  <c r="I388" i="15"/>
  <c r="N330" i="15"/>
  <c r="N367" i="15"/>
  <c r="N311" i="15"/>
  <c r="N314" i="15"/>
  <c r="E401" i="15"/>
  <c r="E385" i="15"/>
  <c r="E337" i="15"/>
  <c r="E321" i="15"/>
  <c r="D94" i="15"/>
  <c r="D196" i="15"/>
  <c r="D356" i="15"/>
  <c r="D419" i="15"/>
  <c r="D331" i="15"/>
  <c r="E331" i="15" s="1"/>
  <c r="D400" i="15"/>
  <c r="D368" i="15"/>
  <c r="D336" i="15"/>
  <c r="D351" i="15"/>
  <c r="D319" i="15"/>
  <c r="D429" i="15"/>
  <c r="D381" i="15"/>
  <c r="D333" i="15"/>
  <c r="D418" i="15"/>
  <c r="D386" i="15"/>
  <c r="D370" i="15"/>
  <c r="D354" i="15"/>
  <c r="D338" i="15"/>
  <c r="D212" i="15"/>
  <c r="D142" i="15"/>
  <c r="D371" i="15"/>
  <c r="D324" i="15"/>
  <c r="D428" i="15"/>
  <c r="D364" i="15"/>
  <c r="D328" i="15"/>
  <c r="D375" i="15"/>
  <c r="D425" i="15"/>
  <c r="D393" i="15"/>
  <c r="D361" i="15"/>
  <c r="D382" i="15"/>
  <c r="D366" i="15"/>
  <c r="D350" i="15"/>
  <c r="D334" i="15"/>
  <c r="D318" i="15"/>
  <c r="D197" i="15"/>
  <c r="D132" i="15"/>
  <c r="D248" i="15"/>
  <c r="D224" i="15"/>
  <c r="D372" i="15"/>
  <c r="D339" i="15"/>
  <c r="D420" i="15"/>
  <c r="D355" i="15"/>
  <c r="D348" i="15"/>
  <c r="D427" i="15"/>
  <c r="E427" i="15" s="1"/>
  <c r="D363" i="15"/>
  <c r="E363" i="15" s="1"/>
  <c r="D416" i="15"/>
  <c r="D384" i="15"/>
  <c r="D367" i="15"/>
  <c r="E367" i="15" s="1"/>
  <c r="D335" i="15"/>
  <c r="E335" i="15" s="1"/>
  <c r="D421" i="15"/>
  <c r="D405" i="15"/>
  <c r="D389" i="15"/>
  <c r="D373" i="15"/>
  <c r="D357" i="15"/>
  <c r="D325" i="15"/>
  <c r="D426" i="15"/>
  <c r="D394" i="15"/>
  <c r="D362" i="15"/>
  <c r="D250" i="15"/>
  <c r="D244" i="15"/>
  <c r="D340" i="15"/>
  <c r="D323" i="15"/>
  <c r="D332" i="15"/>
  <c r="D347" i="15"/>
  <c r="D344" i="15"/>
  <c r="D423" i="15"/>
  <c r="D417" i="15"/>
  <c r="D369" i="15"/>
  <c r="D353" i="15"/>
  <c r="D358" i="15"/>
  <c r="D326" i="15"/>
  <c r="N319" i="15"/>
  <c r="I320" i="15"/>
  <c r="I390" i="15"/>
  <c r="I436" i="15"/>
  <c r="I404" i="15"/>
  <c r="I352" i="15"/>
  <c r="I314" i="15"/>
  <c r="I424" i="15"/>
  <c r="I414" i="15"/>
  <c r="I341" i="15"/>
  <c r="N359" i="15"/>
  <c r="I408" i="15"/>
  <c r="N391" i="15"/>
  <c r="I407" i="15"/>
  <c r="I387" i="15"/>
  <c r="N423" i="15"/>
  <c r="I430" i="15"/>
  <c r="I311" i="15"/>
  <c r="N427" i="15"/>
  <c r="N411" i="15"/>
  <c r="N395" i="15"/>
  <c r="N363" i="15"/>
  <c r="N347" i="15"/>
  <c r="N331" i="15"/>
  <c r="N315" i="15"/>
  <c r="N422" i="15"/>
  <c r="N390" i="15"/>
  <c r="N358" i="15"/>
  <c r="N326" i="15"/>
  <c r="N437" i="15"/>
  <c r="N421" i="15"/>
  <c r="N405" i="15"/>
  <c r="N389" i="15"/>
  <c r="N373" i="15"/>
  <c r="N357" i="15"/>
  <c r="N341" i="15"/>
  <c r="N325" i="15"/>
  <c r="E395" i="15"/>
  <c r="E415" i="15"/>
  <c r="E383" i="15"/>
  <c r="E412" i="15"/>
  <c r="E396" i="15"/>
  <c r="E380" i="15"/>
  <c r="E316" i="15"/>
  <c r="E413" i="15"/>
  <c r="E434" i="15"/>
  <c r="E402" i="15"/>
  <c r="E322" i="15"/>
  <c r="I396" i="15"/>
  <c r="I432" i="15"/>
  <c r="I399" i="15"/>
  <c r="I435" i="15"/>
  <c r="I403" i="15"/>
  <c r="I360" i="15"/>
  <c r="I410" i="15"/>
  <c r="I391" i="15"/>
  <c r="I401" i="15"/>
  <c r="I385" i="15"/>
  <c r="I337" i="15"/>
  <c r="N414" i="15"/>
  <c r="N382" i="15"/>
  <c r="N350" i="15"/>
  <c r="N318" i="15"/>
  <c r="E403" i="15"/>
  <c r="N433" i="15"/>
  <c r="N417" i="15"/>
  <c r="N401" i="15"/>
  <c r="N385" i="15"/>
  <c r="N369" i="15"/>
  <c r="N353" i="15"/>
  <c r="N337" i="15"/>
  <c r="E387" i="15"/>
  <c r="E379" i="15"/>
  <c r="E315" i="15"/>
  <c r="E407" i="15"/>
  <c r="E343" i="15"/>
  <c r="E311" i="15"/>
  <c r="E424" i="15"/>
  <c r="E408" i="15"/>
  <c r="E392" i="15"/>
  <c r="E376" i="15"/>
  <c r="E360" i="15"/>
  <c r="E312" i="15"/>
  <c r="E430" i="15"/>
  <c r="E414" i="15"/>
  <c r="E398" i="15"/>
  <c r="I409" i="15"/>
  <c r="I412" i="15"/>
  <c r="I431" i="15"/>
  <c r="I398" i="15"/>
  <c r="I376" i="15"/>
  <c r="I312" i="15"/>
  <c r="I438" i="15"/>
  <c r="I422" i="15"/>
  <c r="I406" i="15"/>
  <c r="I322" i="15"/>
  <c r="I397" i="15"/>
  <c r="I365" i="15"/>
  <c r="I349" i="15"/>
  <c r="N435" i="15"/>
  <c r="N419" i="15"/>
  <c r="N403" i="15"/>
  <c r="N387" i="15"/>
  <c r="N371" i="15"/>
  <c r="N355" i="15"/>
  <c r="N339" i="15"/>
  <c r="N323" i="15"/>
  <c r="N438" i="15"/>
  <c r="N406" i="15"/>
  <c r="N310" i="15"/>
  <c r="N429" i="15"/>
  <c r="N413" i="15"/>
  <c r="N397" i="15"/>
  <c r="N381" i="15"/>
  <c r="N365" i="15"/>
  <c r="N349" i="15"/>
  <c r="N333" i="15"/>
  <c r="E431" i="15"/>
  <c r="E399" i="15"/>
  <c r="E436" i="15"/>
  <c r="E404" i="15"/>
  <c r="E388" i="15"/>
  <c r="E437" i="15"/>
  <c r="E410" i="15"/>
  <c r="E378" i="15"/>
  <c r="E346" i="15"/>
  <c r="E330" i="15"/>
  <c r="E314" i="15"/>
  <c r="I413" i="15"/>
  <c r="I310" i="15"/>
  <c r="I433" i="15"/>
  <c r="I315" i="15"/>
  <c r="I411" i="15"/>
  <c r="I392" i="15"/>
  <c r="I434" i="15"/>
  <c r="I402" i="15"/>
  <c r="I359" i="15"/>
  <c r="I345" i="15"/>
  <c r="I329" i="15"/>
  <c r="I313" i="15"/>
  <c r="N430" i="15"/>
  <c r="N398" i="15"/>
  <c r="N366" i="15"/>
  <c r="N425" i="15"/>
  <c r="N409" i="15"/>
  <c r="N393" i="15"/>
  <c r="N361" i="15"/>
  <c r="N345" i="15"/>
  <c r="N329" i="15"/>
  <c r="N313" i="15"/>
  <c r="E411" i="15"/>
  <c r="E391" i="15"/>
  <c r="E359" i="15"/>
  <c r="E327" i="15"/>
  <c r="E432" i="15"/>
  <c r="E352" i="15"/>
  <c r="E320" i="15"/>
  <c r="E433" i="15"/>
  <c r="E438" i="15"/>
  <c r="E422" i="15"/>
  <c r="E406" i="15"/>
  <c r="E390" i="15"/>
  <c r="E374" i="15"/>
  <c r="E342" i="15"/>
  <c r="E310" i="15"/>
  <c r="I143" i="15"/>
  <c r="E112" i="15"/>
  <c r="I175" i="15"/>
  <c r="I139" i="15"/>
  <c r="E129" i="15"/>
  <c r="I287" i="15"/>
  <c r="E137" i="15"/>
  <c r="I271" i="15"/>
  <c r="I155" i="15"/>
  <c r="E104" i="15"/>
  <c r="I207" i="15"/>
  <c r="I295" i="15"/>
  <c r="I187" i="15"/>
  <c r="I135" i="15"/>
  <c r="N295" i="15"/>
  <c r="E141" i="15"/>
  <c r="N135" i="15"/>
  <c r="I275" i="15"/>
  <c r="I107" i="15"/>
  <c r="I166" i="15"/>
  <c r="I118" i="15"/>
  <c r="I289" i="15"/>
  <c r="I129" i="15"/>
  <c r="I288" i="15"/>
  <c r="I272" i="15"/>
  <c r="I208" i="15"/>
  <c r="I176" i="15"/>
  <c r="I128" i="15"/>
  <c r="I112" i="15"/>
  <c r="N271" i="15"/>
  <c r="N143" i="15"/>
  <c r="N287" i="15"/>
  <c r="N139" i="15"/>
  <c r="N107" i="15"/>
  <c r="N248" i="15"/>
  <c r="N306" i="15"/>
  <c r="N290" i="15"/>
  <c r="N242" i="15"/>
  <c r="N162" i="15"/>
  <c r="N130" i="15"/>
  <c r="N114" i="15"/>
  <c r="N253" i="15"/>
  <c r="N205" i="15"/>
  <c r="N141" i="15"/>
  <c r="E309" i="15"/>
  <c r="E205" i="15"/>
  <c r="E306" i="15"/>
  <c r="E148" i="15"/>
  <c r="E287" i="15"/>
  <c r="E271" i="15"/>
  <c r="E207" i="15"/>
  <c r="E175" i="15"/>
  <c r="E143" i="15"/>
  <c r="E111" i="15"/>
  <c r="E95" i="15"/>
  <c r="E286" i="15"/>
  <c r="E110" i="15"/>
  <c r="I103" i="15"/>
  <c r="I306" i="15"/>
  <c r="I290" i="15"/>
  <c r="I242" i="15"/>
  <c r="I162" i="15"/>
  <c r="I130" i="15"/>
  <c r="I114" i="15"/>
  <c r="I253" i="15"/>
  <c r="I205" i="15"/>
  <c r="I141" i="15"/>
  <c r="I300" i="15"/>
  <c r="I236" i="15"/>
  <c r="I204" i="15"/>
  <c r="I140" i="15"/>
  <c r="I108" i="15"/>
  <c r="N111" i="15"/>
  <c r="N308" i="15"/>
  <c r="N244" i="15"/>
  <c r="N212" i="15"/>
  <c r="N148" i="15"/>
  <c r="N272" i="15"/>
  <c r="N208" i="15"/>
  <c r="N176" i="15"/>
  <c r="N112" i="15"/>
  <c r="N286" i="15"/>
  <c r="N110" i="15"/>
  <c r="N94" i="15"/>
  <c r="N297" i="15"/>
  <c r="N217" i="15"/>
  <c r="N137" i="15"/>
  <c r="N105" i="15"/>
  <c r="E289" i="15"/>
  <c r="E105" i="15"/>
  <c r="E272" i="15"/>
  <c r="E208" i="15"/>
  <c r="E176" i="15"/>
  <c r="E293" i="15"/>
  <c r="E261" i="15"/>
  <c r="E229" i="15"/>
  <c r="E165" i="15"/>
  <c r="E133" i="15"/>
  <c r="E101" i="15"/>
  <c r="E300" i="15"/>
  <c r="E236" i="15"/>
  <c r="E204" i="15"/>
  <c r="E140" i="15"/>
  <c r="E108" i="15"/>
  <c r="E187" i="15"/>
  <c r="E155" i="15"/>
  <c r="E139" i="15"/>
  <c r="E107" i="15"/>
  <c r="E298" i="15"/>
  <c r="E266" i="15"/>
  <c r="E218" i="15"/>
  <c r="E122" i="15"/>
  <c r="E106" i="15"/>
  <c r="I243" i="15"/>
  <c r="I286" i="15"/>
  <c r="I110" i="15"/>
  <c r="I297" i="15"/>
  <c r="I217" i="15"/>
  <c r="I137" i="15"/>
  <c r="I105" i="15"/>
  <c r="I296" i="15"/>
  <c r="I104" i="15"/>
  <c r="N207" i="15"/>
  <c r="N103" i="15"/>
  <c r="N95" i="15"/>
  <c r="N300" i="15"/>
  <c r="N236" i="15"/>
  <c r="N204" i="15"/>
  <c r="N140" i="15"/>
  <c r="N108" i="15"/>
  <c r="N187" i="15"/>
  <c r="N155" i="15"/>
  <c r="N296" i="15"/>
  <c r="N104" i="15"/>
  <c r="N298" i="15"/>
  <c r="N266" i="15"/>
  <c r="N250" i="15"/>
  <c r="N218" i="15"/>
  <c r="N122" i="15"/>
  <c r="N106" i="15"/>
  <c r="N309" i="15"/>
  <c r="N293" i="15"/>
  <c r="N261" i="15"/>
  <c r="N245" i="15"/>
  <c r="N229" i="15"/>
  <c r="N197" i="15"/>
  <c r="N165" i="15"/>
  <c r="N133" i="15"/>
  <c r="N101" i="15"/>
  <c r="E296" i="15"/>
  <c r="E253" i="15"/>
  <c r="E260" i="15"/>
  <c r="E228" i="15"/>
  <c r="E164" i="15"/>
  <c r="E100" i="15"/>
  <c r="E295" i="15"/>
  <c r="E135" i="15"/>
  <c r="E103" i="15"/>
  <c r="E166" i="15"/>
  <c r="E118" i="15"/>
  <c r="I111" i="15"/>
  <c r="I95" i="15"/>
  <c r="I298" i="15"/>
  <c r="I266" i="15"/>
  <c r="I218" i="15"/>
  <c r="I122" i="15"/>
  <c r="I106" i="15"/>
  <c r="I309" i="15"/>
  <c r="I293" i="15"/>
  <c r="I261" i="15"/>
  <c r="I245" i="15"/>
  <c r="I229" i="15"/>
  <c r="I165" i="15"/>
  <c r="I133" i="15"/>
  <c r="I101" i="15"/>
  <c r="I308" i="15"/>
  <c r="I260" i="15"/>
  <c r="I228" i="15"/>
  <c r="I164" i="15"/>
  <c r="I148" i="15"/>
  <c r="I100" i="15"/>
  <c r="N175" i="15"/>
  <c r="N260" i="15"/>
  <c r="N228" i="15"/>
  <c r="N196" i="15"/>
  <c r="N164" i="15"/>
  <c r="N100" i="15"/>
  <c r="N275" i="15"/>
  <c r="N243" i="15"/>
  <c r="N288" i="15"/>
  <c r="N224" i="15"/>
  <c r="N128" i="15"/>
  <c r="N166" i="15"/>
  <c r="N118" i="15"/>
  <c r="N289" i="15"/>
  <c r="N129" i="15"/>
  <c r="E217" i="15"/>
  <c r="E297" i="15"/>
  <c r="E288" i="15"/>
  <c r="E128" i="15"/>
  <c r="E308" i="15"/>
  <c r="E245" i="15"/>
  <c r="E275" i="15"/>
  <c r="E243" i="15"/>
  <c r="E290" i="15"/>
  <c r="E242" i="15"/>
  <c r="E162" i="15"/>
  <c r="E130" i="15"/>
  <c r="E114" i="15"/>
  <c r="I142" i="15" l="1"/>
  <c r="R142" i="13"/>
  <c r="AP142" i="13" s="1"/>
  <c r="O142" i="15"/>
  <c r="AQ142" i="13"/>
  <c r="AI142" i="13"/>
  <c r="T55" i="16"/>
  <c r="R55" i="16"/>
  <c r="T48" i="16"/>
  <c r="R48" i="16"/>
  <c r="E326" i="15"/>
  <c r="E250" i="15"/>
  <c r="E405" i="15"/>
  <c r="E348" i="15"/>
  <c r="E366" i="15"/>
  <c r="E428" i="15"/>
  <c r="E212" i="15"/>
  <c r="E429" i="15"/>
  <c r="E356" i="15"/>
  <c r="E358" i="15"/>
  <c r="E423" i="15"/>
  <c r="E323" i="15"/>
  <c r="E362" i="15"/>
  <c r="E357" i="15"/>
  <c r="E421" i="15"/>
  <c r="E416" i="15"/>
  <c r="E355" i="15"/>
  <c r="E224" i="15"/>
  <c r="E318" i="15"/>
  <c r="E382" i="15"/>
  <c r="E375" i="15"/>
  <c r="E324" i="15"/>
  <c r="E338" i="15"/>
  <c r="E418" i="15"/>
  <c r="E319" i="15"/>
  <c r="E400" i="15"/>
  <c r="E196" i="15"/>
  <c r="I384" i="15"/>
  <c r="I429" i="15"/>
  <c r="E332" i="15"/>
  <c r="E372" i="15"/>
  <c r="E353" i="15"/>
  <c r="E344" i="15"/>
  <c r="E340" i="15"/>
  <c r="E394" i="15"/>
  <c r="E373" i="15"/>
  <c r="E420" i="15"/>
  <c r="E248" i="15"/>
  <c r="E334" i="15"/>
  <c r="E361" i="15"/>
  <c r="E328" i="15"/>
  <c r="E371" i="15"/>
  <c r="E354" i="15"/>
  <c r="E333" i="15"/>
  <c r="E351" i="15"/>
  <c r="E94" i="15"/>
  <c r="E417" i="15"/>
  <c r="E325" i="15"/>
  <c r="E384" i="15"/>
  <c r="E197" i="15"/>
  <c r="E425" i="15"/>
  <c r="E386" i="15"/>
  <c r="E368" i="15"/>
  <c r="E369" i="15"/>
  <c r="E347" i="15"/>
  <c r="E244" i="15"/>
  <c r="E426" i="15"/>
  <c r="E389" i="15"/>
  <c r="E339" i="15"/>
  <c r="E132" i="15"/>
  <c r="E350" i="15"/>
  <c r="E393" i="15"/>
  <c r="E364" i="15"/>
  <c r="E142" i="15"/>
  <c r="E370" i="15"/>
  <c r="E381" i="15"/>
  <c r="E336" i="15"/>
  <c r="E419" i="15"/>
  <c r="I340" i="15"/>
  <c r="M262" i="15"/>
  <c r="L262" i="15"/>
  <c r="O305" i="15"/>
  <c r="K305" i="15"/>
  <c r="N305" i="15" s="1"/>
  <c r="J305" i="15"/>
  <c r="G305" i="15"/>
  <c r="C305" i="15"/>
  <c r="B305" i="15"/>
  <c r="D305" i="15" s="1"/>
  <c r="F305" i="15"/>
  <c r="H305" i="15" s="1"/>
  <c r="M221" i="15"/>
  <c r="L221" i="15"/>
  <c r="M278" i="15"/>
  <c r="L278" i="15"/>
  <c r="O220" i="15"/>
  <c r="K220" i="15"/>
  <c r="N220" i="15" s="1"/>
  <c r="J220" i="15"/>
  <c r="G220" i="15"/>
  <c r="F220" i="15"/>
  <c r="H220" i="15" s="1"/>
  <c r="B220" i="15"/>
  <c r="D220" i="15" s="1"/>
  <c r="C220" i="15"/>
  <c r="O307" i="15"/>
  <c r="K307" i="15"/>
  <c r="N307" i="15" s="1"/>
  <c r="J307" i="15"/>
  <c r="G307" i="15"/>
  <c r="F307" i="15"/>
  <c r="H307" i="15" s="1"/>
  <c r="C307" i="15"/>
  <c r="B307" i="15"/>
  <c r="D307" i="15" s="1"/>
  <c r="T59" i="16" l="1"/>
  <c r="R59" i="16"/>
  <c r="T51" i="16"/>
  <c r="R51" i="16"/>
  <c r="E220" i="15"/>
  <c r="I220" i="15"/>
  <c r="E305" i="15"/>
  <c r="E307" i="15"/>
  <c r="I307" i="15"/>
  <c r="I305" i="15"/>
  <c r="T61" i="16" l="1"/>
  <c r="R61" i="16"/>
  <c r="T54" i="16"/>
  <c r="R54" i="16"/>
  <c r="L150" i="15"/>
  <c r="M150" i="15"/>
  <c r="O301" i="15"/>
  <c r="K301" i="15"/>
  <c r="J301" i="15"/>
  <c r="G301" i="15"/>
  <c r="F301" i="15"/>
  <c r="C301" i="15"/>
  <c r="B301" i="15"/>
  <c r="M230" i="15"/>
  <c r="L230" i="15"/>
  <c r="O303" i="15"/>
  <c r="K303" i="15"/>
  <c r="N303" i="15" s="1"/>
  <c r="J303" i="15"/>
  <c r="G303" i="15"/>
  <c r="F303" i="15"/>
  <c r="H303" i="15" s="1"/>
  <c r="C303" i="15"/>
  <c r="B303" i="15"/>
  <c r="D303" i="15" s="1"/>
  <c r="M180" i="15"/>
  <c r="L180" i="15"/>
  <c r="O302" i="15"/>
  <c r="K302" i="15"/>
  <c r="N302" i="15" s="1"/>
  <c r="G302" i="15"/>
  <c r="F302" i="15"/>
  <c r="H302" i="15" s="1"/>
  <c r="J302" i="15"/>
  <c r="B302" i="15"/>
  <c r="D302" i="15" s="1"/>
  <c r="C302" i="15"/>
  <c r="O304" i="15"/>
  <c r="K304" i="15"/>
  <c r="N304" i="15" s="1"/>
  <c r="J304" i="15"/>
  <c r="G304" i="15"/>
  <c r="F304" i="15"/>
  <c r="H304" i="15" s="1"/>
  <c r="B304" i="15"/>
  <c r="D304" i="15" s="1"/>
  <c r="C304" i="15"/>
  <c r="T63" i="16" l="1"/>
  <c r="R63" i="16"/>
  <c r="T58" i="16"/>
  <c r="R58" i="16"/>
  <c r="H301" i="15"/>
  <c r="I301" i="15" s="1"/>
  <c r="N301" i="15"/>
  <c r="D301" i="15"/>
  <c r="E301" i="15" s="1"/>
  <c r="E303" i="15"/>
  <c r="I304" i="15"/>
  <c r="I302" i="15"/>
  <c r="I303" i="15"/>
  <c r="E302" i="15"/>
  <c r="E304" i="15"/>
  <c r="T64" i="16" l="1"/>
  <c r="R64" i="16"/>
  <c r="T60" i="16"/>
  <c r="R60" i="16"/>
  <c r="O299" i="15"/>
  <c r="K299" i="15"/>
  <c r="N299" i="15" s="1"/>
  <c r="J299" i="15"/>
  <c r="G299" i="15"/>
  <c r="F299" i="15"/>
  <c r="H299" i="15" s="1"/>
  <c r="C299" i="15"/>
  <c r="B299" i="15"/>
  <c r="D299" i="15" s="1"/>
  <c r="T66" i="16" l="1"/>
  <c r="R66" i="16"/>
  <c r="U64" i="16" a="1"/>
  <c r="U64" i="16" s="1"/>
  <c r="T62" i="16"/>
  <c r="R62" i="16"/>
  <c r="E299" i="15"/>
  <c r="I299" i="15"/>
  <c r="R68" i="16" l="1"/>
  <c r="T65" i="16"/>
  <c r="R65" i="16"/>
  <c r="M268" i="15"/>
  <c r="L268" i="15"/>
  <c r="T70" i="16" l="1"/>
  <c r="R70" i="16"/>
  <c r="R67" i="16"/>
  <c r="T72" i="16" l="1"/>
  <c r="R72" i="16"/>
  <c r="T69" i="16"/>
  <c r="R69" i="16"/>
  <c r="M91" i="15"/>
  <c r="L91" i="15"/>
  <c r="T76" i="16" l="1"/>
  <c r="R76" i="16"/>
  <c r="T71" i="16"/>
  <c r="R71" i="16"/>
  <c r="O291" i="15"/>
  <c r="J291" i="15"/>
  <c r="K291" i="15"/>
  <c r="N291" i="15" s="1"/>
  <c r="G291" i="15"/>
  <c r="F291" i="15"/>
  <c r="H291" i="15" s="1"/>
  <c r="C291" i="15"/>
  <c r="B291" i="15"/>
  <c r="D291" i="15" s="1"/>
  <c r="O294" i="15"/>
  <c r="K294" i="15"/>
  <c r="N294" i="15" s="1"/>
  <c r="G294" i="15"/>
  <c r="F294" i="15"/>
  <c r="H294" i="15" s="1"/>
  <c r="J294" i="15"/>
  <c r="B294" i="15"/>
  <c r="D294" i="15" s="1"/>
  <c r="C294" i="15"/>
  <c r="O292" i="15"/>
  <c r="K292" i="15"/>
  <c r="J292" i="15"/>
  <c r="G292" i="15"/>
  <c r="F292" i="15"/>
  <c r="B292" i="15"/>
  <c r="C292" i="15"/>
  <c r="R79" i="16" l="1"/>
  <c r="U80" i="16" s="1" a="1"/>
  <c r="U80" i="16" s="1"/>
  <c r="T75" i="16"/>
  <c r="R75" i="16"/>
  <c r="H292" i="15"/>
  <c r="I292" i="15" s="1"/>
  <c r="N292" i="15"/>
  <c r="D292" i="15"/>
  <c r="I294" i="15"/>
  <c r="E291" i="15"/>
  <c r="E294" i="15"/>
  <c r="I291" i="15"/>
  <c r="T80" i="16" l="1"/>
  <c r="R80" i="16"/>
  <c r="R78" i="16"/>
  <c r="E292" i="15"/>
  <c r="J249" i="15"/>
  <c r="K249" i="15"/>
  <c r="N249" i="15" s="1"/>
  <c r="G249" i="15"/>
  <c r="F249" i="15"/>
  <c r="H249" i="15" s="1"/>
  <c r="C249" i="15"/>
  <c r="B249" i="15"/>
  <c r="D249" i="15" s="1"/>
  <c r="O249" i="15"/>
  <c r="T81" i="16" l="1"/>
  <c r="R81" i="16"/>
  <c r="T82" i="16"/>
  <c r="R82" i="16"/>
  <c r="I249" i="15"/>
  <c r="O280" i="15"/>
  <c r="K280" i="15"/>
  <c r="N280" i="15" s="1"/>
  <c r="J280" i="15"/>
  <c r="G280" i="15"/>
  <c r="B280" i="15"/>
  <c r="D280" i="15" s="1"/>
  <c r="F280" i="15"/>
  <c r="H280" i="15" s="1"/>
  <c r="C280" i="15"/>
  <c r="E249" i="15"/>
  <c r="T85" i="16" l="1"/>
  <c r="R85" i="16"/>
  <c r="T83" i="16"/>
  <c r="R83" i="16"/>
  <c r="O281" i="15"/>
  <c r="J281" i="15"/>
  <c r="K281" i="15"/>
  <c r="N281" i="15" s="1"/>
  <c r="G281" i="15"/>
  <c r="F281" i="15"/>
  <c r="H281" i="15" s="1"/>
  <c r="C281" i="15"/>
  <c r="B281" i="15"/>
  <c r="D281" i="15" s="1"/>
  <c r="M160" i="15"/>
  <c r="L160" i="15"/>
  <c r="I280" i="15"/>
  <c r="O284" i="15"/>
  <c r="K284" i="15"/>
  <c r="N284" i="15" s="1"/>
  <c r="J284" i="15"/>
  <c r="G284" i="15"/>
  <c r="F284" i="15"/>
  <c r="H284" i="15" s="1"/>
  <c r="B284" i="15"/>
  <c r="D284" i="15" s="1"/>
  <c r="C284" i="15"/>
  <c r="O283" i="15"/>
  <c r="K283" i="15"/>
  <c r="N283" i="15" s="1"/>
  <c r="J283" i="15"/>
  <c r="G283" i="15"/>
  <c r="F283" i="15"/>
  <c r="H283" i="15" s="1"/>
  <c r="C283" i="15"/>
  <c r="B283" i="15"/>
  <c r="D283" i="15" s="1"/>
  <c r="O285" i="15"/>
  <c r="J285" i="15"/>
  <c r="K285" i="15"/>
  <c r="N285" i="15" s="1"/>
  <c r="G285" i="15"/>
  <c r="C285" i="15"/>
  <c r="B285" i="15"/>
  <c r="D285" i="15" s="1"/>
  <c r="F285" i="15"/>
  <c r="H285" i="15" s="1"/>
  <c r="E280" i="15"/>
  <c r="O282" i="15"/>
  <c r="K282" i="15"/>
  <c r="N282" i="15" s="1"/>
  <c r="G282" i="15"/>
  <c r="F282" i="15"/>
  <c r="H282" i="15" s="1"/>
  <c r="J282" i="15"/>
  <c r="B282" i="15"/>
  <c r="D282" i="15" s="1"/>
  <c r="C282" i="15"/>
  <c r="T91" i="16" l="1"/>
  <c r="R91" i="16"/>
  <c r="T84" i="16"/>
  <c r="R84" i="16"/>
  <c r="I281" i="15"/>
  <c r="I282" i="15"/>
  <c r="E283" i="15"/>
  <c r="E284" i="15"/>
  <c r="I285" i="15"/>
  <c r="I284" i="15"/>
  <c r="E281" i="15"/>
  <c r="E282" i="15"/>
  <c r="E285" i="15"/>
  <c r="I283" i="15"/>
  <c r="R95" i="16" l="1"/>
  <c r="T86" i="16"/>
  <c r="R86" i="16"/>
  <c r="O276" i="15"/>
  <c r="K276" i="15"/>
  <c r="N276" i="15" s="1"/>
  <c r="J276" i="15"/>
  <c r="G276" i="15"/>
  <c r="F276" i="15"/>
  <c r="H276" i="15" s="1"/>
  <c r="B276" i="15"/>
  <c r="D276" i="15" s="1"/>
  <c r="C276" i="15"/>
  <c r="K117" i="15"/>
  <c r="N117" i="15" s="1"/>
  <c r="J117" i="15"/>
  <c r="G117" i="15"/>
  <c r="F117" i="15"/>
  <c r="H117" i="15" s="1"/>
  <c r="C117" i="15"/>
  <c r="B117" i="15"/>
  <c r="D117" i="15" s="1"/>
  <c r="O117" i="15"/>
  <c r="K138" i="15"/>
  <c r="N138" i="15" s="1"/>
  <c r="J138" i="15"/>
  <c r="F138" i="15"/>
  <c r="H138" i="15" s="1"/>
  <c r="G138" i="15"/>
  <c r="B138" i="15"/>
  <c r="D138" i="15" s="1"/>
  <c r="C138" i="15"/>
  <c r="O138" i="15"/>
  <c r="O278" i="15"/>
  <c r="K278" i="15"/>
  <c r="N278" i="15" s="1"/>
  <c r="G278" i="15"/>
  <c r="F278" i="15"/>
  <c r="H278" i="15" s="1"/>
  <c r="J278" i="15"/>
  <c r="B278" i="15"/>
  <c r="D278" i="15" s="1"/>
  <c r="C278" i="15"/>
  <c r="K279" i="15"/>
  <c r="J279" i="15"/>
  <c r="F279" i="15"/>
  <c r="C279" i="15"/>
  <c r="B279" i="15"/>
  <c r="O277" i="15"/>
  <c r="J277" i="15"/>
  <c r="K277" i="15"/>
  <c r="N277" i="15" s="1"/>
  <c r="G277" i="15"/>
  <c r="C277" i="15"/>
  <c r="B277" i="15"/>
  <c r="D277" i="15" s="1"/>
  <c r="F277" i="15"/>
  <c r="H277" i="15" s="1"/>
  <c r="R99" i="16" l="1"/>
  <c r="U102" i="16" s="1" a="1"/>
  <c r="U102" i="16" s="1"/>
  <c r="T90" i="16"/>
  <c r="R90" i="16"/>
  <c r="H279" i="15"/>
  <c r="D279" i="15"/>
  <c r="I117" i="15"/>
  <c r="E278" i="15"/>
  <c r="E138" i="15"/>
  <c r="I277" i="15"/>
  <c r="E276" i="15"/>
  <c r="E277" i="15"/>
  <c r="I278" i="15"/>
  <c r="I138" i="15"/>
  <c r="E117" i="15"/>
  <c r="I276" i="15"/>
  <c r="P144" i="13" l="1"/>
  <c r="T102" i="16"/>
  <c r="R144" i="13" s="1"/>
  <c r="R102" i="16"/>
  <c r="AH144" i="13" s="1" a="1"/>
  <c r="AH144" i="13" s="1"/>
  <c r="Q144" i="13" s="1"/>
  <c r="R94" i="16"/>
  <c r="E279" i="15"/>
  <c r="O274" i="15"/>
  <c r="K274" i="15"/>
  <c r="N274" i="15" s="1"/>
  <c r="G274" i="15"/>
  <c r="F274" i="15"/>
  <c r="H274" i="15" s="1"/>
  <c r="J274" i="15"/>
  <c r="B274" i="15"/>
  <c r="D274" i="15" s="1"/>
  <c r="C274" i="15"/>
  <c r="M88" i="15"/>
  <c r="L88" i="15"/>
  <c r="O273" i="15"/>
  <c r="K273" i="15"/>
  <c r="N273" i="15" s="1"/>
  <c r="J273" i="15"/>
  <c r="G273" i="15"/>
  <c r="C273" i="15"/>
  <c r="B273" i="15"/>
  <c r="D273" i="15" s="1"/>
  <c r="F273" i="15"/>
  <c r="H273" i="15" s="1"/>
  <c r="M267" i="15"/>
  <c r="L267" i="15"/>
  <c r="B46" i="20" l="1" a="1"/>
  <c r="B46" i="20" s="1"/>
  <c r="R98" i="16"/>
  <c r="E273" i="15"/>
  <c r="I273" i="15"/>
  <c r="I274" i="15"/>
  <c r="E274" i="15"/>
  <c r="T103" i="16" l="1"/>
  <c r="R103" i="16"/>
  <c r="K268" i="15"/>
  <c r="N268" i="15" s="1"/>
  <c r="J268" i="15"/>
  <c r="G268" i="15"/>
  <c r="B268" i="15"/>
  <c r="D268" i="15" s="1"/>
  <c r="F268" i="15"/>
  <c r="H268" i="15" s="1"/>
  <c r="C268" i="15"/>
  <c r="K269" i="15"/>
  <c r="J269" i="15"/>
  <c r="G269" i="15"/>
  <c r="F269" i="15"/>
  <c r="C269" i="15"/>
  <c r="B269" i="15"/>
  <c r="K270" i="15"/>
  <c r="J270" i="15"/>
  <c r="G270" i="15"/>
  <c r="F270" i="15"/>
  <c r="B270" i="15"/>
  <c r="C270" i="15"/>
  <c r="J267" i="15"/>
  <c r="K267" i="15"/>
  <c r="G267" i="15"/>
  <c r="F267" i="15"/>
  <c r="C267" i="15"/>
  <c r="B267" i="15"/>
  <c r="T107" i="16" l="1"/>
  <c r="R107" i="16"/>
  <c r="H270" i="15"/>
  <c r="I270" i="15" s="1"/>
  <c r="N269" i="15"/>
  <c r="H267" i="15"/>
  <c r="I267" i="15" s="1"/>
  <c r="H269" i="15"/>
  <c r="I269" i="15" s="1"/>
  <c r="N267" i="15"/>
  <c r="N270" i="15"/>
  <c r="D267" i="15"/>
  <c r="D269" i="15"/>
  <c r="D270" i="15"/>
  <c r="I268" i="15"/>
  <c r="E268" i="15"/>
  <c r="T111" i="16" l="1"/>
  <c r="R111" i="16"/>
  <c r="E270" i="15"/>
  <c r="E269" i="15"/>
  <c r="E267" i="15"/>
  <c r="L119" i="15"/>
  <c r="J265" i="15"/>
  <c r="K265" i="15"/>
  <c r="N265" i="15" s="1"/>
  <c r="G265" i="15"/>
  <c r="C265" i="15"/>
  <c r="F265" i="15"/>
  <c r="H265" i="15" s="1"/>
  <c r="B265" i="15"/>
  <c r="D265" i="15" s="1"/>
  <c r="K264" i="15"/>
  <c r="N264" i="15" s="1"/>
  <c r="J264" i="15"/>
  <c r="G264" i="15"/>
  <c r="F264" i="15"/>
  <c r="H264" i="15" s="1"/>
  <c r="B264" i="15"/>
  <c r="D264" i="15" s="1"/>
  <c r="C264" i="15"/>
  <c r="K263" i="15"/>
  <c r="J263" i="15"/>
  <c r="F263" i="15"/>
  <c r="C263" i="15"/>
  <c r="B263" i="15"/>
  <c r="K262" i="15"/>
  <c r="N262" i="15" s="1"/>
  <c r="G262" i="15"/>
  <c r="F262" i="15"/>
  <c r="H262" i="15" s="1"/>
  <c r="J262" i="15"/>
  <c r="B262" i="15"/>
  <c r="D262" i="15" s="1"/>
  <c r="C262" i="15"/>
  <c r="T114" i="16" l="1"/>
  <c r="R114" i="16"/>
  <c r="H263" i="15"/>
  <c r="D263" i="15"/>
  <c r="E262" i="15"/>
  <c r="E264" i="15"/>
  <c r="I264" i="15"/>
  <c r="E265" i="15"/>
  <c r="I262" i="15"/>
  <c r="I265" i="15"/>
  <c r="T116" i="16" l="1"/>
  <c r="R116" i="16"/>
  <c r="E263" i="15"/>
  <c r="L213" i="15"/>
  <c r="L209" i="15"/>
  <c r="J257" i="15"/>
  <c r="K257" i="15"/>
  <c r="N257" i="15" s="1"/>
  <c r="G257" i="15"/>
  <c r="C257" i="15"/>
  <c r="F257" i="15"/>
  <c r="H257" i="15" s="1"/>
  <c r="B257" i="15"/>
  <c r="D257" i="15" s="1"/>
  <c r="K259" i="15"/>
  <c r="N259" i="15" s="1"/>
  <c r="J259" i="15"/>
  <c r="G259" i="15"/>
  <c r="F259" i="15"/>
  <c r="H259" i="15" s="1"/>
  <c r="C259" i="15"/>
  <c r="B259" i="15"/>
  <c r="D259" i="15" s="1"/>
  <c r="K254" i="15"/>
  <c r="G254" i="15"/>
  <c r="F254" i="15"/>
  <c r="J254" i="15"/>
  <c r="B254" i="15"/>
  <c r="C254" i="15"/>
  <c r="K256" i="15"/>
  <c r="N256" i="15" s="1"/>
  <c r="J256" i="15"/>
  <c r="G256" i="15"/>
  <c r="F256" i="15"/>
  <c r="H256" i="15" s="1"/>
  <c r="B256" i="15"/>
  <c r="D256" i="15" s="1"/>
  <c r="C256" i="15"/>
  <c r="J223" i="15"/>
  <c r="K223" i="15"/>
  <c r="N223" i="15" s="1"/>
  <c r="G223" i="15"/>
  <c r="F223" i="15"/>
  <c r="H223" i="15" s="1"/>
  <c r="C223" i="15"/>
  <c r="B223" i="15"/>
  <c r="D223" i="15" s="1"/>
  <c r="K161" i="15"/>
  <c r="N161" i="15" s="1"/>
  <c r="J161" i="15"/>
  <c r="G161" i="15"/>
  <c r="F161" i="15"/>
  <c r="H161" i="15" s="1"/>
  <c r="C161" i="15"/>
  <c r="B161" i="15"/>
  <c r="D161" i="15" s="1"/>
  <c r="K255" i="15"/>
  <c r="N255" i="15" s="1"/>
  <c r="J255" i="15"/>
  <c r="G255" i="15"/>
  <c r="F255" i="15"/>
  <c r="H255" i="15" s="1"/>
  <c r="C255" i="15"/>
  <c r="B255" i="15"/>
  <c r="D255" i="15" s="1"/>
  <c r="K258" i="15"/>
  <c r="N258" i="15" s="1"/>
  <c r="G258" i="15"/>
  <c r="F258" i="15"/>
  <c r="H258" i="15" s="1"/>
  <c r="J258" i="15"/>
  <c r="B258" i="15"/>
  <c r="D258" i="15" s="1"/>
  <c r="C258" i="15"/>
  <c r="U123" i="16" l="1" a="1"/>
  <c r="U123" i="16" s="1"/>
  <c r="P20" i="13" s="1"/>
  <c r="T123" i="16"/>
  <c r="R20" i="13" s="1"/>
  <c r="AP20" i="13" s="1"/>
  <c r="R123" i="16"/>
  <c r="AH20" i="13" s="1" a="1"/>
  <c r="AH20" i="13" s="1"/>
  <c r="Q20" i="13" s="1"/>
  <c r="H254" i="15"/>
  <c r="I254" i="15" s="1"/>
  <c r="N254" i="15"/>
  <c r="D254" i="15"/>
  <c r="E256" i="15"/>
  <c r="E258" i="15"/>
  <c r="I258" i="15"/>
  <c r="I255" i="15"/>
  <c r="E161" i="15"/>
  <c r="I223" i="15"/>
  <c r="E259" i="15"/>
  <c r="E255" i="15"/>
  <c r="I161" i="15"/>
  <c r="E223" i="15"/>
  <c r="I256" i="15"/>
  <c r="I259" i="15"/>
  <c r="E257" i="15"/>
  <c r="I257" i="15"/>
  <c r="E254" i="15" l="1"/>
  <c r="L211" i="15"/>
  <c r="L181" i="15"/>
  <c r="K251" i="15"/>
  <c r="N251" i="15" s="1"/>
  <c r="J251" i="15"/>
  <c r="G251" i="15"/>
  <c r="F251" i="15"/>
  <c r="H251" i="15" s="1"/>
  <c r="C251" i="15"/>
  <c r="B251" i="15"/>
  <c r="D251" i="15" s="1"/>
  <c r="K252" i="15"/>
  <c r="J252" i="15"/>
  <c r="G252" i="15"/>
  <c r="F252" i="15"/>
  <c r="B252" i="15"/>
  <c r="C252" i="15"/>
  <c r="N252" i="15" l="1"/>
  <c r="H252" i="15"/>
  <c r="I252" i="15" s="1"/>
  <c r="D252" i="15"/>
  <c r="I251" i="15"/>
  <c r="K247" i="15"/>
  <c r="J247" i="15"/>
  <c r="G247" i="15"/>
  <c r="F247" i="15"/>
  <c r="C247" i="15"/>
  <c r="B247" i="15"/>
  <c r="E251" i="15"/>
  <c r="N247" i="15" l="1"/>
  <c r="H247" i="15"/>
  <c r="E252" i="15"/>
  <c r="D247" i="15"/>
  <c r="L200" i="15"/>
  <c r="K241" i="15"/>
  <c r="N241" i="15" s="1"/>
  <c r="J241" i="15"/>
  <c r="G241" i="15"/>
  <c r="C241" i="15"/>
  <c r="B241" i="15"/>
  <c r="D241" i="15" s="1"/>
  <c r="F241" i="15"/>
  <c r="H241" i="15" s="1"/>
  <c r="K246" i="15"/>
  <c r="N246" i="15" s="1"/>
  <c r="G246" i="15"/>
  <c r="F246" i="15"/>
  <c r="H246" i="15" s="1"/>
  <c r="J246" i="15"/>
  <c r="B246" i="15"/>
  <c r="D246" i="15" s="1"/>
  <c r="C246" i="15"/>
  <c r="I247" i="15"/>
  <c r="E247" i="15" l="1"/>
  <c r="E246" i="15"/>
  <c r="I241" i="15"/>
  <c r="I246" i="15"/>
  <c r="E241" i="15"/>
  <c r="K240" i="15" l="1"/>
  <c r="J240" i="15"/>
  <c r="G240" i="15"/>
  <c r="F240" i="15"/>
  <c r="B240" i="15"/>
  <c r="C240" i="15"/>
  <c r="H240" i="15" l="1"/>
  <c r="I240" i="15" s="1"/>
  <c r="N240" i="15"/>
  <c r="D240" i="15"/>
  <c r="E240" i="15" l="1"/>
  <c r="J239" i="15"/>
  <c r="K239" i="15"/>
  <c r="N239" i="15" s="1"/>
  <c r="G239" i="15"/>
  <c r="F239" i="15"/>
  <c r="H239" i="15" s="1"/>
  <c r="C239" i="15"/>
  <c r="B239" i="15"/>
  <c r="D239" i="15" s="1"/>
  <c r="K213" i="15" l="1"/>
  <c r="J213" i="15"/>
  <c r="C213" i="15"/>
  <c r="B213" i="15"/>
  <c r="D213" i="15" s="1"/>
  <c r="F213" i="15"/>
  <c r="H213" i="15" s="1"/>
  <c r="I239" i="15"/>
  <c r="E239" i="15"/>
  <c r="K238" i="15"/>
  <c r="N238" i="15" s="1"/>
  <c r="G238" i="15"/>
  <c r="F238" i="15"/>
  <c r="H238" i="15" s="1"/>
  <c r="J238" i="15"/>
  <c r="B238" i="15"/>
  <c r="D238" i="15" s="1"/>
  <c r="C238" i="15"/>
  <c r="L84" i="15" l="1"/>
  <c r="E238" i="15"/>
  <c r="E213" i="15"/>
  <c r="K233" i="15"/>
  <c r="N233" i="15" s="1"/>
  <c r="J233" i="15"/>
  <c r="G233" i="15"/>
  <c r="C233" i="15"/>
  <c r="B233" i="15"/>
  <c r="D233" i="15" s="1"/>
  <c r="F233" i="15"/>
  <c r="H233" i="15" s="1"/>
  <c r="K232" i="15"/>
  <c r="N232" i="15" s="1"/>
  <c r="J232" i="15"/>
  <c r="G232" i="15"/>
  <c r="F232" i="15"/>
  <c r="H232" i="15" s="1"/>
  <c r="B232" i="15"/>
  <c r="D232" i="15" s="1"/>
  <c r="C232" i="15"/>
  <c r="K234" i="15"/>
  <c r="N234" i="15" s="1"/>
  <c r="G234" i="15"/>
  <c r="F234" i="15"/>
  <c r="H234" i="15" s="1"/>
  <c r="J234" i="15"/>
  <c r="B234" i="15"/>
  <c r="D234" i="15" s="1"/>
  <c r="C234" i="15"/>
  <c r="K235" i="15"/>
  <c r="N235" i="15" s="1"/>
  <c r="J235" i="15"/>
  <c r="G235" i="15"/>
  <c r="F235" i="15"/>
  <c r="H235" i="15" s="1"/>
  <c r="C235" i="15"/>
  <c r="B235" i="15"/>
  <c r="D235" i="15" s="1"/>
  <c r="K237" i="15"/>
  <c r="N237" i="15" s="1"/>
  <c r="J237" i="15"/>
  <c r="G237" i="15"/>
  <c r="C237" i="15"/>
  <c r="F237" i="15"/>
  <c r="H237" i="15" s="1"/>
  <c r="B237" i="15"/>
  <c r="D237" i="15" s="1"/>
  <c r="I238" i="15"/>
  <c r="E235" i="15" l="1"/>
  <c r="I237" i="15"/>
  <c r="E234" i="15"/>
  <c r="E233" i="15"/>
  <c r="E237" i="15"/>
  <c r="I235" i="15"/>
  <c r="I232" i="15"/>
  <c r="I233" i="15"/>
  <c r="I234" i="15"/>
  <c r="E232" i="15"/>
  <c r="K198" i="15" l="1"/>
  <c r="J198" i="15"/>
  <c r="F198" i="15"/>
  <c r="G198" i="15"/>
  <c r="B198" i="15"/>
  <c r="C198" i="15"/>
  <c r="H198" i="15" l="1"/>
  <c r="I198" i="15" s="1"/>
  <c r="N198" i="15"/>
  <c r="D198" i="15"/>
  <c r="E198" i="15" s="1"/>
  <c r="K230" i="15"/>
  <c r="N230" i="15" s="1"/>
  <c r="G230" i="15"/>
  <c r="F230" i="15"/>
  <c r="H230" i="15" s="1"/>
  <c r="J230" i="15"/>
  <c r="B230" i="15"/>
  <c r="D230" i="15" s="1"/>
  <c r="C230" i="15"/>
  <c r="K231" i="15"/>
  <c r="J231" i="15"/>
  <c r="F231" i="15"/>
  <c r="C231" i="15"/>
  <c r="B231" i="15"/>
  <c r="H231" i="15" l="1"/>
  <c r="D231" i="15"/>
  <c r="I230" i="15"/>
  <c r="E230" i="15"/>
  <c r="E231" i="15" l="1"/>
  <c r="K167" i="15"/>
  <c r="N167" i="15" s="1"/>
  <c r="J167" i="15"/>
  <c r="F167" i="15"/>
  <c r="H167" i="15" s="1"/>
  <c r="G167" i="15"/>
  <c r="C167" i="15"/>
  <c r="B167" i="15"/>
  <c r="D167" i="15" s="1"/>
  <c r="I167" i="15" l="1"/>
  <c r="E167" i="15"/>
  <c r="L183" i="15" l="1"/>
  <c r="L28" i="15" l="1"/>
  <c r="L59" i="15" l="1"/>
  <c r="K227" i="15" l="1"/>
  <c r="N227" i="15" s="1"/>
  <c r="J227" i="15"/>
  <c r="G227" i="15"/>
  <c r="F227" i="15"/>
  <c r="H227" i="15" s="1"/>
  <c r="C227" i="15"/>
  <c r="B227" i="15"/>
  <c r="D227" i="15" s="1"/>
  <c r="L67" i="15" l="1"/>
  <c r="I227" i="15"/>
  <c r="E227" i="15"/>
  <c r="K225" i="15" l="1"/>
  <c r="J225" i="15"/>
  <c r="F225" i="15"/>
  <c r="C225" i="15"/>
  <c r="B225" i="15"/>
  <c r="K226" i="15"/>
  <c r="G226" i="15"/>
  <c r="F226" i="15"/>
  <c r="J226" i="15"/>
  <c r="B226" i="15"/>
  <c r="C226" i="15"/>
  <c r="H225" i="15" l="1"/>
  <c r="N226" i="15"/>
  <c r="H226" i="15"/>
  <c r="D226" i="15"/>
  <c r="D225" i="15"/>
  <c r="L102" i="15"/>
  <c r="L146" i="15"/>
  <c r="L147" i="15"/>
  <c r="I226" i="15" l="1"/>
  <c r="E225" i="15"/>
  <c r="E226" i="15"/>
  <c r="L90" i="15"/>
  <c r="L178" i="15" l="1"/>
  <c r="E3" i="13" l="1"/>
  <c r="S3" i="13" s="1"/>
  <c r="L61" i="15"/>
  <c r="L53" i="15"/>
  <c r="L72" i="15"/>
  <c r="L16" i="15"/>
  <c r="L92" i="15"/>
  <c r="L14" i="15"/>
  <c r="O214" i="15"/>
  <c r="L109" i="15"/>
  <c r="L215" i="15"/>
  <c r="L7" i="15"/>
  <c r="L219" i="15"/>
  <c r="L57" i="15"/>
  <c r="L47" i="15"/>
  <c r="O184" i="15"/>
  <c r="L124" i="15"/>
  <c r="L179" i="15"/>
  <c r="L134" i="15"/>
  <c r="L153" i="15"/>
  <c r="L159" i="15"/>
  <c r="L96" i="15"/>
  <c r="L97" i="15"/>
  <c r="L13" i="15"/>
  <c r="L79" i="15"/>
  <c r="O185" i="15"/>
  <c r="L22" i="15"/>
  <c r="L149" i="15"/>
  <c r="O222" i="15"/>
  <c r="L136" i="15"/>
  <c r="L87" i="15"/>
  <c r="L29" i="15"/>
  <c r="L169" i="15"/>
  <c r="L10" i="15"/>
  <c r="L177" i="15"/>
  <c r="L154" i="15"/>
  <c r="L83" i="15"/>
  <c r="L174" i="15"/>
  <c r="L193" i="15"/>
  <c r="L144" i="15"/>
  <c r="L163" i="15"/>
  <c r="L39" i="15"/>
  <c r="L45" i="15"/>
  <c r="L186" i="15"/>
  <c r="L82" i="15"/>
  <c r="L189" i="15"/>
  <c r="L206" i="15"/>
  <c r="L170" i="15"/>
  <c r="L60" i="15"/>
  <c r="O85" i="15"/>
  <c r="O86" i="15"/>
  <c r="O151" i="15"/>
  <c r="O113" i="15"/>
  <c r="O152" i="15"/>
  <c r="O156" i="15"/>
  <c r="O158" i="15"/>
  <c r="L89" i="15"/>
  <c r="O190" i="15"/>
  <c r="O191" i="15"/>
  <c r="O192" i="15"/>
  <c r="O199" i="15"/>
  <c r="O201" i="15"/>
  <c r="O202" i="15"/>
  <c r="L63" i="15"/>
  <c r="O75" i="15"/>
  <c r="O9" i="15"/>
  <c r="O77" i="15"/>
  <c r="O81" i="15"/>
  <c r="O48" i="15"/>
  <c r="L74" i="15"/>
  <c r="O98" i="15"/>
  <c r="O171" i="15"/>
  <c r="O173" i="15"/>
  <c r="O88" i="15"/>
  <c r="O44" i="15"/>
  <c r="K53" i="15"/>
  <c r="J53" i="15"/>
  <c r="F53" i="15"/>
  <c r="C53" i="15"/>
  <c r="B53" i="15"/>
  <c r="O54" i="15"/>
  <c r="K54" i="15"/>
  <c r="N54" i="15" s="1"/>
  <c r="J54" i="15"/>
  <c r="G54" i="15"/>
  <c r="F54" i="15"/>
  <c r="H54" i="15" s="1"/>
  <c r="B54" i="15"/>
  <c r="D54" i="15" s="1"/>
  <c r="C54" i="15"/>
  <c r="K87" i="15"/>
  <c r="J87" i="15"/>
  <c r="F87" i="15"/>
  <c r="B87" i="15"/>
  <c r="C87" i="15"/>
  <c r="K136" i="15"/>
  <c r="J136" i="15"/>
  <c r="F136" i="15"/>
  <c r="B136" i="15"/>
  <c r="C136" i="15"/>
  <c r="K79" i="15"/>
  <c r="J79" i="15"/>
  <c r="F79" i="15"/>
  <c r="H79" i="15" s="1"/>
  <c r="C79" i="15"/>
  <c r="B79" i="15"/>
  <c r="D79" i="15" s="1"/>
  <c r="K206" i="15"/>
  <c r="J206" i="15"/>
  <c r="F206" i="15"/>
  <c r="B206" i="15"/>
  <c r="C206" i="15"/>
  <c r="K76" i="15"/>
  <c r="J76" i="15"/>
  <c r="G76" i="15"/>
  <c r="F76" i="15"/>
  <c r="B76" i="15"/>
  <c r="C76" i="15"/>
  <c r="K57" i="15"/>
  <c r="J57" i="15"/>
  <c r="F57" i="15"/>
  <c r="H57" i="15" s="1"/>
  <c r="C57" i="15"/>
  <c r="B57" i="15"/>
  <c r="D57" i="15" s="1"/>
  <c r="K58" i="15"/>
  <c r="J58" i="15"/>
  <c r="F58" i="15"/>
  <c r="H58" i="15" s="1"/>
  <c r="B58" i="15"/>
  <c r="D58" i="15" s="1"/>
  <c r="C58" i="15"/>
  <c r="K56" i="15"/>
  <c r="J56" i="15"/>
  <c r="G56" i="15"/>
  <c r="F56" i="15"/>
  <c r="B56" i="15"/>
  <c r="C56" i="15"/>
  <c r="K62" i="15"/>
  <c r="J62" i="15"/>
  <c r="F62" i="15"/>
  <c r="G62" i="15"/>
  <c r="B62" i="15"/>
  <c r="C62" i="15"/>
  <c r="K80" i="15"/>
  <c r="N80" i="15" s="1"/>
  <c r="J80" i="15"/>
  <c r="F80" i="15"/>
  <c r="H80" i="15" s="1"/>
  <c r="G80" i="15"/>
  <c r="B80" i="15"/>
  <c r="D80" i="15" s="1"/>
  <c r="C80" i="15"/>
  <c r="K55" i="15"/>
  <c r="N55" i="15" s="1"/>
  <c r="J55" i="15"/>
  <c r="G55" i="15"/>
  <c r="F55" i="15"/>
  <c r="H55" i="15" s="1"/>
  <c r="C55" i="15"/>
  <c r="B55" i="15"/>
  <c r="D55" i="15" s="1"/>
  <c r="M40" i="15"/>
  <c r="L40" i="15"/>
  <c r="K84" i="15"/>
  <c r="J84" i="15"/>
  <c r="F84" i="15"/>
  <c r="H84" i="15" s="1"/>
  <c r="B84" i="15"/>
  <c r="D84" i="15" s="1"/>
  <c r="C84" i="15"/>
  <c r="K85" i="15"/>
  <c r="N85" i="15" s="1"/>
  <c r="J85" i="15"/>
  <c r="G85" i="15"/>
  <c r="F85" i="15"/>
  <c r="H85" i="15" s="1"/>
  <c r="C85" i="15"/>
  <c r="B85" i="15"/>
  <c r="D85" i="15" s="1"/>
  <c r="K86" i="15"/>
  <c r="N86" i="15" s="1"/>
  <c r="J86" i="15"/>
  <c r="F86" i="15"/>
  <c r="H86" i="15" s="1"/>
  <c r="G86" i="15"/>
  <c r="B86" i="15"/>
  <c r="D86" i="15" s="1"/>
  <c r="C86" i="15"/>
  <c r="O115" i="15"/>
  <c r="O120" i="15"/>
  <c r="O125" i="15"/>
  <c r="K145" i="15"/>
  <c r="J145" i="15"/>
  <c r="G145" i="15"/>
  <c r="F145" i="15"/>
  <c r="C145" i="15"/>
  <c r="B145" i="15"/>
  <c r="K147" i="15"/>
  <c r="J147" i="15"/>
  <c r="F147" i="15"/>
  <c r="H147" i="15" s="1"/>
  <c r="C147" i="15"/>
  <c r="B147" i="15"/>
  <c r="D147" i="15" s="1"/>
  <c r="K146" i="15"/>
  <c r="J146" i="15"/>
  <c r="F146" i="15"/>
  <c r="H146" i="15" s="1"/>
  <c r="B146" i="15"/>
  <c r="D146" i="15" s="1"/>
  <c r="C146" i="15"/>
  <c r="K149" i="15"/>
  <c r="J149" i="15"/>
  <c r="F149" i="15"/>
  <c r="H149" i="15" s="1"/>
  <c r="C149" i="15"/>
  <c r="B149" i="15"/>
  <c r="D149" i="15" s="1"/>
  <c r="K174" i="15"/>
  <c r="J174" i="15"/>
  <c r="F174" i="15"/>
  <c r="H174" i="15" s="1"/>
  <c r="B174" i="15"/>
  <c r="D174" i="15" s="1"/>
  <c r="C174" i="15"/>
  <c r="K92" i="15"/>
  <c r="J92" i="15"/>
  <c r="F92" i="15"/>
  <c r="H92" i="15" s="1"/>
  <c r="B92" i="15"/>
  <c r="D92" i="15" s="1"/>
  <c r="C92" i="15"/>
  <c r="K150" i="15"/>
  <c r="N150" i="15" s="1"/>
  <c r="J150" i="15"/>
  <c r="F150" i="15"/>
  <c r="H150" i="15" s="1"/>
  <c r="G150" i="15"/>
  <c r="B150" i="15"/>
  <c r="D150" i="15" s="1"/>
  <c r="C150" i="15"/>
  <c r="K151" i="15"/>
  <c r="N151" i="15" s="1"/>
  <c r="J151" i="15"/>
  <c r="F151" i="15"/>
  <c r="H151" i="15" s="1"/>
  <c r="G151" i="15"/>
  <c r="B151" i="15"/>
  <c r="D151" i="15" s="1"/>
  <c r="C151" i="15"/>
  <c r="K96" i="15"/>
  <c r="J96" i="15"/>
  <c r="F96" i="15"/>
  <c r="B96" i="15"/>
  <c r="C96" i="15"/>
  <c r="K144" i="15"/>
  <c r="J144" i="15"/>
  <c r="F144" i="15"/>
  <c r="B144" i="15"/>
  <c r="C144" i="15"/>
  <c r="K113" i="15"/>
  <c r="J113" i="15"/>
  <c r="G113" i="15"/>
  <c r="F113" i="15"/>
  <c r="C113" i="15"/>
  <c r="B113" i="15"/>
  <c r="K152" i="15"/>
  <c r="N152" i="15" s="1"/>
  <c r="J152" i="15"/>
  <c r="G152" i="15"/>
  <c r="F152" i="15"/>
  <c r="H152" i="15" s="1"/>
  <c r="B152" i="15"/>
  <c r="D152" i="15" s="1"/>
  <c r="C152" i="15"/>
  <c r="K153" i="15"/>
  <c r="J153" i="15"/>
  <c r="F153" i="15"/>
  <c r="H153" i="15" s="1"/>
  <c r="C153" i="15"/>
  <c r="B153" i="15"/>
  <c r="D153" i="15" s="1"/>
  <c r="K154" i="15"/>
  <c r="J154" i="15"/>
  <c r="F154" i="15"/>
  <c r="H154" i="15" s="1"/>
  <c r="B154" i="15"/>
  <c r="D154" i="15" s="1"/>
  <c r="C154" i="15"/>
  <c r="K109" i="15"/>
  <c r="J109" i="15"/>
  <c r="F109" i="15"/>
  <c r="H109" i="15" s="1"/>
  <c r="C109" i="15"/>
  <c r="B109" i="15"/>
  <c r="D109" i="15" s="1"/>
  <c r="K156" i="15"/>
  <c r="N156" i="15" s="1"/>
  <c r="J156" i="15"/>
  <c r="G156" i="15"/>
  <c r="F156" i="15"/>
  <c r="H156" i="15" s="1"/>
  <c r="B156" i="15"/>
  <c r="D156" i="15" s="1"/>
  <c r="C156" i="15"/>
  <c r="K158" i="15"/>
  <c r="J158" i="15"/>
  <c r="G158" i="15"/>
  <c r="F158" i="15"/>
  <c r="B158" i="15"/>
  <c r="C158" i="15"/>
  <c r="K157" i="15"/>
  <c r="J157" i="15"/>
  <c r="G157" i="15"/>
  <c r="F157" i="15"/>
  <c r="C157" i="15"/>
  <c r="B157" i="15"/>
  <c r="K134" i="15"/>
  <c r="J134" i="15"/>
  <c r="F134" i="15"/>
  <c r="H134" i="15" s="1"/>
  <c r="B134" i="15"/>
  <c r="D134" i="15" s="1"/>
  <c r="C134" i="15"/>
  <c r="K93" i="15"/>
  <c r="J93" i="15"/>
  <c r="G93" i="15"/>
  <c r="F93" i="15"/>
  <c r="C93" i="15"/>
  <c r="B93" i="15"/>
  <c r="O15" i="15"/>
  <c r="J91" i="15"/>
  <c r="K91" i="15"/>
  <c r="G91" i="15"/>
  <c r="F91" i="15"/>
  <c r="C91" i="15"/>
  <c r="B91" i="15"/>
  <c r="K190" i="15"/>
  <c r="N190" i="15" s="1"/>
  <c r="J190" i="15"/>
  <c r="G190" i="15"/>
  <c r="F190" i="15"/>
  <c r="H190" i="15" s="1"/>
  <c r="B190" i="15"/>
  <c r="D190" i="15" s="1"/>
  <c r="C190" i="15"/>
  <c r="J191" i="15"/>
  <c r="K191" i="15"/>
  <c r="G191" i="15"/>
  <c r="F191" i="15"/>
  <c r="C191" i="15"/>
  <c r="B191" i="15"/>
  <c r="K192" i="15"/>
  <c r="N192" i="15" s="1"/>
  <c r="J192" i="15"/>
  <c r="G192" i="15"/>
  <c r="F192" i="15"/>
  <c r="H192" i="15" s="1"/>
  <c r="B192" i="15"/>
  <c r="D192" i="15" s="1"/>
  <c r="C192" i="15"/>
  <c r="K194" i="15"/>
  <c r="J194" i="15"/>
  <c r="F194" i="15"/>
  <c r="B194" i="15"/>
  <c r="C194" i="15"/>
  <c r="J199" i="15"/>
  <c r="K199" i="15"/>
  <c r="N199" i="15" s="1"/>
  <c r="G199" i="15"/>
  <c r="F199" i="15"/>
  <c r="H199" i="15" s="1"/>
  <c r="C199" i="15"/>
  <c r="B199" i="15"/>
  <c r="D199" i="15" s="1"/>
  <c r="K200" i="15"/>
  <c r="J200" i="15"/>
  <c r="F200" i="15"/>
  <c r="H200" i="15" s="1"/>
  <c r="B200" i="15"/>
  <c r="D200" i="15" s="1"/>
  <c r="C200" i="15"/>
  <c r="K201" i="15"/>
  <c r="N201" i="15" s="1"/>
  <c r="J201" i="15"/>
  <c r="G201" i="15"/>
  <c r="F201" i="15"/>
  <c r="H201" i="15" s="1"/>
  <c r="C201" i="15"/>
  <c r="B201" i="15"/>
  <c r="D201" i="15" s="1"/>
  <c r="K202" i="15"/>
  <c r="N202" i="15" s="1"/>
  <c r="J202" i="15"/>
  <c r="F202" i="15"/>
  <c r="H202" i="15" s="1"/>
  <c r="G202" i="15"/>
  <c r="B202" i="15"/>
  <c r="D202" i="15" s="1"/>
  <c r="C202" i="15"/>
  <c r="K203" i="15"/>
  <c r="J203" i="15"/>
  <c r="F203" i="15"/>
  <c r="G203" i="15"/>
  <c r="C203" i="15"/>
  <c r="B203" i="15"/>
  <c r="O25" i="15"/>
  <c r="O76" i="15"/>
  <c r="J115" i="15"/>
  <c r="K115" i="15"/>
  <c r="N115" i="15" s="1"/>
  <c r="F115" i="15"/>
  <c r="H115" i="15" s="1"/>
  <c r="G115" i="15"/>
  <c r="B115" i="15"/>
  <c r="D115" i="15" s="1"/>
  <c r="C115" i="15"/>
  <c r="K119" i="15"/>
  <c r="J119" i="15"/>
  <c r="F119" i="15"/>
  <c r="H119" i="15" s="1"/>
  <c r="C119" i="15"/>
  <c r="B119" i="15"/>
  <c r="D119" i="15" s="1"/>
  <c r="K126" i="15"/>
  <c r="N126" i="15" s="1"/>
  <c r="J126" i="15"/>
  <c r="G126" i="15"/>
  <c r="F126" i="15"/>
  <c r="H126" i="15" s="1"/>
  <c r="B126" i="15"/>
  <c r="D126" i="15" s="1"/>
  <c r="C126" i="15"/>
  <c r="K127" i="15"/>
  <c r="J127" i="15"/>
  <c r="G127" i="15"/>
  <c r="F127" i="15"/>
  <c r="C127" i="15"/>
  <c r="B127" i="15"/>
  <c r="K120" i="15"/>
  <c r="J120" i="15"/>
  <c r="F120" i="15"/>
  <c r="G120" i="15"/>
  <c r="B120" i="15"/>
  <c r="C120" i="15"/>
  <c r="J123" i="15"/>
  <c r="K123" i="15"/>
  <c r="F123" i="15"/>
  <c r="G123" i="15"/>
  <c r="B123" i="15"/>
  <c r="C123" i="15"/>
  <c r="K124" i="15"/>
  <c r="J124" i="15"/>
  <c r="F124" i="15"/>
  <c r="H124" i="15" s="1"/>
  <c r="B124" i="15"/>
  <c r="D124" i="15" s="1"/>
  <c r="C124" i="15"/>
  <c r="K125" i="15"/>
  <c r="J125" i="15"/>
  <c r="G125" i="15"/>
  <c r="F125" i="15"/>
  <c r="C125" i="15"/>
  <c r="B125" i="15"/>
  <c r="K131" i="15"/>
  <c r="N131" i="15" s="1"/>
  <c r="J131" i="15"/>
  <c r="G131" i="15"/>
  <c r="F131" i="15"/>
  <c r="H131" i="15" s="1"/>
  <c r="B131" i="15"/>
  <c r="D131" i="15" s="1"/>
  <c r="C131" i="15"/>
  <c r="O2" i="15"/>
  <c r="O80" i="15"/>
  <c r="O20" i="15"/>
  <c r="O99" i="15"/>
  <c r="O180" i="15"/>
  <c r="O182" i="15"/>
  <c r="O4" i="15"/>
  <c r="K183" i="15"/>
  <c r="J183" i="15"/>
  <c r="F183" i="15"/>
  <c r="C183" i="15"/>
  <c r="B183" i="15"/>
  <c r="K186" i="15"/>
  <c r="J186" i="15"/>
  <c r="F186" i="15"/>
  <c r="H186" i="15" s="1"/>
  <c r="B186" i="15"/>
  <c r="D186" i="15" s="1"/>
  <c r="C186" i="15"/>
  <c r="K188" i="15"/>
  <c r="N188" i="15" s="1"/>
  <c r="J188" i="15"/>
  <c r="F188" i="15"/>
  <c r="H188" i="15" s="1"/>
  <c r="G188" i="15"/>
  <c r="B188" i="15"/>
  <c r="D188" i="15" s="1"/>
  <c r="C188" i="15"/>
  <c r="K184" i="15"/>
  <c r="N184" i="15" s="1"/>
  <c r="J184" i="15"/>
  <c r="G184" i="15"/>
  <c r="F184" i="15"/>
  <c r="H184" i="15" s="1"/>
  <c r="B184" i="15"/>
  <c r="D184" i="15" s="1"/>
  <c r="C184" i="15"/>
  <c r="K185" i="15"/>
  <c r="N185" i="15" s="1"/>
  <c r="J185" i="15"/>
  <c r="G185" i="15"/>
  <c r="F185" i="15"/>
  <c r="H185" i="15" s="1"/>
  <c r="C185" i="15"/>
  <c r="B185" i="15"/>
  <c r="D185" i="15" s="1"/>
  <c r="K163" i="15"/>
  <c r="J163" i="15"/>
  <c r="F163" i="15"/>
  <c r="H163" i="15" s="1"/>
  <c r="C163" i="15"/>
  <c r="B163" i="15"/>
  <c r="D163" i="15" s="1"/>
  <c r="K193" i="15"/>
  <c r="J193" i="15"/>
  <c r="F193" i="15"/>
  <c r="H193" i="15" s="1"/>
  <c r="C193" i="15"/>
  <c r="B193" i="15"/>
  <c r="D193" i="15" s="1"/>
  <c r="O221" i="15"/>
  <c r="K2" i="15"/>
  <c r="J2" i="15"/>
  <c r="G2" i="15"/>
  <c r="F2" i="15"/>
  <c r="C2" i="15"/>
  <c r="B2" i="15"/>
  <c r="K3" i="15"/>
  <c r="J3" i="15"/>
  <c r="F3" i="15"/>
  <c r="H3" i="15" s="1"/>
  <c r="B3" i="15"/>
  <c r="D3" i="15" s="1"/>
  <c r="K4" i="15"/>
  <c r="N4" i="15" s="1"/>
  <c r="G4" i="15"/>
  <c r="J4" i="15"/>
  <c r="F4" i="15"/>
  <c r="H4" i="15" s="1"/>
  <c r="C4" i="15"/>
  <c r="B4" i="15"/>
  <c r="D4" i="15" s="1"/>
  <c r="K5" i="15"/>
  <c r="N5" i="15" s="1"/>
  <c r="J5" i="15"/>
  <c r="G5" i="15"/>
  <c r="F5" i="15"/>
  <c r="H5" i="15" s="1"/>
  <c r="C5" i="15"/>
  <c r="B5" i="15"/>
  <c r="D5" i="15" s="1"/>
  <c r="K6" i="15"/>
  <c r="N6" i="15" s="1"/>
  <c r="G6" i="15"/>
  <c r="J6" i="15"/>
  <c r="F6" i="15"/>
  <c r="H6" i="15" s="1"/>
  <c r="B6" i="15"/>
  <c r="D6" i="15" s="1"/>
  <c r="C6" i="15"/>
  <c r="K7" i="15"/>
  <c r="J7" i="15"/>
  <c r="C7" i="15"/>
  <c r="F7" i="15"/>
  <c r="B7" i="15"/>
  <c r="O8" i="15"/>
  <c r="K8" i="15"/>
  <c r="N8" i="15" s="1"/>
  <c r="J8" i="15"/>
  <c r="G8" i="15"/>
  <c r="F8" i="15"/>
  <c r="H8" i="15" s="1"/>
  <c r="B8" i="15"/>
  <c r="D8" i="15" s="1"/>
  <c r="C8" i="15"/>
  <c r="K9" i="15"/>
  <c r="N9" i="15" s="1"/>
  <c r="J9" i="15"/>
  <c r="G9" i="15"/>
  <c r="F9" i="15"/>
  <c r="H9" i="15" s="1"/>
  <c r="C9" i="15"/>
  <c r="B9" i="15"/>
  <c r="D9" i="15" s="1"/>
  <c r="K10" i="15"/>
  <c r="J10" i="15"/>
  <c r="F10" i="15"/>
  <c r="B10" i="15"/>
  <c r="C10" i="15"/>
  <c r="O11" i="15"/>
  <c r="K11" i="15"/>
  <c r="N11" i="15" s="1"/>
  <c r="J11" i="15"/>
  <c r="C11" i="15"/>
  <c r="F11" i="15"/>
  <c r="H11" i="15" s="1"/>
  <c r="G11" i="15"/>
  <c r="B11" i="15"/>
  <c r="D11" i="15" s="1"/>
  <c r="K12" i="15"/>
  <c r="N12" i="15" s="1"/>
  <c r="G12" i="15"/>
  <c r="J12" i="15"/>
  <c r="F12" i="15"/>
  <c r="H12" i="15" s="1"/>
  <c r="B12" i="15"/>
  <c r="D12" i="15" s="1"/>
  <c r="C12" i="15"/>
  <c r="O12" i="15"/>
  <c r="K13" i="15"/>
  <c r="J13" i="15"/>
  <c r="F13" i="15"/>
  <c r="H13" i="15" s="1"/>
  <c r="B13" i="15"/>
  <c r="D13" i="15" s="1"/>
  <c r="C13" i="15"/>
  <c r="K14" i="15"/>
  <c r="J14" i="15"/>
  <c r="F14" i="15"/>
  <c r="C14" i="15"/>
  <c r="B14" i="15"/>
  <c r="K15" i="15"/>
  <c r="J15" i="15"/>
  <c r="G15" i="15"/>
  <c r="C15" i="15"/>
  <c r="F15" i="15"/>
  <c r="B15" i="15"/>
  <c r="K16" i="15"/>
  <c r="J16" i="15"/>
  <c r="F16" i="15"/>
  <c r="H16" i="15" s="1"/>
  <c r="C16" i="15"/>
  <c r="B16" i="15"/>
  <c r="D16" i="15" s="1"/>
  <c r="O17" i="15"/>
  <c r="K17" i="15"/>
  <c r="N17" i="15" s="1"/>
  <c r="J17" i="15"/>
  <c r="G17" i="15"/>
  <c r="F17" i="15"/>
  <c r="H17" i="15" s="1"/>
  <c r="B17" i="15"/>
  <c r="D17" i="15" s="1"/>
  <c r="C17" i="15"/>
  <c r="O18" i="15"/>
  <c r="K18" i="15"/>
  <c r="J18" i="15"/>
  <c r="F18" i="15"/>
  <c r="G18" i="15"/>
  <c r="B18" i="15"/>
  <c r="C18" i="15"/>
  <c r="K19" i="15"/>
  <c r="G19" i="15"/>
  <c r="J19" i="15"/>
  <c r="C19" i="15"/>
  <c r="F19" i="15"/>
  <c r="B19" i="15"/>
  <c r="K20" i="15"/>
  <c r="J20" i="15"/>
  <c r="G20" i="15"/>
  <c r="F20" i="15"/>
  <c r="C20" i="15"/>
  <c r="B20" i="15"/>
  <c r="O21" i="15"/>
  <c r="K21" i="15"/>
  <c r="N21" i="15" s="1"/>
  <c r="J21" i="15"/>
  <c r="G21" i="15"/>
  <c r="F21" i="15"/>
  <c r="H21" i="15" s="1"/>
  <c r="C21" i="15"/>
  <c r="B21" i="15"/>
  <c r="D21" i="15" s="1"/>
  <c r="K22" i="15"/>
  <c r="J22" i="15"/>
  <c r="F22" i="15"/>
  <c r="B22" i="15"/>
  <c r="C22" i="15"/>
  <c r="O24" i="15"/>
  <c r="K24" i="15"/>
  <c r="N24" i="15" s="1"/>
  <c r="G24" i="15"/>
  <c r="J24" i="15"/>
  <c r="F24" i="15"/>
  <c r="H24" i="15" s="1"/>
  <c r="B24" i="15"/>
  <c r="D24" i="15" s="1"/>
  <c r="C24" i="15"/>
  <c r="O23" i="15"/>
  <c r="K23" i="15"/>
  <c r="N23" i="15" s="1"/>
  <c r="J23" i="15"/>
  <c r="C23" i="15"/>
  <c r="F23" i="15"/>
  <c r="H23" i="15" s="1"/>
  <c r="G23" i="15"/>
  <c r="B23" i="15"/>
  <c r="D23" i="15" s="1"/>
  <c r="K25" i="15"/>
  <c r="N25" i="15" s="1"/>
  <c r="J25" i="15"/>
  <c r="G25" i="15"/>
  <c r="F25" i="15"/>
  <c r="H25" i="15" s="1"/>
  <c r="C25" i="15"/>
  <c r="B25" i="15"/>
  <c r="D25" i="15" s="1"/>
  <c r="K27" i="15"/>
  <c r="J27" i="15"/>
  <c r="C27" i="15"/>
  <c r="F27" i="15"/>
  <c r="B27" i="15"/>
  <c r="K26" i="15"/>
  <c r="J26" i="15"/>
  <c r="G26" i="15"/>
  <c r="F26" i="15"/>
  <c r="B26" i="15"/>
  <c r="C26" i="15"/>
  <c r="K28" i="15"/>
  <c r="J28" i="15"/>
  <c r="F28" i="15"/>
  <c r="B28" i="15"/>
  <c r="C28" i="15"/>
  <c r="K29" i="15"/>
  <c r="J29" i="15"/>
  <c r="F29" i="15"/>
  <c r="H29" i="15" s="1"/>
  <c r="B29" i="15"/>
  <c r="D29" i="15" s="1"/>
  <c r="C29" i="15"/>
  <c r="K45" i="15"/>
  <c r="J45" i="15"/>
  <c r="F45" i="15"/>
  <c r="H45" i="15" s="1"/>
  <c r="B45" i="15"/>
  <c r="D45" i="15" s="1"/>
  <c r="C45" i="15"/>
  <c r="K30" i="15"/>
  <c r="N30" i="15" s="1"/>
  <c r="G30" i="15"/>
  <c r="J30" i="15"/>
  <c r="F30" i="15"/>
  <c r="H30" i="15" s="1"/>
  <c r="C30" i="15"/>
  <c r="B30" i="15"/>
  <c r="D30" i="15" s="1"/>
  <c r="O31" i="15"/>
  <c r="K31" i="15"/>
  <c r="N31" i="15" s="1"/>
  <c r="J31" i="15"/>
  <c r="C31" i="15"/>
  <c r="F31" i="15"/>
  <c r="H31" i="15" s="1"/>
  <c r="G31" i="15"/>
  <c r="B31" i="15"/>
  <c r="D31" i="15" s="1"/>
  <c r="O32" i="15"/>
  <c r="K32" i="15"/>
  <c r="G32" i="15"/>
  <c r="J32" i="15"/>
  <c r="F32" i="15"/>
  <c r="C32" i="15"/>
  <c r="B32" i="15"/>
  <c r="O33" i="15"/>
  <c r="K33" i="15"/>
  <c r="N33" i="15" s="1"/>
  <c r="J33" i="15"/>
  <c r="G33" i="15"/>
  <c r="F33" i="15"/>
  <c r="H33" i="15" s="1"/>
  <c r="B33" i="15"/>
  <c r="D33" i="15" s="1"/>
  <c r="C33" i="15"/>
  <c r="K34" i="15"/>
  <c r="N34" i="15" s="1"/>
  <c r="G34" i="15"/>
  <c r="J34" i="15"/>
  <c r="F34" i="15"/>
  <c r="H34" i="15" s="1"/>
  <c r="B34" i="15"/>
  <c r="D34" i="15" s="1"/>
  <c r="C34" i="15"/>
  <c r="O35" i="15"/>
  <c r="K35" i="15"/>
  <c r="N35" i="15" s="1"/>
  <c r="J35" i="15"/>
  <c r="G35" i="15"/>
  <c r="C35" i="15"/>
  <c r="F35" i="15"/>
  <c r="H35" i="15" s="1"/>
  <c r="B35" i="15"/>
  <c r="D35" i="15" s="1"/>
  <c r="O36" i="15"/>
  <c r="K36" i="15"/>
  <c r="N36" i="15" s="1"/>
  <c r="G36" i="15"/>
  <c r="J36" i="15"/>
  <c r="F36" i="15"/>
  <c r="H36" i="15" s="1"/>
  <c r="C36" i="15"/>
  <c r="B36" i="15"/>
  <c r="D36" i="15" s="1"/>
  <c r="O37" i="15"/>
  <c r="K37" i="15"/>
  <c r="N37" i="15" s="1"/>
  <c r="J37" i="15"/>
  <c r="G37" i="15"/>
  <c r="F37" i="15"/>
  <c r="H37" i="15" s="1"/>
  <c r="C37" i="15"/>
  <c r="B37" i="15"/>
  <c r="D37" i="15" s="1"/>
  <c r="O38" i="15"/>
  <c r="K38" i="15"/>
  <c r="N38" i="15" s="1"/>
  <c r="G38" i="15"/>
  <c r="J38" i="15"/>
  <c r="F38" i="15"/>
  <c r="H38" i="15" s="1"/>
  <c r="B38" i="15"/>
  <c r="D38" i="15" s="1"/>
  <c r="C38" i="15"/>
  <c r="K39" i="15"/>
  <c r="J39" i="15"/>
  <c r="C39" i="15"/>
  <c r="F39" i="15"/>
  <c r="H39" i="15" s="1"/>
  <c r="B39" i="15"/>
  <c r="D39" i="15" s="1"/>
  <c r="O40" i="15"/>
  <c r="K40" i="15"/>
  <c r="J40" i="15"/>
  <c r="F40" i="15"/>
  <c r="H40" i="15" s="1"/>
  <c r="B40" i="15"/>
  <c r="D40" i="15" s="1"/>
  <c r="K41" i="15"/>
  <c r="J41" i="15"/>
  <c r="G41" i="15"/>
  <c r="F41" i="15"/>
  <c r="B41" i="15"/>
  <c r="C41" i="15"/>
  <c r="K42" i="15"/>
  <c r="N42" i="15" s="1"/>
  <c r="O42" i="15"/>
  <c r="J42" i="15"/>
  <c r="G42" i="15"/>
  <c r="F42" i="15"/>
  <c r="H42" i="15" s="1"/>
  <c r="C42" i="15"/>
  <c r="B42" i="15"/>
  <c r="D42" i="15" s="1"/>
  <c r="O43" i="15"/>
  <c r="J43" i="15"/>
  <c r="K43" i="15"/>
  <c r="N43" i="15" s="1"/>
  <c r="F43" i="15"/>
  <c r="H43" i="15" s="1"/>
  <c r="G43" i="15"/>
  <c r="C43" i="15"/>
  <c r="B43" i="15"/>
  <c r="D43" i="15" s="1"/>
  <c r="K44" i="15"/>
  <c r="G44" i="15"/>
  <c r="J44" i="15"/>
  <c r="C44" i="15"/>
  <c r="F44" i="15"/>
  <c r="B44" i="15"/>
  <c r="O46" i="15"/>
  <c r="K46" i="15"/>
  <c r="J46" i="15"/>
  <c r="F46" i="15"/>
  <c r="H46" i="15" s="1"/>
  <c r="B46" i="15"/>
  <c r="D46" i="15" s="1"/>
  <c r="K47" i="15"/>
  <c r="J47" i="15"/>
  <c r="F47" i="15"/>
  <c r="H47" i="15" s="1"/>
  <c r="B47" i="15"/>
  <c r="D47" i="15" s="1"/>
  <c r="C47" i="15"/>
  <c r="O49" i="15"/>
  <c r="K49" i="15"/>
  <c r="N49" i="15" s="1"/>
  <c r="J49" i="15"/>
  <c r="G49" i="15"/>
  <c r="C49" i="15"/>
  <c r="F49" i="15"/>
  <c r="H49" i="15" s="1"/>
  <c r="B49" i="15"/>
  <c r="D49" i="15" s="1"/>
  <c r="O50" i="15"/>
  <c r="K50" i="15"/>
  <c r="N50" i="15" s="1"/>
  <c r="J50" i="15"/>
  <c r="F50" i="15"/>
  <c r="H50" i="15" s="1"/>
  <c r="G50" i="15"/>
  <c r="B50" i="15"/>
  <c r="D50" i="15" s="1"/>
  <c r="C50" i="15"/>
  <c r="O51" i="15"/>
  <c r="K51" i="15"/>
  <c r="N51" i="15" s="1"/>
  <c r="J51" i="15"/>
  <c r="F51" i="15"/>
  <c r="H51" i="15" s="1"/>
  <c r="G51" i="15"/>
  <c r="B51" i="15"/>
  <c r="D51" i="15" s="1"/>
  <c r="C51" i="15"/>
  <c r="O52" i="15"/>
  <c r="K52" i="15"/>
  <c r="J52" i="15"/>
  <c r="F52" i="15"/>
  <c r="G52" i="15"/>
  <c r="B52" i="15"/>
  <c r="C52" i="15"/>
  <c r="K48" i="15"/>
  <c r="N48" i="15" s="1"/>
  <c r="J48" i="15"/>
  <c r="G48" i="15"/>
  <c r="F48" i="15"/>
  <c r="H48" i="15" s="1"/>
  <c r="C48" i="15"/>
  <c r="B48" i="15"/>
  <c r="D48" i="15" s="1"/>
  <c r="L46" i="15"/>
  <c r="M46" i="15"/>
  <c r="L58" i="15"/>
  <c r="O78" i="15"/>
  <c r="O69" i="15"/>
  <c r="O64" i="15"/>
  <c r="O71" i="15"/>
  <c r="J75" i="15"/>
  <c r="K75" i="15"/>
  <c r="N75" i="15" s="1"/>
  <c r="F75" i="15"/>
  <c r="H75" i="15" s="1"/>
  <c r="G75" i="15"/>
  <c r="B75" i="15"/>
  <c r="D75" i="15" s="1"/>
  <c r="C75" i="15"/>
  <c r="K73" i="15"/>
  <c r="J73" i="15"/>
  <c r="F73" i="15"/>
  <c r="C73" i="15"/>
  <c r="B73" i="15"/>
  <c r="K74" i="15"/>
  <c r="J74" i="15"/>
  <c r="F74" i="15"/>
  <c r="H74" i="15" s="1"/>
  <c r="B74" i="15"/>
  <c r="D74" i="15" s="1"/>
  <c r="C74" i="15"/>
  <c r="K77" i="15"/>
  <c r="J77" i="15"/>
  <c r="G77" i="15"/>
  <c r="F77" i="15"/>
  <c r="C77" i="15"/>
  <c r="B77" i="15"/>
  <c r="K81" i="15"/>
  <c r="N81" i="15" s="1"/>
  <c r="J81" i="15"/>
  <c r="G81" i="15"/>
  <c r="F81" i="15"/>
  <c r="H81" i="15" s="1"/>
  <c r="C81" i="15"/>
  <c r="B81" i="15"/>
  <c r="D81" i="15" s="1"/>
  <c r="K82" i="15"/>
  <c r="J82" i="15"/>
  <c r="F82" i="15"/>
  <c r="H82" i="15" s="1"/>
  <c r="B82" i="15"/>
  <c r="D82" i="15" s="1"/>
  <c r="C82" i="15"/>
  <c r="K83" i="15"/>
  <c r="J83" i="15"/>
  <c r="F83" i="15"/>
  <c r="C83" i="15"/>
  <c r="B83" i="15"/>
  <c r="K88" i="15"/>
  <c r="J88" i="15"/>
  <c r="F88" i="15"/>
  <c r="G88" i="15"/>
  <c r="B88" i="15"/>
  <c r="C88" i="15"/>
  <c r="K89" i="15"/>
  <c r="J89" i="15"/>
  <c r="F89" i="15"/>
  <c r="H89" i="15" s="1"/>
  <c r="C89" i="15"/>
  <c r="B89" i="15"/>
  <c r="D89" i="15" s="1"/>
  <c r="K90" i="15"/>
  <c r="J90" i="15"/>
  <c r="F90" i="15"/>
  <c r="B90" i="15"/>
  <c r="C90" i="15"/>
  <c r="K97" i="15"/>
  <c r="J97" i="15"/>
  <c r="F97" i="15"/>
  <c r="H97" i="15" s="1"/>
  <c r="C97" i="15"/>
  <c r="B97" i="15"/>
  <c r="D97" i="15" s="1"/>
  <c r="K98" i="15"/>
  <c r="N98" i="15" s="1"/>
  <c r="J98" i="15"/>
  <c r="G98" i="15"/>
  <c r="F98" i="15"/>
  <c r="H98" i="15" s="1"/>
  <c r="B98" i="15"/>
  <c r="D98" i="15" s="1"/>
  <c r="C98" i="15"/>
  <c r="O41" i="15"/>
  <c r="O121" i="15"/>
  <c r="K160" i="15"/>
  <c r="J160" i="15"/>
  <c r="G160" i="15"/>
  <c r="F160" i="15"/>
  <c r="B160" i="15"/>
  <c r="C160" i="15"/>
  <c r="K168" i="15"/>
  <c r="N168" i="15" s="1"/>
  <c r="J168" i="15"/>
  <c r="G168" i="15"/>
  <c r="F168" i="15"/>
  <c r="H168" i="15" s="1"/>
  <c r="B168" i="15"/>
  <c r="D168" i="15" s="1"/>
  <c r="C168" i="15"/>
  <c r="K169" i="15"/>
  <c r="J169" i="15"/>
  <c r="F169" i="15"/>
  <c r="H169" i="15" s="1"/>
  <c r="C169" i="15"/>
  <c r="B169" i="15"/>
  <c r="D169" i="15" s="1"/>
  <c r="K189" i="15"/>
  <c r="J189" i="15"/>
  <c r="F189" i="15"/>
  <c r="C189" i="15"/>
  <c r="B189" i="15"/>
  <c r="K102" i="15"/>
  <c r="J102" i="15"/>
  <c r="F102" i="15"/>
  <c r="H102" i="15" s="1"/>
  <c r="B102" i="15"/>
  <c r="D102" i="15" s="1"/>
  <c r="C102" i="15"/>
  <c r="K170" i="15"/>
  <c r="J170" i="15"/>
  <c r="F170" i="15"/>
  <c r="B170" i="15"/>
  <c r="C170" i="15"/>
  <c r="K171" i="15"/>
  <c r="N171" i="15" s="1"/>
  <c r="J171" i="15"/>
  <c r="G171" i="15"/>
  <c r="F171" i="15"/>
  <c r="H171" i="15" s="1"/>
  <c r="C171" i="15"/>
  <c r="B171" i="15"/>
  <c r="D171" i="15" s="1"/>
  <c r="K172" i="15"/>
  <c r="N172" i="15" s="1"/>
  <c r="J172" i="15"/>
  <c r="G172" i="15"/>
  <c r="F172" i="15"/>
  <c r="H172" i="15" s="1"/>
  <c r="B172" i="15"/>
  <c r="D172" i="15" s="1"/>
  <c r="C172" i="15"/>
  <c r="K173" i="15"/>
  <c r="N173" i="15" s="1"/>
  <c r="J173" i="15"/>
  <c r="G173" i="15"/>
  <c r="F173" i="15"/>
  <c r="H173" i="15" s="1"/>
  <c r="C173" i="15"/>
  <c r="B173" i="15"/>
  <c r="D173" i="15" s="1"/>
  <c r="O62" i="15"/>
  <c r="K99" i="15"/>
  <c r="N99" i="15" s="1"/>
  <c r="J99" i="15"/>
  <c r="G99" i="15"/>
  <c r="F99" i="15"/>
  <c r="H99" i="15" s="1"/>
  <c r="B99" i="15"/>
  <c r="D99" i="15" s="1"/>
  <c r="C99" i="15"/>
  <c r="O116" i="15"/>
  <c r="K177" i="15"/>
  <c r="J177" i="15"/>
  <c r="F177" i="15"/>
  <c r="H177" i="15" s="1"/>
  <c r="C177" i="15"/>
  <c r="B177" i="15"/>
  <c r="D177" i="15" s="1"/>
  <c r="K178" i="15"/>
  <c r="J178" i="15"/>
  <c r="F178" i="15"/>
  <c r="H178" i="15" s="1"/>
  <c r="B178" i="15"/>
  <c r="D178" i="15" s="1"/>
  <c r="C178" i="15"/>
  <c r="K179" i="15"/>
  <c r="J179" i="15"/>
  <c r="F179" i="15"/>
  <c r="H179" i="15" s="1"/>
  <c r="C179" i="15"/>
  <c r="B179" i="15"/>
  <c r="D179" i="15" s="1"/>
  <c r="K180" i="15"/>
  <c r="N180" i="15" s="1"/>
  <c r="J180" i="15"/>
  <c r="G180" i="15"/>
  <c r="F180" i="15"/>
  <c r="H180" i="15" s="1"/>
  <c r="B180" i="15"/>
  <c r="D180" i="15" s="1"/>
  <c r="C180" i="15"/>
  <c r="K181" i="15"/>
  <c r="J181" i="15"/>
  <c r="F181" i="15"/>
  <c r="H181" i="15" s="1"/>
  <c r="C181" i="15"/>
  <c r="B181" i="15"/>
  <c r="D181" i="15" s="1"/>
  <c r="K182" i="15"/>
  <c r="N182" i="15" s="1"/>
  <c r="J182" i="15"/>
  <c r="F182" i="15"/>
  <c r="H182" i="15" s="1"/>
  <c r="G182" i="15"/>
  <c r="B182" i="15"/>
  <c r="D182" i="15" s="1"/>
  <c r="C182" i="15"/>
  <c r="O195" i="15"/>
  <c r="K209" i="15"/>
  <c r="J209" i="15"/>
  <c r="C209" i="15"/>
  <c r="F209" i="15"/>
  <c r="H209" i="15" s="1"/>
  <c r="B209" i="15"/>
  <c r="D209" i="15" s="1"/>
  <c r="K216" i="15"/>
  <c r="J216" i="15"/>
  <c r="F216" i="15"/>
  <c r="H216" i="15" s="1"/>
  <c r="B216" i="15"/>
  <c r="D216" i="15" s="1"/>
  <c r="C216" i="15"/>
  <c r="J215" i="15"/>
  <c r="K215" i="15"/>
  <c r="F215" i="15"/>
  <c r="C215" i="15"/>
  <c r="B215" i="15"/>
  <c r="K221" i="15"/>
  <c r="N221" i="15" s="1"/>
  <c r="J221" i="15"/>
  <c r="G221" i="15"/>
  <c r="C221" i="15"/>
  <c r="B221" i="15"/>
  <c r="D221" i="15" s="1"/>
  <c r="F221" i="15"/>
  <c r="H221" i="15" s="1"/>
  <c r="L3" i="15"/>
  <c r="J59" i="15"/>
  <c r="K59" i="15"/>
  <c r="F59" i="15"/>
  <c r="H59" i="15" s="1"/>
  <c r="C59" i="15"/>
  <c r="B59" i="15"/>
  <c r="D59" i="15" s="1"/>
  <c r="K78" i="15"/>
  <c r="J78" i="15"/>
  <c r="F78" i="15"/>
  <c r="G78" i="15"/>
  <c r="B78" i="15"/>
  <c r="C78" i="15"/>
  <c r="K60" i="15"/>
  <c r="J60" i="15"/>
  <c r="F60" i="15"/>
  <c r="B60" i="15"/>
  <c r="C60" i="15"/>
  <c r="K61" i="15"/>
  <c r="J61" i="15"/>
  <c r="F61" i="15"/>
  <c r="H61" i="15" s="1"/>
  <c r="C61" i="15"/>
  <c r="B61" i="15"/>
  <c r="D61" i="15" s="1"/>
  <c r="K69" i="15"/>
  <c r="N69" i="15" s="1"/>
  <c r="J69" i="15"/>
  <c r="G69" i="15"/>
  <c r="F69" i="15"/>
  <c r="H69" i="15" s="1"/>
  <c r="C69" i="15"/>
  <c r="B69" i="15"/>
  <c r="D69" i="15" s="1"/>
  <c r="K63" i="15"/>
  <c r="J63" i="15"/>
  <c r="F63" i="15"/>
  <c r="B63" i="15"/>
  <c r="C63" i="15"/>
  <c r="K64" i="15"/>
  <c r="N64" i="15" s="1"/>
  <c r="J64" i="15"/>
  <c r="F64" i="15"/>
  <c r="H64" i="15" s="1"/>
  <c r="G64" i="15"/>
  <c r="B64" i="15"/>
  <c r="D64" i="15" s="1"/>
  <c r="C64" i="15"/>
  <c r="K70" i="15"/>
  <c r="J70" i="15"/>
  <c r="G70" i="15"/>
  <c r="F70" i="15"/>
  <c r="B70" i="15"/>
  <c r="C70" i="15"/>
  <c r="K67" i="15"/>
  <c r="J67" i="15"/>
  <c r="F67" i="15"/>
  <c r="H67" i="15" s="1"/>
  <c r="B67" i="15"/>
  <c r="D67" i="15" s="1"/>
  <c r="C67" i="15"/>
  <c r="K65" i="15"/>
  <c r="J65" i="15"/>
  <c r="G65" i="15"/>
  <c r="F65" i="15"/>
  <c r="C65" i="15"/>
  <c r="B65" i="15"/>
  <c r="K66" i="15"/>
  <c r="J66" i="15"/>
  <c r="F66" i="15"/>
  <c r="G66" i="15"/>
  <c r="B66" i="15"/>
  <c r="C66" i="15"/>
  <c r="K68" i="15"/>
  <c r="N68" i="15" s="1"/>
  <c r="J68" i="15"/>
  <c r="G68" i="15"/>
  <c r="F68" i="15"/>
  <c r="H68" i="15" s="1"/>
  <c r="B68" i="15"/>
  <c r="D68" i="15" s="1"/>
  <c r="C68" i="15"/>
  <c r="K72" i="15"/>
  <c r="J72" i="15"/>
  <c r="F72" i="15"/>
  <c r="H72" i="15" s="1"/>
  <c r="B72" i="15"/>
  <c r="D72" i="15" s="1"/>
  <c r="C72" i="15"/>
  <c r="K71" i="15"/>
  <c r="N71" i="15" s="1"/>
  <c r="J71" i="15"/>
  <c r="G71" i="15"/>
  <c r="F71" i="15"/>
  <c r="H71" i="15" s="1"/>
  <c r="C71" i="15"/>
  <c r="B71" i="15"/>
  <c r="D71" i="15" s="1"/>
  <c r="O6" i="15"/>
  <c r="K159" i="15"/>
  <c r="J159" i="15"/>
  <c r="F159" i="15"/>
  <c r="H159" i="15" s="1"/>
  <c r="C159" i="15"/>
  <c r="B159" i="15"/>
  <c r="D159" i="15" s="1"/>
  <c r="K121" i="15"/>
  <c r="J121" i="15"/>
  <c r="G121" i="15"/>
  <c r="F121" i="15"/>
  <c r="C121" i="15"/>
  <c r="B121" i="15"/>
  <c r="K116" i="15"/>
  <c r="N116" i="15" s="1"/>
  <c r="J116" i="15"/>
  <c r="G116" i="15"/>
  <c r="F116" i="15"/>
  <c r="H116" i="15" s="1"/>
  <c r="B116" i="15"/>
  <c r="D116" i="15" s="1"/>
  <c r="C116" i="15"/>
  <c r="K195" i="15"/>
  <c r="N195" i="15" s="1"/>
  <c r="J195" i="15"/>
  <c r="G195" i="15"/>
  <c r="F195" i="15"/>
  <c r="H195" i="15" s="1"/>
  <c r="C195" i="15"/>
  <c r="B195" i="15"/>
  <c r="D195" i="15" s="1"/>
  <c r="K211" i="15"/>
  <c r="J211" i="15"/>
  <c r="F211" i="15"/>
  <c r="H211" i="15" s="1"/>
  <c r="C211" i="15"/>
  <c r="B211" i="15"/>
  <c r="D211" i="15" s="1"/>
  <c r="K210" i="15"/>
  <c r="N210" i="15" s="1"/>
  <c r="J210" i="15"/>
  <c r="G210" i="15"/>
  <c r="F210" i="15"/>
  <c r="H210" i="15" s="1"/>
  <c r="B210" i="15"/>
  <c r="D210" i="15" s="1"/>
  <c r="C210" i="15"/>
  <c r="K214" i="15"/>
  <c r="N214" i="15" s="1"/>
  <c r="F214" i="15"/>
  <c r="H214" i="15" s="1"/>
  <c r="J214" i="15"/>
  <c r="G214" i="15"/>
  <c r="B214" i="15"/>
  <c r="D214" i="15" s="1"/>
  <c r="C214" i="15"/>
  <c r="K219" i="15"/>
  <c r="J219" i="15"/>
  <c r="F219" i="15"/>
  <c r="H219" i="15" s="1"/>
  <c r="C219" i="15"/>
  <c r="B219" i="15"/>
  <c r="D219" i="15" s="1"/>
  <c r="K222" i="15"/>
  <c r="N222" i="15" s="1"/>
  <c r="G222" i="15"/>
  <c r="F222" i="15"/>
  <c r="H222" i="15" s="1"/>
  <c r="J222" i="15"/>
  <c r="B222" i="15"/>
  <c r="D222" i="15" s="1"/>
  <c r="C222" i="15"/>
  <c r="O126" i="15"/>
  <c r="O123" i="15"/>
  <c r="O131" i="15"/>
  <c r="O34" i="15"/>
  <c r="V3" i="13" l="1"/>
  <c r="Z3" i="13" s="1"/>
  <c r="N32" i="15"/>
  <c r="N19" i="15"/>
  <c r="H18" i="15"/>
  <c r="I18" i="15" s="1"/>
  <c r="H14" i="15"/>
  <c r="H123" i="15"/>
  <c r="I123" i="15" s="1"/>
  <c r="N120" i="15"/>
  <c r="H191" i="15"/>
  <c r="I191" i="15" s="1"/>
  <c r="H91" i="15"/>
  <c r="I91" i="15" s="1"/>
  <c r="H158" i="15"/>
  <c r="I158" i="15" s="1"/>
  <c r="N113" i="15"/>
  <c r="H96" i="15"/>
  <c r="H56" i="15"/>
  <c r="H76" i="15"/>
  <c r="H136" i="15"/>
  <c r="H66" i="15"/>
  <c r="I66" i="15" s="1"/>
  <c r="N65" i="15"/>
  <c r="H70" i="15"/>
  <c r="I70" i="15" s="1"/>
  <c r="H63" i="15"/>
  <c r="H60" i="15"/>
  <c r="N78" i="15"/>
  <c r="N52" i="15"/>
  <c r="H32" i="15"/>
  <c r="I32" i="15" s="1"/>
  <c r="H27" i="15"/>
  <c r="H15" i="15"/>
  <c r="I15" i="15" s="1"/>
  <c r="N15" i="15"/>
  <c r="H7" i="15"/>
  <c r="H183" i="15"/>
  <c r="N123" i="15"/>
  <c r="H203" i="15"/>
  <c r="I203" i="15" s="1"/>
  <c r="H194" i="15"/>
  <c r="N157" i="15"/>
  <c r="H113" i="15"/>
  <c r="I113" i="15" s="1"/>
  <c r="N145" i="15"/>
  <c r="N62" i="15"/>
  <c r="H87" i="15"/>
  <c r="H53" i="15"/>
  <c r="N70" i="15"/>
  <c r="H160" i="15"/>
  <c r="I160" i="15" s="1"/>
  <c r="H41" i="15"/>
  <c r="I41" i="15" s="1"/>
  <c r="H26" i="15"/>
  <c r="I26" i="15" s="1"/>
  <c r="H19" i="15"/>
  <c r="I19" i="15" s="1"/>
  <c r="H10" i="15"/>
  <c r="H125" i="15"/>
  <c r="I125" i="15" s="1"/>
  <c r="N121" i="15"/>
  <c r="H65" i="15"/>
  <c r="I65" i="15" s="1"/>
  <c r="H170" i="15"/>
  <c r="H88" i="15"/>
  <c r="I88" i="15" s="1"/>
  <c r="N77" i="15"/>
  <c r="H73" i="15"/>
  <c r="N20" i="15"/>
  <c r="N18" i="15"/>
  <c r="H120" i="15"/>
  <c r="I120" i="15" s="1"/>
  <c r="N127" i="15"/>
  <c r="N191" i="15"/>
  <c r="N91" i="15"/>
  <c r="N93" i="15"/>
  <c r="H157" i="15"/>
  <c r="I157" i="15" s="1"/>
  <c r="H145" i="15"/>
  <c r="I145" i="15" s="1"/>
  <c r="H206" i="15"/>
  <c r="H215" i="15"/>
  <c r="H189" i="15"/>
  <c r="N88" i="15"/>
  <c r="H121" i="15"/>
  <c r="I121" i="15" s="1"/>
  <c r="N66" i="15"/>
  <c r="H78" i="15"/>
  <c r="I78" i="15" s="1"/>
  <c r="N160" i="15"/>
  <c r="H90" i="15"/>
  <c r="H83" i="15"/>
  <c r="H77" i="15"/>
  <c r="I77" i="15" s="1"/>
  <c r="H52" i="15"/>
  <c r="I52" i="15" s="1"/>
  <c r="H44" i="15"/>
  <c r="I44" i="15" s="1"/>
  <c r="N44" i="15"/>
  <c r="N41" i="15"/>
  <c r="H28" i="15"/>
  <c r="N26" i="15"/>
  <c r="H22" i="15"/>
  <c r="H20" i="15"/>
  <c r="I20" i="15" s="1"/>
  <c r="N125" i="15"/>
  <c r="H127" i="15"/>
  <c r="I127" i="15" s="1"/>
  <c r="N203" i="15"/>
  <c r="H93" i="15"/>
  <c r="I93" i="15" s="1"/>
  <c r="N158" i="15"/>
  <c r="H144" i="15"/>
  <c r="H62" i="15"/>
  <c r="I62" i="15" s="1"/>
  <c r="N56" i="15"/>
  <c r="N76" i="15"/>
  <c r="N2" i="15"/>
  <c r="H2" i="15"/>
  <c r="D65" i="15"/>
  <c r="D60" i="15"/>
  <c r="D73" i="15"/>
  <c r="D27" i="15"/>
  <c r="D15" i="15"/>
  <c r="D7" i="15"/>
  <c r="D120" i="15"/>
  <c r="E120" i="15" s="1"/>
  <c r="D194" i="15"/>
  <c r="E194" i="15" s="1"/>
  <c r="D157" i="15"/>
  <c r="D145" i="15"/>
  <c r="D87" i="15"/>
  <c r="D70" i="15"/>
  <c r="E70" i="15" s="1"/>
  <c r="D88" i="15"/>
  <c r="D121" i="15"/>
  <c r="D78" i="15"/>
  <c r="D170" i="15"/>
  <c r="D83" i="15"/>
  <c r="D77" i="15"/>
  <c r="D52" i="15"/>
  <c r="D20" i="15"/>
  <c r="D127" i="15"/>
  <c r="D93" i="15"/>
  <c r="D62" i="15"/>
  <c r="D206" i="15"/>
  <c r="D63" i="15"/>
  <c r="D215" i="15"/>
  <c r="D189" i="15"/>
  <c r="D90" i="15"/>
  <c r="E90" i="15" s="1"/>
  <c r="D44" i="15"/>
  <c r="D28" i="15"/>
  <c r="D22" i="15"/>
  <c r="E22" i="15" s="1"/>
  <c r="D18" i="15"/>
  <c r="E18" i="15" s="1"/>
  <c r="D14" i="15"/>
  <c r="D125" i="15"/>
  <c r="D123" i="15"/>
  <c r="D203" i="15"/>
  <c r="D191" i="15"/>
  <c r="D91" i="15"/>
  <c r="D144" i="15"/>
  <c r="D66" i="15"/>
  <c r="D160" i="15"/>
  <c r="D41" i="15"/>
  <c r="D32" i="15"/>
  <c r="D26" i="15"/>
  <c r="D19" i="15"/>
  <c r="D10" i="15"/>
  <c r="D183" i="15"/>
  <c r="D158" i="15"/>
  <c r="D113" i="15"/>
  <c r="D96" i="15"/>
  <c r="D56" i="15"/>
  <c r="D76" i="15"/>
  <c r="D136" i="15"/>
  <c r="D53" i="15"/>
  <c r="D2" i="15"/>
  <c r="G3" i="13"/>
  <c r="AL3" i="13" s="1"/>
  <c r="H3" i="13"/>
  <c r="AA3" i="13"/>
  <c r="N40" i="15"/>
  <c r="I56" i="15"/>
  <c r="I76" i="15"/>
  <c r="E55" i="15"/>
  <c r="I151" i="15"/>
  <c r="E150" i="15"/>
  <c r="E86" i="15"/>
  <c r="E84" i="15"/>
  <c r="I55" i="15"/>
  <c r="E154" i="15"/>
  <c r="E92" i="15"/>
  <c r="I86" i="15"/>
  <c r="I116" i="15"/>
  <c r="I180" i="15"/>
  <c r="E179" i="15"/>
  <c r="E169" i="15"/>
  <c r="E81" i="15"/>
  <c r="I48" i="15"/>
  <c r="I156" i="15"/>
  <c r="E109" i="15"/>
  <c r="E151" i="15"/>
  <c r="I150" i="15"/>
  <c r="E126" i="15"/>
  <c r="I36" i="15"/>
  <c r="I24" i="15"/>
  <c r="E131" i="15"/>
  <c r="E124" i="15"/>
  <c r="I115" i="15"/>
  <c r="E202" i="15"/>
  <c r="E200" i="15"/>
  <c r="E214" i="15"/>
  <c r="E68" i="15"/>
  <c r="I221" i="15"/>
  <c r="E216" i="15"/>
  <c r="E182" i="15"/>
  <c r="E98" i="15"/>
  <c r="E82" i="15"/>
  <c r="E75" i="15"/>
  <c r="E51" i="15"/>
  <c r="E43" i="15"/>
  <c r="E36" i="15"/>
  <c r="I31" i="15"/>
  <c r="E45" i="15"/>
  <c r="E21" i="15"/>
  <c r="I17" i="15"/>
  <c r="E12" i="15"/>
  <c r="E8" i="15"/>
  <c r="E6" i="15"/>
  <c r="E185" i="15"/>
  <c r="I184" i="15"/>
  <c r="E115" i="15"/>
  <c r="I202" i="15"/>
  <c r="I199" i="15"/>
  <c r="E152" i="15"/>
  <c r="E209" i="15"/>
  <c r="E49" i="15"/>
  <c r="E39" i="15"/>
  <c r="I6" i="15"/>
  <c r="I4" i="15"/>
  <c r="E219" i="15"/>
  <c r="E210" i="15"/>
  <c r="I195" i="15"/>
  <c r="E159" i="15"/>
  <c r="I71" i="15"/>
  <c r="E67" i="15"/>
  <c r="I182" i="15"/>
  <c r="E178" i="15"/>
  <c r="E177" i="15"/>
  <c r="I99" i="15"/>
  <c r="E172" i="15"/>
  <c r="E168" i="15"/>
  <c r="I81" i="15"/>
  <c r="I75" i="15"/>
  <c r="E48" i="15"/>
  <c r="I51" i="15"/>
  <c r="I49" i="15"/>
  <c r="I33" i="15"/>
  <c r="E31" i="15"/>
  <c r="I21" i="15"/>
  <c r="E13" i="15"/>
  <c r="E193" i="15"/>
  <c r="I185" i="15"/>
  <c r="I126" i="15"/>
  <c r="E119" i="15"/>
  <c r="E199" i="15"/>
  <c r="E153" i="15"/>
  <c r="E134" i="15"/>
  <c r="I222" i="15"/>
  <c r="I214" i="15"/>
  <c r="I210" i="15"/>
  <c r="E211" i="15"/>
  <c r="E116" i="15"/>
  <c r="E72" i="15"/>
  <c r="I64" i="15"/>
  <c r="E69" i="15"/>
  <c r="E180" i="15"/>
  <c r="E173" i="15"/>
  <c r="I172" i="15"/>
  <c r="E171" i="15"/>
  <c r="E102" i="15"/>
  <c r="I168" i="15"/>
  <c r="E89" i="15"/>
  <c r="E50" i="15"/>
  <c r="I43" i="15"/>
  <c r="E42" i="15"/>
  <c r="E38" i="15"/>
  <c r="I37" i="15"/>
  <c r="E35" i="15"/>
  <c r="E34" i="15"/>
  <c r="I30" i="15"/>
  <c r="E25" i="15"/>
  <c r="I23" i="15"/>
  <c r="E17" i="15"/>
  <c r="I11" i="15"/>
  <c r="I9" i="15"/>
  <c r="I5" i="15"/>
  <c r="E4" i="15"/>
  <c r="E163" i="15"/>
  <c r="E184" i="15"/>
  <c r="I188" i="15"/>
  <c r="E186" i="15"/>
  <c r="I131" i="15"/>
  <c r="E201" i="15"/>
  <c r="E192" i="15"/>
  <c r="E190" i="15"/>
  <c r="E156" i="15"/>
  <c r="E174" i="15"/>
  <c r="E149" i="15"/>
  <c r="I85" i="15"/>
  <c r="I80" i="15"/>
  <c r="E58" i="15"/>
  <c r="E57" i="15"/>
  <c r="E79" i="15"/>
  <c r="E54" i="15"/>
  <c r="E195" i="15"/>
  <c r="E71" i="15"/>
  <c r="N46" i="15"/>
  <c r="I38" i="15"/>
  <c r="I35" i="15"/>
  <c r="I34" i="15"/>
  <c r="I192" i="15"/>
  <c r="I190" i="15"/>
  <c r="I54" i="15"/>
  <c r="E222" i="15"/>
  <c r="I68" i="15"/>
  <c r="E64" i="15"/>
  <c r="I69" i="15"/>
  <c r="E61" i="15"/>
  <c r="E59" i="15"/>
  <c r="E221" i="15"/>
  <c r="E181" i="15"/>
  <c r="E99" i="15"/>
  <c r="I173" i="15"/>
  <c r="I171" i="15"/>
  <c r="I98" i="15"/>
  <c r="E97" i="15"/>
  <c r="E74" i="15"/>
  <c r="I50" i="15"/>
  <c r="E47" i="15"/>
  <c r="I42" i="15"/>
  <c r="E37" i="15"/>
  <c r="E33" i="15"/>
  <c r="E30" i="15"/>
  <c r="E29" i="15"/>
  <c r="I25" i="15"/>
  <c r="E23" i="15"/>
  <c r="E24" i="15"/>
  <c r="E16" i="15"/>
  <c r="I12" i="15"/>
  <c r="E11" i="15"/>
  <c r="E9" i="15"/>
  <c r="I8" i="15"/>
  <c r="E5" i="15"/>
  <c r="E188" i="15"/>
  <c r="I201" i="15"/>
  <c r="I152" i="15"/>
  <c r="E146" i="15"/>
  <c r="E147" i="15"/>
  <c r="E85" i="15"/>
  <c r="E80" i="15"/>
  <c r="O227" i="15"/>
  <c r="AB3" i="13" l="1"/>
  <c r="K250" i="13"/>
  <c r="AP250" i="13" s="1"/>
  <c r="AG20" i="13" a="1"/>
  <c r="AG20" i="13" s="1"/>
  <c r="AG389" i="13" a="1"/>
  <c r="AG389" i="13" s="1"/>
  <c r="AG248" i="13" a="1"/>
  <c r="AG248" i="13" s="1"/>
  <c r="AG197" i="13" a="1"/>
  <c r="AG197" i="13" s="1"/>
  <c r="AG203" i="13" a="1"/>
  <c r="AG203" i="13" s="1"/>
  <c r="AG113" i="13" a="1"/>
  <c r="AG113" i="13" s="1"/>
  <c r="AG97" i="13" a="1"/>
  <c r="AG97" i="13" s="1"/>
  <c r="J97" i="13" s="1"/>
  <c r="AD97" i="13" s="1"/>
  <c r="AQ97" i="13" s="1"/>
  <c r="AG94" i="13" a="1"/>
  <c r="AG94" i="13" s="1"/>
  <c r="AG77" i="13" a="1"/>
  <c r="AG77" i="13" s="1"/>
  <c r="AG70" i="13" a="1"/>
  <c r="AG70" i="13" s="1"/>
  <c r="I357" i="13"/>
  <c r="I356" i="13"/>
  <c r="K356" i="13"/>
  <c r="AP356" i="13" s="1"/>
  <c r="K251" i="13"/>
  <c r="AP251" i="13" s="1"/>
  <c r="AG357" i="13" a="1"/>
  <c r="AG357" i="13" s="1"/>
  <c r="K357" i="13"/>
  <c r="AP357" i="13" s="1"/>
  <c r="I262" i="13"/>
  <c r="K262" i="13"/>
  <c r="AP262" i="13" s="1"/>
  <c r="I369" i="13"/>
  <c r="K369" i="13"/>
  <c r="AP369" i="13" s="1"/>
  <c r="I466" i="13"/>
  <c r="K466" i="13"/>
  <c r="AP466" i="13" s="1"/>
  <c r="I251" i="13"/>
  <c r="AG251" i="13" a="1"/>
  <c r="AG251" i="13" s="1"/>
  <c r="I158" i="13"/>
  <c r="K158" i="13"/>
  <c r="AP158" i="13" s="1"/>
  <c r="I352" i="13"/>
  <c r="K352" i="13"/>
  <c r="AP352" i="13" s="1"/>
  <c r="I499" i="13"/>
  <c r="K499" i="13"/>
  <c r="AP499" i="13" s="1"/>
  <c r="I44" i="13"/>
  <c r="AG44" i="13" a="1"/>
  <c r="AG44" i="13" s="1"/>
  <c r="K44" i="13"/>
  <c r="AP44" i="13" s="1"/>
  <c r="I87" i="13"/>
  <c r="I52" i="13"/>
  <c r="K52" i="13"/>
  <c r="AP52" i="13" s="1"/>
  <c r="I412" i="13"/>
  <c r="K87" i="13"/>
  <c r="AP87" i="13" s="1"/>
  <c r="AG412" i="13" a="1"/>
  <c r="AG412" i="13" s="1"/>
  <c r="K412" i="13"/>
  <c r="AP412" i="13" s="1"/>
  <c r="I340" i="13"/>
  <c r="AG340" i="13" a="1"/>
  <c r="AG340" i="13" s="1"/>
  <c r="K340" i="13"/>
  <c r="AP340" i="13" s="1"/>
  <c r="I240" i="13"/>
  <c r="AG240" i="13" a="1"/>
  <c r="AG240" i="13" s="1"/>
  <c r="K240" i="13"/>
  <c r="AP240" i="13" s="1"/>
  <c r="I14" i="13"/>
  <c r="AG14" i="13" a="1"/>
  <c r="AG14" i="13" s="1"/>
  <c r="K14" i="13"/>
  <c r="AP14" i="13" s="1"/>
  <c r="I259" i="13"/>
  <c r="AG259" i="13" a="1"/>
  <c r="AG259" i="13" s="1"/>
  <c r="K259" i="13"/>
  <c r="AP259" i="13" s="1"/>
  <c r="I424" i="13"/>
  <c r="AG424" i="13" a="1"/>
  <c r="AG424" i="13" s="1"/>
  <c r="J424" i="13" s="1"/>
  <c r="AD424" i="13" s="1"/>
  <c r="AQ424" i="13" s="1"/>
  <c r="K424" i="13"/>
  <c r="AP424" i="13" s="1"/>
  <c r="AG499" i="13" a="1"/>
  <c r="AG499" i="13" s="1"/>
  <c r="AI499" i="13" s="1"/>
  <c r="I30" i="13"/>
  <c r="AG30" i="13" a="1"/>
  <c r="AG30" i="13" s="1"/>
  <c r="K30" i="13"/>
  <c r="AP30" i="13" s="1"/>
  <c r="I157" i="13"/>
  <c r="AG157" i="13" a="1"/>
  <c r="AG157" i="13" s="1"/>
  <c r="K157" i="13"/>
  <c r="AP157" i="13" s="1"/>
  <c r="I443" i="13"/>
  <c r="AG443" i="13" a="1"/>
  <c r="AG443" i="13" s="1"/>
  <c r="AI443" i="13" s="1"/>
  <c r="K443" i="13"/>
  <c r="AP443" i="13" s="1"/>
  <c r="I198" i="13"/>
  <c r="I318" i="13"/>
  <c r="K198" i="13"/>
  <c r="AP198" i="13" s="1"/>
  <c r="I93" i="13"/>
  <c r="AG318" i="13" a="1"/>
  <c r="AG318" i="13" s="1"/>
  <c r="K318" i="13"/>
  <c r="AP318" i="13" s="1"/>
  <c r="AG93" i="13" a="1"/>
  <c r="AG93" i="13" s="1"/>
  <c r="K93" i="13"/>
  <c r="AP93" i="13" s="1"/>
  <c r="I123" i="13"/>
  <c r="AG123" i="13" a="1"/>
  <c r="AG123" i="13" s="1"/>
  <c r="K123" i="13"/>
  <c r="AP123" i="13" s="1"/>
  <c r="I393" i="13"/>
  <c r="K393" i="13"/>
  <c r="AP393" i="13" s="1"/>
  <c r="I81" i="13"/>
  <c r="AG81" i="13" a="1"/>
  <c r="AG81" i="13" s="1"/>
  <c r="I368" i="13"/>
  <c r="K81" i="13"/>
  <c r="AP81" i="13" s="1"/>
  <c r="AG368" i="13" a="1"/>
  <c r="AG368" i="13" s="1"/>
  <c r="K368" i="13"/>
  <c r="AP368" i="13" s="1"/>
  <c r="I367" i="13"/>
  <c r="AG367" i="13" a="1"/>
  <c r="AG367" i="13" s="1"/>
  <c r="K367" i="13"/>
  <c r="AP367" i="13" s="1"/>
  <c r="I417" i="13"/>
  <c r="AG417" i="13" a="1"/>
  <c r="AG417" i="13" s="1"/>
  <c r="K417" i="13"/>
  <c r="AP417" i="13" s="1"/>
  <c r="I400" i="13"/>
  <c r="K400" i="13"/>
  <c r="AP400" i="13" s="1"/>
  <c r="AG400" i="13" a="1"/>
  <c r="AG400" i="13" s="1"/>
  <c r="I22" i="13"/>
  <c r="AG22" i="13" a="1"/>
  <c r="AG22" i="13" s="1"/>
  <c r="K22" i="13"/>
  <c r="AP22" i="13" s="1"/>
  <c r="I10" i="13"/>
  <c r="AG10" i="13" a="1"/>
  <c r="AG10" i="13" s="1"/>
  <c r="K10" i="13"/>
  <c r="AP10" i="13" s="1"/>
  <c r="I325" i="13"/>
  <c r="K325" i="13"/>
  <c r="AP325" i="13" s="1"/>
  <c r="I121" i="13"/>
  <c r="I292" i="13"/>
  <c r="K121" i="13"/>
  <c r="AP121" i="13" s="1"/>
  <c r="I429" i="13"/>
  <c r="AG121" i="13" a="1"/>
  <c r="AG121" i="13" s="1"/>
  <c r="K429" i="13"/>
  <c r="AP429" i="13" s="1"/>
  <c r="AG429" i="13" a="1"/>
  <c r="AG429" i="13" s="1"/>
  <c r="AG292" i="13" a="1"/>
  <c r="AG292" i="13" s="1"/>
  <c r="K292" i="13"/>
  <c r="AP292" i="13" s="1"/>
  <c r="I421" i="13"/>
  <c r="I416" i="13"/>
  <c r="K416" i="13"/>
  <c r="AP416" i="13" s="1"/>
  <c r="AG421" i="13" a="1"/>
  <c r="AG421" i="13" s="1"/>
  <c r="K421" i="13"/>
  <c r="AP421" i="13" s="1"/>
  <c r="I358" i="13"/>
  <c r="K358" i="13"/>
  <c r="AP358" i="13" s="1"/>
  <c r="AG358" i="13" a="1"/>
  <c r="AG358" i="13" s="1"/>
  <c r="K331" i="13"/>
  <c r="AP331" i="13" s="1"/>
  <c r="I331" i="13"/>
  <c r="I301" i="13"/>
  <c r="AG301" i="13" a="1"/>
  <c r="AG301" i="13" s="1"/>
  <c r="K301" i="13"/>
  <c r="AP301" i="13" s="1"/>
  <c r="I359" i="13"/>
  <c r="K359" i="13"/>
  <c r="AP359" i="13" s="1"/>
  <c r="I127" i="13"/>
  <c r="K127" i="13"/>
  <c r="AP127" i="13" s="1"/>
  <c r="AG127" i="13" a="1"/>
  <c r="AG127" i="13" s="1"/>
  <c r="I120" i="13"/>
  <c r="I90" i="13"/>
  <c r="K120" i="13"/>
  <c r="AP120" i="13" s="1"/>
  <c r="AG120" i="13" a="1"/>
  <c r="AG120" i="13" s="1"/>
  <c r="I145" i="13"/>
  <c r="AG145" i="13" a="1"/>
  <c r="AG145" i="13" s="1"/>
  <c r="K145" i="13"/>
  <c r="AP145" i="13" s="1"/>
  <c r="K90" i="13"/>
  <c r="AP90" i="13" s="1"/>
  <c r="I394" i="13"/>
  <c r="K332" i="13"/>
  <c r="AP332" i="13" s="1"/>
  <c r="I332" i="13"/>
  <c r="K394" i="13"/>
  <c r="AP394" i="13" s="1"/>
  <c r="E136" i="15"/>
  <c r="E19" i="15"/>
  <c r="E191" i="15"/>
  <c r="E44" i="15"/>
  <c r="E127" i="15"/>
  <c r="E76" i="15"/>
  <c r="E158" i="15"/>
  <c r="E26" i="15"/>
  <c r="E66" i="15"/>
  <c r="E203" i="15"/>
  <c r="E206" i="15"/>
  <c r="E20" i="15"/>
  <c r="E170" i="15"/>
  <c r="E27" i="15"/>
  <c r="E113" i="15"/>
  <c r="E160" i="15"/>
  <c r="E14" i="15"/>
  <c r="E63" i="15"/>
  <c r="E83" i="15"/>
  <c r="E88" i="15"/>
  <c r="E157" i="15"/>
  <c r="E15" i="15"/>
  <c r="E65" i="15"/>
  <c r="E56" i="15"/>
  <c r="E183" i="15"/>
  <c r="E32" i="15"/>
  <c r="E144" i="15"/>
  <c r="E123" i="15"/>
  <c r="E189" i="15"/>
  <c r="E62" i="15"/>
  <c r="E52" i="15"/>
  <c r="E78" i="15"/>
  <c r="E87" i="15"/>
  <c r="E73" i="15"/>
  <c r="E53" i="15"/>
  <c r="E96" i="15"/>
  <c r="E10" i="15"/>
  <c r="E41" i="15"/>
  <c r="E91" i="15"/>
  <c r="E125" i="15"/>
  <c r="E28" i="15"/>
  <c r="E215" i="15"/>
  <c r="E93" i="15"/>
  <c r="E77" i="15"/>
  <c r="E121" i="15"/>
  <c r="E145" i="15"/>
  <c r="E7" i="15"/>
  <c r="E60" i="15"/>
  <c r="I2" i="15"/>
  <c r="E2" i="15"/>
  <c r="I252" i="13"/>
  <c r="K252" i="13"/>
  <c r="AP252" i="13" s="1"/>
  <c r="I136" i="13"/>
  <c r="AG252" i="13" a="1"/>
  <c r="AG252" i="13" s="1"/>
  <c r="I427" i="13"/>
  <c r="K136" i="13"/>
  <c r="AP136" i="13" s="1"/>
  <c r="AG136" i="13" a="1"/>
  <c r="AG136" i="13" s="1"/>
  <c r="I270" i="13"/>
  <c r="AG427" i="13" a="1"/>
  <c r="AG427" i="13" s="1"/>
  <c r="K427" i="13"/>
  <c r="AP427" i="13" s="1"/>
  <c r="K270" i="13"/>
  <c r="AP270" i="13" s="1"/>
  <c r="AG270" i="13" a="1"/>
  <c r="AG270" i="13" s="1"/>
  <c r="I269" i="13"/>
  <c r="AG269" i="13" a="1"/>
  <c r="AG269" i="13" s="1"/>
  <c r="K269" i="13"/>
  <c r="AP269" i="13" s="1"/>
  <c r="I28" i="13"/>
  <c r="I212" i="13"/>
  <c r="I196" i="13"/>
  <c r="I426" i="13"/>
  <c r="I267" i="13"/>
  <c r="I425" i="13"/>
  <c r="AG115" i="13" a="1"/>
  <c r="AG115" i="13" s="1"/>
  <c r="K267" i="13"/>
  <c r="AP267" i="13" s="1"/>
  <c r="AG28" i="13" a="1"/>
  <c r="AG28" i="13" s="1"/>
  <c r="AG196" i="13" a="1"/>
  <c r="AG196" i="13" s="1"/>
  <c r="AG425" i="13" a="1"/>
  <c r="AG425" i="13" s="1"/>
  <c r="K426" i="13"/>
  <c r="AP426" i="13" s="1"/>
  <c r="K212" i="13"/>
  <c r="AP212" i="13" s="1"/>
  <c r="AG267" i="13" a="1"/>
  <c r="AG267" i="13" s="1"/>
  <c r="AG63" i="13" a="1"/>
  <c r="AG63" i="13" s="1"/>
  <c r="AG426" i="13" a="1"/>
  <c r="AG426" i="13" s="1"/>
  <c r="O55" i="15"/>
  <c r="K196" i="13"/>
  <c r="AP196" i="13" s="1"/>
  <c r="K28" i="13"/>
  <c r="AP28" i="13" s="1"/>
  <c r="K425" i="13"/>
  <c r="AP425" i="13" s="1"/>
  <c r="AG212" i="13" a="1"/>
  <c r="AG212" i="13" s="1"/>
  <c r="AI212" i="13" s="1"/>
  <c r="AG206" i="13" a="1"/>
  <c r="AG206" i="13" s="1"/>
  <c r="AG423" i="13" a="1"/>
  <c r="AG423" i="13" s="1"/>
  <c r="AG56" i="13" a="1"/>
  <c r="AG56" i="13" s="1"/>
  <c r="O267" i="15"/>
  <c r="O425" i="15"/>
  <c r="O212" i="15"/>
  <c r="O270" i="15"/>
  <c r="O269" i="15"/>
  <c r="O198" i="15"/>
  <c r="O429" i="15"/>
  <c r="O423" i="15"/>
  <c r="O426" i="15"/>
  <c r="O427" i="15"/>
  <c r="O145" i="15"/>
  <c r="AF3" i="13"/>
  <c r="AE3" i="13"/>
  <c r="AK3" i="13"/>
  <c r="AG19" i="13" a="1"/>
  <c r="AG19" i="13" s="1"/>
  <c r="AG41" i="13" a="1"/>
  <c r="AG41" i="13" s="1"/>
  <c r="AG52" i="13" a="1"/>
  <c r="AG52" i="13" s="1"/>
  <c r="AG65" i="13" a="1"/>
  <c r="AG65" i="13" s="1"/>
  <c r="AG75" i="13" a="1"/>
  <c r="AG75" i="13" s="1"/>
  <c r="AG158" i="13" a="1"/>
  <c r="AG158" i="13" s="1"/>
  <c r="AG226" i="13" a="1"/>
  <c r="AG226" i="13" s="1"/>
  <c r="AG26" i="13" a="1"/>
  <c r="AG26" i="13" s="1"/>
  <c r="AG43" i="13" a="1"/>
  <c r="AG43" i="13" s="1"/>
  <c r="AG222" i="13" a="1"/>
  <c r="AG222" i="13" s="1"/>
  <c r="AG328" i="13" a="1"/>
  <c r="AG328" i="13" s="1"/>
  <c r="AG331" i="13" a="1"/>
  <c r="AG331" i="13" s="1"/>
  <c r="AG90" i="13" a="1"/>
  <c r="AG90" i="13" s="1"/>
  <c r="AG7" i="13" a="1"/>
  <c r="AG7" i="13" s="1"/>
  <c r="AG91" i="13" a="1"/>
  <c r="AG91" i="13" s="1"/>
  <c r="AG231" i="13" a="1"/>
  <c r="AG231" i="13" s="1"/>
  <c r="AG250" i="13" a="1"/>
  <c r="AG250" i="13" s="1"/>
  <c r="AG332" i="13" a="1"/>
  <c r="AG332" i="13" s="1"/>
  <c r="AG344" i="13" a="1"/>
  <c r="AG344" i="13" s="1"/>
  <c r="AG374" i="13" a="1"/>
  <c r="AG374" i="13" s="1"/>
  <c r="AG382" i="13" a="1"/>
  <c r="AG382" i="13" s="1"/>
  <c r="AG405" i="13" a="1"/>
  <c r="AG405" i="13" s="1"/>
  <c r="AG247" i="13" a="1"/>
  <c r="AG247" i="13" s="1"/>
  <c r="AG333" i="13" a="1"/>
  <c r="AG333" i="13" s="1"/>
  <c r="AG352" i="13" a="1"/>
  <c r="AG352" i="13" s="1"/>
  <c r="AG355" i="13" a="1"/>
  <c r="AG355" i="13" s="1"/>
  <c r="AG372" i="13" a="1"/>
  <c r="AG372" i="13" s="1"/>
  <c r="AG375" i="13" a="1"/>
  <c r="AG375" i="13" s="1"/>
  <c r="AG215" i="13" a="1"/>
  <c r="AG215" i="13" s="1"/>
  <c r="AG224" i="13" a="1"/>
  <c r="AG224" i="13" s="1"/>
  <c r="AG325" i="13" a="1"/>
  <c r="AG325" i="13" s="1"/>
  <c r="AG356" i="13" a="1"/>
  <c r="AG356" i="13" s="1"/>
  <c r="AG359" i="13" a="1"/>
  <c r="AG359" i="13" s="1"/>
  <c r="AG362" i="13" a="1"/>
  <c r="AG362" i="13" s="1"/>
  <c r="AG393" i="13" a="1"/>
  <c r="AG393" i="13" s="1"/>
  <c r="AG418" i="13" a="1"/>
  <c r="AG418" i="13" s="1"/>
  <c r="AG360" i="13" a="1"/>
  <c r="AG360" i="13" s="1"/>
  <c r="AG394" i="13" a="1"/>
  <c r="AG394" i="13" s="1"/>
  <c r="AG416" i="13" a="1"/>
  <c r="AG416" i="13" s="1"/>
  <c r="AG363" i="13" a="1"/>
  <c r="AG363" i="13" s="1"/>
  <c r="O91" i="15"/>
  <c r="O421" i="15"/>
  <c r="AG380" i="13" a="1"/>
  <c r="AG380" i="13" s="1"/>
  <c r="O418" i="15"/>
  <c r="O417" i="15"/>
  <c r="O203" i="15"/>
  <c r="O416" i="15"/>
  <c r="AG27" i="13" a="1"/>
  <c r="AG27" i="13" s="1"/>
  <c r="I27" i="13"/>
  <c r="K27" i="13"/>
  <c r="AP27" i="13" s="1"/>
  <c r="K415" i="13"/>
  <c r="AP415" i="13" s="1"/>
  <c r="AG415" i="13" a="1"/>
  <c r="AG415" i="13" s="1"/>
  <c r="AG377" i="13" a="1"/>
  <c r="AG377" i="13" s="1"/>
  <c r="AG342" i="13" a="1"/>
  <c r="AG342" i="13" s="1"/>
  <c r="I96" i="13"/>
  <c r="I216" i="13"/>
  <c r="AG216" i="13" a="1"/>
  <c r="AG216" i="13" s="1"/>
  <c r="K216" i="13"/>
  <c r="AP216" i="13" s="1"/>
  <c r="K96" i="13"/>
  <c r="AP96" i="13" s="1"/>
  <c r="AG96" i="13" a="1"/>
  <c r="AG96" i="13" s="1"/>
  <c r="AG78" i="13" a="1"/>
  <c r="AG78" i="13" s="1"/>
  <c r="AG343" i="13" a="1"/>
  <c r="AG343" i="13" s="1"/>
  <c r="O381" i="15"/>
  <c r="AG327" i="13" a="1"/>
  <c r="AG327" i="13" s="1"/>
  <c r="AG379" i="13" a="1"/>
  <c r="AG379" i="13" s="1"/>
  <c r="O65" i="15"/>
  <c r="O400" i="15"/>
  <c r="O26" i="15"/>
  <c r="I7" i="13"/>
  <c r="K7" i="13"/>
  <c r="AP7" i="13" s="1"/>
  <c r="O394" i="15"/>
  <c r="O370" i="15"/>
  <c r="I231" i="13"/>
  <c r="K231" i="13"/>
  <c r="AP231" i="13" s="1"/>
  <c r="AG347" i="13" a="1"/>
  <c r="AG347" i="13" s="1"/>
  <c r="I60" i="13"/>
  <c r="AG348" i="13" a="1"/>
  <c r="AG348" i="13" s="1"/>
  <c r="I279" i="13"/>
  <c r="I83" i="13"/>
  <c r="AG47" i="13" a="1"/>
  <c r="AG47" i="13" s="1"/>
  <c r="I194" i="13"/>
  <c r="K189" i="13"/>
  <c r="AP189" i="13" s="1"/>
  <c r="AG364" i="13" a="1"/>
  <c r="AG364" i="13" s="1"/>
  <c r="O347" i="15"/>
  <c r="I361" i="13"/>
  <c r="I244" i="13"/>
  <c r="K354" i="13"/>
  <c r="AP354" i="13" s="1"/>
  <c r="I66" i="13"/>
  <c r="O348" i="15"/>
  <c r="AG326" i="13" a="1"/>
  <c r="AG326" i="13" s="1"/>
  <c r="O350" i="15"/>
  <c r="AG365" i="13" a="1"/>
  <c r="AG365" i="13" s="1"/>
  <c r="I319" i="13"/>
  <c r="O323" i="15"/>
  <c r="O324" i="15"/>
  <c r="AG227" i="13" a="1"/>
  <c r="AG227" i="13" s="1"/>
  <c r="O365" i="15"/>
  <c r="I88" i="13"/>
  <c r="AG349" i="13" a="1"/>
  <c r="AG349" i="13" s="1"/>
  <c r="AG383" i="13" a="1"/>
  <c r="AG383" i="13" s="1"/>
  <c r="AG346" i="13" a="1"/>
  <c r="AG346" i="13" s="1"/>
  <c r="O68" i="15"/>
  <c r="I62" i="13"/>
  <c r="I323" i="13"/>
  <c r="O349" i="15"/>
  <c r="O172" i="15"/>
  <c r="O268" i="15"/>
  <c r="O127" i="15"/>
  <c r="O265" i="15"/>
  <c r="O262" i="15"/>
  <c r="O264" i="15"/>
  <c r="O259" i="15"/>
  <c r="O161" i="15"/>
  <c r="O258" i="15"/>
  <c r="O256" i="15"/>
  <c r="O257" i="15"/>
  <c r="O255" i="15"/>
  <c r="O254" i="15"/>
  <c r="O223" i="15"/>
  <c r="O251" i="15"/>
  <c r="O247" i="15"/>
  <c r="O168" i="15"/>
  <c r="O241" i="15"/>
  <c r="O160" i="15"/>
  <c r="O5" i="15"/>
  <c r="O246" i="15"/>
  <c r="O19" i="15"/>
  <c r="O150" i="15"/>
  <c r="O240" i="15"/>
  <c r="O239" i="15"/>
  <c r="O188" i="15"/>
  <c r="O30" i="15"/>
  <c r="O238" i="15"/>
  <c r="O157" i="15"/>
  <c r="O237" i="15"/>
  <c r="O235" i="15"/>
  <c r="O234" i="15"/>
  <c r="O232" i="15"/>
  <c r="O210" i="15"/>
  <c r="O230" i="15"/>
  <c r="O66" i="15"/>
  <c r="O70" i="15"/>
  <c r="O226" i="15"/>
  <c r="J343" i="13" l="1"/>
  <c r="AD343" i="13" s="1"/>
  <c r="AQ343" i="13" s="1"/>
  <c r="AI343" i="13"/>
  <c r="J379" i="13"/>
  <c r="AD379" i="13" s="1"/>
  <c r="AQ379" i="13" s="1"/>
  <c r="AI379" i="13"/>
  <c r="J377" i="13"/>
  <c r="AD377" i="13" s="1"/>
  <c r="AQ377" i="13" s="1"/>
  <c r="AI377" i="13"/>
  <c r="J215" i="13"/>
  <c r="AD215" i="13" s="1"/>
  <c r="AQ215" i="13" s="1"/>
  <c r="AI215" i="13"/>
  <c r="J342" i="13"/>
  <c r="AD342" i="13" s="1"/>
  <c r="AQ342" i="13" s="1"/>
  <c r="AI342" i="13"/>
  <c r="J383" i="13"/>
  <c r="AD383" i="13" s="1"/>
  <c r="AQ383" i="13" s="1"/>
  <c r="AI383" i="13"/>
  <c r="J327" i="13"/>
  <c r="AD327" i="13" s="1"/>
  <c r="AQ327" i="13" s="1"/>
  <c r="AI327" i="13"/>
  <c r="AI96" i="13"/>
  <c r="J96" i="13"/>
  <c r="AD96" i="13" s="1"/>
  <c r="AQ96" i="13" s="1"/>
  <c r="AI27" i="13"/>
  <c r="J27" i="13"/>
  <c r="AD27" i="13" s="1"/>
  <c r="AQ27" i="13" s="1"/>
  <c r="J374" i="13"/>
  <c r="AD374" i="13" s="1"/>
  <c r="AQ374" i="13" s="1"/>
  <c r="AI374" i="13"/>
  <c r="J212" i="13"/>
  <c r="AD212" i="13" s="1"/>
  <c r="AQ212" i="13" s="1"/>
  <c r="AI7" i="13"/>
  <c r="J7" i="13"/>
  <c r="AD7" i="13" s="1"/>
  <c r="AQ7" i="13" s="1"/>
  <c r="J380" i="13"/>
  <c r="AD380" i="13" s="1"/>
  <c r="AQ380" i="13" s="1"/>
  <c r="AI380" i="13"/>
  <c r="J216" i="13"/>
  <c r="AD216" i="13" s="1"/>
  <c r="AQ216" i="13" s="1"/>
  <c r="AI216" i="13"/>
  <c r="J20" i="13"/>
  <c r="AD20" i="13" s="1"/>
  <c r="AQ20" i="13" s="1"/>
  <c r="AI20" i="13"/>
  <c r="AG466" i="13" a="1"/>
  <c r="AG466" i="13" s="1"/>
  <c r="AG371" i="13" a="1"/>
  <c r="AG371" i="13" s="1"/>
  <c r="AG369" i="13" a="1"/>
  <c r="AG369" i="13" s="1"/>
  <c r="AG370" i="13" a="1"/>
  <c r="AG370" i="13" s="1"/>
  <c r="AG350" i="13" a="1"/>
  <c r="AG350" i="13" s="1"/>
  <c r="AG353" i="13" a="1"/>
  <c r="AG353" i="13" s="1"/>
  <c r="AG262" i="13" a="1"/>
  <c r="AG262" i="13" s="1"/>
  <c r="J262" i="13" s="1"/>
  <c r="AD262" i="13" s="1"/>
  <c r="AQ262" i="13" s="1"/>
  <c r="AG198" i="13" a="1"/>
  <c r="AG198" i="13" s="1"/>
  <c r="AI198" i="13" s="1"/>
  <c r="AG183" i="13" a="1"/>
  <c r="AG183" i="13" s="1"/>
  <c r="AI183" i="13" s="1"/>
  <c r="AG125" i="13" a="1"/>
  <c r="AG125" i="13" s="1"/>
  <c r="AG87" i="13" a="1"/>
  <c r="AG87" i="13" s="1"/>
  <c r="AG68" i="13" a="1"/>
  <c r="AG68" i="13" s="1"/>
  <c r="AG69" i="13" a="1"/>
  <c r="AG69" i="13" s="1"/>
  <c r="AG51" i="13" a="1"/>
  <c r="AG51" i="13" s="1"/>
  <c r="AG2" i="13" a="1"/>
  <c r="AG2" i="13" s="1"/>
  <c r="K66" i="13"/>
  <c r="AP66" i="13" s="1"/>
  <c r="AG66" i="13" a="1"/>
  <c r="AG66" i="13" s="1"/>
  <c r="AG373" i="13" a="1"/>
  <c r="AG373" i="13" s="1"/>
  <c r="I172" i="13"/>
  <c r="K244" i="13"/>
  <c r="AP244" i="13" s="1"/>
  <c r="AG244" i="13" a="1"/>
  <c r="AG244" i="13" s="1"/>
  <c r="I189" i="13"/>
  <c r="AG189" i="13" a="1"/>
  <c r="AG189" i="13" s="1"/>
  <c r="K183" i="13"/>
  <c r="AP183" i="13" s="1"/>
  <c r="I183" i="13"/>
  <c r="K88" i="13"/>
  <c r="AP88" i="13" s="1"/>
  <c r="AG354" i="13" a="1"/>
  <c r="AG354" i="13" s="1"/>
  <c r="I354" i="13"/>
  <c r="AG428" i="13" a="1"/>
  <c r="AG428" i="13" s="1"/>
  <c r="AI428" i="13" s="1"/>
  <c r="K319" i="13"/>
  <c r="AP319" i="13" s="1"/>
  <c r="AG319" i="13" a="1"/>
  <c r="AG319" i="13" s="1"/>
  <c r="J499" i="13"/>
  <c r="AD499" i="13" s="1"/>
  <c r="AQ499" i="13" s="1"/>
  <c r="J259" i="13"/>
  <c r="AD259" i="13" s="1"/>
  <c r="AQ259" i="13" s="1"/>
  <c r="AI259" i="13"/>
  <c r="K62" i="13"/>
  <c r="AP62" i="13" s="1"/>
  <c r="AG62" i="13" a="1"/>
  <c r="AG62" i="13" s="1"/>
  <c r="K210" i="13"/>
  <c r="AP210" i="13" s="1"/>
  <c r="I210" i="13"/>
  <c r="AG210" i="13" a="1"/>
  <c r="AG210" i="13" s="1"/>
  <c r="I324" i="13"/>
  <c r="I55" i="13"/>
  <c r="K60" i="13"/>
  <c r="AP60" i="13" s="1"/>
  <c r="K361" i="13"/>
  <c r="AP361" i="13" s="1"/>
  <c r="AG361" i="13" a="1"/>
  <c r="AG361" i="13" s="1"/>
  <c r="K323" i="13"/>
  <c r="AP323" i="13" s="1"/>
  <c r="AG323" i="13" a="1"/>
  <c r="AG323" i="13" s="1"/>
  <c r="J412" i="13"/>
  <c r="AD412" i="13" s="1"/>
  <c r="AQ412" i="13" s="1"/>
  <c r="AI412" i="13"/>
  <c r="I170" i="13"/>
  <c r="AG170" i="13" a="1"/>
  <c r="AG170" i="13" s="1"/>
  <c r="K170" i="13"/>
  <c r="AP170" i="13" s="1"/>
  <c r="J443" i="13"/>
  <c r="AD443" i="13" s="1"/>
  <c r="AQ443" i="13" s="1"/>
  <c r="AI97" i="13"/>
  <c r="AG381" i="13" a="1"/>
  <c r="AG381" i="13" s="1"/>
  <c r="AI381" i="13" s="1"/>
  <c r="I246" i="13"/>
  <c r="K246" i="13"/>
  <c r="AP246" i="13" s="1"/>
  <c r="AG246" i="13" a="1"/>
  <c r="AG246" i="13" s="1"/>
  <c r="AI424" i="13"/>
  <c r="O415" i="15"/>
  <c r="O419" i="15"/>
  <c r="K317" i="13"/>
  <c r="AP317" i="13" s="1"/>
  <c r="O317" i="15"/>
  <c r="K379" i="13"/>
  <c r="AP379" i="13" s="1"/>
  <c r="O379" i="15"/>
  <c r="I377" i="13"/>
  <c r="M377" i="15"/>
  <c r="N377" i="15" s="1"/>
  <c r="G377" i="15"/>
  <c r="I377" i="15" s="1"/>
  <c r="I415" i="13"/>
  <c r="M415" i="15"/>
  <c r="N415" i="15" s="1"/>
  <c r="G415" i="15"/>
  <c r="I415" i="15" s="1"/>
  <c r="K321" i="13"/>
  <c r="AP321" i="13" s="1"/>
  <c r="O321" i="15"/>
  <c r="I327" i="13"/>
  <c r="G327" i="15"/>
  <c r="I327" i="15" s="1"/>
  <c r="M327" i="15"/>
  <c r="N327" i="15" s="1"/>
  <c r="K380" i="13"/>
  <c r="AP380" i="13" s="1"/>
  <c r="O380" i="15"/>
  <c r="I379" i="13"/>
  <c r="G379" i="15"/>
  <c r="I379" i="15" s="1"/>
  <c r="M379" i="15"/>
  <c r="N379" i="15" s="1"/>
  <c r="I343" i="13"/>
  <c r="M343" i="15"/>
  <c r="N343" i="15" s="1"/>
  <c r="G343" i="15"/>
  <c r="I343" i="15" s="1"/>
  <c r="K377" i="13"/>
  <c r="AP377" i="13" s="1"/>
  <c r="O377" i="15"/>
  <c r="M374" i="15"/>
  <c r="N374" i="15" s="1"/>
  <c r="G374" i="15"/>
  <c r="I374" i="15" s="1"/>
  <c r="K327" i="13"/>
  <c r="AP327" i="13" s="1"/>
  <c r="O327" i="15"/>
  <c r="K343" i="13"/>
  <c r="AP343" i="13" s="1"/>
  <c r="O343" i="15"/>
  <c r="K342" i="13"/>
  <c r="AP342" i="13" s="1"/>
  <c r="O342" i="15"/>
  <c r="I342" i="13"/>
  <c r="M342" i="15"/>
  <c r="N342" i="15" s="1"/>
  <c r="G342" i="15"/>
  <c r="I342" i="15" s="1"/>
  <c r="I380" i="13"/>
  <c r="M380" i="15"/>
  <c r="N380" i="15" s="1"/>
  <c r="G380" i="15"/>
  <c r="I380" i="15" s="1"/>
  <c r="O428" i="15"/>
  <c r="AG191" i="13" a="1"/>
  <c r="AG191" i="13" s="1"/>
  <c r="K78" i="13"/>
  <c r="AP78" i="13" s="1"/>
  <c r="I78" i="13"/>
  <c r="AG18" i="13" a="1"/>
  <c r="AG18" i="13" s="1"/>
  <c r="I428" i="13"/>
  <c r="K18" i="13"/>
  <c r="AP18" i="13" s="1"/>
  <c r="J115" i="13"/>
  <c r="AD115" i="13" s="1"/>
  <c r="AQ115" i="13" s="1"/>
  <c r="AI115" i="13"/>
  <c r="I18" i="13"/>
  <c r="I381" i="13"/>
  <c r="K381" i="13"/>
  <c r="AP381" i="13" s="1"/>
  <c r="J270" i="13"/>
  <c r="AD270" i="13" s="1"/>
  <c r="AQ270" i="13" s="1"/>
  <c r="AI270" i="13"/>
  <c r="J22" i="13"/>
  <c r="AD22" i="13" s="1"/>
  <c r="AQ22" i="13" s="1"/>
  <c r="AI22" i="13"/>
  <c r="AI267" i="13"/>
  <c r="J267" i="13"/>
  <c r="AD267" i="13" s="1"/>
  <c r="AQ267" i="13" s="1"/>
  <c r="J423" i="13"/>
  <c r="AD423" i="13" s="1"/>
  <c r="AQ423" i="13" s="1"/>
  <c r="AI423" i="13"/>
  <c r="J429" i="13"/>
  <c r="AD429" i="13" s="1"/>
  <c r="AQ429" i="13" s="1"/>
  <c r="AI429" i="13"/>
  <c r="J425" i="13"/>
  <c r="AD425" i="13" s="1"/>
  <c r="AQ425" i="13" s="1"/>
  <c r="AI425" i="13"/>
  <c r="J252" i="13"/>
  <c r="AD252" i="13" s="1"/>
  <c r="AQ252" i="13" s="1"/>
  <c r="AI252" i="13"/>
  <c r="J206" i="13"/>
  <c r="AD206" i="13" s="1"/>
  <c r="AQ206" i="13" s="1"/>
  <c r="AI206" i="13"/>
  <c r="J426" i="13"/>
  <c r="AD426" i="13" s="1"/>
  <c r="AQ426" i="13" s="1"/>
  <c r="AI426" i="13"/>
  <c r="J56" i="13"/>
  <c r="AD56" i="13" s="1"/>
  <c r="AQ56" i="13" s="1"/>
  <c r="AI56" i="13"/>
  <c r="J269" i="13"/>
  <c r="AD269" i="13" s="1"/>
  <c r="AQ269" i="13" s="1"/>
  <c r="AI269" i="13"/>
  <c r="J427" i="13"/>
  <c r="AD427" i="13" s="1"/>
  <c r="AQ427" i="13" s="1"/>
  <c r="AI427" i="13"/>
  <c r="AI63" i="13"/>
  <c r="J63" i="13"/>
  <c r="AD63" i="13" s="1"/>
  <c r="AQ63" i="13" s="1"/>
  <c r="I374" i="13"/>
  <c r="J145" i="13"/>
  <c r="AD145" i="13" s="1"/>
  <c r="AQ145" i="13" s="1"/>
  <c r="AI145" i="13"/>
  <c r="J78" i="13"/>
  <c r="AD78" i="13" s="1"/>
  <c r="AQ78" i="13" s="1"/>
  <c r="AI78" i="13"/>
  <c r="J348" i="13"/>
  <c r="AI348" i="13"/>
  <c r="J323" i="13"/>
  <c r="AD323" i="13" s="1"/>
  <c r="AQ323" i="13" s="1"/>
  <c r="AI323" i="13"/>
  <c r="J365" i="13"/>
  <c r="AI365" i="13"/>
  <c r="J364" i="13"/>
  <c r="AI364" i="13"/>
  <c r="J18" i="13"/>
  <c r="AD18" i="13" s="1"/>
  <c r="AQ18" i="13" s="1"/>
  <c r="AI18" i="13"/>
  <c r="J62" i="13"/>
  <c r="AD62" i="13" s="1"/>
  <c r="AQ62" i="13" s="1"/>
  <c r="AI62" i="13"/>
  <c r="J346" i="13"/>
  <c r="AI346" i="13"/>
  <c r="J326" i="13"/>
  <c r="AD326" i="13" s="1"/>
  <c r="AQ326" i="13" s="1"/>
  <c r="AI326" i="13"/>
  <c r="J191" i="13"/>
  <c r="AD191" i="13" s="1"/>
  <c r="AQ191" i="13" s="1"/>
  <c r="AI191" i="13"/>
  <c r="J347" i="13"/>
  <c r="AI347" i="13"/>
  <c r="J381" i="13"/>
  <c r="J227" i="13"/>
  <c r="AD227" i="13" s="1"/>
  <c r="AQ227" i="13" s="1"/>
  <c r="AI227" i="13"/>
  <c r="J349" i="13"/>
  <c r="AI349" i="13"/>
  <c r="J361" i="13"/>
  <c r="AI361" i="13"/>
  <c r="J47" i="13"/>
  <c r="AD47" i="13" s="1"/>
  <c r="AQ47" i="13" s="1"/>
  <c r="AI47" i="13"/>
  <c r="J367" i="13"/>
  <c r="AI367" i="13"/>
  <c r="J416" i="13"/>
  <c r="AD416" i="13" s="1"/>
  <c r="AQ416" i="13" s="1"/>
  <c r="AI416" i="13"/>
  <c r="J356" i="13"/>
  <c r="AI356" i="13"/>
  <c r="J224" i="13"/>
  <c r="AD224" i="13" s="1"/>
  <c r="AQ224" i="13" s="1"/>
  <c r="AI224" i="13"/>
  <c r="J389" i="13"/>
  <c r="AI389" i="13"/>
  <c r="J375" i="13"/>
  <c r="AI375" i="13"/>
  <c r="J358" i="13"/>
  <c r="AI358" i="13"/>
  <c r="J333" i="13"/>
  <c r="AI333" i="13"/>
  <c r="J247" i="13"/>
  <c r="AD247" i="13" s="1"/>
  <c r="AQ247" i="13" s="1"/>
  <c r="AI247" i="13"/>
  <c r="J81" i="13"/>
  <c r="AD81" i="13" s="1"/>
  <c r="AQ81" i="13" s="1"/>
  <c r="AI81" i="13"/>
  <c r="J357" i="13"/>
  <c r="AI357" i="13"/>
  <c r="J344" i="13"/>
  <c r="AI344" i="13"/>
  <c r="J123" i="13"/>
  <c r="AD123" i="13" s="1"/>
  <c r="AQ123" i="13" s="1"/>
  <c r="AI123" i="13"/>
  <c r="J127" i="13"/>
  <c r="AD127" i="13" s="1"/>
  <c r="AQ127" i="13" s="1"/>
  <c r="AI127" i="13"/>
  <c r="J70" i="13"/>
  <c r="AD70" i="13" s="1"/>
  <c r="AQ70" i="13" s="1"/>
  <c r="AI70" i="13"/>
  <c r="J14" i="13"/>
  <c r="AD14" i="13" s="1"/>
  <c r="AQ14" i="13" s="1"/>
  <c r="AI14" i="13"/>
  <c r="J94" i="13"/>
  <c r="AD94" i="13" s="1"/>
  <c r="AQ94" i="13" s="1"/>
  <c r="AI94" i="13"/>
  <c r="J318" i="13"/>
  <c r="AD318" i="13" s="1"/>
  <c r="AQ318" i="13" s="1"/>
  <c r="AI318" i="13"/>
  <c r="J203" i="13"/>
  <c r="AD203" i="13" s="1"/>
  <c r="AQ203" i="13" s="1"/>
  <c r="AI203" i="13"/>
  <c r="J93" i="13"/>
  <c r="AD93" i="13" s="1"/>
  <c r="AQ93" i="13" s="1"/>
  <c r="AI93" i="13"/>
  <c r="J43" i="13"/>
  <c r="AD43" i="13" s="1"/>
  <c r="AQ43" i="13" s="1"/>
  <c r="AI43" i="13"/>
  <c r="J226" i="13"/>
  <c r="AD226" i="13" s="1"/>
  <c r="AQ226" i="13" s="1"/>
  <c r="AI226" i="13"/>
  <c r="J136" i="13"/>
  <c r="AD136" i="13" s="1"/>
  <c r="AQ136" i="13" s="1"/>
  <c r="AI136" i="13"/>
  <c r="I73" i="13"/>
  <c r="J394" i="13"/>
  <c r="AI394" i="13"/>
  <c r="J340" i="13"/>
  <c r="AI340" i="13"/>
  <c r="J393" i="13"/>
  <c r="AI393" i="13"/>
  <c r="J325" i="13"/>
  <c r="AD325" i="13" s="1"/>
  <c r="AQ325" i="13" s="1"/>
  <c r="AI325" i="13"/>
  <c r="J372" i="13"/>
  <c r="AI372" i="13"/>
  <c r="J355" i="13"/>
  <c r="AI355" i="13"/>
  <c r="J240" i="13"/>
  <c r="AD240" i="13" s="1"/>
  <c r="AQ240" i="13" s="1"/>
  <c r="AI240" i="13"/>
  <c r="J405" i="13"/>
  <c r="AI405" i="13"/>
  <c r="J332" i="13"/>
  <c r="AI332" i="13"/>
  <c r="J292" i="13"/>
  <c r="AD292" i="13" s="1"/>
  <c r="AQ292" i="13" s="1"/>
  <c r="AI292" i="13"/>
  <c r="J91" i="13"/>
  <c r="AD91" i="13" s="1"/>
  <c r="AQ91" i="13" s="1"/>
  <c r="AI91" i="13"/>
  <c r="J90" i="13"/>
  <c r="AD90" i="13" s="1"/>
  <c r="AQ90" i="13" s="1"/>
  <c r="AI90" i="13"/>
  <c r="J44" i="13"/>
  <c r="AD44" i="13" s="1"/>
  <c r="AQ44" i="13" s="1"/>
  <c r="AI44" i="13"/>
  <c r="J10" i="13"/>
  <c r="AD10" i="13" s="1"/>
  <c r="AQ10" i="13" s="1"/>
  <c r="AI10" i="13"/>
  <c r="J331" i="13"/>
  <c r="AI331" i="13"/>
  <c r="J196" i="13"/>
  <c r="AD196" i="13" s="1"/>
  <c r="AQ196" i="13" s="1"/>
  <c r="AI196" i="13"/>
  <c r="J26" i="13"/>
  <c r="AD26" i="13" s="1"/>
  <c r="AQ26" i="13" s="1"/>
  <c r="AI26" i="13"/>
  <c r="J75" i="13"/>
  <c r="AD75" i="13" s="1"/>
  <c r="AQ75" i="13" s="1"/>
  <c r="AI75" i="13"/>
  <c r="J52" i="13"/>
  <c r="AD52" i="13" s="1"/>
  <c r="AQ52" i="13" s="1"/>
  <c r="AI52" i="13"/>
  <c r="J19" i="13"/>
  <c r="AD19" i="13" s="1"/>
  <c r="AQ19" i="13" s="1"/>
  <c r="AI19" i="13"/>
  <c r="J363" i="13"/>
  <c r="AI363" i="13"/>
  <c r="J421" i="13"/>
  <c r="AD421" i="13" s="1"/>
  <c r="AQ421" i="13" s="1"/>
  <c r="AI421" i="13"/>
  <c r="J362" i="13"/>
  <c r="AI362" i="13"/>
  <c r="J248" i="13"/>
  <c r="AD248" i="13" s="1"/>
  <c r="AQ248" i="13" s="1"/>
  <c r="AI248" i="13"/>
  <c r="J417" i="13"/>
  <c r="AD417" i="13" s="1"/>
  <c r="AQ417" i="13" s="1"/>
  <c r="AI417" i="13"/>
  <c r="J352" i="13"/>
  <c r="AI352" i="13"/>
  <c r="J301" i="13"/>
  <c r="AD301" i="13" s="1"/>
  <c r="AQ301" i="13" s="1"/>
  <c r="AI301" i="13"/>
  <c r="J382" i="13"/>
  <c r="AI382" i="13"/>
  <c r="J368" i="13"/>
  <c r="AI368" i="13"/>
  <c r="AG351" i="13" a="1"/>
  <c r="AG351" i="13" s="1"/>
  <c r="J328" i="13"/>
  <c r="AD328" i="13" s="1"/>
  <c r="AQ328" i="13" s="1"/>
  <c r="AI328" i="13"/>
  <c r="J157" i="13"/>
  <c r="AD157" i="13" s="1"/>
  <c r="AQ157" i="13" s="1"/>
  <c r="AI157" i="13"/>
  <c r="J41" i="13"/>
  <c r="AD41" i="13" s="1"/>
  <c r="AQ41" i="13" s="1"/>
  <c r="AI41" i="13"/>
  <c r="AG15" i="13" a="1"/>
  <c r="AG15" i="13" s="1"/>
  <c r="J360" i="13"/>
  <c r="AI360" i="13"/>
  <c r="J418" i="13"/>
  <c r="AD418" i="13" s="1"/>
  <c r="AQ418" i="13" s="1"/>
  <c r="AI418" i="13"/>
  <c r="J359" i="13"/>
  <c r="AI359" i="13"/>
  <c r="J400" i="13"/>
  <c r="AI400" i="13"/>
  <c r="J251" i="13"/>
  <c r="AD251" i="13" s="1"/>
  <c r="AQ251" i="13" s="1"/>
  <c r="AI251" i="13"/>
  <c r="J250" i="13"/>
  <c r="AD250" i="13" s="1"/>
  <c r="AQ250" i="13" s="1"/>
  <c r="AI250" i="13"/>
  <c r="J197" i="13"/>
  <c r="AD197" i="13" s="1"/>
  <c r="AQ197" i="13" s="1"/>
  <c r="AI197" i="13"/>
  <c r="J77" i="13"/>
  <c r="AD77" i="13" s="1"/>
  <c r="AQ77" i="13" s="1"/>
  <c r="AI77" i="13"/>
  <c r="J113" i="13"/>
  <c r="AD113" i="13" s="1"/>
  <c r="AQ113" i="13" s="1"/>
  <c r="AI113" i="13"/>
  <c r="J28" i="13"/>
  <c r="AD28" i="13" s="1"/>
  <c r="AQ28" i="13" s="1"/>
  <c r="AI28" i="13"/>
  <c r="J222" i="13"/>
  <c r="AD222" i="13" s="1"/>
  <c r="AQ222" i="13" s="1"/>
  <c r="AI222" i="13"/>
  <c r="J120" i="13"/>
  <c r="AD120" i="13" s="1"/>
  <c r="AQ120" i="13" s="1"/>
  <c r="AI120" i="13"/>
  <c r="J158" i="13"/>
  <c r="AD158" i="13" s="1"/>
  <c r="AQ158" i="13" s="1"/>
  <c r="AI158" i="13"/>
  <c r="J121" i="13"/>
  <c r="AD121" i="13" s="1"/>
  <c r="AQ121" i="13" s="1"/>
  <c r="AI121" i="13"/>
  <c r="J65" i="13"/>
  <c r="AD65" i="13" s="1"/>
  <c r="AQ65" i="13" s="1"/>
  <c r="AI65" i="13"/>
  <c r="J30" i="13"/>
  <c r="AD30" i="13" s="1"/>
  <c r="AQ30" i="13" s="1"/>
  <c r="AI30" i="13"/>
  <c r="AG321" i="13" a="1"/>
  <c r="AG321" i="13" s="1"/>
  <c r="AG317" i="13" a="1"/>
  <c r="AG317" i="13" s="1"/>
  <c r="M27" i="15"/>
  <c r="G27" i="15"/>
  <c r="O27" i="15"/>
  <c r="AG378" i="13" a="1"/>
  <c r="AG378" i="13" s="1"/>
  <c r="M216" i="15"/>
  <c r="N216" i="15" s="1"/>
  <c r="G216" i="15"/>
  <c r="I216" i="15" s="1"/>
  <c r="O216" i="15"/>
  <c r="AG73" i="13" a="1"/>
  <c r="AG73" i="13" s="1"/>
  <c r="K73" i="13"/>
  <c r="AP73" i="13" s="1"/>
  <c r="M279" i="15"/>
  <c r="G279" i="15"/>
  <c r="M231" i="15"/>
  <c r="G231" i="15"/>
  <c r="M132" i="15"/>
  <c r="G132" i="15"/>
  <c r="M73" i="15"/>
  <c r="G73" i="15"/>
  <c r="M194" i="15"/>
  <c r="G194" i="15"/>
  <c r="K194" i="13"/>
  <c r="AP194" i="13" s="1"/>
  <c r="K215" i="13"/>
  <c r="AP215" i="13" s="1"/>
  <c r="I215" i="13"/>
  <c r="K374" i="13"/>
  <c r="AP374" i="13" s="1"/>
  <c r="K279" i="13"/>
  <c r="AP279" i="13" s="1"/>
  <c r="AG279" i="13" a="1"/>
  <c r="AG279" i="13" s="1"/>
  <c r="K83" i="13"/>
  <c r="AP83" i="13" s="1"/>
  <c r="AG83" i="13" a="1"/>
  <c r="AG83" i="13" s="1"/>
  <c r="I254" i="13"/>
  <c r="AG160" i="13" a="1"/>
  <c r="AG160" i="13" s="1"/>
  <c r="I225" i="13"/>
  <c r="O181" i="15"/>
  <c r="O56" i="15"/>
  <c r="O167" i="15"/>
  <c r="O231" i="15"/>
  <c r="O233" i="15"/>
  <c r="O93" i="15"/>
  <c r="O134" i="15"/>
  <c r="O82" i="15"/>
  <c r="O87" i="15"/>
  <c r="O169" i="15"/>
  <c r="M109" i="15"/>
  <c r="N109" i="15" s="1"/>
  <c r="G109" i="15"/>
  <c r="I109" i="15" s="1"/>
  <c r="O177" i="15"/>
  <c r="O170" i="15"/>
  <c r="O10" i="15"/>
  <c r="O159" i="15"/>
  <c r="O206" i="15"/>
  <c r="O174" i="15"/>
  <c r="C3" i="15"/>
  <c r="E3" i="15" s="1"/>
  <c r="O84" i="15"/>
  <c r="M211" i="15"/>
  <c r="N211" i="15" s="1"/>
  <c r="G211" i="15"/>
  <c r="I211" i="15" s="1"/>
  <c r="O209" i="15"/>
  <c r="M96" i="15"/>
  <c r="G96" i="15"/>
  <c r="M193" i="15"/>
  <c r="N193" i="15" s="1"/>
  <c r="G193" i="15"/>
  <c r="I193" i="15" s="1"/>
  <c r="M82" i="15"/>
  <c r="N82" i="15" s="1"/>
  <c r="G82" i="15"/>
  <c r="I82" i="15" s="1"/>
  <c r="M186" i="15"/>
  <c r="N186" i="15" s="1"/>
  <c r="G186" i="15"/>
  <c r="I186" i="15" s="1"/>
  <c r="M47" i="15"/>
  <c r="N47" i="15" s="1"/>
  <c r="G47" i="15"/>
  <c r="I47" i="15" s="1"/>
  <c r="M136" i="15"/>
  <c r="G136" i="15"/>
  <c r="M219" i="15"/>
  <c r="N219" i="15" s="1"/>
  <c r="G219" i="15"/>
  <c r="I219" i="15" s="1"/>
  <c r="M147" i="15"/>
  <c r="N147" i="15" s="1"/>
  <c r="G147" i="15"/>
  <c r="I147" i="15" s="1"/>
  <c r="M181" i="15"/>
  <c r="N181" i="15" s="1"/>
  <c r="G181" i="15"/>
  <c r="I181" i="15" s="1"/>
  <c r="O179" i="15"/>
  <c r="O97" i="15"/>
  <c r="O147" i="15"/>
  <c r="M179" i="15"/>
  <c r="N179" i="15" s="1"/>
  <c r="G179" i="15"/>
  <c r="I179" i="15" s="1"/>
  <c r="M177" i="15"/>
  <c r="N177" i="15" s="1"/>
  <c r="G177" i="15"/>
  <c r="I177" i="15" s="1"/>
  <c r="M159" i="15"/>
  <c r="N159" i="15" s="1"/>
  <c r="G159" i="15"/>
  <c r="I159" i="15" s="1"/>
  <c r="M10" i="15"/>
  <c r="G10" i="15"/>
  <c r="M89" i="15"/>
  <c r="N89" i="15" s="1"/>
  <c r="G89" i="15"/>
  <c r="I89" i="15" s="1"/>
  <c r="M29" i="15"/>
  <c r="N29" i="15" s="1"/>
  <c r="G29" i="15"/>
  <c r="I29" i="15" s="1"/>
  <c r="M67" i="15"/>
  <c r="N67" i="15" s="1"/>
  <c r="G67" i="15"/>
  <c r="I67" i="15" s="1"/>
  <c r="M209" i="15"/>
  <c r="N209" i="15" s="1"/>
  <c r="G209" i="15"/>
  <c r="I209" i="15" s="1"/>
  <c r="O219" i="15"/>
  <c r="O16" i="15"/>
  <c r="O72" i="15"/>
  <c r="O61" i="15"/>
  <c r="O47" i="15"/>
  <c r="O186" i="15"/>
  <c r="O189" i="15"/>
  <c r="O58" i="15"/>
  <c r="M39" i="15"/>
  <c r="N39" i="15" s="1"/>
  <c r="G39" i="15"/>
  <c r="I39" i="15" s="1"/>
  <c r="O92" i="15"/>
  <c r="O96" i="15"/>
  <c r="O57" i="15"/>
  <c r="O146" i="15"/>
  <c r="O67" i="15"/>
  <c r="O252" i="15"/>
  <c r="M57" i="15"/>
  <c r="N57" i="15" s="1"/>
  <c r="G57" i="15"/>
  <c r="I57" i="15" s="1"/>
  <c r="M61" i="15"/>
  <c r="N61" i="15" s="1"/>
  <c r="G61" i="15"/>
  <c r="I61" i="15" s="1"/>
  <c r="M124" i="15"/>
  <c r="N124" i="15" s="1"/>
  <c r="G124" i="15"/>
  <c r="I124" i="15" s="1"/>
  <c r="M83" i="15"/>
  <c r="G83" i="15"/>
  <c r="M72" i="15"/>
  <c r="N72" i="15" s="1"/>
  <c r="G72" i="15"/>
  <c r="I72" i="15" s="1"/>
  <c r="M178" i="15"/>
  <c r="N178" i="15" s="1"/>
  <c r="G178" i="15"/>
  <c r="I178" i="15" s="1"/>
  <c r="M59" i="15"/>
  <c r="N59" i="15" s="1"/>
  <c r="G59" i="15"/>
  <c r="I59" i="15" s="1"/>
  <c r="O124" i="15"/>
  <c r="O193" i="15"/>
  <c r="O13" i="15"/>
  <c r="M90" i="15"/>
  <c r="G90" i="15"/>
  <c r="O183" i="15"/>
  <c r="O136" i="15"/>
  <c r="O29" i="15"/>
  <c r="O163" i="15"/>
  <c r="O7" i="15"/>
  <c r="O178" i="15"/>
  <c r="O59" i="15"/>
  <c r="M213" i="15"/>
  <c r="N213" i="15" s="1"/>
  <c r="G213" i="15"/>
  <c r="I213" i="15" s="1"/>
  <c r="M163" i="15"/>
  <c r="N163" i="15" s="1"/>
  <c r="G163" i="15"/>
  <c r="I163" i="15" s="1"/>
  <c r="M206" i="15"/>
  <c r="G206" i="15"/>
  <c r="C40" i="15"/>
  <c r="E40" i="15" s="1"/>
  <c r="G40" i="15"/>
  <c r="I40" i="15" s="1"/>
  <c r="M169" i="15"/>
  <c r="N169" i="15" s="1"/>
  <c r="G169" i="15"/>
  <c r="I169" i="15" s="1"/>
  <c r="M170" i="15"/>
  <c r="G170" i="15"/>
  <c r="M146" i="15"/>
  <c r="N146" i="15" s="1"/>
  <c r="G146" i="15"/>
  <c r="I146" i="15" s="1"/>
  <c r="M84" i="15"/>
  <c r="N84" i="15" s="1"/>
  <c r="G84" i="15"/>
  <c r="I84" i="15" s="1"/>
  <c r="G58" i="15"/>
  <c r="J378" i="13" l="1"/>
  <c r="AD378" i="13" s="1"/>
  <c r="AQ378" i="13" s="1"/>
  <c r="AI378" i="13"/>
  <c r="J317" i="13"/>
  <c r="AD317" i="13" s="1"/>
  <c r="AQ317" i="13" s="1"/>
  <c r="AI317" i="13"/>
  <c r="J83" i="13"/>
  <c r="AD83" i="13" s="1"/>
  <c r="AQ83" i="13" s="1"/>
  <c r="AI83" i="13"/>
  <c r="J321" i="13"/>
  <c r="AD321" i="13" s="1"/>
  <c r="AQ321" i="13" s="1"/>
  <c r="AI321" i="13"/>
  <c r="J279" i="13"/>
  <c r="AD279" i="13" s="1"/>
  <c r="AQ279" i="13" s="1"/>
  <c r="AI279" i="13"/>
  <c r="J350" i="13"/>
  <c r="J73" i="13"/>
  <c r="AD73" i="13" s="1"/>
  <c r="AQ73" i="13" s="1"/>
  <c r="AI73" i="13"/>
  <c r="AD344" i="13"/>
  <c r="AQ344" i="13" s="1"/>
  <c r="AD333" i="13"/>
  <c r="AQ333" i="13" s="1"/>
  <c r="AD375" i="13"/>
  <c r="AQ375" i="13" s="1"/>
  <c r="AD349" i="13"/>
  <c r="AQ349" i="13" s="1"/>
  <c r="AD359" i="13"/>
  <c r="AQ359" i="13" s="1"/>
  <c r="AD360" i="13"/>
  <c r="AQ360" i="13" s="1"/>
  <c r="AD382" i="13"/>
  <c r="AQ382" i="13" s="1"/>
  <c r="AD352" i="13"/>
  <c r="AQ352" i="13" s="1"/>
  <c r="AD405" i="13"/>
  <c r="AQ405" i="13" s="1"/>
  <c r="AD355" i="13"/>
  <c r="AQ355" i="13" s="1"/>
  <c r="AD340" i="13"/>
  <c r="AQ340" i="13" s="1"/>
  <c r="AD347" i="13"/>
  <c r="AQ347" i="13" s="1"/>
  <c r="AD364" i="13"/>
  <c r="AQ364" i="13" s="1"/>
  <c r="AD350" i="13"/>
  <c r="AQ350" i="13" s="1"/>
  <c r="AD357" i="13"/>
  <c r="AQ357" i="13" s="1"/>
  <c r="AD358" i="13"/>
  <c r="AQ358" i="13" s="1"/>
  <c r="AD389" i="13"/>
  <c r="AQ389" i="13" s="1"/>
  <c r="AD356" i="13"/>
  <c r="AQ356" i="13" s="1"/>
  <c r="AD367" i="13"/>
  <c r="AQ367" i="13" s="1"/>
  <c r="AD361" i="13"/>
  <c r="AQ361" i="13" s="1"/>
  <c r="AD400" i="13"/>
  <c r="AQ400" i="13" s="1"/>
  <c r="AD368" i="13"/>
  <c r="AQ368" i="13" s="1"/>
  <c r="AD362" i="13"/>
  <c r="AQ362" i="13" s="1"/>
  <c r="AD363" i="13"/>
  <c r="AQ363" i="13" s="1"/>
  <c r="AD331" i="13"/>
  <c r="AQ331" i="13" s="1"/>
  <c r="AD332" i="13"/>
  <c r="AQ332" i="13" s="1"/>
  <c r="AD372" i="13"/>
  <c r="AQ372" i="13" s="1"/>
  <c r="AD393" i="13"/>
  <c r="AQ393" i="13" s="1"/>
  <c r="AD394" i="13"/>
  <c r="AQ394" i="13" s="1"/>
  <c r="AD381" i="13"/>
  <c r="AQ381" i="13" s="1"/>
  <c r="AD346" i="13"/>
  <c r="AQ346" i="13" s="1"/>
  <c r="AD365" i="13"/>
  <c r="AQ365" i="13" s="1"/>
  <c r="AD348" i="13"/>
  <c r="AQ348" i="13" s="1"/>
  <c r="J198" i="13"/>
  <c r="AD198" i="13" s="1"/>
  <c r="AQ198" i="13" s="1"/>
  <c r="AI350" i="13"/>
  <c r="AI262" i="13"/>
  <c r="AI466" i="13"/>
  <c r="J466" i="13"/>
  <c r="AD466" i="13" s="1"/>
  <c r="AQ466" i="13" s="1"/>
  <c r="J371" i="13"/>
  <c r="AI371" i="13"/>
  <c r="J369" i="13"/>
  <c r="AI369" i="13"/>
  <c r="J87" i="13"/>
  <c r="AD87" i="13" s="1"/>
  <c r="AQ87" i="13" s="1"/>
  <c r="AI87" i="13"/>
  <c r="J370" i="13"/>
  <c r="AI370" i="13"/>
  <c r="J353" i="13"/>
  <c r="AI353" i="13"/>
  <c r="J125" i="13"/>
  <c r="AD125" i="13" s="1"/>
  <c r="AQ125" i="13" s="1"/>
  <c r="AI125" i="13"/>
  <c r="I373" i="13"/>
  <c r="J69" i="13"/>
  <c r="AD69" i="13" s="1"/>
  <c r="AQ69" i="13" s="1"/>
  <c r="AI69" i="13"/>
  <c r="AG194" i="13" a="1"/>
  <c r="AG194" i="13" s="1"/>
  <c r="AG88" i="13" a="1"/>
  <c r="AG88" i="13" s="1"/>
  <c r="J51" i="13"/>
  <c r="AD51" i="13" s="1"/>
  <c r="AQ51" i="13" s="1"/>
  <c r="AI51" i="13"/>
  <c r="AG60" i="13" a="1"/>
  <c r="AG60" i="13" s="1"/>
  <c r="J2" i="13"/>
  <c r="AD2" i="13" s="1"/>
  <c r="AQ2" i="13" s="1"/>
  <c r="AI2" i="13"/>
  <c r="K373" i="13"/>
  <c r="AP373" i="13" s="1"/>
  <c r="AG32" i="13" a="1"/>
  <c r="AG32" i="13" s="1"/>
  <c r="J66" i="13"/>
  <c r="AD66" i="13" s="1"/>
  <c r="AQ66" i="13" s="1"/>
  <c r="AI66" i="13"/>
  <c r="K172" i="13"/>
  <c r="AP172" i="13" s="1"/>
  <c r="AI373" i="13"/>
  <c r="J373" i="13"/>
  <c r="AG335" i="13" a="1"/>
  <c r="AG335" i="13" s="1"/>
  <c r="I335" i="13"/>
  <c r="K335" i="13"/>
  <c r="AP335" i="13" s="1"/>
  <c r="AG263" i="13" a="1"/>
  <c r="AG263" i="13" s="1"/>
  <c r="J263" i="13" s="1"/>
  <c r="AD263" i="13" s="1"/>
  <c r="AQ263" i="13" s="1"/>
  <c r="J183" i="13"/>
  <c r="AD183" i="13" s="1"/>
  <c r="AQ183" i="13" s="1"/>
  <c r="AI244" i="13"/>
  <c r="J244" i="13"/>
  <c r="AD244" i="13" s="1"/>
  <c r="AQ244" i="13" s="1"/>
  <c r="J189" i="13"/>
  <c r="AD189" i="13" s="1"/>
  <c r="AQ189" i="13" s="1"/>
  <c r="AI189" i="13"/>
  <c r="K55" i="13"/>
  <c r="AP55" i="13" s="1"/>
  <c r="J354" i="13"/>
  <c r="AI354" i="13"/>
  <c r="K428" i="13"/>
  <c r="AP428" i="13" s="1"/>
  <c r="I419" i="13"/>
  <c r="AG419" i="13" a="1"/>
  <c r="AG419" i="13" s="1"/>
  <c r="J419" i="13" s="1"/>
  <c r="AD419" i="13" s="1"/>
  <c r="AQ419" i="13" s="1"/>
  <c r="K419" i="13"/>
  <c r="AP419" i="13" s="1"/>
  <c r="J319" i="13"/>
  <c r="AD319" i="13" s="1"/>
  <c r="AQ319" i="13" s="1"/>
  <c r="AI319" i="13"/>
  <c r="J210" i="13"/>
  <c r="AD210" i="13" s="1"/>
  <c r="AQ210" i="13" s="1"/>
  <c r="AI210" i="13"/>
  <c r="AG324" i="13" a="1"/>
  <c r="AG324" i="13" s="1"/>
  <c r="J324" i="13" s="1"/>
  <c r="AD324" i="13" s="1"/>
  <c r="AQ324" i="13" s="1"/>
  <c r="K324" i="13"/>
  <c r="AP324" i="13" s="1"/>
  <c r="AG76" i="13" a="1"/>
  <c r="AG76" i="13" s="1"/>
  <c r="J76" i="13" s="1"/>
  <c r="AD76" i="13" s="1"/>
  <c r="AQ76" i="13" s="1"/>
  <c r="AG386" i="13" a="1"/>
  <c r="AG386" i="13" s="1"/>
  <c r="AI386" i="13" s="1"/>
  <c r="AG254" i="13" a="1"/>
  <c r="AG254" i="13" s="1"/>
  <c r="K254" i="13"/>
  <c r="AP254" i="13" s="1"/>
  <c r="J386" i="13"/>
  <c r="I132" i="13"/>
  <c r="J428" i="13"/>
  <c r="AD428" i="13" s="1"/>
  <c r="AQ428" i="13" s="1"/>
  <c r="I279" i="15"/>
  <c r="I206" i="15"/>
  <c r="I83" i="15"/>
  <c r="I10" i="15"/>
  <c r="N96" i="15"/>
  <c r="N194" i="15"/>
  <c r="N132" i="15"/>
  <c r="N279" i="15"/>
  <c r="I27" i="15"/>
  <c r="N170" i="15"/>
  <c r="I96" i="15"/>
  <c r="I194" i="15"/>
  <c r="N206" i="15"/>
  <c r="I90" i="15"/>
  <c r="N83" i="15"/>
  <c r="N10" i="15"/>
  <c r="I136" i="15"/>
  <c r="I73" i="15"/>
  <c r="I231" i="15"/>
  <c r="N27" i="15"/>
  <c r="I132" i="15"/>
  <c r="I170" i="15"/>
  <c r="N90" i="15"/>
  <c r="N136" i="15"/>
  <c r="N73" i="15"/>
  <c r="N231" i="15"/>
  <c r="I378" i="13"/>
  <c r="G378" i="15"/>
  <c r="I378" i="15" s="1"/>
  <c r="M378" i="15"/>
  <c r="N378" i="15" s="1"/>
  <c r="K383" i="13"/>
  <c r="AP383" i="13" s="1"/>
  <c r="O383" i="15"/>
  <c r="I317" i="13"/>
  <c r="M317" i="15"/>
  <c r="N317" i="15" s="1"/>
  <c r="G317" i="15"/>
  <c r="I317" i="15" s="1"/>
  <c r="I383" i="13"/>
  <c r="M383" i="15"/>
  <c r="N383" i="15" s="1"/>
  <c r="G383" i="15"/>
  <c r="I383" i="15" s="1"/>
  <c r="O374" i="15"/>
  <c r="K378" i="13"/>
  <c r="AP378" i="13" s="1"/>
  <c r="O378" i="15"/>
  <c r="I321" i="13"/>
  <c r="G321" i="15"/>
  <c r="I321" i="15" s="1"/>
  <c r="M321" i="15"/>
  <c r="N321" i="15" s="1"/>
  <c r="I191" i="13"/>
  <c r="K191" i="13"/>
  <c r="AP191" i="13" s="1"/>
  <c r="I338" i="13"/>
  <c r="AG338" i="13" a="1"/>
  <c r="AG338" i="13" s="1"/>
  <c r="AI338" i="13" s="1"/>
  <c r="K338" i="13"/>
  <c r="AP338" i="13" s="1"/>
  <c r="O384" i="15"/>
  <c r="J15" i="13"/>
  <c r="AD15" i="13" s="1"/>
  <c r="AQ15" i="13" s="1"/>
  <c r="AI15" i="13"/>
  <c r="J160" i="13"/>
  <c r="AD160" i="13" s="1"/>
  <c r="AQ160" i="13" s="1"/>
  <c r="AI160" i="13"/>
  <c r="J170" i="13"/>
  <c r="AD170" i="13" s="1"/>
  <c r="AQ170" i="13" s="1"/>
  <c r="AI170" i="13"/>
  <c r="J351" i="13"/>
  <c r="AI351" i="13"/>
  <c r="J246" i="13"/>
  <c r="AD246" i="13" s="1"/>
  <c r="AQ246" i="13" s="1"/>
  <c r="AI246" i="13"/>
  <c r="J254" i="13"/>
  <c r="AD254" i="13" s="1"/>
  <c r="AQ254" i="13" s="1"/>
  <c r="AI254" i="13"/>
  <c r="J68" i="13"/>
  <c r="AD68" i="13" s="1"/>
  <c r="AQ68" i="13" s="1"/>
  <c r="AI68" i="13"/>
  <c r="J335" i="13"/>
  <c r="AI335" i="13"/>
  <c r="J338" i="13"/>
  <c r="M225" i="15"/>
  <c r="G225" i="15"/>
  <c r="AG225" i="13" a="1"/>
  <c r="AG225" i="13" s="1"/>
  <c r="K225" i="13"/>
  <c r="AP225" i="13" s="1"/>
  <c r="O73" i="15"/>
  <c r="O132" i="15"/>
  <c r="O215" i="15"/>
  <c r="G215" i="15"/>
  <c r="M215" i="15"/>
  <c r="O83" i="15"/>
  <c r="O194" i="15"/>
  <c r="O279" i="15"/>
  <c r="K63" i="13"/>
  <c r="AP63" i="13" s="1"/>
  <c r="I63" i="13"/>
  <c r="O336" i="15"/>
  <c r="O119" i="15"/>
  <c r="O211" i="15"/>
  <c r="O39" i="15"/>
  <c r="O213" i="15"/>
  <c r="O53" i="15"/>
  <c r="M28" i="15"/>
  <c r="G28" i="15"/>
  <c r="M97" i="15"/>
  <c r="N97" i="15" s="1"/>
  <c r="G97" i="15"/>
  <c r="I97" i="15" s="1"/>
  <c r="M87" i="15"/>
  <c r="G87" i="15"/>
  <c r="M102" i="15"/>
  <c r="N102" i="15" s="1"/>
  <c r="G102" i="15"/>
  <c r="I102" i="15" s="1"/>
  <c r="M60" i="15"/>
  <c r="G60" i="15"/>
  <c r="M154" i="15"/>
  <c r="N154" i="15" s="1"/>
  <c r="G154" i="15"/>
  <c r="I154" i="15" s="1"/>
  <c r="M7" i="15"/>
  <c r="G7" i="15"/>
  <c r="O153" i="15"/>
  <c r="O109" i="15"/>
  <c r="O14" i="15"/>
  <c r="O90" i="15"/>
  <c r="O200" i="15"/>
  <c r="M16" i="15"/>
  <c r="N16" i="15" s="1"/>
  <c r="G16" i="15"/>
  <c r="I16" i="15" s="1"/>
  <c r="M92" i="15"/>
  <c r="N92" i="15" s="1"/>
  <c r="G92" i="15"/>
  <c r="I92" i="15" s="1"/>
  <c r="M14" i="15"/>
  <c r="G14" i="15"/>
  <c r="M119" i="15"/>
  <c r="N119" i="15" s="1"/>
  <c r="G119" i="15"/>
  <c r="I119" i="15" s="1"/>
  <c r="M189" i="15"/>
  <c r="G189" i="15"/>
  <c r="O154" i="15"/>
  <c r="O102" i="15"/>
  <c r="M134" i="15"/>
  <c r="N134" i="15" s="1"/>
  <c r="G134" i="15"/>
  <c r="I134" i="15" s="1"/>
  <c r="M153" i="15"/>
  <c r="N153" i="15" s="1"/>
  <c r="G153" i="15"/>
  <c r="I153" i="15" s="1"/>
  <c r="M53" i="15"/>
  <c r="G53" i="15"/>
  <c r="M58" i="15"/>
  <c r="N58" i="15" s="1"/>
  <c r="O45" i="15"/>
  <c r="O28" i="15"/>
  <c r="M200" i="15"/>
  <c r="N200" i="15" s="1"/>
  <c r="G200" i="15"/>
  <c r="I200" i="15" s="1"/>
  <c r="G46" i="15"/>
  <c r="I46" i="15" s="1"/>
  <c r="C46" i="15"/>
  <c r="E46" i="15" s="1"/>
  <c r="M13" i="15"/>
  <c r="N13" i="15" s="1"/>
  <c r="G13" i="15"/>
  <c r="I13" i="15" s="1"/>
  <c r="M174" i="15"/>
  <c r="N174" i="15" s="1"/>
  <c r="G174" i="15"/>
  <c r="I174" i="15" s="1"/>
  <c r="M183" i="15"/>
  <c r="G183" i="15"/>
  <c r="M45" i="15"/>
  <c r="N45" i="15" s="1"/>
  <c r="G45" i="15"/>
  <c r="I45" i="15" s="1"/>
  <c r="O89" i="15"/>
  <c r="I58" i="15"/>
  <c r="O22" i="15"/>
  <c r="M79" i="15"/>
  <c r="J225" i="13" l="1"/>
  <c r="AD225" i="13" s="1"/>
  <c r="AQ225" i="13" s="1"/>
  <c r="AI225" i="13"/>
  <c r="AI263" i="13"/>
  <c r="AD338" i="13"/>
  <c r="AQ338" i="13" s="1"/>
  <c r="AD386" i="13"/>
  <c r="AQ386" i="13" s="1"/>
  <c r="AD373" i="13"/>
  <c r="AQ373" i="13" s="1"/>
  <c r="AD353" i="13"/>
  <c r="AQ353" i="13" s="1"/>
  <c r="AD371" i="13"/>
  <c r="AQ371" i="13" s="1"/>
  <c r="AD354" i="13"/>
  <c r="AQ354" i="13" s="1"/>
  <c r="AD335" i="13"/>
  <c r="AQ335" i="13" s="1"/>
  <c r="AD351" i="13"/>
  <c r="AQ351" i="13" s="1"/>
  <c r="AD370" i="13"/>
  <c r="AQ370" i="13" s="1"/>
  <c r="AD369" i="13"/>
  <c r="AQ369" i="13" s="1"/>
  <c r="I386" i="13"/>
  <c r="AG336" i="13" a="1"/>
  <c r="AG336" i="13" s="1"/>
  <c r="AI194" i="13"/>
  <c r="J194" i="13"/>
  <c r="AD194" i="13" s="1"/>
  <c r="AQ194" i="13" s="1"/>
  <c r="J88" i="13"/>
  <c r="AD88" i="13" s="1"/>
  <c r="AQ88" i="13" s="1"/>
  <c r="AI88" i="13"/>
  <c r="AG172" i="13" a="1"/>
  <c r="AG172" i="13" s="1"/>
  <c r="J172" i="13" s="1"/>
  <c r="AD172" i="13" s="1"/>
  <c r="AQ172" i="13" s="1"/>
  <c r="J60" i="13"/>
  <c r="AD60" i="13" s="1"/>
  <c r="AQ60" i="13" s="1"/>
  <c r="AI60" i="13"/>
  <c r="J32" i="13"/>
  <c r="AD32" i="13" s="1"/>
  <c r="AQ32" i="13" s="1"/>
  <c r="AI32" i="13"/>
  <c r="AI419" i="13"/>
  <c r="AI76" i="13"/>
  <c r="AI324" i="13"/>
  <c r="K386" i="13"/>
  <c r="AP386" i="13" s="1"/>
  <c r="AG132" i="13" a="1"/>
  <c r="AG132" i="13" s="1"/>
  <c r="J132" i="13" s="1"/>
  <c r="AD132" i="13" s="1"/>
  <c r="AQ132" i="13" s="1"/>
  <c r="K132" i="13"/>
  <c r="AP132" i="13" s="1"/>
  <c r="N225" i="15"/>
  <c r="I7" i="15"/>
  <c r="I60" i="15"/>
  <c r="I87" i="15"/>
  <c r="I28" i="15"/>
  <c r="I215" i="15"/>
  <c r="I53" i="15"/>
  <c r="I189" i="15"/>
  <c r="I14" i="15"/>
  <c r="N60" i="15"/>
  <c r="N87" i="15"/>
  <c r="N28" i="15"/>
  <c r="N215" i="15"/>
  <c r="I183" i="15"/>
  <c r="N183" i="15"/>
  <c r="N53" i="15"/>
  <c r="N189" i="15"/>
  <c r="N14" i="15"/>
  <c r="I225" i="15"/>
  <c r="N7" i="15"/>
  <c r="O225" i="15"/>
  <c r="O74" i="15"/>
  <c r="O63" i="15"/>
  <c r="O60" i="15"/>
  <c r="M22" i="15"/>
  <c r="G22" i="15"/>
  <c r="G79" i="15"/>
  <c r="I79" i="15" s="1"/>
  <c r="N79" i="15"/>
  <c r="M63" i="15"/>
  <c r="G63" i="15"/>
  <c r="G149" i="15"/>
  <c r="I149" i="15" s="1"/>
  <c r="M149" i="15"/>
  <c r="N149" i="15" s="1"/>
  <c r="O149" i="15"/>
  <c r="M74" i="15"/>
  <c r="N74" i="15" s="1"/>
  <c r="G74" i="15"/>
  <c r="I74" i="15" s="1"/>
  <c r="J336" i="13" l="1"/>
  <c r="AI336" i="13"/>
  <c r="AI172" i="13"/>
  <c r="AG55" i="13" a="1"/>
  <c r="AG55" i="13" s="1"/>
  <c r="AI55" i="13" s="1"/>
  <c r="AI132" i="13"/>
  <c r="I384" i="13"/>
  <c r="AG384" i="13" a="1"/>
  <c r="AG384" i="13" s="1"/>
  <c r="J384" i="13" s="1"/>
  <c r="K384" i="13"/>
  <c r="AP384" i="13" s="1"/>
  <c r="I22" i="15"/>
  <c r="I63" i="15"/>
  <c r="N63" i="15"/>
  <c r="N22" i="15"/>
  <c r="AG339" i="13" a="1"/>
  <c r="AG339" i="13" s="1"/>
  <c r="K339" i="13"/>
  <c r="AP339" i="13" s="1"/>
  <c r="I339" i="13"/>
  <c r="J339" i="13"/>
  <c r="AI339" i="13"/>
  <c r="I263" i="13"/>
  <c r="K263" i="13"/>
  <c r="AP263" i="13" s="1"/>
  <c r="O79" i="15"/>
  <c r="AD384" i="13" l="1"/>
  <c r="AQ384" i="13" s="1"/>
  <c r="AD339" i="13"/>
  <c r="AQ339" i="13" s="1"/>
  <c r="AD336" i="13"/>
  <c r="AQ336" i="13" s="1"/>
  <c r="J55" i="13"/>
  <c r="AD55" i="13" s="1"/>
  <c r="AQ55" i="13" s="1"/>
  <c r="AG49" i="13" a="1"/>
  <c r="AG49" i="13" s="1"/>
  <c r="I366" i="13"/>
  <c r="I53" i="13"/>
  <c r="AI384" i="13"/>
  <c r="M3" i="15"/>
  <c r="N3" i="15" s="1"/>
  <c r="G3" i="15"/>
  <c r="O3" i="15"/>
  <c r="G263" i="15"/>
  <c r="O263" i="15"/>
  <c r="M263" i="15"/>
  <c r="AI49" i="13" l="1"/>
  <c r="J49" i="13"/>
  <c r="AD49" i="13" s="1"/>
  <c r="AQ49" i="13" s="1"/>
  <c r="K53" i="13"/>
  <c r="AP53" i="13" s="1"/>
  <c r="I3" i="13"/>
  <c r="N263" i="15"/>
  <c r="I263" i="15"/>
  <c r="I3" i="15"/>
  <c r="I144" i="13"/>
  <c r="G144" i="15"/>
  <c r="M144" i="15"/>
  <c r="AG366" i="13" l="1" a="1"/>
  <c r="AG366" i="13" s="1"/>
  <c r="K366" i="13"/>
  <c r="AP366" i="13" s="1"/>
  <c r="L134" i="20"/>
  <c r="AG53" i="13" a="1"/>
  <c r="AG53" i="13" s="1"/>
  <c r="AI53" i="13" s="1"/>
  <c r="K3" i="13"/>
  <c r="AP3" i="13" s="1"/>
  <c r="K144" i="13"/>
  <c r="AP144" i="13" s="1"/>
  <c r="L139" i="20" s="1"/>
  <c r="AG144" i="13" a="1"/>
  <c r="AG144" i="13" s="1"/>
  <c r="B13" i="20" a="1"/>
  <c r="I144" i="15"/>
  <c r="N144" i="15"/>
  <c r="O144" i="15"/>
  <c r="AI144" i="13" l="1"/>
  <c r="J144" i="13"/>
  <c r="AD144" i="13" s="1"/>
  <c r="AQ144" i="13" s="1"/>
  <c r="L138" i="20"/>
  <c r="L141" i="20" s="1"/>
  <c r="AI366" i="13"/>
  <c r="J366" i="13"/>
  <c r="J53" i="13"/>
  <c r="AD53" i="13" s="1"/>
  <c r="AQ53" i="13" s="1"/>
  <c r="B13" i="20"/>
  <c r="AD366" i="13" l="1"/>
  <c r="AQ366" i="13" s="1"/>
  <c r="AG3" i="13" a="1"/>
  <c r="AG3" i="13" s="1"/>
  <c r="J3" i="13" s="1"/>
  <c r="AD3" i="13" s="1"/>
  <c r="AQ3" i="13" s="1"/>
  <c r="AI3" i="13" l="1"/>
  <c r="R1" i="6" l="1"/>
  <c r="C1" i="18" s="1"/>
  <c r="B5" i="18" s="1"/>
  <c r="Q1" i="6"/>
  <c r="A1" i="18" s="1"/>
  <c r="B4" i="18" s="1"/>
  <c r="O438" i="6"/>
  <c r="E334" i="13" s="1"/>
  <c r="G334" i="13" l="1"/>
  <c r="AL334" i="13" s="1"/>
  <c r="S334" i="13"/>
  <c r="J334" i="15"/>
  <c r="F334" i="15"/>
  <c r="H334" i="15" s="1"/>
  <c r="N438" i="6"/>
  <c r="P463" i="6"/>
  <c r="P438" i="6"/>
  <c r="H334" i="13"/>
  <c r="AA334" i="13" l="1"/>
  <c r="S438" i="6"/>
  <c r="V463" i="6" s="1" a="1"/>
  <c r="V463" i="6" s="1"/>
  <c r="M334" i="15" s="1"/>
  <c r="N334" i="15" s="1"/>
  <c r="S463" i="6"/>
  <c r="AG334" i="13" s="1" a="1"/>
  <c r="AG334" i="13" s="1"/>
  <c r="J334" i="13" s="1"/>
  <c r="AT720" i="13" l="1"/>
  <c r="AT721" i="13"/>
  <c r="AT722" i="13"/>
  <c r="AT723" i="13"/>
  <c r="AT714" i="13"/>
  <c r="AT718" i="13"/>
  <c r="AT717" i="13"/>
  <c r="AT716" i="13"/>
  <c r="AT719" i="13"/>
  <c r="AT715" i="13"/>
  <c r="AT711" i="13"/>
  <c r="AT710" i="13"/>
  <c r="AT712" i="13"/>
  <c r="AT713" i="13"/>
  <c r="AT709" i="13"/>
  <c r="AT700" i="13"/>
  <c r="AT702" i="13"/>
  <c r="AT707" i="13"/>
  <c r="AT704" i="13"/>
  <c r="AT708" i="13"/>
  <c r="AT706" i="13"/>
  <c r="AT703" i="13"/>
  <c r="AT701" i="13"/>
  <c r="AT705" i="13"/>
  <c r="AT696" i="13"/>
  <c r="AT695" i="13"/>
  <c r="AT699" i="13"/>
  <c r="AT697" i="13"/>
  <c r="AT698" i="13"/>
  <c r="AT688" i="13"/>
  <c r="AT689" i="13"/>
  <c r="AT691" i="13"/>
  <c r="AT690" i="13"/>
  <c r="AT693" i="13"/>
  <c r="AT694" i="13"/>
  <c r="AT692" i="13"/>
  <c r="AT686" i="13"/>
  <c r="AT685" i="13"/>
  <c r="AT687" i="13"/>
  <c r="AT682" i="13"/>
  <c r="AT677" i="13"/>
  <c r="AT679" i="13"/>
  <c r="AT683" i="13"/>
  <c r="AT678" i="13"/>
  <c r="AT676" i="13"/>
  <c r="AT684" i="13"/>
  <c r="AT680" i="13"/>
  <c r="AT681" i="13"/>
  <c r="AT675" i="13"/>
  <c r="AT674" i="13"/>
  <c r="AT673" i="13"/>
  <c r="AT669" i="13"/>
  <c r="AT671" i="13"/>
  <c r="AT670" i="13"/>
  <c r="AT672" i="13"/>
  <c r="AT663" i="13"/>
  <c r="AT664" i="13"/>
  <c r="AT666" i="13"/>
  <c r="AT667" i="13"/>
  <c r="AT665" i="13"/>
  <c r="AT668" i="13"/>
  <c r="AT661" i="13"/>
  <c r="AT662" i="13"/>
  <c r="AT658" i="13"/>
  <c r="AT659" i="13"/>
  <c r="AT657" i="13"/>
  <c r="AT660" i="13"/>
  <c r="AT656" i="13"/>
  <c r="AT654" i="13"/>
  <c r="AT653" i="13"/>
  <c r="AT655" i="13"/>
  <c r="AT651" i="13"/>
  <c r="AT652" i="13"/>
  <c r="AT648" i="13"/>
  <c r="AT644" i="13"/>
  <c r="AT647" i="13"/>
  <c r="AT650" i="13"/>
  <c r="AT645" i="13"/>
  <c r="AT646" i="13"/>
  <c r="AT649" i="13"/>
  <c r="AB334" i="13"/>
  <c r="AT643" i="13"/>
  <c r="AT641" i="13"/>
  <c r="AT642" i="13"/>
  <c r="AT248" i="13"/>
  <c r="AT634" i="13"/>
  <c r="AT611" i="13"/>
  <c r="AT640" i="13"/>
  <c r="AT614" i="13"/>
  <c r="AT607" i="13"/>
  <c r="AT602" i="13"/>
  <c r="AT617" i="13"/>
  <c r="AT620" i="13"/>
  <c r="AT605" i="13"/>
  <c r="AT637" i="13"/>
  <c r="AT608" i="13"/>
  <c r="AT583" i="13"/>
  <c r="AT594" i="13"/>
  <c r="AT609" i="13"/>
  <c r="AT612" i="13"/>
  <c r="AT587" i="13"/>
  <c r="AT619" i="13"/>
  <c r="AT590" i="13"/>
  <c r="AT622" i="13"/>
  <c r="AT615" i="13"/>
  <c r="AT618" i="13"/>
  <c r="AT633" i="13"/>
  <c r="AT638" i="13"/>
  <c r="AT613" i="13"/>
  <c r="AT584" i="13"/>
  <c r="AT616" i="13"/>
  <c r="AT599" i="13"/>
  <c r="AT610" i="13"/>
  <c r="AT625" i="13"/>
  <c r="AT628" i="13"/>
  <c r="AT595" i="13"/>
  <c r="AT627" i="13"/>
  <c r="AT598" i="13"/>
  <c r="AT630" i="13"/>
  <c r="AT631" i="13"/>
  <c r="AT593" i="13"/>
  <c r="AT588" i="13"/>
  <c r="AT589" i="13"/>
  <c r="AT621" i="13"/>
  <c r="AT592" i="13"/>
  <c r="AT624" i="13"/>
  <c r="AT623" i="13"/>
  <c r="AT626" i="13"/>
  <c r="AT636" i="13"/>
  <c r="AT603" i="13"/>
  <c r="AT635" i="13"/>
  <c r="AT606" i="13"/>
  <c r="AT591" i="13"/>
  <c r="AT586" i="13"/>
  <c r="AT601" i="13"/>
  <c r="AT604" i="13"/>
  <c r="AT597" i="13"/>
  <c r="AT629" i="13"/>
  <c r="AT600" i="13"/>
  <c r="AT632" i="13"/>
  <c r="AT639" i="13"/>
  <c r="AT585" i="13"/>
  <c r="AT596" i="13"/>
  <c r="AT476" i="13"/>
  <c r="AT352" i="13"/>
  <c r="AT242" i="13"/>
  <c r="AT305" i="13"/>
  <c r="AT406" i="13"/>
  <c r="AT483" i="13"/>
  <c r="AT185" i="13"/>
  <c r="AT363" i="13"/>
  <c r="AT337" i="13"/>
  <c r="AT98" i="13"/>
  <c r="AT189" i="13"/>
  <c r="AT485" i="13"/>
  <c r="AT143" i="13"/>
  <c r="AT368" i="13"/>
  <c r="AT99" i="13"/>
  <c r="AT433" i="13"/>
  <c r="AT193" i="13"/>
  <c r="AT385" i="13"/>
  <c r="AT232" i="13"/>
  <c r="AT236" i="13"/>
  <c r="AT107" i="13"/>
  <c r="AT144" i="13"/>
  <c r="AT419" i="13"/>
  <c r="AT438" i="13"/>
  <c r="AT496" i="13"/>
  <c r="AT177" i="13"/>
  <c r="AT152" i="13"/>
  <c r="AT371" i="13"/>
  <c r="AT228" i="13"/>
  <c r="AT341" i="13"/>
  <c r="AT41" i="13"/>
  <c r="AT168" i="13"/>
  <c r="AT324" i="13"/>
  <c r="AT39" i="13"/>
  <c r="AT418" i="13"/>
  <c r="AT203" i="13"/>
  <c r="AT392" i="13"/>
  <c r="AT453" i="13"/>
  <c r="AT293" i="13"/>
  <c r="AT505" i="13"/>
  <c r="AT79" i="13"/>
  <c r="AT318" i="13"/>
  <c r="AT256" i="13"/>
  <c r="AT288" i="13"/>
  <c r="AT110" i="13"/>
  <c r="AT444" i="13"/>
  <c r="AT458" i="13"/>
  <c r="AT219" i="13"/>
  <c r="AT220" i="13"/>
  <c r="AT229" i="13"/>
  <c r="AT57" i="13"/>
  <c r="AT255" i="13"/>
  <c r="AT66" i="13"/>
  <c r="AT308" i="13"/>
  <c r="AT243" i="13"/>
  <c r="AT423" i="13"/>
  <c r="AT301" i="13"/>
  <c r="AT204" i="13"/>
  <c r="AT391" i="13"/>
  <c r="AT224" i="13"/>
  <c r="AT388" i="13"/>
  <c r="AT426" i="13"/>
  <c r="AT209" i="13"/>
  <c r="AE334" i="13"/>
  <c r="AT162" i="13"/>
  <c r="AT62" i="13"/>
  <c r="AT194" i="13"/>
  <c r="AT443" i="13"/>
  <c r="AT411" i="13"/>
  <c r="AT456" i="13"/>
  <c r="AT383" i="13"/>
  <c r="AT27" i="13"/>
  <c r="AT226" i="13"/>
  <c r="AT446" i="13"/>
  <c r="AT424" i="13"/>
  <c r="AT447" i="13"/>
  <c r="AT231" i="13"/>
  <c r="AT22" i="13"/>
  <c r="AT230" i="13"/>
  <c r="AT373" i="13"/>
  <c r="AT298" i="13"/>
  <c r="AT471" i="13"/>
  <c r="AT207" i="13"/>
  <c r="AT200" i="13"/>
  <c r="AT346" i="13"/>
  <c r="AT448" i="13"/>
  <c r="AT13" i="13"/>
  <c r="AT452" i="13"/>
  <c r="AT167" i="13"/>
  <c r="AT334" i="13"/>
  <c r="AT477" i="13"/>
  <c r="AT296" i="13"/>
  <c r="AT506" i="13"/>
  <c r="AT459" i="13"/>
  <c r="AT155" i="13"/>
  <c r="AT280" i="13"/>
  <c r="AT68" i="13"/>
  <c r="AT366" i="13"/>
  <c r="AT473" i="13"/>
  <c r="AT282" i="13"/>
  <c r="AT316" i="13"/>
  <c r="AT405" i="13"/>
  <c r="AT100" i="13"/>
  <c r="AT413" i="13"/>
  <c r="AT35" i="13"/>
  <c r="AT165" i="13"/>
  <c r="AT210" i="13"/>
  <c r="AT214" i="13"/>
  <c r="AT213" i="13"/>
  <c r="AT46" i="13"/>
  <c r="AT250" i="13"/>
  <c r="AT472" i="13"/>
  <c r="AT174" i="13"/>
  <c r="AT313" i="13"/>
  <c r="AT486" i="13"/>
  <c r="AT169" i="13"/>
  <c r="AT463" i="13"/>
  <c r="AT478" i="13"/>
  <c r="AT178" i="13"/>
  <c r="AT32" i="13"/>
  <c r="AT491" i="13"/>
  <c r="AT500" i="13"/>
  <c r="AT439" i="13"/>
  <c r="AT176" i="13"/>
  <c r="AT134" i="13"/>
  <c r="AT179" i="13"/>
  <c r="AT502" i="13"/>
  <c r="AT87" i="13"/>
  <c r="AT310" i="13"/>
  <c r="AT299" i="13"/>
  <c r="AT150" i="13"/>
  <c r="AT273" i="13"/>
  <c r="AT279" i="13"/>
  <c r="AT455" i="13"/>
  <c r="AT238" i="13"/>
  <c r="AT257" i="13"/>
  <c r="AT286" i="13"/>
  <c r="AT24" i="13"/>
  <c r="AT292" i="13"/>
  <c r="AT190" i="13"/>
  <c r="AT287" i="13"/>
  <c r="AT38" i="13"/>
  <c r="AT11" i="13"/>
  <c r="AT499" i="13"/>
  <c r="AT417" i="13"/>
  <c r="AT140" i="13"/>
  <c r="AT258" i="13"/>
  <c r="AT384" i="13"/>
  <c r="AT147" i="13"/>
  <c r="AT93" i="13"/>
  <c r="AT264" i="13"/>
  <c r="AT218" i="13"/>
  <c r="AT333" i="13"/>
  <c r="AT271" i="13"/>
  <c r="AT487" i="13"/>
  <c r="AT340" i="13"/>
  <c r="AT414" i="13"/>
  <c r="AT8" i="13"/>
  <c r="AT112" i="13"/>
  <c r="AT54" i="13"/>
  <c r="AT73" i="13"/>
  <c r="AT111" i="13"/>
  <c r="AT285" i="13"/>
  <c r="AT322" i="13"/>
  <c r="AT317" i="13"/>
  <c r="AT160" i="13"/>
  <c r="AT374" i="13"/>
  <c r="AT171" i="13"/>
  <c r="AT211" i="13"/>
  <c r="AT501" i="13"/>
  <c r="AT460" i="13"/>
  <c r="AT475" i="13"/>
  <c r="AT23" i="13"/>
  <c r="AT123" i="13"/>
  <c r="AT88" i="13"/>
  <c r="AT325" i="13"/>
  <c r="AT69" i="13"/>
  <c r="AT492" i="13"/>
  <c r="AT197" i="13"/>
  <c r="AT348" i="13"/>
  <c r="AT173" i="13"/>
  <c r="AT252" i="13"/>
  <c r="AT222" i="13"/>
  <c r="AT338" i="13"/>
  <c r="AT331" i="13"/>
  <c r="AT122" i="13"/>
  <c r="AT266" i="13"/>
  <c r="AT425" i="13"/>
  <c r="AT498" i="13"/>
  <c r="AT84" i="13"/>
  <c r="AT18" i="13"/>
  <c r="AT19" i="13"/>
  <c r="AT304" i="13"/>
  <c r="AT369" i="13"/>
  <c r="AT161" i="13"/>
  <c r="AT461" i="13"/>
  <c r="AT235" i="13"/>
  <c r="AT464" i="13"/>
  <c r="AT191" i="13"/>
  <c r="AT431" i="13"/>
  <c r="AT350" i="13"/>
  <c r="AT276" i="13"/>
  <c r="AT133" i="13"/>
  <c r="AT353" i="13"/>
  <c r="AT437" i="13"/>
  <c r="AT181" i="13"/>
  <c r="AT48" i="13"/>
  <c r="AT290" i="13"/>
  <c r="AT283" i="13"/>
  <c r="AT400" i="13"/>
  <c r="AT16" i="13"/>
  <c r="AT311" i="13"/>
  <c r="AT328" i="13"/>
  <c r="AT56" i="13"/>
  <c r="AT58" i="13"/>
  <c r="AT127" i="13"/>
  <c r="AT12" i="13"/>
  <c r="AT245" i="13"/>
  <c r="AT4" i="13"/>
  <c r="AT148" i="13"/>
  <c r="AT106" i="13"/>
  <c r="AT303" i="13"/>
  <c r="AT170" i="13"/>
  <c r="AT474" i="13"/>
  <c r="AT33" i="13"/>
  <c r="AT381" i="13"/>
  <c r="AT198" i="13"/>
  <c r="AT342" i="13"/>
  <c r="AT489" i="13"/>
  <c r="AT327" i="13"/>
  <c r="AT166" i="13"/>
  <c r="AT482" i="13"/>
  <c r="AT63" i="13"/>
  <c r="AT149" i="13"/>
  <c r="AT344" i="13"/>
  <c r="AT65" i="13"/>
  <c r="AT103" i="13"/>
  <c r="AT395" i="13"/>
  <c r="AT40" i="13"/>
  <c r="AT172" i="13"/>
  <c r="AT156" i="13"/>
  <c r="AT314" i="13"/>
  <c r="AT291" i="13"/>
  <c r="AT379" i="13"/>
  <c r="AT239" i="13"/>
  <c r="AT234" i="13"/>
  <c r="AT389" i="13"/>
  <c r="AT129" i="13"/>
  <c r="AT199" i="13"/>
  <c r="AT61" i="13"/>
  <c r="AT216" i="13"/>
  <c r="AT358" i="13"/>
  <c r="AT101" i="13"/>
  <c r="AT466" i="13"/>
  <c r="AT462" i="13"/>
  <c r="AT490" i="13"/>
  <c r="AT386" i="13"/>
  <c r="AT201" i="13"/>
  <c r="AT80" i="13"/>
  <c r="AT17" i="13"/>
  <c r="AT488" i="13"/>
  <c r="AT240" i="13"/>
  <c r="AT85" i="13"/>
  <c r="AT261" i="13"/>
  <c r="AT151" i="13"/>
  <c r="AT223" i="13"/>
  <c r="AT94" i="13"/>
  <c r="AT372" i="13"/>
  <c r="AT396" i="13"/>
  <c r="AT10" i="13"/>
  <c r="AT397" i="13"/>
  <c r="AT357" i="13"/>
  <c r="AT509" i="13"/>
  <c r="AT343" i="13"/>
  <c r="AT59" i="13"/>
  <c r="AT158" i="13"/>
  <c r="AT249" i="13"/>
  <c r="AT77" i="13"/>
  <c r="AT118" i="13"/>
  <c r="AT125" i="13"/>
  <c r="AK334" i="13"/>
  <c r="AT237" i="13"/>
  <c r="AT205" i="13"/>
  <c r="AT26" i="13"/>
  <c r="AT469" i="13"/>
  <c r="AT312" i="13"/>
  <c r="AT116" i="13"/>
  <c r="AT14" i="13"/>
  <c r="AT78" i="13"/>
  <c r="AT120" i="13"/>
  <c r="AT113" i="13"/>
  <c r="AT407" i="13"/>
  <c r="AT309" i="13"/>
  <c r="AT382" i="13"/>
  <c r="AT480" i="13"/>
  <c r="AT128" i="13"/>
  <c r="AT274" i="13"/>
  <c r="AT470" i="13"/>
  <c r="AT124" i="13"/>
  <c r="AT34" i="13"/>
  <c r="AT115" i="13"/>
  <c r="AT277" i="13"/>
  <c r="AT50" i="13"/>
  <c r="AT227" i="13"/>
  <c r="AT108" i="13"/>
  <c r="AT302" i="13"/>
  <c r="AT137" i="13"/>
  <c r="AT270" i="13"/>
  <c r="AT251" i="13"/>
  <c r="AT64" i="13"/>
  <c r="AT451" i="13"/>
  <c r="AT51" i="13"/>
  <c r="AT412" i="13"/>
  <c r="AT36" i="13"/>
  <c r="AT390" i="13"/>
  <c r="AT157" i="13"/>
  <c r="AT5" i="13"/>
  <c r="AT82" i="13"/>
  <c r="AT370" i="13"/>
  <c r="AT468" i="13"/>
  <c r="AT67" i="13"/>
  <c r="AT436" i="13"/>
  <c r="AT212" i="13"/>
  <c r="AT481" i="13"/>
  <c r="AT154" i="13"/>
  <c r="AT479" i="13"/>
  <c r="AT206" i="13"/>
  <c r="AT356" i="13"/>
  <c r="AT415" i="13"/>
  <c r="AT284" i="13"/>
  <c r="AT319" i="13"/>
  <c r="AT3" i="13"/>
  <c r="AT377" i="13"/>
  <c r="AT440" i="13"/>
  <c r="AT37" i="13"/>
  <c r="AT376" i="13"/>
  <c r="AT330" i="13"/>
  <c r="AT416" i="13"/>
  <c r="AT409" i="13"/>
  <c r="AT247" i="13"/>
  <c r="AT402" i="13"/>
  <c r="AT394" i="13"/>
  <c r="AT307" i="13"/>
  <c r="AT192" i="13"/>
  <c r="AT28" i="13"/>
  <c r="AT422" i="13"/>
  <c r="AT295" i="13"/>
  <c r="AT141" i="13"/>
  <c r="AT25" i="13"/>
  <c r="AT380" i="13"/>
  <c r="AT7" i="13"/>
  <c r="AT92" i="13"/>
  <c r="AT104" i="13"/>
  <c r="AT430" i="13"/>
  <c r="AT31" i="13"/>
  <c r="AT450" i="13"/>
  <c r="AT121" i="13"/>
  <c r="AT259" i="13"/>
  <c r="AT6" i="13"/>
  <c r="AT75" i="13"/>
  <c r="AT233" i="13"/>
  <c r="AT367" i="13"/>
  <c r="AT494" i="13"/>
  <c r="AT139" i="13"/>
  <c r="AF334" i="13"/>
  <c r="AT253" i="13"/>
  <c r="AT29" i="13"/>
  <c r="AT53" i="13"/>
  <c r="AT109" i="13"/>
  <c r="AT163" i="13"/>
  <c r="AT421" i="13"/>
  <c r="AT315" i="13"/>
  <c r="AT153" i="13"/>
  <c r="AT175" i="13"/>
  <c r="AT30" i="13"/>
  <c r="AT221" i="13"/>
  <c r="AT45" i="13"/>
  <c r="AT272" i="13"/>
  <c r="AT467" i="13"/>
  <c r="AT339" i="13"/>
  <c r="AT403" i="13"/>
  <c r="AT355" i="13"/>
  <c r="AT254" i="13"/>
  <c r="AT241" i="13"/>
  <c r="AT15" i="13"/>
  <c r="AT89" i="13"/>
  <c r="AT126" i="13"/>
  <c r="AT508" i="13"/>
  <c r="AT42" i="13"/>
  <c r="AT138" i="13"/>
  <c r="AT267" i="13"/>
  <c r="AT217" i="13"/>
  <c r="AT434" i="13"/>
  <c r="AT74" i="13"/>
  <c r="AT97" i="13"/>
  <c r="AT180" i="13"/>
  <c r="AT401" i="13"/>
  <c r="AT336" i="13"/>
  <c r="AT76" i="13"/>
  <c r="AT146" i="13"/>
  <c r="AT21" i="13"/>
  <c r="AT297" i="13"/>
  <c r="AT335" i="13"/>
  <c r="AT497" i="13"/>
  <c r="AT503" i="13"/>
  <c r="AT114" i="13"/>
  <c r="AT102" i="13"/>
  <c r="AT159" i="13"/>
  <c r="AT300" i="13"/>
  <c r="AT187" i="13"/>
  <c r="AT349" i="13"/>
  <c r="AT268" i="13"/>
  <c r="AT281" i="13"/>
  <c r="AT435" i="13"/>
  <c r="AT81" i="13"/>
  <c r="AT183" i="13"/>
  <c r="AT263" i="13"/>
  <c r="AT49" i="13"/>
  <c r="AT375" i="13"/>
  <c r="AT449" i="13"/>
  <c r="AT246" i="13"/>
  <c r="AT105" i="13"/>
  <c r="AT208" i="13"/>
  <c r="AT457" i="13"/>
  <c r="AT441" i="13"/>
  <c r="AT495" i="13"/>
  <c r="AT306" i="13"/>
  <c r="AT131" i="13"/>
  <c r="AT164" i="13"/>
  <c r="AT399" i="13"/>
  <c r="AT188" i="13"/>
  <c r="AT265" i="13"/>
  <c r="AT55" i="13"/>
  <c r="AT289" i="13"/>
  <c r="AT130" i="13"/>
  <c r="AT71" i="13"/>
  <c r="AT2" i="13"/>
  <c r="AT142" i="13"/>
  <c r="AT347" i="13"/>
  <c r="AT86" i="13"/>
  <c r="AT393" i="13"/>
  <c r="AT260" i="13"/>
  <c r="AT454" i="13"/>
  <c r="AT345" i="13"/>
  <c r="AT365" i="13"/>
  <c r="AT420" i="13"/>
  <c r="AT387" i="13"/>
  <c r="AT60" i="13"/>
  <c r="AT351" i="13"/>
  <c r="AT275" i="13"/>
  <c r="AT359" i="13"/>
  <c r="AT354" i="13"/>
  <c r="AT294" i="13"/>
  <c r="AT360" i="13"/>
  <c r="AT445" i="13"/>
  <c r="AT428" i="13"/>
  <c r="AT364" i="13"/>
  <c r="AT43" i="13"/>
  <c r="AT95" i="13"/>
  <c r="AT119" i="13"/>
  <c r="AT90" i="13"/>
  <c r="AT484" i="13"/>
  <c r="AT378" i="13"/>
  <c r="AT429" i="13"/>
  <c r="AT9" i="13"/>
  <c r="AT408" i="13"/>
  <c r="AT195" i="13"/>
  <c r="AT244" i="13"/>
  <c r="AT20" i="13"/>
  <c r="AT72" i="13"/>
  <c r="AT117" i="13"/>
  <c r="AT136" i="13"/>
  <c r="AT215" i="13"/>
  <c r="AT52" i="13"/>
  <c r="AT70" i="13"/>
  <c r="AT427" i="13"/>
  <c r="AT196" i="13"/>
  <c r="AT44" i="13"/>
  <c r="AT493" i="13"/>
  <c r="AT510" i="13"/>
  <c r="U463" i="6"/>
  <c r="K334" i="13" s="1"/>
  <c r="AP334" i="13" s="1"/>
  <c r="AT432" i="13"/>
  <c r="AT398" i="13"/>
  <c r="AT47" i="13"/>
  <c r="AT262" i="13"/>
  <c r="AT202" i="13"/>
  <c r="AT96" i="13"/>
  <c r="AT186" i="13"/>
  <c r="AT182" i="13"/>
  <c r="AT520" i="13"/>
  <c r="AT135" i="13"/>
  <c r="AT83" i="13"/>
  <c r="AT91" i="13"/>
  <c r="AT507" i="13"/>
  <c r="AT326" i="13"/>
  <c r="AT329" i="13"/>
  <c r="AT225" i="13"/>
  <c r="AT465" i="13"/>
  <c r="AT361" i="13"/>
  <c r="AT323" i="13"/>
  <c r="AT184" i="13"/>
  <c r="AT320" i="13"/>
  <c r="AT145" i="13"/>
  <c r="AT332" i="13"/>
  <c r="AT404" i="13"/>
  <c r="AT504" i="13"/>
  <c r="AT362" i="13"/>
  <c r="AT278" i="13"/>
  <c r="AT571" i="13"/>
  <c r="AT442" i="13"/>
  <c r="AT269" i="13"/>
  <c r="AT539" i="13"/>
  <c r="AT524" i="13"/>
  <c r="AT410" i="13"/>
  <c r="AT321" i="13"/>
  <c r="AT548" i="13"/>
  <c r="AT581" i="13"/>
  <c r="AT132" i="13"/>
  <c r="AT521" i="13"/>
  <c r="AT560" i="13"/>
  <c r="AT565" i="13"/>
  <c r="AT515" i="13"/>
  <c r="AT570" i="13"/>
  <c r="AT575" i="13"/>
  <c r="AT558" i="13"/>
  <c r="AT566" i="13"/>
  <c r="AT580" i="13"/>
  <c r="AT545" i="13"/>
  <c r="AT549" i="13"/>
  <c r="AT533" i="13"/>
  <c r="AT538" i="13"/>
  <c r="AT559" i="13"/>
  <c r="AT541" i="13"/>
  <c r="AT579" i="13"/>
  <c r="AT576" i="13"/>
  <c r="AT552" i="13"/>
  <c r="AT573" i="13"/>
  <c r="AT546" i="13"/>
  <c r="AT572" i="13"/>
  <c r="AT561" i="13"/>
  <c r="AT563" i="13"/>
  <c r="AT532" i="13"/>
  <c r="AT512" i="13"/>
  <c r="AT540" i="13"/>
  <c r="AT517" i="13"/>
  <c r="AT535" i="13"/>
  <c r="AT555" i="13"/>
  <c r="AT550" i="13"/>
  <c r="AT542" i="13"/>
  <c r="AT578" i="13"/>
  <c r="AT527" i="13"/>
  <c r="AT531" i="13"/>
  <c r="AT529" i="13"/>
  <c r="AT553" i="13"/>
  <c r="AT562" i="13"/>
  <c r="AT544" i="13"/>
  <c r="AT530" i="13"/>
  <c r="AT511" i="13"/>
  <c r="AT522" i="13"/>
  <c r="AT554" i="13"/>
  <c r="AT551" i="13"/>
  <c r="AT514" i="13"/>
  <c r="AT525" i="13"/>
  <c r="AT582" i="13"/>
  <c r="AT564" i="13"/>
  <c r="AT557" i="13"/>
  <c r="AT526" i="13"/>
  <c r="AT543" i="13"/>
  <c r="AT556" i="13"/>
  <c r="AT577" i="13"/>
  <c r="AT547" i="13"/>
  <c r="AT536" i="13"/>
  <c r="AT518" i="13"/>
  <c r="AT567" i="13"/>
  <c r="AT568" i="13"/>
  <c r="AT574" i="13"/>
  <c r="AT519" i="13"/>
  <c r="AT528" i="13"/>
  <c r="AT516" i="13"/>
  <c r="AT534" i="13"/>
  <c r="AT523" i="13"/>
  <c r="AT569" i="13"/>
  <c r="AT513" i="13"/>
  <c r="AT537" i="13"/>
  <c r="AD334" i="13"/>
  <c r="G334" i="15"/>
  <c r="I334" i="15" s="1"/>
  <c r="I334" i="13"/>
  <c r="AI334" i="13"/>
  <c r="AQ334" i="13" l="1"/>
  <c r="O334" i="15"/>
  <c r="J9" i="2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C44871-F1F8-451F-90A9-155592E1616A}" keepAlive="1" name="Query - Append1" description="Connection to the 'Append1' query in the workbook." type="5" refreshedVersion="7" background="1">
    <dbPr connection="Provider=Microsoft.Mashup.OleDb.1;Data Source=$Workbook$;Location=Append1;Extended Properties=&quot;&quot;" command="SELECT * FROM [Append1]"/>
  </connection>
  <connection id="2" xr16:uid="{298BCCDF-F95B-4ADA-845A-8EF99705ABE2}" keepAlive="1" name="Query - INVESTORS_LISTS" description="Connection to the 'INVESTORS_LISTS' query in the workbook." type="5" refreshedVersion="8" background="1" saveData="1">
    <dbPr connection="Provider=Microsoft.Mashup.OleDb.1;Data Source=$Workbook$;Location=INVESTORS_LISTS;Extended Properties=&quot;&quot;" command="SELECT * FROM [INVESTORS_LISTS]"/>
  </connection>
  <connection id="3" xr16:uid="{CAFB88E3-FD76-478B-B1A1-C31D91D51FEA}" keepAlive="1" name="Query - LS" description="Connection to the 'LS' query in the workbook." type="5" refreshedVersion="0" background="1">
    <dbPr connection="Provider=Microsoft.Mashup.OleDb.1;Data Source=$Workbook$;Location=LS;Extended Properties=&quot;&quot;" command="SELECT * FROM [LS]"/>
  </connection>
  <connection id="4" xr16:uid="{69622BD0-AD93-4BE7-A05E-6D85CA051F48}" keepAlive="1" name="Query - SIP" description="Connection to the 'SIP' query in the workbook." type="5" refreshedVersion="0" background="1">
    <dbPr connection="Provider=Microsoft.Mashup.OleDb.1;Data Source=$Workbook$;Location=SIP;Extended Properties=&quot;&quot;" command="SELECT * FROM [SIP]"/>
  </connection>
  <connection id="5" xr16:uid="{5B9F79D5-78DF-4BA1-AF53-2B2988EDE9C1}" keepAlive="1" name="Query - TAX_C" description="Connection to the 'TAX_C' query in the workbook." type="5" refreshedVersion="7" background="1" saveData="1">
    <dbPr connection="Provider=Microsoft.Mashup.OleDb.1;Data Source=$Workbook$;Location=TAX_C;Extended Properties=&quot;&quot;" command="SELECT * FROM [TAX_C]"/>
  </connection>
  <connection id="6" xr16:uid="{00000000-0015-0000-FFFF-FFFF00000000}" keepAlive="1" name="Query - TEMP" description="Connection to the 'TEMP' query in the workbook." type="5" refreshedVersion="7" background="1" saveData="1">
    <dbPr connection="Provider=Microsoft.Mashup.OleDb.1;Data Source=$Workbook$;Location=TEMP;Extended Properties=&quot;&quot;" command="SELECT * FROM [TEMP]"/>
  </connection>
  <connection id="7" xr16:uid="{DACAEABA-CF33-415A-A259-37EF19DD57D5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BD3B1959-71B9-4724-AF77-5D940474F074}" name="WorksheetConnection_2021.10.21 INVESTORS'.xlsx!DivAndTax" type="102" refreshedVersion="7" minRefreshableVersion="5">
    <extLst>
      <ext xmlns:x15="http://schemas.microsoft.com/office/spreadsheetml/2010/11/main" uri="{DE250136-89BD-433C-8126-D09CA5730AF9}">
        <x15:connection id="DivAndTax">
          <x15:rangePr sourceName="_xlcn.WorksheetConnection_2021.10.21INVESTORS.xlsxDivAndTax1"/>
        </x15:connection>
      </ext>
    </extLst>
  </connection>
  <connection id="9" xr16:uid="{864B67FE-8848-47CD-9D8D-293225D94C07}" name="WorksheetConnection_2021.10.21 INVESTORS'.xlsx!LS" type="102" refreshedVersion="7" minRefreshableVersion="5">
    <extLst>
      <ext xmlns:x15="http://schemas.microsoft.com/office/spreadsheetml/2010/11/main" uri="{DE250136-89BD-433C-8126-D09CA5730AF9}">
        <x15:connection id="LS">
          <x15:rangePr sourceName="_xlcn.WorksheetConnection_2021.10.21INVESTORS.xlsxLS1"/>
        </x15:connection>
      </ext>
    </extLst>
  </connection>
  <connection id="10" xr16:uid="{C83133A8-0DB8-49C2-ADDF-AB68BB878BF7}" name="WorksheetConnection_2021.10.21 INVESTORS'.xlsx!SIP" type="102" refreshedVersion="7" minRefreshableVersion="5">
    <extLst>
      <ext xmlns:x15="http://schemas.microsoft.com/office/spreadsheetml/2010/11/main" uri="{DE250136-89BD-433C-8126-D09CA5730AF9}">
        <x15:connection id="SIP">
          <x15:rangePr sourceName="_xlcn.WorksheetConnection_2021.10.21INVESTORS.xlsxSIP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<sst xmlns="http://schemas.openxmlformats.org/spreadsheetml/2006/main" count="6526" uniqueCount="1656">
  <si>
    <t>Investor</t>
  </si>
  <si>
    <t>A00002</t>
  </si>
  <si>
    <t>Individual</t>
  </si>
  <si>
    <t>EKUSH WEALTH MANAGEMENT LIMITED</t>
  </si>
  <si>
    <t>A00003</t>
  </si>
  <si>
    <t>Company/Organization</t>
  </si>
  <si>
    <t>SADIA AHMED</t>
  </si>
  <si>
    <t>A00004</t>
  </si>
  <si>
    <t>Mutual Fund</t>
  </si>
  <si>
    <t>MORSHEDA MIM</t>
  </si>
  <si>
    <t>A00005</t>
  </si>
  <si>
    <t>Providend Fund</t>
  </si>
  <si>
    <t>A00006</t>
  </si>
  <si>
    <t>Gratuity Fund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</si>
  <si>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</si>
  <si>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</si>
  <si>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</si>
  <si>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</si>
  <si>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</si>
  <si>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</si>
  <si>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</si>
  <si>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</si>
  <si>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</si>
  <si>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</si>
  <si>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</si>
  <si>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</si>
  <si>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</si>
  <si>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</si>
  <si>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</si>
  <si>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</si>
  <si>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</si>
  <si>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</si>
  <si>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</si>
  <si>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</si>
  <si>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</si>
  <si>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</si>
  <si>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</si>
  <si>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</si>
  <si>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</si>
  <si>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</si>
  <si>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</si>
  <si>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</si>
  <si>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</si>
  <si>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</si>
  <si>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</si>
  <si>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</si>
  <si>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</si>
  <si>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</si>
  <si>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</si>
  <si>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</si>
  <si>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</si>
  <si>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</si>
  <si>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</si>
  <si>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</si>
  <si>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</si>
  <si>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</si>
  <si>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</si>
  <si>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</si>
  <si>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</si>
  <si>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</si>
  <si>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</si>
  <si>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</si>
  <si>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</si>
  <si>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</si>
  <si>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</si>
  <si>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</si>
  <si>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</si>
  <si>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</si>
  <si>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</si>
  <si>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</si>
  <si>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</si>
  <si>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AHMAD ZAHID ZAKI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</si>
  <si>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</si>
  <si>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</si>
  <si>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</si>
  <si>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</si>
  <si>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</si>
  <si>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</si>
  <si>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</si>
  <si>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</si>
  <si>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</si>
  <si>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</si>
  <si>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</si>
  <si>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</si>
  <si>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</si>
  <si>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</si>
  <si>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</si>
  <si>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</si>
  <si>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</si>
  <si>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</si>
  <si>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</si>
  <si>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</si>
  <si>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</si>
  <si>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</si>
  <si>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</si>
  <si>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</si>
  <si>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</si>
  <si>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</si>
  <si>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</si>
  <si>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JNANDIP PAUL</t>
  </si>
  <si>
    <t>A00091</t>
  </si>
  <si>
    <t>NANI GOPAL DATTA</t>
  </si>
  <si>
    <t>A00092</t>
  </si>
  <si>
    <t>SWADESH RANJAN SAHA</t>
  </si>
  <si>
    <t>A00093</t>
  </si>
  <si>
    <t>SYED ADNAN HUDA</t>
  </si>
  <si>
    <t>A00094</t>
  </si>
  <si>
    <t>CHAONIKA SAHA</t>
  </si>
  <si>
    <t>A00095</t>
  </si>
  <si>
    <t>SK FEROZ ALAM</t>
  </si>
  <si>
    <t>A00096</t>
  </si>
  <si>
    <t>A00097</t>
  </si>
  <si>
    <t>A00098</t>
  </si>
  <si>
    <t>SHAMSUZZAMAN</t>
  </si>
  <si>
    <t>A00099</t>
  </si>
  <si>
    <t>KAMRUL MOMIN</t>
  </si>
  <si>
    <t>A00100</t>
  </si>
  <si>
    <t>MD RAFIQUL ISLAM KHAN</t>
  </si>
  <si>
    <t>A00101</t>
  </si>
  <si>
    <t>ADNAN RASHID</t>
  </si>
  <si>
    <t>A00102</t>
  </si>
  <si>
    <t>MD. MESBAH UDDIN KHAN</t>
  </si>
  <si>
    <t>A00103</t>
  </si>
  <si>
    <t>NASIR UDDIN BABU</t>
  </si>
  <si>
    <t>A00104</t>
  </si>
  <si>
    <t>RIZIA SULTANA AND MOFAZZAL MAMUN KHAN</t>
  </si>
  <si>
    <t>A00105</t>
  </si>
  <si>
    <t>SYED REZWANUL HUQ</t>
  </si>
  <si>
    <t>A00106</t>
  </si>
  <si>
    <t>NAZMUL AHSAN</t>
  </si>
  <si>
    <t>A00107</t>
  </si>
  <si>
    <t>NABADIP ROY</t>
  </si>
  <si>
    <t>A00108</t>
  </si>
  <si>
    <t>RAHNUMA SANJANA</t>
  </si>
  <si>
    <t>A00109</t>
  </si>
  <si>
    <t>MD. NABIL BARKET</t>
  </si>
  <si>
    <t>A00110</t>
  </si>
  <si>
    <t>RASEDUL ISLAM</t>
  </si>
  <si>
    <t>A00111</t>
  </si>
  <si>
    <t>MOHAMMED HAFIZ UDDIN</t>
  </si>
  <si>
    <t>A00112</t>
  </si>
  <si>
    <t>MD. MONIRUZZAMAN</t>
  </si>
  <si>
    <t>A00113</t>
  </si>
  <si>
    <t>S.M. FERDAUS HOSSAIN</t>
  </si>
  <si>
    <t>A00114</t>
  </si>
  <si>
    <t>A00115</t>
  </si>
  <si>
    <t>N M AL HOSSAIN</t>
  </si>
  <si>
    <t>A00116</t>
  </si>
  <si>
    <t>MOHAMMAD SAIFUDDOWLA</t>
  </si>
  <si>
    <t>A00117</t>
  </si>
  <si>
    <t>MD ABDUL AZIZ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</si>
  <si>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</si>
  <si>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</si>
  <si>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</si>
  <si>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</si>
  <si>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</si>
  <si>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</si>
  <si>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</si>
  <si>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</si>
  <si>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</si>
  <si>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</si>
  <si>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</si>
  <si>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</si>
  <si>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</si>
  <si>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</si>
  <si>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</si>
  <si>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</si>
  <si>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</si>
  <si>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</si>
  <si>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</si>
  <si>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</si>
  <si>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</si>
  <si>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</si>
  <si>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</si>
  <si>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</si>
  <si>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</si>
  <si>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</si>
  <si>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</si>
  <si>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</si>
  <si>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</si>
  <si>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</si>
  <si>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</si>
  <si>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</si>
  <si>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</si>
  <si>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</si>
  <si>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</si>
  <si>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</si>
  <si>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</si>
  <si>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</si>
  <si>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</si>
  <si>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</si>
  <si>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</si>
  <si>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</si>
  <si>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</si>
  <si>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</si>
  <si>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</si>
  <si>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</si>
  <si>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</si>
  <si>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</si>
  <si>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</si>
  <si>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</si>
  <si>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</si>
  <si>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</si>
  <si>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</si>
  <si>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</si>
  <si>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</si>
  <si>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</si>
  <si>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</si>
  <si>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</si>
  <si>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</si>
  <si>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</si>
  <si>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</si>
  <si>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</si>
  <si>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</si>
  <si>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</si>
  <si>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</si>
  <si>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</si>
  <si>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</si>
  <si>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</si>
  <si>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</si>
  <si>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A00188</t>
  </si>
  <si>
    <t>A00189</t>
  </si>
  <si>
    <t>KAMRUL HASAN MAHMUD</t>
  </si>
  <si>
    <t>A00190</t>
  </si>
  <si>
    <t>MD. ALAMGIR HOSSAIN</t>
  </si>
  <si>
    <t>A00191</t>
  </si>
  <si>
    <t>MD. SAJID SAADAT ALI</t>
  </si>
  <si>
    <t>A00192</t>
  </si>
  <si>
    <t>A00193</t>
  </si>
  <si>
    <t>HASIB MUSTABSIR</t>
  </si>
  <si>
    <t>A00194</t>
  </si>
  <si>
    <t>MD. HARUN OR RASHID</t>
  </si>
  <si>
    <t>A00195</t>
  </si>
  <si>
    <t>MUHAMMAD TANVIR ARAFAT</t>
  </si>
  <si>
    <t>A00196</t>
  </si>
  <si>
    <t>MD. WALI ULLAH</t>
  </si>
  <si>
    <t>A00197</t>
  </si>
  <si>
    <t>MD. NIAZ MURSHED</t>
  </si>
  <si>
    <t>A00198</t>
  </si>
  <si>
    <t>DBH EMPLOYEES GRATUITY FUND</t>
  </si>
  <si>
    <t>A00199</t>
  </si>
  <si>
    <t>JOHORA KHATUN</t>
  </si>
  <si>
    <t>A00200</t>
  </si>
  <si>
    <t>MAHMUD ALI ALAMGIR</t>
  </si>
  <si>
    <t>A00201</t>
  </si>
  <si>
    <t>A00202</t>
  </si>
  <si>
    <t>REZIA RAHMAT</t>
  </si>
  <si>
    <t>A00203</t>
  </si>
  <si>
    <t>MUNTASIR HASAN</t>
  </si>
  <si>
    <t>A00204</t>
  </si>
  <si>
    <t>NAZNIN AKTER</t>
  </si>
  <si>
    <t>A00205</t>
  </si>
  <si>
    <t>A00206</t>
  </si>
  <si>
    <t>RAKIBUL ISLAM</t>
  </si>
  <si>
    <t>A00207</t>
  </si>
  <si>
    <t>ZUBAYER SARWAR</t>
  </si>
  <si>
    <t>A00208</t>
  </si>
  <si>
    <t>CHOWDHURY MD. RAIYAN ALAM</t>
  </si>
  <si>
    <t>A00209</t>
  </si>
  <si>
    <t>FARUQUE AHMED &amp; ZAHEDA BEGUM HENA</t>
  </si>
  <si>
    <t>A00210</t>
  </si>
  <si>
    <t>MOHAMMAD HABIB RASHID</t>
  </si>
  <si>
    <t>A00211</t>
  </si>
  <si>
    <t>MAHFUZUL ISLAM</t>
  </si>
  <si>
    <t>A00212</t>
  </si>
  <si>
    <t>FARHANA AKHTER</t>
  </si>
  <si>
    <t>A00213</t>
  </si>
  <si>
    <t>NOOR AL-RAFI</t>
  </si>
  <si>
    <t>A00214</t>
  </si>
  <si>
    <t>K.M SAKIB AHMED</t>
  </si>
  <si>
    <t>A00215</t>
  </si>
  <si>
    <t>SK FEROZ ALAM &amp; MD BULBUL ISLAM</t>
  </si>
  <si>
    <t>A00216</t>
  </si>
  <si>
    <t>TAPU GUHA</t>
  </si>
  <si>
    <t>A00217</t>
  </si>
  <si>
    <t>MOHAMMAD SAMIR UDDIN</t>
  </si>
  <si>
    <t>A00218</t>
  </si>
  <si>
    <t>K M ROHAN AHMED</t>
  </si>
  <si>
    <t>A00219</t>
  </si>
  <si>
    <t>TAHMID HASAN</t>
  </si>
  <si>
    <t>A00221</t>
  </si>
  <si>
    <t>MIDLAND BANK LIMITED</t>
  </si>
  <si>
    <t>A00222</t>
  </si>
  <si>
    <t>MOHAMMAD AKIB NAWAZ</t>
  </si>
  <si>
    <t>A00223</t>
  </si>
  <si>
    <t>Year</t>
  </si>
  <si>
    <t>Month</t>
  </si>
  <si>
    <t>Day</t>
  </si>
  <si>
    <t>Date Value</t>
  </si>
  <si>
    <t>Investor ID</t>
  </si>
  <si>
    <t>Frequency</t>
  </si>
  <si>
    <t>Unique Code</t>
  </si>
  <si>
    <t>B/S</t>
  </si>
  <si>
    <t>Amount</t>
  </si>
  <si>
    <t>NAV (Strike Rate)</t>
  </si>
  <si>
    <t>Unit</t>
  </si>
  <si>
    <t>Cumulative Unit</t>
  </si>
  <si>
    <t>Unit Capital</t>
  </si>
  <si>
    <t>Unit Premium Reserve</t>
  </si>
  <si>
    <t>NAV at Cost (Average)</t>
  </si>
  <si>
    <t>Realized Gain</t>
  </si>
  <si>
    <t>B</t>
  </si>
  <si>
    <t>*****</t>
  </si>
  <si>
    <t>NAV (At MKT Rate)</t>
  </si>
  <si>
    <t>BIJOY CHANDRA DAS</t>
  </si>
  <si>
    <t>A00224</t>
  </si>
  <si>
    <t>RAIS-UR-RUBBI</t>
  </si>
  <si>
    <t>A00225</t>
  </si>
  <si>
    <t>FATEMA-TUZ JOHURA NILA</t>
  </si>
  <si>
    <t>A00226</t>
  </si>
  <si>
    <t>A00227</t>
  </si>
  <si>
    <t>QAZI MUSADDEQ AHMAD</t>
  </si>
  <si>
    <t>IFTAKHAR AHMED</t>
  </si>
  <si>
    <t>BALARAM CHANDRA SAHA</t>
  </si>
  <si>
    <t>A00228</t>
  </si>
  <si>
    <t>BACKBONE</t>
  </si>
  <si>
    <t>A00229</t>
  </si>
  <si>
    <t>GOPI NATH GHOSH</t>
  </si>
  <si>
    <t>A00230</t>
  </si>
  <si>
    <t>SULTANA RAZIA</t>
  </si>
  <si>
    <t>A00231</t>
  </si>
  <si>
    <t>SECURE LINK SERVICES BANGLADESH LIMITED</t>
  </si>
  <si>
    <t>A00232</t>
  </si>
  <si>
    <t>QUAZI TOWFIQUE UDDIN</t>
  </si>
  <si>
    <t>A00233</t>
  </si>
  <si>
    <t>A00234</t>
  </si>
  <si>
    <t>MD. FERDAUS WAHID</t>
  </si>
  <si>
    <t>A00235</t>
  </si>
  <si>
    <t>MD SHAFIUL AZAM</t>
  </si>
  <si>
    <t>A00236</t>
  </si>
  <si>
    <t>A00237</t>
  </si>
  <si>
    <t>IVA JAMAL</t>
  </si>
  <si>
    <t>ILINE JAMAL</t>
  </si>
  <si>
    <t>A00238</t>
  </si>
  <si>
    <t>TARUN KUMAR SARKER</t>
  </si>
  <si>
    <t>A00239</t>
  </si>
  <si>
    <t>JHARNA AHMED</t>
  </si>
  <si>
    <t>A00240</t>
  </si>
  <si>
    <t>A00241</t>
  </si>
  <si>
    <t>MD ABDULLAH-AL- MAMUN</t>
  </si>
  <si>
    <t>A00242</t>
  </si>
  <si>
    <t>MD KAMAL HOSSAIN</t>
  </si>
  <si>
    <t>MD. MEHEDI HASSAN MILON</t>
  </si>
  <si>
    <t>A00243</t>
  </si>
  <si>
    <t>MOHAMMAD SAMIUL ALAM</t>
  </si>
  <si>
    <t>A00244</t>
  </si>
  <si>
    <t>ZAFOR UDDIN AHMED</t>
  </si>
  <si>
    <t>A00245</t>
  </si>
  <si>
    <t>ABACI INVESTMENTS LTD. EC PROVIDENT FUND</t>
  </si>
  <si>
    <t>A00246</t>
  </si>
  <si>
    <t>SHANTA PAUL</t>
  </si>
  <si>
    <t>A00247</t>
  </si>
  <si>
    <t>ANJAN MALLIK</t>
  </si>
  <si>
    <t>A00248</t>
  </si>
  <si>
    <t>HASINA JANNAT</t>
  </si>
  <si>
    <t>A00249</t>
  </si>
  <si>
    <t>MR. NAYAN KUMAR CHOWDHURY</t>
  </si>
  <si>
    <t>A00250</t>
  </si>
  <si>
    <t>A00251</t>
  </si>
  <si>
    <t>NITYANANDA BISWAS</t>
  </si>
  <si>
    <t>A00252</t>
  </si>
  <si>
    <t>SARDER SAYED AKRAM</t>
  </si>
  <si>
    <t>A00253</t>
  </si>
  <si>
    <t>MD. ATIQUR RAHMAN</t>
  </si>
  <si>
    <t>A00254</t>
  </si>
  <si>
    <t>MAHMUDUL HASSAN</t>
  </si>
  <si>
    <t>A00255</t>
  </si>
  <si>
    <t>TANVIR HASAN</t>
  </si>
  <si>
    <t>A00256</t>
  </si>
  <si>
    <t>S. M. ALI MANZIR PALLAB</t>
  </si>
  <si>
    <t>A00257</t>
  </si>
  <si>
    <t>MD. WALID - AL - ZUBAYER</t>
  </si>
  <si>
    <t>A00258</t>
  </si>
  <si>
    <t>MEHEDI HASSAN RONI</t>
  </si>
  <si>
    <t>A00259</t>
  </si>
  <si>
    <t>CHANCHAL KUMAR SAHA</t>
  </si>
  <si>
    <t>A00260</t>
  </si>
  <si>
    <t>MD. WALIULLAH. SWADESH RANJAN SAHA &amp; MD. MIZZNUR RAHMAN</t>
  </si>
  <si>
    <t>MEHERUN NESSA JUTHY</t>
  </si>
  <si>
    <t>A00261</t>
  </si>
  <si>
    <t>MASTURA MUNIAT</t>
  </si>
  <si>
    <t>A00262</t>
  </si>
  <si>
    <t>JOY SHREE SAHA</t>
  </si>
  <si>
    <t>A00263</t>
  </si>
  <si>
    <t>A S SALAHUDDIN AHMED</t>
  </si>
  <si>
    <t>A00264</t>
  </si>
  <si>
    <t>MOHAMMED SAJEDUR RAHMAN</t>
  </si>
  <si>
    <t>A00265</t>
  </si>
  <si>
    <t>JUBAIR MOHAMMAD HASAN</t>
  </si>
  <si>
    <t>A00266</t>
  </si>
  <si>
    <t>HABIB REDWAN RAFI</t>
  </si>
  <si>
    <t>A00267</t>
  </si>
  <si>
    <t>NAUSHEEN AHMED</t>
  </si>
  <si>
    <t>A00268</t>
  </si>
  <si>
    <t>A00269</t>
  </si>
  <si>
    <t>A00270</t>
  </si>
  <si>
    <t>MD. MANAZIR KABIR</t>
  </si>
  <si>
    <t>IMTIAJ ARA</t>
  </si>
  <si>
    <t>NADIRA AKTER</t>
  </si>
  <si>
    <t>ABDULLAH-AL-FAHIM</t>
  </si>
  <si>
    <t>A00271</t>
  </si>
  <si>
    <t>SAJAN KUMAR BASAK</t>
  </si>
  <si>
    <t>A00272</t>
  </si>
  <si>
    <t>JAHAN ARA BEGUM</t>
  </si>
  <si>
    <t>A00273</t>
  </si>
  <si>
    <t>MOHAMMAD SHAHIDUL ISLAM</t>
  </si>
  <si>
    <t>A00274</t>
  </si>
  <si>
    <t>MD. MARUF SIKDER</t>
  </si>
  <si>
    <t>A00275</t>
  </si>
  <si>
    <t>MD. ARIFUL ISLAM</t>
  </si>
  <si>
    <t>A00276</t>
  </si>
  <si>
    <t>SK. MOINUL HASSAN</t>
  </si>
  <si>
    <t>A00277</t>
  </si>
  <si>
    <t>A00278</t>
  </si>
  <si>
    <t>MD. AHSAN-UZ ZAMAN</t>
  </si>
  <si>
    <t>GOURI TOSH PAUL</t>
  </si>
  <si>
    <t>A00279</t>
  </si>
  <si>
    <t>FARHAN SHAHRIAR DIPTO</t>
  </si>
  <si>
    <t>A00280</t>
  </si>
  <si>
    <t>RAJIB SAHA</t>
  </si>
  <si>
    <t>A00281</t>
  </si>
  <si>
    <t>ALVI RAHMAN</t>
  </si>
  <si>
    <t>A00282</t>
  </si>
  <si>
    <t>MOHAMMAD MIZANUR RAHMAN</t>
  </si>
  <si>
    <t>A00283</t>
  </si>
  <si>
    <t>UMME SALMA KATHA</t>
  </si>
  <si>
    <t>A00284</t>
  </si>
  <si>
    <t>MD. ZAHIRUL ISLAM</t>
  </si>
  <si>
    <t>A00285</t>
  </si>
  <si>
    <t>ASRAFUZZAMAN</t>
  </si>
  <si>
    <t>A00286</t>
  </si>
  <si>
    <t>MD. RAFIQUR RAHMAN</t>
  </si>
  <si>
    <t>A00287</t>
  </si>
  <si>
    <t>MD ABDUS SAMAD AZAD</t>
  </si>
  <si>
    <t>A00288</t>
  </si>
  <si>
    <t>MAHBUB-UL-ANAM KHAN</t>
  </si>
  <si>
    <t>A00289</t>
  </si>
  <si>
    <t>NUR ELAHEE MOLLA</t>
  </si>
  <si>
    <t>A00290</t>
  </si>
  <si>
    <t>SAYEM AHMED</t>
  </si>
  <si>
    <t>A00291</t>
  </si>
  <si>
    <t>RAIS UDDIN AHMAD</t>
  </si>
  <si>
    <t>A00292</t>
  </si>
  <si>
    <t>BENOZEER AHMED</t>
  </si>
  <si>
    <t>A00293</t>
  </si>
  <si>
    <t>SUMAIYA CHOWDHURY RUPTY</t>
  </si>
  <si>
    <t>A00294</t>
  </si>
  <si>
    <t>GREEN DELTA SECURITIES LIMITED</t>
  </si>
  <si>
    <t>INVESTOR NAME</t>
  </si>
  <si>
    <t>INVESTOR CODE</t>
  </si>
  <si>
    <t>HARUNUR RASHID</t>
  </si>
  <si>
    <t>A00295</t>
  </si>
  <si>
    <t>NAV</t>
  </si>
  <si>
    <t>TOTAL MARKET VALUE</t>
  </si>
  <si>
    <t>SARWAR</t>
  </si>
  <si>
    <t>A00296</t>
  </si>
  <si>
    <t>SOHEL MAHMOOD</t>
  </si>
  <si>
    <t>A00297</t>
  </si>
  <si>
    <t>MOSTAFIZUR RAHMAN</t>
  </si>
  <si>
    <t>A00298</t>
  </si>
  <si>
    <t>Cost of Units Sold</t>
  </si>
  <si>
    <t>MUSHFIQUR RAHMAN</t>
  </si>
  <si>
    <t>A00299</t>
  </si>
  <si>
    <t>MD. ASHADUL HOQUE</t>
  </si>
  <si>
    <t>A00300</t>
  </si>
  <si>
    <t>JANNATUL FERDOUS SHARNA</t>
  </si>
  <si>
    <t>A00301</t>
  </si>
  <si>
    <t>A.T.M. MORSHED KAMAL</t>
  </si>
  <si>
    <t>A00302</t>
  </si>
  <si>
    <t>KHANDAKAR MOHAMMAD NURUL HADIUZZAMAN</t>
  </si>
  <si>
    <t>A00303</t>
  </si>
  <si>
    <t>SYED NAYEEMUDDIN HOSSAIN</t>
  </si>
  <si>
    <t>A00304</t>
  </si>
  <si>
    <t>BEGINNING PERIOD COST VALUE</t>
  </si>
  <si>
    <t>BEGINNING PERIOD UNITS</t>
  </si>
  <si>
    <t>BEGINNING PERIOD MARKET VALUE</t>
  </si>
  <si>
    <t>ENDING PERIOD UNITS</t>
  </si>
  <si>
    <t>ENDING PERIOD COST VALUE</t>
  </si>
  <si>
    <t>ENDING PERIOD MARKET VALUE</t>
  </si>
  <si>
    <t>BEGINNING PERIOD UNREALIZED GAIN</t>
  </si>
  <si>
    <t>ENDING PERIOD UNREALIZED GAIN</t>
  </si>
  <si>
    <t>TOTAL REALIZED GAIN</t>
  </si>
  <si>
    <t>TOTAL GROSS DIVIDEND</t>
  </si>
  <si>
    <t>TOTAL TAX</t>
  </si>
  <si>
    <t>NET INVESTMENT DURING THE PERIOD</t>
  </si>
  <si>
    <t>TOTAL NET DIVIDEND</t>
  </si>
  <si>
    <t>DAY</t>
  </si>
  <si>
    <t>MONTH</t>
  </si>
  <si>
    <t>YEAR</t>
  </si>
  <si>
    <t>DATEVALUE</t>
  </si>
  <si>
    <t>TOTAL UNITS ADDITION DURING THE PERIOD</t>
  </si>
  <si>
    <t>TOTAL ADDITION AT COST DURING THE PERIOD</t>
  </si>
  <si>
    <t>TOTAL UNITS REDEMPTION DURING THE PERIOD</t>
  </si>
  <si>
    <t>TOTAL REDEMPTION AT COST DURING THE PERIOD</t>
  </si>
  <si>
    <t>ANWAR ZAHID</t>
  </si>
  <si>
    <t>A00220</t>
  </si>
  <si>
    <t>SHIHAB MAHMUD</t>
  </si>
  <si>
    <t>A00187</t>
  </si>
  <si>
    <t>SHAHNAZ PARVEEN</t>
  </si>
  <si>
    <t>A00305</t>
  </si>
  <si>
    <t>HABIBA CHOWDHURY SHELI</t>
  </si>
  <si>
    <t>A00306</t>
  </si>
  <si>
    <t>A00307</t>
  </si>
  <si>
    <t>CHAYAN KUMAR BARUA</t>
  </si>
  <si>
    <t>MD. MOSABBIR ALAM</t>
  </si>
  <si>
    <t>A00308</t>
  </si>
  <si>
    <t>SAMMIR BIN DELOWER</t>
  </si>
  <si>
    <t>A00309</t>
  </si>
  <si>
    <t>LS_TOTAL CURRENT UNITS</t>
  </si>
  <si>
    <t>LS_TOTAL UNITS BUY</t>
  </si>
  <si>
    <t>TITLE</t>
  </si>
  <si>
    <t>LS_TOTAL COST VALUE</t>
  </si>
  <si>
    <t>LS_TOTAL COST OF UNITS SOLD</t>
  </si>
  <si>
    <t>LS_TOTAL COST VALUE OF CURRENT UNITS</t>
  </si>
  <si>
    <t>LS_TOTAL REALIZED GAIN</t>
  </si>
  <si>
    <t>SIP_TOTAL UNITS BUY</t>
  </si>
  <si>
    <t>LS_TOTAL UNITS SOLD</t>
  </si>
  <si>
    <t>SIP_TOTAL UNITS SOLD</t>
  </si>
  <si>
    <t>SIP_TOTAL CURRENT UNITS</t>
  </si>
  <si>
    <t>SIP_TOTAL COST VALUE</t>
  </si>
  <si>
    <t>SIP_TOTAL COST OF UNITS SOLD</t>
  </si>
  <si>
    <t>SIP_TOTAL COST VALUE OF CURRENT UNITS</t>
  </si>
  <si>
    <t>SIP_TOTAL REALIZED GAIN</t>
  </si>
  <si>
    <t>LS_WEIGHT</t>
  </si>
  <si>
    <t>SIP_WEIGHT</t>
  </si>
  <si>
    <t>LS_AVERAGE COST</t>
  </si>
  <si>
    <t>SIP_AVERAGE COST</t>
  </si>
  <si>
    <t>AVERAGE COST</t>
  </si>
  <si>
    <t>LS_TOTAL MARKET VALUE</t>
  </si>
  <si>
    <t>SIP_TOTAL MARKET VALUE</t>
  </si>
  <si>
    <t>TOTAL SELLABLE UNITS</t>
  </si>
  <si>
    <t>MARKET VALUE OF SELLABLE UNITS</t>
  </si>
  <si>
    <t>TOTAL UNITS BUY</t>
  </si>
  <si>
    <t>TOTAL UNITS SOLD</t>
  </si>
  <si>
    <t>TOTAL CURRENT UNITS</t>
  </si>
  <si>
    <t>TYPE OF INVESTOR</t>
  </si>
  <si>
    <t>Dear Mr.</t>
  </si>
  <si>
    <t>Dear</t>
  </si>
  <si>
    <t>Dear Mrs.</t>
  </si>
  <si>
    <t>Dear Ms.</t>
  </si>
  <si>
    <t>Dear Miss</t>
  </si>
  <si>
    <t xml:space="preserve">Dear Mr. </t>
  </si>
  <si>
    <t>TOTAL COST VALUE OF CURRENT INVESTMENT</t>
  </si>
  <si>
    <t>TOTAL UNREALIZED GAIN</t>
  </si>
  <si>
    <t>BABITA RANI BARMAN</t>
  </si>
  <si>
    <t>UNMESH RAY HIMEL</t>
  </si>
  <si>
    <t>A00310</t>
  </si>
  <si>
    <t>SHARMEEN MAHMUD</t>
  </si>
  <si>
    <t>A00311</t>
  </si>
  <si>
    <t>MST. NASIRA KHATUN</t>
  </si>
  <si>
    <t>A00312</t>
  </si>
  <si>
    <t>REDOY BARMON</t>
  </si>
  <si>
    <t>A00313</t>
  </si>
  <si>
    <t>MOHAMMAD MARUFUR RAHMAN SIKDER</t>
  </si>
  <si>
    <t>RAFAYET ULLAH</t>
  </si>
  <si>
    <t>A00314</t>
  </si>
  <si>
    <t>ZAKIA SULTANA</t>
  </si>
  <si>
    <t>A00315</t>
  </si>
  <si>
    <t>MOUMITA ROY</t>
  </si>
  <si>
    <t>A00316</t>
  </si>
  <si>
    <t>MONSURUL MOHAMMAD SHAHRIAR</t>
  </si>
  <si>
    <t>A00317</t>
  </si>
  <si>
    <t>A00322</t>
  </si>
  <si>
    <t>SHARMIN JAHAN SHANTA</t>
  </si>
  <si>
    <t>A00318</t>
  </si>
  <si>
    <t>MD. MIZANUR RAHMAN</t>
  </si>
  <si>
    <t>A00319</t>
  </si>
  <si>
    <t>MD. SAIFULLAH AL AZAD</t>
  </si>
  <si>
    <t>A00320</t>
  </si>
  <si>
    <t>MD. JAHIRUL ISLAM</t>
  </si>
  <si>
    <t>A00321</t>
  </si>
  <si>
    <t>AHMED BIN MONSUR</t>
  </si>
  <si>
    <t>MUNTASIR MAHMUD RAHMAN</t>
  </si>
  <si>
    <t>A00323</t>
  </si>
  <si>
    <t>MD. NAHIDUR RASHID</t>
  </si>
  <si>
    <t>A00324</t>
  </si>
  <si>
    <t>SAJED MADBAR</t>
  </si>
  <si>
    <t>A00325</t>
  </si>
  <si>
    <t>THE GSP FINANCE COMPANY (BANGLADESH) LIMITED EMPLOYEES PROVIDENT FUND</t>
  </si>
  <si>
    <t>A00326</t>
  </si>
  <si>
    <t>A00327</t>
  </si>
  <si>
    <t>A00328</t>
  </si>
  <si>
    <t>M.A. MALEK SIDDIQUE WALI &amp; CO.</t>
  </si>
  <si>
    <t>SAILENDRA SAHA</t>
  </si>
  <si>
    <t>ASHRAFUL ISLAM</t>
  </si>
  <si>
    <t>A00329</t>
  </si>
  <si>
    <t>TANIA KABIR</t>
  </si>
  <si>
    <t>A00330</t>
  </si>
  <si>
    <t>MD. SHEFATH-UL-ISLAM</t>
  </si>
  <si>
    <t>A00331</t>
  </si>
  <si>
    <t>MOHAMMED FUAD ZIBRAN</t>
  </si>
  <si>
    <t>A00332</t>
  </si>
  <si>
    <t>MD. GOLAM MORTAZA</t>
  </si>
  <si>
    <t>A00333</t>
  </si>
  <si>
    <t>SUSMITA DHAR</t>
  </si>
  <si>
    <t>A00334</t>
  </si>
  <si>
    <t>SHAHED UDDIN MOHAMMED PARVEZ</t>
  </si>
  <si>
    <t>A00335</t>
  </si>
  <si>
    <t>A00336</t>
  </si>
  <si>
    <t>A00337</t>
  </si>
  <si>
    <t>BISHWAJIT BASAK</t>
  </si>
  <si>
    <t>MOHAMMED ZAHID HOSSAIN</t>
  </si>
  <si>
    <t>A00338</t>
  </si>
  <si>
    <t>A00339</t>
  </si>
  <si>
    <t>ASMAR OSMAN</t>
  </si>
  <si>
    <t>A00340</t>
  </si>
  <si>
    <t>A00341</t>
  </si>
  <si>
    <t>FAISAL BIN MALEQUE</t>
  </si>
  <si>
    <t>A00342</t>
  </si>
  <si>
    <t>MD. IMRAN HOSSAIN</t>
  </si>
  <si>
    <t>A00343</t>
  </si>
  <si>
    <t>A00344</t>
  </si>
  <si>
    <t>KAZI RASEL</t>
  </si>
  <si>
    <t>A00345</t>
  </si>
  <si>
    <t>ANJANA SAHA</t>
  </si>
  <si>
    <t>TANIZA MAZED</t>
  </si>
  <si>
    <t>MD. SHAHIDUL ISLAM</t>
  </si>
  <si>
    <t>PRATIMA DEV</t>
  </si>
  <si>
    <t>UCB STOCK BROKERAGE LIMITED</t>
  </si>
  <si>
    <t>NATIONAL BANK LTD</t>
  </si>
  <si>
    <t>PHOENIX INSURANCE CO. LTD. EMPL. P.F.</t>
  </si>
  <si>
    <t>SATCOM IT LTD. PROVIDENT FUND</t>
  </si>
  <si>
    <t>MOHAMMAD MONJUR ALAM</t>
  </si>
  <si>
    <t>PHOENIX INSURANCE CO. LTD.</t>
  </si>
  <si>
    <t>ASHIT BARAN SAHA</t>
  </si>
  <si>
    <t>MOHAMMAD SAYDUZZAMAN</t>
  </si>
  <si>
    <t>RAHNUMA SULTANA</t>
  </si>
  <si>
    <t>COMMUNITY BANK BANGLADESH LIMITED</t>
  </si>
  <si>
    <t>MAYA RANI SAHA</t>
  </si>
  <si>
    <t>SUHAIEB CHOWDHURY</t>
  </si>
  <si>
    <t>SHAHRIAR MAHMOOD</t>
  </si>
  <si>
    <t>MD MIZANUR RAHMAN</t>
  </si>
  <si>
    <t>FAIYEAD AHMEDUL HYE</t>
  </si>
  <si>
    <t>SAILA SATTER</t>
  </si>
  <si>
    <t>MD KAMRUL ISLAM</t>
  </si>
  <si>
    <t>MD. ZAHIR UDDIN</t>
  </si>
  <si>
    <t>BIPLAB SAHA</t>
  </si>
  <si>
    <t>SAIDA HOMAIRA</t>
  </si>
  <si>
    <t>NEXXEN EQUITY MANAGEMENT LIMITED</t>
  </si>
  <si>
    <t>A00346</t>
  </si>
  <si>
    <t>EVEREST PHARMACEUTICALS LTD. EMPLOYEES CONTRIBUTORY PROVIDENT FUND</t>
  </si>
  <si>
    <t>A00347</t>
  </si>
  <si>
    <t>A.K.M. ANWARUL HOQ</t>
  </si>
  <si>
    <t>A00348</t>
  </si>
  <si>
    <t>MOHAMMAD MOZNU MOLLAH</t>
  </si>
  <si>
    <t>A00349</t>
  </si>
  <si>
    <t>MD. ZAKIR HOSSAIN</t>
  </si>
  <si>
    <t>A00350</t>
  </si>
  <si>
    <t>MOHAMMAD SAIFUL ISLAM</t>
  </si>
  <si>
    <t>A00351</t>
  </si>
  <si>
    <t>SHIULI RANI SAHA</t>
  </si>
  <si>
    <t>A00352</t>
  </si>
  <si>
    <t>VANGUARD AML GROWTH FUND</t>
  </si>
  <si>
    <t>A00353</t>
  </si>
  <si>
    <t>BRAC BANK LIMITED</t>
  </si>
  <si>
    <t>A00354</t>
  </si>
  <si>
    <t>NRB COMMERCIAL BANK LIMITED</t>
  </si>
  <si>
    <t>A00355</t>
  </si>
  <si>
    <t>HOSNEARA ISLAM</t>
  </si>
  <si>
    <t>A00356</t>
  </si>
  <si>
    <t>MOHAMMAD MOINUL ISLAM</t>
  </si>
  <si>
    <t>A00357</t>
  </si>
  <si>
    <t>MOHAMMAD AMDADUL HOQUE</t>
  </si>
  <si>
    <t>A00358</t>
  </si>
  <si>
    <t>HAFIZA AFRIN TONNY</t>
  </si>
  <si>
    <t>A00359</t>
  </si>
  <si>
    <t>NBL CAPITAL AND EQUITY MANAGEMENT LTD</t>
  </si>
  <si>
    <t>A00360</t>
  </si>
  <si>
    <t>ARIF AHMED</t>
  </si>
  <si>
    <t>A00361</t>
  </si>
  <si>
    <t>MOHAMMAD YASEEN</t>
  </si>
  <si>
    <t>A00362</t>
  </si>
  <si>
    <t>MD. TARIF AZAD KHAN</t>
  </si>
  <si>
    <t>A00363</t>
  </si>
  <si>
    <t>MD. AZHARUL KARIM</t>
  </si>
  <si>
    <t>A00364</t>
  </si>
  <si>
    <t>BANGLADESH FUND</t>
  </si>
  <si>
    <t>A00365</t>
  </si>
  <si>
    <t>NAYEEMA TASNEEM</t>
  </si>
  <si>
    <t>A00366</t>
  </si>
  <si>
    <t>A00367</t>
  </si>
  <si>
    <t>MD. NAZIMUL HAQUE HAQUANNI</t>
  </si>
  <si>
    <t>A00368</t>
  </si>
  <si>
    <t>ASRAAR HOSSAIN</t>
  </si>
  <si>
    <t>A00369</t>
  </si>
  <si>
    <t>ZAIN MOHAMMAD YASEEN</t>
  </si>
  <si>
    <t>A00370</t>
  </si>
  <si>
    <t>MD. AL AMIN SARKER</t>
  </si>
  <si>
    <t>A00371</t>
  </si>
  <si>
    <t>MD. ASIF RAIHAN</t>
  </si>
  <si>
    <t>A00372</t>
  </si>
  <si>
    <t>ZINAT MAHRUKH BANU</t>
  </si>
  <si>
    <t>A00373</t>
  </si>
  <si>
    <t>B.M. MIRAZ HOSSAIN</t>
  </si>
  <si>
    <t>A00374</t>
  </si>
  <si>
    <t>DELTA BRAC HOUSING FINANCE CORPORATION LTD</t>
  </si>
  <si>
    <t>A00375</t>
  </si>
  <si>
    <t>RASIDA BEGUM</t>
  </si>
  <si>
    <t>A00376</t>
  </si>
  <si>
    <t>AMARSTOCK LTD. EMP. PF.</t>
  </si>
  <si>
    <t>A00377</t>
  </si>
  <si>
    <t>SHABBIR KHAN</t>
  </si>
  <si>
    <t>A00378</t>
  </si>
  <si>
    <t>EDGE VENTURES LIMITED</t>
  </si>
  <si>
    <t>A00379</t>
  </si>
  <si>
    <t>CITY BROKERAGE LIMITED</t>
  </si>
  <si>
    <t>A00380</t>
  </si>
  <si>
    <t>ANIK KUMAR GUPTA</t>
  </si>
  <si>
    <t>A00381</t>
  </si>
  <si>
    <t>A00382</t>
  </si>
  <si>
    <t>AZIZUL ISLAM</t>
  </si>
  <si>
    <t>A00383</t>
  </si>
  <si>
    <t>A00384</t>
  </si>
  <si>
    <t>A00385</t>
  </si>
  <si>
    <t>MD. TANZIRUL AMIN</t>
  </si>
  <si>
    <t>A00386</t>
  </si>
  <si>
    <t>SYED ASIF HOSSAIN</t>
  </si>
  <si>
    <t>A00387</t>
  </si>
  <si>
    <t>MD. JAHANGIR ALAM</t>
  </si>
  <si>
    <t>BISWAS ARIFUR RAHMAN</t>
  </si>
  <si>
    <t>JEWEL SAHA</t>
  </si>
  <si>
    <t>SHIBBIR AHMED</t>
  </si>
  <si>
    <t>SHYAMAL KRISHNA SAHA</t>
  </si>
  <si>
    <t>NASRIN AKHTER</t>
  </si>
  <si>
    <t>MRINMOY GHOSH</t>
  </si>
  <si>
    <t>MOHAMMAD NAZMUL HOSSAIN</t>
  </si>
  <si>
    <t>ABDUL HAI BHUYAN</t>
  </si>
  <si>
    <t>ALI IMAM</t>
  </si>
  <si>
    <t>UCIL EMPLOYEES' PROVIDENT FUND</t>
  </si>
  <si>
    <t>MD. ZAKIR HOSSEN</t>
  </si>
  <si>
    <t>MRIDUL KUMAR DEY</t>
  </si>
  <si>
    <t>MAMUNUR RASHID</t>
  </si>
  <si>
    <t>MINHAJ UDDIN</t>
  </si>
  <si>
    <t>CRAB EMPLOYEES PROVIDENT FUND</t>
  </si>
  <si>
    <t>CRAB EMPLOYEES GRATUITY FUND</t>
  </si>
  <si>
    <t>MD. BADI-UZ-ZAMAN</t>
  </si>
  <si>
    <t>FAHMIDA HAQUE</t>
  </si>
  <si>
    <t>NUR HAIDAR SARKER</t>
  </si>
  <si>
    <t>UNICAP SECURITIES LIMITED</t>
  </si>
  <si>
    <t>ICB ASSET MANAGEMENT COMPANY LIMITED</t>
  </si>
  <si>
    <t>TANVIR AHMED SIDDIQUI</t>
  </si>
  <si>
    <t>MOHAMMED SELIM</t>
  </si>
  <si>
    <t>MD. MOMINUL HOQUE</t>
  </si>
  <si>
    <t>EHTESHAMUL HAQUE</t>
  </si>
  <si>
    <t>SAYEDA SALAHUDDIN</t>
  </si>
  <si>
    <t>SHAILA SALAHUDDIN</t>
  </si>
  <si>
    <t>M. AMIRULLAH</t>
  </si>
  <si>
    <t>MONIR AHMED</t>
  </si>
  <si>
    <t>MD. SHIFUL ISLAM</t>
  </si>
  <si>
    <t>RAJIB ROY</t>
  </si>
  <si>
    <t>ASIAN TIGER SANDHANI LIFE GROWTH FUND</t>
  </si>
  <si>
    <t>M A QUAYOOM</t>
  </si>
  <si>
    <t>AROORA SAMEERA CHOWDHURY</t>
  </si>
  <si>
    <t>ABACI INVESTMENTS LIMITED</t>
  </si>
  <si>
    <t>MD. SAJEDUL HUDA NOVEL</t>
  </si>
  <si>
    <t>CAPITEC POPULAR LIFE UNIT FUND</t>
  </si>
  <si>
    <t>FARDINA HAFIZ</t>
  </si>
  <si>
    <t>SHUVA SAHA</t>
  </si>
  <si>
    <t>KAZI AHSAN MARUF</t>
  </si>
  <si>
    <t>MD. OMAR FARUQUE Al QUADERI</t>
  </si>
  <si>
    <t>H M JAHID HASSAN</t>
  </si>
  <si>
    <t>SYED FAZLE RABBY</t>
  </si>
  <si>
    <t>KANKA SAHA</t>
  </si>
  <si>
    <t>MD EMDAD HOSSAIN</t>
  </si>
  <si>
    <t>ASIF AHMED</t>
  </si>
  <si>
    <t>REAZ UDDIN AHMED</t>
  </si>
  <si>
    <t>SUJAN BARUA</t>
  </si>
  <si>
    <t>SANJEEDA SARMIN BADHAN</t>
  </si>
  <si>
    <t>UNICAP INVESTMENTS LIMITED</t>
  </si>
  <si>
    <t>MD. GIAS UDDIN</t>
  </si>
  <si>
    <t>MD. SHAIFUL AZAM</t>
  </si>
  <si>
    <t>BILKISS ARA</t>
  </si>
  <si>
    <t>RELIANCE INSURANCE lIMITED</t>
  </si>
  <si>
    <t>JHARNA RANI SAHA</t>
  </si>
  <si>
    <t>RABEYA JAHAN SOAD</t>
  </si>
  <si>
    <t>SAKIN AMIN KHAN</t>
  </si>
  <si>
    <t>MD. KAMRUZZAMAN</t>
  </si>
  <si>
    <t>LILY RANI PAUL</t>
  </si>
  <si>
    <t>IFTEKHAR ALAM</t>
  </si>
  <si>
    <t>MOHAMMAD SHAHJAHAN</t>
  </si>
  <si>
    <t>KHAN SALAHUDDIN MOHAMMAD MINHAJ</t>
  </si>
  <si>
    <t>NARGISH JAHAN</t>
  </si>
  <si>
    <t>FAKARUDDIN ALI AHMED</t>
  </si>
  <si>
    <t>NANDINI SAHA</t>
  </si>
  <si>
    <t>SHANJIDA SULTANA</t>
  </si>
  <si>
    <t>ARIFUR RAHMAN</t>
  </si>
  <si>
    <t>AKASH DEEP PAUL</t>
  </si>
  <si>
    <t>MUQIT-AL RAHMAN</t>
  </si>
  <si>
    <t>YASIR MD FAZLE AMIN</t>
  </si>
  <si>
    <t>MD. SAIFUR RAHMAN</t>
  </si>
  <si>
    <t>MD. EMDAD HOSSAIN</t>
  </si>
  <si>
    <t>SHAHIDA NAHRIN BUBLY</t>
  </si>
  <si>
    <t>MD. ZAHID HOSSAIN</t>
  </si>
  <si>
    <t>RAFIKUL HASAN</t>
  </si>
  <si>
    <t>ABDULLAH AL MAMUN</t>
  </si>
  <si>
    <t>ARZUN KUMAR SARKAR</t>
  </si>
  <si>
    <t>MOHAMMED ALI XAHANGIR</t>
  </si>
  <si>
    <t>FAHMIDA KHAN</t>
  </si>
  <si>
    <t>ARKO SAHA</t>
  </si>
  <si>
    <t>HARUN IBNE HOQUE</t>
  </si>
  <si>
    <t>MOHAMMAD MOHIBUL ISLAM</t>
  </si>
  <si>
    <t>RAJIB CHOWDHURY</t>
  </si>
  <si>
    <t>ASMA UL HUSNA</t>
  </si>
  <si>
    <t>MOHAMMAD JASIM UDDIN</t>
  </si>
  <si>
    <t>SULTANA AFCHANA AFRIN</t>
  </si>
  <si>
    <t>MD MINHAZUL AZIZ</t>
  </si>
  <si>
    <t>MOHAMMAD NASIR HOSSAIN</t>
  </si>
  <si>
    <t>MUHAMMAD TAREQ YUSUF</t>
  </si>
  <si>
    <t>ASHUTOSH TALUKDER</t>
  </si>
  <si>
    <t>MD. TAREQ IBRAHIM</t>
  </si>
  <si>
    <t>CWT EMERGING BD FIRST GROWTH FUND</t>
  </si>
  <si>
    <t>LITON KUMAR BANIK</t>
  </si>
  <si>
    <t>ASHISH KUMAR GHOSH</t>
  </si>
  <si>
    <t>SATINATH GHOSH</t>
  </si>
  <si>
    <t>JANATA BANK LIMITED</t>
  </si>
  <si>
    <t>ANISUL HAQUE</t>
  </si>
  <si>
    <t>EDGE BANGLADESH MUTUAL FUND</t>
  </si>
  <si>
    <t>EDGE AMC GROWTH FUND</t>
  </si>
  <si>
    <t>SHAHRIN ANWAR</t>
  </si>
  <si>
    <t>RAFIQUL ANOWAR</t>
  </si>
  <si>
    <t>AMIT KANTI SARKER</t>
  </si>
  <si>
    <t>ABU NAYEEM MOHAMMAD MAHFUZ</t>
  </si>
  <si>
    <t>MUMINUL ALAM</t>
  </si>
  <si>
    <t>MOHAMMAD ALAUDDIN</t>
  </si>
  <si>
    <t>ISTIAK AHMED PROBAL</t>
  </si>
  <si>
    <t>MD MAHDI HASAN</t>
  </si>
  <si>
    <t>MD TOFIQUL ISLAM CHOWDHURY</t>
  </si>
  <si>
    <t>SUMAN KUMAR KUNDU</t>
  </si>
  <si>
    <t>REAZUL HAQUE</t>
  </si>
  <si>
    <t>TRIPTI BARUA</t>
  </si>
  <si>
    <t>AL MAMUN</t>
  </si>
  <si>
    <t>MOHAMMAD ABDUL HANNAN</t>
  </si>
  <si>
    <t>PHOENIX FINANCE &amp; INVESTMENTS LTD</t>
  </si>
  <si>
    <t>MADHURI KUNDU</t>
  </si>
  <si>
    <t>EVANA YEASMIN</t>
  </si>
  <si>
    <t>FAHIM AHASAN CHOUDHURY</t>
  </si>
  <si>
    <t>SHAHARIAR ALAM</t>
  </si>
  <si>
    <t>MANABENDRA KUMAR DAS</t>
  </si>
  <si>
    <t>KHANDAKER MAHAMADUR AZAD</t>
  </si>
  <si>
    <t>FAZLE RABBI PATHAN</t>
  </si>
  <si>
    <t>SABRIA ISLAM TALUKDER</t>
  </si>
  <si>
    <t>KABIR AHMED TALUKDER</t>
  </si>
  <si>
    <t>MOHAMMAD ENAMUR RAHMAN</t>
  </si>
  <si>
    <t>RAIHAN RASHID MAJUMDAR</t>
  </si>
  <si>
    <t>RABITA RASHID MAJUMDER</t>
  </si>
  <si>
    <t>REZWAN UR RASHID MAJUMDAR</t>
  </si>
  <si>
    <t>KAZI MD. ANISUR RAHMAN</t>
  </si>
  <si>
    <t>LUNA AKTHER</t>
  </si>
  <si>
    <t>SAJJAD CHOWDHURY</t>
  </si>
  <si>
    <t>MOHAMMAD DELOWAR HOSSAIN MRIDHA</t>
  </si>
  <si>
    <t>REZAUR RAHMAN</t>
  </si>
  <si>
    <t>A00388</t>
  </si>
  <si>
    <t>FOUZIA RAHMAN</t>
  </si>
  <si>
    <t>A00389</t>
  </si>
  <si>
    <t>SABBIR AHMED HEMO</t>
  </si>
  <si>
    <t>A00390</t>
  </si>
  <si>
    <t>SHAIKH MD. ABU HASAN</t>
  </si>
  <si>
    <t>A00391</t>
  </si>
  <si>
    <t>EKUSH WEALTH MANAGEMENT LIMITED EMPLOYEES CONTRIBUTORY PROVIDENT FUND</t>
  </si>
  <si>
    <t>A00392</t>
  </si>
  <si>
    <t>MD. MUKIT MURSHED</t>
  </si>
  <si>
    <t>A00393</t>
  </si>
  <si>
    <t>MD. WABAIDULLAH RAHAMAN</t>
  </si>
  <si>
    <t>A00394</t>
  </si>
  <si>
    <t>B. M. ASIFUR RAHMAN FARHAD</t>
  </si>
  <si>
    <t>A00395</t>
  </si>
  <si>
    <t>S</t>
  </si>
  <si>
    <t>MOHAMMAD IQBAL REZWAN</t>
  </si>
  <si>
    <t>MD. ABDUL KARIM</t>
  </si>
  <si>
    <t>FAHMIDA SHARMIN NOWRIN</t>
  </si>
  <si>
    <t>A00396</t>
  </si>
  <si>
    <t>A00397</t>
  </si>
  <si>
    <t>A00398</t>
  </si>
  <si>
    <t>MOHAMMAD GULAM KIBRIAH</t>
  </si>
  <si>
    <t>A00399</t>
  </si>
  <si>
    <t>MUTUAL TRUST BANK LIMITED</t>
  </si>
  <si>
    <t>A00400</t>
  </si>
  <si>
    <t>SAJAL KANTI HOWLADER</t>
  </si>
  <si>
    <t>A00401</t>
  </si>
  <si>
    <t>TOFIQ AHAMED</t>
  </si>
  <si>
    <t>A00402</t>
  </si>
  <si>
    <t>Type of Investors</t>
  </si>
  <si>
    <t>% of Unit Holding</t>
  </si>
  <si>
    <t>A00405</t>
  </si>
  <si>
    <t>MD. NIZAM UDDIN</t>
  </si>
  <si>
    <t>MD. NASIR UDDIN ROBIN</t>
  </si>
  <si>
    <t>MERINA TABASSUM AND MD. MONIRUL ISLAM</t>
  </si>
  <si>
    <t>MIR ARIFUL ISLAM</t>
  </si>
  <si>
    <t>A00403</t>
  </si>
  <si>
    <t>MOHAMMAD ASRARUL HAQUE</t>
  </si>
  <si>
    <t>A00404</t>
  </si>
  <si>
    <t>SHAHINOOR KHANUM</t>
  </si>
  <si>
    <t>SAYDA SULTANA</t>
  </si>
  <si>
    <t>A00406</t>
  </si>
  <si>
    <t>A00407</t>
  </si>
  <si>
    <t>MD. TAZUL ISLAM</t>
  </si>
  <si>
    <t>A00408</t>
  </si>
  <si>
    <t>A00409</t>
  </si>
  <si>
    <t>MD. RAKEBUL ISLAM</t>
  </si>
  <si>
    <t>A00410</t>
  </si>
  <si>
    <t>A00415</t>
  </si>
  <si>
    <t>MD. ABDUL MOTALEB</t>
  </si>
  <si>
    <t>A00411</t>
  </si>
  <si>
    <t>MD. BABUL MIAH</t>
  </si>
  <si>
    <t>A00412</t>
  </si>
  <si>
    <t>ARCHONA SAHA</t>
  </si>
  <si>
    <t>A00413</t>
  </si>
  <si>
    <t>TOWHIDUR RAHMAN CHOWDHURY</t>
  </si>
  <si>
    <t>A00414</t>
  </si>
  <si>
    <t>SYED SADEK HUSSAIN</t>
  </si>
  <si>
    <t>NATEQ BE NAZIR IBN MINAR</t>
  </si>
  <si>
    <t>A00416</t>
  </si>
  <si>
    <t>A00417</t>
  </si>
  <si>
    <t>A00419</t>
  </si>
  <si>
    <t>A00418</t>
  </si>
  <si>
    <t>NANDA DULAL SAHA</t>
  </si>
  <si>
    <t>MD. SOHEL ANWAR</t>
  </si>
  <si>
    <t>MAZED AHMED ABDULLAH</t>
  </si>
  <si>
    <t>A00421</t>
  </si>
  <si>
    <t>MAISHA MUSSARRAT</t>
  </si>
  <si>
    <t>A00420</t>
  </si>
  <si>
    <t>MD MOHSINUR RAHMAN</t>
  </si>
  <si>
    <t>SIDDHARTHA SANKAR MALLICK</t>
  </si>
  <si>
    <t>A00422</t>
  </si>
  <si>
    <t>MYAT MOE KHAING</t>
  </si>
  <si>
    <t>A00423</t>
  </si>
  <si>
    <t>SRIJON GHOSH</t>
  </si>
  <si>
    <t>A00424</t>
  </si>
  <si>
    <t>MD. A. RAZZAK</t>
  </si>
  <si>
    <t>A00425</t>
  </si>
  <si>
    <t>TAMRIN AL DEEN</t>
  </si>
  <si>
    <t>A00426</t>
  </si>
  <si>
    <t>ROKSABA KASEM</t>
  </si>
  <si>
    <t>A00427</t>
  </si>
  <si>
    <t>NASRIN AHMED HELA</t>
  </si>
  <si>
    <t>A00428</t>
  </si>
  <si>
    <t>KALLANI ISLAM</t>
  </si>
  <si>
    <t>A00429</t>
  </si>
  <si>
    <t>MD. MOSTAFIJUR RAHMAN</t>
  </si>
  <si>
    <t>A00430</t>
  </si>
  <si>
    <t>MD SHAHADAT HOSSAIN</t>
  </si>
  <si>
    <t>A00431</t>
  </si>
  <si>
    <t>AHMED ASIF</t>
  </si>
  <si>
    <t>A00432</t>
  </si>
  <si>
    <t>AHMED FARUK</t>
  </si>
  <si>
    <t>A00433</t>
  </si>
  <si>
    <t>SYED AHMAD</t>
  </si>
  <si>
    <t>A00434</t>
  </si>
  <si>
    <t>ISHRAT NUR</t>
  </si>
  <si>
    <t>A00435</t>
  </si>
  <si>
    <t>SADIA SYED TAHIA</t>
  </si>
  <si>
    <t>A00436</t>
  </si>
  <si>
    <t>MD. RIFAT MUNJUR SUNNY</t>
  </si>
  <si>
    <t>A00437</t>
  </si>
  <si>
    <t>SANDHANI ASSET MANAGEMENT LIMITED</t>
  </si>
  <si>
    <t>A00438</t>
  </si>
  <si>
    <t>BO Transfer</t>
  </si>
  <si>
    <t>YES</t>
  </si>
  <si>
    <t>BO UNIT TRANSFER</t>
  </si>
  <si>
    <t>BO Cumulative Units</t>
  </si>
  <si>
    <t>BO UNITS HOLD</t>
  </si>
  <si>
    <t>BO OPENING BALANCE</t>
  </si>
  <si>
    <t>RASHEDUL ISLAM</t>
  </si>
  <si>
    <t>A00439</t>
  </si>
  <si>
    <t>NUSRAT JAHAN TISHA</t>
  </si>
  <si>
    <t>A00440</t>
  </si>
  <si>
    <t>SAIKAT DAS SHANTO</t>
  </si>
  <si>
    <t>A00441</t>
  </si>
  <si>
    <t>KHAN MUHAMMAD FAISOL</t>
  </si>
  <si>
    <t>A00442</t>
  </si>
  <si>
    <t>TAPASH KUMAR PAUL</t>
  </si>
  <si>
    <t>A00443</t>
  </si>
  <si>
    <t>Investor Name:</t>
  </si>
  <si>
    <t>Investor ID:</t>
  </si>
  <si>
    <t>Date</t>
  </si>
  <si>
    <t>Buy/Sell</t>
  </si>
  <si>
    <t>BO UNIT TRANSFER2</t>
  </si>
  <si>
    <t>Lumpsum History</t>
  </si>
  <si>
    <t>SIP History</t>
  </si>
  <si>
    <t>E. Balance</t>
  </si>
  <si>
    <t>Total Investment in Cost Value</t>
  </si>
  <si>
    <t>Current NAV of The Fund</t>
  </si>
  <si>
    <t>Dividend History</t>
  </si>
  <si>
    <t>Total Units</t>
  </si>
  <si>
    <t>Dividend Per Unit</t>
  </si>
  <si>
    <t>Gross Dividend</t>
  </si>
  <si>
    <t>Taxable Dividend</t>
  </si>
  <si>
    <t>Tax Rate</t>
  </si>
  <si>
    <t>Tax Amount</t>
  </si>
  <si>
    <t>Net Dividend</t>
  </si>
  <si>
    <t>Dividend Option</t>
  </si>
  <si>
    <t>Column1</t>
  </si>
  <si>
    <t>EKUSH GROWTH FUND</t>
  </si>
  <si>
    <t>DHAKA IMPERIAL COLLEGE TEACHERS STAFF MULTIPURPOSE CO-OPERATIVE SOCIETY LTD.</t>
  </si>
  <si>
    <t>RITA RANI GHOSH</t>
  </si>
  <si>
    <t>A00444</t>
  </si>
  <si>
    <t>FAHMIDA SAEED SAKI</t>
  </si>
  <si>
    <t>A00445</t>
  </si>
  <si>
    <t>MD. MAHMUDUL KABIR</t>
  </si>
  <si>
    <t>A00446</t>
  </si>
  <si>
    <t>MOHAMMAD PARVEZ RANA</t>
  </si>
  <si>
    <t>A00447</t>
  </si>
  <si>
    <t>RABIA AFROZA</t>
  </si>
  <si>
    <t>A00448</t>
  </si>
  <si>
    <t>A00449</t>
  </si>
  <si>
    <t>REKHA PARVIN</t>
  </si>
  <si>
    <t>A00450</t>
  </si>
  <si>
    <t>MD. IFTEKHARUL ISLAM BHUIYAN</t>
  </si>
  <si>
    <t>A00451</t>
  </si>
  <si>
    <t>ROYAL CAPITAL LIMITED</t>
  </si>
  <si>
    <t>A00452</t>
  </si>
  <si>
    <t>MD JAMAL HOSSAIN</t>
  </si>
  <si>
    <t>A00453</t>
  </si>
  <si>
    <t>MOHAMMAD HASAN SHAHRIAR MASUD</t>
  </si>
  <si>
    <t>A00454</t>
  </si>
  <si>
    <t>TAPATI RANI DAS</t>
  </si>
  <si>
    <t>A00455</t>
  </si>
  <si>
    <t>A00456</t>
  </si>
  <si>
    <t>AMARSTOCK LIMITED</t>
  </si>
  <si>
    <t>A00457</t>
  </si>
  <si>
    <t>MOHAMMAD ISMAIL</t>
  </si>
  <si>
    <t>A00458</t>
  </si>
  <si>
    <t>DHAKA IMPERIAL COLLEGE EMPLOYEES PROVIDENT FUND</t>
  </si>
  <si>
    <t>A00459</t>
  </si>
  <si>
    <t>MOIN UDDIN SIDDIQUE</t>
  </si>
  <si>
    <t>A00460</t>
  </si>
  <si>
    <t>A00461</t>
  </si>
  <si>
    <t>MALLIKA BISWAS</t>
  </si>
  <si>
    <t>A00462</t>
  </si>
  <si>
    <t>UMME SAIKA NILA</t>
  </si>
  <si>
    <t>A00463</t>
  </si>
  <si>
    <t>MOHAMMAD HUMAYAN RASHID</t>
  </si>
  <si>
    <t>A00464</t>
  </si>
  <si>
    <t>EDGE HIGH QUALITY INCOME FUND</t>
  </si>
  <si>
    <t>A00465</t>
  </si>
  <si>
    <t>SANDHANI AML SLIC FIXED INCOME FUND</t>
  </si>
  <si>
    <t>A00466</t>
  </si>
  <si>
    <t>A00467</t>
  </si>
  <si>
    <t>A00468</t>
  </si>
  <si>
    <t>SOURAV SAHA</t>
  </si>
  <si>
    <t>A00469</t>
  </si>
  <si>
    <t>KHAN MUHAMMAD KAWSER AHMED</t>
  </si>
  <si>
    <t>MUHAMMAD SHOHIDUZZAMAN</t>
  </si>
  <si>
    <t>A00470</t>
  </si>
  <si>
    <t>SABIRA SALAM RIDI</t>
  </si>
  <si>
    <t>A00471</t>
  </si>
  <si>
    <t>ABIR SAHA</t>
  </si>
  <si>
    <t>A00472</t>
  </si>
  <si>
    <t>NADIA FERDOUS NOOR</t>
  </si>
  <si>
    <t>SAMS SAIYADENA ZEESHA</t>
  </si>
  <si>
    <t>RAEZANA JITU</t>
  </si>
  <si>
    <t>SALMAN ZAMAL</t>
  </si>
  <si>
    <t>MAMUN SIRAJUL ALAM</t>
  </si>
  <si>
    <t>A00473</t>
  </si>
  <si>
    <t>MICHAEL BEA</t>
  </si>
  <si>
    <t>A00474</t>
  </si>
  <si>
    <t>MD. MONIRUL ISLAM</t>
  </si>
  <si>
    <t>A00475</t>
  </si>
  <si>
    <t>A.K.M REZAUL KARIM</t>
  </si>
  <si>
    <t>A00476</t>
  </si>
  <si>
    <t>LS- BO UNITS SELL</t>
  </si>
  <si>
    <t>SIP- BO UNITS SELL</t>
  </si>
  <si>
    <t>LS- BO UNITS REPURCHASE</t>
  </si>
  <si>
    <t>SIP- BO UNITS REPURCHASE</t>
  </si>
  <si>
    <t>NAYEEM JAHANGIR</t>
  </si>
  <si>
    <t>A00477</t>
  </si>
  <si>
    <t>S.M. SAIFUL ISLAM</t>
  </si>
  <si>
    <t>A00478</t>
  </si>
  <si>
    <t>KAZI MAZBAH UDDIN</t>
  </si>
  <si>
    <t>A00479</t>
  </si>
  <si>
    <t>MD. MOHIBULLAH CHOWDHURY</t>
  </si>
  <si>
    <t>A00480</t>
  </si>
  <si>
    <t>NUR-E-SALVEEN</t>
  </si>
  <si>
    <t>A00481</t>
  </si>
  <si>
    <t>MOHAMMAD HASAN</t>
  </si>
  <si>
    <t>A00482</t>
  </si>
  <si>
    <t>ABU MUSA MIRZA KAMRUZZMAN SHAHEE</t>
  </si>
  <si>
    <t>A00483</t>
  </si>
  <si>
    <t>MOHAMMED MUQEET HALIM</t>
  </si>
  <si>
    <t>A00484</t>
  </si>
  <si>
    <t>ASHIK IQBAL CHOWDHURY</t>
  </si>
  <si>
    <t>A00485</t>
  </si>
  <si>
    <t>SADIA PARVIN</t>
  </si>
  <si>
    <t>A00486</t>
  </si>
  <si>
    <t>SANJIB KUMAR ROY</t>
  </si>
  <si>
    <t>A00487</t>
  </si>
  <si>
    <t>SUMAN SAHA</t>
  </si>
  <si>
    <t>A00488</t>
  </si>
  <si>
    <t>FAZLE KARIM MURAD</t>
  </si>
  <si>
    <t>A00489</t>
  </si>
  <si>
    <t>FARUK-E AZAM BIN HAIDER</t>
  </si>
  <si>
    <t>MUSTAFA KAMAL MASUD</t>
  </si>
  <si>
    <t>A00490</t>
  </si>
  <si>
    <t>MOHAMMED SHARIFUL ISLAM</t>
  </si>
  <si>
    <t>A00491</t>
  </si>
  <si>
    <t>NUSRAT JAHAN</t>
  </si>
  <si>
    <t>A00492</t>
  </si>
  <si>
    <t>SIKDER FAZLE RABBI</t>
  </si>
  <si>
    <t>A00493</t>
  </si>
  <si>
    <t>A00499</t>
  </si>
  <si>
    <t>MD SHAFIQUR RAHMAN MONSI</t>
  </si>
  <si>
    <t>A00494</t>
  </si>
  <si>
    <t>JISHAN SHAMSAD</t>
  </si>
  <si>
    <t>A00495</t>
  </si>
  <si>
    <t>RAJIV HASSAN</t>
  </si>
  <si>
    <t>A00496</t>
  </si>
  <si>
    <t>SHAHRIAR AZAD SHASHI</t>
  </si>
  <si>
    <t>A00497</t>
  </si>
  <si>
    <t>MD. BASHARAT HASAN</t>
  </si>
  <si>
    <t>A00498</t>
  </si>
  <si>
    <t>MUBTASIN KABIR</t>
  </si>
  <si>
    <t>MUHAMMAD SAJJAD HOSSAIN</t>
  </si>
  <si>
    <t>A00500</t>
  </si>
  <si>
    <t>SAIFUL ISLAM</t>
  </si>
  <si>
    <t>A00501</t>
  </si>
  <si>
    <t>KHALED HOSSAIN</t>
  </si>
  <si>
    <t>A00502</t>
  </si>
  <si>
    <t>HUMAIRA TABASSUM READDHE</t>
  </si>
  <si>
    <t>A00503</t>
  </si>
  <si>
    <t>FATEHA KHATUN</t>
  </si>
  <si>
    <t>A00504</t>
  </si>
  <si>
    <t>A.N.M. GOLAM SHABBIR</t>
  </si>
  <si>
    <t>A00505</t>
  </si>
  <si>
    <t>A00506</t>
  </si>
  <si>
    <t>UMMYA ROMAN</t>
  </si>
  <si>
    <t>A00507</t>
  </si>
  <si>
    <t>ASFIA AFRIN TONNY</t>
  </si>
  <si>
    <t>A00508</t>
  </si>
  <si>
    <t>KALPANA RANI</t>
  </si>
  <si>
    <t>A00509</t>
  </si>
  <si>
    <t>HARI PADA SAHA</t>
  </si>
  <si>
    <t>Accounting Year</t>
  </si>
  <si>
    <t>Investor Type</t>
  </si>
  <si>
    <t>Tax Rate
(If Applicable)</t>
  </si>
  <si>
    <t>TIN</t>
  </si>
  <si>
    <t>MOD</t>
  </si>
  <si>
    <t>Div.Uniq</t>
  </si>
  <si>
    <t>Div.Uniq.Option</t>
  </si>
  <si>
    <t>Type</t>
  </si>
  <si>
    <t>CIP</t>
  </si>
  <si>
    <t>436320312862</t>
  </si>
  <si>
    <t>CASH</t>
  </si>
  <si>
    <t>380828988419</t>
  </si>
  <si>
    <t>497493919660</t>
  </si>
  <si>
    <t>888230463319</t>
  </si>
  <si>
    <t>777563885634</t>
  </si>
  <si>
    <t/>
  </si>
  <si>
    <t>315395685965</t>
  </si>
  <si>
    <t>462538748435</t>
  </si>
  <si>
    <t>172828478476</t>
  </si>
  <si>
    <t>336887662718</t>
  </si>
  <si>
    <t>789258638485</t>
  </si>
  <si>
    <t>866785907100</t>
  </si>
  <si>
    <t>647975407445</t>
  </si>
  <si>
    <t>459790424030</t>
  </si>
  <si>
    <t>496586892426</t>
  </si>
  <si>
    <t>739424846583</t>
  </si>
  <si>
    <t>339311391467</t>
  </si>
  <si>
    <t>564312859883</t>
  </si>
  <si>
    <t>350326465069</t>
  </si>
  <si>
    <t>410628818437</t>
  </si>
  <si>
    <t>651169497004</t>
  </si>
  <si>
    <t>242125824609</t>
  </si>
  <si>
    <t>840318606167</t>
  </si>
  <si>
    <t>593957892868</t>
  </si>
  <si>
    <t>179815665353</t>
  </si>
  <si>
    <t>133356190485</t>
  </si>
  <si>
    <t>434473107851</t>
  </si>
  <si>
    <t>417849707710</t>
  </si>
  <si>
    <t>667669583629</t>
  </si>
  <si>
    <t>669398777750</t>
  </si>
  <si>
    <t>454626918022</t>
  </si>
  <si>
    <t>160642361494</t>
  </si>
  <si>
    <t>162062873495</t>
  </si>
  <si>
    <t>529355730301</t>
  </si>
  <si>
    <t>321701874632</t>
  </si>
  <si>
    <t>140944634032</t>
  </si>
  <si>
    <t>112635759186</t>
  </si>
  <si>
    <t>317159126408</t>
  </si>
  <si>
    <t>512559271490</t>
  </si>
  <si>
    <t>689388912156</t>
  </si>
  <si>
    <t>713269139390</t>
  </si>
  <si>
    <t>881734312065</t>
  </si>
  <si>
    <t>294615137378</t>
  </si>
  <si>
    <t>186477838953</t>
  </si>
  <si>
    <t>120749783108</t>
  </si>
  <si>
    <t>473592845104</t>
  </si>
  <si>
    <t>182978275797</t>
  </si>
  <si>
    <t>354979870708</t>
  </si>
  <si>
    <t>627300912651</t>
  </si>
  <si>
    <t>583916308597</t>
  </si>
  <si>
    <t>776343633805</t>
  </si>
  <si>
    <t>262134799535</t>
  </si>
  <si>
    <t>290939802010</t>
  </si>
  <si>
    <t>793196191716</t>
  </si>
  <si>
    <t>276254319241</t>
  </si>
  <si>
    <t>231073697889</t>
  </si>
  <si>
    <t>112355974556</t>
  </si>
  <si>
    <t>451223937363</t>
  </si>
  <si>
    <t>130373510075</t>
  </si>
  <si>
    <t>898135588500</t>
  </si>
  <si>
    <t>223729118595</t>
  </si>
  <si>
    <t>240448490889</t>
  </si>
  <si>
    <t>619807347460</t>
  </si>
  <si>
    <t>Remarks</t>
  </si>
  <si>
    <t>Done</t>
  </si>
  <si>
    <t>TOTAL TAXES</t>
  </si>
  <si>
    <t>116100629586</t>
  </si>
  <si>
    <t>A00563</t>
  </si>
  <si>
    <t>JUBAIDA FARHANA HAQUE</t>
  </si>
  <si>
    <t>A00510</t>
  </si>
  <si>
    <t>S.M. MAHBUBUR RAHMAN</t>
  </si>
  <si>
    <t>A00511</t>
  </si>
  <si>
    <t>TANIA AKTER</t>
  </si>
  <si>
    <t>A00512</t>
  </si>
  <si>
    <t>MOIN UDDIN</t>
  </si>
  <si>
    <t>A00513</t>
  </si>
  <si>
    <t>SAIQA MAZED</t>
  </si>
  <si>
    <t>A00514</t>
  </si>
  <si>
    <t>MST. GOLENUR</t>
  </si>
  <si>
    <t>A00515</t>
  </si>
  <si>
    <t>ASHAK ELAHI</t>
  </si>
  <si>
    <t>A00516</t>
  </si>
  <si>
    <t>FARZANA MOSTAFA TITHE</t>
  </si>
  <si>
    <t>A00517</t>
  </si>
  <si>
    <t>BEAUTY BEGUM LOTA</t>
  </si>
  <si>
    <t>A00518</t>
  </si>
  <si>
    <t>MD. JEDAR HOSSAIN</t>
  </si>
  <si>
    <t>A00519</t>
  </si>
  <si>
    <t xml:space="preserve">H. S. M. SHAFEE BIN ALAM </t>
  </si>
  <si>
    <t>A00520</t>
  </si>
  <si>
    <t>MD SULTAN MAMONUR RASHID</t>
  </si>
  <si>
    <t>A00521</t>
  </si>
  <si>
    <t xml:space="preserve">CWT EMERGING BANGLADESH FIRST GROWTH FUND </t>
  </si>
  <si>
    <t>A00522</t>
  </si>
  <si>
    <t xml:space="preserve">CWT-SADHARAN BIMA GROWTH FUND </t>
  </si>
  <si>
    <t>A00523</t>
  </si>
  <si>
    <t>CWT OPPORTUNITIES FUND</t>
  </si>
  <si>
    <t>A00524</t>
  </si>
  <si>
    <t>MST SANTA ISLAM</t>
  </si>
  <si>
    <t>A00525</t>
  </si>
  <si>
    <t>TAJDIKUL ALAM</t>
  </si>
  <si>
    <t>A00526</t>
  </si>
  <si>
    <t>ASHIK CHOWDHURY OVI</t>
  </si>
  <si>
    <t>A00527</t>
  </si>
  <si>
    <t>SHAH MUNTASIN MUJTABA</t>
  </si>
  <si>
    <t>A00528</t>
  </si>
  <si>
    <t>ADNAN NOOR</t>
  </si>
  <si>
    <t>A00529</t>
  </si>
  <si>
    <t>SHAHEEN SIAM</t>
  </si>
  <si>
    <t>B00002</t>
  </si>
  <si>
    <t>A. K. M. MAHMUDUL ALAM</t>
  </si>
  <si>
    <t>SB00002</t>
  </si>
  <si>
    <t>ZINNATUL PERVIN JUI</t>
  </si>
  <si>
    <t>SB00003</t>
  </si>
  <si>
    <t>KAZI HABIBUR RAHMAN</t>
  </si>
  <si>
    <t>A00530</t>
  </si>
  <si>
    <t>3A &amp; COMPANY LTD.</t>
  </si>
  <si>
    <t>A00531</t>
  </si>
  <si>
    <t>A00532</t>
  </si>
  <si>
    <t>AKIB TANVIR ANJUM</t>
  </si>
  <si>
    <t>A00533</t>
  </si>
  <si>
    <t>CHAMPA SAHA</t>
  </si>
  <si>
    <t>A00534</t>
  </si>
  <si>
    <t>ISMAIL HOSSEN</t>
  </si>
  <si>
    <t>A00535</t>
  </si>
  <si>
    <t>MOHAMMAD HASAN IMAM</t>
  </si>
  <si>
    <t>A00536</t>
  </si>
  <si>
    <t>BETAONE INVESTMENTS LIMITED</t>
  </si>
  <si>
    <t>A00537</t>
  </si>
  <si>
    <t>MD MINHAZ UDDIN</t>
  </si>
  <si>
    <t>A00538</t>
  </si>
  <si>
    <t>TANZEEN FERDOUS ALAM</t>
  </si>
  <si>
    <t>A00539</t>
  </si>
  <si>
    <t>MAHMUD ALI ALAMGIR &amp; MOHAMMED ALI XAHANGIR</t>
  </si>
  <si>
    <t>A00540</t>
  </si>
  <si>
    <t>A00541</t>
  </si>
  <si>
    <t>NAZIA TABASSUM</t>
  </si>
  <si>
    <t>A00542</t>
  </si>
  <si>
    <t>RITU SWARNA ROY</t>
  </si>
  <si>
    <t>A00543</t>
  </si>
  <si>
    <t>KAZI MINUDDIN MAMUN</t>
  </si>
  <si>
    <t>A00544</t>
  </si>
  <si>
    <t>MD AYNUL HOQUE</t>
  </si>
  <si>
    <t>A00545</t>
  </si>
  <si>
    <t>ANINDITA SAHA</t>
  </si>
  <si>
    <t>A00546</t>
  </si>
  <si>
    <t>MOHSIN REZA</t>
  </si>
  <si>
    <t>A00547</t>
  </si>
  <si>
    <t>SHIREEN AFROZE</t>
  </si>
  <si>
    <t>A00548</t>
  </si>
  <si>
    <t>TANJINA ZAMAN ANISHA</t>
  </si>
  <si>
    <t>A00549</t>
  </si>
  <si>
    <t>A. K. M. BAZLUR RASHID</t>
  </si>
  <si>
    <t>A00550</t>
  </si>
  <si>
    <t>NRB BANK LIMITED</t>
  </si>
  <si>
    <t>A00551</t>
  </si>
  <si>
    <t>TANZILA NUR</t>
  </si>
  <si>
    <t>A00552</t>
  </si>
  <si>
    <t>FARIZA RAHMAN</t>
  </si>
  <si>
    <t>A00553</t>
  </si>
  <si>
    <t>TAMANNA AFRIN MITUL</t>
  </si>
  <si>
    <t>A00554</t>
  </si>
  <si>
    <t>KH KHAIRUL ALAM NABIL</t>
  </si>
  <si>
    <t>A00555</t>
  </si>
  <si>
    <t>FARIHA FARZANA</t>
  </si>
  <si>
    <t>A00556</t>
  </si>
  <si>
    <t>MD. AKRAM UDDIN</t>
  </si>
  <si>
    <t>A00557</t>
  </si>
  <si>
    <t>MAHMOOD KABIR</t>
  </si>
  <si>
    <t>A00558</t>
  </si>
  <si>
    <t>JAKARIA MD. JONY</t>
  </si>
  <si>
    <t>A00559</t>
  </si>
  <si>
    <t>SADMAN PRODHAN</t>
  </si>
  <si>
    <t>A00560</t>
  </si>
  <si>
    <t>SULTANA MASHQURA JAHAN</t>
  </si>
  <si>
    <t>A00561</t>
  </si>
  <si>
    <t>MD ASHIQUR RAHMAN</t>
  </si>
  <si>
    <t>A00562</t>
  </si>
  <si>
    <t>MD. SHOWKAT AKBAR</t>
  </si>
  <si>
    <t>IKRAMUL BASHAR</t>
  </si>
  <si>
    <t>A00564</t>
  </si>
  <si>
    <t>AHAMMOD HOSSAIN</t>
  </si>
  <si>
    <t>A00565</t>
  </si>
  <si>
    <t>AFRINA AKTER MISHU</t>
  </si>
  <si>
    <t>A00566</t>
  </si>
  <si>
    <t>MD GOLAM SHAON</t>
  </si>
  <si>
    <t>A00567</t>
  </si>
  <si>
    <t>MD. SADEKUR RAHMAN</t>
  </si>
  <si>
    <t>A00568</t>
  </si>
  <si>
    <t>MAKID HAIDER</t>
  </si>
  <si>
    <t>A00569</t>
  </si>
  <si>
    <t>MOHAMMAD SHAHNAWAJ CHOWDHURY</t>
  </si>
  <si>
    <t>A00570</t>
  </si>
  <si>
    <t>RUKAIYA FAHMIDA</t>
  </si>
  <si>
    <t>A00571</t>
  </si>
  <si>
    <t>SILVIA ANWAR</t>
  </si>
  <si>
    <t>A00572</t>
  </si>
  <si>
    <t>NAVID CHOWDHURY</t>
  </si>
  <si>
    <t>A00573</t>
  </si>
  <si>
    <t>ABUL FAZAL MOHAMMAD SAIFUL ISLAM</t>
  </si>
  <si>
    <t>A00574</t>
  </si>
  <si>
    <t>MOHAMMAD ABUL HOSSAIN</t>
  </si>
  <si>
    <t>A00575</t>
  </si>
  <si>
    <t>NISHAT RAHMAN</t>
  </si>
  <si>
    <t>A00576</t>
  </si>
  <si>
    <t>SABBIR-AL-HARUN</t>
  </si>
  <si>
    <t>A00577</t>
  </si>
  <si>
    <t>MD. EHSANUL HOQUE</t>
  </si>
  <si>
    <t>A00578</t>
  </si>
  <si>
    <t>MD. ABUL MOSHAD CHOWDHURY</t>
  </si>
  <si>
    <t>A00579</t>
  </si>
  <si>
    <t>150984264601</t>
  </si>
  <si>
    <t>797544129004</t>
  </si>
  <si>
    <t>778813277612</t>
  </si>
  <si>
    <t>676105425328</t>
  </si>
  <si>
    <t>ABU BAKAR BIN JAHID</t>
  </si>
  <si>
    <t>A00580</t>
  </si>
  <si>
    <t>MOHAMMAD JAHANGIR HOSSAIN</t>
  </si>
  <si>
    <t>A00581</t>
  </si>
  <si>
    <t>RAISA ZAMAN</t>
  </si>
  <si>
    <t>A00582</t>
  </si>
  <si>
    <t>A00583</t>
  </si>
  <si>
    <t>MD. RAQUIBUL ISLAM RUSSEAU</t>
  </si>
  <si>
    <t>A00584</t>
  </si>
  <si>
    <t>MAHFUZA ANIKA</t>
  </si>
  <si>
    <t>A00585</t>
  </si>
  <si>
    <t>LANKABANGLA INVESTMENTS LIMITED</t>
  </si>
  <si>
    <t>A00586</t>
  </si>
  <si>
    <t>MONIA ALAM</t>
  </si>
  <si>
    <t>A00587</t>
  </si>
  <si>
    <t xml:space="preserve">Mr. JAKARIA MD. JONY &amp; Ms. JOBAIDA KHANOM </t>
  </si>
  <si>
    <t>A00588</t>
  </si>
  <si>
    <t>MOHAMMAD MAHFUZUL HAQUE</t>
  </si>
  <si>
    <t>A00589</t>
  </si>
  <si>
    <t>PUJA BHATTACHARJEE</t>
  </si>
  <si>
    <t>A00590</t>
  </si>
  <si>
    <t>TAREQ AZIZ</t>
  </si>
  <si>
    <t>A00591</t>
  </si>
  <si>
    <t>MD. RAJIB RAYHAN</t>
  </si>
  <si>
    <t>A00592</t>
  </si>
  <si>
    <t>SHAPNA RANI BARMAN</t>
  </si>
  <si>
    <t>A00593</t>
  </si>
  <si>
    <t>DEBASHISH RAY</t>
  </si>
  <si>
    <t>A00594</t>
  </si>
  <si>
    <t>SHAKERA JEASMIN</t>
  </si>
  <si>
    <t>A00595</t>
  </si>
  <si>
    <t>SHANTA SAHA</t>
  </si>
  <si>
    <t>A00596</t>
  </si>
  <si>
    <t>MD. MUSTAFA KAMAL</t>
  </si>
  <si>
    <t>A00597</t>
  </si>
  <si>
    <t>MONOARA ALAM</t>
  </si>
  <si>
    <t>A00598</t>
  </si>
  <si>
    <t>A00599</t>
  </si>
  <si>
    <t>AMIT KUMAR CHAKRABARTY</t>
  </si>
  <si>
    <t>A00600</t>
  </si>
  <si>
    <t>A00601</t>
  </si>
  <si>
    <t>JOBAIDA KHANOM</t>
  </si>
  <si>
    <t>A00602</t>
  </si>
  <si>
    <t>ROBIUL KHAN</t>
  </si>
  <si>
    <t>A00603</t>
  </si>
  <si>
    <t>KHURRAM ALAMGIR</t>
  </si>
  <si>
    <t>A00604</t>
  </si>
  <si>
    <t>MAHFUZUL ISLAM &amp; HUMAIRA TABASSUM READDHE</t>
  </si>
  <si>
    <t>A00605</t>
  </si>
  <si>
    <t>RAIHAN FERDOUS</t>
  </si>
  <si>
    <t>A00606</t>
  </si>
  <si>
    <t>RAJIB</t>
  </si>
  <si>
    <t>A00607</t>
  </si>
  <si>
    <t>RUMA AKTER</t>
  </si>
  <si>
    <t>A00608</t>
  </si>
  <si>
    <t>MD. RASEL RANA</t>
  </si>
  <si>
    <t>A00609</t>
  </si>
  <si>
    <t>ASHIK SHOBHAN</t>
  </si>
  <si>
    <t>A00610</t>
  </si>
  <si>
    <t>TRIDHARA SAHA</t>
  </si>
  <si>
    <t>A00611</t>
  </si>
  <si>
    <t>SK SHAHJAHAN RASHED</t>
  </si>
  <si>
    <t>A00612</t>
  </si>
  <si>
    <t>RAHAT-UL-AMIN</t>
  </si>
  <si>
    <t>A00613</t>
  </si>
  <si>
    <t>ATIQUR RAHMAN KHAN</t>
  </si>
  <si>
    <t>A00614</t>
  </si>
  <si>
    <t>VANGUARD AML BD FINANCE MUTUAL FUND ONE</t>
  </si>
  <si>
    <t>A00615</t>
  </si>
  <si>
    <t>SYEDA DIL AFROZE</t>
  </si>
  <si>
    <t>A00616</t>
  </si>
  <si>
    <t>SHARMIN AKTER</t>
  </si>
  <si>
    <t>A00617</t>
  </si>
  <si>
    <t>SHAFAYAT ALAMGIR</t>
  </si>
  <si>
    <t>A00618</t>
  </si>
  <si>
    <t>MD ZAHIR RAYHAN</t>
  </si>
  <si>
    <t>A00619</t>
  </si>
  <si>
    <t>AZIM SALAM KHAN</t>
  </si>
  <si>
    <t>A00620</t>
  </si>
  <si>
    <t>ARIF HASAN KHAN</t>
  </si>
  <si>
    <t>A00621</t>
  </si>
  <si>
    <t>APURBA SWATEE MAHBOOB</t>
  </si>
  <si>
    <t>A00622</t>
  </si>
  <si>
    <t>MD. ASIFUL HUQ</t>
  </si>
  <si>
    <t>A00623</t>
  </si>
  <si>
    <t>SAYEED NASIR</t>
  </si>
  <si>
    <t>A00624</t>
  </si>
  <si>
    <t>AKHTER MOHAMMED MUSA</t>
  </si>
  <si>
    <t>A00625</t>
  </si>
  <si>
    <t>SULTAN HAFEEZ RAHMAN</t>
  </si>
  <si>
    <t>A00626</t>
  </si>
  <si>
    <t>SYED SHIBLI MAHMUD</t>
  </si>
  <si>
    <t>A00627</t>
  </si>
  <si>
    <t>MD. MASUM BILLAH</t>
  </si>
  <si>
    <t>A00628</t>
  </si>
  <si>
    <t>TASNUVA ANAN</t>
  </si>
  <si>
    <t>A00630</t>
  </si>
  <si>
    <t>NAZMUL HASAN KHAN</t>
  </si>
  <si>
    <t>A00631</t>
  </si>
  <si>
    <t>MD. ASHIKUR RAHMAN MILON</t>
  </si>
  <si>
    <t>A00632</t>
  </si>
  <si>
    <t>AVRO SAHA</t>
  </si>
  <si>
    <t>A00633</t>
  </si>
  <si>
    <t>MD. ABUL KALAM AZAD</t>
  </si>
  <si>
    <t>A00634</t>
  </si>
  <si>
    <t>A N M NAUSHAD KHAN</t>
  </si>
  <si>
    <t>A00635</t>
  </si>
  <si>
    <t>A00636</t>
  </si>
  <si>
    <t>ELORA SHAHAB SHARMEE</t>
  </si>
  <si>
    <t>A00637</t>
  </si>
  <si>
    <t>SAJIB ARAFAT SIDDIQUI</t>
  </si>
  <si>
    <t>A00638</t>
  </si>
  <si>
    <t>BO</t>
  </si>
  <si>
    <t>A00639</t>
  </si>
  <si>
    <t>A00640</t>
  </si>
  <si>
    <t>MD. KAMRUL HASAN</t>
  </si>
  <si>
    <t>A00641</t>
  </si>
  <si>
    <t>PUJA GHOSH</t>
  </si>
  <si>
    <t>A00642</t>
  </si>
  <si>
    <t>MOHAMMED NURUNNABI BHUIYAN</t>
  </si>
  <si>
    <t>A00643</t>
  </si>
  <si>
    <t>ANONYA CHOWDHURY HIYA</t>
  </si>
  <si>
    <t>A00644</t>
  </si>
  <si>
    <t>S.M. AFZAL REZA</t>
  </si>
  <si>
    <t>A00645</t>
  </si>
  <si>
    <t>RAHNUMA SANJANA &amp; AROORA SAMEERA CHOWDHURY</t>
  </si>
  <si>
    <t>A00646</t>
  </si>
  <si>
    <t>SUKANTA SAHA</t>
  </si>
  <si>
    <t>A00647</t>
  </si>
  <si>
    <t>K. M. ROHAN AHMED</t>
  </si>
  <si>
    <t>A00648</t>
  </si>
  <si>
    <t>AZAM KHAN</t>
  </si>
  <si>
    <t>A00649</t>
  </si>
  <si>
    <t>MD. MITHU HOWLADER</t>
  </si>
  <si>
    <t>A00650</t>
  </si>
  <si>
    <t>FAISAL RAHMAN</t>
  </si>
  <si>
    <t>A00654</t>
  </si>
  <si>
    <t>ANJUMAN ARA BEGUM POLY</t>
  </si>
  <si>
    <t>A00651</t>
  </si>
  <si>
    <t>A00652</t>
  </si>
  <si>
    <t>A00653</t>
  </si>
  <si>
    <t>SHEIKH ASHRAFUL HAQUE</t>
  </si>
  <si>
    <t>NASREEN BEGUM</t>
  </si>
  <si>
    <t>RAKIBUL HASSAN</t>
  </si>
  <si>
    <t>A00655</t>
  </si>
  <si>
    <t>SYEDUL TANVIR HOQUE PRIYAM</t>
  </si>
  <si>
    <t>A00656</t>
  </si>
  <si>
    <t>MASUM AHMED</t>
  </si>
  <si>
    <t>A00657</t>
  </si>
  <si>
    <t>MD. SAIFUL ISLAM</t>
  </si>
  <si>
    <t>A00658</t>
  </si>
  <si>
    <t>Total Units Invested</t>
  </si>
  <si>
    <t>Total Unrealized Gain</t>
  </si>
  <si>
    <t>Total Realized Gain</t>
  </si>
  <si>
    <t>Total Value Creation</t>
  </si>
  <si>
    <t>A00660</t>
  </si>
  <si>
    <t>RIPAN CHOWDHURY</t>
  </si>
  <si>
    <t>A00659</t>
  </si>
  <si>
    <t>MD SHAHIDUZZAMAN</t>
  </si>
  <si>
    <t>SUBIR HAGIDOK</t>
  </si>
  <si>
    <t>A00661</t>
  </si>
  <si>
    <t>SONIA REZINA</t>
  </si>
  <si>
    <t>A00662</t>
  </si>
  <si>
    <t>MAYMUNA AKTAR</t>
  </si>
  <si>
    <t>A00663</t>
  </si>
  <si>
    <t>FINEDGE IT</t>
  </si>
  <si>
    <t>A00664</t>
  </si>
  <si>
    <t>JOY SARKAR</t>
  </si>
  <si>
    <t>A00665</t>
  </si>
  <si>
    <t>ZIA UDDIN</t>
  </si>
  <si>
    <t>A00666</t>
  </si>
  <si>
    <t>A00669</t>
  </si>
  <si>
    <t>EVA KHANOM</t>
  </si>
  <si>
    <t>A00667</t>
  </si>
  <si>
    <t>RIDAY PODDER</t>
  </si>
  <si>
    <t>A00668</t>
  </si>
  <si>
    <t>AHNAF ABRAR HASIN</t>
  </si>
  <si>
    <t>IMRANUL GANI FIRA</t>
  </si>
  <si>
    <t>A00673</t>
  </si>
  <si>
    <t>SHANTA MONI SAHA</t>
  </si>
  <si>
    <t>A00671</t>
  </si>
  <si>
    <t>NAYEEM UDDIN</t>
  </si>
  <si>
    <t>A00672</t>
  </si>
  <si>
    <t>SEML FBLSL GROWTH FUND</t>
  </si>
  <si>
    <t>BI0002</t>
  </si>
  <si>
    <t>PALASH BISWAS</t>
  </si>
  <si>
    <t>A00674</t>
  </si>
  <si>
    <t>MD MEHEDI HASAN</t>
  </si>
  <si>
    <t>A00675</t>
  </si>
  <si>
    <t>KAZI MUNTASIR ASHRAF</t>
  </si>
  <si>
    <t>A00676</t>
  </si>
  <si>
    <t>MD JAHANGIR ALAM</t>
  </si>
  <si>
    <t>A00677</t>
  </si>
  <si>
    <t>SAKIBUL HUQ</t>
  </si>
  <si>
    <t>A00678</t>
  </si>
  <si>
    <t>A00679</t>
  </si>
  <si>
    <t>MD. KAMRUZZAMAN SHOVON</t>
  </si>
  <si>
    <t>A00680</t>
  </si>
  <si>
    <t>BI0003</t>
  </si>
  <si>
    <t>S.M.IMAM HOSSAIN CHISTY</t>
  </si>
  <si>
    <t>A00682</t>
  </si>
  <si>
    <t>MD. NAZMUS SAKIB</t>
  </si>
  <si>
    <t>A00683</t>
  </si>
  <si>
    <t>A00684</t>
  </si>
  <si>
    <t>HASAN MUHAMMED RASEL</t>
  </si>
  <si>
    <t>A00685</t>
  </si>
  <si>
    <t>Dividend Paid Date</t>
  </si>
  <si>
    <t>Dividend FY.</t>
  </si>
  <si>
    <t>Paid Date</t>
  </si>
  <si>
    <t>Total Dividend Income</t>
  </si>
  <si>
    <t>Dividend Income</t>
  </si>
  <si>
    <t>A00686</t>
  </si>
  <si>
    <t>MAMATAZ JAKIR</t>
  </si>
  <si>
    <t>EDUINT LIMITED</t>
  </si>
  <si>
    <t>A00687</t>
  </si>
  <si>
    <t>TAPAN KUMAR KHAN</t>
  </si>
  <si>
    <t>A00688</t>
  </si>
  <si>
    <t>MD. FAKHRUL ISLAM</t>
  </si>
  <si>
    <t>BI0004</t>
  </si>
  <si>
    <t>SUSHMOY SAHA</t>
  </si>
  <si>
    <t>BI0005</t>
  </si>
  <si>
    <t>SAMIN YASAR</t>
  </si>
  <si>
    <t>BI0006</t>
  </si>
  <si>
    <t>P00001</t>
  </si>
  <si>
    <t>BI0007</t>
  </si>
  <si>
    <t>MD. RAIHAN UL HASSAN RABBIL</t>
  </si>
  <si>
    <t>BI0008</t>
  </si>
  <si>
    <t>IFFAT JAHAN YASHA</t>
  </si>
  <si>
    <t>A00691</t>
  </si>
  <si>
    <t>Investor Transaction Summary</t>
  </si>
  <si>
    <t>Ending Balance as on</t>
  </si>
  <si>
    <t>MADHAB GHOSH</t>
  </si>
  <si>
    <t>MD. MAHMUD IBNE KASHEM</t>
  </si>
  <si>
    <t>A00692</t>
  </si>
  <si>
    <t xml:space="preserve">MD NURUNNABY TUSHAR </t>
  </si>
  <si>
    <t>A00693</t>
  </si>
  <si>
    <t>MD. ABIR RAHMAN</t>
  </si>
  <si>
    <t>A00694</t>
  </si>
  <si>
    <t>SHILA SAHA</t>
  </si>
  <si>
    <t>A00695</t>
  </si>
  <si>
    <t>MD. RIDWAN SIDDIQUEE</t>
  </si>
  <si>
    <t>BI0009</t>
  </si>
  <si>
    <t>AHMAD OBAIDUS SHAKUR</t>
  </si>
  <si>
    <t>BI0010</t>
  </si>
  <si>
    <t>SABIKUN NAHAR TANHA</t>
  </si>
  <si>
    <t>AL-FARABI AKASH</t>
  </si>
  <si>
    <t>BR0001</t>
  </si>
  <si>
    <t>BR0002</t>
  </si>
  <si>
    <t>KHADIZA PARVIN</t>
  </si>
  <si>
    <t>A00696</t>
  </si>
  <si>
    <t>MD. RAKIBUL ALOM</t>
  </si>
  <si>
    <t>A00697</t>
  </si>
  <si>
    <t>AKID AQTAB ZAMAN</t>
  </si>
  <si>
    <t>A00698</t>
  </si>
  <si>
    <t>ALBIN AHAMED</t>
  </si>
  <si>
    <t>BR0003</t>
  </si>
  <si>
    <t>A.K.M. FAHIM MASHROOR</t>
  </si>
  <si>
    <t>A00699</t>
  </si>
  <si>
    <t>518560284639</t>
  </si>
  <si>
    <t>419391170680</t>
  </si>
  <si>
    <t>128080864730</t>
  </si>
  <si>
    <t>896164592010</t>
  </si>
  <si>
    <t>546931905072</t>
  </si>
  <si>
    <t>497044933403</t>
  </si>
  <si>
    <t>287343281486</t>
  </si>
  <si>
    <t>761726430576</t>
  </si>
  <si>
    <t>656398937194</t>
  </si>
  <si>
    <t>121504906237</t>
  </si>
  <si>
    <t>475658179194</t>
  </si>
  <si>
    <t>631912723921</t>
  </si>
  <si>
    <t>624083230064</t>
  </si>
  <si>
    <t>319431573582</t>
  </si>
  <si>
    <t>787443841507</t>
  </si>
  <si>
    <t>234157290063</t>
  </si>
  <si>
    <t>328330942996</t>
  </si>
  <si>
    <t>631620477024</t>
  </si>
  <si>
    <t>351774612165</t>
  </si>
  <si>
    <t>773238764134</t>
  </si>
  <si>
    <t>535752140252</t>
  </si>
  <si>
    <t>A00700</t>
  </si>
  <si>
    <t>SHAHRIAR AZAD SHASHI &amp; MD. MOSHIUR RAHMAN KHAN</t>
  </si>
  <si>
    <t>A00701</t>
  </si>
  <si>
    <t>SYED ASHRAF UDDIN AHMED</t>
  </si>
  <si>
    <t>A00702</t>
  </si>
  <si>
    <t>CHANDAN KUMER DAS - Online</t>
  </si>
  <si>
    <t>A00703</t>
  </si>
  <si>
    <t>DIPANKAR BHATTACHARJEE</t>
  </si>
  <si>
    <t>BI0011</t>
  </si>
  <si>
    <t>SALEEM FARHAN</t>
  </si>
  <si>
    <t>BI0012</t>
  </si>
  <si>
    <t>BR0005</t>
  </si>
  <si>
    <t>BR0004</t>
  </si>
  <si>
    <t>ARPITA BARUA</t>
  </si>
  <si>
    <t>A00704</t>
  </si>
  <si>
    <t>SANJUKTA BHATTACHARJEE</t>
  </si>
  <si>
    <t>BI0013</t>
  </si>
  <si>
    <t>ZUBAIR IBNE ZAMAN</t>
  </si>
  <si>
    <t>BI0014</t>
  </si>
  <si>
    <t>A00705</t>
  </si>
  <si>
    <t>Anualized Return: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</si>
</sst>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[$-409]mmmm\ d\,\ yyyy;@"/>
    <numFmt numFmtId="166" formatCode="0_);\(0\)"/>
    <numFmt numFmtId="167" formatCode="_(* #,##0.0000_);_(* \(#,##0.0000\);_(* &quot;-&quot;??_);_(@_)"/>
    <numFmt numFmtId="168" formatCode="_(* #,##0.0_);_(* \(#,##0.0\);_(* &quot;-&quot;?_);_(@_)"/>
    <numFmt numFmtId="169" formatCode="_(* #,##0_);_(* \(#,##0\);_(* &quot;-&quot;?_);_(@_)"/>
    <numFmt numFmtId="170" formatCode="0.0000%"/>
    <numFmt numFmtId="171" formatCode="_(* #,##0.000_);_(* \(#,##0.000\);_(* &quot;-&quot;??_);_(@_)"/>
    <numFmt numFmtId="172" formatCode="0.000"/>
    <numFmt numFmtId="173" formatCode="[$-409]d\-mmm\-yy;@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pectral"/>
    </font>
    <font>
      <sz val="10"/>
      <name val="Spectral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FFC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ahnschrift"/>
      <family val="2"/>
    </font>
    <font>
      <b/>
      <sz val="14"/>
      <color theme="1"/>
      <name val="Bahnschrift"/>
      <family val="2"/>
    </font>
    <font>
      <b/>
      <sz val="10"/>
      <color theme="1"/>
      <name val="Bahnschrift"/>
      <family val="2"/>
    </font>
    <font>
      <sz val="16"/>
      <color theme="1"/>
      <name val="Bahnschrift"/>
      <family val="2"/>
    </font>
    <font>
      <b/>
      <sz val="12"/>
      <color theme="1" tint="0.249977111117893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0"/>
      <color theme="1"/>
      <name val="Bahnschrift"/>
      <family val="2"/>
    </font>
    <font>
      <sz val="10"/>
      <color theme="0" tint="-0.499984740745262"/>
      <name val="Bahnschrift"/>
      <family val="2"/>
    </font>
    <font>
      <b/>
      <u/>
      <sz val="11"/>
      <color theme="1"/>
      <name val="Bahnschrift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theme="9"/>
      </patternFill>
    </fill>
    <fill>
      <patternFill patternType="solid">
        <fgColor rgb="FF002060"/>
        <b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theme="0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1">
    <xf numFmtId="0" fontId="0" fillId="0" borderId="0" xfId="0"/>
    <xf numFmtId="164" fontId="0" fillId="0" borderId="0" xfId="1" applyNumberFormat="1" applyFont="1" applyFill="1"/>
    <xf numFmtId="164" fontId="0" fillId="0" borderId="0" xfId="1" applyNumberFormat="1" applyFont="1"/>
    <xf numFmtId="43" fontId="0" fillId="0" borderId="0" xfId="1" applyFont="1" applyFill="1"/>
    <xf numFmtId="43" fontId="0" fillId="0" borderId="0" xfId="1" applyFont="1"/>
    <xf numFmtId="10" fontId="0" fillId="0" borderId="0" xfId="2" applyNumberFormat="1" applyFont="1"/>
    <xf numFmtId="43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3" fontId="0" fillId="0" borderId="0" xfId="1" applyFont="1" applyFill="1" applyBorder="1"/>
    <xf numFmtId="164" fontId="0" fillId="0" borderId="0" xfId="1" applyNumberFormat="1" applyFont="1" applyFill="1" applyBorder="1"/>
    <xf numFmtId="167" fontId="0" fillId="0" borderId="0" xfId="1" applyNumberFormat="1" applyFont="1" applyFill="1" applyBorder="1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43" fontId="0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164" fontId="0" fillId="0" borderId="0" xfId="0" applyNumberFormat="1"/>
    <xf numFmtId="0" fontId="20" fillId="2" borderId="4" xfId="0" applyFont="1" applyFill="1" applyBorder="1" applyAlignment="1">
      <alignment horizontal="center" vertical="top" wrapText="1"/>
    </xf>
    <xf numFmtId="0" fontId="20" fillId="2" borderId="5" xfId="0" applyFont="1" applyFill="1" applyBorder="1" applyAlignment="1">
      <alignment horizontal="center" vertical="top" wrapText="1"/>
    </xf>
    <xf numFmtId="0" fontId="20" fillId="2" borderId="6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top" wrapText="1"/>
    </xf>
    <xf numFmtId="43" fontId="0" fillId="0" borderId="0" xfId="1" applyFont="1" applyAlignment="1">
      <alignment horizontal="right" vertical="top" wrapText="1"/>
    </xf>
    <xf numFmtId="165" fontId="0" fillId="0" borderId="0" xfId="0" applyNumberForma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43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43" fontId="0" fillId="0" borderId="0" xfId="1" applyFont="1" applyAlignment="1">
      <alignment horizontal="center" vertical="top" wrapText="1"/>
    </xf>
    <xf numFmtId="10" fontId="0" fillId="0" borderId="0" xfId="0" applyNumberFormat="1"/>
    <xf numFmtId="0" fontId="0" fillId="6" borderId="0" xfId="0" applyFill="1" applyAlignment="1">
      <alignment horizontal="center" vertical="top" wrapText="1"/>
    </xf>
    <xf numFmtId="0" fontId="21" fillId="0" borderId="0" xfId="0" applyFont="1" applyAlignment="1">
      <alignment horizontal="center" vertical="center"/>
    </xf>
    <xf numFmtId="0" fontId="17" fillId="7" borderId="0" xfId="0" applyFont="1" applyFill="1" applyAlignment="1">
      <alignment horizontal="center" vertical="top" wrapText="1"/>
    </xf>
    <xf numFmtId="0" fontId="0" fillId="0" borderId="0" xfId="1" applyNumberFormat="1" applyFont="1"/>
    <xf numFmtId="0" fontId="0" fillId="8" borderId="0" xfId="0" applyFill="1" applyAlignment="1">
      <alignment horizontal="center" vertical="top" wrapText="1"/>
    </xf>
    <xf numFmtId="164" fontId="0" fillId="0" borderId="0" xfId="1" applyNumberFormat="1" applyFont="1" applyAlignment="1">
      <alignment vertical="top" wrapText="1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9" borderId="0" xfId="0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27" fillId="10" borderId="0" xfId="0" applyFont="1" applyFill="1" applyAlignment="1">
      <alignment horizontal="center"/>
    </xf>
    <xf numFmtId="43" fontId="28" fillId="0" borderId="0" xfId="1" applyFont="1" applyBorder="1"/>
    <xf numFmtId="43" fontId="29" fillId="0" borderId="0" xfId="1" applyFont="1" applyBorder="1"/>
    <xf numFmtId="43" fontId="29" fillId="11" borderId="0" xfId="1" applyFont="1" applyFill="1" applyBorder="1"/>
    <xf numFmtId="43" fontId="28" fillId="11" borderId="0" xfId="1" applyFont="1" applyFill="1" applyBorder="1"/>
    <xf numFmtId="43" fontId="28" fillId="0" borderId="0" xfId="1" applyFont="1"/>
    <xf numFmtId="43" fontId="28" fillId="0" borderId="0" xfId="1" applyFont="1" applyBorder="1" applyAlignment="1">
      <alignment horizontal="right"/>
    </xf>
    <xf numFmtId="168" fontId="0" fillId="0" borderId="0" xfId="0" applyNumberFormat="1" applyAlignment="1">
      <alignment horizontal="center" vertical="top" wrapText="1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30" fillId="0" borderId="0" xfId="0" applyFont="1"/>
    <xf numFmtId="43" fontId="30" fillId="0" borderId="0" xfId="1" applyFont="1" applyFill="1" applyAlignment="1">
      <alignment horizontal="center" vertical="center"/>
    </xf>
    <xf numFmtId="43" fontId="30" fillId="0" borderId="0" xfId="1" applyFont="1" applyFill="1"/>
    <xf numFmtId="164" fontId="30" fillId="0" borderId="0" xfId="1" applyNumberFormat="1" applyFont="1" applyFill="1"/>
    <xf numFmtId="43" fontId="30" fillId="0" borderId="0" xfId="0" applyNumberFormat="1" applyFont="1"/>
    <xf numFmtId="169" fontId="0" fillId="0" borderId="0" xfId="0" applyNumberFormat="1" applyAlignment="1">
      <alignment horizontal="center" vertical="top" wrapText="1"/>
    </xf>
    <xf numFmtId="43" fontId="0" fillId="0" borderId="0" xfId="0" applyNumberForma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/>
    <xf numFmtId="43" fontId="31" fillId="0" borderId="0" xfId="1" applyFont="1" applyFill="1" applyBorder="1"/>
    <xf numFmtId="164" fontId="31" fillId="0" borderId="0" xfId="1" applyNumberFormat="1" applyFont="1" applyFill="1" applyBorder="1"/>
    <xf numFmtId="43" fontId="31" fillId="0" borderId="0" xfId="0" applyNumberFormat="1" applyFont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/>
    <xf numFmtId="43" fontId="33" fillId="0" borderId="0" xfId="1" applyFont="1" applyFill="1" applyBorder="1"/>
    <xf numFmtId="164" fontId="33" fillId="0" borderId="0" xfId="1" applyNumberFormat="1" applyFont="1" applyFill="1" applyBorder="1"/>
    <xf numFmtId="43" fontId="33" fillId="0" borderId="0" xfId="0" applyNumberFormat="1" applyFont="1"/>
    <xf numFmtId="170" fontId="0" fillId="0" borderId="0" xfId="2" applyNumberFormat="1" applyFont="1"/>
    <xf numFmtId="0" fontId="34" fillId="0" borderId="0" xfId="0" applyFont="1" applyAlignment="1">
      <alignment horizontal="center" vertical="center"/>
    </xf>
    <xf numFmtId="0" fontId="34" fillId="0" borderId="0" xfId="0" applyFont="1"/>
    <xf numFmtId="43" fontId="34" fillId="0" borderId="0" xfId="1" applyFont="1" applyFill="1" applyBorder="1" applyAlignment="1">
      <alignment horizontal="center" vertical="center"/>
    </xf>
    <xf numFmtId="43" fontId="34" fillId="0" borderId="0" xfId="1" applyFont="1" applyFill="1" applyBorder="1"/>
    <xf numFmtId="164" fontId="34" fillId="0" borderId="0" xfId="1" applyNumberFormat="1" applyFont="1" applyFill="1" applyBorder="1"/>
    <xf numFmtId="43" fontId="34" fillId="0" borderId="0" xfId="0" applyNumberFormat="1" applyFont="1"/>
    <xf numFmtId="0" fontId="35" fillId="0" borderId="0" xfId="0" applyFont="1"/>
    <xf numFmtId="43" fontId="35" fillId="0" borderId="0" xfId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43" fontId="35" fillId="0" borderId="0" xfId="1" applyFont="1" applyFill="1" applyBorder="1"/>
    <xf numFmtId="164" fontId="35" fillId="0" borderId="0" xfId="1" applyNumberFormat="1" applyFont="1" applyFill="1" applyBorder="1"/>
    <xf numFmtId="43" fontId="35" fillId="0" borderId="0" xfId="0" applyNumberFormat="1" applyFont="1"/>
    <xf numFmtId="0" fontId="36" fillId="0" borderId="0" xfId="0" applyFont="1"/>
    <xf numFmtId="43" fontId="36" fillId="0" borderId="0" xfId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3" fontId="36" fillId="0" borderId="0" xfId="1" applyFont="1" applyFill="1" applyBorder="1"/>
    <xf numFmtId="164" fontId="36" fillId="0" borderId="0" xfId="1" applyNumberFormat="1" applyFont="1" applyFill="1" applyBorder="1"/>
    <xf numFmtId="43" fontId="36" fillId="0" borderId="0" xfId="0" applyNumberFormat="1" applyFont="1"/>
    <xf numFmtId="0" fontId="37" fillId="0" borderId="0" xfId="0" applyFont="1" applyAlignment="1">
      <alignment horizontal="center" vertical="center"/>
    </xf>
    <xf numFmtId="0" fontId="37" fillId="0" borderId="0" xfId="0" applyFont="1"/>
    <xf numFmtId="43" fontId="37" fillId="0" borderId="0" xfId="1" applyFont="1" applyFill="1" applyBorder="1"/>
    <xf numFmtId="164" fontId="37" fillId="0" borderId="0" xfId="1" applyNumberFormat="1" applyFont="1" applyFill="1" applyBorder="1"/>
    <xf numFmtId="43" fontId="37" fillId="0" borderId="0" xfId="0" applyNumberFormat="1" applyFont="1"/>
    <xf numFmtId="0" fontId="38" fillId="0" borderId="0" xfId="0" applyFont="1" applyAlignment="1">
      <alignment horizontal="center" vertical="center"/>
    </xf>
    <xf numFmtId="0" fontId="38" fillId="0" borderId="0" xfId="0" applyFont="1"/>
    <xf numFmtId="43" fontId="38" fillId="0" borderId="0" xfId="1" applyFont="1" applyFill="1" applyBorder="1" applyAlignment="1">
      <alignment horizontal="center" vertical="center"/>
    </xf>
    <xf numFmtId="43" fontId="38" fillId="0" borderId="0" xfId="1" applyFont="1" applyFill="1" applyBorder="1"/>
    <xf numFmtId="164" fontId="38" fillId="0" borderId="0" xfId="1" applyNumberFormat="1" applyFont="1" applyFill="1" applyBorder="1"/>
    <xf numFmtId="43" fontId="38" fillId="0" borderId="0" xfId="0" applyNumberFormat="1" applyFont="1"/>
    <xf numFmtId="43" fontId="0" fillId="0" borderId="0" xfId="1" applyFont="1" applyFill="1" applyBorder="1" applyAlignment="1">
      <alignment horizontal="center" vertical="top" wrapText="1"/>
    </xf>
    <xf numFmtId="43" fontId="0" fillId="13" borderId="0" xfId="1" applyFont="1" applyFill="1"/>
    <xf numFmtId="43" fontId="0" fillId="13" borderId="0" xfId="0" applyNumberFormat="1" applyFill="1"/>
    <xf numFmtId="164" fontId="0" fillId="14" borderId="0" xfId="0" applyNumberFormat="1" applyFill="1"/>
    <xf numFmtId="0" fontId="3" fillId="4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0" borderId="0" xfId="1" applyFont="1" applyFill="1" applyAlignment="1">
      <alignment horizontal="right" vertical="top" wrapText="1"/>
    </xf>
    <xf numFmtId="0" fontId="39" fillId="15" borderId="0" xfId="0" applyFont="1" applyFill="1" applyAlignment="1">
      <alignment horizontal="center"/>
    </xf>
    <xf numFmtId="164" fontId="39" fillId="15" borderId="0" xfId="1" applyNumberFormat="1" applyFont="1" applyFill="1" applyAlignment="1">
      <alignment horizontal="center"/>
    </xf>
    <xf numFmtId="43" fontId="39" fillId="15" borderId="0" xfId="1" applyFont="1" applyFill="1" applyAlignment="1">
      <alignment horizontal="center"/>
    </xf>
    <xf numFmtId="0" fontId="39" fillId="15" borderId="0" xfId="0" applyFont="1" applyFill="1"/>
    <xf numFmtId="0" fontId="39" fillId="15" borderId="14" xfId="0" applyFont="1" applyFill="1" applyBorder="1"/>
    <xf numFmtId="0" fontId="40" fillId="15" borderId="0" xfId="0" applyFont="1" applyFill="1" applyAlignment="1">
      <alignment vertical="center"/>
    </xf>
    <xf numFmtId="0" fontId="39" fillId="15" borderId="14" xfId="0" applyFont="1" applyFill="1" applyBorder="1" applyAlignment="1">
      <alignment horizontal="center"/>
    </xf>
    <xf numFmtId="165" fontId="39" fillId="15" borderId="0" xfId="0" applyNumberFormat="1" applyFont="1" applyFill="1" applyAlignment="1">
      <alignment horizontal="right"/>
    </xf>
    <xf numFmtId="43" fontId="39" fillId="15" borderId="0" xfId="1" applyFont="1" applyFill="1" applyBorder="1"/>
    <xf numFmtId="2" fontId="39" fillId="15" borderId="0" xfId="0" applyNumberFormat="1" applyFont="1" applyFill="1"/>
    <xf numFmtId="164" fontId="39" fillId="15" borderId="0" xfId="1" applyNumberFormat="1" applyFont="1" applyFill="1" applyBorder="1"/>
    <xf numFmtId="164" fontId="39" fillId="15" borderId="0" xfId="1" applyNumberFormat="1" applyFont="1" applyFill="1"/>
    <xf numFmtId="43" fontId="39" fillId="15" borderId="0" xfId="1" applyFont="1" applyFill="1"/>
    <xf numFmtId="0" fontId="41" fillId="15" borderId="0" xfId="0" applyFont="1" applyFill="1" applyAlignment="1">
      <alignment horizontal="left"/>
    </xf>
    <xf numFmtId="0" fontId="39" fillId="15" borderId="0" xfId="0" applyFont="1" applyFill="1" applyAlignment="1">
      <alignment horizontal="center" vertical="center"/>
    </xf>
    <xf numFmtId="165" fontId="39" fillId="15" borderId="14" xfId="0" applyNumberFormat="1" applyFont="1" applyFill="1" applyBorder="1" applyAlignment="1">
      <alignment horizontal="center" vertical="center" wrapText="1"/>
    </xf>
    <xf numFmtId="0" fontId="39" fillId="15" borderId="14" xfId="0" applyFont="1" applyFill="1" applyBorder="1" applyAlignment="1">
      <alignment horizontal="center" vertical="center" wrapText="1"/>
    </xf>
    <xf numFmtId="43" fontId="39" fillId="15" borderId="14" xfId="1" applyFont="1" applyFill="1" applyBorder="1" applyAlignment="1">
      <alignment horizontal="center" vertical="center" wrapText="1"/>
    </xf>
    <xf numFmtId="2" fontId="39" fillId="15" borderId="14" xfId="0" applyNumberFormat="1" applyFont="1" applyFill="1" applyBorder="1" applyAlignment="1">
      <alignment horizontal="center" vertical="center" wrapText="1"/>
    </xf>
    <xf numFmtId="164" fontId="39" fillId="15" borderId="14" xfId="1" applyNumberFormat="1" applyFont="1" applyFill="1" applyBorder="1" applyAlignment="1">
      <alignment horizontal="center" vertical="center" wrapText="1"/>
    </xf>
    <xf numFmtId="0" fontId="39" fillId="15" borderId="15" xfId="0" applyFont="1" applyFill="1" applyBorder="1"/>
    <xf numFmtId="0" fontId="39" fillId="15" borderId="14" xfId="0" applyFont="1" applyFill="1" applyBorder="1" applyAlignment="1">
      <alignment horizontal="right"/>
    </xf>
    <xf numFmtId="165" fontId="39" fillId="15" borderId="14" xfId="0" applyNumberFormat="1" applyFont="1" applyFill="1" applyBorder="1" applyAlignment="1">
      <alignment horizontal="right"/>
    </xf>
    <xf numFmtId="43" fontId="39" fillId="15" borderId="14" xfId="1" applyFont="1" applyFill="1" applyBorder="1"/>
    <xf numFmtId="2" fontId="39" fillId="15" borderId="14" xfId="0" applyNumberFormat="1" applyFont="1" applyFill="1" applyBorder="1"/>
    <xf numFmtId="164" fontId="39" fillId="15" borderId="14" xfId="1" applyNumberFormat="1" applyFont="1" applyFill="1" applyBorder="1"/>
    <xf numFmtId="164" fontId="39" fillId="15" borderId="14" xfId="1" applyNumberFormat="1" applyFont="1" applyFill="1" applyBorder="1" applyAlignment="1">
      <alignment horizontal="center"/>
    </xf>
    <xf numFmtId="43" fontId="39" fillId="15" borderId="0" xfId="0" applyNumberFormat="1" applyFont="1" applyFill="1"/>
    <xf numFmtId="10" fontId="39" fillId="15" borderId="0" xfId="2" applyNumberFormat="1" applyFont="1" applyFill="1"/>
    <xf numFmtId="9" fontId="39" fillId="15" borderId="0" xfId="0" applyNumberFormat="1" applyFont="1" applyFill="1"/>
    <xf numFmtId="0" fontId="41" fillId="15" borderId="16" xfId="0" applyFont="1" applyFill="1" applyBorder="1" applyAlignment="1">
      <alignment vertical="center" wrapText="1"/>
    </xf>
    <xf numFmtId="165" fontId="41" fillId="15" borderId="17" xfId="0" applyNumberFormat="1" applyFont="1" applyFill="1" applyBorder="1" applyAlignment="1">
      <alignment vertical="center" wrapText="1"/>
    </xf>
    <xf numFmtId="165" fontId="39" fillId="15" borderId="13" xfId="0" applyNumberFormat="1" applyFont="1" applyFill="1" applyBorder="1" applyAlignment="1">
      <alignment horizontal="right"/>
    </xf>
    <xf numFmtId="0" fontId="39" fillId="15" borderId="13" xfId="0" applyFont="1" applyFill="1" applyBorder="1" applyAlignment="1">
      <alignment horizontal="center"/>
    </xf>
    <xf numFmtId="43" fontId="39" fillId="15" borderId="13" xfId="1" applyFont="1" applyFill="1" applyBorder="1"/>
    <xf numFmtId="2" fontId="39" fillId="15" borderId="13" xfId="0" applyNumberFormat="1" applyFont="1" applyFill="1" applyBorder="1"/>
    <xf numFmtId="164" fontId="39" fillId="15" borderId="13" xfId="1" applyNumberFormat="1" applyFont="1" applyFill="1" applyBorder="1"/>
    <xf numFmtId="164" fontId="39" fillId="15" borderId="13" xfId="1" applyNumberFormat="1" applyFont="1" applyFill="1" applyBorder="1" applyAlignment="1">
      <alignment horizontal="center"/>
    </xf>
    <xf numFmtId="164" fontId="39" fillId="15" borderId="0" xfId="1" applyNumberFormat="1" applyFont="1" applyFill="1" applyBorder="1" applyAlignment="1">
      <alignment horizontal="center"/>
    </xf>
    <xf numFmtId="165" fontId="39" fillId="15" borderId="0" xfId="0" applyNumberFormat="1" applyFont="1" applyFill="1"/>
    <xf numFmtId="14" fontId="39" fillId="15" borderId="0" xfId="0" applyNumberFormat="1" applyFont="1" applyFill="1" applyAlignment="1">
      <alignment horizontal="left"/>
    </xf>
    <xf numFmtId="0" fontId="17" fillId="0" borderId="0" xfId="0" applyFont="1"/>
    <xf numFmtId="165" fontId="41" fillId="15" borderId="18" xfId="0" applyNumberFormat="1" applyFont="1" applyFill="1" applyBorder="1" applyAlignment="1">
      <alignment vertical="center" wrapText="1"/>
    </xf>
    <xf numFmtId="165" fontId="41" fillId="15" borderId="19" xfId="0" applyNumberFormat="1" applyFont="1" applyFill="1" applyBorder="1" applyAlignment="1">
      <alignment vertical="center" wrapText="1"/>
    </xf>
    <xf numFmtId="165" fontId="41" fillId="15" borderId="21" xfId="0" applyNumberFormat="1" applyFont="1" applyFill="1" applyBorder="1" applyAlignment="1">
      <alignment vertical="center" wrapText="1"/>
    </xf>
    <xf numFmtId="171" fontId="0" fillId="0" borderId="0" xfId="1" applyNumberFormat="1" applyFont="1" applyFill="1" applyBorder="1"/>
    <xf numFmtId="171" fontId="31" fillId="0" borderId="0" xfId="1" applyNumberFormat="1" applyFont="1" applyFill="1" applyBorder="1"/>
    <xf numFmtId="171" fontId="33" fillId="0" borderId="0" xfId="1" applyNumberFormat="1" applyFont="1" applyFill="1" applyBorder="1"/>
    <xf numFmtId="171" fontId="34" fillId="0" borderId="0" xfId="1" applyNumberFormat="1" applyFont="1" applyFill="1" applyBorder="1"/>
    <xf numFmtId="171" fontId="35" fillId="0" borderId="0" xfId="1" applyNumberFormat="1" applyFont="1" applyFill="1" applyBorder="1"/>
    <xf numFmtId="171" fontId="36" fillId="0" borderId="0" xfId="1" applyNumberFormat="1" applyFont="1" applyFill="1" applyBorder="1"/>
    <xf numFmtId="171" fontId="37" fillId="0" borderId="0" xfId="1" applyNumberFormat="1" applyFont="1" applyFill="1" applyBorder="1"/>
    <xf numFmtId="171" fontId="38" fillId="0" borderId="0" xfId="1" applyNumberFormat="1" applyFont="1" applyFill="1" applyBorder="1"/>
    <xf numFmtId="171" fontId="0" fillId="0" borderId="0" xfId="1" applyNumberFormat="1" applyFont="1" applyAlignment="1">
      <alignment horizontal="center" vertical="top" wrapText="1"/>
    </xf>
    <xf numFmtId="171" fontId="0" fillId="0" borderId="0" xfId="1" applyNumberFormat="1" applyFont="1"/>
    <xf numFmtId="171" fontId="0" fillId="0" borderId="0" xfId="0" applyNumberFormat="1"/>
    <xf numFmtId="171" fontId="17" fillId="3" borderId="1" xfId="1" applyNumberFormat="1" applyFont="1" applyFill="1" applyBorder="1" applyAlignment="1">
      <alignment horizontal="center" vertical="center"/>
    </xf>
    <xf numFmtId="164" fontId="0" fillId="17" borderId="0" xfId="0" applyNumberFormat="1" applyFill="1"/>
    <xf numFmtId="43" fontId="0" fillId="0" borderId="0" xfId="1" applyFont="1" applyFill="1" applyAlignment="1">
      <alignment horizontal="center" vertical="top" wrapText="1"/>
    </xf>
    <xf numFmtId="0" fontId="1" fillId="0" borderId="0" xfId="0" applyFont="1"/>
    <xf numFmtId="0" fontId="43" fillId="3" borderId="0" xfId="0" applyFont="1" applyFill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0" fontId="44" fillId="0" borderId="20" xfId="0" applyFont="1" applyBorder="1" applyAlignment="1" applyProtection="1">
      <alignment horizontal="center" vertical="center" wrapText="1"/>
      <protection locked="0"/>
    </xf>
    <xf numFmtId="0" fontId="44" fillId="0" borderId="22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 applyProtection="1">
      <alignment horizontal="right" vertical="center"/>
      <protection locked="0"/>
    </xf>
    <xf numFmtId="43" fontId="0" fillId="0" borderId="0" xfId="1" applyFont="1" applyAlignment="1" applyProtection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0" borderId="0" xfId="0" applyAlignment="1" applyProtection="1">
      <alignment horizontal="left" vertical="center"/>
      <protection locked="0"/>
    </xf>
    <xf numFmtId="43" fontId="1" fillId="0" borderId="0" xfId="1" applyFont="1" applyAlignment="1" applyProtection="1">
      <alignment horizontal="right" vertical="center"/>
    </xf>
    <xf numFmtId="0" fontId="0" fillId="0" borderId="0" xfId="0" applyProtection="1">
      <protection locked="0"/>
    </xf>
    <xf numFmtId="0" fontId="0" fillId="0" borderId="21" xfId="0" applyBorder="1" applyProtection="1">
      <protection locked="0"/>
    </xf>
    <xf numFmtId="9" fontId="0" fillId="0" borderId="18" xfId="2" applyFont="1" applyBorder="1" applyProtection="1">
      <protection locked="0"/>
    </xf>
    <xf numFmtId="10" fontId="0" fillId="0" borderId="0" xfId="2" applyNumberFormat="1" applyFont="1" applyProtection="1">
      <protection locked="0"/>
    </xf>
    <xf numFmtId="43" fontId="45" fillId="0" borderId="0" xfId="1" applyFont="1" applyAlignment="1" applyProtection="1">
      <alignment horizontal="right" vertical="center"/>
    </xf>
    <xf numFmtId="43" fontId="0" fillId="0" borderId="0" xfId="1" applyFont="1" applyFill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0" fillId="0" borderId="0" xfId="2" applyNumberFormat="1" applyFont="1"/>
    <xf numFmtId="172" fontId="0" fillId="0" borderId="1" xfId="0" applyNumberFormat="1" applyBorder="1"/>
    <xf numFmtId="164" fontId="39" fillId="15" borderId="14" xfId="0" applyNumberFormat="1" applyFont="1" applyFill="1" applyBorder="1"/>
    <xf numFmtId="165" fontId="39" fillId="15" borderId="0" xfId="0" applyNumberFormat="1" applyFont="1" applyFill="1" applyAlignment="1">
      <alignment horizontal="left"/>
    </xf>
    <xf numFmtId="49" fontId="0" fillId="0" borderId="0" xfId="0" applyNumberFormat="1" applyAlignment="1" applyProtection="1">
      <alignment horizontal="left" vertical="center"/>
      <protection locked="0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1" fontId="0" fillId="0" borderId="0" xfId="1" applyNumberFormat="1" applyFont="1" applyFill="1"/>
    <xf numFmtId="0" fontId="19" fillId="0" borderId="0" xfId="0" applyFont="1" applyAlignment="1">
      <alignment horizontal="center" vertical="center"/>
    </xf>
    <xf numFmtId="0" fontId="47" fillId="0" borderId="0" xfId="0" applyFont="1"/>
    <xf numFmtId="0" fontId="47" fillId="0" borderId="0" xfId="0" applyFont="1" applyAlignment="1">
      <alignment horizontal="center" vertical="center"/>
    </xf>
    <xf numFmtId="0" fontId="48" fillId="0" borderId="0" xfId="0" applyFont="1"/>
    <xf numFmtId="43" fontId="48" fillId="0" borderId="0" xfId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43" fontId="48" fillId="0" borderId="0" xfId="1" applyFont="1" applyFill="1"/>
    <xf numFmtId="171" fontId="48" fillId="0" borderId="0" xfId="1" applyNumberFormat="1" applyFont="1" applyFill="1"/>
    <xf numFmtId="164" fontId="48" fillId="0" borderId="0" xfId="1" applyNumberFormat="1" applyFont="1" applyFill="1"/>
    <xf numFmtId="43" fontId="48" fillId="0" borderId="0" xfId="0" applyNumberFormat="1" applyFont="1"/>
    <xf numFmtId="2" fontId="39" fillId="15" borderId="25" xfId="0" applyNumberFormat="1" applyFont="1" applyFill="1" applyBorder="1"/>
    <xf numFmtId="43" fontId="39" fillId="15" borderId="26" xfId="1" applyFont="1" applyFill="1" applyBorder="1"/>
    <xf numFmtId="43" fontId="39" fillId="15" borderId="28" xfId="1" applyFont="1" applyFill="1" applyBorder="1"/>
    <xf numFmtId="0" fontId="23" fillId="0" borderId="0" xfId="0" applyFont="1" applyAlignment="1">
      <alignment horizontal="center" vertical="center"/>
    </xf>
    <xf numFmtId="171" fontId="39" fillId="15" borderId="14" xfId="1" applyNumberFormat="1" applyFont="1" applyFill="1" applyBorder="1"/>
    <xf numFmtId="164" fontId="39" fillId="15" borderId="28" xfId="1" applyNumberFormat="1" applyFont="1" applyFill="1" applyBorder="1"/>
    <xf numFmtId="165" fontId="39" fillId="18" borderId="0" xfId="0" applyNumberFormat="1" applyFont="1" applyFill="1" applyAlignment="1">
      <alignment horizontal="left"/>
    </xf>
    <xf numFmtId="0" fontId="39" fillId="18" borderId="0" xfId="0" applyFont="1" applyFill="1" applyAlignment="1">
      <alignment horizontal="left"/>
    </xf>
    <xf numFmtId="43" fontId="39" fillId="18" borderId="0" xfId="1" applyFont="1" applyFill="1" applyBorder="1" applyAlignment="1">
      <alignment horizontal="left"/>
    </xf>
    <xf numFmtId="2" fontId="39" fillId="18" borderId="0" xfId="0" applyNumberFormat="1" applyFont="1" applyFill="1" applyAlignment="1">
      <alignment horizontal="left"/>
    </xf>
    <xf numFmtId="164" fontId="39" fillId="18" borderId="0" xfId="1" applyNumberFormat="1" applyFont="1" applyFill="1" applyBorder="1" applyAlignment="1">
      <alignment horizontal="left"/>
    </xf>
    <xf numFmtId="10" fontId="39" fillId="18" borderId="0" xfId="2" applyNumberFormat="1" applyFont="1" applyFill="1" applyAlignment="1">
      <alignment horizontal="left"/>
    </xf>
    <xf numFmtId="165" fontId="39" fillId="15" borderId="14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1" fontId="39" fillId="15" borderId="14" xfId="1" applyNumberFormat="1" applyFont="1" applyFill="1" applyBorder="1" applyAlignment="1">
      <alignment horizontal="center"/>
    </xf>
    <xf numFmtId="0" fontId="41" fillId="15" borderId="14" xfId="0" applyFont="1" applyFill="1" applyBorder="1" applyAlignment="1">
      <alignment horizontal="center"/>
    </xf>
    <xf numFmtId="164" fontId="41" fillId="15" borderId="14" xfId="1" applyNumberFormat="1" applyFont="1" applyFill="1" applyBorder="1" applyAlignment="1">
      <alignment horizontal="center"/>
    </xf>
    <xf numFmtId="165" fontId="41" fillId="15" borderId="14" xfId="0" applyNumberFormat="1" applyFont="1" applyFill="1" applyBorder="1" applyAlignment="1">
      <alignment horizontal="center"/>
    </xf>
    <xf numFmtId="43" fontId="41" fillId="15" borderId="14" xfId="1" applyFont="1" applyFill="1" applyBorder="1" applyAlignment="1">
      <alignment horizontal="center"/>
    </xf>
    <xf numFmtId="2" fontId="41" fillId="15" borderId="14" xfId="0" applyNumberFormat="1" applyFont="1" applyFill="1" applyBorder="1" applyAlignment="1">
      <alignment horizontal="center"/>
    </xf>
    <xf numFmtId="14" fontId="0" fillId="0" borderId="0" xfId="0" applyNumberFormat="1" applyAlignment="1" applyProtection="1">
      <alignment horizontal="center" vertical="center"/>
      <protection locked="0"/>
    </xf>
    <xf numFmtId="2" fontId="39" fillId="15" borderId="3" xfId="0" applyNumberFormat="1" applyFont="1" applyFill="1" applyBorder="1"/>
    <xf numFmtId="43" fontId="39" fillId="15" borderId="31" xfId="1" applyFont="1" applyFill="1" applyBorder="1"/>
    <xf numFmtId="171" fontId="39" fillId="15" borderId="31" xfId="1" applyNumberFormat="1" applyFont="1" applyFill="1" applyBorder="1"/>
    <xf numFmtId="43" fontId="39" fillId="15" borderId="32" xfId="1" applyFont="1" applyFill="1" applyBorder="1"/>
    <xf numFmtId="165" fontId="41" fillId="15" borderId="4" xfId="0" applyNumberFormat="1" applyFont="1" applyFill="1" applyBorder="1" applyAlignment="1">
      <alignment horizontal="right"/>
    </xf>
    <xf numFmtId="165" fontId="41" fillId="15" borderId="5" xfId="0" applyNumberFormat="1" applyFont="1" applyFill="1" applyBorder="1" applyAlignment="1">
      <alignment horizontal="center"/>
    </xf>
    <xf numFmtId="173" fontId="41" fillId="15" borderId="33" xfId="0" applyNumberFormat="1" applyFont="1" applyFill="1" applyBorder="1" applyAlignment="1">
      <alignment horizontal="left"/>
    </xf>
    <xf numFmtId="2" fontId="41" fillId="15" borderId="33" xfId="0" applyNumberFormat="1" applyFont="1" applyFill="1" applyBorder="1"/>
    <xf numFmtId="43" fontId="41" fillId="15" borderId="34" xfId="1" applyFont="1" applyFill="1" applyBorder="1"/>
    <xf numFmtId="2" fontId="49" fillId="15" borderId="36" xfId="0" applyNumberFormat="1" applyFont="1" applyFill="1" applyBorder="1"/>
    <xf numFmtId="43" fontId="49" fillId="15" borderId="34" xfId="1" applyFont="1" applyFill="1" applyBorder="1"/>
    <xf numFmtId="165" fontId="50" fillId="15" borderId="14" xfId="0" applyNumberFormat="1" applyFont="1" applyFill="1" applyBorder="1" applyAlignment="1">
      <alignment horizontal="right"/>
    </xf>
    <xf numFmtId="0" fontId="50" fillId="15" borderId="14" xfId="0" applyFont="1" applyFill="1" applyBorder="1" applyAlignment="1">
      <alignment horizontal="center"/>
    </xf>
    <xf numFmtId="43" fontId="50" fillId="15" borderId="14" xfId="1" applyFont="1" applyFill="1" applyBorder="1"/>
    <xf numFmtId="2" fontId="50" fillId="15" borderId="14" xfId="0" applyNumberFormat="1" applyFont="1" applyFill="1" applyBorder="1"/>
    <xf numFmtId="164" fontId="50" fillId="15" borderId="14" xfId="1" applyNumberFormat="1" applyFont="1" applyFill="1" applyBorder="1"/>
    <xf numFmtId="1" fontId="50" fillId="15" borderId="14" xfId="1" applyNumberFormat="1" applyFont="1" applyFill="1" applyBorder="1" applyAlignment="1">
      <alignment horizontal="center"/>
    </xf>
    <xf numFmtId="164" fontId="50" fillId="15" borderId="14" xfId="1" applyNumberFormat="1" applyFont="1" applyFill="1" applyBorder="1" applyAlignment="1">
      <alignment horizontal="center"/>
    </xf>
    <xf numFmtId="165" fontId="51" fillId="15" borderId="0" xfId="0" applyNumberFormat="1" applyFont="1" applyFill="1" applyAlignment="1">
      <alignment vertical="center"/>
    </xf>
    <xf numFmtId="0" fontId="52" fillId="0" borderId="0" xfId="0" applyFont="1"/>
    <xf numFmtId="43" fontId="52" fillId="0" borderId="0" xfId="1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43" fontId="52" fillId="0" borderId="0" xfId="1" applyFont="1" applyFill="1"/>
    <xf numFmtId="171" fontId="52" fillId="0" borderId="0" xfId="1" applyNumberFormat="1" applyFont="1" applyFill="1"/>
    <xf numFmtId="164" fontId="52" fillId="0" borderId="0" xfId="1" applyNumberFormat="1" applyFont="1" applyFill="1"/>
    <xf numFmtId="43" fontId="52" fillId="0" borderId="0" xfId="0" applyNumberFormat="1" applyFont="1"/>
    <xf numFmtId="0" fontId="53" fillId="0" borderId="0" xfId="0" applyFont="1" applyAlignment="1">
      <alignment horizontal="center" vertical="center"/>
    </xf>
    <xf numFmtId="0" fontId="53" fillId="0" borderId="0" xfId="0" applyFont="1"/>
    <xf numFmtId="43" fontId="53" fillId="0" borderId="0" xfId="1" applyFont="1" applyFill="1"/>
    <xf numFmtId="171" fontId="53" fillId="0" borderId="0" xfId="1" applyNumberFormat="1" applyFont="1" applyFill="1"/>
    <xf numFmtId="164" fontId="53" fillId="0" borderId="0" xfId="1" applyNumberFormat="1" applyFont="1" applyFill="1"/>
    <xf numFmtId="43" fontId="53" fillId="0" borderId="0" xfId="0" applyNumberFormat="1" applyFont="1"/>
    <xf numFmtId="0" fontId="42" fillId="16" borderId="1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top" wrapText="1"/>
    </xf>
    <xf numFmtId="164" fontId="1" fillId="0" borderId="0" xfId="1" applyNumberFormat="1" applyFont="1" applyFill="1" applyAlignment="1" applyProtection="1">
      <alignment horizontal="right" vertical="center"/>
      <protection locked="0"/>
    </xf>
    <xf numFmtId="43" fontId="0" fillId="0" borderId="0" xfId="1" applyFont="1" applyFill="1" applyAlignment="1" applyProtection="1">
      <alignment horizontal="right" vertical="center"/>
    </xf>
    <xf numFmtId="43" fontId="1" fillId="0" borderId="0" xfId="1" applyFont="1" applyFill="1" applyAlignment="1" applyProtection="1">
      <alignment horizontal="right" vertical="center"/>
    </xf>
    <xf numFmtId="43" fontId="45" fillId="0" borderId="0" xfId="1" applyFont="1" applyFill="1" applyAlignment="1" applyProtection="1">
      <alignment horizontal="right" vertical="center"/>
    </xf>
    <xf numFmtId="9" fontId="0" fillId="0" borderId="18" xfId="2" applyFont="1" applyFill="1" applyBorder="1" applyProtection="1">
      <protection locked="0"/>
    </xf>
    <xf numFmtId="10" fontId="0" fillId="0" borderId="0" xfId="2" applyNumberFormat="1" applyFont="1" applyFill="1" applyProtection="1">
      <protection locked="0"/>
    </xf>
    <xf numFmtId="0" fontId="0" fillId="0" borderId="23" xfId="0" applyBorder="1" applyProtection="1">
      <protection locked="0"/>
    </xf>
    <xf numFmtId="9" fontId="0" fillId="0" borderId="16" xfId="2" applyFont="1" applyFill="1" applyBorder="1" applyProtection="1">
      <protection locked="0"/>
    </xf>
    <xf numFmtId="164" fontId="0" fillId="0" borderId="0" xfId="1" applyNumberFormat="1" applyFont="1" applyFill="1" applyAlignment="1" applyProtection="1">
      <alignment horizontal="right" vertical="center"/>
      <protection locked="0"/>
    </xf>
    <xf numFmtId="14" fontId="0" fillId="0" borderId="0" xfId="0" applyNumberForma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14" fontId="38" fillId="0" borderId="0" xfId="0" applyNumberFormat="1" applyFont="1" applyAlignment="1">
      <alignment horizontal="center" vertical="center"/>
    </xf>
    <xf numFmtId="14" fontId="48" fillId="0" borderId="0" xfId="0" applyNumberFormat="1" applyFont="1" applyAlignment="1">
      <alignment horizontal="center" vertical="center"/>
    </xf>
    <xf numFmtId="14" fontId="52" fillId="0" borderId="0" xfId="0" applyNumberFormat="1" applyFont="1" applyAlignment="1">
      <alignment horizontal="center" vertical="center"/>
    </xf>
    <xf numFmtId="14" fontId="53" fillId="0" borderId="0" xfId="0" applyNumberFormat="1" applyFont="1" applyAlignment="1">
      <alignment horizontal="center" vertical="center"/>
    </xf>
    <xf numFmtId="164" fontId="0" fillId="17" borderId="0" xfId="1" applyNumberFormat="1" applyFont="1" applyFill="1"/>
    <xf numFmtId="0" fontId="54" fillId="0" borderId="0" xfId="0" applyFont="1" applyAlignment="1">
      <alignment horizontal="center" vertical="top"/>
    </xf>
    <xf numFmtId="0" fontId="54" fillId="0" borderId="0" xfId="0" applyFont="1" applyAlignment="1">
      <alignment horizontal="center" vertical="top" wrapText="1"/>
    </xf>
    <xf numFmtId="165" fontId="49" fillId="15" borderId="35" xfId="0" applyNumberFormat="1" applyFont="1" applyFill="1" applyBorder="1" applyAlignment="1">
      <alignment horizontal="center"/>
    </xf>
    <xf numFmtId="165" fontId="49" fillId="15" borderId="36" xfId="0" applyNumberFormat="1" applyFont="1" applyFill="1" applyBorder="1" applyAlignment="1">
      <alignment horizontal="center"/>
    </xf>
    <xf numFmtId="165" fontId="39" fillId="15" borderId="29" xfId="0" applyNumberFormat="1" applyFont="1" applyFill="1" applyBorder="1" applyAlignment="1">
      <alignment horizontal="center"/>
    </xf>
    <xf numFmtId="165" fontId="39" fillId="15" borderId="13" xfId="0" applyNumberFormat="1" applyFont="1" applyFill="1" applyBorder="1" applyAlignment="1">
      <alignment horizontal="center"/>
    </xf>
    <xf numFmtId="165" fontId="39" fillId="15" borderId="30" xfId="0" applyNumberFormat="1" applyFont="1" applyFill="1" applyBorder="1" applyAlignment="1">
      <alignment horizontal="center"/>
    </xf>
    <xf numFmtId="165" fontId="39" fillId="15" borderId="3" xfId="0" applyNumberFormat="1" applyFont="1" applyFill="1" applyBorder="1" applyAlignment="1">
      <alignment horizontal="center"/>
    </xf>
    <xf numFmtId="165" fontId="39" fillId="15" borderId="27" xfId="0" applyNumberFormat="1" applyFont="1" applyFill="1" applyBorder="1" applyAlignment="1">
      <alignment horizontal="center"/>
    </xf>
    <xf numFmtId="165" fontId="39" fillId="15" borderId="14" xfId="0" applyNumberFormat="1" applyFont="1" applyFill="1" applyBorder="1" applyAlignment="1">
      <alignment horizontal="center"/>
    </xf>
    <xf numFmtId="0" fontId="41" fillId="15" borderId="0" xfId="0" applyFont="1" applyFill="1" applyAlignment="1">
      <alignment horizontal="left"/>
    </xf>
    <xf numFmtId="165" fontId="39" fillId="15" borderId="24" xfId="0" applyNumberFormat="1" applyFont="1" applyFill="1" applyBorder="1" applyAlignment="1">
      <alignment horizontal="center"/>
    </xf>
    <xf numFmtId="165" fontId="39" fillId="15" borderId="25" xfId="0" applyNumberFormat="1" applyFont="1" applyFill="1" applyBorder="1" applyAlignment="1">
      <alignment horizontal="center"/>
    </xf>
    <xf numFmtId="0" fontId="39" fillId="15" borderId="0" xfId="0" applyFont="1" applyFill="1" applyAlignment="1">
      <alignment horizontal="center"/>
    </xf>
    <xf numFmtId="0" fontId="40" fillId="15" borderId="0" xfId="0" applyFont="1" applyFill="1" applyAlignment="1">
      <alignment horizontal="center" vertical="center"/>
    </xf>
    <xf numFmtId="165" fontId="41" fillId="15" borderId="16" xfId="0" applyNumberFormat="1" applyFont="1" applyFill="1" applyBorder="1" applyAlignment="1">
      <alignment horizontal="center" vertical="center" wrapText="1"/>
    </xf>
    <xf numFmtId="165" fontId="41" fillId="15" borderId="17" xfId="0" applyNumberFormat="1" applyFont="1" applyFill="1" applyBorder="1" applyAlignment="1">
      <alignment horizontal="center" vertical="center" wrapText="1"/>
    </xf>
    <xf numFmtId="165" fontId="41" fillId="15" borderId="19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51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0" formatCode="General"/>
    </dxf>
    <dxf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right" vertical="center" textRotation="0" wrapText="0" indent="0" justifyLastLine="0" shrinkToFit="0" readingOrder="0"/>
      <protection locked="1" hidden="0"/>
    </dxf>
    <dxf>
      <numFmt numFmtId="0" formatCode="General"/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right" vertical="center" textRotation="0" wrapText="0" indent="0" justifyLastLine="0" shrinkToFit="0" readingOrder="0"/>
      <protection locked="1" hidden="0"/>
    </dxf>
    <dxf>
      <numFmt numFmtId="14" formatCode="0.00%"/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  <alignment horizontal="right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left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protection locked="0" hidden="0"/>
    </dxf>
    <dxf>
      <numFmt numFmtId="19" formatCode="m/d/yyyy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5" formatCode="[$-409]mmmm\ d\,\ yyyy;@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numFmt numFmtId="35" formatCode="_(* #,##0.00_);_(* \(#,##0.00\);_(* &quot;-&quot;??_);_(@_)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top" textRotation="0" wrapText="1" indent="0" justifyLastLine="0" shrinkToFit="0" readingOrder="0"/>
    </dxf>
    <dxf>
      <numFmt numFmtId="35" formatCode="_(* #,##0.00_);_(* \(#,##0.00\);_(* &quot;-&quot;??_);_(@_)"/>
      <alignment horizontal="center" vertical="top" textRotation="0" wrapText="1" indent="0" justifyLastLine="0" shrinkToFit="0" readingOrder="0"/>
    </dxf>
    <dxf>
      <numFmt numFmtId="35" formatCode="_(* #,##0.00_);_(* \(#,##0.00\);_(* &quot;-&quot;??_);_(@_)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35" formatCode="_(* #,##0.00_);_(* \(#,##0.00\);_(* &quot;-&quot;??_);_(@_)"/>
      <alignment horizontal="center" vertical="top" textRotation="0" wrapText="1" indent="0" justifyLastLine="0" shrinkToFit="0" readingOrder="0"/>
    </dxf>
    <dxf>
      <numFmt numFmtId="35" formatCode="_(* #,##0.00_);_(* \(#,##0.00\);_(* &quot;-&quot;??_);_(@_)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1" indent="0" justifyLastLine="0" shrinkToFit="0" readingOrder="0"/>
    </dxf>
    <dxf>
      <numFmt numFmtId="164" formatCode="_(* #,##0_);_(* \(#,##0\);_(* &quot;-&quot;??_);_(@_)"/>
      <alignment horizontal="general" vertical="top" textRotation="0" wrapText="1" indent="0" justifyLastLine="0" shrinkToFit="0" readingOrder="0"/>
    </dxf>
    <dxf>
      <numFmt numFmtId="164" formatCode="_(* #,##0_);_(* \(#,##0\);_(* &quot;-&quot;??_);_(@_)"/>
      <alignment horizontal="center" vertical="top" textRotation="0" wrapText="1" indent="0" justifyLastLine="0" shrinkToFit="0" readingOrder="0"/>
    </dxf>
    <dxf>
      <numFmt numFmtId="171" formatCode="_(* #,##0.000_);_(* \(#,##0.000\);_(* &quot;-&quot;??_);_(@_)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165" formatCode="[$-409]mmmm\ d\,\ yyyy;@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1" formatCode="_(* #,##0.000_);_(* \(#,##0.0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1" formatCode="_(* #,##0.000_);_(* \(#,##0.0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1" formatCode="_(* #,##0.000_);_(* \(#,##0.0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scheme val="minor"/>
      </font>
      <fill>
        <patternFill patternType="solid">
          <fgColor theme="9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35" formatCode="_(* #,##0.00_);_(* \(#,##0.00\);_(* &quot;-&quot;??_);_(@_)"/>
      <fill>
        <patternFill patternType="solid">
          <fgColor indexed="64"/>
          <bgColor theme="5" tint="0.59999389629810485"/>
        </patternFill>
      </fill>
    </dxf>
    <dxf>
      <numFmt numFmtId="171" formatCode="_(* #,##0.000_);_(* \(#,##0.000\);_(* &quot;-&quot;??_);_(@_)"/>
    </dxf>
    <dxf>
      <numFmt numFmtId="171" formatCode="_(* #,##0.000_);_(* \(#,##0.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14" formatCode="0.00%"/>
    </dxf>
    <dxf>
      <numFmt numFmtId="164" formatCode="_(* #,##0_);_(* \(#,##0\);_(* &quot;-&quot;??_);_(@_)"/>
    </dxf>
    <dxf>
      <numFmt numFmtId="164" formatCode="_(* #,##0_);_(* \(#,##0\);_(* &quot;-&quot;??_);_(@_)"/>
      <fill>
        <patternFill patternType="solid">
          <fgColor indexed="64"/>
          <bgColor theme="7" tint="0.59999389629810485"/>
        </patternFill>
      </fill>
    </dxf>
    <dxf>
      <numFmt numFmtId="164" formatCode="_(* #,##0_);_(* \(#,##0\);_(* &quot;-&quot;??_);_(@_)"/>
      <fill>
        <patternFill patternType="solid">
          <fgColor indexed="64"/>
          <bgColor theme="7" tint="0.59999389629810485"/>
        </patternFill>
      </fill>
    </dxf>
    <dxf>
      <numFmt numFmtId="164" formatCode="_(* #,##0_);_(* \(#,##0\);_(* &quot;-&quot;??_);_(@_)"/>
      <fill>
        <patternFill patternType="solid">
          <fgColor indexed="64"/>
          <bgColor theme="7" tint="0.59999389629810485"/>
        </patternFill>
      </fill>
    </dxf>
    <dxf>
      <numFmt numFmtId="164" formatCode="_(* #,##0_);_(* \(#,##0\);_(* &quot;-&quot;??_);_(@_)"/>
      <fill>
        <patternFill patternType="solid">
          <fgColor indexed="64"/>
          <bgColor theme="8" tint="0.39997558519241921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  <color rgb="FF336699"/>
      <color rgb="FF009999"/>
      <color rgb="FF00CC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\Financial%20Data\First%20Unit\Report\2023%20-%20Year%20End\2023.12.31%20INVESTOR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y%20Drive/Financial%20Data/First%20Unit/NAV/2022%20October/2022.10.20/2022.10.20%20INVESTORS.xlsx" TargetMode="External"/><Relationship Id="rId1" Type="http://schemas.openxmlformats.org/officeDocument/2006/relationships/externalLinkPath" Target="/My%20Drive/Financial%20Data/First%20Unit/NAV/2022%20October/2022.10.20/2022.10.20%20INVESTOR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WM%20Official%20Files\EFUF\EXCEL\NAV\2021.03.04%20EFUF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My%20Laptop\D\Financial%20Data\Investors%20Database.xlsx" TargetMode="External"/><Relationship Id="rId1" Type="http://schemas.openxmlformats.org/officeDocument/2006/relationships/externalLinkPath" Target="file:///G:\Other%20computers\My%20Laptop\D\Financial%20Data\Investors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INVESTORS"/>
      <sheetName val="LS"/>
      <sheetName val="SIP"/>
      <sheetName val="TAX CERTIFICATE"/>
      <sheetName val="Dividend &amp; Tax"/>
      <sheetName val="Sheet2"/>
      <sheetName val="T. History"/>
    </sheetNames>
    <sheetDataSet>
      <sheetData sheetId="0"/>
      <sheetData sheetId="1"/>
      <sheetData sheetId="2">
        <row r="1">
          <cell r="T1">
            <v>12.438000000000001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"/>
      <sheetName val="INVESTORS"/>
      <sheetName val="LS"/>
      <sheetName val="SIP"/>
      <sheetName val="TAX CERTIFICATE"/>
      <sheetName val="T. History"/>
      <sheetName val="Dividend &amp; Tax"/>
      <sheetName val="PP-II"/>
      <sheetName val="Sheet1"/>
    </sheetNames>
    <sheetDataSet>
      <sheetData sheetId="0"/>
      <sheetData sheetId="1"/>
      <sheetData sheetId="2">
        <row r="1">
          <cell r="T1">
            <v>11.88</v>
          </cell>
        </row>
      </sheetData>
      <sheetData sheetId="3"/>
      <sheetData sheetId="4"/>
      <sheetData sheetId="5"/>
      <sheetData sheetId="6">
        <row r="2">
          <cell r="I2">
            <v>50000</v>
          </cell>
        </row>
      </sheetData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dend Payables"/>
      <sheetName val="INVESTORS"/>
      <sheetName val="AVG.C"/>
      <sheetName val="SIP-I"/>
      <sheetName val="SIP-U"/>
      <sheetName val="Sheet5"/>
      <sheetName val="Chart of Accounts"/>
      <sheetName val="LS"/>
      <sheetName val="Journals"/>
      <sheetName val="TB-C"/>
      <sheetName val="TB-P"/>
      <sheetName val="BS"/>
      <sheetName val="IS"/>
      <sheetName val="E"/>
      <sheetName val="CF"/>
      <sheetName val="Sheet2"/>
      <sheetName val="Notes"/>
      <sheetName val="Policy Notes"/>
      <sheetName val="Weekly charges &amp; Income"/>
      <sheetName val="Trading Record"/>
      <sheetName val="Summary of Tradings"/>
      <sheetName val="Portfolio"/>
      <sheetName val="Sheet4"/>
      <sheetName val="Price"/>
      <sheetName val="Stock Investment"/>
      <sheetName val="Sheet1"/>
      <sheetName val="Sheet3"/>
      <sheetName val="Trade-2021"/>
      <sheetName val="TEST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8">
          <cell r="F38">
            <v>106265191.12548652</v>
          </cell>
          <cell r="H38">
            <v>115580525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STORS Main List"/>
      <sheetName val="Sheet1"/>
      <sheetName val="Investors Database"/>
    </sheetNames>
    <sheetDataSet>
      <sheetData sheetId="0"/>
      <sheetData sheetId="1"/>
      <sheetData sheetId="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3B22CDA-5A23-4C07-9C6C-8479C5EDD027}" autoFormatId="16" applyNumberFormats="0" applyBorderFormats="0" applyFontFormats="0" applyPatternFormats="0" applyAlignmentFormats="0" applyWidthHeightFormats="0">
  <queryTableRefresh nextId="55" unboundColumnsRight="44">
    <queryTableFields count="46">
      <queryTableField id="39" name="INVESTOR NAME" tableColumnId="39"/>
      <queryTableField id="2" name="INVESTOR CODE" tableColumnId="2"/>
      <queryTableField id="3" dataBound="0" tableColumnId="3"/>
      <queryTableField id="41" dataBound="0" tableColumnId="40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36" dataBound="0" tableColumnId="36"/>
      <queryTableField id="37" dataBound="0" tableColumnId="37"/>
      <queryTableField id="48" dataBound="0" tableColumnId="34"/>
      <queryTableField id="47" dataBound="0" tableColumnId="33"/>
      <queryTableField id="46" dataBound="0" tableColumnId="6"/>
      <queryTableField id="50" dataBound="0" tableColumnId="42"/>
      <queryTableField id="49" dataBound="0" tableColumnId="35"/>
      <queryTableField id="45" dataBound="0" tableColumnId="5"/>
      <queryTableField id="38" dataBound="0" tableColumnId="38"/>
      <queryTableField id="53" dataBound="0" tableColumnId="45"/>
      <queryTableField id="54" dataBound="0" tableColumnId="46"/>
      <queryTableField id="42" dataBound="0" tableColumnId="1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43" dataBound="0" tableColumnId="41"/>
      <queryTableField id="52" dataBound="0" tableColumnId="44"/>
      <queryTableField id="51" dataBound="0" tableColumnId="43"/>
      <queryTableField id="4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7376814-1D9F-4072-87CF-01C79CDE4172}" autoFormatId="16" applyNumberFormats="0" applyBorderFormats="0" applyFontFormats="0" applyPatternFormats="0" applyAlignmentFormats="0" applyWidthHeightFormats="0">
  <queryTableRefresh nextId="19" unboundColumnsRight="17">
    <queryTableFields count="18">
      <queryTableField id="1" name="INVESTOR CODE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F7A106-BFFF-4327-8E5D-936CA0FA487D}" name="INVESTORS_LIST" displayName="INVESTORS_LIST" ref="A1:AT723" tableType="queryTable" totalsRowShown="0" headerRowDxfId="150">
  <autoFilter ref="A1:AT723" xr:uid="{16F7A106-BFFF-4327-8E5D-936CA0FA487D}">
    <filterColumn colId="26">
      <filters>
        <filter val="1,000"/>
        <filter val="1,000,000"/>
        <filter val="1,027"/>
        <filter val="1,277"/>
        <filter val="1,482"/>
        <filter val="1,557"/>
        <filter val="1,755"/>
        <filter val="10,000"/>
        <filter val="10,116"/>
        <filter val="10,910"/>
        <filter val="10,948"/>
        <filter val="102,157"/>
        <filter val="102,652"/>
        <filter val="104,997"/>
        <filter val="105,903"/>
        <filter val="107,193"/>
        <filter val="109,345"/>
        <filter val="109,481"/>
        <filter val="11,954"/>
        <filter val="120,787"/>
        <filter val="13,032"/>
        <filter val="131,079"/>
        <filter val="15,000"/>
        <filter val="15,923"/>
        <filter val="151"/>
        <filter val="155"/>
        <filter val="155,352"/>
        <filter val="16,241"/>
        <filter val="16,385"/>
        <filter val="16,422"/>
        <filter val="16,916"/>
        <filter val="176,046"/>
        <filter val="179"/>
        <filter val="19,344"/>
        <filter val="2,000"/>
        <filter val="2,000,000"/>
        <filter val="2,250,000"/>
        <filter val="2,291,458"/>
        <filter val="2,348"/>
        <filter val="2,425"/>
        <filter val="2,463"/>
        <filter val="2,637"/>
        <filter val="2,912,569"/>
        <filter val="2,936"/>
        <filter val="20,931"/>
        <filter val="205,305"/>
        <filter val="21,819"/>
        <filter val="21,897"/>
        <filter val="211,806"/>
        <filter val="214,371"/>
        <filter val="219,336"/>
        <filter val="220"/>
        <filter val="234"/>
        <filter val="24,956"/>
        <filter val="246,366"/>
        <filter val="250,000"/>
        <filter val="251,604"/>
        <filter val="26,180"/>
        <filter val="264,758"/>
        <filter val="273,703"/>
        <filter val="3,406"/>
        <filter val="3,471"/>
        <filter val="30,711"/>
        <filter val="307,957"/>
        <filter val="31,927"/>
        <filter val="326"/>
        <filter val="328,442"/>
        <filter val="346,243"/>
        <filter val="379"/>
        <filter val="41,022"/>
        <filter val="41,593"/>
        <filter val="41,920"/>
        <filter val="413,652"/>
        <filter val="42,440"/>
        <filter val="43,793"/>
        <filter val="431"/>
        <filter val="436,269"/>
        <filter val="46,809"/>
        <filter val="48,835"/>
        <filter val="48,882"/>
        <filter val="497,994"/>
        <filter val="500"/>
        <filter val="500,000"/>
        <filter val="501"/>
        <filter val="51,326"/>
        <filter val="59,625"/>
        <filter val="648"/>
        <filter val="66,821"/>
        <filter val="7,657"/>
        <filter val="7,784"/>
        <filter val="74,186"/>
        <filter val="759"/>
        <filter val="77,936"/>
        <filter val="79,095"/>
        <filter val="817,060"/>
        <filter val="9,779"/>
        <filter val="9,987"/>
      </filters>
    </filterColumn>
  </autoFilter>
  <sortState xmlns:xlrd2="http://schemas.microsoft.com/office/spreadsheetml/2017/richdata2" ref="A2:AT438">
    <sortCondition ref="B1:B438"/>
  </sortState>
  <tableColumns count="46">
    <tableColumn id="39" xr3:uid="{BFE70241-8A98-4769-B6F1-601144D42631}" uniqueName="39" name="INVESTOR NAME" queryTableFieldId="39" dataDxfId="149"/>
    <tableColumn id="2" xr3:uid="{165FB896-D907-4ACA-AAA4-D964580BB255}" uniqueName="2" name="INVESTOR CODE" queryTableFieldId="2" dataDxfId="148"/>
    <tableColumn id="3" xr3:uid="{CB5417BE-5DA6-4801-91C2-FE7B4947A3CB}" uniqueName="3" name="TITLE" queryTableFieldId="3" dataDxfId="147"/>
    <tableColumn id="40" xr3:uid="{EBFFB233-4D26-49B2-8E45-4E9BE16E536F}" uniqueName="40" name="TYPE OF INVESTOR" queryTableFieldId="41" dataDxfId="146"/>
    <tableColumn id="7" xr3:uid="{9DA9B835-7CDC-4AAA-8E74-EA30FF7785C1}" uniqueName="7" name="LS_TOTAL UNITS BUY" queryTableFieldId="7" dataDxfId="145" dataCellStyle="Comma">
      <calculatedColumnFormula>SUMIFS(LS[Unit],LS[Investor ID],INVESTORS_LIST[[#This Row],[INVESTOR CODE]],LS[B/S],"B")</calculatedColumnFormula>
    </tableColumn>
    <tableColumn id="8" xr3:uid="{BDA64021-E49A-4B94-8363-7CC54609D5E1}" uniqueName="8" name="LS_TOTAL UNITS SOLD" queryTableFieldId="8" dataDxfId="144" dataCellStyle="Comma">
      <calculatedColumnFormula>-SUMIFS(LS[Unit],LS[Investor ID],INVESTORS_LIST[[#This Row],[INVESTOR CODE]],LS[B/S],"S")</calculatedColumnFormula>
    </tableColumn>
    <tableColumn id="9" xr3:uid="{F96EDCB1-F0B2-410B-81B1-069C2CF54ED7}" uniqueName="9" name="LS_TOTAL CURRENT UNITS" queryTableFieldId="9" dataDxfId="143" dataCellStyle="Comma">
      <calculatedColumnFormula>IF(INVESTORS_LIST[[#This Row],[LS_TOTAL UNITS BUY]]=0,0,INVESTORS_LIST[[#This Row],[LS_TOTAL UNITS BUY]]-INVESTORS_LIST[[#This Row],[LS_TOTAL UNITS SOLD]])</calculatedColumnFormula>
    </tableColumn>
    <tableColumn id="10" xr3:uid="{D564FDDF-DFFB-4A4B-99DF-297AD74D72C2}" uniqueName="10" name="LS_TOTAL COST VALUE" queryTableFieldId="10" dataDxfId="142" dataCellStyle="Comma">
      <calculatedColumnFormula>IF(INVESTORS_LIST[[#This Row],[LS_TOTAL UNITS BUY]]=0,0,SUMIFS(LS[Amount],LS[Investor ID],INVESTORS_LIST[[#This Row],[INVESTOR CODE]],LS[B/S],"B"))</calculatedColumnFormula>
    </tableColumn>
    <tableColumn id="11" xr3:uid="{39857ACA-7F18-4B8F-9E4E-392BEEB0DCDB}" uniqueName="11" name="LS_TOTAL COST OF UNITS SOLD" queryTableFieldId="11" dataDxfId="141">
      <calculatedColumnFormula>IF(INVESTORS_LIST[[#This Row],[LS_TOTAL UNITS SOLD]]=0,0,SUMIFS(LS[Cost of Units Sold],LS[Investor ID],INVESTORS_LIST[[#This Row],[INVESTOR CODE]],LS[B/S],"S"))</calculatedColumnFormula>
    </tableColumn>
    <tableColumn id="12" xr3:uid="{93703F52-50F6-48F5-9ADF-41359D7A5FE9}" uniqueName="12" name="LS_TOTAL COST VALUE OF CURRENT UNITS" queryTableFieldId="12" dataDxfId="140">
      <calculatedColumnFormula>IF(INVESTORS_LIST[[#This Row],[LS_TOTAL CURRENT UNITS]]=0,0,INVESTORS_LIST[[#This Row],[LS_TOTAL CURRENT UNITS]]*INVESTORS_LIST[[#This Row],[LS_AVERAGE COST]])</calculatedColumnFormula>
    </tableColumn>
    <tableColumn id="13" xr3:uid="{0631201F-5896-461A-BE8B-4148D58C76FB}" uniqueName="13" name="LS_TOTAL REALIZED GAIN" queryTableFieldId="13" dataDxfId="139" dataCellStyle="Comma">
      <calculatedColumnFormula>IF(INVESTORS_LIST[[#This Row],[LS_TOTAL UNITS SOLD]]=0,0,SUMIFS(LS[Realized Gain],LS[Investor ID],INVESTORS_LIST[[#This Row],[INVESTOR CODE]],LS[B/S],"S"))</calculatedColumnFormula>
    </tableColumn>
    <tableColumn id="14" xr3:uid="{23A0D04C-16B7-4825-B05E-58983BDAB249}" uniqueName="14" name="SIP_TOTAL UNITS BUY" queryTableFieldId="14" dataDxfId="138" dataCellStyle="Comma">
      <calculatedColumnFormula>SUMIFS(SIP[Unit],SIP[Investor ID],INVESTORS_LIST[[#This Row],[INVESTOR CODE]],SIP[B/S],"B")</calculatedColumnFormula>
    </tableColumn>
    <tableColumn id="15" xr3:uid="{97FC3BBE-6094-4FF7-A791-933A4CDB5FF4}" uniqueName="15" name="SIP_TOTAL UNITS SOLD" queryTableFieldId="15" dataDxfId="137" dataCellStyle="Comma">
      <calculatedColumnFormula>-SUMIFS(SIP[Unit],SIP[Investor ID],INVESTORS_LIST[[#This Row],[INVESTOR CODE]],SIP[B/S],"S")</calculatedColumnFormula>
    </tableColumn>
    <tableColumn id="16" xr3:uid="{13779770-E2DB-409A-867E-B188C6DD3731}" uniqueName="16" name="SIP_TOTAL CURRENT UNITS" queryTableFieldId="16" dataDxfId="136">
      <calculatedColumnFormula>IF(INVESTORS_LIST[[#This Row],[SIP_TOTAL UNITS BUY]]=0,0,INVESTORS_LIST[[#This Row],[SIP_TOTAL UNITS BUY]]-INVESTORS_LIST[[#This Row],[SIP_TOTAL UNITS SOLD]])</calculatedColumnFormula>
    </tableColumn>
    <tableColumn id="17" xr3:uid="{C3E47D12-2453-4640-80DB-DC229FC74C71}" uniqueName="17" name="SIP_TOTAL COST VALUE" queryTableFieldId="17" dataDxfId="135" dataCellStyle="Comma">
      <calculatedColumnFormula>IF(INVESTORS_LIST[[#This Row],[SIP_TOTAL UNITS BUY]]=0,0,SUMIFS(SIP[Amount],SIP[Investor ID],INVESTORS_LIST[[#This Row],[INVESTOR CODE]],SIP[B/S],"B"))</calculatedColumnFormula>
    </tableColumn>
    <tableColumn id="18" xr3:uid="{49D54689-FA4C-4619-B30A-69E8C97DC8E7}" uniqueName="18" name="SIP_TOTAL COST OF UNITS SOLD" queryTableFieldId="18" dataDxfId="134" dataCellStyle="Comma">
      <calculatedColumnFormula>IF(INVESTORS_LIST[[#This Row],[SIP_TOTAL UNITS SOLD]]=0,0,SUMIFS(SIP[Cost of Units Sold],SIP[Investor ID],INVESTORS_LIST[[#This Row],[INVESTOR CODE]],SIP[B/S],"S"))</calculatedColumnFormula>
    </tableColumn>
    <tableColumn id="19" xr3:uid="{265FF337-8E2A-4202-9D56-9D21DF254E0C}" uniqueName="19" name="SIP_TOTAL COST VALUE OF CURRENT UNITS" queryTableFieldId="19" dataDxfId="133">
      <calculatedColumnFormula>IF(INVESTORS_LIST[[#This Row],[SIP_TOTAL CURRENT UNITS]]=0,0,INVESTORS_LIST[[#This Row],[SIP_TOTAL CURRENT UNITS]]*INVESTORS_LIST[[#This Row],[SIP_AVERAGE COST]])</calculatedColumnFormula>
    </tableColumn>
    <tableColumn id="20" xr3:uid="{08A07FE6-3166-45F9-B3BF-7037411984BA}" uniqueName="20" name="SIP_TOTAL REALIZED GAIN" queryTableFieldId="20" dataDxfId="132">
      <calculatedColumnFormula>IF(INVESTORS_LIST[[#This Row],[SIP_TOTAL UNITS SOLD]]=0,0,SUMIFS(SIP[Realized Gain],SIP[Investor ID],INVESTORS_LIST[[#This Row],[INVESTOR CODE]],SIP[B/S],"S"))</calculatedColumnFormula>
    </tableColumn>
    <tableColumn id="36" xr3:uid="{40B7AFCD-43FA-48D8-864A-9E1C03DF083B}" uniqueName="36" name="TOTAL UNITS BUY" queryTableFieldId="36" dataDxfId="131">
      <calculatedColumnFormula>INVESTORS_LIST[[#This Row],[LS_TOTAL UNITS BUY]]+INVESTORS_LIST[[#This Row],[SIP_TOTAL UNITS BUY]]</calculatedColumnFormula>
    </tableColumn>
    <tableColumn id="37" xr3:uid="{26FAFFD3-0FBF-4028-BB65-DD41418A97F5}" uniqueName="37" name="TOTAL UNITS SOLD" queryTableFieldId="37" dataDxfId="130">
      <calculatedColumnFormula>INVESTORS_LIST[[#This Row],[LS_TOTAL UNITS SOLD]]+INVESTORS_LIST[[#This Row],[SIP_TOTAL UNITS SOLD]]</calculatedColumnFormula>
    </tableColumn>
    <tableColumn id="34" xr3:uid="{E0A2FD7B-A7FA-45BB-97BF-AC516F663EBF}" uniqueName="34" name="BO OPENING BALANCE" queryTableFieldId="48" dataDxfId="129"/>
    <tableColumn id="33" xr3:uid="{F0879831-1836-4E13-A918-7AF66FD9EB3C}" uniqueName="33" name="LS- BO UNITS SELL" queryTableFieldId="47" dataDxfId="128">
      <calculatedColumnFormula>SUMIFS(LS[BO UNIT TRANSFER],LS[Investor ID],INVESTORS_LIST[[#This Row],[INVESTOR CODE]],LS[B/S],"B")</calculatedColumnFormula>
    </tableColumn>
    <tableColumn id="6" xr3:uid="{F8DC3DCA-E5FC-46F6-9DAF-D8CDDE691FA5}" uniqueName="6" name="LS- BO UNITS REPURCHASE" queryTableFieldId="46" dataDxfId="127">
      <calculatedColumnFormula>SUMIFS(LS[BO UNIT TRANSFER],LS[Investor ID],INVESTORS_LIST[[#This Row],[INVESTOR CODE]],LS[B/S],"S")</calculatedColumnFormula>
    </tableColumn>
    <tableColumn id="42" xr3:uid="{8C041E2D-7748-4B5A-8160-22F3B912AFB9}" uniqueName="42" name="SIP- BO UNITS SELL" queryTableFieldId="50" dataDxfId="126">
      <calculatedColumnFormula>SUMIFS(SIP[BO UNIT TRANSFER],SIP[Investor ID],INVESTORS_LIST[[#This Row],[INVESTOR CODE]],SIP[B/S],"S")</calculatedColumnFormula>
    </tableColumn>
    <tableColumn id="35" xr3:uid="{15D905F8-24BE-4904-B75A-FFFEC12AC435}" uniqueName="35" name="SIP- BO UNITS REPURCHASE" queryTableFieldId="49" dataDxfId="125">
      <calculatedColumnFormula>SUMIFS(SIP[BO UNIT TRANSFER],SIP[Investor ID],INVESTORS_LIST[[#This Row],[INVESTOR CODE]],SIP[B/S],"B")</calculatedColumnFormula>
    </tableColumn>
    <tableColumn id="5" xr3:uid="{579985FF-AC11-45DF-A233-2E6FA7BD4546}" uniqueName="5" name="BO UNITS HOLD" queryTableFieldId="45" dataDxfId="124">
      <calculatedColumnFormula>INVESTORS_LIST[[#This Row],[BO OPENING BALANCE]]+INVESTORS_LIST[[#This Row],[LS- BO UNITS SELL]]+INVESTORS_LIST[[#This Row],[LS- BO UNITS REPURCHASE]]+INVESTORS_LIST[[#This Row],[SIP- BO UNITS REPURCHASE]]-INVESTORS_LIST[[#This Row],[SIP- BO UNITS SELL]]</calculatedColumnFormula>
    </tableColumn>
    <tableColumn id="38" xr3:uid="{F68A5A4D-D6DC-4971-AB14-31006B939E5C}" uniqueName="38" name="TOTAL CURRENT UNITS" queryTableFieldId="38" dataDxfId="123">
      <calculatedColumnFormula>INVESTORS_LIST[[#This Row],[TOTAL UNITS BUY]]-INVESTORS_LIST[[#This Row],[TOTAL UNITS SOLD]]</calculatedColumnFormula>
    </tableColumn>
    <tableColumn id="45" xr3:uid="{C4C0785C-6DE9-41FF-9704-B3652AA025B8}" uniqueName="45" name="Column1" queryTableFieldId="53" dataDxfId="122">
      <calculatedColumnFormula>INVESTORS_LIST[[#This Row],[TOTAL CURRENT UNITS]]-INVESTORS_LIST[[#This Row],[BO UNITS HOLD]]</calculatedColumnFormula>
    </tableColumn>
    <tableColumn id="46" xr3:uid="{190CB288-DEF9-4E01-A316-B3C4A2F07209}" uniqueName="46" name="BO" queryTableFieldId="54" dataDxfId="121">
      <calculatedColumnFormula>INDEX([4]!Table_1[BO ID],MATCH(INVESTORS_LIST[[#This Row],[INVESTOR CODE]],[4]!Table_1[INVESTOR CODE],0))</calculatedColumnFormula>
    </tableColumn>
    <tableColumn id="1" xr3:uid="{C5D8D8C5-3FFC-4454-BBF6-130AEEE0C9BC}" uniqueName="1" name="TOTAL COST VALUE OF CURRENT INVESTMENT" queryTableFieldId="42" dataDxfId="120">
      <calculatedColumnFormula>INVESTORS_LIST[[#This Row],[LS_TOTAL COST VALUE OF CURRENT UNITS]]+INVESTORS_LIST[[#This Row],[SIP_TOTAL COST VALUE OF CURRENT UNITS]]</calculatedColumnFormula>
    </tableColumn>
    <tableColumn id="21" xr3:uid="{1DC0A45E-96C0-447F-971D-DEE2F0964433}" uniqueName="21" name="LS_WEIGHT" queryTableFieldId="21" dataDxfId="119">
      <calculatedColumnFormula>IF(INVESTORS_LIST[[#This Row],[TOTAL CURRENT UNITS]]=0,0,INVESTORS_LIST[[#This Row],[LS_TOTAL CURRENT UNITS]]/INVESTORS_LIST[[#This Row],[TOTAL CURRENT UNITS]])</calculatedColumnFormula>
    </tableColumn>
    <tableColumn id="22" xr3:uid="{0269BE1A-CB70-4CFE-8DF1-C172F5FD6C85}" uniqueName="22" name="SIP_WEIGHT" queryTableFieldId="22" dataDxfId="118">
      <calculatedColumnFormula>IF(INVESTORS_LIST[[#This Row],[TOTAL CURRENT UNITS]]=0,0,INVESTORS_LIST[[#This Row],[SIP_TOTAL CURRENT UNITS]]/INVESTORS_LIST[[#This Row],[TOTAL CURRENT UNITS]])</calculatedColumnFormula>
    </tableColumn>
    <tableColumn id="23" xr3:uid="{41882589-8173-4DEB-9AE5-71E9A1A02FEE}" uniqueName="23" name="LS_AVERAGE COST" queryTableFieldId="23" dataDxfId="117" dataCellStyle="Comma">
      <calculatedColumnFormula array="1">IF(INVESTORS_LIST[[#This Row],[LS_TOTAL UNITS BUY]]&gt;0,INDEX(LS[NAV at Cost (Average)],MATCH(CONCATENATE(COUNTIFS(LS[Investor ID],INVESTORS_LIST[[#This Row],[INVESTOR CODE]]),INVESTORS_LIST[[#This Row],[INVESTOR CODE]]),LS[Unique Code],0),),0)</calculatedColumnFormula>
    </tableColumn>
    <tableColumn id="24" xr3:uid="{6A821EF0-54C0-435C-9952-CDDD7DB913A0}" uniqueName="24" name="SIP_AVERAGE COST" queryTableFieldId="24" dataDxfId="116" dataCellStyle="Comma">
      <calculatedColumnFormula array="1">IF(INVESTORS_LIST[[#This Row],[SIP_TOTAL UNITS BUY]]&gt;0,INDEX(SIP[NAV at Cost (Average)],MATCH(CONCATENATE(COUNTIFS(SIP[Investor ID],INVESTORS_LIST[[#This Row],[INVESTOR CODE]]),INVESTORS_LIST[[#This Row],[INVESTOR CODE]]),SIP[Unique Code],0),),0)</calculatedColumnFormula>
    </tableColumn>
    <tableColumn id="25" xr3:uid="{82831205-3EA7-4D36-B0CA-04A09816FA5C}" uniqueName="25" name="AVERAGE COST" queryTableFieldId="25" dataDxfId="115">
      <calculatedColumnFormula>IF(INVESTORS_LIST[[#This Row],[TOTAL CURRENT UNITS]]=0,0,(INVESTORS_LIST[[#This Row],[LS_WEIGHT]]*INVESTORS_LIST[[#This Row],[LS_AVERAGE COST]])+(INVESTORS_LIST[[#This Row],[SIP_WEIGHT]]*INVESTORS_LIST[[#This Row],[SIP_AVERAGE COST]]))</calculatedColumnFormula>
    </tableColumn>
    <tableColumn id="26" xr3:uid="{7BC4D623-0BA4-4F75-BD7E-A43BF8CBB632}" uniqueName="26" name="NAV" queryTableFieldId="26" dataDxfId="114">
      <calculatedColumnFormula>NAV_MKT</calculatedColumnFormula>
    </tableColumn>
    <tableColumn id="27" xr3:uid="{0CB683AF-FAA7-48C7-B0C9-166C6E889460}" uniqueName="27" name="TOTAL MARKET VALUE" queryTableFieldId="27" dataDxfId="113">
      <calculatedColumnFormula>IF(INVESTORS_LIST[[#This Row],[TOTAL CURRENT UNITS]]=0,0,INVESTORS_LIST[[#This Row],[TOTAL CURRENT UNITS]]*INVESTORS_LIST[[#This Row],[NAV]])</calculatedColumnFormula>
    </tableColumn>
    <tableColumn id="28" xr3:uid="{699B9BC3-AA30-45D8-B39A-DF7E141139EC}" uniqueName="28" name="LS_TOTAL MARKET VALUE" queryTableFieldId="28" dataDxfId="112" dataCellStyle="Comma">
      <calculatedColumnFormula>IF(INVESTORS_LIST[[#This Row],[LS_TOTAL CURRENT UNITS]]=0,0,INVESTORS_LIST[[#This Row],[LS_TOTAL CURRENT UNITS]]*INVESTORS_LIST[[#This Row],[NAV]])</calculatedColumnFormula>
    </tableColumn>
    <tableColumn id="29" xr3:uid="{2DF85FBF-B003-4418-B004-48BB82E0811C}" uniqueName="29" name="SIP_TOTAL MARKET VALUE" queryTableFieldId="29" dataDxfId="111">
      <calculatedColumnFormula>IF(INVESTORS_LIST[[#This Row],[SIP_TOTAL CURRENT UNITS]]=0,0,INVESTORS_LIST[[#This Row],[SIP_TOTAL CURRENT UNITS]]*INVESTORS_LIST[[#This Row],[NAV]])</calculatedColumnFormula>
    </tableColumn>
    <tableColumn id="30" xr3:uid="{FEC4AEE0-D16E-43FE-856F-728900F83FA5}" uniqueName="30" name="TOTAL SELLABLE UNITS" queryTableFieldId="30" dataDxfId="110"/>
    <tableColumn id="31" xr3:uid="{FEAE2F39-E56E-437B-A9DA-23C9F43928CD}" uniqueName="31" name="MARKET VALUE OF SELLABLE UNITS" queryTableFieldId="31" dataDxfId="109">
      <calculatedColumnFormula>IF(INVESTORS_LIST[[#This Row],[TOTAL SELLABLE UNITS]]=0,0,INVESTORS_LIST[[#This Row],[TOTAL SELLABLE UNITS]]*INVESTORS_LIST[[#This Row],[NAV]])</calculatedColumnFormula>
    </tableColumn>
    <tableColumn id="32" xr3:uid="{1CCA4981-30CA-4317-9957-3F80AE0DE802}" uniqueName="32" name="TOTAL REALIZED GAIN" queryTableFieldId="32" dataDxfId="108">
      <calculatedColumnFormula>INVESTORS_LIST[[#This Row],[LS_TOTAL REALIZED GAIN]]+INVESTORS_LIST[[#This Row],[SIP_TOTAL REALIZED GAIN]]</calculatedColumnFormula>
    </tableColumn>
    <tableColumn id="41" xr3:uid="{78DC385C-BD5E-4174-861F-BA4FAD7C9A49}" uniqueName="41" name="TOTAL UNREALIZED GAIN" queryTableFieldId="43" dataDxfId="107">
      <calculatedColumnFormula>INVESTORS_LIST[[#This Row],[TOTAL MARKET VALUE]]-INVESTORS_LIST[[#This Row],[TOTAL COST VALUE OF CURRENT INVESTMENT]]</calculatedColumnFormula>
    </tableColumn>
    <tableColumn id="44" xr3:uid="{92A36B86-6939-4043-9587-5EF432B0B624}" uniqueName="44" name="TOTAL TAXES" queryTableFieldId="52" dataDxfId="106">
      <calculatedColumnFormula>SUMIFS(DivAndTax[Tax Amount],DivAndTax[Investor ID],INVESTORS_LIST[[#This Row],[INVESTOR CODE]])</calculatedColumnFormula>
    </tableColumn>
    <tableColumn id="43" xr3:uid="{0FB31E2F-613A-412F-81F2-A71C3912FA42}" uniqueName="43" name="TOTAL GROSS DIVIDEND" queryTableFieldId="51" dataDxfId="105">
      <calculatedColumnFormula>SUMIFS(DivAndTax[Gross Dividend],DivAndTax[Investor ID],INVESTORS_LIST[[#This Row],[INVESTOR CODE]])</calculatedColumnFormula>
    </tableColumn>
    <tableColumn id="4" xr3:uid="{8C54FB02-5BA3-4FD9-AFE4-22491F0B9D2F}" uniqueName="4" name="% of Unit Holding" queryTableFieldId="44" dataDxfId="104" dataCellStyle="Percent">
      <calculatedColumnFormula>IFERROR(INVESTORS_LIST[[#This Row],[TOTAL CURRENT UNITS]]/SUM(INVESTORS_LIST[TOTAL CURRENT UNITS]),0)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LS" displayName="LS" ref="B2:X773" totalsRowShown="0" headerRowDxfId="103" dataDxfId="101" headerRowBorderDxfId="102" tableBorderDxfId="100" dataCellStyle="Comma">
  <autoFilter ref="B2:X773" xr:uid="{00000000-0009-0000-0100-000004000000}"/>
  <tableColumns count="23">
    <tableColumn id="1" xr3:uid="{00000000-0010-0000-0200-000001000000}" name="Year" dataDxfId="99"/>
    <tableColumn id="2" xr3:uid="{00000000-0010-0000-0200-000002000000}" name="Month" dataDxfId="98"/>
    <tableColumn id="3" xr3:uid="{00000000-0010-0000-0200-000003000000}" name="Day" dataDxfId="97"/>
    <tableColumn id="18" xr3:uid="{00000000-0010-0000-0200-000012000000}" name="Date Value" dataDxfId="96">
      <calculatedColumnFormula>DATE(LS[[#This Row],[Year]],LS[[#This Row],[Month]],LS[[#This Row],[Day]])</calculatedColumnFormula>
    </tableColumn>
    <tableColumn id="4" xr3:uid="{00000000-0010-0000-0200-000004000000}" name="Investor" dataDxfId="95">
      <calculatedColumnFormula array="1">INDEX(INVESTORS_LIST[INVESTOR NAME],MATCH(LS[[#This Row],[Investor ID]],INVESTORS_LIST[INVESTOR CODE],0),)</calculatedColumnFormula>
    </tableColumn>
    <tableColumn id="17" xr3:uid="{00000000-0010-0000-0200-000011000000}" name="Investor ID" dataDxfId="94" dataCellStyle="Comma"/>
    <tableColumn id="5" xr3:uid="{00000000-0010-0000-0200-000005000000}" name="Frequency" dataDxfId="93">
      <calculatedColumnFormula>COUNTIF(LS[[#Headers],[Investor ID]]:LS[[#This Row],[Investor ID]],LS[[#This Row],[Investor ID]])</calculatedColumnFormula>
    </tableColumn>
    <tableColumn id="6" xr3:uid="{00000000-0010-0000-0200-000006000000}" name="Unique Code" dataDxfId="92">
      <calculatedColumnFormula>CONCATENATE(LS[[#This Row],[Frequency]],LS[[#This Row],[Investor ID]])</calculatedColumnFormula>
    </tableColumn>
    <tableColumn id="22" xr3:uid="{54CE3495-D83F-4957-B9D4-38BAB49D3BEE}" name="Column1" dataDxfId="91">
      <calculatedColumnFormula>IF(LS[[#This Row],[B/S]]="B","BUY",(IF(LS[[#This Row],[B/S]]="S","SELL"," ")))</calculatedColumnFormula>
    </tableColumn>
    <tableColumn id="7" xr3:uid="{00000000-0010-0000-0200-000007000000}" name="B/S" dataDxfId="90"/>
    <tableColumn id="8" xr3:uid="{00000000-0010-0000-0200-000008000000}" name="Amount" dataDxfId="89" dataCellStyle="Comma"/>
    <tableColumn id="20" xr3:uid="{63DCBA30-B29B-4532-A9CC-A17191BAE8F1}" name="BO Transfer" dataDxfId="88" dataCellStyle="Comma"/>
    <tableColumn id="9" xr3:uid="{00000000-0010-0000-0200-000009000000}" name="NAV (Strike Rate)" dataDxfId="87" dataCellStyle="Comma">
      <calculatedColumnFormula>LS[[#This Row],[Amount]]/LS[[#This Row],[Unit]]</calculatedColumnFormula>
    </tableColumn>
    <tableColumn id="10" xr3:uid="{00000000-0010-0000-0200-00000A000000}" name="Unit" dataDxfId="86" dataCellStyle="Comma">
      <calculatedColumnFormula>Q3/10</calculatedColumnFormula>
    </tableColumn>
    <tableColumn id="11" xr3:uid="{00000000-0010-0000-0200-00000B000000}" name="Cumulative Unit" dataDxfId="85" dataCellStyle="Comma">
      <calculatedColumnFormula>SUMIFS(LS[[#Headers],[Unit]]:LS[[#This Row],[Unit]],LS[[#Headers],[Investor ID]]:LS[[#This Row],[Investor ID]],LS[[#This Row],[Investor ID]])</calculatedColumnFormula>
    </tableColumn>
    <tableColumn id="12" xr3:uid="{00000000-0010-0000-0200-00000C000000}" name="Unit Capital" dataDxfId="84" dataCellStyle="Comma"/>
    <tableColumn id="13" xr3:uid="{00000000-0010-0000-0200-00000D000000}" name="Unit Premium Reserve" dataDxfId="83">
      <calculatedColumnFormula>LS[[#This Row],[Amount]]-LS[[#This Row],[Unit Capital]]</calculatedColumnFormula>
    </tableColumn>
    <tableColumn id="14" xr3:uid="{00000000-0010-0000-0200-00000E000000}" name="NAV at Cost (Average)" dataDxfId="82" dataCellStyle="Comma">
      <calculatedColumnFormula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calculatedColumnFormula>
    </tableColumn>
    <tableColumn id="15" xr3:uid="{00000000-0010-0000-0200-00000F000000}" name="NAV (At MKT Rate)" dataDxfId="81" dataCellStyle="Comma">
      <calculatedColumnFormula>IFERROR(NAV_MKT,0)</calculatedColumnFormula>
    </tableColumn>
    <tableColumn id="16" xr3:uid="{00000000-0010-0000-0200-000010000000}" name="Realized Gain" dataDxfId="80" dataCellStyle="Comma">
      <calculatedColumnFormula>IF(LS[[#This Row],[B/S]]="B",0,ABS(LS[[#This Row],[Unit]])*(LS[[#This Row],[NAV (Strike Rate)]]-INDEX(LS[NAV at Cost (Average)],MATCH(CONCATENATE(LS[[#This Row],[Frequency]]-1,LS[[#This Row],[Investor ID]]),LS[Unique Code],0),)))</calculatedColumnFormula>
    </tableColumn>
    <tableColumn id="19" xr3:uid="{00000000-0010-0000-0200-000013000000}" name="Cost of Units Sold" dataDxfId="79" dataCellStyle="Comma">
      <calculatedColumnFormula array="1">IF(LS[[#This Row],[B/S]]="S",ABS(LS[[#This Row],[Unit]])*(INDEX(LS[NAV at Cost (Average)],MATCH(CONCATENATE((LS[[#This Row],[Frequency]]-1),LS[[#This Row],[Investor ID]]),LS[Unique Code],0),0)),0)</calculatedColumnFormula>
    </tableColumn>
    <tableColumn id="23" xr3:uid="{565F5F69-B99E-456F-A85E-DB013AD2BA25}" name="BO UNIT TRANSFER" dataDxfId="78" dataCellStyle="Comma">
      <calculatedColumnFormula>IF(LS[[#This Row],[BO Transfer]]="YES",LS[[#This Row],[Unit]],)</calculatedColumnFormula>
    </tableColumn>
    <tableColumn id="21" xr3:uid="{24E8B3C3-C0C3-4EF5-B709-78C0A643A691}" name="BO Cumulative Units" dataDxfId="77" dataCellStyle="Comma">
      <calculatedColumnFormula>SUMIFS(LS[[#Headers],[BO UNIT TRANSFER]]:LS[[#This Row],[BO UNIT TRANSFER]],LS[[#Headers],[Investor ID]]:LS[[#This Row],[Investor ID]],LS[[#This Row],[Investor ID]])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984BEC-C251-4023-B2DC-D86FB3109E5C}" name="SIP" displayName="SIP" ref="A2:W195" totalsRowShown="0" headerRowDxfId="76" dataDxfId="75">
  <autoFilter ref="A2:W195" xr:uid="{BD984BEC-C251-4023-B2DC-D86FB3109E5C}"/>
  <tableColumns count="23">
    <tableColumn id="1" xr3:uid="{D64D6D78-A14F-42F9-BE7E-F4DFCF3F0BCE}" name="Year" dataDxfId="74"/>
    <tableColumn id="2" xr3:uid="{92B8B345-0591-44AD-A16E-06A068D77B8E}" name="Month" dataDxfId="73"/>
    <tableColumn id="3" xr3:uid="{7255A7F9-B7AE-4EF6-9375-D7AC3B145EEA}" name="Day" dataDxfId="72"/>
    <tableColumn id="4" xr3:uid="{C422BAF4-DE53-4BC5-9D2E-840BE392A476}" name="Date Value" dataDxfId="71">
      <calculatedColumnFormula>IFERROR(DATE(SIP[[#This Row],[Year]],SIP[[#This Row],[Month]],SIP[[#This Row],[Day]]),0)</calculatedColumnFormula>
    </tableColumn>
    <tableColumn id="5" xr3:uid="{CF66F3BC-8855-4AFE-972D-09F93EA9BA63}" name="Investor" dataDxfId="70">
      <calculatedColumnFormula array="1">IFERROR(INDEX(INVESTORS_LIST[INVESTOR NAME],MATCH(SIP[[#This Row],[Investor ID]],INVESTORS_LIST[INVESTOR CODE],0),)," ")</calculatedColumnFormula>
    </tableColumn>
    <tableColumn id="6" xr3:uid="{AAA09A37-2500-4D0F-B8C3-9A666A48CCD1}" name="Investor ID" dataDxfId="69"/>
    <tableColumn id="7" xr3:uid="{299FB84E-AEBC-448D-ACC5-299A8F9864D3}" name="Frequency" dataDxfId="68">
      <calculatedColumnFormula>COUNTIFS(SIP[[#Headers],[Investor ID]]:SIP[[#This Row],[Investor ID]],SIP[[#This Row],[Investor ID]])</calculatedColumnFormula>
    </tableColumn>
    <tableColumn id="8" xr3:uid="{8FB11BB7-1BE2-4686-981A-06E9621E4DF2}" name="Unique Code" dataDxfId="67">
      <calculatedColumnFormula>CONCATENATE(SIP[[#This Row],[Frequency]],SIP[[#This Row],[Investor ID]])</calculatedColumnFormula>
    </tableColumn>
    <tableColumn id="23" xr3:uid="{47EDA120-4FE5-4F57-8408-0043C1B548E4}" name="Column1" dataDxfId="66">
      <calculatedColumnFormula>IF(SIP[[#This Row],[B/S]]="B","BUY",(IF(SIP[[#This Row],[B/S]]="S","SELL"," ")))</calculatedColumnFormula>
    </tableColumn>
    <tableColumn id="9" xr3:uid="{133777FA-18DF-4D32-A7F2-EB54308F2F4D}" name="B/S" dataDxfId="65"/>
    <tableColumn id="10" xr3:uid="{E54432B2-5DC3-4E88-9DDD-32F1B76292BC}" name="Amount" dataDxfId="64" dataCellStyle="Comma"/>
    <tableColumn id="20" xr3:uid="{627B9368-1F4F-420B-A0E0-D7C407FB7928}" name="BO Transfer" dataDxfId="63" dataCellStyle="Comma"/>
    <tableColumn id="11" xr3:uid="{7C1D2070-55E5-4D41-AF3B-B6AA4E88A235}" name="NAV (Strike Rate)" dataDxfId="62" dataCellStyle="Comma">
      <calculatedColumnFormula>IFERROR(SIP[[#This Row],[Amount]]/SIP[[#This Row],[Unit]],0)</calculatedColumnFormula>
    </tableColumn>
    <tableColumn id="12" xr3:uid="{BDDC6A92-F62F-48E3-AAA5-DC67925E975C}" name="Unit" dataDxfId="61">
      <calculatedColumnFormula>SIP[[#This Row],[Unit Capital]]/10</calculatedColumnFormula>
    </tableColumn>
    <tableColumn id="13" xr3:uid="{6831925E-D9BA-4079-9B1F-F15ABA6B410F}" name="Cumulative Unit" dataDxfId="60" dataCellStyle="Comma">
      <calculatedColumnFormula>SUMIFS(SIP[[#Headers],[Unit]]:SIP[[#This Row],[Unit]],SIP[[#Headers],[Investor ID]]:SIP[[#This Row],[Investor ID]],SIP[[#This Row],[Investor ID]])</calculatedColumnFormula>
    </tableColumn>
    <tableColumn id="14" xr3:uid="{993AE247-C6F4-48DB-812C-46A94D89AAAA}" name="Unit Capital" dataDxfId="59" dataCellStyle="Comma"/>
    <tableColumn id="15" xr3:uid="{D0694AB8-9E0F-458B-BFBD-0F13AA79BCF8}" name="Unit Premium Reserve" dataDxfId="58">
      <calculatedColumnFormula>SIP[[#This Row],[Amount]]-SIP[[#This Row],[Unit Capital]]</calculatedColumnFormula>
    </tableColumn>
    <tableColumn id="16" xr3:uid="{0786A661-BAB5-48C9-874B-1126921E3C43}" name="NAV at Cost (Average)" dataDxfId="57" dataCellStyle="Comma">
      <calculatedColumnFormula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calculatedColumnFormula>
    </tableColumn>
    <tableColumn id="17" xr3:uid="{6F6D27DE-289D-4914-9398-FACA1C145758}" name="NAV (At MKT Rate)" dataDxfId="56" dataCellStyle="Comma">
      <calculatedColumnFormula>NAV_MKT</calculatedColumnFormula>
    </tableColumn>
    <tableColumn id="18" xr3:uid="{5A2004CF-A7E6-425A-9E36-F271E4083493}" name="Realized Gain" dataDxfId="55">
      <calculatedColumnFormula>IF(SIP[[#This Row],[B/S]]="B",0,ABS(SIP[[#This Row],[Unit]])*(SIP[[#This Row],[NAV (Strike Rate)]]-INDEX(SIP[NAV at Cost (Average)],MATCH(CONCATENATE(SIP[[#This Row],[Frequency]]-1,SIP[[#This Row],[Investor ID]]),SIP[Unique Code],0),)))</calculatedColumnFormula>
    </tableColumn>
    <tableColumn id="19" xr3:uid="{5346AD1E-1EAF-472C-B6AF-B20611122972}" name="Cost of Units Sold" dataDxfId="54">
      <calculatedColumnFormula array="1">IF(SIP[[#This Row],[B/S]]="S",ABS(SIP[[#This Row],[Unit]])*(INDEX(SIP[NAV at Cost (Average)],MATCH(CONCATENATE((SIP[[#This Row],[Frequency]]-1),SIP[[#This Row],[Investor ID]]),SIP[Unique Code],0),0)),0)</calculatedColumnFormula>
    </tableColumn>
    <tableColumn id="22" xr3:uid="{3D6EEF4A-B327-4FCE-956E-401E6E0FB6A0}" name="BO UNIT TRANSFER" dataDxfId="53" dataCellStyle="Comma">
      <calculatedColumnFormula>IF(SIP[[#This Row],[BO Transfer]]="YES",SIP[[#This Row],[Unit]],)</calculatedColumnFormula>
    </tableColumn>
    <tableColumn id="21" xr3:uid="{07C4DCAC-865E-45E9-9AF5-E972AB66D736}" name="BO Cumulative Units" dataDxfId="52">
      <calculatedColumnFormula>SUMIFS(SIP[[#Headers],[BO UNIT TRANSFER]]:SIP[[#This Row],[BO UNIT TRANSFER]],SIP[[#Headers],[Investor ID]]:SIP[[#This Row],[Investor ID]],SIP[[#This Row],[Investor ID]])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3839C-0C21-4207-BDF9-41F08FC619F9}" name="DivAndTax" displayName="DivAndTax" ref="A1:V273" totalsRowShown="0" headerRowDxfId="51" dataDxfId="50" dataCellStyle="Comma">
  <autoFilter ref="A1:V273" xr:uid="{00000000-0009-0000-0100-000001000000}"/>
  <tableColumns count="22">
    <tableColumn id="1" xr3:uid="{11DEAEC2-430B-4985-9B6A-9C98155B6E20}" name="Year" dataDxfId="49"/>
    <tableColumn id="2" xr3:uid="{F85E539A-2F7A-4FFD-BEF5-8B26724C19FA}" name="Month" dataDxfId="48"/>
    <tableColumn id="3" xr3:uid="{994D92E2-BDB7-45F3-8084-BF4FC2F57049}" name="Day" dataDxfId="47"/>
    <tableColumn id="4" xr3:uid="{7C4C2294-35C2-4C26-A9B2-816EF70BD76F}" name="Date Value" dataDxfId="46">
      <calculatedColumnFormula>IFERROR(DATE(A2,B2,C2)," ")</calculatedColumnFormula>
    </tableColumn>
    <tableColumn id="5" xr3:uid="{61AFCC22-5750-40E1-B1A6-A59171FA05FF}" name="Accounting Year" dataDxfId="45"/>
    <tableColumn id="12" xr3:uid="{39511919-40E7-4B77-BEA1-078D94471CE4}" name="Paid Date" dataDxfId="44"/>
    <tableColumn id="6" xr3:uid="{6158A8B0-2802-456E-9D9E-57B543C8A65C}" name="Investor ID" dataDxfId="43"/>
    <tableColumn id="7" xr3:uid="{BB0D8D75-B6C3-4472-B8C5-8175C089BA5D}" name="Investor" dataDxfId="42">
      <calculatedColumnFormula>_xlfn.XLOOKUP(DivAndTax[[#This Row],[Investor ID]],INVESTORS_LIST[INVESTOR CODE],INVESTORS_LIST[INVESTOR NAME])</calculatedColumnFormula>
    </tableColumn>
    <tableColumn id="8" xr3:uid="{188D72C0-3630-4723-8CCB-2DFD92B0744C}" name="Investor Type" dataDxfId="41">
      <calculatedColumnFormula>_xlfn.XLOOKUP(DivAndTax[[#This Row],[Investor ID]],INVESTORS_LIST[INVESTOR CODE],INVESTORS_LIST[TYPE OF INVESTOR])</calculatedColumnFormula>
    </tableColumn>
    <tableColumn id="9" xr3:uid="{C27945C8-D3A1-4108-8936-E0B7B4A2FED2}" name="Total Units" dataDxfId="40" dataCellStyle="Comma"/>
    <tableColumn id="10" xr3:uid="{C91F6D33-34D1-47CB-9E40-9A908045114F}" name="Dividend Per Unit" dataDxfId="39" dataCellStyle="Comma"/>
    <tableColumn id="27" xr3:uid="{90C62115-7C97-4689-961E-897BDB025513}" name="Gross Dividend" dataDxfId="38" dataCellStyle="Comma">
      <calculatedColumnFormula>DivAndTax[[#This Row],[Total Units]]*DivAndTax[[#This Row],[Dividend Per Unit]]</calculatedColumnFormula>
    </tableColumn>
    <tableColumn id="13" xr3:uid="{7A8B5297-00F4-4CCC-8F85-55C795538467}" name="Taxable Dividend" dataDxfId="37" dataCellStyle="Comma">
      <calculatedColumnFormula>DivAndTax[[#This Row],[Gross Dividend]]</calculatedColumnFormula>
    </tableColumn>
    <tableColumn id="14" xr3:uid="{CD8637B1-0A49-4840-B5C1-239BD965E345}" name="Tax Rate_x000a_(If Applicable)" dataDxfId="36">
      <calculatedColumnFormula>IF(DivAndTax[[#This Row],[TIN]]&lt;&gt;0,IF(DivAndTax[[#This Row],[Investor Type]]="Individual",10%,(_xlfn.XLOOKUP(DivAndTax[[#This Row],[Investor Type]],Table9[Type],Table9[Tax Rate]))),(_xlfn.XLOOKUP(DivAndTax[[#This Row],[Investor Type]],Table9[Type],Table9[Tax Rate])))</calculatedColumnFormula>
    </tableColumn>
    <tableColumn id="15" xr3:uid="{ADEB621F-678C-421B-A5DF-06CC76C913F8}" name="Tax Amount" dataDxfId="35" dataCellStyle="Comma">
      <calculatedColumnFormula>ROUND(IF((DivAndTax[[#This Row],[Taxable Dividend]]*DivAndTax[[#This Row],[Tax Rate
(If Applicable)]])&gt;0,DivAndTax[[#This Row],[Taxable Dividend]]*DivAndTax[[#This Row],[Tax Rate
(If Applicable)]],0),2)</calculatedColumnFormula>
    </tableColumn>
    <tableColumn id="16" xr3:uid="{4A371740-27F8-42E8-BF25-4D9C3D3E0A9C}" name="Net Dividend" dataDxfId="34" dataCellStyle="Comma">
      <calculatedColumnFormula>L2-O2</calculatedColumnFormula>
    </tableColumn>
    <tableColumn id="17" xr3:uid="{300FF97A-E0D1-4712-BFA3-2E629CB83388}" name="TIN" dataDxfId="33"/>
    <tableColumn id="18" xr3:uid="{D8BBF909-8572-4D51-8483-6D806197755C}" name="Dividend Option" dataDxfId="32" dataCellStyle="Comma"/>
    <tableColumn id="20" xr3:uid="{A32ABCD0-D031-4DC5-9827-B878280E1FAC}" name="MOD" dataDxfId="31" dataCellStyle="Comma"/>
    <tableColumn id="21" xr3:uid="{AB78D8D3-7CB6-4A51-8687-7524F8C888E9}" name="Div.Uniq" dataDxfId="30" dataCellStyle="Comma">
      <calculatedColumnFormula>DivAndTax[[#This Row],[Investor ID]]&amp;"-"&amp;(RIGHT(DivAndTax[[#This Row],[Accounting Year]],2))</calculatedColumnFormula>
    </tableColumn>
    <tableColumn id="22" xr3:uid="{570E6445-EFD9-4065-8DD6-97A6D5DFE7C1}" name="Div.Uniq.Option" dataDxfId="29" dataCellStyle="Comma">
      <calculatedColumnFormula>IF(DivAndTax[[#This Row],[Dividend Option]]="CIP","11",IF(DivAndTax[[#This Row],[Dividend Option]]="CASH","22"))</calculatedColumnFormula>
    </tableColumn>
    <tableColumn id="11" xr3:uid="{2EB585D3-EAEE-4724-9775-C2C91E3BD953}" name="Remarks" dataDxfId="28" dataCellStyle="Comma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2FE3B-03F9-4092-B9F5-F037BD248DB1}" name="Table9" displayName="Table9" ref="X1:Y6" totalsRowShown="0" headerRowDxfId="27" headerRowBorderDxfId="26" tableBorderDxfId="25" totalsRowBorderDxfId="24">
  <autoFilter ref="X1:Y6" xr:uid="{2BD80974-A047-42C7-A1EB-A249855EA3BA}"/>
  <tableColumns count="2">
    <tableColumn id="1" xr3:uid="{663417F7-B663-4600-85E3-7D241D80A142}" name="Type" dataDxfId="23"/>
    <tableColumn id="2" xr3:uid="{9A34E3C1-FDAF-46C2-AAD3-A1B5585F1630}" name="Tax Rate" dataDxfId="22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B66CDE-8476-4D94-A7E0-F8FD65B3AC4A}" name="TAX_CERTIFICATE" displayName="TAX_CERTIFICATE" ref="A1:R582" tableType="queryTable" totalsRowShown="0" headerRowDxfId="21">
  <autoFilter ref="A1:R582" xr:uid="{34B66CDE-8476-4D94-A7E0-F8FD65B3AC4A}"/>
  <tableColumns count="18">
    <tableColumn id="1" xr3:uid="{C3D6516F-5BB5-481F-9532-8E315BD3B3F5}" uniqueName="1" name="INVESTOR CODE" queryTableFieldId="1" dataDxfId="20"/>
    <tableColumn id="2" xr3:uid="{F073BDFE-4036-4DC5-ACE4-D6917650BEDF}" uniqueName="2" name="BEGINNING PERIOD UNITS" queryTableFieldId="2" dataDxfId="19" dataCellStyle="Comma">
      <calculatedColumnFormula>SUMIFS(LS[Unit],LS[Investor ID],TAX_CERTIFICATE[[#This Row],[INVESTOR CODE]],LS[Date Value],"&lt;"&amp;$Z$2)+SUMIFS(SIP[Unit],SIP[Investor ID],TAX_CERTIFICATE[[#This Row],[INVESTOR CODE]],SIP[Date Value],"&lt;"&amp;$Z$2)</calculatedColumnFormula>
    </tableColumn>
    <tableColumn id="3" xr3:uid="{ED8D60C0-28D8-4F3F-B138-DD0C3A8AD7C0}" uniqueName="3" name="BEGINNING PERIOD COST VALUE" queryTableFieldId="3" dataDxfId="18">
      <calculatedColumnFormula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calculatedColumnFormula>
    </tableColumn>
    <tableColumn id="4" xr3:uid="{50E4043E-AF52-4DAE-9D9D-ED94E9DD7788}" uniqueName="4" name="BEGINNING PERIOD MARKET VALUE" queryTableFieldId="4" dataDxfId="17">
      <calculatedColumnFormula>TAX_CERTIFICATE[[#This Row],[BEGINNING PERIOD UNITS]]*$AA$2</calculatedColumnFormula>
    </tableColumn>
    <tableColumn id="5" xr3:uid="{17BB0F90-A2A2-4B1D-A085-A7D11DC4CF88}" uniqueName="5" name="BEGINNING PERIOD UNREALIZED GAIN" queryTableFieldId="5" dataDxfId="16">
      <calculatedColumnFormula>TAX_CERTIFICATE[[#This Row],[BEGINNING PERIOD MARKET VALUE]]-TAX_CERTIFICATE[[#This Row],[BEGINNING PERIOD COST VALUE]]</calculatedColumnFormula>
    </tableColumn>
    <tableColumn id="6" xr3:uid="{E006BEF9-8F76-4E4E-8357-14D97C49B47D}" uniqueName="6" name="ENDING PERIOD UNITS" queryTableFieldId="6" dataDxfId="15">
      <calculatedColumnFormula>SUMIFS(LS[Unit],LS[Investor ID],TAX_CERTIFICATE[[#This Row],[INVESTOR CODE]],LS[Date Value],"&lt;="&amp;$Z$3)+SUMIFS(SIP[Unit],SIP[Investor ID],TAX_CERTIFICATE[[#This Row],[INVESTOR CODE]],SIP[Date Value],"&lt;="&amp;$Z$3)</calculatedColumnFormula>
    </tableColumn>
    <tableColumn id="7" xr3:uid="{9560E8E8-81B1-42B6-8997-680BE26D9FA5}" uniqueName="7" name="ENDING PERIOD COST VALUE" queryTableFieldId="7" dataDxfId="14">
      <calculatedColumnFormula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calculatedColumnFormula>
    </tableColumn>
    <tableColumn id="8" xr3:uid="{BBDA9408-1CE6-4C33-BD31-C81EA2D70A00}" uniqueName="8" name="ENDING PERIOD MARKET VALUE" queryTableFieldId="8" dataDxfId="13">
      <calculatedColumnFormula>TAX_CERTIFICATE[[#This Row],[ENDING PERIOD UNITS]]*$AA$3</calculatedColumnFormula>
    </tableColumn>
    <tableColumn id="9" xr3:uid="{F8129C05-5EB8-42E8-8BDA-F9B42DE7CA9A}" uniqueName="9" name="ENDING PERIOD UNREALIZED GAIN" queryTableFieldId="9" dataDxfId="12">
      <calculatedColumnFormula>TAX_CERTIFICATE[[#This Row],[ENDING PERIOD MARKET VALUE]]-TAX_CERTIFICATE[[#This Row],[ENDING PERIOD COST VALUE]]</calculatedColumnFormula>
    </tableColumn>
    <tableColumn id="10" xr3:uid="{EFC352C8-8ED2-46C5-BB01-9437A6D723CF}" uniqueName="10" name="TOTAL UNITS ADDITION DURING THE PERIOD" queryTableFieldId="10" dataDxfId="11">
      <calculatedColumnFormula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calculatedColumnFormula>
    </tableColumn>
    <tableColumn id="11" xr3:uid="{DF520070-6E54-433D-9489-ACB8C424ACC4}" uniqueName="11" name="TOTAL ADDITION AT COST DURING THE PERIOD" queryTableFieldId="11" dataDxfId="10">
      <calculatedColumnFormula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calculatedColumnFormula>
    </tableColumn>
    <tableColumn id="12" xr3:uid="{D43BE329-99C9-43BA-94D1-3B1FF6591FA9}" uniqueName="12" name="TOTAL UNITS REDEMPTION DURING THE PERIOD" queryTableFieldId="12" dataDxfId="9">
      <calculatedColumnFormula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calculatedColumnFormula>
    </tableColumn>
    <tableColumn id="13" xr3:uid="{F992E55A-934B-489F-AC3F-480D0715E099}" uniqueName="13" name="TOTAL REDEMPTION AT COST DURING THE PERIOD" queryTableFieldId="13" dataDxfId="8">
      <calculatedColumnFormula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calculatedColumnFormula>
    </tableColumn>
    <tableColumn id="14" xr3:uid="{9AFB88C5-3941-4421-A787-EB898FA793BF}" uniqueName="14" name="NET INVESTMENT DURING THE PERIOD" queryTableFieldId="14" dataDxfId="7">
      <calculatedColumnFormula>TAX_CERTIFICATE[[#This Row],[TOTAL ADDITION AT COST DURING THE PERIOD]]-TAX_CERTIFICATE[[#This Row],[TOTAL REDEMPTION AT COST DURING THE PERIOD]]</calculatedColumnFormula>
    </tableColumn>
    <tableColumn id="15" xr3:uid="{AF95E0D4-0301-4452-8B47-611179AD2B5E}" uniqueName="15" name="TOTAL REALIZED GAIN" queryTableFieldId="15" dataDxfId="6">
      <calculatedColumnFormula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calculatedColumnFormula>
    </tableColumn>
    <tableColumn id="16" xr3:uid="{B55ACC47-EDF2-433E-8E79-0E9A411D9EA7}" uniqueName="16" name="TOTAL GROSS DIVIDEND" queryTableFieldId="16" dataDxfId="5"/>
    <tableColumn id="17" xr3:uid="{80A56C73-2A6A-478D-8767-58B03106B98E}" uniqueName="17" name="TOTAL TAX" queryTableFieldId="17" dataDxfId="4"/>
    <tableColumn id="18" xr3:uid="{0BE35B17-67B5-4F90-A53C-5342DE57D3C1}" uniqueName="18" name="TOTAL NET DIVIDEND" queryTableFieldId="1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7F21-60FB-4FBC-84C1-E4C18B73E352}">
  <dimension ref="A1:C5"/>
  <sheetViews>
    <sheetView workbookViewId="0">
      <selection activeCell="H13" sqref="H13"/>
    </sheetView>
  </sheetViews>
  <sheetFormatPr defaultRowHeight="15"/>
  <cols>
    <col min="1" max="1" width="15.28515625" bestFit="1" customWidth="1"/>
    <col min="2" max="2" width="11.28515625" bestFit="1" customWidth="1"/>
    <col min="3" max="3" width="14.5703125" customWidth="1"/>
  </cols>
  <sheetData>
    <row r="1" spans="1:3">
      <c r="A1" s="33">
        <f>LS!Q1+SIP!P1</f>
        <v>208573040</v>
      </c>
      <c r="B1" s="33"/>
      <c r="C1" s="33">
        <f>LS!R1+SIP!Q1</f>
        <v>7244346.1600000011</v>
      </c>
    </row>
    <row r="2" spans="1:3">
      <c r="A2" s="33"/>
    </row>
    <row r="3" spans="1:3">
      <c r="B3" s="33"/>
    </row>
    <row r="4" spans="1:3">
      <c r="A4" s="2">
        <v>208565050</v>
      </c>
      <c r="B4" s="33">
        <f>A1-A4</f>
        <v>7990</v>
      </c>
    </row>
    <row r="5" spans="1:3">
      <c r="A5" s="2">
        <v>7242336.1600000001</v>
      </c>
      <c r="B5" s="33">
        <f>C1-A5</f>
        <v>2010.0000000009313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3AC6-A60E-4F41-AC32-301C08F63C68}">
  <sheetPr codeName="Sheet2"/>
  <dimension ref="A1:BC723"/>
  <sheetViews>
    <sheetView zoomScaleNormal="100" workbookViewId="0">
      <pane xSplit="2" ySplit="1" topLeftCell="AL351" activePane="bottomRight" state="frozen"/>
      <selection pane="topRight" activeCell="C1" sqref="C1"/>
      <selection pane="bottomLeft" activeCell="A2" sqref="A2"/>
      <selection pane="bottomRight" activeCell="AT354" sqref="AT354"/>
    </sheetView>
  </sheetViews>
  <sheetFormatPr defaultRowHeight="15"/>
  <cols>
    <col min="1" max="1" width="54" customWidth="1"/>
    <col min="2" max="2" width="15.5703125" customWidth="1"/>
    <col min="3" max="3" width="11.5703125" customWidth="1"/>
    <col min="4" max="4" width="24.140625" customWidth="1"/>
    <col min="5" max="5" width="26.42578125" hidden="1" customWidth="1"/>
    <col min="6" max="6" width="27.42578125" hidden="1" customWidth="1"/>
    <col min="7" max="7" width="18.28515625" hidden="1" customWidth="1"/>
    <col min="8" max="8" width="27.7109375" hidden="1" customWidth="1"/>
    <col min="9" max="9" width="36" hidden="1" customWidth="1"/>
    <col min="10" max="10" width="30.85546875" hidden="1" customWidth="1"/>
    <col min="11" max="11" width="30.5703125" hidden="1" customWidth="1"/>
    <col min="12" max="12" width="27.140625" hidden="1" customWidth="1"/>
    <col min="13" max="13" width="28.140625" hidden="1" customWidth="1"/>
    <col min="14" max="14" width="17.85546875" hidden="1" customWidth="1"/>
    <col min="15" max="15" width="21.7109375" hidden="1" customWidth="1"/>
    <col min="16" max="16" width="36.7109375" hidden="1" customWidth="1"/>
    <col min="17" max="17" width="31.5703125" hidden="1" customWidth="1"/>
    <col min="18" max="18" width="31.28515625" hidden="1" customWidth="1"/>
    <col min="19" max="19" width="15.42578125" hidden="1" customWidth="1"/>
    <col min="20" max="20" width="16.28515625" hidden="1" customWidth="1"/>
    <col min="21" max="21" width="20.7109375" hidden="1" customWidth="1"/>
    <col min="22" max="22" width="19.28515625" hidden="1" customWidth="1"/>
    <col min="23" max="25" width="17.42578125" hidden="1" customWidth="1"/>
    <col min="26" max="26" width="17.7109375" customWidth="1"/>
    <col min="27" max="27" width="18.7109375" customWidth="1"/>
    <col min="28" max="28" width="17.28515625" hidden="1" customWidth="1"/>
    <col min="29" max="29" width="18.7109375" hidden="1" customWidth="1"/>
    <col min="30" max="30" width="24.7109375" customWidth="1"/>
    <col min="31" max="31" width="17.42578125" bestFit="1" customWidth="1"/>
    <col min="32" max="32" width="18.140625" bestFit="1" customWidth="1"/>
    <col min="33" max="33" width="23.85546875" hidden="1" customWidth="1"/>
    <col min="34" max="34" width="24.85546875" hidden="1" customWidth="1"/>
    <col min="35" max="35" width="15.28515625" customWidth="1"/>
    <col min="36" max="36" width="13.28515625" bestFit="1" customWidth="1"/>
    <col min="37" max="37" width="27.7109375" bestFit="1" customWidth="1"/>
    <col min="38" max="38" width="28.140625" customWidth="1"/>
    <col min="39" max="39" width="25.7109375" customWidth="1"/>
    <col min="40" max="40" width="24.7109375" hidden="1" customWidth="1"/>
    <col min="41" max="41" width="23.140625" hidden="1" customWidth="1"/>
    <col min="42" max="42" width="27.28515625" bestFit="1" customWidth="1"/>
    <col min="43" max="43" width="30.28515625" bestFit="1" customWidth="1"/>
    <col min="44" max="45" width="30.28515625" customWidth="1"/>
    <col min="46" max="46" width="15.140625" bestFit="1" customWidth="1"/>
  </cols>
  <sheetData>
    <row r="1" spans="1:55" s="15" customFormat="1" ht="30">
      <c r="A1" s="303" t="s">
        <v>448</v>
      </c>
      <c r="B1" s="304" t="s">
        <v>449</v>
      </c>
      <c r="C1" s="304" t="s">
        <v>510</v>
      </c>
      <c r="D1" s="15" t="s">
        <v>535</v>
      </c>
      <c r="E1" s="15" t="s">
        <v>509</v>
      </c>
      <c r="F1" s="15" t="s">
        <v>516</v>
      </c>
      <c r="G1" s="15" t="s">
        <v>508</v>
      </c>
      <c r="H1" s="15" t="s">
        <v>511</v>
      </c>
      <c r="I1" s="15" t="s">
        <v>512</v>
      </c>
      <c r="J1" s="15" t="s">
        <v>513</v>
      </c>
      <c r="K1" s="15" t="s">
        <v>514</v>
      </c>
      <c r="L1" s="15" t="s">
        <v>515</v>
      </c>
      <c r="M1" s="15" t="s">
        <v>517</v>
      </c>
      <c r="N1" s="15" t="s">
        <v>518</v>
      </c>
      <c r="O1" s="15" t="s">
        <v>519</v>
      </c>
      <c r="P1" s="15" t="s">
        <v>520</v>
      </c>
      <c r="Q1" s="15" t="s">
        <v>521</v>
      </c>
      <c r="R1" s="15" t="s">
        <v>522</v>
      </c>
      <c r="S1" s="15" t="s">
        <v>532</v>
      </c>
      <c r="T1" s="15" t="s">
        <v>533</v>
      </c>
      <c r="U1" s="15" t="s">
        <v>961</v>
      </c>
      <c r="V1" s="15" t="s">
        <v>1060</v>
      </c>
      <c r="W1" s="15" t="s">
        <v>1062</v>
      </c>
      <c r="X1" s="15" t="s">
        <v>1061</v>
      </c>
      <c r="Y1" s="15" t="s">
        <v>1063</v>
      </c>
      <c r="Z1" s="304" t="s">
        <v>960</v>
      </c>
      <c r="AA1" s="304" t="s">
        <v>534</v>
      </c>
      <c r="AB1" s="15" t="s">
        <v>991</v>
      </c>
      <c r="AC1" s="15" t="s">
        <v>1468</v>
      </c>
      <c r="AD1" s="304" t="s">
        <v>542</v>
      </c>
      <c r="AE1" s="15" t="s">
        <v>523</v>
      </c>
      <c r="AF1" s="15" t="s">
        <v>524</v>
      </c>
      <c r="AG1" s="15" t="s">
        <v>525</v>
      </c>
      <c r="AH1" s="15" t="s">
        <v>526</v>
      </c>
      <c r="AI1" s="304" t="s">
        <v>527</v>
      </c>
      <c r="AJ1" s="304" t="s">
        <v>452</v>
      </c>
      <c r="AK1" s="304" t="s">
        <v>453</v>
      </c>
      <c r="AL1" s="15" t="s">
        <v>528</v>
      </c>
      <c r="AM1" s="15" t="s">
        <v>529</v>
      </c>
      <c r="AN1" s="15" t="s">
        <v>530</v>
      </c>
      <c r="AO1" s="15" t="s">
        <v>531</v>
      </c>
      <c r="AP1" s="304" t="s">
        <v>481</v>
      </c>
      <c r="AQ1" s="304" t="s">
        <v>543</v>
      </c>
      <c r="AR1" s="15" t="s">
        <v>1206</v>
      </c>
      <c r="AS1" s="304" t="s">
        <v>482</v>
      </c>
      <c r="AT1" s="15" t="s">
        <v>882</v>
      </c>
    </row>
    <row r="2" spans="1:55">
      <c r="A2" s="182" t="s">
        <v>1130</v>
      </c>
      <c r="B2" t="s">
        <v>1</v>
      </c>
      <c r="C2" t="s">
        <v>536</v>
      </c>
      <c r="D2" s="8" t="s">
        <v>2</v>
      </c>
      <c r="E2" s="2">
        <f>SUMIFS(LS[Unit],LS[Investor ID],INVESTORS_LIST[[#This Row],[INVESTOR CODE]],LS[B/S],"B")</f>
        <v>74187</v>
      </c>
      <c r="F2" s="2">
        <f>-SUMIFS(LS[Unit],LS[Investor ID],INVESTORS_LIST[[#This Row],[INVESTOR CODE]],LS[B/S],"S")</f>
        <v>1</v>
      </c>
      <c r="G2" s="2">
        <f>IF(INVESTORS_LIST[[#This Row],[LS_TOTAL UNITS BUY]]=0,0,INVESTORS_LIST[[#This Row],[LS_TOTAL UNITS BUY]]-INVESTORS_LIST[[#This Row],[LS_TOTAL UNITS SOLD]])</f>
        <v>74186</v>
      </c>
      <c r="H2" s="4">
        <f>IF(INVESTORS_LIST[[#This Row],[LS_TOTAL UNITS BUY]]=0,0,SUMIFS(LS[Amount],LS[Investor ID],INVESTORS_LIST[[#This Row],[INVESTOR CODE]],LS[B/S],"B"))</f>
        <v>753785.59</v>
      </c>
      <c r="I2" s="4">
        <f>IF(INVESTORS_LIST[[#This Row],[LS_TOTAL UNITS SOLD]]=0,0,SUMIFS(LS[Cost of Units Sold],LS[Investor ID],INVESTORS_LIST[[#This Row],[INVESTOR CODE]],LS[B/S],"S"))</f>
        <v>10.061725830598261</v>
      </c>
      <c r="J2" s="4">
        <f>IF(INVESTORS_LIST[[#This Row],[LS_TOTAL CURRENT UNITS]]=0,0,INVESTORS_LIST[[#This Row],[LS_TOTAL CURRENT UNITS]]*INVESTORS_LIST[[#This Row],[LS_AVERAGE COST]])</f>
        <v>753775.52827416942</v>
      </c>
      <c r="K2" s="4">
        <f>IF(INVESTORS_LIST[[#This Row],[LS_TOTAL UNITS SOLD]]=0,0,SUMIFS(LS[Realized Gain],LS[Investor ID],INVESTORS_LIST[[#This Row],[INVESTOR CODE]],LS[B/S],"S"))</f>
        <v>-6.7117258305982617</v>
      </c>
      <c r="L2" s="2">
        <f>SUMIFS(SIP[Unit],SIP[Investor ID],INVESTORS_LIST[[#This Row],[INVESTOR CODE]],SIP[B/S],"B")</f>
        <v>0</v>
      </c>
      <c r="M2" s="2">
        <f>-SUMIFS(SIP[Unit],SIP[Investor ID],INVESTORS_LIST[[#This Row],[INVESTOR CODE]],SIP[B/S],"S")</f>
        <v>0</v>
      </c>
      <c r="N2" s="33">
        <f>IF(INVESTORS_LIST[[#This Row],[SIP_TOTAL UNITS BUY]]=0,0,INVESTORS_LIST[[#This Row],[SIP_TOTAL UNITS BUY]]-INVESTORS_LIST[[#This Row],[SIP_TOTAL UNITS SOLD]])</f>
        <v>0</v>
      </c>
      <c r="O2" s="4">
        <f>IF(INVESTORS_LIST[[#This Row],[SIP_TOTAL UNITS BUY]]=0,0,SUMIFS(SIP[Amount],SIP[Investor ID],INVESTORS_LIST[[#This Row],[INVESTOR CODE]],SIP[B/S],"B"))</f>
        <v>0</v>
      </c>
      <c r="P2" s="4">
        <f>IF(INVESTORS_LIST[[#This Row],[SIP_TOTAL UNITS SOLD]]=0,0,SUMIFS(SIP[Cost of Units Sold],SIP[Investor ID],INVESTORS_LIST[[#This Row],[INVESTOR CODE]],SIP[B/S],"S"))</f>
        <v>0</v>
      </c>
      <c r="Q2" s="4">
        <f>IF(INVESTORS_LIST[[#This Row],[SIP_TOTAL CURRENT UNITS]]=0,0,INVESTORS_LIST[[#This Row],[SIP_TOTAL CURRENT UNITS]]*INVESTORS_LIST[[#This Row],[SIP_AVERAGE COST]])</f>
        <v>0</v>
      </c>
      <c r="R2" s="4">
        <f>IF(INVESTORS_LIST[[#This Row],[SIP_TOTAL UNITS SOLD]]=0,0,SUMIFS(SIP[Realized Gain],SIP[Investor ID],INVESTORS_LIST[[#This Row],[INVESTOR CODE]],SIP[B/S],"S"))</f>
        <v>0</v>
      </c>
      <c r="S2" s="33">
        <f>INVESTORS_LIST[[#This Row],[LS_TOTAL UNITS BUY]]+INVESTORS_LIST[[#This Row],[SIP_TOTAL UNITS BUY]]</f>
        <v>74187</v>
      </c>
      <c r="T2" s="33">
        <f>INVESTORS_LIST[[#This Row],[LS_TOTAL UNITS SOLD]]+INVESTORS_LIST[[#This Row],[SIP_TOTAL UNITS SOLD]]</f>
        <v>1</v>
      </c>
      <c r="U2" s="33">
        <v>0</v>
      </c>
      <c r="V2" s="33">
        <f>SUMIFS(LS[BO UNIT TRANSFER],LS[Investor ID],INVESTORS_LIST[[#This Row],[INVESTOR CODE]],LS[B/S],"B")</f>
        <v>0</v>
      </c>
      <c r="W2" s="33">
        <f>SUMIFS(LS[BO UNIT TRANSFER],LS[Investor ID],INVESTORS_LIST[[#This Row],[INVESTOR CODE]],LS[B/S],"S")</f>
        <v>0</v>
      </c>
      <c r="X2" s="33">
        <f>SUMIFS(SIP[BO UNIT TRANSFER],SIP[Investor ID],INVESTORS_LIST[[#This Row],[INVESTOR CODE]],SIP[B/S],"S")</f>
        <v>0</v>
      </c>
      <c r="Y2" s="33">
        <f>SUMIFS(SIP[BO UNIT TRANSFER],SIP[Investor ID],INVESTORS_LIST[[#This Row],[INVESTOR CODE]],SIP[B/S],"B")</f>
        <v>0</v>
      </c>
      <c r="Z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" s="119">
        <f>INVESTORS_LIST[[#This Row],[TOTAL UNITS BUY]]-INVESTORS_LIST[[#This Row],[TOTAL UNITS SOLD]]</f>
        <v>74186</v>
      </c>
      <c r="AB2" s="119">
        <f>INVESTORS_LIST[[#This Row],[TOTAL CURRENT UNITS]]-INVESTORS_LIST[[#This Row],[BO UNITS HOLD]]</f>
        <v>74186</v>
      </c>
      <c r="AC2" s="119" t="e">
        <f>INDEX([4]!Table_1[BO ID],MATCH(INVESTORS_LIST[[#This Row],[INVESTOR CODE]],[4]!Table_1[INVESTOR CODE],0))</f>
        <v>#REF!</v>
      </c>
      <c r="AD2" s="33">
        <f>INVESTORS_LIST[[#This Row],[LS_TOTAL COST VALUE OF CURRENT UNITS]]+INVESTORS_LIST[[#This Row],[SIP_TOTAL COST VALUE OF CURRENT UNITS]]</f>
        <v>753775.52827416942</v>
      </c>
      <c r="AE2" s="5">
        <f>IF(INVESTORS_LIST[[#This Row],[TOTAL CURRENT UNITS]]=0,0,INVESTORS_LIST[[#This Row],[LS_TOTAL CURRENT UNITS]]/INVESTORS_LIST[[#This Row],[TOTAL CURRENT UNITS]])</f>
        <v>1</v>
      </c>
      <c r="AF2" s="5">
        <f>IF(INVESTORS_LIST[[#This Row],[TOTAL CURRENT UNITS]]=0,0,INVESTORS_LIST[[#This Row],[SIP_TOTAL CURRENT UNITS]]/INVESTORS_LIST[[#This Row],[TOTAL CURRENT UNITS]])</f>
        <v>0</v>
      </c>
      <c r="AG2" s="4" cm="1">
        <f t="array" ref="AG2">IF(INVESTORS_LIST[[#This Row],[LS_TOTAL UNITS BUY]]&gt;0,INDEX(LS[NAV at Cost (Average)],MATCH(CONCATENATE(COUNTIFS(LS[Investor ID],INVESTORS_LIST[[#This Row],[INVESTOR CODE]]),INVESTORS_LIST[[#This Row],[INVESTOR CODE]]),LS[Unique Code],0),),0)</f>
        <v>10.160616939505694</v>
      </c>
      <c r="AH2" s="4" cm="1">
        <f t="array" ref="AH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" s="177">
        <f>IF(INVESTORS_LIST[[#This Row],[TOTAL CURRENT UNITS]]=0,0,(INVESTORS_LIST[[#This Row],[LS_WEIGHT]]*INVESTORS_LIST[[#This Row],[LS_AVERAGE COST]])+(INVESTORS_LIST[[#This Row],[SIP_WEIGHT]]*INVESTORS_LIST[[#This Row],[SIP_AVERAGE COST]]))</f>
        <v>10.160616939505694</v>
      </c>
      <c r="AJ2" s="177">
        <f t="shared" ref="AJ2:AJ65" si="0">NAV_MKT</f>
        <v>12.552</v>
      </c>
      <c r="AK2" s="117">
        <f>IF(INVESTORS_LIST[[#This Row],[TOTAL CURRENT UNITS]]=0,0,INVESTORS_LIST[[#This Row],[TOTAL CURRENT UNITS]]*INVESTORS_LIST[[#This Row],[NAV]])</f>
        <v>931182.67200000002</v>
      </c>
      <c r="AL2" s="4">
        <f>IF(INVESTORS_LIST[[#This Row],[LS_TOTAL CURRENT UNITS]]=0,0,INVESTORS_LIST[[#This Row],[LS_TOTAL CURRENT UNITS]]*INVESTORS_LIST[[#This Row],[NAV]])</f>
        <v>931182.67200000002</v>
      </c>
      <c r="AM2" s="4">
        <f>IF(INVESTORS_LIST[[#This Row],[SIP_TOTAL CURRENT UNITS]]=0,0,INVESTORS_LIST[[#This Row],[SIP_TOTAL CURRENT UNITS]]*INVESTORS_LIST[[#This Row],[NAV]])</f>
        <v>0</v>
      </c>
      <c r="AN2" s="48"/>
      <c r="AO2" s="4">
        <f>IF(INVESTORS_LIST[[#This Row],[TOTAL SELLABLE UNITS]]=0,0,INVESTORS_LIST[[#This Row],[TOTAL SELLABLE UNITS]]*INVESTORS_LIST[[#This Row],[NAV]])</f>
        <v>0</v>
      </c>
      <c r="AP2" s="6">
        <f>INVESTORS_LIST[[#This Row],[LS_TOTAL REALIZED GAIN]]+INVESTORS_LIST[[#This Row],[SIP_TOTAL REALIZED GAIN]]</f>
        <v>-6.7117258305982617</v>
      </c>
      <c r="AQ2" s="6">
        <f>INVESTORS_LIST[[#This Row],[TOTAL MARKET VALUE]]-INVESTORS_LIST[[#This Row],[TOTAL COST VALUE OF CURRENT INVESTMENT]]</f>
        <v>177407.1437258306</v>
      </c>
      <c r="AR2" s="6">
        <f>SUMIFS(DivAndTax[Tax Amount],DivAndTax[Investor ID],INVESTORS_LIST[[#This Row],[INVESTOR CODE]])</f>
        <v>11554.189999999999</v>
      </c>
      <c r="AS2" s="6">
        <f>SUMIFS(DivAndTax[Gross Dividend],DivAndTax[Investor ID],INVESTORS_LIST[[#This Row],[INVESTOR CODE]])</f>
        <v>77027.899999999994</v>
      </c>
      <c r="AT2" s="5">
        <f>IFERROR(INVESTORS_LIST[[#This Row],[TOTAL CURRENT UNITS]]/SUM(INVESTORS_LIST[TOTAL CURRENT UNITS]),0)</f>
        <v>3.5568355334898508E-3</v>
      </c>
      <c r="AX2" s="6"/>
    </row>
    <row r="3" spans="1:55">
      <c r="A3" t="s">
        <v>3</v>
      </c>
      <c r="B3" t="s">
        <v>4</v>
      </c>
      <c r="C3" t="s">
        <v>537</v>
      </c>
      <c r="D3" s="8" t="s">
        <v>5</v>
      </c>
      <c r="E3" s="2">
        <f>SUMIFS(LS[Unit],LS[Investor ID],INVESTORS_LIST[[#This Row],[INVESTOR CODE]],LS[B/S],"B")</f>
        <v>6509076</v>
      </c>
      <c r="F3" s="2">
        <f>-SUMIFS(LS[Unit],LS[Investor ID],INVESTORS_LIST[[#This Row],[INVESTOR CODE]],LS[B/S],"S")</f>
        <v>3596507</v>
      </c>
      <c r="G3" s="2">
        <f>IF(INVESTORS_LIST[[#This Row],[LS_TOTAL UNITS BUY]]=0,0,INVESTORS_LIST[[#This Row],[LS_TOTAL UNITS BUY]]-INVESTORS_LIST[[#This Row],[LS_TOTAL UNITS SOLD]])</f>
        <v>2912569</v>
      </c>
      <c r="H3" s="4">
        <f>IF(INVESTORS_LIST[[#This Row],[LS_TOTAL UNITS BUY]]=0,0,SUMIFS(LS[Amount],LS[Investor ID],INVESTORS_LIST[[#This Row],[INVESTOR CODE]],LS[B/S],"B"))</f>
        <v>65776232.950000003</v>
      </c>
      <c r="I3" s="6">
        <f>IF(INVESTORS_LIST[[#This Row],[LS_TOTAL UNITS SOLD]]=0,0,SUMIFS(LS[Cost of Units Sold],LS[Investor ID],INVESTORS_LIST[[#This Row],[INVESTOR CODE]],LS[B/S],"S"))</f>
        <v>35899826.961803146</v>
      </c>
      <c r="J3" s="6">
        <f>IF(INVESTORS_LIST[[#This Row],[LS_TOTAL CURRENT UNITS]]=0,0,INVESTORS_LIST[[#This Row],[LS_TOTAL CURRENT UNITS]]*INVESTORS_LIST[[#This Row],[LS_AVERAGE COST]])</f>
        <v>29876405.988196854</v>
      </c>
      <c r="K3" s="4">
        <f>IF(INVESTORS_LIST[[#This Row],[LS_TOTAL UNITS SOLD]]=0,0,SUMIFS(LS[Realized Gain],LS[Investor ID],INVESTORS_LIST[[#This Row],[INVESTOR CODE]],LS[B/S],"S"))</f>
        <v>150156.25819686032</v>
      </c>
      <c r="L3" s="2">
        <f>SUMIFS(SIP[Unit],SIP[Investor ID],INVESTORS_LIST[[#This Row],[INVESTOR CODE]],SIP[B/S],"B")</f>
        <v>0</v>
      </c>
      <c r="M3" s="2">
        <f>-SUMIFS(SIP[Unit],SIP[Investor ID],INVESTORS_LIST[[#This Row],[INVESTOR CODE]],SIP[B/S],"S")</f>
        <v>0</v>
      </c>
      <c r="N3" s="33">
        <f>IF(INVESTORS_LIST[[#This Row],[SIP_TOTAL UNITS BUY]]=0,0,INVESTORS_LIST[[#This Row],[SIP_TOTAL UNITS BUY]]-INVESTORS_LIST[[#This Row],[SIP_TOTAL UNITS SOLD]])</f>
        <v>0</v>
      </c>
      <c r="O3" s="4">
        <f>IF(INVESTORS_LIST[[#This Row],[SIP_TOTAL UNITS BUY]]=0,0,SUMIFS(SIP[Amount],SIP[Investor ID],INVESTORS_LIST[[#This Row],[INVESTOR CODE]],SIP[B/S],"B"))</f>
        <v>0</v>
      </c>
      <c r="P3" s="4">
        <f>IF(INVESTORS_LIST[[#This Row],[SIP_TOTAL UNITS SOLD]]=0,0,SUMIFS(SIP[Cost of Units Sold],SIP[Investor ID],INVESTORS_LIST[[#This Row],[INVESTOR CODE]],SIP[B/S],"S"))</f>
        <v>0</v>
      </c>
      <c r="Q3" s="6">
        <f>IF(INVESTORS_LIST[[#This Row],[SIP_TOTAL CURRENT UNITS]]=0,0,INVESTORS_LIST[[#This Row],[SIP_TOTAL CURRENT UNITS]]*INVESTORS_LIST[[#This Row],[SIP_AVERAGE COST]])</f>
        <v>0</v>
      </c>
      <c r="R3" s="6">
        <f>IF(INVESTORS_LIST[[#This Row],[SIP_TOTAL UNITS SOLD]]=0,0,SUMIFS(SIP[Realized Gain],SIP[Investor ID],INVESTORS_LIST[[#This Row],[INVESTOR CODE]],SIP[B/S],"S"))</f>
        <v>0</v>
      </c>
      <c r="S3" s="33">
        <f>INVESTORS_LIST[[#This Row],[LS_TOTAL UNITS BUY]]+INVESTORS_LIST[[#This Row],[SIP_TOTAL UNITS BUY]]</f>
        <v>6509076</v>
      </c>
      <c r="T3" s="33">
        <f>INVESTORS_LIST[[#This Row],[LS_TOTAL UNITS SOLD]]+INVESTORS_LIST[[#This Row],[SIP_TOTAL UNITS SOLD]]</f>
        <v>3596507</v>
      </c>
      <c r="U3" s="33">
        <v>672004</v>
      </c>
      <c r="V3" s="33">
        <f>SUMIFS(LS[BO UNIT TRANSFER],LS[Investor ID],INVESTORS_LIST[[#This Row],[INVESTOR CODE]],LS[B/S],"B")</f>
        <v>0</v>
      </c>
      <c r="W3" s="33">
        <f>SUMIFS(LS[BO UNIT TRANSFER],LS[Investor ID],INVESTORS_LIST[[#This Row],[INVESTOR CODE]],LS[B/S],"S")</f>
        <v>0</v>
      </c>
      <c r="X3" s="33">
        <f>SUMIFS(SIP[BO UNIT TRANSFER],SIP[Investor ID],INVESTORS_LIST[[#This Row],[INVESTOR CODE]],SIP[B/S],"S")</f>
        <v>0</v>
      </c>
      <c r="Y3" s="33">
        <f>SUMIFS(SIP[BO UNIT TRANSFER],SIP[Investor ID],INVESTORS_LIST[[#This Row],[INVESTOR CODE]],SIP[B/S],"B")</f>
        <v>0</v>
      </c>
      <c r="Z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672004</v>
      </c>
      <c r="AA3" s="119">
        <f>INVESTORS_LIST[[#This Row],[TOTAL UNITS BUY]]-INVESTORS_LIST[[#This Row],[TOTAL UNITS SOLD]]</f>
        <v>2912569</v>
      </c>
      <c r="AB3" s="119">
        <f>INVESTORS_LIST[[#This Row],[TOTAL CURRENT UNITS]]-INVESTORS_LIST[[#This Row],[BO UNITS HOLD]]</f>
        <v>2240565</v>
      </c>
      <c r="AC3" s="119" t="e">
        <f>INDEX([4]!Table_1[BO ID],MATCH(INVESTORS_LIST[[#This Row],[INVESTOR CODE]],[4]!Table_1[INVESTOR CODE],0))</f>
        <v>#REF!</v>
      </c>
      <c r="AD3" s="33">
        <f>INVESTORS_LIST[[#This Row],[LS_TOTAL COST VALUE OF CURRENT UNITS]]+INVESTORS_LIST[[#This Row],[SIP_TOTAL COST VALUE OF CURRENT UNITS]]</f>
        <v>29876405.988196854</v>
      </c>
      <c r="AE3" s="44">
        <f>IF(INVESTORS_LIST[[#This Row],[TOTAL CURRENT UNITS]]=0,0,INVESTORS_LIST[[#This Row],[LS_TOTAL CURRENT UNITS]]/INVESTORS_LIST[[#This Row],[TOTAL CURRENT UNITS]])</f>
        <v>1</v>
      </c>
      <c r="AF3" s="44">
        <f>IF(INVESTORS_LIST[[#This Row],[TOTAL CURRENT UNITS]]=0,0,INVESTORS_LIST[[#This Row],[SIP_TOTAL CURRENT UNITS]]/INVESTORS_LIST[[#This Row],[TOTAL CURRENT UNITS]])</f>
        <v>0</v>
      </c>
      <c r="AG3" s="4" cm="1">
        <f t="array" ref="AG3">IF(INVESTORS_LIST[[#This Row],[LS_TOTAL UNITS BUY]]&gt;0,INDEX(LS[NAV at Cost (Average)],MATCH(CONCATENATE(COUNTIFS(LS[Investor ID],INVESTORS_LIST[[#This Row],[INVESTOR CODE]]),INVESTORS_LIST[[#This Row],[INVESTOR CODE]]),LS[Unique Code],0),),0)</f>
        <v>10.257750456108285</v>
      </c>
      <c r="AH3" s="4" cm="1">
        <f t="array" ref="AH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" s="178">
        <f>IF(INVESTORS_LIST[[#This Row],[TOTAL CURRENT UNITS]]=0,0,(INVESTORS_LIST[[#This Row],[LS_WEIGHT]]*INVESTORS_LIST[[#This Row],[LS_AVERAGE COST]])+(INVESTORS_LIST[[#This Row],[SIP_WEIGHT]]*INVESTORS_LIST[[#This Row],[SIP_AVERAGE COST]]))</f>
        <v>10.257750456108285</v>
      </c>
      <c r="AJ3" s="178">
        <f t="shared" si="0"/>
        <v>12.552</v>
      </c>
      <c r="AK3" s="118">
        <f>IF(INVESTORS_LIST[[#This Row],[TOTAL CURRENT UNITS]]=0,0,INVESTORS_LIST[[#This Row],[TOTAL CURRENT UNITS]]*INVESTORS_LIST[[#This Row],[NAV]])</f>
        <v>36558566.088</v>
      </c>
      <c r="AL3" s="4">
        <f>IF(INVESTORS_LIST[[#This Row],[LS_TOTAL CURRENT UNITS]]=0,0,INVESTORS_LIST[[#This Row],[LS_TOTAL CURRENT UNITS]]*INVESTORS_LIST[[#This Row],[NAV]])</f>
        <v>36558566.088</v>
      </c>
      <c r="AM3" s="6">
        <f>IF(INVESTORS_LIST[[#This Row],[SIP_TOTAL CURRENT UNITS]]=0,0,INVESTORS_LIST[[#This Row],[SIP_TOTAL CURRENT UNITS]]*INVESTORS_LIST[[#This Row],[NAV]])</f>
        <v>0</v>
      </c>
      <c r="AO3" s="6">
        <f>IF(INVESTORS_LIST[[#This Row],[TOTAL SELLABLE UNITS]]=0,0,INVESTORS_LIST[[#This Row],[TOTAL SELLABLE UNITS]]*INVESTORS_LIST[[#This Row],[NAV]])</f>
        <v>0</v>
      </c>
      <c r="AP3" s="6">
        <f>INVESTORS_LIST[[#This Row],[LS_TOTAL REALIZED GAIN]]+INVESTORS_LIST[[#This Row],[SIP_TOTAL REALIZED GAIN]]</f>
        <v>150156.25819686032</v>
      </c>
      <c r="AQ3" s="6">
        <f>INVESTORS_LIST[[#This Row],[TOTAL MARKET VALUE]]-INVESTORS_LIST[[#This Row],[TOTAL COST VALUE OF CURRENT INVESTMENT]]</f>
        <v>6682160.099803146</v>
      </c>
      <c r="AR3" s="6">
        <f>SUMIFS(DivAndTax[Tax Amount],DivAndTax[Investor ID],INVESTORS_LIST[[#This Row],[INVESTOR CODE]])</f>
        <v>532968.47</v>
      </c>
      <c r="AS3" s="6">
        <f>SUMIFS(DivAndTax[Gross Dividend],DivAndTax[Investor ID],INVESTORS_LIST[[#This Row],[INVESTOR CODE]])</f>
        <v>2664842.35</v>
      </c>
      <c r="AT3" s="5">
        <f>IFERROR(INVESTORS_LIST[[#This Row],[TOTAL CURRENT UNITS]]/SUM(INVESTORS_LIST[TOTAL CURRENT UNITS]),0)</f>
        <v>0.13964264029521745</v>
      </c>
      <c r="AX3" s="6"/>
    </row>
    <row r="4" spans="1:55" hidden="1">
      <c r="A4" t="s">
        <v>6</v>
      </c>
      <c r="B4" t="s">
        <v>7</v>
      </c>
      <c r="C4" t="s">
        <v>538</v>
      </c>
      <c r="D4" s="8" t="s">
        <v>2</v>
      </c>
      <c r="E4" s="2">
        <f>SUMIFS(LS[Unit],LS[Investor ID],INVESTORS_LIST[[#This Row],[INVESTOR CODE]],LS[B/S],"B")</f>
        <v>0</v>
      </c>
      <c r="F4" s="2">
        <f>-SUMIFS(LS[Unit],LS[Investor ID],INVESTORS_LIST[[#This Row],[INVESTOR CODE]],LS[B/S],"S")</f>
        <v>0</v>
      </c>
      <c r="G4" s="2">
        <f>IF(INVESTORS_LIST[[#This Row],[LS_TOTAL UNITS BUY]]=0,0,INVESTORS_LIST[[#This Row],[LS_TOTAL UNITS BUY]]-INVESTORS_LIST[[#This Row],[LS_TOTAL UNITS SOLD]])</f>
        <v>0</v>
      </c>
      <c r="H4" s="4">
        <f>IF(INVESTORS_LIST[[#This Row],[LS_TOTAL UNITS BUY]]=0,0,SUMIFS(LS[Amount],LS[Investor ID],INVESTORS_LIST[[#This Row],[INVESTOR CODE]],LS[B/S],"B"))</f>
        <v>0</v>
      </c>
      <c r="I4" s="6">
        <f>IF(INVESTORS_LIST[[#This Row],[LS_TOTAL UNITS SOLD]]=0,0,SUMIFS(LS[Cost of Units Sold],LS[Investor ID],INVESTORS_LIST[[#This Row],[INVESTOR CODE]],LS[B/S],"S"))</f>
        <v>0</v>
      </c>
      <c r="J4" s="6">
        <f>IF(INVESTORS_LIST[[#This Row],[LS_TOTAL CURRENT UNITS]]=0,0,INVESTORS_LIST[[#This Row],[LS_TOTAL CURRENT UNITS]]*INVESTORS_LIST[[#This Row],[LS_AVERAGE COST]])</f>
        <v>0</v>
      </c>
      <c r="K4" s="4">
        <f>IF(INVESTORS_LIST[[#This Row],[LS_TOTAL UNITS SOLD]]=0,0,SUMIFS(LS[Realized Gain],LS[Investor ID],INVESTORS_LIST[[#This Row],[INVESTOR CODE]],LS[B/S],"S"))</f>
        <v>0</v>
      </c>
      <c r="L4" s="2">
        <f>SUMIFS(SIP[Unit],SIP[Investor ID],INVESTORS_LIST[[#This Row],[INVESTOR CODE]],SIP[B/S],"B")</f>
        <v>0</v>
      </c>
      <c r="M4" s="2">
        <f>-SUMIFS(SIP[Unit],SIP[Investor ID],INVESTORS_LIST[[#This Row],[INVESTOR CODE]],SIP[B/S],"S")</f>
        <v>0</v>
      </c>
      <c r="N4" s="33">
        <f>IF(INVESTORS_LIST[[#This Row],[SIP_TOTAL UNITS BUY]]=0,0,INVESTORS_LIST[[#This Row],[SIP_TOTAL UNITS BUY]]-INVESTORS_LIST[[#This Row],[SIP_TOTAL UNITS SOLD]])</f>
        <v>0</v>
      </c>
      <c r="O4" s="4">
        <f>IF(INVESTORS_LIST[[#This Row],[SIP_TOTAL UNITS BUY]]=0,0,SUMIFS(SIP[Amount],SIP[Investor ID],INVESTORS_LIST[[#This Row],[INVESTOR CODE]],SIP[B/S],"B"))</f>
        <v>0</v>
      </c>
      <c r="P4" s="4">
        <f>IF(INVESTORS_LIST[[#This Row],[SIP_TOTAL UNITS SOLD]]=0,0,SUMIFS(SIP[Cost of Units Sold],SIP[Investor ID],INVESTORS_LIST[[#This Row],[INVESTOR CODE]],SIP[B/S],"S"))</f>
        <v>0</v>
      </c>
      <c r="Q4" s="6">
        <f>IF(INVESTORS_LIST[[#This Row],[SIP_TOTAL CURRENT UNITS]]=0,0,INVESTORS_LIST[[#This Row],[SIP_TOTAL CURRENT UNITS]]*INVESTORS_LIST[[#This Row],[SIP_AVERAGE COST]])</f>
        <v>0</v>
      </c>
      <c r="R4" s="6">
        <f>IF(INVESTORS_LIST[[#This Row],[SIP_TOTAL UNITS SOLD]]=0,0,SUMIFS(SIP[Realized Gain],SIP[Investor ID],INVESTORS_LIST[[#This Row],[INVESTOR CODE]],SIP[B/S],"S"))</f>
        <v>0</v>
      </c>
      <c r="S4" s="33">
        <f>INVESTORS_LIST[[#This Row],[LS_TOTAL UNITS BUY]]+INVESTORS_LIST[[#This Row],[SIP_TOTAL UNITS BUY]]</f>
        <v>0</v>
      </c>
      <c r="T4" s="33">
        <f>INVESTORS_LIST[[#This Row],[LS_TOTAL UNITS SOLD]]+INVESTORS_LIST[[#This Row],[SIP_TOTAL UNITS SOLD]]</f>
        <v>0</v>
      </c>
      <c r="U4" s="33">
        <v>0</v>
      </c>
      <c r="V4" s="33">
        <f>SUMIFS(LS[BO UNIT TRANSFER],LS[Investor ID],INVESTORS_LIST[[#This Row],[INVESTOR CODE]],LS[B/S],"B")</f>
        <v>0</v>
      </c>
      <c r="W4" s="33">
        <f>SUMIFS(LS[BO UNIT TRANSFER],LS[Investor ID],INVESTORS_LIST[[#This Row],[INVESTOR CODE]],LS[B/S],"S")</f>
        <v>0</v>
      </c>
      <c r="X4" s="33">
        <f>SUMIFS(SIP[BO UNIT TRANSFER],SIP[Investor ID],INVESTORS_LIST[[#This Row],[INVESTOR CODE]],SIP[B/S],"S")</f>
        <v>0</v>
      </c>
      <c r="Y4" s="33">
        <f>SUMIFS(SIP[BO UNIT TRANSFER],SIP[Investor ID],INVESTORS_LIST[[#This Row],[INVESTOR CODE]],SIP[B/S],"B")</f>
        <v>0</v>
      </c>
      <c r="Z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" s="119">
        <f>INVESTORS_LIST[[#This Row],[TOTAL UNITS BUY]]-INVESTORS_LIST[[#This Row],[TOTAL UNITS SOLD]]</f>
        <v>0</v>
      </c>
      <c r="AB4" s="119">
        <f>INVESTORS_LIST[[#This Row],[TOTAL CURRENT UNITS]]-INVESTORS_LIST[[#This Row],[BO UNITS HOLD]]</f>
        <v>0</v>
      </c>
      <c r="AC4" s="119" t="e">
        <f>INDEX([4]!Table_1[BO ID],MATCH(INVESTORS_LIST[[#This Row],[INVESTOR CODE]],[4]!Table_1[INVESTOR CODE],0))</f>
        <v>#REF!</v>
      </c>
      <c r="AD4" s="33">
        <f>INVESTORS_LIST[[#This Row],[LS_TOTAL COST VALUE OF CURRENT UNITS]]+INVESTORS_LIST[[#This Row],[SIP_TOTAL COST VALUE OF CURRENT UNITS]]</f>
        <v>0</v>
      </c>
      <c r="AE4" s="44">
        <f>IF(INVESTORS_LIST[[#This Row],[TOTAL CURRENT UNITS]]=0,0,INVESTORS_LIST[[#This Row],[LS_TOTAL CURRENT UNITS]]/INVESTORS_LIST[[#This Row],[TOTAL CURRENT UNITS]])</f>
        <v>0</v>
      </c>
      <c r="AF4" s="44">
        <f>IF(INVESTORS_LIST[[#This Row],[TOTAL CURRENT UNITS]]=0,0,INVESTORS_LIST[[#This Row],[SIP_TOTAL CURRENT UNITS]]/INVESTORS_LIST[[#This Row],[TOTAL CURRENT UNITS]])</f>
        <v>0</v>
      </c>
      <c r="AG4" s="4" cm="1">
        <f t="array" ref="AG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" s="4" cm="1">
        <f t="array" ref="AH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" s="178">
        <f t="shared" si="0"/>
        <v>12.552</v>
      </c>
      <c r="AK4" s="118">
        <f>IF(INVESTORS_LIST[[#This Row],[TOTAL CURRENT UNITS]]=0,0,INVESTORS_LIST[[#This Row],[TOTAL CURRENT UNITS]]*INVESTORS_LIST[[#This Row],[NAV]])</f>
        <v>0</v>
      </c>
      <c r="AL4" s="4">
        <f>IF(INVESTORS_LIST[[#This Row],[LS_TOTAL CURRENT UNITS]]=0,0,INVESTORS_LIST[[#This Row],[LS_TOTAL CURRENT UNITS]]*INVESTORS_LIST[[#This Row],[NAV]])</f>
        <v>0</v>
      </c>
      <c r="AM4" s="6">
        <f>IF(INVESTORS_LIST[[#This Row],[SIP_TOTAL CURRENT UNITS]]=0,0,INVESTORS_LIST[[#This Row],[SIP_TOTAL CURRENT UNITS]]*INVESTORS_LIST[[#This Row],[NAV]])</f>
        <v>0</v>
      </c>
      <c r="AO4" s="6">
        <f>IF(INVESTORS_LIST[[#This Row],[TOTAL SELLABLE UNITS]]=0,0,INVESTORS_LIST[[#This Row],[TOTAL SELLABLE UNITS]]*INVESTORS_LIST[[#This Row],[NAV]])</f>
        <v>0</v>
      </c>
      <c r="AP4" s="6">
        <f>INVESTORS_LIST[[#This Row],[LS_TOTAL REALIZED GAIN]]+INVESTORS_LIST[[#This Row],[SIP_TOTAL REALIZED GAIN]]</f>
        <v>0</v>
      </c>
      <c r="AQ4" s="6">
        <f>INVESTORS_LIST[[#This Row],[TOTAL MARKET VALUE]]-INVESTORS_LIST[[#This Row],[TOTAL COST VALUE OF CURRENT INVESTMENT]]</f>
        <v>0</v>
      </c>
      <c r="AR4" s="6">
        <f>SUMIFS(DivAndTax[Tax Amount],DivAndTax[Investor ID],INVESTORS_LIST[[#This Row],[INVESTOR CODE]])</f>
        <v>0</v>
      </c>
      <c r="AS4" s="6">
        <f>SUMIFS(DivAndTax[Gross Dividend],DivAndTax[Investor ID],INVESTORS_LIST[[#This Row],[INVESTOR CODE]])</f>
        <v>0</v>
      </c>
      <c r="AT4" s="5">
        <f>IFERROR(INVESTORS_LIST[[#This Row],[TOTAL CURRENT UNITS]]/SUM(INVESTORS_LIST[TOTAL CURRENT UNITS]),0)</f>
        <v>0</v>
      </c>
      <c r="AX4" s="6"/>
    </row>
    <row r="5" spans="1:55" hidden="1">
      <c r="A5" t="s">
        <v>9</v>
      </c>
      <c r="B5" t="s">
        <v>10</v>
      </c>
      <c r="C5" t="s">
        <v>538</v>
      </c>
      <c r="D5" s="8" t="s">
        <v>2</v>
      </c>
      <c r="E5" s="2">
        <f>SUMIFS(LS[Unit],LS[Investor ID],INVESTORS_LIST[[#This Row],[INVESTOR CODE]],LS[B/S],"B")</f>
        <v>62130</v>
      </c>
      <c r="F5" s="2">
        <f>-SUMIFS(LS[Unit],LS[Investor ID],INVESTORS_LIST[[#This Row],[INVESTOR CODE]],LS[B/S],"S")</f>
        <v>62130</v>
      </c>
      <c r="G5" s="2">
        <f>IF(INVESTORS_LIST[[#This Row],[LS_TOTAL UNITS BUY]]=0,0,INVESTORS_LIST[[#This Row],[LS_TOTAL UNITS BUY]]-INVESTORS_LIST[[#This Row],[LS_TOTAL UNITS SOLD]])</f>
        <v>0</v>
      </c>
      <c r="H5" s="4">
        <f>IF(INVESTORS_LIST[[#This Row],[LS_TOTAL UNITS BUY]]=0,0,SUMIFS(LS[Amount],LS[Investor ID],INVESTORS_LIST[[#This Row],[INVESTOR CODE]],LS[B/S],"B"))</f>
        <v>655381.42000000004</v>
      </c>
      <c r="I5" s="6">
        <f>IF(INVESTORS_LIST[[#This Row],[LS_TOTAL UNITS SOLD]]=0,0,SUMIFS(LS[Cost of Units Sold],LS[Investor ID],INVESTORS_LIST[[#This Row],[INVESTOR CODE]],LS[B/S],"S"))</f>
        <v>655381.42000000004</v>
      </c>
      <c r="J5" s="6">
        <f>IF(INVESTORS_LIST[[#This Row],[LS_TOTAL CURRENT UNITS]]=0,0,INVESTORS_LIST[[#This Row],[LS_TOTAL CURRENT UNITS]]*INVESTORS_LIST[[#This Row],[LS_AVERAGE COST]])</f>
        <v>0</v>
      </c>
      <c r="K5" s="4">
        <f>IF(INVESTORS_LIST[[#This Row],[LS_TOTAL UNITS SOLD]]=0,0,SUMIFS(LS[Realized Gain],LS[Investor ID],INVESTORS_LIST[[#This Row],[INVESTOR CODE]],LS[B/S],"S"))</f>
        <v>81418.249999999971</v>
      </c>
      <c r="L5" s="2">
        <f>SUMIFS(SIP[Unit],SIP[Investor ID],INVESTORS_LIST[[#This Row],[INVESTOR CODE]],SIP[B/S],"B")</f>
        <v>0</v>
      </c>
      <c r="M5" s="2">
        <f>-SUMIFS(SIP[Unit],SIP[Investor ID],INVESTORS_LIST[[#This Row],[INVESTOR CODE]],SIP[B/S],"S")</f>
        <v>0</v>
      </c>
      <c r="N5" s="33">
        <f>IF(INVESTORS_LIST[[#This Row],[SIP_TOTAL UNITS BUY]]=0,0,INVESTORS_LIST[[#This Row],[SIP_TOTAL UNITS BUY]]-INVESTORS_LIST[[#This Row],[SIP_TOTAL UNITS SOLD]])</f>
        <v>0</v>
      </c>
      <c r="O5" s="4">
        <f>IF(INVESTORS_LIST[[#This Row],[SIP_TOTAL UNITS BUY]]=0,0,SUMIFS(SIP[Amount],SIP[Investor ID],INVESTORS_LIST[[#This Row],[INVESTOR CODE]],SIP[B/S],"B"))</f>
        <v>0</v>
      </c>
      <c r="P5" s="4">
        <f>IF(INVESTORS_LIST[[#This Row],[SIP_TOTAL UNITS SOLD]]=0,0,SUMIFS(SIP[Cost of Units Sold],SIP[Investor ID],INVESTORS_LIST[[#This Row],[INVESTOR CODE]],SIP[B/S],"S"))</f>
        <v>0</v>
      </c>
      <c r="Q5" s="6">
        <f>IF(INVESTORS_LIST[[#This Row],[SIP_TOTAL CURRENT UNITS]]=0,0,INVESTORS_LIST[[#This Row],[SIP_TOTAL CURRENT UNITS]]*INVESTORS_LIST[[#This Row],[SIP_AVERAGE COST]])</f>
        <v>0</v>
      </c>
      <c r="R5" s="6">
        <f>IF(INVESTORS_LIST[[#This Row],[SIP_TOTAL UNITS SOLD]]=0,0,SUMIFS(SIP[Realized Gain],SIP[Investor ID],INVESTORS_LIST[[#This Row],[INVESTOR CODE]],SIP[B/S],"S"))</f>
        <v>0</v>
      </c>
      <c r="S5" s="33">
        <f>INVESTORS_LIST[[#This Row],[LS_TOTAL UNITS BUY]]+INVESTORS_LIST[[#This Row],[SIP_TOTAL UNITS BUY]]</f>
        <v>62130</v>
      </c>
      <c r="T5" s="33">
        <f>INVESTORS_LIST[[#This Row],[LS_TOTAL UNITS SOLD]]+INVESTORS_LIST[[#This Row],[SIP_TOTAL UNITS SOLD]]</f>
        <v>62130</v>
      </c>
      <c r="U5" s="33">
        <v>0</v>
      </c>
      <c r="V5" s="33">
        <f>SUMIFS(LS[BO UNIT TRANSFER],LS[Investor ID],INVESTORS_LIST[[#This Row],[INVESTOR CODE]],LS[B/S],"B")</f>
        <v>0</v>
      </c>
      <c r="W5" s="33">
        <f>SUMIFS(LS[BO UNIT TRANSFER],LS[Investor ID],INVESTORS_LIST[[#This Row],[INVESTOR CODE]],LS[B/S],"S")</f>
        <v>0</v>
      </c>
      <c r="X5" s="33">
        <f>SUMIFS(SIP[BO UNIT TRANSFER],SIP[Investor ID],INVESTORS_LIST[[#This Row],[INVESTOR CODE]],SIP[B/S],"S")</f>
        <v>0</v>
      </c>
      <c r="Y5" s="33">
        <f>SUMIFS(SIP[BO UNIT TRANSFER],SIP[Investor ID],INVESTORS_LIST[[#This Row],[INVESTOR CODE]],SIP[B/S],"B")</f>
        <v>0</v>
      </c>
      <c r="Z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" s="119">
        <f>INVESTORS_LIST[[#This Row],[TOTAL UNITS BUY]]-INVESTORS_LIST[[#This Row],[TOTAL UNITS SOLD]]</f>
        <v>0</v>
      </c>
      <c r="AB5" s="119">
        <f>INVESTORS_LIST[[#This Row],[TOTAL CURRENT UNITS]]-INVESTORS_LIST[[#This Row],[BO UNITS HOLD]]</f>
        <v>0</v>
      </c>
      <c r="AC5" s="119" t="e">
        <f>INDEX([4]!Table_1[BO ID],MATCH(INVESTORS_LIST[[#This Row],[INVESTOR CODE]],[4]!Table_1[INVESTOR CODE],0))</f>
        <v>#REF!</v>
      </c>
      <c r="AD5" s="33">
        <f>INVESTORS_LIST[[#This Row],[LS_TOTAL COST VALUE OF CURRENT UNITS]]+INVESTORS_LIST[[#This Row],[SIP_TOTAL COST VALUE OF CURRENT UNITS]]</f>
        <v>0</v>
      </c>
      <c r="AE5" s="44">
        <f>IF(INVESTORS_LIST[[#This Row],[TOTAL CURRENT UNITS]]=0,0,INVESTORS_LIST[[#This Row],[LS_TOTAL CURRENT UNITS]]/INVESTORS_LIST[[#This Row],[TOTAL CURRENT UNITS]])</f>
        <v>0</v>
      </c>
      <c r="AF5" s="44">
        <f>IF(INVESTORS_LIST[[#This Row],[TOTAL CURRENT UNITS]]=0,0,INVESTORS_LIST[[#This Row],[SIP_TOTAL CURRENT UNITS]]/INVESTORS_LIST[[#This Row],[TOTAL CURRENT UNITS]])</f>
        <v>0</v>
      </c>
      <c r="AG5" s="4" cm="1">
        <f t="array" ref="AG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" s="4" cm="1">
        <f t="array" ref="AH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" s="178">
        <f t="shared" si="0"/>
        <v>12.552</v>
      </c>
      <c r="AK5" s="118">
        <f>IF(INVESTORS_LIST[[#This Row],[TOTAL CURRENT UNITS]]=0,0,INVESTORS_LIST[[#This Row],[TOTAL CURRENT UNITS]]*INVESTORS_LIST[[#This Row],[NAV]])</f>
        <v>0</v>
      </c>
      <c r="AL5" s="4">
        <f>IF(INVESTORS_LIST[[#This Row],[LS_TOTAL CURRENT UNITS]]=0,0,INVESTORS_LIST[[#This Row],[LS_TOTAL CURRENT UNITS]]*INVESTORS_LIST[[#This Row],[NAV]])</f>
        <v>0</v>
      </c>
      <c r="AM5" s="6">
        <f>IF(INVESTORS_LIST[[#This Row],[SIP_TOTAL CURRENT UNITS]]=0,0,INVESTORS_LIST[[#This Row],[SIP_TOTAL CURRENT UNITS]]*INVESTORS_LIST[[#This Row],[NAV]])</f>
        <v>0</v>
      </c>
      <c r="AO5" s="6">
        <f>IF(INVESTORS_LIST[[#This Row],[TOTAL SELLABLE UNITS]]=0,0,INVESTORS_LIST[[#This Row],[TOTAL SELLABLE UNITS]]*INVESTORS_LIST[[#This Row],[NAV]])</f>
        <v>0</v>
      </c>
      <c r="AP5" s="6">
        <f>INVESTORS_LIST[[#This Row],[LS_TOTAL REALIZED GAIN]]+INVESTORS_LIST[[#This Row],[SIP_TOTAL REALIZED GAIN]]</f>
        <v>81418.249999999971</v>
      </c>
      <c r="AQ5" s="6">
        <f>INVESTORS_LIST[[#This Row],[TOTAL MARKET VALUE]]-INVESTORS_LIST[[#This Row],[TOTAL COST VALUE OF CURRENT INVESTMENT]]</f>
        <v>0</v>
      </c>
      <c r="AR5" s="6">
        <f>SUMIFS(DivAndTax[Tax Amount],DivAndTax[Investor ID],INVESTORS_LIST[[#This Row],[INVESTOR CODE]])</f>
        <v>4479.08</v>
      </c>
      <c r="AS5" s="6">
        <f>SUMIFS(DivAndTax[Gross Dividend],DivAndTax[Investor ID],INVESTORS_LIST[[#This Row],[INVESTOR CODE]])</f>
        <v>29860.5</v>
      </c>
      <c r="AT5" s="5">
        <f>IFERROR(INVESTORS_LIST[[#This Row],[TOTAL CURRENT UNITS]]/SUM(INVESTORS_LIST[TOTAL CURRENT UNITS]),0)</f>
        <v>0</v>
      </c>
      <c r="AX5" s="6"/>
    </row>
    <row r="6" spans="1:55" hidden="1">
      <c r="A6" t="s">
        <v>718</v>
      </c>
      <c r="B6" t="s">
        <v>12</v>
      </c>
      <c r="C6" t="s">
        <v>536</v>
      </c>
      <c r="D6" s="8" t="s">
        <v>2</v>
      </c>
      <c r="E6" s="2">
        <f>SUMIFS(LS[Unit],LS[Investor ID],INVESTORS_LIST[[#This Row],[INVESTOR CODE]],LS[B/S],"B")</f>
        <v>0</v>
      </c>
      <c r="F6" s="2">
        <f>-SUMIFS(LS[Unit],LS[Investor ID],INVESTORS_LIST[[#This Row],[INVESTOR CODE]],LS[B/S],"S")</f>
        <v>0</v>
      </c>
      <c r="G6" s="2">
        <f>IF(INVESTORS_LIST[[#This Row],[LS_TOTAL UNITS BUY]]=0,0,INVESTORS_LIST[[#This Row],[LS_TOTAL UNITS BUY]]-INVESTORS_LIST[[#This Row],[LS_TOTAL UNITS SOLD]])</f>
        <v>0</v>
      </c>
      <c r="H6" s="4">
        <f>IF(INVESTORS_LIST[[#This Row],[LS_TOTAL UNITS BUY]]=0,0,SUMIFS(LS[Amount],LS[Investor ID],INVESTORS_LIST[[#This Row],[INVESTOR CODE]],LS[B/S],"B"))</f>
        <v>0</v>
      </c>
      <c r="I6" s="6">
        <f>IF(INVESTORS_LIST[[#This Row],[LS_TOTAL UNITS SOLD]]=0,0,SUMIFS(LS[Cost of Units Sold],LS[Investor ID],INVESTORS_LIST[[#This Row],[INVESTOR CODE]],LS[B/S],"S"))</f>
        <v>0</v>
      </c>
      <c r="J6" s="6">
        <f>IF(INVESTORS_LIST[[#This Row],[LS_TOTAL CURRENT UNITS]]=0,0,INVESTORS_LIST[[#This Row],[LS_TOTAL CURRENT UNITS]]*INVESTORS_LIST[[#This Row],[LS_AVERAGE COST]])</f>
        <v>0</v>
      </c>
      <c r="K6" s="4">
        <f>IF(INVESTORS_LIST[[#This Row],[LS_TOTAL UNITS SOLD]]=0,0,SUMIFS(LS[Realized Gain],LS[Investor ID],INVESTORS_LIST[[#This Row],[INVESTOR CODE]],LS[B/S],"S"))</f>
        <v>0</v>
      </c>
      <c r="L6" s="2">
        <f>SUMIFS(SIP[Unit],SIP[Investor ID],INVESTORS_LIST[[#This Row],[INVESTOR CODE]],SIP[B/S],"B")</f>
        <v>0</v>
      </c>
      <c r="M6" s="2">
        <f>-SUMIFS(SIP[Unit],SIP[Investor ID],INVESTORS_LIST[[#This Row],[INVESTOR CODE]],SIP[B/S],"S")</f>
        <v>0</v>
      </c>
      <c r="N6" s="33">
        <f>IF(INVESTORS_LIST[[#This Row],[SIP_TOTAL UNITS BUY]]=0,0,INVESTORS_LIST[[#This Row],[SIP_TOTAL UNITS BUY]]-INVESTORS_LIST[[#This Row],[SIP_TOTAL UNITS SOLD]])</f>
        <v>0</v>
      </c>
      <c r="O6" s="4">
        <f>IF(INVESTORS_LIST[[#This Row],[SIP_TOTAL UNITS BUY]]=0,0,SUMIFS(SIP[Amount],SIP[Investor ID],INVESTORS_LIST[[#This Row],[INVESTOR CODE]],SIP[B/S],"B"))</f>
        <v>0</v>
      </c>
      <c r="P6" s="4">
        <f>IF(INVESTORS_LIST[[#This Row],[SIP_TOTAL UNITS SOLD]]=0,0,SUMIFS(SIP[Cost of Units Sold],SIP[Investor ID],INVESTORS_LIST[[#This Row],[INVESTOR CODE]],SIP[B/S],"S"))</f>
        <v>0</v>
      </c>
      <c r="Q6" s="6">
        <f>IF(INVESTORS_LIST[[#This Row],[SIP_TOTAL CURRENT UNITS]]=0,0,INVESTORS_LIST[[#This Row],[SIP_TOTAL CURRENT UNITS]]*INVESTORS_LIST[[#This Row],[SIP_AVERAGE COST]])</f>
        <v>0</v>
      </c>
      <c r="R6" s="6">
        <f>IF(INVESTORS_LIST[[#This Row],[SIP_TOTAL UNITS SOLD]]=0,0,SUMIFS(SIP[Realized Gain],SIP[Investor ID],INVESTORS_LIST[[#This Row],[INVESTOR CODE]],SIP[B/S],"S"))</f>
        <v>0</v>
      </c>
      <c r="S6" s="33">
        <f>INVESTORS_LIST[[#This Row],[LS_TOTAL UNITS BUY]]+INVESTORS_LIST[[#This Row],[SIP_TOTAL UNITS BUY]]</f>
        <v>0</v>
      </c>
      <c r="T6" s="33">
        <f>INVESTORS_LIST[[#This Row],[LS_TOTAL UNITS SOLD]]+INVESTORS_LIST[[#This Row],[SIP_TOTAL UNITS SOLD]]</f>
        <v>0</v>
      </c>
      <c r="U6" s="33">
        <v>0</v>
      </c>
      <c r="V6" s="33">
        <f>SUMIFS(LS[BO UNIT TRANSFER],LS[Investor ID],INVESTORS_LIST[[#This Row],[INVESTOR CODE]],LS[B/S],"B")</f>
        <v>0</v>
      </c>
      <c r="W6" s="33">
        <f>SUMIFS(LS[BO UNIT TRANSFER],LS[Investor ID],INVESTORS_LIST[[#This Row],[INVESTOR CODE]],LS[B/S],"S")</f>
        <v>0</v>
      </c>
      <c r="X6" s="33">
        <f>SUMIFS(SIP[BO UNIT TRANSFER],SIP[Investor ID],INVESTORS_LIST[[#This Row],[INVESTOR CODE]],SIP[B/S],"S")</f>
        <v>0</v>
      </c>
      <c r="Y6" s="33">
        <f>SUMIFS(SIP[BO UNIT TRANSFER],SIP[Investor ID],INVESTORS_LIST[[#This Row],[INVESTOR CODE]],SIP[B/S],"B")</f>
        <v>0</v>
      </c>
      <c r="Z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" s="119">
        <f>INVESTORS_LIST[[#This Row],[TOTAL UNITS BUY]]-INVESTORS_LIST[[#This Row],[TOTAL UNITS SOLD]]</f>
        <v>0</v>
      </c>
      <c r="AB6" s="119">
        <f>INVESTORS_LIST[[#This Row],[TOTAL CURRENT UNITS]]-INVESTORS_LIST[[#This Row],[BO UNITS HOLD]]</f>
        <v>0</v>
      </c>
      <c r="AC6" s="119" t="e">
        <f>INDEX([4]!Table_1[BO ID],MATCH(INVESTORS_LIST[[#This Row],[INVESTOR CODE]],[4]!Table_1[INVESTOR CODE],0))</f>
        <v>#REF!</v>
      </c>
      <c r="AD6" s="33">
        <f>INVESTORS_LIST[[#This Row],[LS_TOTAL COST VALUE OF CURRENT UNITS]]+INVESTORS_LIST[[#This Row],[SIP_TOTAL COST VALUE OF CURRENT UNITS]]</f>
        <v>0</v>
      </c>
      <c r="AE6" s="44">
        <f>IF(INVESTORS_LIST[[#This Row],[TOTAL CURRENT UNITS]]=0,0,INVESTORS_LIST[[#This Row],[LS_TOTAL CURRENT UNITS]]/INVESTORS_LIST[[#This Row],[TOTAL CURRENT UNITS]])</f>
        <v>0</v>
      </c>
      <c r="AF6" s="44">
        <f>IF(INVESTORS_LIST[[#This Row],[TOTAL CURRENT UNITS]]=0,0,INVESTORS_LIST[[#This Row],[SIP_TOTAL CURRENT UNITS]]/INVESTORS_LIST[[#This Row],[TOTAL CURRENT UNITS]])</f>
        <v>0</v>
      </c>
      <c r="AG6" s="4" cm="1">
        <f t="array" ref="AG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" s="4" cm="1">
        <f t="array" ref="AH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" s="178">
        <f t="shared" si="0"/>
        <v>12.552</v>
      </c>
      <c r="AK6" s="118">
        <f>IF(INVESTORS_LIST[[#This Row],[TOTAL CURRENT UNITS]]=0,0,INVESTORS_LIST[[#This Row],[TOTAL CURRENT UNITS]]*INVESTORS_LIST[[#This Row],[NAV]])</f>
        <v>0</v>
      </c>
      <c r="AL6" s="4">
        <f>IF(INVESTORS_LIST[[#This Row],[LS_TOTAL CURRENT UNITS]]=0,0,INVESTORS_LIST[[#This Row],[LS_TOTAL CURRENT UNITS]]*INVESTORS_LIST[[#This Row],[NAV]])</f>
        <v>0</v>
      </c>
      <c r="AM6" s="6">
        <f>IF(INVESTORS_LIST[[#This Row],[SIP_TOTAL CURRENT UNITS]]=0,0,INVESTORS_LIST[[#This Row],[SIP_TOTAL CURRENT UNITS]]*INVESTORS_LIST[[#This Row],[NAV]])</f>
        <v>0</v>
      </c>
      <c r="AO6" s="6">
        <f>IF(INVESTORS_LIST[[#This Row],[TOTAL SELLABLE UNITS]]=0,0,INVESTORS_LIST[[#This Row],[TOTAL SELLABLE UNITS]]*INVESTORS_LIST[[#This Row],[NAV]])</f>
        <v>0</v>
      </c>
      <c r="AP6" s="6">
        <f>INVESTORS_LIST[[#This Row],[LS_TOTAL REALIZED GAIN]]+INVESTORS_LIST[[#This Row],[SIP_TOTAL REALIZED GAIN]]</f>
        <v>0</v>
      </c>
      <c r="AQ6" s="6">
        <f>INVESTORS_LIST[[#This Row],[TOTAL MARKET VALUE]]-INVESTORS_LIST[[#This Row],[TOTAL COST VALUE OF CURRENT INVESTMENT]]</f>
        <v>0</v>
      </c>
      <c r="AR6" s="6">
        <f>SUMIFS(DivAndTax[Tax Amount],DivAndTax[Investor ID],INVESTORS_LIST[[#This Row],[INVESTOR CODE]])</f>
        <v>0</v>
      </c>
      <c r="AS6" s="6">
        <f>SUMIFS(DivAndTax[Gross Dividend],DivAndTax[Investor ID],INVESTORS_LIST[[#This Row],[INVESTOR CODE]])</f>
        <v>0</v>
      </c>
      <c r="AT6" s="5">
        <f>IFERROR(INVESTORS_LIST[[#This Row],[TOTAL CURRENT UNITS]]/SUM(INVESTORS_LIST[TOTAL CURRENT UNITS]),0)</f>
        <v>0</v>
      </c>
      <c r="AX6" s="6"/>
    </row>
    <row r="7" spans="1:55" hidden="1">
      <c r="A7" t="s">
        <v>719</v>
      </c>
      <c r="B7" t="s">
        <v>14</v>
      </c>
      <c r="C7" t="s">
        <v>536</v>
      </c>
      <c r="D7" s="8" t="s">
        <v>2</v>
      </c>
      <c r="E7" s="2">
        <f>SUMIFS(LS[Unit],LS[Investor ID],INVESTORS_LIST[[#This Row],[INVESTOR CODE]],LS[B/S],"B")</f>
        <v>20000</v>
      </c>
      <c r="F7" s="2">
        <f>-SUMIFS(LS[Unit],LS[Investor ID],INVESTORS_LIST[[#This Row],[INVESTOR CODE]],LS[B/S],"S")</f>
        <v>20000</v>
      </c>
      <c r="G7" s="2">
        <f>IF(INVESTORS_LIST[[#This Row],[LS_TOTAL UNITS BUY]]=0,0,INVESTORS_LIST[[#This Row],[LS_TOTAL UNITS BUY]]-INVESTORS_LIST[[#This Row],[LS_TOTAL UNITS SOLD]])</f>
        <v>0</v>
      </c>
      <c r="H7" s="4">
        <f>IF(INVESTORS_LIST[[#This Row],[LS_TOTAL UNITS BUY]]=0,0,SUMIFS(LS[Amount],LS[Investor ID],INVESTORS_LIST[[#This Row],[INVESTOR CODE]],LS[B/S],"B"))</f>
        <v>200000</v>
      </c>
      <c r="I7" s="6">
        <f>IF(INVESTORS_LIST[[#This Row],[LS_TOTAL UNITS SOLD]]=0,0,SUMIFS(LS[Cost of Units Sold],LS[Investor ID],INVESTORS_LIST[[#This Row],[INVESTOR CODE]],LS[B/S],"S"))</f>
        <v>200000</v>
      </c>
      <c r="J7" s="6">
        <f>IF(INVESTORS_LIST[[#This Row],[LS_TOTAL CURRENT UNITS]]=0,0,INVESTORS_LIST[[#This Row],[LS_TOTAL CURRENT UNITS]]*INVESTORS_LIST[[#This Row],[LS_AVERAGE COST]])</f>
        <v>0</v>
      </c>
      <c r="K7" s="4">
        <f>IF(INVESTORS_LIST[[#This Row],[LS_TOTAL UNITS SOLD]]=0,0,SUMIFS(LS[Realized Gain],LS[Investor ID],INVESTORS_LIST[[#This Row],[INVESTOR CODE]],LS[B/S],"S"))</f>
        <v>-1000.0000000000142</v>
      </c>
      <c r="L7" s="2">
        <f>SUMIFS(SIP[Unit],SIP[Investor ID],INVESTORS_LIST[[#This Row],[INVESTOR CODE]],SIP[B/S],"B")</f>
        <v>0</v>
      </c>
      <c r="M7" s="2">
        <f>-SUMIFS(SIP[Unit],SIP[Investor ID],INVESTORS_LIST[[#This Row],[INVESTOR CODE]],SIP[B/S],"S")</f>
        <v>0</v>
      </c>
      <c r="N7" s="33">
        <f>IF(INVESTORS_LIST[[#This Row],[SIP_TOTAL UNITS BUY]]=0,0,INVESTORS_LIST[[#This Row],[SIP_TOTAL UNITS BUY]]-INVESTORS_LIST[[#This Row],[SIP_TOTAL UNITS SOLD]])</f>
        <v>0</v>
      </c>
      <c r="O7" s="4">
        <f>IF(INVESTORS_LIST[[#This Row],[SIP_TOTAL UNITS BUY]]=0,0,SUMIFS(SIP[Amount],SIP[Investor ID],INVESTORS_LIST[[#This Row],[INVESTOR CODE]],SIP[B/S],"B"))</f>
        <v>0</v>
      </c>
      <c r="P7" s="4">
        <f>IF(INVESTORS_LIST[[#This Row],[SIP_TOTAL UNITS SOLD]]=0,0,SUMIFS(SIP[Cost of Units Sold],SIP[Investor ID],INVESTORS_LIST[[#This Row],[INVESTOR CODE]],SIP[B/S],"S"))</f>
        <v>0</v>
      </c>
      <c r="Q7" s="6">
        <f>IF(INVESTORS_LIST[[#This Row],[SIP_TOTAL CURRENT UNITS]]=0,0,INVESTORS_LIST[[#This Row],[SIP_TOTAL CURRENT UNITS]]*INVESTORS_LIST[[#This Row],[SIP_AVERAGE COST]])</f>
        <v>0</v>
      </c>
      <c r="R7" s="6">
        <f>IF(INVESTORS_LIST[[#This Row],[SIP_TOTAL UNITS SOLD]]=0,0,SUMIFS(SIP[Realized Gain],SIP[Investor ID],INVESTORS_LIST[[#This Row],[INVESTOR CODE]],SIP[B/S],"S"))</f>
        <v>0</v>
      </c>
      <c r="S7" s="33">
        <f>INVESTORS_LIST[[#This Row],[LS_TOTAL UNITS BUY]]+INVESTORS_LIST[[#This Row],[SIP_TOTAL UNITS BUY]]</f>
        <v>20000</v>
      </c>
      <c r="T7" s="33">
        <f>INVESTORS_LIST[[#This Row],[LS_TOTAL UNITS SOLD]]+INVESTORS_LIST[[#This Row],[SIP_TOTAL UNITS SOLD]]</f>
        <v>20000</v>
      </c>
      <c r="U7" s="33">
        <v>0</v>
      </c>
      <c r="V7" s="33">
        <f>SUMIFS(LS[BO UNIT TRANSFER],LS[Investor ID],INVESTORS_LIST[[#This Row],[INVESTOR CODE]],LS[B/S],"B")</f>
        <v>0</v>
      </c>
      <c r="W7" s="33">
        <f>SUMIFS(LS[BO UNIT TRANSFER],LS[Investor ID],INVESTORS_LIST[[#This Row],[INVESTOR CODE]],LS[B/S],"S")</f>
        <v>0</v>
      </c>
      <c r="X7" s="33">
        <f>SUMIFS(SIP[BO UNIT TRANSFER],SIP[Investor ID],INVESTORS_LIST[[#This Row],[INVESTOR CODE]],SIP[B/S],"S")</f>
        <v>0</v>
      </c>
      <c r="Y7" s="33">
        <f>SUMIFS(SIP[BO UNIT TRANSFER],SIP[Investor ID],INVESTORS_LIST[[#This Row],[INVESTOR CODE]],SIP[B/S],"B")</f>
        <v>0</v>
      </c>
      <c r="Z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" s="119">
        <f>INVESTORS_LIST[[#This Row],[TOTAL UNITS BUY]]-INVESTORS_LIST[[#This Row],[TOTAL UNITS SOLD]]</f>
        <v>0</v>
      </c>
      <c r="AB7" s="119">
        <f>INVESTORS_LIST[[#This Row],[TOTAL CURRENT UNITS]]-INVESTORS_LIST[[#This Row],[BO UNITS HOLD]]</f>
        <v>0</v>
      </c>
      <c r="AC7" s="119" t="e">
        <f>INDEX([4]!Table_1[BO ID],MATCH(INVESTORS_LIST[[#This Row],[INVESTOR CODE]],[4]!Table_1[INVESTOR CODE],0))</f>
        <v>#REF!</v>
      </c>
      <c r="AD7" s="33">
        <f>INVESTORS_LIST[[#This Row],[LS_TOTAL COST VALUE OF CURRENT UNITS]]+INVESTORS_LIST[[#This Row],[SIP_TOTAL COST VALUE OF CURRENT UNITS]]</f>
        <v>0</v>
      </c>
      <c r="AE7" s="44">
        <f>IF(INVESTORS_LIST[[#This Row],[TOTAL CURRENT UNITS]]=0,0,INVESTORS_LIST[[#This Row],[LS_TOTAL CURRENT UNITS]]/INVESTORS_LIST[[#This Row],[TOTAL CURRENT UNITS]])</f>
        <v>0</v>
      </c>
      <c r="AF7" s="44">
        <f>IF(INVESTORS_LIST[[#This Row],[TOTAL CURRENT UNITS]]=0,0,INVESTORS_LIST[[#This Row],[SIP_TOTAL CURRENT UNITS]]/INVESTORS_LIST[[#This Row],[TOTAL CURRENT UNITS]])</f>
        <v>0</v>
      </c>
      <c r="AG7" s="4" cm="1">
        <f t="array" ref="AG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" s="4" cm="1">
        <f t="array" ref="AH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" s="178">
        <f t="shared" si="0"/>
        <v>12.552</v>
      </c>
      <c r="AK7" s="118">
        <f>IF(INVESTORS_LIST[[#This Row],[TOTAL CURRENT UNITS]]=0,0,INVESTORS_LIST[[#This Row],[TOTAL CURRENT UNITS]]*INVESTORS_LIST[[#This Row],[NAV]])</f>
        <v>0</v>
      </c>
      <c r="AL7" s="4">
        <f>IF(INVESTORS_LIST[[#This Row],[LS_TOTAL CURRENT UNITS]]=0,0,INVESTORS_LIST[[#This Row],[LS_TOTAL CURRENT UNITS]]*INVESTORS_LIST[[#This Row],[NAV]])</f>
        <v>0</v>
      </c>
      <c r="AM7" s="6">
        <f>IF(INVESTORS_LIST[[#This Row],[SIP_TOTAL CURRENT UNITS]]=0,0,INVESTORS_LIST[[#This Row],[SIP_TOTAL CURRENT UNITS]]*INVESTORS_LIST[[#This Row],[NAV]])</f>
        <v>0</v>
      </c>
      <c r="AO7" s="6">
        <f>IF(INVESTORS_LIST[[#This Row],[TOTAL SELLABLE UNITS]]=0,0,INVESTORS_LIST[[#This Row],[TOTAL SELLABLE UNITS]]*INVESTORS_LIST[[#This Row],[NAV]])</f>
        <v>0</v>
      </c>
      <c r="AP7" s="6">
        <f>INVESTORS_LIST[[#This Row],[LS_TOTAL REALIZED GAIN]]+INVESTORS_LIST[[#This Row],[SIP_TOTAL REALIZED GAIN]]</f>
        <v>-1000.0000000000142</v>
      </c>
      <c r="AQ7" s="6">
        <f>INVESTORS_LIST[[#This Row],[TOTAL MARKET VALUE]]-INVESTORS_LIST[[#This Row],[TOTAL COST VALUE OF CURRENT INVESTMENT]]</f>
        <v>0</v>
      </c>
      <c r="AR7" s="6">
        <f>SUMIFS(DivAndTax[Tax Amount],DivAndTax[Investor ID],INVESTORS_LIST[[#This Row],[INVESTOR CODE]])</f>
        <v>0</v>
      </c>
      <c r="AS7" s="6">
        <f>SUMIFS(DivAndTax[Gross Dividend],DivAndTax[Investor ID],INVESTORS_LIST[[#This Row],[INVESTOR CODE]])</f>
        <v>0</v>
      </c>
      <c r="AT7" s="5">
        <f>IFERROR(INVESTORS_LIST[[#This Row],[TOTAL CURRENT UNITS]]/SUM(INVESTORS_LIST[TOTAL CURRENT UNITS]),0)</f>
        <v>0</v>
      </c>
      <c r="AX7" s="6"/>
      <c r="BA7" s="4"/>
      <c r="BB7" s="6"/>
      <c r="BC7" s="6"/>
    </row>
    <row r="8" spans="1:55" hidden="1">
      <c r="A8" t="s">
        <v>720</v>
      </c>
      <c r="B8" t="s">
        <v>15</v>
      </c>
      <c r="C8" t="s">
        <v>536</v>
      </c>
      <c r="D8" s="8" t="s">
        <v>2</v>
      </c>
      <c r="E8" s="2">
        <f>SUMIFS(LS[Unit],LS[Investor ID],INVESTORS_LIST[[#This Row],[INVESTOR CODE]],LS[B/S],"B")</f>
        <v>0</v>
      </c>
      <c r="F8" s="2">
        <f>-SUMIFS(LS[Unit],LS[Investor ID],INVESTORS_LIST[[#This Row],[INVESTOR CODE]],LS[B/S],"S")</f>
        <v>0</v>
      </c>
      <c r="G8" s="2">
        <f>IF(INVESTORS_LIST[[#This Row],[LS_TOTAL UNITS BUY]]=0,0,INVESTORS_LIST[[#This Row],[LS_TOTAL UNITS BUY]]-INVESTORS_LIST[[#This Row],[LS_TOTAL UNITS SOLD]])</f>
        <v>0</v>
      </c>
      <c r="H8" s="4">
        <f>IF(INVESTORS_LIST[[#This Row],[LS_TOTAL UNITS BUY]]=0,0,SUMIFS(LS[Amount],LS[Investor ID],INVESTORS_LIST[[#This Row],[INVESTOR CODE]],LS[B/S],"B"))</f>
        <v>0</v>
      </c>
      <c r="I8" s="6">
        <f>IF(INVESTORS_LIST[[#This Row],[LS_TOTAL UNITS SOLD]]=0,0,SUMIFS(LS[Cost of Units Sold],LS[Investor ID],INVESTORS_LIST[[#This Row],[INVESTOR CODE]],LS[B/S],"S"))</f>
        <v>0</v>
      </c>
      <c r="J8" s="6">
        <f>IF(INVESTORS_LIST[[#This Row],[LS_TOTAL CURRENT UNITS]]=0,0,INVESTORS_LIST[[#This Row],[LS_TOTAL CURRENT UNITS]]*INVESTORS_LIST[[#This Row],[LS_AVERAGE COST]])</f>
        <v>0</v>
      </c>
      <c r="K8" s="4">
        <f>IF(INVESTORS_LIST[[#This Row],[LS_TOTAL UNITS SOLD]]=0,0,SUMIFS(LS[Realized Gain],LS[Investor ID],INVESTORS_LIST[[#This Row],[INVESTOR CODE]],LS[B/S],"S"))</f>
        <v>0</v>
      </c>
      <c r="L8" s="2">
        <f>SUMIFS(SIP[Unit],SIP[Investor ID],INVESTORS_LIST[[#This Row],[INVESTOR CODE]],SIP[B/S],"B")</f>
        <v>0</v>
      </c>
      <c r="M8" s="2">
        <f>-SUMIFS(SIP[Unit],SIP[Investor ID],INVESTORS_LIST[[#This Row],[INVESTOR CODE]],SIP[B/S],"S")</f>
        <v>0</v>
      </c>
      <c r="N8" s="33">
        <f>IF(INVESTORS_LIST[[#This Row],[SIP_TOTAL UNITS BUY]]=0,0,INVESTORS_LIST[[#This Row],[SIP_TOTAL UNITS BUY]]-INVESTORS_LIST[[#This Row],[SIP_TOTAL UNITS SOLD]])</f>
        <v>0</v>
      </c>
      <c r="O8" s="4">
        <f>IF(INVESTORS_LIST[[#This Row],[SIP_TOTAL UNITS BUY]]=0,0,SUMIFS(SIP[Amount],SIP[Investor ID],INVESTORS_LIST[[#This Row],[INVESTOR CODE]],SIP[B/S],"B"))</f>
        <v>0</v>
      </c>
      <c r="P8" s="4">
        <f>IF(INVESTORS_LIST[[#This Row],[SIP_TOTAL UNITS SOLD]]=0,0,SUMIFS(SIP[Cost of Units Sold],SIP[Investor ID],INVESTORS_LIST[[#This Row],[INVESTOR CODE]],SIP[B/S],"S"))</f>
        <v>0</v>
      </c>
      <c r="Q8" s="6">
        <f>IF(INVESTORS_LIST[[#This Row],[SIP_TOTAL CURRENT UNITS]]=0,0,INVESTORS_LIST[[#This Row],[SIP_TOTAL CURRENT UNITS]]*INVESTORS_LIST[[#This Row],[SIP_AVERAGE COST]])</f>
        <v>0</v>
      </c>
      <c r="R8" s="6">
        <f>IF(INVESTORS_LIST[[#This Row],[SIP_TOTAL UNITS SOLD]]=0,0,SUMIFS(SIP[Realized Gain],SIP[Investor ID],INVESTORS_LIST[[#This Row],[INVESTOR CODE]],SIP[B/S],"S"))</f>
        <v>0</v>
      </c>
      <c r="S8" s="33">
        <f>INVESTORS_LIST[[#This Row],[LS_TOTAL UNITS BUY]]+INVESTORS_LIST[[#This Row],[SIP_TOTAL UNITS BUY]]</f>
        <v>0</v>
      </c>
      <c r="T8" s="33">
        <f>INVESTORS_LIST[[#This Row],[LS_TOTAL UNITS SOLD]]+INVESTORS_LIST[[#This Row],[SIP_TOTAL UNITS SOLD]]</f>
        <v>0</v>
      </c>
      <c r="U8" s="33">
        <v>0</v>
      </c>
      <c r="V8" s="33">
        <f>SUMIFS(LS[BO UNIT TRANSFER],LS[Investor ID],INVESTORS_LIST[[#This Row],[INVESTOR CODE]],LS[B/S],"B")</f>
        <v>0</v>
      </c>
      <c r="W8" s="33">
        <f>SUMIFS(LS[BO UNIT TRANSFER],LS[Investor ID],INVESTORS_LIST[[#This Row],[INVESTOR CODE]],LS[B/S],"S")</f>
        <v>0</v>
      </c>
      <c r="X8" s="33">
        <f>SUMIFS(SIP[BO UNIT TRANSFER],SIP[Investor ID],INVESTORS_LIST[[#This Row],[INVESTOR CODE]],SIP[B/S],"S")</f>
        <v>0</v>
      </c>
      <c r="Y8" s="33">
        <f>SUMIFS(SIP[BO UNIT TRANSFER],SIP[Investor ID],INVESTORS_LIST[[#This Row],[INVESTOR CODE]],SIP[B/S],"B")</f>
        <v>0</v>
      </c>
      <c r="Z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8" s="119">
        <f>INVESTORS_LIST[[#This Row],[TOTAL UNITS BUY]]-INVESTORS_LIST[[#This Row],[TOTAL UNITS SOLD]]</f>
        <v>0</v>
      </c>
      <c r="AB8" s="119">
        <f>INVESTORS_LIST[[#This Row],[TOTAL CURRENT UNITS]]-INVESTORS_LIST[[#This Row],[BO UNITS HOLD]]</f>
        <v>0</v>
      </c>
      <c r="AC8" s="119" t="e">
        <f>INDEX([4]!Table_1[BO ID],MATCH(INVESTORS_LIST[[#This Row],[INVESTOR CODE]],[4]!Table_1[INVESTOR CODE],0))</f>
        <v>#REF!</v>
      </c>
      <c r="AD8" s="33">
        <f>INVESTORS_LIST[[#This Row],[LS_TOTAL COST VALUE OF CURRENT UNITS]]+INVESTORS_LIST[[#This Row],[SIP_TOTAL COST VALUE OF CURRENT UNITS]]</f>
        <v>0</v>
      </c>
      <c r="AE8" s="44">
        <f>IF(INVESTORS_LIST[[#This Row],[TOTAL CURRENT UNITS]]=0,0,INVESTORS_LIST[[#This Row],[LS_TOTAL CURRENT UNITS]]/INVESTORS_LIST[[#This Row],[TOTAL CURRENT UNITS]])</f>
        <v>0</v>
      </c>
      <c r="AF8" s="44">
        <f>IF(INVESTORS_LIST[[#This Row],[TOTAL CURRENT UNITS]]=0,0,INVESTORS_LIST[[#This Row],[SIP_TOTAL CURRENT UNITS]]/INVESTORS_LIST[[#This Row],[TOTAL CURRENT UNITS]])</f>
        <v>0</v>
      </c>
      <c r="AG8" s="4" cm="1">
        <f t="array" ref="AG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8" s="4" cm="1">
        <f t="array" ref="AH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8" s="178">
        <f t="shared" si="0"/>
        <v>12.552</v>
      </c>
      <c r="AK8" s="118">
        <f>IF(INVESTORS_LIST[[#This Row],[TOTAL CURRENT UNITS]]=0,0,INVESTORS_LIST[[#This Row],[TOTAL CURRENT UNITS]]*INVESTORS_LIST[[#This Row],[NAV]])</f>
        <v>0</v>
      </c>
      <c r="AL8" s="4">
        <f>IF(INVESTORS_LIST[[#This Row],[LS_TOTAL CURRENT UNITS]]=0,0,INVESTORS_LIST[[#This Row],[LS_TOTAL CURRENT UNITS]]*INVESTORS_LIST[[#This Row],[NAV]])</f>
        <v>0</v>
      </c>
      <c r="AM8" s="6">
        <f>IF(INVESTORS_LIST[[#This Row],[SIP_TOTAL CURRENT UNITS]]=0,0,INVESTORS_LIST[[#This Row],[SIP_TOTAL CURRENT UNITS]]*INVESTORS_LIST[[#This Row],[NAV]])</f>
        <v>0</v>
      </c>
      <c r="AO8" s="6">
        <f>IF(INVESTORS_LIST[[#This Row],[TOTAL SELLABLE UNITS]]=0,0,INVESTORS_LIST[[#This Row],[TOTAL SELLABLE UNITS]]*INVESTORS_LIST[[#This Row],[NAV]])</f>
        <v>0</v>
      </c>
      <c r="AP8" s="6">
        <f>INVESTORS_LIST[[#This Row],[LS_TOTAL REALIZED GAIN]]+INVESTORS_LIST[[#This Row],[SIP_TOTAL REALIZED GAIN]]</f>
        <v>0</v>
      </c>
      <c r="AQ8" s="6">
        <f>INVESTORS_LIST[[#This Row],[TOTAL MARKET VALUE]]-INVESTORS_LIST[[#This Row],[TOTAL COST VALUE OF CURRENT INVESTMENT]]</f>
        <v>0</v>
      </c>
      <c r="AR8" s="6">
        <f>SUMIFS(DivAndTax[Tax Amount],DivAndTax[Investor ID],INVESTORS_LIST[[#This Row],[INVESTOR CODE]])</f>
        <v>0</v>
      </c>
      <c r="AS8" s="6">
        <f>SUMIFS(DivAndTax[Gross Dividend],DivAndTax[Investor ID],INVESTORS_LIST[[#This Row],[INVESTOR CODE]])</f>
        <v>0</v>
      </c>
      <c r="AT8" s="5">
        <f>IFERROR(INVESTORS_LIST[[#This Row],[TOTAL CURRENT UNITS]]/SUM(INVESTORS_LIST[TOTAL CURRENT UNITS]),0)</f>
        <v>0</v>
      </c>
      <c r="AX8" s="6"/>
    </row>
    <row r="9" spans="1:55" hidden="1">
      <c r="A9" t="s">
        <v>721</v>
      </c>
      <c r="B9" t="s">
        <v>16</v>
      </c>
      <c r="C9" t="s">
        <v>536</v>
      </c>
      <c r="D9" s="8" t="s">
        <v>2</v>
      </c>
      <c r="E9" s="2">
        <f>SUMIFS(LS[Unit],LS[Investor ID],INVESTORS_LIST[[#This Row],[INVESTOR CODE]],LS[B/S],"B")</f>
        <v>0</v>
      </c>
      <c r="F9" s="2">
        <f>-SUMIFS(LS[Unit],LS[Investor ID],INVESTORS_LIST[[#This Row],[INVESTOR CODE]],LS[B/S],"S")</f>
        <v>0</v>
      </c>
      <c r="G9" s="2">
        <f>IF(INVESTORS_LIST[[#This Row],[LS_TOTAL UNITS BUY]]=0,0,INVESTORS_LIST[[#This Row],[LS_TOTAL UNITS BUY]]-INVESTORS_LIST[[#This Row],[LS_TOTAL UNITS SOLD]])</f>
        <v>0</v>
      </c>
      <c r="H9" s="4">
        <f>IF(INVESTORS_LIST[[#This Row],[LS_TOTAL UNITS BUY]]=0,0,SUMIFS(LS[Amount],LS[Investor ID],INVESTORS_LIST[[#This Row],[INVESTOR CODE]],LS[B/S],"B"))</f>
        <v>0</v>
      </c>
      <c r="I9" s="6">
        <f>IF(INVESTORS_LIST[[#This Row],[LS_TOTAL UNITS SOLD]]=0,0,SUMIFS(LS[Cost of Units Sold],LS[Investor ID],INVESTORS_LIST[[#This Row],[INVESTOR CODE]],LS[B/S],"S"))</f>
        <v>0</v>
      </c>
      <c r="J9" s="6">
        <f>IF(INVESTORS_LIST[[#This Row],[LS_TOTAL CURRENT UNITS]]=0,0,INVESTORS_LIST[[#This Row],[LS_TOTAL CURRENT UNITS]]*INVESTORS_LIST[[#This Row],[LS_AVERAGE COST]])</f>
        <v>0</v>
      </c>
      <c r="K9" s="4">
        <f>IF(INVESTORS_LIST[[#This Row],[LS_TOTAL UNITS SOLD]]=0,0,SUMIFS(LS[Realized Gain],LS[Investor ID],INVESTORS_LIST[[#This Row],[INVESTOR CODE]],LS[B/S],"S"))</f>
        <v>0</v>
      </c>
      <c r="L9" s="2">
        <f>SUMIFS(SIP[Unit],SIP[Investor ID],INVESTORS_LIST[[#This Row],[INVESTOR CODE]],SIP[B/S],"B")</f>
        <v>0</v>
      </c>
      <c r="M9" s="2">
        <f>-SUMIFS(SIP[Unit],SIP[Investor ID],INVESTORS_LIST[[#This Row],[INVESTOR CODE]],SIP[B/S],"S")</f>
        <v>0</v>
      </c>
      <c r="N9" s="33">
        <f>IF(INVESTORS_LIST[[#This Row],[SIP_TOTAL UNITS BUY]]=0,0,INVESTORS_LIST[[#This Row],[SIP_TOTAL UNITS BUY]]-INVESTORS_LIST[[#This Row],[SIP_TOTAL UNITS SOLD]])</f>
        <v>0</v>
      </c>
      <c r="O9" s="4">
        <f>IF(INVESTORS_LIST[[#This Row],[SIP_TOTAL UNITS BUY]]=0,0,SUMIFS(SIP[Amount],SIP[Investor ID],INVESTORS_LIST[[#This Row],[INVESTOR CODE]],SIP[B/S],"B"))</f>
        <v>0</v>
      </c>
      <c r="P9" s="4">
        <f>IF(INVESTORS_LIST[[#This Row],[SIP_TOTAL UNITS SOLD]]=0,0,SUMIFS(SIP[Cost of Units Sold],SIP[Investor ID],INVESTORS_LIST[[#This Row],[INVESTOR CODE]],SIP[B/S],"S"))</f>
        <v>0</v>
      </c>
      <c r="Q9" s="6">
        <f>IF(INVESTORS_LIST[[#This Row],[SIP_TOTAL CURRENT UNITS]]=0,0,INVESTORS_LIST[[#This Row],[SIP_TOTAL CURRENT UNITS]]*INVESTORS_LIST[[#This Row],[SIP_AVERAGE COST]])</f>
        <v>0</v>
      </c>
      <c r="R9" s="6">
        <f>IF(INVESTORS_LIST[[#This Row],[SIP_TOTAL UNITS SOLD]]=0,0,SUMIFS(SIP[Realized Gain],SIP[Investor ID],INVESTORS_LIST[[#This Row],[INVESTOR CODE]],SIP[B/S],"S"))</f>
        <v>0</v>
      </c>
      <c r="S9" s="33">
        <f>INVESTORS_LIST[[#This Row],[LS_TOTAL UNITS BUY]]+INVESTORS_LIST[[#This Row],[SIP_TOTAL UNITS BUY]]</f>
        <v>0</v>
      </c>
      <c r="T9" s="33">
        <f>INVESTORS_LIST[[#This Row],[LS_TOTAL UNITS SOLD]]+INVESTORS_LIST[[#This Row],[SIP_TOTAL UNITS SOLD]]</f>
        <v>0</v>
      </c>
      <c r="U9" s="33">
        <v>0</v>
      </c>
      <c r="V9" s="33">
        <f>SUMIFS(LS[BO UNIT TRANSFER],LS[Investor ID],INVESTORS_LIST[[#This Row],[INVESTOR CODE]],LS[B/S],"B")</f>
        <v>0</v>
      </c>
      <c r="W9" s="33">
        <f>SUMIFS(LS[BO UNIT TRANSFER],LS[Investor ID],INVESTORS_LIST[[#This Row],[INVESTOR CODE]],LS[B/S],"S")</f>
        <v>0</v>
      </c>
      <c r="X9" s="33">
        <f>SUMIFS(SIP[BO UNIT TRANSFER],SIP[Investor ID],INVESTORS_LIST[[#This Row],[INVESTOR CODE]],SIP[B/S],"S")</f>
        <v>0</v>
      </c>
      <c r="Y9" s="33">
        <f>SUMIFS(SIP[BO UNIT TRANSFER],SIP[Investor ID],INVESTORS_LIST[[#This Row],[INVESTOR CODE]],SIP[B/S],"B")</f>
        <v>0</v>
      </c>
      <c r="Z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9" s="119">
        <f>INVESTORS_LIST[[#This Row],[TOTAL UNITS BUY]]-INVESTORS_LIST[[#This Row],[TOTAL UNITS SOLD]]</f>
        <v>0</v>
      </c>
      <c r="AB9" s="119">
        <f>INVESTORS_LIST[[#This Row],[TOTAL CURRENT UNITS]]-INVESTORS_LIST[[#This Row],[BO UNITS HOLD]]</f>
        <v>0</v>
      </c>
      <c r="AC9" s="119" t="e">
        <f>INDEX([4]!Table_1[BO ID],MATCH(INVESTORS_LIST[[#This Row],[INVESTOR CODE]],[4]!Table_1[INVESTOR CODE],0))</f>
        <v>#REF!</v>
      </c>
      <c r="AD9" s="33">
        <f>INVESTORS_LIST[[#This Row],[LS_TOTAL COST VALUE OF CURRENT UNITS]]+INVESTORS_LIST[[#This Row],[SIP_TOTAL COST VALUE OF CURRENT UNITS]]</f>
        <v>0</v>
      </c>
      <c r="AE9" s="44">
        <f>IF(INVESTORS_LIST[[#This Row],[TOTAL CURRENT UNITS]]=0,0,INVESTORS_LIST[[#This Row],[LS_TOTAL CURRENT UNITS]]/INVESTORS_LIST[[#This Row],[TOTAL CURRENT UNITS]])</f>
        <v>0</v>
      </c>
      <c r="AF9" s="44">
        <f>IF(INVESTORS_LIST[[#This Row],[TOTAL CURRENT UNITS]]=0,0,INVESTORS_LIST[[#This Row],[SIP_TOTAL CURRENT UNITS]]/INVESTORS_LIST[[#This Row],[TOTAL CURRENT UNITS]])</f>
        <v>0</v>
      </c>
      <c r="AG9" s="4" cm="1">
        <f t="array" ref="AG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9" s="4" cm="1">
        <f t="array" ref="AH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9" s="178">
        <f t="shared" si="0"/>
        <v>12.552</v>
      </c>
      <c r="AK9" s="118">
        <f>IF(INVESTORS_LIST[[#This Row],[TOTAL CURRENT UNITS]]=0,0,INVESTORS_LIST[[#This Row],[TOTAL CURRENT UNITS]]*INVESTORS_LIST[[#This Row],[NAV]])</f>
        <v>0</v>
      </c>
      <c r="AL9" s="4">
        <f>IF(INVESTORS_LIST[[#This Row],[LS_TOTAL CURRENT UNITS]]=0,0,INVESTORS_LIST[[#This Row],[LS_TOTAL CURRENT UNITS]]*INVESTORS_LIST[[#This Row],[NAV]])</f>
        <v>0</v>
      </c>
      <c r="AM9" s="6">
        <f>IF(INVESTORS_LIST[[#This Row],[SIP_TOTAL CURRENT UNITS]]=0,0,INVESTORS_LIST[[#This Row],[SIP_TOTAL CURRENT UNITS]]*INVESTORS_LIST[[#This Row],[NAV]])</f>
        <v>0</v>
      </c>
      <c r="AO9" s="6">
        <f>IF(INVESTORS_LIST[[#This Row],[TOTAL SELLABLE UNITS]]=0,0,INVESTORS_LIST[[#This Row],[TOTAL SELLABLE UNITS]]*INVESTORS_LIST[[#This Row],[NAV]])</f>
        <v>0</v>
      </c>
      <c r="AP9" s="6">
        <f>INVESTORS_LIST[[#This Row],[LS_TOTAL REALIZED GAIN]]+INVESTORS_LIST[[#This Row],[SIP_TOTAL REALIZED GAIN]]</f>
        <v>0</v>
      </c>
      <c r="AQ9" s="6">
        <f>INVESTORS_LIST[[#This Row],[TOTAL MARKET VALUE]]-INVESTORS_LIST[[#This Row],[TOTAL COST VALUE OF CURRENT INVESTMENT]]</f>
        <v>0</v>
      </c>
      <c r="AR9" s="6">
        <f>SUMIFS(DivAndTax[Tax Amount],DivAndTax[Investor ID],INVESTORS_LIST[[#This Row],[INVESTOR CODE]])</f>
        <v>0</v>
      </c>
      <c r="AS9" s="6">
        <f>SUMIFS(DivAndTax[Gross Dividend],DivAndTax[Investor ID],INVESTORS_LIST[[#This Row],[INVESTOR CODE]])</f>
        <v>0</v>
      </c>
      <c r="AT9" s="5">
        <f>IFERROR(INVESTORS_LIST[[#This Row],[TOTAL CURRENT UNITS]]/SUM(INVESTORS_LIST[TOTAL CURRENT UNITS]),0)</f>
        <v>0</v>
      </c>
      <c r="AX9" s="6"/>
    </row>
    <row r="10" spans="1:55" hidden="1">
      <c r="A10" t="s">
        <v>722</v>
      </c>
      <c r="B10" t="s">
        <v>17</v>
      </c>
      <c r="C10" t="s">
        <v>536</v>
      </c>
      <c r="D10" s="8" t="s">
        <v>2</v>
      </c>
      <c r="E10" s="2">
        <f>SUMIFS(LS[Unit],LS[Investor ID],INVESTORS_LIST[[#This Row],[INVESTOR CODE]],LS[B/S],"B")</f>
        <v>50000</v>
      </c>
      <c r="F10" s="2">
        <f>-SUMIFS(LS[Unit],LS[Investor ID],INVESTORS_LIST[[#This Row],[INVESTOR CODE]],LS[B/S],"S")</f>
        <v>50000</v>
      </c>
      <c r="G10" s="2">
        <f>IF(INVESTORS_LIST[[#This Row],[LS_TOTAL UNITS BUY]]=0,0,INVESTORS_LIST[[#This Row],[LS_TOTAL UNITS BUY]]-INVESTORS_LIST[[#This Row],[LS_TOTAL UNITS SOLD]])</f>
        <v>0</v>
      </c>
      <c r="H10" s="4">
        <f>IF(INVESTORS_LIST[[#This Row],[LS_TOTAL UNITS BUY]]=0,0,SUMIFS(LS[Amount],LS[Investor ID],INVESTORS_LIST[[#This Row],[INVESTOR CODE]],LS[B/S],"B"))</f>
        <v>500000</v>
      </c>
      <c r="I10" s="6">
        <f>IF(INVESTORS_LIST[[#This Row],[LS_TOTAL UNITS SOLD]]=0,0,SUMIFS(LS[Cost of Units Sold],LS[Investor ID],INVESTORS_LIST[[#This Row],[INVESTOR CODE]],LS[B/S],"S"))</f>
        <v>500000</v>
      </c>
      <c r="J10" s="6">
        <f>IF(INVESTORS_LIST[[#This Row],[LS_TOTAL CURRENT UNITS]]=0,0,INVESTORS_LIST[[#This Row],[LS_TOTAL CURRENT UNITS]]*INVESTORS_LIST[[#This Row],[LS_AVERAGE COST]])</f>
        <v>0</v>
      </c>
      <c r="K10" s="4">
        <f>IF(INVESTORS_LIST[[#This Row],[LS_TOTAL UNITS SOLD]]=0,0,SUMIFS(LS[Realized Gain],LS[Investor ID],INVESTORS_LIST[[#This Row],[INVESTOR CODE]],LS[B/S],"S"))</f>
        <v>999.99999999997863</v>
      </c>
      <c r="L10" s="2">
        <f>SUMIFS(SIP[Unit],SIP[Investor ID],INVESTORS_LIST[[#This Row],[INVESTOR CODE]],SIP[B/S],"B")</f>
        <v>0</v>
      </c>
      <c r="M10" s="2">
        <f>-SUMIFS(SIP[Unit],SIP[Investor ID],INVESTORS_LIST[[#This Row],[INVESTOR CODE]],SIP[B/S],"S")</f>
        <v>0</v>
      </c>
      <c r="N10" s="33">
        <f>IF(INVESTORS_LIST[[#This Row],[SIP_TOTAL UNITS BUY]]=0,0,INVESTORS_LIST[[#This Row],[SIP_TOTAL UNITS BUY]]-INVESTORS_LIST[[#This Row],[SIP_TOTAL UNITS SOLD]])</f>
        <v>0</v>
      </c>
      <c r="O10" s="4">
        <f>IF(INVESTORS_LIST[[#This Row],[SIP_TOTAL UNITS BUY]]=0,0,SUMIFS(SIP[Amount],SIP[Investor ID],INVESTORS_LIST[[#This Row],[INVESTOR CODE]],SIP[B/S],"B"))</f>
        <v>0</v>
      </c>
      <c r="P10" s="4">
        <f>IF(INVESTORS_LIST[[#This Row],[SIP_TOTAL UNITS SOLD]]=0,0,SUMIFS(SIP[Cost of Units Sold],SIP[Investor ID],INVESTORS_LIST[[#This Row],[INVESTOR CODE]],SIP[B/S],"S"))</f>
        <v>0</v>
      </c>
      <c r="Q10" s="6">
        <f>IF(INVESTORS_LIST[[#This Row],[SIP_TOTAL CURRENT UNITS]]=0,0,INVESTORS_LIST[[#This Row],[SIP_TOTAL CURRENT UNITS]]*INVESTORS_LIST[[#This Row],[SIP_AVERAGE COST]])</f>
        <v>0</v>
      </c>
      <c r="R10" s="6">
        <f>IF(INVESTORS_LIST[[#This Row],[SIP_TOTAL UNITS SOLD]]=0,0,SUMIFS(SIP[Realized Gain],SIP[Investor ID],INVESTORS_LIST[[#This Row],[INVESTOR CODE]],SIP[B/S],"S"))</f>
        <v>0</v>
      </c>
      <c r="S10" s="33">
        <f>INVESTORS_LIST[[#This Row],[LS_TOTAL UNITS BUY]]+INVESTORS_LIST[[#This Row],[SIP_TOTAL UNITS BUY]]</f>
        <v>50000</v>
      </c>
      <c r="T10" s="33">
        <f>INVESTORS_LIST[[#This Row],[LS_TOTAL UNITS SOLD]]+INVESTORS_LIST[[#This Row],[SIP_TOTAL UNITS SOLD]]</f>
        <v>50000</v>
      </c>
      <c r="U10" s="33">
        <v>50000</v>
      </c>
      <c r="V10" s="33">
        <f>SUMIFS(LS[BO UNIT TRANSFER],LS[Investor ID],INVESTORS_LIST[[#This Row],[INVESTOR CODE]],LS[B/S],"B")</f>
        <v>0</v>
      </c>
      <c r="W10" s="33">
        <f>SUMIFS(LS[BO UNIT TRANSFER],LS[Investor ID],INVESTORS_LIST[[#This Row],[INVESTOR CODE]],LS[B/S],"S")</f>
        <v>0</v>
      </c>
      <c r="X10" s="33">
        <f>SUMIFS(SIP[BO UNIT TRANSFER],SIP[Investor ID],INVESTORS_LIST[[#This Row],[INVESTOR CODE]],SIP[B/S],"S")</f>
        <v>0</v>
      </c>
      <c r="Y10" s="33">
        <f>SUMIFS(SIP[BO UNIT TRANSFER],SIP[Investor ID],INVESTORS_LIST[[#This Row],[INVESTOR CODE]],SIP[B/S],"B")</f>
        <v>0</v>
      </c>
      <c r="Z1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50000</v>
      </c>
      <c r="AA10" s="119">
        <f>INVESTORS_LIST[[#This Row],[TOTAL UNITS BUY]]-INVESTORS_LIST[[#This Row],[TOTAL UNITS SOLD]]</f>
        <v>0</v>
      </c>
      <c r="AB10" s="119">
        <f>INVESTORS_LIST[[#This Row],[TOTAL CURRENT UNITS]]-INVESTORS_LIST[[#This Row],[BO UNITS HOLD]]</f>
        <v>-50000</v>
      </c>
      <c r="AC10" s="119" t="e">
        <f>INDEX([4]!Table_1[BO ID],MATCH(INVESTORS_LIST[[#This Row],[INVESTOR CODE]],[4]!Table_1[INVESTOR CODE],0))</f>
        <v>#REF!</v>
      </c>
      <c r="AD10" s="33">
        <f>INVESTORS_LIST[[#This Row],[LS_TOTAL COST VALUE OF CURRENT UNITS]]+INVESTORS_LIST[[#This Row],[SIP_TOTAL COST VALUE OF CURRENT UNITS]]</f>
        <v>0</v>
      </c>
      <c r="AE10" s="44">
        <f>IF(INVESTORS_LIST[[#This Row],[TOTAL CURRENT UNITS]]=0,0,INVESTORS_LIST[[#This Row],[LS_TOTAL CURRENT UNITS]]/INVESTORS_LIST[[#This Row],[TOTAL CURRENT UNITS]])</f>
        <v>0</v>
      </c>
      <c r="AF10" s="44">
        <f>IF(INVESTORS_LIST[[#This Row],[TOTAL CURRENT UNITS]]=0,0,INVESTORS_LIST[[#This Row],[SIP_TOTAL CURRENT UNITS]]/INVESTORS_LIST[[#This Row],[TOTAL CURRENT UNITS]])</f>
        <v>0</v>
      </c>
      <c r="AG10" s="4" cm="1">
        <f t="array" ref="AG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0" s="4" cm="1">
        <f t="array" ref="AH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0" s="178">
        <f t="shared" si="0"/>
        <v>12.552</v>
      </c>
      <c r="AK10" s="118">
        <f>IF(INVESTORS_LIST[[#This Row],[TOTAL CURRENT UNITS]]=0,0,INVESTORS_LIST[[#This Row],[TOTAL CURRENT UNITS]]*INVESTORS_LIST[[#This Row],[NAV]])</f>
        <v>0</v>
      </c>
      <c r="AL10" s="4">
        <f>IF(INVESTORS_LIST[[#This Row],[LS_TOTAL CURRENT UNITS]]=0,0,INVESTORS_LIST[[#This Row],[LS_TOTAL CURRENT UNITS]]*INVESTORS_LIST[[#This Row],[NAV]])</f>
        <v>0</v>
      </c>
      <c r="AM10" s="6">
        <f>IF(INVESTORS_LIST[[#This Row],[SIP_TOTAL CURRENT UNITS]]=0,0,INVESTORS_LIST[[#This Row],[SIP_TOTAL CURRENT UNITS]]*INVESTORS_LIST[[#This Row],[NAV]])</f>
        <v>0</v>
      </c>
      <c r="AO10" s="6">
        <f>IF(INVESTORS_LIST[[#This Row],[TOTAL SELLABLE UNITS]]=0,0,INVESTORS_LIST[[#This Row],[TOTAL SELLABLE UNITS]]*INVESTORS_LIST[[#This Row],[NAV]])</f>
        <v>0</v>
      </c>
      <c r="AP10" s="6">
        <f>INVESTORS_LIST[[#This Row],[LS_TOTAL REALIZED GAIN]]+INVESTORS_LIST[[#This Row],[SIP_TOTAL REALIZED GAIN]]</f>
        <v>999.99999999997863</v>
      </c>
      <c r="AQ10" s="6">
        <f>INVESTORS_LIST[[#This Row],[TOTAL MARKET VALUE]]-INVESTORS_LIST[[#This Row],[TOTAL COST VALUE OF CURRENT INVESTMENT]]</f>
        <v>0</v>
      </c>
      <c r="AR10" s="6">
        <f>SUMIFS(DivAndTax[Tax Amount],DivAndTax[Investor ID],INVESTORS_LIST[[#This Row],[INVESTOR CODE]])</f>
        <v>0</v>
      </c>
      <c r="AS10" s="6">
        <f>SUMIFS(DivAndTax[Gross Dividend],DivAndTax[Investor ID],INVESTORS_LIST[[#This Row],[INVESTOR CODE]])</f>
        <v>0</v>
      </c>
      <c r="AT10" s="5">
        <f>IFERROR(INVESTORS_LIST[[#This Row],[TOTAL CURRENT UNITS]]/SUM(INVESTORS_LIST[TOTAL CURRENT UNITS]),0)</f>
        <v>0</v>
      </c>
      <c r="AX10" s="6"/>
    </row>
    <row r="11" spans="1:55" hidden="1">
      <c r="A11" t="s">
        <v>723</v>
      </c>
      <c r="B11" t="s">
        <v>18</v>
      </c>
      <c r="C11" t="s">
        <v>539</v>
      </c>
      <c r="D11" s="8" t="s">
        <v>2</v>
      </c>
      <c r="E11" s="2">
        <f>SUMIFS(LS[Unit],LS[Investor ID],INVESTORS_LIST[[#This Row],[INVESTOR CODE]],LS[B/S],"B")</f>
        <v>0</v>
      </c>
      <c r="F11" s="2">
        <f>-SUMIFS(LS[Unit],LS[Investor ID],INVESTORS_LIST[[#This Row],[INVESTOR CODE]],LS[B/S],"S")</f>
        <v>0</v>
      </c>
      <c r="G11" s="2">
        <f>IF(INVESTORS_LIST[[#This Row],[LS_TOTAL UNITS BUY]]=0,0,INVESTORS_LIST[[#This Row],[LS_TOTAL UNITS BUY]]-INVESTORS_LIST[[#This Row],[LS_TOTAL UNITS SOLD]])</f>
        <v>0</v>
      </c>
      <c r="H11" s="4">
        <f>IF(INVESTORS_LIST[[#This Row],[LS_TOTAL UNITS BUY]]=0,0,SUMIFS(LS[Amount],LS[Investor ID],INVESTORS_LIST[[#This Row],[INVESTOR CODE]],LS[B/S],"B"))</f>
        <v>0</v>
      </c>
      <c r="I11" s="6">
        <f>IF(INVESTORS_LIST[[#This Row],[LS_TOTAL UNITS SOLD]]=0,0,SUMIFS(LS[Cost of Units Sold],LS[Investor ID],INVESTORS_LIST[[#This Row],[INVESTOR CODE]],LS[B/S],"S"))</f>
        <v>0</v>
      </c>
      <c r="J11" s="6">
        <f>IF(INVESTORS_LIST[[#This Row],[LS_TOTAL CURRENT UNITS]]=0,0,INVESTORS_LIST[[#This Row],[LS_TOTAL CURRENT UNITS]]*INVESTORS_LIST[[#This Row],[LS_AVERAGE COST]])</f>
        <v>0</v>
      </c>
      <c r="K11" s="4">
        <f>IF(INVESTORS_LIST[[#This Row],[LS_TOTAL UNITS SOLD]]=0,0,SUMIFS(LS[Realized Gain],LS[Investor ID],INVESTORS_LIST[[#This Row],[INVESTOR CODE]],LS[B/S],"S"))</f>
        <v>0</v>
      </c>
      <c r="L11" s="2">
        <f>SUMIFS(SIP[Unit],SIP[Investor ID],INVESTORS_LIST[[#This Row],[INVESTOR CODE]],SIP[B/S],"B")</f>
        <v>0</v>
      </c>
      <c r="M11" s="2">
        <f>-SUMIFS(SIP[Unit],SIP[Investor ID],INVESTORS_LIST[[#This Row],[INVESTOR CODE]],SIP[B/S],"S")</f>
        <v>0</v>
      </c>
      <c r="N11" s="33">
        <f>IF(INVESTORS_LIST[[#This Row],[SIP_TOTAL UNITS BUY]]=0,0,INVESTORS_LIST[[#This Row],[SIP_TOTAL UNITS BUY]]-INVESTORS_LIST[[#This Row],[SIP_TOTAL UNITS SOLD]])</f>
        <v>0</v>
      </c>
      <c r="O11" s="4">
        <f>IF(INVESTORS_LIST[[#This Row],[SIP_TOTAL UNITS BUY]]=0,0,SUMIFS(SIP[Amount],SIP[Investor ID],INVESTORS_LIST[[#This Row],[INVESTOR CODE]],SIP[B/S],"B"))</f>
        <v>0</v>
      </c>
      <c r="P11" s="4">
        <f>IF(INVESTORS_LIST[[#This Row],[SIP_TOTAL UNITS SOLD]]=0,0,SUMIFS(SIP[Cost of Units Sold],SIP[Investor ID],INVESTORS_LIST[[#This Row],[INVESTOR CODE]],SIP[B/S],"S"))</f>
        <v>0</v>
      </c>
      <c r="Q11" s="6">
        <f>IF(INVESTORS_LIST[[#This Row],[SIP_TOTAL CURRENT UNITS]]=0,0,INVESTORS_LIST[[#This Row],[SIP_TOTAL CURRENT UNITS]]*INVESTORS_LIST[[#This Row],[SIP_AVERAGE COST]])</f>
        <v>0</v>
      </c>
      <c r="R11" s="6">
        <f>IF(INVESTORS_LIST[[#This Row],[SIP_TOTAL UNITS SOLD]]=0,0,SUMIFS(SIP[Realized Gain],SIP[Investor ID],INVESTORS_LIST[[#This Row],[INVESTOR CODE]],SIP[B/S],"S"))</f>
        <v>0</v>
      </c>
      <c r="S11" s="33">
        <f>INVESTORS_LIST[[#This Row],[LS_TOTAL UNITS BUY]]+INVESTORS_LIST[[#This Row],[SIP_TOTAL UNITS BUY]]</f>
        <v>0</v>
      </c>
      <c r="T11" s="33">
        <f>INVESTORS_LIST[[#This Row],[LS_TOTAL UNITS SOLD]]+INVESTORS_LIST[[#This Row],[SIP_TOTAL UNITS SOLD]]</f>
        <v>0</v>
      </c>
      <c r="U11" s="33">
        <v>0</v>
      </c>
      <c r="V11" s="33">
        <f>SUMIFS(LS[BO UNIT TRANSFER],LS[Investor ID],INVESTORS_LIST[[#This Row],[INVESTOR CODE]],LS[B/S],"B")</f>
        <v>0</v>
      </c>
      <c r="W11" s="33">
        <f>SUMIFS(LS[BO UNIT TRANSFER],LS[Investor ID],INVESTORS_LIST[[#This Row],[INVESTOR CODE]],LS[B/S],"S")</f>
        <v>0</v>
      </c>
      <c r="X11" s="33">
        <f>SUMIFS(SIP[BO UNIT TRANSFER],SIP[Investor ID],INVESTORS_LIST[[#This Row],[INVESTOR CODE]],SIP[B/S],"S")</f>
        <v>0</v>
      </c>
      <c r="Y11" s="33">
        <f>SUMIFS(SIP[BO UNIT TRANSFER],SIP[Investor ID],INVESTORS_LIST[[#This Row],[INVESTOR CODE]],SIP[B/S],"B")</f>
        <v>0</v>
      </c>
      <c r="Z1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1" s="119">
        <f>INVESTORS_LIST[[#This Row],[TOTAL UNITS BUY]]-INVESTORS_LIST[[#This Row],[TOTAL UNITS SOLD]]</f>
        <v>0</v>
      </c>
      <c r="AB11" s="119">
        <f>INVESTORS_LIST[[#This Row],[TOTAL CURRENT UNITS]]-INVESTORS_LIST[[#This Row],[BO UNITS HOLD]]</f>
        <v>0</v>
      </c>
      <c r="AC11" s="119" t="e">
        <f>INDEX([4]!Table_1[BO ID],MATCH(INVESTORS_LIST[[#This Row],[INVESTOR CODE]],[4]!Table_1[INVESTOR CODE],0))</f>
        <v>#REF!</v>
      </c>
      <c r="AD11" s="33">
        <f>INVESTORS_LIST[[#This Row],[LS_TOTAL COST VALUE OF CURRENT UNITS]]+INVESTORS_LIST[[#This Row],[SIP_TOTAL COST VALUE OF CURRENT UNITS]]</f>
        <v>0</v>
      </c>
      <c r="AE11" s="44">
        <f>IF(INVESTORS_LIST[[#This Row],[TOTAL CURRENT UNITS]]=0,0,INVESTORS_LIST[[#This Row],[LS_TOTAL CURRENT UNITS]]/INVESTORS_LIST[[#This Row],[TOTAL CURRENT UNITS]])</f>
        <v>0</v>
      </c>
      <c r="AF11" s="44">
        <f>IF(INVESTORS_LIST[[#This Row],[TOTAL CURRENT UNITS]]=0,0,INVESTORS_LIST[[#This Row],[SIP_TOTAL CURRENT UNITS]]/INVESTORS_LIST[[#This Row],[TOTAL CURRENT UNITS]])</f>
        <v>0</v>
      </c>
      <c r="AG11" s="4" cm="1">
        <f t="array" ref="AG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1" s="4" cm="1">
        <f t="array" ref="AH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1" s="178">
        <f t="shared" si="0"/>
        <v>12.552</v>
      </c>
      <c r="AK11" s="118">
        <f>IF(INVESTORS_LIST[[#This Row],[TOTAL CURRENT UNITS]]=0,0,INVESTORS_LIST[[#This Row],[TOTAL CURRENT UNITS]]*INVESTORS_LIST[[#This Row],[NAV]])</f>
        <v>0</v>
      </c>
      <c r="AL11" s="4">
        <f>IF(INVESTORS_LIST[[#This Row],[LS_TOTAL CURRENT UNITS]]=0,0,INVESTORS_LIST[[#This Row],[LS_TOTAL CURRENT UNITS]]*INVESTORS_LIST[[#This Row],[NAV]])</f>
        <v>0</v>
      </c>
      <c r="AM11" s="6">
        <f>IF(INVESTORS_LIST[[#This Row],[SIP_TOTAL CURRENT UNITS]]=0,0,INVESTORS_LIST[[#This Row],[SIP_TOTAL CURRENT UNITS]]*INVESTORS_LIST[[#This Row],[NAV]])</f>
        <v>0</v>
      </c>
      <c r="AO11" s="6">
        <f>IF(INVESTORS_LIST[[#This Row],[TOTAL SELLABLE UNITS]]=0,0,INVESTORS_LIST[[#This Row],[TOTAL SELLABLE UNITS]]*INVESTORS_LIST[[#This Row],[NAV]])</f>
        <v>0</v>
      </c>
      <c r="AP11" s="6">
        <f>INVESTORS_LIST[[#This Row],[LS_TOTAL REALIZED GAIN]]+INVESTORS_LIST[[#This Row],[SIP_TOTAL REALIZED GAIN]]</f>
        <v>0</v>
      </c>
      <c r="AQ11" s="6">
        <f>INVESTORS_LIST[[#This Row],[TOTAL MARKET VALUE]]-INVESTORS_LIST[[#This Row],[TOTAL COST VALUE OF CURRENT INVESTMENT]]</f>
        <v>0</v>
      </c>
      <c r="AR11" s="6">
        <f>SUMIFS(DivAndTax[Tax Amount],DivAndTax[Investor ID],INVESTORS_LIST[[#This Row],[INVESTOR CODE]])</f>
        <v>0</v>
      </c>
      <c r="AS11" s="6">
        <f>SUMIFS(DivAndTax[Gross Dividend],DivAndTax[Investor ID],INVESTORS_LIST[[#This Row],[INVESTOR CODE]])</f>
        <v>0</v>
      </c>
      <c r="AT11" s="5">
        <f>IFERROR(INVESTORS_LIST[[#This Row],[TOTAL CURRENT UNITS]]/SUM(INVESTORS_LIST[TOTAL CURRENT UNITS]),0)</f>
        <v>0</v>
      </c>
    </row>
    <row r="12" spans="1:55" hidden="1">
      <c r="A12" t="s">
        <v>724</v>
      </c>
      <c r="B12" t="s">
        <v>19</v>
      </c>
      <c r="C12" t="s">
        <v>536</v>
      </c>
      <c r="D12" s="8" t="s">
        <v>2</v>
      </c>
      <c r="E12" s="2">
        <f>SUMIFS(LS[Unit],LS[Investor ID],INVESTORS_LIST[[#This Row],[INVESTOR CODE]],LS[B/S],"B")</f>
        <v>0</v>
      </c>
      <c r="F12" s="2">
        <f>-SUMIFS(LS[Unit],LS[Investor ID],INVESTORS_LIST[[#This Row],[INVESTOR CODE]],LS[B/S],"S")</f>
        <v>0</v>
      </c>
      <c r="G12" s="2">
        <f>IF(INVESTORS_LIST[[#This Row],[LS_TOTAL UNITS BUY]]=0,0,INVESTORS_LIST[[#This Row],[LS_TOTAL UNITS BUY]]-INVESTORS_LIST[[#This Row],[LS_TOTAL UNITS SOLD]])</f>
        <v>0</v>
      </c>
      <c r="H12" s="4">
        <f>IF(INVESTORS_LIST[[#This Row],[LS_TOTAL UNITS BUY]]=0,0,SUMIFS(LS[Amount],LS[Investor ID],INVESTORS_LIST[[#This Row],[INVESTOR CODE]],LS[B/S],"B"))</f>
        <v>0</v>
      </c>
      <c r="I12" s="6">
        <f>IF(INVESTORS_LIST[[#This Row],[LS_TOTAL UNITS SOLD]]=0,0,SUMIFS(LS[Cost of Units Sold],LS[Investor ID],INVESTORS_LIST[[#This Row],[INVESTOR CODE]],LS[B/S],"S"))</f>
        <v>0</v>
      </c>
      <c r="J12" s="6">
        <f>IF(INVESTORS_LIST[[#This Row],[LS_TOTAL CURRENT UNITS]]=0,0,INVESTORS_LIST[[#This Row],[LS_TOTAL CURRENT UNITS]]*INVESTORS_LIST[[#This Row],[LS_AVERAGE COST]])</f>
        <v>0</v>
      </c>
      <c r="K12" s="4">
        <f>IF(INVESTORS_LIST[[#This Row],[LS_TOTAL UNITS SOLD]]=0,0,SUMIFS(LS[Realized Gain],LS[Investor ID],INVESTORS_LIST[[#This Row],[INVESTOR CODE]],LS[B/S],"S"))</f>
        <v>0</v>
      </c>
      <c r="L12" s="2">
        <f>SUMIFS(SIP[Unit],SIP[Investor ID],INVESTORS_LIST[[#This Row],[INVESTOR CODE]],SIP[B/S],"B")</f>
        <v>0</v>
      </c>
      <c r="M12" s="2">
        <f>-SUMIFS(SIP[Unit],SIP[Investor ID],INVESTORS_LIST[[#This Row],[INVESTOR CODE]],SIP[B/S],"S")</f>
        <v>0</v>
      </c>
      <c r="N12" s="33">
        <f>IF(INVESTORS_LIST[[#This Row],[SIP_TOTAL UNITS BUY]]=0,0,INVESTORS_LIST[[#This Row],[SIP_TOTAL UNITS BUY]]-INVESTORS_LIST[[#This Row],[SIP_TOTAL UNITS SOLD]])</f>
        <v>0</v>
      </c>
      <c r="O12" s="4">
        <f>IF(INVESTORS_LIST[[#This Row],[SIP_TOTAL UNITS BUY]]=0,0,SUMIFS(SIP[Amount],SIP[Investor ID],INVESTORS_LIST[[#This Row],[INVESTOR CODE]],SIP[B/S],"B"))</f>
        <v>0</v>
      </c>
      <c r="P12" s="4">
        <f>IF(INVESTORS_LIST[[#This Row],[SIP_TOTAL UNITS SOLD]]=0,0,SUMIFS(SIP[Cost of Units Sold],SIP[Investor ID],INVESTORS_LIST[[#This Row],[INVESTOR CODE]],SIP[B/S],"S"))</f>
        <v>0</v>
      </c>
      <c r="Q12" s="6">
        <f>IF(INVESTORS_LIST[[#This Row],[SIP_TOTAL CURRENT UNITS]]=0,0,INVESTORS_LIST[[#This Row],[SIP_TOTAL CURRENT UNITS]]*INVESTORS_LIST[[#This Row],[SIP_AVERAGE COST]])</f>
        <v>0</v>
      </c>
      <c r="R12" s="6">
        <f>IF(INVESTORS_LIST[[#This Row],[SIP_TOTAL UNITS SOLD]]=0,0,SUMIFS(SIP[Realized Gain],SIP[Investor ID],INVESTORS_LIST[[#This Row],[INVESTOR CODE]],SIP[B/S],"S"))</f>
        <v>0</v>
      </c>
      <c r="S12" s="33">
        <f>INVESTORS_LIST[[#This Row],[LS_TOTAL UNITS BUY]]+INVESTORS_LIST[[#This Row],[SIP_TOTAL UNITS BUY]]</f>
        <v>0</v>
      </c>
      <c r="T12" s="33">
        <f>INVESTORS_LIST[[#This Row],[LS_TOTAL UNITS SOLD]]+INVESTORS_LIST[[#This Row],[SIP_TOTAL UNITS SOLD]]</f>
        <v>0</v>
      </c>
      <c r="U12" s="33">
        <v>0</v>
      </c>
      <c r="V12" s="33">
        <f>SUMIFS(LS[BO UNIT TRANSFER],LS[Investor ID],INVESTORS_LIST[[#This Row],[INVESTOR CODE]],LS[B/S],"B")</f>
        <v>0</v>
      </c>
      <c r="W12" s="33">
        <f>SUMIFS(LS[BO UNIT TRANSFER],LS[Investor ID],INVESTORS_LIST[[#This Row],[INVESTOR CODE]],LS[B/S],"S")</f>
        <v>0</v>
      </c>
      <c r="X12" s="33">
        <f>SUMIFS(SIP[BO UNIT TRANSFER],SIP[Investor ID],INVESTORS_LIST[[#This Row],[INVESTOR CODE]],SIP[B/S],"S")</f>
        <v>0</v>
      </c>
      <c r="Y12" s="33">
        <f>SUMIFS(SIP[BO UNIT TRANSFER],SIP[Investor ID],INVESTORS_LIST[[#This Row],[INVESTOR CODE]],SIP[B/S],"B")</f>
        <v>0</v>
      </c>
      <c r="Z1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2" s="119">
        <f>INVESTORS_LIST[[#This Row],[TOTAL UNITS BUY]]-INVESTORS_LIST[[#This Row],[TOTAL UNITS SOLD]]</f>
        <v>0</v>
      </c>
      <c r="AB12" s="119">
        <f>INVESTORS_LIST[[#This Row],[TOTAL CURRENT UNITS]]-INVESTORS_LIST[[#This Row],[BO UNITS HOLD]]</f>
        <v>0</v>
      </c>
      <c r="AC12" s="119" t="e">
        <f>INDEX([4]!Table_1[BO ID],MATCH(INVESTORS_LIST[[#This Row],[INVESTOR CODE]],[4]!Table_1[INVESTOR CODE],0))</f>
        <v>#REF!</v>
      </c>
      <c r="AD12" s="33">
        <f>INVESTORS_LIST[[#This Row],[LS_TOTAL COST VALUE OF CURRENT UNITS]]+INVESTORS_LIST[[#This Row],[SIP_TOTAL COST VALUE OF CURRENT UNITS]]</f>
        <v>0</v>
      </c>
      <c r="AE12" s="44">
        <f>IF(INVESTORS_LIST[[#This Row],[TOTAL CURRENT UNITS]]=0,0,INVESTORS_LIST[[#This Row],[LS_TOTAL CURRENT UNITS]]/INVESTORS_LIST[[#This Row],[TOTAL CURRENT UNITS]])</f>
        <v>0</v>
      </c>
      <c r="AF12" s="44">
        <f>IF(INVESTORS_LIST[[#This Row],[TOTAL CURRENT UNITS]]=0,0,INVESTORS_LIST[[#This Row],[SIP_TOTAL CURRENT UNITS]]/INVESTORS_LIST[[#This Row],[TOTAL CURRENT UNITS]])</f>
        <v>0</v>
      </c>
      <c r="AG12" s="4" cm="1">
        <f t="array" ref="AG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2" s="4" cm="1">
        <f t="array" ref="AH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2" s="178">
        <f t="shared" si="0"/>
        <v>12.552</v>
      </c>
      <c r="AK12" s="118">
        <f>IF(INVESTORS_LIST[[#This Row],[TOTAL CURRENT UNITS]]=0,0,INVESTORS_LIST[[#This Row],[TOTAL CURRENT UNITS]]*INVESTORS_LIST[[#This Row],[NAV]])</f>
        <v>0</v>
      </c>
      <c r="AL12" s="4">
        <f>IF(INVESTORS_LIST[[#This Row],[LS_TOTAL CURRENT UNITS]]=0,0,INVESTORS_LIST[[#This Row],[LS_TOTAL CURRENT UNITS]]*INVESTORS_LIST[[#This Row],[NAV]])</f>
        <v>0</v>
      </c>
      <c r="AM12" s="6">
        <f>IF(INVESTORS_LIST[[#This Row],[SIP_TOTAL CURRENT UNITS]]=0,0,INVESTORS_LIST[[#This Row],[SIP_TOTAL CURRENT UNITS]]*INVESTORS_LIST[[#This Row],[NAV]])</f>
        <v>0</v>
      </c>
      <c r="AO12" s="6">
        <f>IF(INVESTORS_LIST[[#This Row],[TOTAL SELLABLE UNITS]]=0,0,INVESTORS_LIST[[#This Row],[TOTAL SELLABLE UNITS]]*INVESTORS_LIST[[#This Row],[NAV]])</f>
        <v>0</v>
      </c>
      <c r="AP12" s="6">
        <f>INVESTORS_LIST[[#This Row],[LS_TOTAL REALIZED GAIN]]+INVESTORS_LIST[[#This Row],[SIP_TOTAL REALIZED GAIN]]</f>
        <v>0</v>
      </c>
      <c r="AQ12" s="6">
        <f>INVESTORS_LIST[[#This Row],[TOTAL MARKET VALUE]]-INVESTORS_LIST[[#This Row],[TOTAL COST VALUE OF CURRENT INVESTMENT]]</f>
        <v>0</v>
      </c>
      <c r="AR12" s="6">
        <f>SUMIFS(DivAndTax[Tax Amount],DivAndTax[Investor ID],INVESTORS_LIST[[#This Row],[INVESTOR CODE]])</f>
        <v>0</v>
      </c>
      <c r="AS12" s="6">
        <f>SUMIFS(DivAndTax[Gross Dividend],DivAndTax[Investor ID],INVESTORS_LIST[[#This Row],[INVESTOR CODE]])</f>
        <v>0</v>
      </c>
      <c r="AT12" s="5">
        <f>IFERROR(INVESTORS_LIST[[#This Row],[TOTAL CURRENT UNITS]]/SUM(INVESTORS_LIST[TOTAL CURRENT UNITS]),0)</f>
        <v>0</v>
      </c>
    </row>
    <row r="13" spans="1:55" hidden="1">
      <c r="A13" t="s">
        <v>725</v>
      </c>
      <c r="B13" t="s">
        <v>20</v>
      </c>
      <c r="C13" t="s">
        <v>536</v>
      </c>
      <c r="D13" s="8" t="s">
        <v>2</v>
      </c>
      <c r="E13" s="2">
        <f>SUMIFS(LS[Unit],LS[Investor ID],INVESTORS_LIST[[#This Row],[INVESTOR CODE]],LS[B/S],"B")</f>
        <v>0</v>
      </c>
      <c r="F13" s="2">
        <f>-SUMIFS(LS[Unit],LS[Investor ID],INVESTORS_LIST[[#This Row],[INVESTOR CODE]],LS[B/S],"S")</f>
        <v>0</v>
      </c>
      <c r="G13" s="2">
        <f>IF(INVESTORS_LIST[[#This Row],[LS_TOTAL UNITS BUY]]=0,0,INVESTORS_LIST[[#This Row],[LS_TOTAL UNITS BUY]]-INVESTORS_LIST[[#This Row],[LS_TOTAL UNITS SOLD]])</f>
        <v>0</v>
      </c>
      <c r="H13" s="4">
        <f>IF(INVESTORS_LIST[[#This Row],[LS_TOTAL UNITS BUY]]=0,0,SUMIFS(LS[Amount],LS[Investor ID],INVESTORS_LIST[[#This Row],[INVESTOR CODE]],LS[B/S],"B"))</f>
        <v>0</v>
      </c>
      <c r="I13" s="6">
        <f>IF(INVESTORS_LIST[[#This Row],[LS_TOTAL UNITS SOLD]]=0,0,SUMIFS(LS[Cost of Units Sold],LS[Investor ID],INVESTORS_LIST[[#This Row],[INVESTOR CODE]],LS[B/S],"S"))</f>
        <v>0</v>
      </c>
      <c r="J13" s="6">
        <f>IF(INVESTORS_LIST[[#This Row],[LS_TOTAL CURRENT UNITS]]=0,0,INVESTORS_LIST[[#This Row],[LS_TOTAL CURRENT UNITS]]*INVESTORS_LIST[[#This Row],[LS_AVERAGE COST]])</f>
        <v>0</v>
      </c>
      <c r="K13" s="4">
        <f>IF(INVESTORS_LIST[[#This Row],[LS_TOTAL UNITS SOLD]]=0,0,SUMIFS(LS[Realized Gain],LS[Investor ID],INVESTORS_LIST[[#This Row],[INVESTOR CODE]],LS[B/S],"S"))</f>
        <v>0</v>
      </c>
      <c r="L13" s="2">
        <f>SUMIFS(SIP[Unit],SIP[Investor ID],INVESTORS_LIST[[#This Row],[INVESTOR CODE]],SIP[B/S],"B")</f>
        <v>0</v>
      </c>
      <c r="M13" s="2">
        <f>-SUMIFS(SIP[Unit],SIP[Investor ID],INVESTORS_LIST[[#This Row],[INVESTOR CODE]],SIP[B/S],"S")</f>
        <v>0</v>
      </c>
      <c r="N13" s="33">
        <f>IF(INVESTORS_LIST[[#This Row],[SIP_TOTAL UNITS BUY]]=0,0,INVESTORS_LIST[[#This Row],[SIP_TOTAL UNITS BUY]]-INVESTORS_LIST[[#This Row],[SIP_TOTAL UNITS SOLD]])</f>
        <v>0</v>
      </c>
      <c r="O13" s="4">
        <f>IF(INVESTORS_LIST[[#This Row],[SIP_TOTAL UNITS BUY]]=0,0,SUMIFS(SIP[Amount],SIP[Investor ID],INVESTORS_LIST[[#This Row],[INVESTOR CODE]],SIP[B/S],"B"))</f>
        <v>0</v>
      </c>
      <c r="P13" s="4">
        <f>IF(INVESTORS_LIST[[#This Row],[SIP_TOTAL UNITS SOLD]]=0,0,SUMIFS(SIP[Cost of Units Sold],SIP[Investor ID],INVESTORS_LIST[[#This Row],[INVESTOR CODE]],SIP[B/S],"S"))</f>
        <v>0</v>
      </c>
      <c r="Q13" s="6">
        <f>IF(INVESTORS_LIST[[#This Row],[SIP_TOTAL CURRENT UNITS]]=0,0,INVESTORS_LIST[[#This Row],[SIP_TOTAL CURRENT UNITS]]*INVESTORS_LIST[[#This Row],[SIP_AVERAGE COST]])</f>
        <v>0</v>
      </c>
      <c r="R13" s="6">
        <f>IF(INVESTORS_LIST[[#This Row],[SIP_TOTAL UNITS SOLD]]=0,0,SUMIFS(SIP[Realized Gain],SIP[Investor ID],INVESTORS_LIST[[#This Row],[INVESTOR CODE]],SIP[B/S],"S"))</f>
        <v>0</v>
      </c>
      <c r="S13" s="33">
        <f>INVESTORS_LIST[[#This Row],[LS_TOTAL UNITS BUY]]+INVESTORS_LIST[[#This Row],[SIP_TOTAL UNITS BUY]]</f>
        <v>0</v>
      </c>
      <c r="T13" s="33">
        <f>INVESTORS_LIST[[#This Row],[LS_TOTAL UNITS SOLD]]+INVESTORS_LIST[[#This Row],[SIP_TOTAL UNITS SOLD]]</f>
        <v>0</v>
      </c>
      <c r="U13" s="33">
        <v>0</v>
      </c>
      <c r="V13" s="33">
        <f>SUMIFS(LS[BO UNIT TRANSFER],LS[Investor ID],INVESTORS_LIST[[#This Row],[INVESTOR CODE]],LS[B/S],"B")</f>
        <v>0</v>
      </c>
      <c r="W13" s="33">
        <f>SUMIFS(LS[BO UNIT TRANSFER],LS[Investor ID],INVESTORS_LIST[[#This Row],[INVESTOR CODE]],LS[B/S],"S")</f>
        <v>0</v>
      </c>
      <c r="X13" s="33">
        <f>SUMIFS(SIP[BO UNIT TRANSFER],SIP[Investor ID],INVESTORS_LIST[[#This Row],[INVESTOR CODE]],SIP[B/S],"S")</f>
        <v>0</v>
      </c>
      <c r="Y13" s="33">
        <f>SUMIFS(SIP[BO UNIT TRANSFER],SIP[Investor ID],INVESTORS_LIST[[#This Row],[INVESTOR CODE]],SIP[B/S],"B")</f>
        <v>0</v>
      </c>
      <c r="Z1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3" s="119">
        <f>INVESTORS_LIST[[#This Row],[TOTAL UNITS BUY]]-INVESTORS_LIST[[#This Row],[TOTAL UNITS SOLD]]</f>
        <v>0</v>
      </c>
      <c r="AB13" s="119">
        <f>INVESTORS_LIST[[#This Row],[TOTAL CURRENT UNITS]]-INVESTORS_LIST[[#This Row],[BO UNITS HOLD]]</f>
        <v>0</v>
      </c>
      <c r="AC13" s="119" t="e">
        <f>INDEX([4]!Table_1[BO ID],MATCH(INVESTORS_LIST[[#This Row],[INVESTOR CODE]],[4]!Table_1[INVESTOR CODE],0))</f>
        <v>#REF!</v>
      </c>
      <c r="AD13" s="33">
        <f>INVESTORS_LIST[[#This Row],[LS_TOTAL COST VALUE OF CURRENT UNITS]]+INVESTORS_LIST[[#This Row],[SIP_TOTAL COST VALUE OF CURRENT UNITS]]</f>
        <v>0</v>
      </c>
      <c r="AE13" s="44">
        <f>IF(INVESTORS_LIST[[#This Row],[TOTAL CURRENT UNITS]]=0,0,INVESTORS_LIST[[#This Row],[LS_TOTAL CURRENT UNITS]]/INVESTORS_LIST[[#This Row],[TOTAL CURRENT UNITS]])</f>
        <v>0</v>
      </c>
      <c r="AF13" s="44">
        <f>IF(INVESTORS_LIST[[#This Row],[TOTAL CURRENT UNITS]]=0,0,INVESTORS_LIST[[#This Row],[SIP_TOTAL CURRENT UNITS]]/INVESTORS_LIST[[#This Row],[TOTAL CURRENT UNITS]])</f>
        <v>0</v>
      </c>
      <c r="AG13" s="4" cm="1">
        <f t="array" ref="AG1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3" s="4" cm="1">
        <f t="array" ref="AH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3" s="178">
        <f t="shared" si="0"/>
        <v>12.552</v>
      </c>
      <c r="AK13" s="118">
        <f>IF(INVESTORS_LIST[[#This Row],[TOTAL CURRENT UNITS]]=0,0,INVESTORS_LIST[[#This Row],[TOTAL CURRENT UNITS]]*INVESTORS_LIST[[#This Row],[NAV]])</f>
        <v>0</v>
      </c>
      <c r="AL13" s="4">
        <f>IF(INVESTORS_LIST[[#This Row],[LS_TOTAL CURRENT UNITS]]=0,0,INVESTORS_LIST[[#This Row],[LS_TOTAL CURRENT UNITS]]*INVESTORS_LIST[[#This Row],[NAV]])</f>
        <v>0</v>
      </c>
      <c r="AM13" s="6">
        <f>IF(INVESTORS_LIST[[#This Row],[SIP_TOTAL CURRENT UNITS]]=0,0,INVESTORS_LIST[[#This Row],[SIP_TOTAL CURRENT UNITS]]*INVESTORS_LIST[[#This Row],[NAV]])</f>
        <v>0</v>
      </c>
      <c r="AO13" s="6">
        <f>IF(INVESTORS_LIST[[#This Row],[TOTAL SELLABLE UNITS]]=0,0,INVESTORS_LIST[[#This Row],[TOTAL SELLABLE UNITS]]*INVESTORS_LIST[[#This Row],[NAV]])</f>
        <v>0</v>
      </c>
      <c r="AP13" s="6">
        <f>INVESTORS_LIST[[#This Row],[LS_TOTAL REALIZED GAIN]]+INVESTORS_LIST[[#This Row],[SIP_TOTAL REALIZED GAIN]]</f>
        <v>0</v>
      </c>
      <c r="AQ13" s="6">
        <f>INVESTORS_LIST[[#This Row],[TOTAL MARKET VALUE]]-INVESTORS_LIST[[#This Row],[TOTAL COST VALUE OF CURRENT INVESTMENT]]</f>
        <v>0</v>
      </c>
      <c r="AR13" s="6">
        <f>SUMIFS(DivAndTax[Tax Amount],DivAndTax[Investor ID],INVESTORS_LIST[[#This Row],[INVESTOR CODE]])</f>
        <v>0</v>
      </c>
      <c r="AS13" s="6">
        <f>SUMIFS(DivAndTax[Gross Dividend],DivAndTax[Investor ID],INVESTORS_LIST[[#This Row],[INVESTOR CODE]])</f>
        <v>0</v>
      </c>
      <c r="AT13" s="5">
        <f>IFERROR(INVESTORS_LIST[[#This Row],[TOTAL CURRENT UNITS]]/SUM(INVESTORS_LIST[TOTAL CURRENT UNITS]),0)</f>
        <v>0</v>
      </c>
    </row>
    <row r="14" spans="1:55" hidden="1">
      <c r="A14" t="s">
        <v>614</v>
      </c>
      <c r="B14" t="s">
        <v>21</v>
      </c>
      <c r="C14" t="s">
        <v>538</v>
      </c>
      <c r="D14" s="8" t="s">
        <v>2</v>
      </c>
      <c r="E14" s="2">
        <f>SUMIFS(LS[Unit],LS[Investor ID],INVESTORS_LIST[[#This Row],[INVESTOR CODE]],LS[B/S],"B")</f>
        <v>150000</v>
      </c>
      <c r="F14" s="2">
        <f>-SUMIFS(LS[Unit],LS[Investor ID],INVESTORS_LIST[[#This Row],[INVESTOR CODE]],LS[B/S],"S")</f>
        <v>150000</v>
      </c>
      <c r="G14" s="2">
        <f>IF(INVESTORS_LIST[[#This Row],[LS_TOTAL UNITS BUY]]=0,0,INVESTORS_LIST[[#This Row],[LS_TOTAL UNITS BUY]]-INVESTORS_LIST[[#This Row],[LS_TOTAL UNITS SOLD]])</f>
        <v>0</v>
      </c>
      <c r="H14" s="4">
        <f>IF(INVESTORS_LIST[[#This Row],[LS_TOTAL UNITS BUY]]=0,0,SUMIFS(LS[Amount],LS[Investor ID],INVESTORS_LIST[[#This Row],[INVESTOR CODE]],LS[B/S],"B"))</f>
        <v>1500000</v>
      </c>
      <c r="I14" s="6">
        <f>IF(INVESTORS_LIST[[#This Row],[LS_TOTAL UNITS SOLD]]=0,0,SUMIFS(LS[Cost of Units Sold],LS[Investor ID],INVESTORS_LIST[[#This Row],[INVESTOR CODE]],LS[B/S],"S"))</f>
        <v>1500000</v>
      </c>
      <c r="J14" s="6">
        <f>IF(INVESTORS_LIST[[#This Row],[LS_TOTAL CURRENT UNITS]]=0,0,INVESTORS_LIST[[#This Row],[LS_TOTAL CURRENT UNITS]]*INVESTORS_LIST[[#This Row],[LS_AVERAGE COST]])</f>
        <v>0</v>
      </c>
      <c r="K14" s="4">
        <f>IF(INVESTORS_LIST[[#This Row],[LS_TOTAL UNITS SOLD]]=0,0,SUMIFS(LS[Realized Gain],LS[Investor ID],INVESTORS_LIST[[#This Row],[INVESTOR CODE]],LS[B/S],"S"))</f>
        <v>46534.999999999905</v>
      </c>
      <c r="L14" s="2">
        <f>SUMIFS(SIP[Unit],SIP[Investor ID],INVESTORS_LIST[[#This Row],[INVESTOR CODE]],SIP[B/S],"B")</f>
        <v>0</v>
      </c>
      <c r="M14" s="2">
        <f>-SUMIFS(SIP[Unit],SIP[Investor ID],INVESTORS_LIST[[#This Row],[INVESTOR CODE]],SIP[B/S],"S")</f>
        <v>0</v>
      </c>
      <c r="N14" s="33">
        <f>IF(INVESTORS_LIST[[#This Row],[SIP_TOTAL UNITS BUY]]=0,0,INVESTORS_LIST[[#This Row],[SIP_TOTAL UNITS BUY]]-INVESTORS_LIST[[#This Row],[SIP_TOTAL UNITS SOLD]])</f>
        <v>0</v>
      </c>
      <c r="O14" s="4">
        <f>IF(INVESTORS_LIST[[#This Row],[SIP_TOTAL UNITS BUY]]=0,0,SUMIFS(SIP[Amount],SIP[Investor ID],INVESTORS_LIST[[#This Row],[INVESTOR CODE]],SIP[B/S],"B"))</f>
        <v>0</v>
      </c>
      <c r="P14" s="4">
        <f>IF(INVESTORS_LIST[[#This Row],[SIP_TOTAL UNITS SOLD]]=0,0,SUMIFS(SIP[Cost of Units Sold],SIP[Investor ID],INVESTORS_LIST[[#This Row],[INVESTOR CODE]],SIP[B/S],"S"))</f>
        <v>0</v>
      </c>
      <c r="Q14" s="6">
        <f>IF(INVESTORS_LIST[[#This Row],[SIP_TOTAL CURRENT UNITS]]=0,0,INVESTORS_LIST[[#This Row],[SIP_TOTAL CURRENT UNITS]]*INVESTORS_LIST[[#This Row],[SIP_AVERAGE COST]])</f>
        <v>0</v>
      </c>
      <c r="R14" s="6">
        <f>IF(INVESTORS_LIST[[#This Row],[SIP_TOTAL UNITS SOLD]]=0,0,SUMIFS(SIP[Realized Gain],SIP[Investor ID],INVESTORS_LIST[[#This Row],[INVESTOR CODE]],SIP[B/S],"S"))</f>
        <v>0</v>
      </c>
      <c r="S14" s="33">
        <f>INVESTORS_LIST[[#This Row],[LS_TOTAL UNITS BUY]]+INVESTORS_LIST[[#This Row],[SIP_TOTAL UNITS BUY]]</f>
        <v>150000</v>
      </c>
      <c r="T14" s="33">
        <f>INVESTORS_LIST[[#This Row],[LS_TOTAL UNITS SOLD]]+INVESTORS_LIST[[#This Row],[SIP_TOTAL UNITS SOLD]]</f>
        <v>150000</v>
      </c>
      <c r="U14" s="33">
        <v>0</v>
      </c>
      <c r="V14" s="33">
        <f>SUMIFS(LS[BO UNIT TRANSFER],LS[Investor ID],INVESTORS_LIST[[#This Row],[INVESTOR CODE]],LS[B/S],"B")</f>
        <v>0</v>
      </c>
      <c r="W14" s="33">
        <f>SUMIFS(LS[BO UNIT TRANSFER],LS[Investor ID],INVESTORS_LIST[[#This Row],[INVESTOR CODE]],LS[B/S],"S")</f>
        <v>0</v>
      </c>
      <c r="X14" s="33">
        <f>SUMIFS(SIP[BO UNIT TRANSFER],SIP[Investor ID],INVESTORS_LIST[[#This Row],[INVESTOR CODE]],SIP[B/S],"S")</f>
        <v>0</v>
      </c>
      <c r="Y14" s="33">
        <f>SUMIFS(SIP[BO UNIT TRANSFER],SIP[Investor ID],INVESTORS_LIST[[#This Row],[INVESTOR CODE]],SIP[B/S],"B")</f>
        <v>0</v>
      </c>
      <c r="Z1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4" s="119">
        <f>INVESTORS_LIST[[#This Row],[TOTAL UNITS BUY]]-INVESTORS_LIST[[#This Row],[TOTAL UNITS SOLD]]</f>
        <v>0</v>
      </c>
      <c r="AB14" s="119">
        <f>INVESTORS_LIST[[#This Row],[TOTAL CURRENT UNITS]]-INVESTORS_LIST[[#This Row],[BO UNITS HOLD]]</f>
        <v>0</v>
      </c>
      <c r="AC14" s="119" t="e">
        <f>INDEX([4]!Table_1[BO ID],MATCH(INVESTORS_LIST[[#This Row],[INVESTOR CODE]],[4]!Table_1[INVESTOR CODE],0))</f>
        <v>#REF!</v>
      </c>
      <c r="AD14" s="33">
        <f>INVESTORS_LIST[[#This Row],[LS_TOTAL COST VALUE OF CURRENT UNITS]]+INVESTORS_LIST[[#This Row],[SIP_TOTAL COST VALUE OF CURRENT UNITS]]</f>
        <v>0</v>
      </c>
      <c r="AE14" s="44">
        <f>IF(INVESTORS_LIST[[#This Row],[TOTAL CURRENT UNITS]]=0,0,INVESTORS_LIST[[#This Row],[LS_TOTAL CURRENT UNITS]]/INVESTORS_LIST[[#This Row],[TOTAL CURRENT UNITS]])</f>
        <v>0</v>
      </c>
      <c r="AF14" s="44">
        <f>IF(INVESTORS_LIST[[#This Row],[TOTAL CURRENT UNITS]]=0,0,INVESTORS_LIST[[#This Row],[SIP_TOTAL CURRENT UNITS]]/INVESTORS_LIST[[#This Row],[TOTAL CURRENT UNITS]])</f>
        <v>0</v>
      </c>
      <c r="AG14" s="4" cm="1">
        <f t="array" ref="AG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4" s="4" cm="1">
        <f t="array" ref="AH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4" s="178">
        <f t="shared" si="0"/>
        <v>12.552</v>
      </c>
      <c r="AK14" s="118">
        <f>IF(INVESTORS_LIST[[#This Row],[TOTAL CURRENT UNITS]]=0,0,INVESTORS_LIST[[#This Row],[TOTAL CURRENT UNITS]]*INVESTORS_LIST[[#This Row],[NAV]])</f>
        <v>0</v>
      </c>
      <c r="AL14" s="4">
        <f>IF(INVESTORS_LIST[[#This Row],[LS_TOTAL CURRENT UNITS]]=0,0,INVESTORS_LIST[[#This Row],[LS_TOTAL CURRENT UNITS]]*INVESTORS_LIST[[#This Row],[NAV]])</f>
        <v>0</v>
      </c>
      <c r="AM14" s="6">
        <f>IF(INVESTORS_LIST[[#This Row],[SIP_TOTAL CURRENT UNITS]]=0,0,INVESTORS_LIST[[#This Row],[SIP_TOTAL CURRENT UNITS]]*INVESTORS_LIST[[#This Row],[NAV]])</f>
        <v>0</v>
      </c>
      <c r="AO14" s="6">
        <f>IF(INVESTORS_LIST[[#This Row],[TOTAL SELLABLE UNITS]]=0,0,INVESTORS_LIST[[#This Row],[TOTAL SELLABLE UNITS]]*INVESTORS_LIST[[#This Row],[NAV]])</f>
        <v>0</v>
      </c>
      <c r="AP14" s="6">
        <f>INVESTORS_LIST[[#This Row],[LS_TOTAL REALIZED GAIN]]+INVESTORS_LIST[[#This Row],[SIP_TOTAL REALIZED GAIN]]</f>
        <v>46534.999999999905</v>
      </c>
      <c r="AQ14" s="6">
        <f>INVESTORS_LIST[[#This Row],[TOTAL MARKET VALUE]]-INVESTORS_LIST[[#This Row],[TOTAL COST VALUE OF CURRENT INVESTMENT]]</f>
        <v>0</v>
      </c>
      <c r="AR14" s="6">
        <f>SUMIFS(DivAndTax[Tax Amount],DivAndTax[Investor ID],INVESTORS_LIST[[#This Row],[INVESTOR CODE]])</f>
        <v>0</v>
      </c>
      <c r="AS14" s="6">
        <f>SUMIFS(DivAndTax[Gross Dividend],DivAndTax[Investor ID],INVESTORS_LIST[[#This Row],[INVESTOR CODE]])</f>
        <v>0</v>
      </c>
      <c r="AT14" s="5">
        <f>IFERROR(INVESTORS_LIST[[#This Row],[TOTAL CURRENT UNITS]]/SUM(INVESTORS_LIST[TOTAL CURRENT UNITS]),0)</f>
        <v>0</v>
      </c>
    </row>
    <row r="15" spans="1:55">
      <c r="A15" t="s">
        <v>726</v>
      </c>
      <c r="B15" t="s">
        <v>22</v>
      </c>
      <c r="C15" t="s">
        <v>536</v>
      </c>
      <c r="D15" s="8" t="s">
        <v>2</v>
      </c>
      <c r="E15" s="2">
        <f>SUMIFS(LS[Unit],LS[Investor ID],INVESTORS_LIST[[#This Row],[INVESTOR CODE]],LS[B/S],"B")</f>
        <v>21897</v>
      </c>
      <c r="F15" s="2">
        <f>-SUMIFS(LS[Unit],LS[Investor ID],INVESTORS_LIST[[#This Row],[INVESTOR CODE]],LS[B/S],"S")</f>
        <v>0</v>
      </c>
      <c r="G15" s="2">
        <f>IF(INVESTORS_LIST[[#This Row],[LS_TOTAL UNITS BUY]]=0,0,INVESTORS_LIST[[#This Row],[LS_TOTAL UNITS BUY]]-INVESTORS_LIST[[#This Row],[LS_TOTAL UNITS SOLD]])</f>
        <v>21897</v>
      </c>
      <c r="H15" s="4">
        <f>IF(INVESTORS_LIST[[#This Row],[LS_TOTAL UNITS BUY]]=0,0,SUMIFS(LS[Amount],LS[Investor ID],INVESTORS_LIST[[#This Row],[INVESTOR CODE]],LS[B/S],"B"))</f>
        <v>221171.5</v>
      </c>
      <c r="I15" s="6">
        <f>IF(INVESTORS_LIST[[#This Row],[LS_TOTAL UNITS SOLD]]=0,0,SUMIFS(LS[Cost of Units Sold],LS[Investor ID],INVESTORS_LIST[[#This Row],[INVESTOR CODE]],LS[B/S],"S"))</f>
        <v>0</v>
      </c>
      <c r="J15" s="6">
        <f>IF(INVESTORS_LIST[[#This Row],[LS_TOTAL CURRENT UNITS]]=0,0,INVESTORS_LIST[[#This Row],[LS_TOTAL CURRENT UNITS]]*INVESTORS_LIST[[#This Row],[LS_AVERAGE COST]])</f>
        <v>221171.50000000003</v>
      </c>
      <c r="K15" s="4">
        <f>IF(INVESTORS_LIST[[#This Row],[LS_TOTAL UNITS SOLD]]=0,0,SUMIFS(LS[Realized Gain],LS[Investor ID],INVESTORS_LIST[[#This Row],[INVESTOR CODE]],LS[B/S],"S"))</f>
        <v>0</v>
      </c>
      <c r="L15" s="2">
        <f>SUMIFS(SIP[Unit],SIP[Investor ID],INVESTORS_LIST[[#This Row],[INVESTOR CODE]],SIP[B/S],"B")</f>
        <v>0</v>
      </c>
      <c r="M15" s="2">
        <f>-SUMIFS(SIP[Unit],SIP[Investor ID],INVESTORS_LIST[[#This Row],[INVESTOR CODE]],SIP[B/S],"S")</f>
        <v>0</v>
      </c>
      <c r="N15" s="33">
        <f>IF(INVESTORS_LIST[[#This Row],[SIP_TOTAL UNITS BUY]]=0,0,INVESTORS_LIST[[#This Row],[SIP_TOTAL UNITS BUY]]-INVESTORS_LIST[[#This Row],[SIP_TOTAL UNITS SOLD]])</f>
        <v>0</v>
      </c>
      <c r="O15" s="4">
        <f>IF(INVESTORS_LIST[[#This Row],[SIP_TOTAL UNITS BUY]]=0,0,SUMIFS(SIP[Amount],SIP[Investor ID],INVESTORS_LIST[[#This Row],[INVESTOR CODE]],SIP[B/S],"B"))</f>
        <v>0</v>
      </c>
      <c r="P15" s="4">
        <f>IF(INVESTORS_LIST[[#This Row],[SIP_TOTAL UNITS SOLD]]=0,0,SUMIFS(SIP[Cost of Units Sold],SIP[Investor ID],INVESTORS_LIST[[#This Row],[INVESTOR CODE]],SIP[B/S],"S"))</f>
        <v>0</v>
      </c>
      <c r="Q15" s="6">
        <f>IF(INVESTORS_LIST[[#This Row],[SIP_TOTAL CURRENT UNITS]]=0,0,INVESTORS_LIST[[#This Row],[SIP_TOTAL CURRENT UNITS]]*INVESTORS_LIST[[#This Row],[SIP_AVERAGE COST]])</f>
        <v>0</v>
      </c>
      <c r="R15" s="6">
        <f>IF(INVESTORS_LIST[[#This Row],[SIP_TOTAL UNITS SOLD]]=0,0,SUMIFS(SIP[Realized Gain],SIP[Investor ID],INVESTORS_LIST[[#This Row],[INVESTOR CODE]],SIP[B/S],"S"))</f>
        <v>0</v>
      </c>
      <c r="S15" s="33">
        <f>INVESTORS_LIST[[#This Row],[LS_TOTAL UNITS BUY]]+INVESTORS_LIST[[#This Row],[SIP_TOTAL UNITS BUY]]</f>
        <v>21897</v>
      </c>
      <c r="T15" s="33">
        <f>INVESTORS_LIST[[#This Row],[LS_TOTAL UNITS SOLD]]+INVESTORS_LIST[[#This Row],[SIP_TOTAL UNITS SOLD]]</f>
        <v>0</v>
      </c>
      <c r="U15" s="33">
        <v>20000</v>
      </c>
      <c r="V15" s="33">
        <f>SUMIFS(LS[BO UNIT TRANSFER],LS[Investor ID],INVESTORS_LIST[[#This Row],[INVESTOR CODE]],LS[B/S],"B")</f>
        <v>0</v>
      </c>
      <c r="W15" s="33">
        <f>SUMIFS(LS[BO UNIT TRANSFER],LS[Investor ID],INVESTORS_LIST[[#This Row],[INVESTOR CODE]],LS[B/S],"S")</f>
        <v>0</v>
      </c>
      <c r="X15" s="33">
        <f>SUMIFS(SIP[BO UNIT TRANSFER],SIP[Investor ID],INVESTORS_LIST[[#This Row],[INVESTOR CODE]],SIP[B/S],"S")</f>
        <v>0</v>
      </c>
      <c r="Y15" s="33">
        <f>SUMIFS(SIP[BO UNIT TRANSFER],SIP[Investor ID],INVESTORS_LIST[[#This Row],[INVESTOR CODE]],SIP[B/S],"B")</f>
        <v>0</v>
      </c>
      <c r="Z1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20000</v>
      </c>
      <c r="AA15" s="119">
        <f>INVESTORS_LIST[[#This Row],[TOTAL UNITS BUY]]-INVESTORS_LIST[[#This Row],[TOTAL UNITS SOLD]]</f>
        <v>21897</v>
      </c>
      <c r="AB15" s="119">
        <f>INVESTORS_LIST[[#This Row],[TOTAL CURRENT UNITS]]-INVESTORS_LIST[[#This Row],[BO UNITS HOLD]]</f>
        <v>1897</v>
      </c>
      <c r="AC15" s="119" t="e">
        <f>INDEX([4]!Table_1[BO ID],MATCH(INVESTORS_LIST[[#This Row],[INVESTOR CODE]],[4]!Table_1[INVESTOR CODE],0))</f>
        <v>#REF!</v>
      </c>
      <c r="AD15" s="33">
        <f>INVESTORS_LIST[[#This Row],[LS_TOTAL COST VALUE OF CURRENT UNITS]]+INVESTORS_LIST[[#This Row],[SIP_TOTAL COST VALUE OF CURRENT UNITS]]</f>
        <v>221171.50000000003</v>
      </c>
      <c r="AE15" s="44">
        <f>IF(INVESTORS_LIST[[#This Row],[TOTAL CURRENT UNITS]]=0,0,INVESTORS_LIST[[#This Row],[LS_TOTAL CURRENT UNITS]]/INVESTORS_LIST[[#This Row],[TOTAL CURRENT UNITS]])</f>
        <v>1</v>
      </c>
      <c r="AF15" s="44">
        <f>IF(INVESTORS_LIST[[#This Row],[TOTAL CURRENT UNITS]]=0,0,INVESTORS_LIST[[#This Row],[SIP_TOTAL CURRENT UNITS]]/INVESTORS_LIST[[#This Row],[TOTAL CURRENT UNITS]])</f>
        <v>0</v>
      </c>
      <c r="AG15" s="4" cm="1">
        <f t="array" ref="AG15">IF(INVESTORS_LIST[[#This Row],[LS_TOTAL UNITS BUY]]&gt;0,INDEX(LS[NAV at Cost (Average)],MATCH(CONCATENATE(COUNTIFS(LS[Investor ID],INVESTORS_LIST[[#This Row],[INVESTOR CODE]]),INVESTORS_LIST[[#This Row],[INVESTOR CODE]]),LS[Unique Code],0),),0)</f>
        <v>10.100538886605472</v>
      </c>
      <c r="AH15" s="4" cm="1">
        <f t="array" ref="AH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5" s="178">
        <f>IF(INVESTORS_LIST[[#This Row],[TOTAL CURRENT UNITS]]=0,0,(INVESTORS_LIST[[#This Row],[LS_WEIGHT]]*INVESTORS_LIST[[#This Row],[LS_AVERAGE COST]])+(INVESTORS_LIST[[#This Row],[SIP_WEIGHT]]*INVESTORS_LIST[[#This Row],[SIP_AVERAGE COST]]))</f>
        <v>10.100538886605472</v>
      </c>
      <c r="AJ15" s="178">
        <f t="shared" si="0"/>
        <v>12.552</v>
      </c>
      <c r="AK15" s="118">
        <f>IF(INVESTORS_LIST[[#This Row],[TOTAL CURRENT UNITS]]=0,0,INVESTORS_LIST[[#This Row],[TOTAL CURRENT UNITS]]*INVESTORS_LIST[[#This Row],[NAV]])</f>
        <v>274851.14399999997</v>
      </c>
      <c r="AL15" s="4">
        <f>IF(INVESTORS_LIST[[#This Row],[LS_TOTAL CURRENT UNITS]]=0,0,INVESTORS_LIST[[#This Row],[LS_TOTAL CURRENT UNITS]]*INVESTORS_LIST[[#This Row],[NAV]])</f>
        <v>274851.14399999997</v>
      </c>
      <c r="AM15" s="6">
        <f>IF(INVESTORS_LIST[[#This Row],[SIP_TOTAL CURRENT UNITS]]=0,0,INVESTORS_LIST[[#This Row],[SIP_TOTAL CURRENT UNITS]]*INVESTORS_LIST[[#This Row],[NAV]])</f>
        <v>0</v>
      </c>
      <c r="AO15" s="6">
        <f>IF(INVESTORS_LIST[[#This Row],[TOTAL SELLABLE UNITS]]=0,0,INVESTORS_LIST[[#This Row],[TOTAL SELLABLE UNITS]]*INVESTORS_LIST[[#This Row],[NAV]])</f>
        <v>0</v>
      </c>
      <c r="AP15" s="6">
        <f>INVESTORS_LIST[[#This Row],[LS_TOTAL REALIZED GAIN]]+INVESTORS_LIST[[#This Row],[SIP_TOTAL REALIZED GAIN]]</f>
        <v>0</v>
      </c>
      <c r="AQ15" s="6">
        <f>INVESTORS_LIST[[#This Row],[TOTAL MARKET VALUE]]-INVESTORS_LIST[[#This Row],[TOTAL COST VALUE OF CURRENT INVESTMENT]]</f>
        <v>53679.643999999942</v>
      </c>
      <c r="AR15" s="6">
        <f>SUMIFS(DivAndTax[Tax Amount],DivAndTax[Investor ID],INVESTORS_LIST[[#This Row],[INVESTOR CODE]])</f>
        <v>2269.44</v>
      </c>
      <c r="AS15" s="6">
        <f>SUMIFS(DivAndTax[Gross Dividend],DivAndTax[Investor ID],INVESTORS_LIST[[#This Row],[INVESTOR CODE]])</f>
        <v>22694.35</v>
      </c>
      <c r="AT15" s="5">
        <f>IFERROR(INVESTORS_LIST[[#This Row],[TOTAL CURRENT UNITS]]/SUM(INVESTORS_LIST[TOTAL CURRENT UNITS]),0)</f>
        <v>1.0498480532287395E-3</v>
      </c>
    </row>
    <row r="16" spans="1:55" hidden="1">
      <c r="A16" t="s">
        <v>727</v>
      </c>
      <c r="B16" t="s">
        <v>23</v>
      </c>
      <c r="C16" t="s">
        <v>536</v>
      </c>
      <c r="D16" s="8" t="s">
        <v>2</v>
      </c>
      <c r="E16" s="2">
        <f>SUMIFS(LS[Unit],LS[Investor ID],INVESTORS_LIST[[#This Row],[INVESTOR CODE]],LS[B/S],"B")</f>
        <v>0</v>
      </c>
      <c r="F16" s="2">
        <f>-SUMIFS(LS[Unit],LS[Investor ID],INVESTORS_LIST[[#This Row],[INVESTOR CODE]],LS[B/S],"S")</f>
        <v>0</v>
      </c>
      <c r="G16" s="2">
        <f>IF(INVESTORS_LIST[[#This Row],[LS_TOTAL UNITS BUY]]=0,0,INVESTORS_LIST[[#This Row],[LS_TOTAL UNITS BUY]]-INVESTORS_LIST[[#This Row],[LS_TOTAL UNITS SOLD]])</f>
        <v>0</v>
      </c>
      <c r="H16" s="4">
        <f>IF(INVESTORS_LIST[[#This Row],[LS_TOTAL UNITS BUY]]=0,0,SUMIFS(LS[Amount],LS[Investor ID],INVESTORS_LIST[[#This Row],[INVESTOR CODE]],LS[B/S],"B"))</f>
        <v>0</v>
      </c>
      <c r="I16" s="6">
        <f>IF(INVESTORS_LIST[[#This Row],[LS_TOTAL UNITS SOLD]]=0,0,SUMIFS(LS[Cost of Units Sold],LS[Investor ID],INVESTORS_LIST[[#This Row],[INVESTOR CODE]],LS[B/S],"S"))</f>
        <v>0</v>
      </c>
      <c r="J16" s="6">
        <f>IF(INVESTORS_LIST[[#This Row],[LS_TOTAL CURRENT UNITS]]=0,0,INVESTORS_LIST[[#This Row],[LS_TOTAL CURRENT UNITS]]*INVESTORS_LIST[[#This Row],[LS_AVERAGE COST]])</f>
        <v>0</v>
      </c>
      <c r="K16" s="4">
        <f>IF(INVESTORS_LIST[[#This Row],[LS_TOTAL UNITS SOLD]]=0,0,SUMIFS(LS[Realized Gain],LS[Investor ID],INVESTORS_LIST[[#This Row],[INVESTOR CODE]],LS[B/S],"S"))</f>
        <v>0</v>
      </c>
      <c r="L16" s="2">
        <f>SUMIFS(SIP[Unit],SIP[Investor ID],INVESTORS_LIST[[#This Row],[INVESTOR CODE]],SIP[B/S],"B")</f>
        <v>0</v>
      </c>
      <c r="M16" s="2">
        <f>-SUMIFS(SIP[Unit],SIP[Investor ID],INVESTORS_LIST[[#This Row],[INVESTOR CODE]],SIP[B/S],"S")</f>
        <v>0</v>
      </c>
      <c r="N16" s="33">
        <f>IF(INVESTORS_LIST[[#This Row],[SIP_TOTAL UNITS BUY]]=0,0,INVESTORS_LIST[[#This Row],[SIP_TOTAL UNITS BUY]]-INVESTORS_LIST[[#This Row],[SIP_TOTAL UNITS SOLD]])</f>
        <v>0</v>
      </c>
      <c r="O16" s="4">
        <f>IF(INVESTORS_LIST[[#This Row],[SIP_TOTAL UNITS BUY]]=0,0,SUMIFS(SIP[Amount],SIP[Investor ID],INVESTORS_LIST[[#This Row],[INVESTOR CODE]],SIP[B/S],"B"))</f>
        <v>0</v>
      </c>
      <c r="P16" s="4">
        <f>IF(INVESTORS_LIST[[#This Row],[SIP_TOTAL UNITS SOLD]]=0,0,SUMIFS(SIP[Cost of Units Sold],SIP[Investor ID],INVESTORS_LIST[[#This Row],[INVESTOR CODE]],SIP[B/S],"S"))</f>
        <v>0</v>
      </c>
      <c r="Q16" s="6">
        <f>IF(INVESTORS_LIST[[#This Row],[SIP_TOTAL CURRENT UNITS]]=0,0,INVESTORS_LIST[[#This Row],[SIP_TOTAL CURRENT UNITS]]*INVESTORS_LIST[[#This Row],[SIP_AVERAGE COST]])</f>
        <v>0</v>
      </c>
      <c r="R16" s="6">
        <f>IF(INVESTORS_LIST[[#This Row],[SIP_TOTAL UNITS SOLD]]=0,0,SUMIFS(SIP[Realized Gain],SIP[Investor ID],INVESTORS_LIST[[#This Row],[INVESTOR CODE]],SIP[B/S],"S"))</f>
        <v>0</v>
      </c>
      <c r="S16" s="33">
        <f>INVESTORS_LIST[[#This Row],[LS_TOTAL UNITS BUY]]+INVESTORS_LIST[[#This Row],[SIP_TOTAL UNITS BUY]]</f>
        <v>0</v>
      </c>
      <c r="T16" s="33">
        <f>INVESTORS_LIST[[#This Row],[LS_TOTAL UNITS SOLD]]+INVESTORS_LIST[[#This Row],[SIP_TOTAL UNITS SOLD]]</f>
        <v>0</v>
      </c>
      <c r="U16" s="33">
        <v>0</v>
      </c>
      <c r="V16" s="33">
        <f>SUMIFS(LS[BO UNIT TRANSFER],LS[Investor ID],INVESTORS_LIST[[#This Row],[INVESTOR CODE]],LS[B/S],"B")</f>
        <v>0</v>
      </c>
      <c r="W16" s="33">
        <f>SUMIFS(LS[BO UNIT TRANSFER],LS[Investor ID],INVESTORS_LIST[[#This Row],[INVESTOR CODE]],LS[B/S],"S")</f>
        <v>0</v>
      </c>
      <c r="X16" s="33">
        <f>SUMIFS(SIP[BO UNIT TRANSFER],SIP[Investor ID],INVESTORS_LIST[[#This Row],[INVESTOR CODE]],SIP[B/S],"S")</f>
        <v>0</v>
      </c>
      <c r="Y16" s="33">
        <f>SUMIFS(SIP[BO UNIT TRANSFER],SIP[Investor ID],INVESTORS_LIST[[#This Row],[INVESTOR CODE]],SIP[B/S],"B")</f>
        <v>0</v>
      </c>
      <c r="Z1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6" s="119">
        <f>INVESTORS_LIST[[#This Row],[TOTAL UNITS BUY]]-INVESTORS_LIST[[#This Row],[TOTAL UNITS SOLD]]</f>
        <v>0</v>
      </c>
      <c r="AB16" s="119">
        <f>INVESTORS_LIST[[#This Row],[TOTAL CURRENT UNITS]]-INVESTORS_LIST[[#This Row],[BO UNITS HOLD]]</f>
        <v>0</v>
      </c>
      <c r="AC16" s="119" t="e">
        <f>INDEX([4]!Table_1[BO ID],MATCH(INVESTORS_LIST[[#This Row],[INVESTOR CODE]],[4]!Table_1[INVESTOR CODE],0))</f>
        <v>#REF!</v>
      </c>
      <c r="AD16" s="33">
        <f>INVESTORS_LIST[[#This Row],[LS_TOTAL COST VALUE OF CURRENT UNITS]]+INVESTORS_LIST[[#This Row],[SIP_TOTAL COST VALUE OF CURRENT UNITS]]</f>
        <v>0</v>
      </c>
      <c r="AE16" s="44">
        <f>IF(INVESTORS_LIST[[#This Row],[TOTAL CURRENT UNITS]]=0,0,INVESTORS_LIST[[#This Row],[LS_TOTAL CURRENT UNITS]]/INVESTORS_LIST[[#This Row],[TOTAL CURRENT UNITS]])</f>
        <v>0</v>
      </c>
      <c r="AF16" s="44">
        <f>IF(INVESTORS_LIST[[#This Row],[TOTAL CURRENT UNITS]]=0,0,INVESTORS_LIST[[#This Row],[SIP_TOTAL CURRENT UNITS]]/INVESTORS_LIST[[#This Row],[TOTAL CURRENT UNITS]])</f>
        <v>0</v>
      </c>
      <c r="AG16" s="4" cm="1">
        <f t="array" ref="AG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6" s="4" cm="1">
        <f t="array" ref="AH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6" s="178">
        <f t="shared" si="0"/>
        <v>12.552</v>
      </c>
      <c r="AK16" s="118">
        <f>IF(INVESTORS_LIST[[#This Row],[TOTAL CURRENT UNITS]]=0,0,INVESTORS_LIST[[#This Row],[TOTAL CURRENT UNITS]]*INVESTORS_LIST[[#This Row],[NAV]])</f>
        <v>0</v>
      </c>
      <c r="AL16" s="4">
        <f>IF(INVESTORS_LIST[[#This Row],[LS_TOTAL CURRENT UNITS]]=0,0,INVESTORS_LIST[[#This Row],[LS_TOTAL CURRENT UNITS]]*INVESTORS_LIST[[#This Row],[NAV]])</f>
        <v>0</v>
      </c>
      <c r="AM16" s="6">
        <f>IF(INVESTORS_LIST[[#This Row],[SIP_TOTAL CURRENT UNITS]]=0,0,INVESTORS_LIST[[#This Row],[SIP_TOTAL CURRENT UNITS]]*INVESTORS_LIST[[#This Row],[NAV]])</f>
        <v>0</v>
      </c>
      <c r="AO16" s="6">
        <f>IF(INVESTORS_LIST[[#This Row],[TOTAL SELLABLE UNITS]]=0,0,INVESTORS_LIST[[#This Row],[TOTAL SELLABLE UNITS]]*INVESTORS_LIST[[#This Row],[NAV]])</f>
        <v>0</v>
      </c>
      <c r="AP16" s="6">
        <f>INVESTORS_LIST[[#This Row],[LS_TOTAL REALIZED GAIN]]+INVESTORS_LIST[[#This Row],[SIP_TOTAL REALIZED GAIN]]</f>
        <v>0</v>
      </c>
      <c r="AQ16" s="6">
        <f>INVESTORS_LIST[[#This Row],[TOTAL MARKET VALUE]]-INVESTORS_LIST[[#This Row],[TOTAL COST VALUE OF CURRENT INVESTMENT]]</f>
        <v>0</v>
      </c>
      <c r="AR16" s="6">
        <f>SUMIFS(DivAndTax[Tax Amount],DivAndTax[Investor ID],INVESTORS_LIST[[#This Row],[INVESTOR CODE]])</f>
        <v>0</v>
      </c>
      <c r="AS16" s="6">
        <f>SUMIFS(DivAndTax[Gross Dividend],DivAndTax[Investor ID],INVESTORS_LIST[[#This Row],[INVESTOR CODE]])</f>
        <v>0</v>
      </c>
      <c r="AT16" s="5">
        <f>IFERROR(INVESTORS_LIST[[#This Row],[TOTAL CURRENT UNITS]]/SUM(INVESTORS_LIST[TOTAL CURRENT UNITS]),0)</f>
        <v>0</v>
      </c>
    </row>
    <row r="17" spans="1:46" hidden="1">
      <c r="A17" t="s">
        <v>728</v>
      </c>
      <c r="B17" t="s">
        <v>24</v>
      </c>
      <c r="C17" t="s">
        <v>537</v>
      </c>
      <c r="D17" s="8" t="s">
        <v>11</v>
      </c>
      <c r="E17" s="2">
        <f>SUMIFS(LS[Unit],LS[Investor ID],INVESTORS_LIST[[#This Row],[INVESTOR CODE]],LS[B/S],"B")</f>
        <v>0</v>
      </c>
      <c r="F17" s="2">
        <f>-SUMIFS(LS[Unit],LS[Investor ID],INVESTORS_LIST[[#This Row],[INVESTOR CODE]],LS[B/S],"S")</f>
        <v>0</v>
      </c>
      <c r="G17" s="2">
        <f>IF(INVESTORS_LIST[[#This Row],[LS_TOTAL UNITS BUY]]=0,0,INVESTORS_LIST[[#This Row],[LS_TOTAL UNITS BUY]]-INVESTORS_LIST[[#This Row],[LS_TOTAL UNITS SOLD]])</f>
        <v>0</v>
      </c>
      <c r="H17" s="4">
        <f>IF(INVESTORS_LIST[[#This Row],[LS_TOTAL UNITS BUY]]=0,0,SUMIFS(LS[Amount],LS[Investor ID],INVESTORS_LIST[[#This Row],[INVESTOR CODE]],LS[B/S],"B"))</f>
        <v>0</v>
      </c>
      <c r="I17" s="6">
        <f>IF(INVESTORS_LIST[[#This Row],[LS_TOTAL UNITS SOLD]]=0,0,SUMIFS(LS[Cost of Units Sold],LS[Investor ID],INVESTORS_LIST[[#This Row],[INVESTOR CODE]],LS[B/S],"S"))</f>
        <v>0</v>
      </c>
      <c r="J17" s="6">
        <f>IF(INVESTORS_LIST[[#This Row],[LS_TOTAL CURRENT UNITS]]=0,0,INVESTORS_LIST[[#This Row],[LS_TOTAL CURRENT UNITS]]*INVESTORS_LIST[[#This Row],[LS_AVERAGE COST]])</f>
        <v>0</v>
      </c>
      <c r="K17" s="4">
        <f>IF(INVESTORS_LIST[[#This Row],[LS_TOTAL UNITS SOLD]]=0,0,SUMIFS(LS[Realized Gain],LS[Investor ID],INVESTORS_LIST[[#This Row],[INVESTOR CODE]],LS[B/S],"S"))</f>
        <v>0</v>
      </c>
      <c r="L17" s="2">
        <f>SUMIFS(SIP[Unit],SIP[Investor ID],INVESTORS_LIST[[#This Row],[INVESTOR CODE]],SIP[B/S],"B")</f>
        <v>0</v>
      </c>
      <c r="M17" s="2">
        <f>-SUMIFS(SIP[Unit],SIP[Investor ID],INVESTORS_LIST[[#This Row],[INVESTOR CODE]],SIP[B/S],"S")</f>
        <v>0</v>
      </c>
      <c r="N17" s="33">
        <f>IF(INVESTORS_LIST[[#This Row],[SIP_TOTAL UNITS BUY]]=0,0,INVESTORS_LIST[[#This Row],[SIP_TOTAL UNITS BUY]]-INVESTORS_LIST[[#This Row],[SIP_TOTAL UNITS SOLD]])</f>
        <v>0</v>
      </c>
      <c r="O17" s="4">
        <f>IF(INVESTORS_LIST[[#This Row],[SIP_TOTAL UNITS BUY]]=0,0,SUMIFS(SIP[Amount],SIP[Investor ID],INVESTORS_LIST[[#This Row],[INVESTOR CODE]],SIP[B/S],"B"))</f>
        <v>0</v>
      </c>
      <c r="P17" s="4">
        <f>IF(INVESTORS_LIST[[#This Row],[SIP_TOTAL UNITS SOLD]]=0,0,SUMIFS(SIP[Cost of Units Sold],SIP[Investor ID],INVESTORS_LIST[[#This Row],[INVESTOR CODE]],SIP[B/S],"S"))</f>
        <v>0</v>
      </c>
      <c r="Q17" s="6">
        <f>IF(INVESTORS_LIST[[#This Row],[SIP_TOTAL CURRENT UNITS]]=0,0,INVESTORS_LIST[[#This Row],[SIP_TOTAL CURRENT UNITS]]*INVESTORS_LIST[[#This Row],[SIP_AVERAGE COST]])</f>
        <v>0</v>
      </c>
      <c r="R17" s="6">
        <f>IF(INVESTORS_LIST[[#This Row],[SIP_TOTAL UNITS SOLD]]=0,0,SUMIFS(SIP[Realized Gain],SIP[Investor ID],INVESTORS_LIST[[#This Row],[INVESTOR CODE]],SIP[B/S],"S"))</f>
        <v>0</v>
      </c>
      <c r="S17" s="33">
        <f>INVESTORS_LIST[[#This Row],[LS_TOTAL UNITS BUY]]+INVESTORS_LIST[[#This Row],[SIP_TOTAL UNITS BUY]]</f>
        <v>0</v>
      </c>
      <c r="T17" s="33">
        <f>INVESTORS_LIST[[#This Row],[LS_TOTAL UNITS SOLD]]+INVESTORS_LIST[[#This Row],[SIP_TOTAL UNITS SOLD]]</f>
        <v>0</v>
      </c>
      <c r="U17" s="33">
        <v>0</v>
      </c>
      <c r="V17" s="33">
        <f>SUMIFS(LS[BO UNIT TRANSFER],LS[Investor ID],INVESTORS_LIST[[#This Row],[INVESTOR CODE]],LS[B/S],"B")</f>
        <v>0</v>
      </c>
      <c r="W17" s="33">
        <f>SUMIFS(LS[BO UNIT TRANSFER],LS[Investor ID],INVESTORS_LIST[[#This Row],[INVESTOR CODE]],LS[B/S],"S")</f>
        <v>0</v>
      </c>
      <c r="X17" s="33">
        <f>SUMIFS(SIP[BO UNIT TRANSFER],SIP[Investor ID],INVESTORS_LIST[[#This Row],[INVESTOR CODE]],SIP[B/S],"S")</f>
        <v>0</v>
      </c>
      <c r="Y17" s="33">
        <f>SUMIFS(SIP[BO UNIT TRANSFER],SIP[Investor ID],INVESTORS_LIST[[#This Row],[INVESTOR CODE]],SIP[B/S],"B")</f>
        <v>0</v>
      </c>
      <c r="Z1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7" s="119">
        <f>INVESTORS_LIST[[#This Row],[TOTAL UNITS BUY]]-INVESTORS_LIST[[#This Row],[TOTAL UNITS SOLD]]</f>
        <v>0</v>
      </c>
      <c r="AB17" s="119">
        <f>INVESTORS_LIST[[#This Row],[TOTAL CURRENT UNITS]]-INVESTORS_LIST[[#This Row],[BO UNITS HOLD]]</f>
        <v>0</v>
      </c>
      <c r="AC17" s="119" t="e">
        <f>INDEX([4]!Table_1[BO ID],MATCH(INVESTORS_LIST[[#This Row],[INVESTOR CODE]],[4]!Table_1[INVESTOR CODE],0))</f>
        <v>#REF!</v>
      </c>
      <c r="AD17" s="33">
        <f>INVESTORS_LIST[[#This Row],[LS_TOTAL COST VALUE OF CURRENT UNITS]]+INVESTORS_LIST[[#This Row],[SIP_TOTAL COST VALUE OF CURRENT UNITS]]</f>
        <v>0</v>
      </c>
      <c r="AE17" s="44">
        <f>IF(INVESTORS_LIST[[#This Row],[TOTAL CURRENT UNITS]]=0,0,INVESTORS_LIST[[#This Row],[LS_TOTAL CURRENT UNITS]]/INVESTORS_LIST[[#This Row],[TOTAL CURRENT UNITS]])</f>
        <v>0</v>
      </c>
      <c r="AF17" s="44">
        <f>IF(INVESTORS_LIST[[#This Row],[TOTAL CURRENT UNITS]]=0,0,INVESTORS_LIST[[#This Row],[SIP_TOTAL CURRENT UNITS]]/INVESTORS_LIST[[#This Row],[TOTAL CURRENT UNITS]])</f>
        <v>0</v>
      </c>
      <c r="AG17" s="4" cm="1">
        <f t="array" ref="AG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7" s="4" cm="1">
        <f t="array" ref="AH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7" s="178">
        <f t="shared" si="0"/>
        <v>12.552</v>
      </c>
      <c r="AK17" s="118">
        <f>IF(INVESTORS_LIST[[#This Row],[TOTAL CURRENT UNITS]]=0,0,INVESTORS_LIST[[#This Row],[TOTAL CURRENT UNITS]]*INVESTORS_LIST[[#This Row],[NAV]])</f>
        <v>0</v>
      </c>
      <c r="AL17" s="4">
        <f>IF(INVESTORS_LIST[[#This Row],[LS_TOTAL CURRENT UNITS]]=0,0,INVESTORS_LIST[[#This Row],[LS_TOTAL CURRENT UNITS]]*INVESTORS_LIST[[#This Row],[NAV]])</f>
        <v>0</v>
      </c>
      <c r="AM17" s="6">
        <f>IF(INVESTORS_LIST[[#This Row],[SIP_TOTAL CURRENT UNITS]]=0,0,INVESTORS_LIST[[#This Row],[SIP_TOTAL CURRENT UNITS]]*INVESTORS_LIST[[#This Row],[NAV]])</f>
        <v>0</v>
      </c>
      <c r="AO17" s="6">
        <f>IF(INVESTORS_LIST[[#This Row],[TOTAL SELLABLE UNITS]]=0,0,INVESTORS_LIST[[#This Row],[TOTAL SELLABLE UNITS]]*INVESTORS_LIST[[#This Row],[NAV]])</f>
        <v>0</v>
      </c>
      <c r="AP17" s="6">
        <f>INVESTORS_LIST[[#This Row],[LS_TOTAL REALIZED GAIN]]+INVESTORS_LIST[[#This Row],[SIP_TOTAL REALIZED GAIN]]</f>
        <v>0</v>
      </c>
      <c r="AQ17" s="6">
        <f>INVESTORS_LIST[[#This Row],[TOTAL MARKET VALUE]]-INVESTORS_LIST[[#This Row],[TOTAL COST VALUE OF CURRENT INVESTMENT]]</f>
        <v>0</v>
      </c>
      <c r="AR17" s="6">
        <f>SUMIFS(DivAndTax[Tax Amount],DivAndTax[Investor ID],INVESTORS_LIST[[#This Row],[INVESTOR CODE]])</f>
        <v>0</v>
      </c>
      <c r="AS17" s="6">
        <f>SUMIFS(DivAndTax[Gross Dividend],DivAndTax[Investor ID],INVESTORS_LIST[[#This Row],[INVESTOR CODE]])</f>
        <v>0</v>
      </c>
      <c r="AT17" s="5">
        <f>IFERROR(INVESTORS_LIST[[#This Row],[TOTAL CURRENT UNITS]]/SUM(INVESTORS_LIST[TOTAL CURRENT UNITS]),0)</f>
        <v>0</v>
      </c>
    </row>
    <row r="18" spans="1:46" hidden="1">
      <c r="A18" t="s">
        <v>729</v>
      </c>
      <c r="B18" t="s">
        <v>25</v>
      </c>
      <c r="C18" t="s">
        <v>536</v>
      </c>
      <c r="D18" s="8" t="s">
        <v>2</v>
      </c>
      <c r="E18" s="2">
        <f>SUMIFS(LS[Unit],LS[Investor ID],INVESTORS_LIST[[#This Row],[INVESTOR CODE]],LS[B/S],"B")</f>
        <v>70866</v>
      </c>
      <c r="F18" s="2">
        <f>-SUMIFS(LS[Unit],LS[Investor ID],INVESTORS_LIST[[#This Row],[INVESTOR CODE]],LS[B/S],"S")</f>
        <v>70866</v>
      </c>
      <c r="G18" s="2">
        <f>IF(INVESTORS_LIST[[#This Row],[LS_TOTAL UNITS BUY]]=0,0,INVESTORS_LIST[[#This Row],[LS_TOTAL UNITS BUY]]-INVESTORS_LIST[[#This Row],[LS_TOTAL UNITS SOLD]])</f>
        <v>0</v>
      </c>
      <c r="H18" s="4">
        <f>IF(INVESTORS_LIST[[#This Row],[LS_TOTAL UNITS BUY]]=0,0,SUMIFS(LS[Amount],LS[Investor ID],INVESTORS_LIST[[#This Row],[INVESTOR CODE]],LS[B/S],"B"))</f>
        <v>708657.5</v>
      </c>
      <c r="I18" s="6">
        <f>IF(INVESTORS_LIST[[#This Row],[LS_TOTAL UNITS SOLD]]=0,0,SUMIFS(LS[Cost of Units Sold],LS[Investor ID],INVESTORS_LIST[[#This Row],[INVESTOR CODE]],LS[B/S],"S"))</f>
        <v>708657.5</v>
      </c>
      <c r="J18" s="6">
        <f>IF(INVESTORS_LIST[[#This Row],[LS_TOTAL CURRENT UNITS]]=0,0,INVESTORS_LIST[[#This Row],[LS_TOTAL CURRENT UNITS]]*INVESTORS_LIST[[#This Row],[LS_AVERAGE COST]])</f>
        <v>0</v>
      </c>
      <c r="K18" s="4">
        <f>IF(INVESTORS_LIST[[#This Row],[LS_TOTAL UNITS SOLD]]=0,0,SUMIFS(LS[Realized Gain],LS[Investor ID],INVESTORS_LIST[[#This Row],[INVESTOR CODE]],LS[B/S],"S"))</f>
        <v>-2123.4799999999714</v>
      </c>
      <c r="L18" s="2">
        <f>SUMIFS(SIP[Unit],SIP[Investor ID],INVESTORS_LIST[[#This Row],[INVESTOR CODE]],SIP[B/S],"B")</f>
        <v>0</v>
      </c>
      <c r="M18" s="2">
        <f>-SUMIFS(SIP[Unit],SIP[Investor ID],INVESTORS_LIST[[#This Row],[INVESTOR CODE]],SIP[B/S],"S")</f>
        <v>0</v>
      </c>
      <c r="N18" s="33">
        <f>IF(INVESTORS_LIST[[#This Row],[SIP_TOTAL UNITS BUY]]=0,0,INVESTORS_LIST[[#This Row],[SIP_TOTAL UNITS BUY]]-INVESTORS_LIST[[#This Row],[SIP_TOTAL UNITS SOLD]])</f>
        <v>0</v>
      </c>
      <c r="O18" s="4">
        <f>IF(INVESTORS_LIST[[#This Row],[SIP_TOTAL UNITS BUY]]=0,0,SUMIFS(SIP[Amount],SIP[Investor ID],INVESTORS_LIST[[#This Row],[INVESTOR CODE]],SIP[B/S],"B"))</f>
        <v>0</v>
      </c>
      <c r="P18" s="4">
        <f>IF(INVESTORS_LIST[[#This Row],[SIP_TOTAL UNITS SOLD]]=0,0,SUMIFS(SIP[Cost of Units Sold],SIP[Investor ID],INVESTORS_LIST[[#This Row],[INVESTOR CODE]],SIP[B/S],"S"))</f>
        <v>0</v>
      </c>
      <c r="Q18" s="6">
        <f>IF(INVESTORS_LIST[[#This Row],[SIP_TOTAL CURRENT UNITS]]=0,0,INVESTORS_LIST[[#This Row],[SIP_TOTAL CURRENT UNITS]]*INVESTORS_LIST[[#This Row],[SIP_AVERAGE COST]])</f>
        <v>0</v>
      </c>
      <c r="R18" s="6">
        <f>IF(INVESTORS_LIST[[#This Row],[SIP_TOTAL UNITS SOLD]]=0,0,SUMIFS(SIP[Realized Gain],SIP[Investor ID],INVESTORS_LIST[[#This Row],[INVESTOR CODE]],SIP[B/S],"S"))</f>
        <v>0</v>
      </c>
      <c r="S18" s="33">
        <f>INVESTORS_LIST[[#This Row],[LS_TOTAL UNITS BUY]]+INVESTORS_LIST[[#This Row],[SIP_TOTAL UNITS BUY]]</f>
        <v>70866</v>
      </c>
      <c r="T18" s="33">
        <f>INVESTORS_LIST[[#This Row],[LS_TOTAL UNITS SOLD]]+INVESTORS_LIST[[#This Row],[SIP_TOTAL UNITS SOLD]]</f>
        <v>70866</v>
      </c>
      <c r="U18" s="33">
        <v>0</v>
      </c>
      <c r="V18" s="33">
        <f>SUMIFS(LS[BO UNIT TRANSFER],LS[Investor ID],INVESTORS_LIST[[#This Row],[INVESTOR CODE]],LS[B/S],"B")</f>
        <v>0</v>
      </c>
      <c r="W18" s="33">
        <f>SUMIFS(LS[BO UNIT TRANSFER],LS[Investor ID],INVESTORS_LIST[[#This Row],[INVESTOR CODE]],LS[B/S],"S")</f>
        <v>0</v>
      </c>
      <c r="X18" s="33">
        <f>SUMIFS(SIP[BO UNIT TRANSFER],SIP[Investor ID],INVESTORS_LIST[[#This Row],[INVESTOR CODE]],SIP[B/S],"S")</f>
        <v>0</v>
      </c>
      <c r="Y18" s="33">
        <f>SUMIFS(SIP[BO UNIT TRANSFER],SIP[Investor ID],INVESTORS_LIST[[#This Row],[INVESTOR CODE]],SIP[B/S],"B")</f>
        <v>0</v>
      </c>
      <c r="Z1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8" s="119">
        <f>INVESTORS_LIST[[#This Row],[TOTAL UNITS BUY]]-INVESTORS_LIST[[#This Row],[TOTAL UNITS SOLD]]</f>
        <v>0</v>
      </c>
      <c r="AB18" s="119">
        <f>INVESTORS_LIST[[#This Row],[TOTAL CURRENT UNITS]]-INVESTORS_LIST[[#This Row],[BO UNITS HOLD]]</f>
        <v>0</v>
      </c>
      <c r="AC18" s="119" t="e">
        <f>INDEX([4]!Table_1[BO ID],MATCH(INVESTORS_LIST[[#This Row],[INVESTOR CODE]],[4]!Table_1[INVESTOR CODE],0))</f>
        <v>#REF!</v>
      </c>
      <c r="AD18" s="33">
        <f>INVESTORS_LIST[[#This Row],[LS_TOTAL COST VALUE OF CURRENT UNITS]]+INVESTORS_LIST[[#This Row],[SIP_TOTAL COST VALUE OF CURRENT UNITS]]</f>
        <v>0</v>
      </c>
      <c r="AE18" s="44">
        <f>IF(INVESTORS_LIST[[#This Row],[TOTAL CURRENT UNITS]]=0,0,INVESTORS_LIST[[#This Row],[LS_TOTAL CURRENT UNITS]]/INVESTORS_LIST[[#This Row],[TOTAL CURRENT UNITS]])</f>
        <v>0</v>
      </c>
      <c r="AF18" s="44">
        <f>IF(INVESTORS_LIST[[#This Row],[TOTAL CURRENT UNITS]]=0,0,INVESTORS_LIST[[#This Row],[SIP_TOTAL CURRENT UNITS]]/INVESTORS_LIST[[#This Row],[TOTAL CURRENT UNITS]])</f>
        <v>0</v>
      </c>
      <c r="AG18" s="4" cm="1">
        <f t="array" ref="AG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8" s="4" cm="1">
        <f t="array" ref="AH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8" s="178">
        <f t="shared" si="0"/>
        <v>12.552</v>
      </c>
      <c r="AK18" s="118">
        <f>IF(INVESTORS_LIST[[#This Row],[TOTAL CURRENT UNITS]]=0,0,INVESTORS_LIST[[#This Row],[TOTAL CURRENT UNITS]]*INVESTORS_LIST[[#This Row],[NAV]])</f>
        <v>0</v>
      </c>
      <c r="AL18" s="4">
        <f>IF(INVESTORS_LIST[[#This Row],[LS_TOTAL CURRENT UNITS]]=0,0,INVESTORS_LIST[[#This Row],[LS_TOTAL CURRENT UNITS]]*INVESTORS_LIST[[#This Row],[NAV]])</f>
        <v>0</v>
      </c>
      <c r="AM18" s="6">
        <f>IF(INVESTORS_LIST[[#This Row],[SIP_TOTAL CURRENT UNITS]]=0,0,INVESTORS_LIST[[#This Row],[SIP_TOTAL CURRENT UNITS]]*INVESTORS_LIST[[#This Row],[NAV]])</f>
        <v>0</v>
      </c>
      <c r="AO18" s="6">
        <f>IF(INVESTORS_LIST[[#This Row],[TOTAL SELLABLE UNITS]]=0,0,INVESTORS_LIST[[#This Row],[TOTAL SELLABLE UNITS]]*INVESTORS_LIST[[#This Row],[NAV]])</f>
        <v>0</v>
      </c>
      <c r="AP18" s="6">
        <f>INVESTORS_LIST[[#This Row],[LS_TOTAL REALIZED GAIN]]+INVESTORS_LIST[[#This Row],[SIP_TOTAL REALIZED GAIN]]</f>
        <v>-2123.4799999999714</v>
      </c>
      <c r="AQ18" s="6">
        <f>INVESTORS_LIST[[#This Row],[TOTAL MARKET VALUE]]-INVESTORS_LIST[[#This Row],[TOTAL COST VALUE OF CURRENT INVESTMENT]]</f>
        <v>0</v>
      </c>
      <c r="AR18" s="6">
        <f>SUMIFS(DivAndTax[Tax Amount],DivAndTax[Investor ID],INVESTORS_LIST[[#This Row],[INVESTOR CODE]])</f>
        <v>0</v>
      </c>
      <c r="AS18" s="6">
        <f>SUMIFS(DivAndTax[Gross Dividend],DivAndTax[Investor ID],INVESTORS_LIST[[#This Row],[INVESTOR CODE]])</f>
        <v>0</v>
      </c>
      <c r="AT18" s="5">
        <f>IFERROR(INVESTORS_LIST[[#This Row],[TOTAL CURRENT UNITS]]/SUM(INVESTORS_LIST[TOTAL CURRENT UNITS]),0)</f>
        <v>0</v>
      </c>
    </row>
    <row r="19" spans="1:46" hidden="1">
      <c r="A19" t="s">
        <v>615</v>
      </c>
      <c r="B19" t="s">
        <v>26</v>
      </c>
      <c r="C19" t="s">
        <v>538</v>
      </c>
      <c r="D19" s="8" t="s">
        <v>2</v>
      </c>
      <c r="E19" s="2">
        <f>SUMIFS(LS[Unit],LS[Investor ID],INVESTORS_LIST[[#This Row],[INVESTOR CODE]],LS[B/S],"B")</f>
        <v>102284</v>
      </c>
      <c r="F19" s="2">
        <f>-SUMIFS(LS[Unit],LS[Investor ID],INVESTORS_LIST[[#This Row],[INVESTOR CODE]],LS[B/S],"S")</f>
        <v>102284</v>
      </c>
      <c r="G19" s="2">
        <f>IF(INVESTORS_LIST[[#This Row],[LS_TOTAL UNITS BUY]]=0,0,INVESTORS_LIST[[#This Row],[LS_TOTAL UNITS BUY]]-INVESTORS_LIST[[#This Row],[LS_TOTAL UNITS SOLD]])</f>
        <v>0</v>
      </c>
      <c r="H19" s="4">
        <f>IF(INVESTORS_LIST[[#This Row],[LS_TOTAL UNITS BUY]]=0,0,SUMIFS(LS[Amount],LS[Investor ID],INVESTORS_LIST[[#This Row],[INVESTOR CODE]],LS[B/S],"B"))</f>
        <v>1022500</v>
      </c>
      <c r="I19" s="6">
        <f>IF(INVESTORS_LIST[[#This Row],[LS_TOTAL UNITS SOLD]]=0,0,SUMIFS(LS[Cost of Units Sold],LS[Investor ID],INVESTORS_LIST[[#This Row],[INVESTOR CODE]],LS[B/S],"S"))</f>
        <v>1022500</v>
      </c>
      <c r="J19" s="6">
        <f>IF(INVESTORS_LIST[[#This Row],[LS_TOTAL CURRENT UNITS]]=0,0,INVESTORS_LIST[[#This Row],[LS_TOTAL CURRENT UNITS]]*INVESTORS_LIST[[#This Row],[LS_AVERAGE COST]])</f>
        <v>0</v>
      </c>
      <c r="K19" s="4">
        <f>IF(INVESTORS_LIST[[#This Row],[LS_TOTAL UNITS SOLD]]=0,0,SUMIFS(LS[Realized Gain],LS[Investor ID],INVESTORS_LIST[[#This Row],[INVESTOR CODE]],LS[B/S],"S"))</f>
        <v>84212.879999999845</v>
      </c>
      <c r="L19" s="2">
        <f>SUMIFS(SIP[Unit],SIP[Investor ID],INVESTORS_LIST[[#This Row],[INVESTOR CODE]],SIP[B/S],"B")</f>
        <v>0</v>
      </c>
      <c r="M19" s="2">
        <f>-SUMIFS(SIP[Unit],SIP[Investor ID],INVESTORS_LIST[[#This Row],[INVESTOR CODE]],SIP[B/S],"S")</f>
        <v>0</v>
      </c>
      <c r="N19" s="33">
        <f>IF(INVESTORS_LIST[[#This Row],[SIP_TOTAL UNITS BUY]]=0,0,INVESTORS_LIST[[#This Row],[SIP_TOTAL UNITS BUY]]-INVESTORS_LIST[[#This Row],[SIP_TOTAL UNITS SOLD]])</f>
        <v>0</v>
      </c>
      <c r="O19" s="4">
        <f>IF(INVESTORS_LIST[[#This Row],[SIP_TOTAL UNITS BUY]]=0,0,SUMIFS(SIP[Amount],SIP[Investor ID],INVESTORS_LIST[[#This Row],[INVESTOR CODE]],SIP[B/S],"B"))</f>
        <v>0</v>
      </c>
      <c r="P19" s="4">
        <f>IF(INVESTORS_LIST[[#This Row],[SIP_TOTAL UNITS SOLD]]=0,0,SUMIFS(SIP[Cost of Units Sold],SIP[Investor ID],INVESTORS_LIST[[#This Row],[INVESTOR CODE]],SIP[B/S],"S"))</f>
        <v>0</v>
      </c>
      <c r="Q19" s="6">
        <f>IF(INVESTORS_LIST[[#This Row],[SIP_TOTAL CURRENT UNITS]]=0,0,INVESTORS_LIST[[#This Row],[SIP_TOTAL CURRENT UNITS]]*INVESTORS_LIST[[#This Row],[SIP_AVERAGE COST]])</f>
        <v>0</v>
      </c>
      <c r="R19" s="6">
        <f>IF(INVESTORS_LIST[[#This Row],[SIP_TOTAL UNITS SOLD]]=0,0,SUMIFS(SIP[Realized Gain],SIP[Investor ID],INVESTORS_LIST[[#This Row],[INVESTOR CODE]],SIP[B/S],"S"))</f>
        <v>0</v>
      </c>
      <c r="S19" s="33">
        <f>INVESTORS_LIST[[#This Row],[LS_TOTAL UNITS BUY]]+INVESTORS_LIST[[#This Row],[SIP_TOTAL UNITS BUY]]</f>
        <v>102284</v>
      </c>
      <c r="T19" s="33">
        <f>INVESTORS_LIST[[#This Row],[LS_TOTAL UNITS SOLD]]+INVESTORS_LIST[[#This Row],[SIP_TOTAL UNITS SOLD]]</f>
        <v>102284</v>
      </c>
      <c r="U19" s="33">
        <v>0</v>
      </c>
      <c r="V19" s="33">
        <f>SUMIFS(LS[BO UNIT TRANSFER],LS[Investor ID],INVESTORS_LIST[[#This Row],[INVESTOR CODE]],LS[B/S],"B")</f>
        <v>0</v>
      </c>
      <c r="W19" s="33">
        <f>SUMIFS(LS[BO UNIT TRANSFER],LS[Investor ID],INVESTORS_LIST[[#This Row],[INVESTOR CODE]],LS[B/S],"S")</f>
        <v>0</v>
      </c>
      <c r="X19" s="33">
        <f>SUMIFS(SIP[BO UNIT TRANSFER],SIP[Investor ID],INVESTORS_LIST[[#This Row],[INVESTOR CODE]],SIP[B/S],"S")</f>
        <v>0</v>
      </c>
      <c r="Y19" s="33">
        <f>SUMIFS(SIP[BO UNIT TRANSFER],SIP[Investor ID],INVESTORS_LIST[[#This Row],[INVESTOR CODE]],SIP[B/S],"B")</f>
        <v>0</v>
      </c>
      <c r="Z1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9" s="119">
        <f>INVESTORS_LIST[[#This Row],[TOTAL UNITS BUY]]-INVESTORS_LIST[[#This Row],[TOTAL UNITS SOLD]]</f>
        <v>0</v>
      </c>
      <c r="AB19" s="119">
        <f>INVESTORS_LIST[[#This Row],[TOTAL CURRENT UNITS]]-INVESTORS_LIST[[#This Row],[BO UNITS HOLD]]</f>
        <v>0</v>
      </c>
      <c r="AC19" s="119" t="e">
        <f>INDEX([4]!Table_1[BO ID],MATCH(INVESTORS_LIST[[#This Row],[INVESTOR CODE]],[4]!Table_1[INVESTOR CODE],0))</f>
        <v>#REF!</v>
      </c>
      <c r="AD19" s="33">
        <f>INVESTORS_LIST[[#This Row],[LS_TOTAL COST VALUE OF CURRENT UNITS]]+INVESTORS_LIST[[#This Row],[SIP_TOTAL COST VALUE OF CURRENT UNITS]]</f>
        <v>0</v>
      </c>
      <c r="AE19" s="44">
        <f>IF(INVESTORS_LIST[[#This Row],[TOTAL CURRENT UNITS]]=0,0,INVESTORS_LIST[[#This Row],[LS_TOTAL CURRENT UNITS]]/INVESTORS_LIST[[#This Row],[TOTAL CURRENT UNITS]])</f>
        <v>0</v>
      </c>
      <c r="AF19" s="44">
        <f>IF(INVESTORS_LIST[[#This Row],[TOTAL CURRENT UNITS]]=0,0,INVESTORS_LIST[[#This Row],[SIP_TOTAL CURRENT UNITS]]/INVESTORS_LIST[[#This Row],[TOTAL CURRENT UNITS]])</f>
        <v>0</v>
      </c>
      <c r="AG19" s="4" cm="1">
        <f t="array" ref="AG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9" s="4" cm="1">
        <f t="array" ref="AH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9" s="178">
        <f t="shared" si="0"/>
        <v>12.552</v>
      </c>
      <c r="AK19" s="118">
        <f>IF(INVESTORS_LIST[[#This Row],[TOTAL CURRENT UNITS]]=0,0,INVESTORS_LIST[[#This Row],[TOTAL CURRENT UNITS]]*INVESTORS_LIST[[#This Row],[NAV]])</f>
        <v>0</v>
      </c>
      <c r="AL19" s="4">
        <f>IF(INVESTORS_LIST[[#This Row],[LS_TOTAL CURRENT UNITS]]=0,0,INVESTORS_LIST[[#This Row],[LS_TOTAL CURRENT UNITS]]*INVESTORS_LIST[[#This Row],[NAV]])</f>
        <v>0</v>
      </c>
      <c r="AM19" s="6">
        <f>IF(INVESTORS_LIST[[#This Row],[SIP_TOTAL CURRENT UNITS]]=0,0,INVESTORS_LIST[[#This Row],[SIP_TOTAL CURRENT UNITS]]*INVESTORS_LIST[[#This Row],[NAV]])</f>
        <v>0</v>
      </c>
      <c r="AO19" s="6">
        <f>IF(INVESTORS_LIST[[#This Row],[TOTAL SELLABLE UNITS]]=0,0,INVESTORS_LIST[[#This Row],[TOTAL SELLABLE UNITS]]*INVESTORS_LIST[[#This Row],[NAV]])</f>
        <v>0</v>
      </c>
      <c r="AP19" s="6">
        <f>INVESTORS_LIST[[#This Row],[LS_TOTAL REALIZED GAIN]]+INVESTORS_LIST[[#This Row],[SIP_TOTAL REALIZED GAIN]]</f>
        <v>84212.879999999845</v>
      </c>
      <c r="AQ19" s="6">
        <f>INVESTORS_LIST[[#This Row],[TOTAL MARKET VALUE]]-INVESTORS_LIST[[#This Row],[TOTAL COST VALUE OF CURRENT INVESTMENT]]</f>
        <v>0</v>
      </c>
      <c r="AR19" s="6">
        <f>SUMIFS(DivAndTax[Tax Amount],DivAndTax[Investor ID],INVESTORS_LIST[[#This Row],[INVESTOR CODE]])</f>
        <v>2500</v>
      </c>
      <c r="AS19" s="6">
        <f>SUMIFS(DivAndTax[Gross Dividend],DivAndTax[Investor ID],INVESTORS_LIST[[#This Row],[INVESTOR CODE]])</f>
        <v>25000</v>
      </c>
      <c r="AT19" s="5">
        <f>IFERROR(INVESTORS_LIST[[#This Row],[TOTAL CURRENT UNITS]]/SUM(INVESTORS_LIST[TOTAL CURRENT UNITS]),0)</f>
        <v>0</v>
      </c>
    </row>
    <row r="20" spans="1:46">
      <c r="A20" t="s">
        <v>730</v>
      </c>
      <c r="B20" t="s">
        <v>27</v>
      </c>
      <c r="C20" t="s">
        <v>536</v>
      </c>
      <c r="D20" s="8" t="s">
        <v>2</v>
      </c>
      <c r="E20" s="2">
        <f>SUMIFS(LS[Unit],LS[Investor ID],INVESTORS_LIST[[#This Row],[INVESTOR CODE]],LS[B/S],"B")</f>
        <v>986</v>
      </c>
      <c r="F20" s="2">
        <f>-SUMIFS(LS[Unit],LS[Investor ID],INVESTORS_LIST[[#This Row],[INVESTOR CODE]],LS[B/S],"S")</f>
        <v>941</v>
      </c>
      <c r="G20" s="2">
        <f>IF(INVESTORS_LIST[[#This Row],[LS_TOTAL UNITS BUY]]=0,0,INVESTORS_LIST[[#This Row],[LS_TOTAL UNITS BUY]]-INVESTORS_LIST[[#This Row],[LS_TOTAL UNITS SOLD]])</f>
        <v>45</v>
      </c>
      <c r="H20" s="4">
        <f>IF(INVESTORS_LIST[[#This Row],[LS_TOTAL UNITS BUY]]=0,0,SUMIFS(LS[Amount],LS[Investor ID],INVESTORS_LIST[[#This Row],[INVESTOR CODE]],LS[B/S],"B"))</f>
        <v>10350.67</v>
      </c>
      <c r="I20" s="6">
        <f>IF(INVESTORS_LIST[[#This Row],[LS_TOTAL UNITS SOLD]]=0,0,SUMIFS(LS[Cost of Units Sold],LS[Investor ID],INVESTORS_LIST[[#This Row],[INVESTOR CODE]],LS[B/S],"S"))</f>
        <v>9752.17</v>
      </c>
      <c r="J20" s="6">
        <f>IF(INVESTORS_LIST[[#This Row],[LS_TOTAL CURRENT UNITS]]=0,0,INVESTORS_LIST[[#This Row],[LS_TOTAL CURRENT UNITS]]*INVESTORS_LIST[[#This Row],[LS_AVERAGE COST]])</f>
        <v>598.5</v>
      </c>
      <c r="K20" s="4">
        <f>IF(INVESTORS_LIST[[#This Row],[LS_TOTAL UNITS SOLD]]=0,0,SUMIFS(LS[Realized Gain],LS[Investor ID],INVESTORS_LIST[[#This Row],[INVESTOR CODE]],LS[B/S],"S"))</f>
        <v>1407.15</v>
      </c>
      <c r="L20" s="2">
        <f>SUMIFS(SIP[Unit],SIP[Investor ID],INVESTORS_LIST[[#This Row],[INVESTOR CODE]],SIP[B/S],"B")</f>
        <v>17634</v>
      </c>
      <c r="M20" s="2">
        <f>-SUMIFS(SIP[Unit],SIP[Investor ID],INVESTORS_LIST[[#This Row],[INVESTOR CODE]],SIP[B/S],"S")</f>
        <v>15924</v>
      </c>
      <c r="N20" s="33">
        <f>IF(INVESTORS_LIST[[#This Row],[SIP_TOTAL UNITS BUY]]=0,0,INVESTORS_LIST[[#This Row],[SIP_TOTAL UNITS BUY]]-INVESTORS_LIST[[#This Row],[SIP_TOTAL UNITS SOLD]])</f>
        <v>1710</v>
      </c>
      <c r="O20" s="4">
        <f>IF(INVESTORS_LIST[[#This Row],[SIP_TOTAL UNITS BUY]]=0,0,SUMIFS(SIP[Amount],SIP[Investor ID],INVESTORS_LIST[[#This Row],[INVESTOR CODE]],SIP[B/S],"B"))</f>
        <v>180000</v>
      </c>
      <c r="P20" s="4">
        <f>IF(INVESTORS_LIST[[#This Row],[SIP_TOTAL UNITS SOLD]]=0,0,SUMIFS(SIP[Cost of Units Sold],SIP[Investor ID],INVESTORS_LIST[[#This Row],[INVESTOR CODE]],SIP[B/S],"S"))</f>
        <v>162545.08336168772</v>
      </c>
      <c r="Q20" s="6">
        <f>IF(INVESTORS_LIST[[#This Row],[SIP_TOTAL CURRENT UNITS]]=0,0,INVESTORS_LIST[[#This Row],[SIP_TOTAL CURRENT UNITS]]*INVESTORS_LIST[[#This Row],[SIP_AVERAGE COST]])</f>
        <v>17454.916638312359</v>
      </c>
      <c r="R20" s="6">
        <f>IF(INVESTORS_LIST[[#This Row],[SIP_TOTAL UNITS SOLD]]=0,0,SUMIFS(SIP[Realized Gain],SIP[Investor ID],INVESTORS_LIST[[#This Row],[INVESTOR CODE]],SIP[B/S],"S"))</f>
        <v>26295.59663831228</v>
      </c>
      <c r="S20" s="33">
        <f>INVESTORS_LIST[[#This Row],[LS_TOTAL UNITS BUY]]+INVESTORS_LIST[[#This Row],[SIP_TOTAL UNITS BUY]]</f>
        <v>18620</v>
      </c>
      <c r="T20" s="33">
        <f>INVESTORS_LIST[[#This Row],[LS_TOTAL UNITS SOLD]]+INVESTORS_LIST[[#This Row],[SIP_TOTAL UNITS SOLD]]</f>
        <v>16865</v>
      </c>
      <c r="U20" s="33">
        <v>0</v>
      </c>
      <c r="V20" s="33">
        <f>SUMIFS(LS[BO UNIT TRANSFER],LS[Investor ID],INVESTORS_LIST[[#This Row],[INVESTOR CODE]],LS[B/S],"B")</f>
        <v>0</v>
      </c>
      <c r="W20" s="33">
        <f>SUMIFS(LS[BO UNIT TRANSFER],LS[Investor ID],INVESTORS_LIST[[#This Row],[INVESTOR CODE]],LS[B/S],"S")</f>
        <v>0</v>
      </c>
      <c r="X20" s="33">
        <f>SUMIFS(SIP[BO UNIT TRANSFER],SIP[Investor ID],INVESTORS_LIST[[#This Row],[INVESTOR CODE]],SIP[B/S],"S")</f>
        <v>0</v>
      </c>
      <c r="Y20" s="33">
        <f>SUMIFS(SIP[BO UNIT TRANSFER],SIP[Investor ID],INVESTORS_LIST[[#This Row],[INVESTOR CODE]],SIP[B/S],"B")</f>
        <v>0</v>
      </c>
      <c r="Z2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0" s="119">
        <f>INVESTORS_LIST[[#This Row],[TOTAL UNITS BUY]]-INVESTORS_LIST[[#This Row],[TOTAL UNITS SOLD]]</f>
        <v>1755</v>
      </c>
      <c r="AB20" s="119">
        <f>INVESTORS_LIST[[#This Row],[TOTAL CURRENT UNITS]]-INVESTORS_LIST[[#This Row],[BO UNITS HOLD]]</f>
        <v>1755</v>
      </c>
      <c r="AC20" s="119" t="e">
        <f>INDEX([4]!Table_1[BO ID],MATCH(INVESTORS_LIST[[#This Row],[INVESTOR CODE]],[4]!Table_1[INVESTOR CODE],0))</f>
        <v>#REF!</v>
      </c>
      <c r="AD20" s="33">
        <f>INVESTORS_LIST[[#This Row],[LS_TOTAL COST VALUE OF CURRENT UNITS]]+INVESTORS_LIST[[#This Row],[SIP_TOTAL COST VALUE OF CURRENT UNITS]]</f>
        <v>18053.416638312359</v>
      </c>
      <c r="AE20" s="44">
        <f>IF(INVESTORS_LIST[[#This Row],[TOTAL CURRENT UNITS]]=0,0,INVESTORS_LIST[[#This Row],[LS_TOTAL CURRENT UNITS]]/INVESTORS_LIST[[#This Row],[TOTAL CURRENT UNITS]])</f>
        <v>2.564102564102564E-2</v>
      </c>
      <c r="AF20" s="44">
        <f>IF(INVESTORS_LIST[[#This Row],[TOTAL CURRENT UNITS]]=0,0,INVESTORS_LIST[[#This Row],[SIP_TOTAL CURRENT UNITS]]/INVESTORS_LIST[[#This Row],[TOTAL CURRENT UNITS]])</f>
        <v>0.97435897435897434</v>
      </c>
      <c r="AG20" s="4" cm="1">
        <f t="array" ref="AG20">IF(INVESTORS_LIST[[#This Row],[LS_TOTAL UNITS BUY]]&gt;0,INDEX(LS[NAV at Cost (Average)],MATCH(CONCATENATE(COUNTIFS(LS[Investor ID],INVESTORS_LIST[[#This Row],[INVESTOR CODE]]),INVESTORS_LIST[[#This Row],[INVESTOR CODE]]),LS[Unique Code],0),),0)</f>
        <v>13.3</v>
      </c>
      <c r="AH20" s="4" cm="1">
        <f t="array" ref="AH20">IF(INVESTORS_LIST[[#This Row],[SIP_TOTAL UNITS BUY]]&gt;0,INDEX(SIP[NAV at Cost (Average)],MATCH(CONCATENATE(COUNTIFS(SIP[Investor ID],INVESTORS_LIST[[#This Row],[INVESTOR CODE]]),INVESTORS_LIST[[#This Row],[INVESTOR CODE]]),SIP[Unique Code],0),),0)</f>
        <v>10.207553589656349</v>
      </c>
      <c r="AI20" s="178">
        <f>IF(INVESTORS_LIST[[#This Row],[TOTAL CURRENT UNITS]]=0,0,(INVESTORS_LIST[[#This Row],[LS_WEIGHT]]*INVESTORS_LIST[[#This Row],[LS_AVERAGE COST]])+(INVESTORS_LIST[[#This Row],[SIP_WEIGHT]]*INVESTORS_LIST[[#This Row],[SIP_AVERAGE COST]]))</f>
        <v>10.286847087357469</v>
      </c>
      <c r="AJ20" s="178">
        <f t="shared" si="0"/>
        <v>12.552</v>
      </c>
      <c r="AK20" s="118">
        <f>IF(INVESTORS_LIST[[#This Row],[TOTAL CURRENT UNITS]]=0,0,INVESTORS_LIST[[#This Row],[TOTAL CURRENT UNITS]]*INVESTORS_LIST[[#This Row],[NAV]])</f>
        <v>22028.76</v>
      </c>
      <c r="AL20" s="4">
        <f>IF(INVESTORS_LIST[[#This Row],[LS_TOTAL CURRENT UNITS]]=0,0,INVESTORS_LIST[[#This Row],[LS_TOTAL CURRENT UNITS]]*INVESTORS_LIST[[#This Row],[NAV]])</f>
        <v>564.84</v>
      </c>
      <c r="AM20" s="6">
        <f>IF(INVESTORS_LIST[[#This Row],[SIP_TOTAL CURRENT UNITS]]=0,0,INVESTORS_LIST[[#This Row],[SIP_TOTAL CURRENT UNITS]]*INVESTORS_LIST[[#This Row],[NAV]])</f>
        <v>21463.919999999998</v>
      </c>
      <c r="AO20" s="6">
        <f>IF(INVESTORS_LIST[[#This Row],[TOTAL SELLABLE UNITS]]=0,0,INVESTORS_LIST[[#This Row],[TOTAL SELLABLE UNITS]]*INVESTORS_LIST[[#This Row],[NAV]])</f>
        <v>0</v>
      </c>
      <c r="AP20" s="6">
        <f>INVESTORS_LIST[[#This Row],[LS_TOTAL REALIZED GAIN]]+INVESTORS_LIST[[#This Row],[SIP_TOTAL REALIZED GAIN]]</f>
        <v>27702.746638312281</v>
      </c>
      <c r="AQ20" s="6">
        <f>INVESTORS_LIST[[#This Row],[TOTAL MARKET VALUE]]-INVESTORS_LIST[[#This Row],[TOTAL COST VALUE OF CURRENT INVESTMENT]]</f>
        <v>3975.3433616876391</v>
      </c>
      <c r="AR20" s="6">
        <f>SUMIFS(DivAndTax[Tax Amount],DivAndTax[Investor ID],INVESTORS_LIST[[#This Row],[INVESTOR CODE]])</f>
        <v>1143.4299999999998</v>
      </c>
      <c r="AS20" s="6">
        <f>SUMIFS(DivAndTax[Gross Dividend],DivAndTax[Investor ID],INVESTORS_LIST[[#This Row],[INVESTOR CODE]])</f>
        <v>11434.25</v>
      </c>
      <c r="AT20" s="5">
        <f>IFERROR(INVESTORS_LIST[[#This Row],[TOTAL CURRENT UNITS]]/SUM(INVESTORS_LIST[TOTAL CURRENT UNITS]),0)</f>
        <v>8.4143185523881709E-5</v>
      </c>
    </row>
    <row r="21" spans="1:46" hidden="1">
      <c r="A21" t="s">
        <v>731</v>
      </c>
      <c r="B21" t="s">
        <v>28</v>
      </c>
      <c r="C21" t="s">
        <v>536</v>
      </c>
      <c r="D21" s="8" t="s">
        <v>2</v>
      </c>
      <c r="E21" s="2">
        <f>SUMIFS(LS[Unit],LS[Investor ID],INVESTORS_LIST[[#This Row],[INVESTOR CODE]],LS[B/S],"B")</f>
        <v>0</v>
      </c>
      <c r="F21" s="2">
        <f>-SUMIFS(LS[Unit],LS[Investor ID],INVESTORS_LIST[[#This Row],[INVESTOR CODE]],LS[B/S],"S")</f>
        <v>0</v>
      </c>
      <c r="G21" s="2">
        <f>IF(INVESTORS_LIST[[#This Row],[LS_TOTAL UNITS BUY]]=0,0,INVESTORS_LIST[[#This Row],[LS_TOTAL UNITS BUY]]-INVESTORS_LIST[[#This Row],[LS_TOTAL UNITS SOLD]])</f>
        <v>0</v>
      </c>
      <c r="H21" s="4">
        <f>IF(INVESTORS_LIST[[#This Row],[LS_TOTAL UNITS BUY]]=0,0,SUMIFS(LS[Amount],LS[Investor ID],INVESTORS_LIST[[#This Row],[INVESTOR CODE]],LS[B/S],"B"))</f>
        <v>0</v>
      </c>
      <c r="I21" s="6">
        <f>IF(INVESTORS_LIST[[#This Row],[LS_TOTAL UNITS SOLD]]=0,0,SUMIFS(LS[Cost of Units Sold],LS[Investor ID],INVESTORS_LIST[[#This Row],[INVESTOR CODE]],LS[B/S],"S"))</f>
        <v>0</v>
      </c>
      <c r="J21" s="6">
        <f>IF(INVESTORS_LIST[[#This Row],[LS_TOTAL CURRENT UNITS]]=0,0,INVESTORS_LIST[[#This Row],[LS_TOTAL CURRENT UNITS]]*INVESTORS_LIST[[#This Row],[LS_AVERAGE COST]])</f>
        <v>0</v>
      </c>
      <c r="K21" s="4">
        <f>IF(INVESTORS_LIST[[#This Row],[LS_TOTAL UNITS SOLD]]=0,0,SUMIFS(LS[Realized Gain],LS[Investor ID],INVESTORS_LIST[[#This Row],[INVESTOR CODE]],LS[B/S],"S"))</f>
        <v>0</v>
      </c>
      <c r="L21" s="2">
        <f>SUMIFS(SIP[Unit],SIP[Investor ID],INVESTORS_LIST[[#This Row],[INVESTOR CODE]],SIP[B/S],"B")</f>
        <v>0</v>
      </c>
      <c r="M21" s="2">
        <f>-SUMIFS(SIP[Unit],SIP[Investor ID],INVESTORS_LIST[[#This Row],[INVESTOR CODE]],SIP[B/S],"S")</f>
        <v>0</v>
      </c>
      <c r="N21" s="33">
        <f>IF(INVESTORS_LIST[[#This Row],[SIP_TOTAL UNITS BUY]]=0,0,INVESTORS_LIST[[#This Row],[SIP_TOTAL UNITS BUY]]-INVESTORS_LIST[[#This Row],[SIP_TOTAL UNITS SOLD]])</f>
        <v>0</v>
      </c>
      <c r="O21" s="4">
        <f>IF(INVESTORS_LIST[[#This Row],[SIP_TOTAL UNITS BUY]]=0,0,SUMIFS(SIP[Amount],SIP[Investor ID],INVESTORS_LIST[[#This Row],[INVESTOR CODE]],SIP[B/S],"B"))</f>
        <v>0</v>
      </c>
      <c r="P21" s="4">
        <f>IF(INVESTORS_LIST[[#This Row],[SIP_TOTAL UNITS SOLD]]=0,0,SUMIFS(SIP[Cost of Units Sold],SIP[Investor ID],INVESTORS_LIST[[#This Row],[INVESTOR CODE]],SIP[B/S],"S"))</f>
        <v>0</v>
      </c>
      <c r="Q21" s="6">
        <f>IF(INVESTORS_LIST[[#This Row],[SIP_TOTAL CURRENT UNITS]]=0,0,INVESTORS_LIST[[#This Row],[SIP_TOTAL CURRENT UNITS]]*INVESTORS_LIST[[#This Row],[SIP_AVERAGE COST]])</f>
        <v>0</v>
      </c>
      <c r="R21" s="6">
        <f>IF(INVESTORS_LIST[[#This Row],[SIP_TOTAL UNITS SOLD]]=0,0,SUMIFS(SIP[Realized Gain],SIP[Investor ID],INVESTORS_LIST[[#This Row],[INVESTOR CODE]],SIP[B/S],"S"))</f>
        <v>0</v>
      </c>
      <c r="S21" s="33">
        <f>INVESTORS_LIST[[#This Row],[LS_TOTAL UNITS BUY]]+INVESTORS_LIST[[#This Row],[SIP_TOTAL UNITS BUY]]</f>
        <v>0</v>
      </c>
      <c r="T21" s="33">
        <f>INVESTORS_LIST[[#This Row],[LS_TOTAL UNITS SOLD]]+INVESTORS_LIST[[#This Row],[SIP_TOTAL UNITS SOLD]]</f>
        <v>0</v>
      </c>
      <c r="U21" s="33">
        <v>0</v>
      </c>
      <c r="V21" s="33">
        <f>SUMIFS(LS[BO UNIT TRANSFER],LS[Investor ID],INVESTORS_LIST[[#This Row],[INVESTOR CODE]],LS[B/S],"B")</f>
        <v>0</v>
      </c>
      <c r="W21" s="33">
        <f>SUMIFS(LS[BO UNIT TRANSFER],LS[Investor ID],INVESTORS_LIST[[#This Row],[INVESTOR CODE]],LS[B/S],"S")</f>
        <v>0</v>
      </c>
      <c r="X21" s="33">
        <f>SUMIFS(SIP[BO UNIT TRANSFER],SIP[Investor ID],INVESTORS_LIST[[#This Row],[INVESTOR CODE]],SIP[B/S],"S")</f>
        <v>0</v>
      </c>
      <c r="Y21" s="33">
        <f>SUMIFS(SIP[BO UNIT TRANSFER],SIP[Investor ID],INVESTORS_LIST[[#This Row],[INVESTOR CODE]],SIP[B/S],"B")</f>
        <v>0</v>
      </c>
      <c r="Z2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1" s="119">
        <f>INVESTORS_LIST[[#This Row],[TOTAL UNITS BUY]]-INVESTORS_LIST[[#This Row],[TOTAL UNITS SOLD]]</f>
        <v>0</v>
      </c>
      <c r="AB21" s="119">
        <f>INVESTORS_LIST[[#This Row],[TOTAL CURRENT UNITS]]-INVESTORS_LIST[[#This Row],[BO UNITS HOLD]]</f>
        <v>0</v>
      </c>
      <c r="AC21" s="119" t="e">
        <f>INDEX([4]!Table_1[BO ID],MATCH(INVESTORS_LIST[[#This Row],[INVESTOR CODE]],[4]!Table_1[INVESTOR CODE],0))</f>
        <v>#REF!</v>
      </c>
      <c r="AD21" s="33">
        <f>INVESTORS_LIST[[#This Row],[LS_TOTAL COST VALUE OF CURRENT UNITS]]+INVESTORS_LIST[[#This Row],[SIP_TOTAL COST VALUE OF CURRENT UNITS]]</f>
        <v>0</v>
      </c>
      <c r="AE21" s="44">
        <f>IF(INVESTORS_LIST[[#This Row],[TOTAL CURRENT UNITS]]=0,0,INVESTORS_LIST[[#This Row],[LS_TOTAL CURRENT UNITS]]/INVESTORS_LIST[[#This Row],[TOTAL CURRENT UNITS]])</f>
        <v>0</v>
      </c>
      <c r="AF21" s="44">
        <f>IF(INVESTORS_LIST[[#This Row],[TOTAL CURRENT UNITS]]=0,0,INVESTORS_LIST[[#This Row],[SIP_TOTAL CURRENT UNITS]]/INVESTORS_LIST[[#This Row],[TOTAL CURRENT UNITS]])</f>
        <v>0</v>
      </c>
      <c r="AG21" s="4" cm="1">
        <f t="array" ref="AG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1" s="4" cm="1">
        <f t="array" ref="AH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1" s="178">
        <f t="shared" si="0"/>
        <v>12.552</v>
      </c>
      <c r="AK21" s="118">
        <f>IF(INVESTORS_LIST[[#This Row],[TOTAL CURRENT UNITS]]=0,0,INVESTORS_LIST[[#This Row],[TOTAL CURRENT UNITS]]*INVESTORS_LIST[[#This Row],[NAV]])</f>
        <v>0</v>
      </c>
      <c r="AL21" s="4">
        <f>IF(INVESTORS_LIST[[#This Row],[LS_TOTAL CURRENT UNITS]]=0,0,INVESTORS_LIST[[#This Row],[LS_TOTAL CURRENT UNITS]]*INVESTORS_LIST[[#This Row],[NAV]])</f>
        <v>0</v>
      </c>
      <c r="AM21" s="6">
        <f>IF(INVESTORS_LIST[[#This Row],[SIP_TOTAL CURRENT UNITS]]=0,0,INVESTORS_LIST[[#This Row],[SIP_TOTAL CURRENT UNITS]]*INVESTORS_LIST[[#This Row],[NAV]])</f>
        <v>0</v>
      </c>
      <c r="AO21" s="6">
        <f>IF(INVESTORS_LIST[[#This Row],[TOTAL SELLABLE UNITS]]=0,0,INVESTORS_LIST[[#This Row],[TOTAL SELLABLE UNITS]]*INVESTORS_LIST[[#This Row],[NAV]])</f>
        <v>0</v>
      </c>
      <c r="AP21" s="6">
        <f>INVESTORS_LIST[[#This Row],[LS_TOTAL REALIZED GAIN]]+INVESTORS_LIST[[#This Row],[SIP_TOTAL REALIZED GAIN]]</f>
        <v>0</v>
      </c>
      <c r="AQ21" s="6">
        <f>INVESTORS_LIST[[#This Row],[TOTAL MARKET VALUE]]-INVESTORS_LIST[[#This Row],[TOTAL COST VALUE OF CURRENT INVESTMENT]]</f>
        <v>0</v>
      </c>
      <c r="AR21" s="6">
        <f>SUMIFS(DivAndTax[Tax Amount],DivAndTax[Investor ID],INVESTORS_LIST[[#This Row],[INVESTOR CODE]])</f>
        <v>0</v>
      </c>
      <c r="AS21" s="6">
        <f>SUMIFS(DivAndTax[Gross Dividend],DivAndTax[Investor ID],INVESTORS_LIST[[#This Row],[INVESTOR CODE]])</f>
        <v>0</v>
      </c>
      <c r="AT21" s="5">
        <f>IFERROR(INVESTORS_LIST[[#This Row],[TOTAL CURRENT UNITS]]/SUM(INVESTORS_LIST[TOTAL CURRENT UNITS]),0)</f>
        <v>0</v>
      </c>
    </row>
    <row r="22" spans="1:46" hidden="1">
      <c r="A22" t="s">
        <v>732</v>
      </c>
      <c r="B22" t="s">
        <v>29</v>
      </c>
      <c r="C22" t="s">
        <v>536</v>
      </c>
      <c r="D22" s="8" t="s">
        <v>2</v>
      </c>
      <c r="E22" s="2">
        <f>SUMIFS(LS[Unit],LS[Investor ID],INVESTORS_LIST[[#This Row],[INVESTOR CODE]],LS[B/S],"B")</f>
        <v>35641</v>
      </c>
      <c r="F22" s="2">
        <f>-SUMIFS(LS[Unit],LS[Investor ID],INVESTORS_LIST[[#This Row],[INVESTOR CODE]],LS[B/S],"S")</f>
        <v>35641</v>
      </c>
      <c r="G22" s="2">
        <f>IF(INVESTORS_LIST[[#This Row],[LS_TOTAL UNITS BUY]]=0,0,INVESTORS_LIST[[#This Row],[LS_TOTAL UNITS BUY]]-INVESTORS_LIST[[#This Row],[LS_TOTAL UNITS SOLD]])</f>
        <v>0</v>
      </c>
      <c r="H22" s="4">
        <f>IF(INVESTORS_LIST[[#This Row],[LS_TOTAL UNITS BUY]]=0,0,SUMIFS(LS[Amount],LS[Investor ID],INVESTORS_LIST[[#This Row],[INVESTOR CODE]],LS[B/S],"B"))</f>
        <v>350000</v>
      </c>
      <c r="I22" s="6">
        <f>IF(INVESTORS_LIST[[#This Row],[LS_TOTAL UNITS SOLD]]=0,0,SUMIFS(LS[Cost of Units Sold],LS[Investor ID],INVESTORS_LIST[[#This Row],[INVESTOR CODE]],LS[B/S],"S"))</f>
        <v>350000</v>
      </c>
      <c r="J22" s="6">
        <f>IF(INVESTORS_LIST[[#This Row],[LS_TOTAL CURRENT UNITS]]=0,0,INVESTORS_LIST[[#This Row],[LS_TOTAL CURRENT UNITS]]*INVESTORS_LIST[[#This Row],[LS_AVERAGE COST]])</f>
        <v>0</v>
      </c>
      <c r="K22" s="4">
        <f>IF(INVESTORS_LIST[[#This Row],[LS_TOTAL UNITS SOLD]]=0,0,SUMIFS(LS[Realized Gain],LS[Investor ID],INVESTORS_LIST[[#This Row],[INVESTOR CODE]],LS[B/S],"S"))</f>
        <v>7122.8200000000134</v>
      </c>
      <c r="L22" s="2">
        <f>SUMIFS(SIP[Unit],SIP[Investor ID],INVESTORS_LIST[[#This Row],[INVESTOR CODE]],SIP[B/S],"B")</f>
        <v>759</v>
      </c>
      <c r="M22" s="2">
        <f>-SUMIFS(SIP[Unit],SIP[Investor ID],INVESTORS_LIST[[#This Row],[INVESTOR CODE]],SIP[B/S],"S")</f>
        <v>759</v>
      </c>
      <c r="N22" s="33">
        <f>IF(INVESTORS_LIST[[#This Row],[SIP_TOTAL UNITS BUY]]=0,0,INVESTORS_LIST[[#This Row],[SIP_TOTAL UNITS BUY]]-INVESTORS_LIST[[#This Row],[SIP_TOTAL UNITS SOLD]])</f>
        <v>0</v>
      </c>
      <c r="O22" s="4">
        <f>IF(INVESTORS_LIST[[#This Row],[SIP_TOTAL UNITS BUY]]=0,0,SUMIFS(SIP[Amount],SIP[Investor ID],INVESTORS_LIST[[#This Row],[INVESTOR CODE]],SIP[B/S],"B"))</f>
        <v>10000</v>
      </c>
      <c r="P22" s="4">
        <f>IF(INVESTORS_LIST[[#This Row],[SIP_TOTAL UNITS SOLD]]=0,0,SUMIFS(SIP[Cost of Units Sold],SIP[Investor ID],INVESTORS_LIST[[#This Row],[INVESTOR CODE]],SIP[B/S],"S"))</f>
        <v>10000</v>
      </c>
      <c r="Q22" s="6">
        <f>IF(INVESTORS_LIST[[#This Row],[SIP_TOTAL CURRENT UNITS]]=0,0,INVESTORS_LIST[[#This Row],[SIP_TOTAL CURRENT UNITS]]*INVESTORS_LIST[[#This Row],[SIP_AVERAGE COST]])</f>
        <v>0</v>
      </c>
      <c r="R22" s="6">
        <f>IF(INVESTORS_LIST[[#This Row],[SIP_TOTAL UNITS SOLD]]=0,0,SUMIFS(SIP[Realized Gain],SIP[Investor ID],INVESTORS_LIST[[#This Row],[INVESTOR CODE]],SIP[B/S],"S"))</f>
        <v>0</v>
      </c>
      <c r="S22" s="33">
        <f>INVESTORS_LIST[[#This Row],[LS_TOTAL UNITS BUY]]+INVESTORS_LIST[[#This Row],[SIP_TOTAL UNITS BUY]]</f>
        <v>36400</v>
      </c>
      <c r="T22" s="33">
        <f>INVESTORS_LIST[[#This Row],[LS_TOTAL UNITS SOLD]]+INVESTORS_LIST[[#This Row],[SIP_TOTAL UNITS SOLD]]</f>
        <v>36400</v>
      </c>
      <c r="U22" s="33">
        <v>0</v>
      </c>
      <c r="V22" s="33">
        <f>SUMIFS(LS[BO UNIT TRANSFER],LS[Investor ID],INVESTORS_LIST[[#This Row],[INVESTOR CODE]],LS[B/S],"B")</f>
        <v>0</v>
      </c>
      <c r="W22" s="33">
        <f>SUMIFS(LS[BO UNIT TRANSFER],LS[Investor ID],INVESTORS_LIST[[#This Row],[INVESTOR CODE]],LS[B/S],"S")</f>
        <v>0</v>
      </c>
      <c r="X22" s="33">
        <f>SUMIFS(SIP[BO UNIT TRANSFER],SIP[Investor ID],INVESTORS_LIST[[#This Row],[INVESTOR CODE]],SIP[B/S],"S")</f>
        <v>0</v>
      </c>
      <c r="Y22" s="33">
        <f>SUMIFS(SIP[BO UNIT TRANSFER],SIP[Investor ID],INVESTORS_LIST[[#This Row],[INVESTOR CODE]],SIP[B/S],"B")</f>
        <v>0</v>
      </c>
      <c r="Z2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2" s="119">
        <f>INVESTORS_LIST[[#This Row],[TOTAL UNITS BUY]]-INVESTORS_LIST[[#This Row],[TOTAL UNITS SOLD]]</f>
        <v>0</v>
      </c>
      <c r="AB22" s="119">
        <f>INVESTORS_LIST[[#This Row],[TOTAL CURRENT UNITS]]-INVESTORS_LIST[[#This Row],[BO UNITS HOLD]]</f>
        <v>0</v>
      </c>
      <c r="AC22" s="119" t="e">
        <f>INDEX([4]!Table_1[BO ID],MATCH(INVESTORS_LIST[[#This Row],[INVESTOR CODE]],[4]!Table_1[INVESTOR CODE],0))</f>
        <v>#REF!</v>
      </c>
      <c r="AD22" s="33">
        <f>INVESTORS_LIST[[#This Row],[LS_TOTAL COST VALUE OF CURRENT UNITS]]+INVESTORS_LIST[[#This Row],[SIP_TOTAL COST VALUE OF CURRENT UNITS]]</f>
        <v>0</v>
      </c>
      <c r="AE22" s="44">
        <f>IF(INVESTORS_LIST[[#This Row],[TOTAL CURRENT UNITS]]=0,0,INVESTORS_LIST[[#This Row],[LS_TOTAL CURRENT UNITS]]/INVESTORS_LIST[[#This Row],[TOTAL CURRENT UNITS]])</f>
        <v>0</v>
      </c>
      <c r="AF22" s="44">
        <f>IF(INVESTORS_LIST[[#This Row],[TOTAL CURRENT UNITS]]=0,0,INVESTORS_LIST[[#This Row],[SIP_TOTAL CURRENT UNITS]]/INVESTORS_LIST[[#This Row],[TOTAL CURRENT UNITS]])</f>
        <v>0</v>
      </c>
      <c r="AG22" s="4" cm="1">
        <f t="array" ref="AG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2" s="4" cm="1">
        <f t="array" ref="AH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2" s="178">
        <f t="shared" si="0"/>
        <v>12.552</v>
      </c>
      <c r="AK22" s="118">
        <f>IF(INVESTORS_LIST[[#This Row],[TOTAL CURRENT UNITS]]=0,0,INVESTORS_LIST[[#This Row],[TOTAL CURRENT UNITS]]*INVESTORS_LIST[[#This Row],[NAV]])</f>
        <v>0</v>
      </c>
      <c r="AL22" s="4">
        <f>IF(INVESTORS_LIST[[#This Row],[LS_TOTAL CURRENT UNITS]]=0,0,INVESTORS_LIST[[#This Row],[LS_TOTAL CURRENT UNITS]]*INVESTORS_LIST[[#This Row],[NAV]])</f>
        <v>0</v>
      </c>
      <c r="AM22" s="6">
        <f>IF(INVESTORS_LIST[[#This Row],[SIP_TOTAL CURRENT UNITS]]=0,0,INVESTORS_LIST[[#This Row],[SIP_TOTAL CURRENT UNITS]]*INVESTORS_LIST[[#This Row],[NAV]])</f>
        <v>0</v>
      </c>
      <c r="AO22" s="6">
        <f>IF(INVESTORS_LIST[[#This Row],[TOTAL SELLABLE UNITS]]=0,0,INVESTORS_LIST[[#This Row],[TOTAL SELLABLE UNITS]]*INVESTORS_LIST[[#This Row],[NAV]])</f>
        <v>0</v>
      </c>
      <c r="AP22" s="6">
        <f>INVESTORS_LIST[[#This Row],[LS_TOTAL REALIZED GAIN]]+INVESTORS_LIST[[#This Row],[SIP_TOTAL REALIZED GAIN]]</f>
        <v>7122.8200000000134</v>
      </c>
      <c r="AQ22" s="6">
        <f>INVESTORS_LIST[[#This Row],[TOTAL MARKET VALUE]]-INVESTORS_LIST[[#This Row],[TOTAL COST VALUE OF CURRENT INVESTMENT]]</f>
        <v>0</v>
      </c>
      <c r="AR22" s="6">
        <f>SUMIFS(DivAndTax[Tax Amount],DivAndTax[Investor ID],INVESTORS_LIST[[#This Row],[INVESTOR CODE]])</f>
        <v>0</v>
      </c>
      <c r="AS22" s="6">
        <f>SUMIFS(DivAndTax[Gross Dividend],DivAndTax[Investor ID],INVESTORS_LIST[[#This Row],[INVESTOR CODE]])</f>
        <v>0</v>
      </c>
      <c r="AT22" s="5">
        <f>IFERROR(INVESTORS_LIST[[#This Row],[TOTAL CURRENT UNITS]]/SUM(INVESTORS_LIST[TOTAL CURRENT UNITS]),0)</f>
        <v>0</v>
      </c>
    </row>
    <row r="23" spans="1:46" hidden="1">
      <c r="A23" t="s">
        <v>733</v>
      </c>
      <c r="B23" t="s">
        <v>30</v>
      </c>
      <c r="C23" t="s">
        <v>537</v>
      </c>
      <c r="D23" s="8" t="s">
        <v>11</v>
      </c>
      <c r="E23" s="2">
        <f>SUMIFS(LS[Unit],LS[Investor ID],INVESTORS_LIST[[#This Row],[INVESTOR CODE]],LS[B/S],"B")</f>
        <v>0</v>
      </c>
      <c r="F23" s="2">
        <f>-SUMIFS(LS[Unit],LS[Investor ID],INVESTORS_LIST[[#This Row],[INVESTOR CODE]],LS[B/S],"S")</f>
        <v>0</v>
      </c>
      <c r="G23" s="2">
        <f>IF(INVESTORS_LIST[[#This Row],[LS_TOTAL UNITS BUY]]=0,0,INVESTORS_LIST[[#This Row],[LS_TOTAL UNITS BUY]]-INVESTORS_LIST[[#This Row],[LS_TOTAL UNITS SOLD]])</f>
        <v>0</v>
      </c>
      <c r="H23" s="4">
        <f>IF(INVESTORS_LIST[[#This Row],[LS_TOTAL UNITS BUY]]=0,0,SUMIFS(LS[Amount],LS[Investor ID],INVESTORS_LIST[[#This Row],[INVESTOR CODE]],LS[B/S],"B"))</f>
        <v>0</v>
      </c>
      <c r="I23" s="6">
        <f>IF(INVESTORS_LIST[[#This Row],[LS_TOTAL UNITS SOLD]]=0,0,SUMIFS(LS[Cost of Units Sold],LS[Investor ID],INVESTORS_LIST[[#This Row],[INVESTOR CODE]],LS[B/S],"S"))</f>
        <v>0</v>
      </c>
      <c r="J23" s="6">
        <f>IF(INVESTORS_LIST[[#This Row],[LS_TOTAL CURRENT UNITS]]=0,0,INVESTORS_LIST[[#This Row],[LS_TOTAL CURRENT UNITS]]*INVESTORS_LIST[[#This Row],[LS_AVERAGE COST]])</f>
        <v>0</v>
      </c>
      <c r="K23" s="4">
        <f>IF(INVESTORS_LIST[[#This Row],[LS_TOTAL UNITS SOLD]]=0,0,SUMIFS(LS[Realized Gain],LS[Investor ID],INVESTORS_LIST[[#This Row],[INVESTOR CODE]],LS[B/S],"S"))</f>
        <v>0</v>
      </c>
      <c r="L23" s="2">
        <f>SUMIFS(SIP[Unit],SIP[Investor ID],INVESTORS_LIST[[#This Row],[INVESTOR CODE]],SIP[B/S],"B")</f>
        <v>0</v>
      </c>
      <c r="M23" s="2">
        <f>-SUMIFS(SIP[Unit],SIP[Investor ID],INVESTORS_LIST[[#This Row],[INVESTOR CODE]],SIP[B/S],"S")</f>
        <v>0</v>
      </c>
      <c r="N23" s="33">
        <f>IF(INVESTORS_LIST[[#This Row],[SIP_TOTAL UNITS BUY]]=0,0,INVESTORS_LIST[[#This Row],[SIP_TOTAL UNITS BUY]]-INVESTORS_LIST[[#This Row],[SIP_TOTAL UNITS SOLD]])</f>
        <v>0</v>
      </c>
      <c r="O23" s="4">
        <f>IF(INVESTORS_LIST[[#This Row],[SIP_TOTAL UNITS BUY]]=0,0,SUMIFS(SIP[Amount],SIP[Investor ID],INVESTORS_LIST[[#This Row],[INVESTOR CODE]],SIP[B/S],"B"))</f>
        <v>0</v>
      </c>
      <c r="P23" s="4">
        <f>IF(INVESTORS_LIST[[#This Row],[SIP_TOTAL UNITS SOLD]]=0,0,SUMIFS(SIP[Cost of Units Sold],SIP[Investor ID],INVESTORS_LIST[[#This Row],[INVESTOR CODE]],SIP[B/S],"S"))</f>
        <v>0</v>
      </c>
      <c r="Q23" s="6">
        <f>IF(INVESTORS_LIST[[#This Row],[SIP_TOTAL CURRENT UNITS]]=0,0,INVESTORS_LIST[[#This Row],[SIP_TOTAL CURRENT UNITS]]*INVESTORS_LIST[[#This Row],[SIP_AVERAGE COST]])</f>
        <v>0</v>
      </c>
      <c r="R23" s="6">
        <f>IF(INVESTORS_LIST[[#This Row],[SIP_TOTAL UNITS SOLD]]=0,0,SUMIFS(SIP[Realized Gain],SIP[Investor ID],INVESTORS_LIST[[#This Row],[INVESTOR CODE]],SIP[B/S],"S"))</f>
        <v>0</v>
      </c>
      <c r="S23" s="33">
        <f>INVESTORS_LIST[[#This Row],[LS_TOTAL UNITS BUY]]+INVESTORS_LIST[[#This Row],[SIP_TOTAL UNITS BUY]]</f>
        <v>0</v>
      </c>
      <c r="T23" s="33">
        <f>INVESTORS_LIST[[#This Row],[LS_TOTAL UNITS SOLD]]+INVESTORS_LIST[[#This Row],[SIP_TOTAL UNITS SOLD]]</f>
        <v>0</v>
      </c>
      <c r="U23" s="33">
        <v>0</v>
      </c>
      <c r="V23" s="33">
        <f>SUMIFS(LS[BO UNIT TRANSFER],LS[Investor ID],INVESTORS_LIST[[#This Row],[INVESTOR CODE]],LS[B/S],"B")</f>
        <v>0</v>
      </c>
      <c r="W23" s="33">
        <f>SUMIFS(LS[BO UNIT TRANSFER],LS[Investor ID],INVESTORS_LIST[[#This Row],[INVESTOR CODE]],LS[B/S],"S")</f>
        <v>0</v>
      </c>
      <c r="X23" s="33">
        <f>SUMIFS(SIP[BO UNIT TRANSFER],SIP[Investor ID],INVESTORS_LIST[[#This Row],[INVESTOR CODE]],SIP[B/S],"S")</f>
        <v>0</v>
      </c>
      <c r="Y23" s="33">
        <f>SUMIFS(SIP[BO UNIT TRANSFER],SIP[Investor ID],INVESTORS_LIST[[#This Row],[INVESTOR CODE]],SIP[B/S],"B")</f>
        <v>0</v>
      </c>
      <c r="Z2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3" s="119">
        <f>INVESTORS_LIST[[#This Row],[TOTAL UNITS BUY]]-INVESTORS_LIST[[#This Row],[TOTAL UNITS SOLD]]</f>
        <v>0</v>
      </c>
      <c r="AB23" s="119">
        <f>INVESTORS_LIST[[#This Row],[TOTAL CURRENT UNITS]]-INVESTORS_LIST[[#This Row],[BO UNITS HOLD]]</f>
        <v>0</v>
      </c>
      <c r="AC23" s="119" t="e">
        <f>INDEX([4]!Table_1[BO ID],MATCH(INVESTORS_LIST[[#This Row],[INVESTOR CODE]],[4]!Table_1[INVESTOR CODE],0))</f>
        <v>#REF!</v>
      </c>
      <c r="AD23" s="33">
        <f>INVESTORS_LIST[[#This Row],[LS_TOTAL COST VALUE OF CURRENT UNITS]]+INVESTORS_LIST[[#This Row],[SIP_TOTAL COST VALUE OF CURRENT UNITS]]</f>
        <v>0</v>
      </c>
      <c r="AE23" s="44">
        <f>IF(INVESTORS_LIST[[#This Row],[TOTAL CURRENT UNITS]]=0,0,INVESTORS_LIST[[#This Row],[LS_TOTAL CURRENT UNITS]]/INVESTORS_LIST[[#This Row],[TOTAL CURRENT UNITS]])</f>
        <v>0</v>
      </c>
      <c r="AF23" s="44">
        <f>IF(INVESTORS_LIST[[#This Row],[TOTAL CURRENT UNITS]]=0,0,INVESTORS_LIST[[#This Row],[SIP_TOTAL CURRENT UNITS]]/INVESTORS_LIST[[#This Row],[TOTAL CURRENT UNITS]])</f>
        <v>0</v>
      </c>
      <c r="AG23" s="4" cm="1">
        <f t="array" ref="AG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3" s="4" cm="1">
        <f t="array" ref="AH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3" s="178">
        <f t="shared" si="0"/>
        <v>12.552</v>
      </c>
      <c r="AK23" s="118">
        <f>IF(INVESTORS_LIST[[#This Row],[TOTAL CURRENT UNITS]]=0,0,INVESTORS_LIST[[#This Row],[TOTAL CURRENT UNITS]]*INVESTORS_LIST[[#This Row],[NAV]])</f>
        <v>0</v>
      </c>
      <c r="AL23" s="4">
        <f>IF(INVESTORS_LIST[[#This Row],[LS_TOTAL CURRENT UNITS]]=0,0,INVESTORS_LIST[[#This Row],[LS_TOTAL CURRENT UNITS]]*INVESTORS_LIST[[#This Row],[NAV]])</f>
        <v>0</v>
      </c>
      <c r="AM23" s="6">
        <f>IF(INVESTORS_LIST[[#This Row],[SIP_TOTAL CURRENT UNITS]]=0,0,INVESTORS_LIST[[#This Row],[SIP_TOTAL CURRENT UNITS]]*INVESTORS_LIST[[#This Row],[NAV]])</f>
        <v>0</v>
      </c>
      <c r="AO23" s="6">
        <f>IF(INVESTORS_LIST[[#This Row],[TOTAL SELLABLE UNITS]]=0,0,INVESTORS_LIST[[#This Row],[TOTAL SELLABLE UNITS]]*INVESTORS_LIST[[#This Row],[NAV]])</f>
        <v>0</v>
      </c>
      <c r="AP23" s="6">
        <f>INVESTORS_LIST[[#This Row],[LS_TOTAL REALIZED GAIN]]+INVESTORS_LIST[[#This Row],[SIP_TOTAL REALIZED GAIN]]</f>
        <v>0</v>
      </c>
      <c r="AQ23" s="6">
        <f>INVESTORS_LIST[[#This Row],[TOTAL MARKET VALUE]]-INVESTORS_LIST[[#This Row],[TOTAL COST VALUE OF CURRENT INVESTMENT]]</f>
        <v>0</v>
      </c>
      <c r="AR23" s="6">
        <f>SUMIFS(DivAndTax[Tax Amount],DivAndTax[Investor ID],INVESTORS_LIST[[#This Row],[INVESTOR CODE]])</f>
        <v>0</v>
      </c>
      <c r="AS23" s="6">
        <f>SUMIFS(DivAndTax[Gross Dividend],DivAndTax[Investor ID],INVESTORS_LIST[[#This Row],[INVESTOR CODE]])</f>
        <v>0</v>
      </c>
      <c r="AT23" s="5">
        <f>IFERROR(INVESTORS_LIST[[#This Row],[TOTAL CURRENT UNITS]]/SUM(INVESTORS_LIST[TOTAL CURRENT UNITS]),0)</f>
        <v>0</v>
      </c>
    </row>
    <row r="24" spans="1:46" hidden="1">
      <c r="A24" t="s">
        <v>734</v>
      </c>
      <c r="B24" t="s">
        <v>31</v>
      </c>
      <c r="C24" t="s">
        <v>537</v>
      </c>
      <c r="D24" s="8" t="s">
        <v>13</v>
      </c>
      <c r="E24" s="2">
        <f>SUMIFS(LS[Unit],LS[Investor ID],INVESTORS_LIST[[#This Row],[INVESTOR CODE]],LS[B/S],"B")</f>
        <v>0</v>
      </c>
      <c r="F24" s="2">
        <f>-SUMIFS(LS[Unit],LS[Investor ID],INVESTORS_LIST[[#This Row],[INVESTOR CODE]],LS[B/S],"S")</f>
        <v>0</v>
      </c>
      <c r="G24" s="2">
        <f>IF(INVESTORS_LIST[[#This Row],[LS_TOTAL UNITS BUY]]=0,0,INVESTORS_LIST[[#This Row],[LS_TOTAL UNITS BUY]]-INVESTORS_LIST[[#This Row],[LS_TOTAL UNITS SOLD]])</f>
        <v>0</v>
      </c>
      <c r="H24" s="4">
        <f>IF(INVESTORS_LIST[[#This Row],[LS_TOTAL UNITS BUY]]=0,0,SUMIFS(LS[Amount],LS[Investor ID],INVESTORS_LIST[[#This Row],[INVESTOR CODE]],LS[B/S],"B"))</f>
        <v>0</v>
      </c>
      <c r="I24" s="6">
        <f>IF(INVESTORS_LIST[[#This Row],[LS_TOTAL UNITS SOLD]]=0,0,SUMIFS(LS[Cost of Units Sold],LS[Investor ID],INVESTORS_LIST[[#This Row],[INVESTOR CODE]],LS[B/S],"S"))</f>
        <v>0</v>
      </c>
      <c r="J24" s="6">
        <f>IF(INVESTORS_LIST[[#This Row],[LS_TOTAL CURRENT UNITS]]=0,0,INVESTORS_LIST[[#This Row],[LS_TOTAL CURRENT UNITS]]*INVESTORS_LIST[[#This Row],[LS_AVERAGE COST]])</f>
        <v>0</v>
      </c>
      <c r="K24" s="4">
        <f>IF(INVESTORS_LIST[[#This Row],[LS_TOTAL UNITS SOLD]]=0,0,SUMIFS(LS[Realized Gain],LS[Investor ID],INVESTORS_LIST[[#This Row],[INVESTOR CODE]],LS[B/S],"S"))</f>
        <v>0</v>
      </c>
      <c r="L24" s="2">
        <f>SUMIFS(SIP[Unit],SIP[Investor ID],INVESTORS_LIST[[#This Row],[INVESTOR CODE]],SIP[B/S],"B")</f>
        <v>0</v>
      </c>
      <c r="M24" s="2">
        <f>-SUMIFS(SIP[Unit],SIP[Investor ID],INVESTORS_LIST[[#This Row],[INVESTOR CODE]],SIP[B/S],"S")</f>
        <v>0</v>
      </c>
      <c r="N24" s="33">
        <f>IF(INVESTORS_LIST[[#This Row],[SIP_TOTAL UNITS BUY]]=0,0,INVESTORS_LIST[[#This Row],[SIP_TOTAL UNITS BUY]]-INVESTORS_LIST[[#This Row],[SIP_TOTAL UNITS SOLD]])</f>
        <v>0</v>
      </c>
      <c r="O24" s="4">
        <f>IF(INVESTORS_LIST[[#This Row],[SIP_TOTAL UNITS BUY]]=0,0,SUMIFS(SIP[Amount],SIP[Investor ID],INVESTORS_LIST[[#This Row],[INVESTOR CODE]],SIP[B/S],"B"))</f>
        <v>0</v>
      </c>
      <c r="P24" s="4">
        <f>IF(INVESTORS_LIST[[#This Row],[SIP_TOTAL UNITS SOLD]]=0,0,SUMIFS(SIP[Cost of Units Sold],SIP[Investor ID],INVESTORS_LIST[[#This Row],[INVESTOR CODE]],SIP[B/S],"S"))</f>
        <v>0</v>
      </c>
      <c r="Q24" s="6">
        <f>IF(INVESTORS_LIST[[#This Row],[SIP_TOTAL CURRENT UNITS]]=0,0,INVESTORS_LIST[[#This Row],[SIP_TOTAL CURRENT UNITS]]*INVESTORS_LIST[[#This Row],[SIP_AVERAGE COST]])</f>
        <v>0</v>
      </c>
      <c r="R24" s="6">
        <f>IF(INVESTORS_LIST[[#This Row],[SIP_TOTAL UNITS SOLD]]=0,0,SUMIFS(SIP[Realized Gain],SIP[Investor ID],INVESTORS_LIST[[#This Row],[INVESTOR CODE]],SIP[B/S],"S"))</f>
        <v>0</v>
      </c>
      <c r="S24" s="33">
        <f>INVESTORS_LIST[[#This Row],[LS_TOTAL UNITS BUY]]+INVESTORS_LIST[[#This Row],[SIP_TOTAL UNITS BUY]]</f>
        <v>0</v>
      </c>
      <c r="T24" s="33">
        <f>INVESTORS_LIST[[#This Row],[LS_TOTAL UNITS SOLD]]+INVESTORS_LIST[[#This Row],[SIP_TOTAL UNITS SOLD]]</f>
        <v>0</v>
      </c>
      <c r="U24" s="33">
        <v>0</v>
      </c>
      <c r="V24" s="33">
        <f>SUMIFS(LS[BO UNIT TRANSFER],LS[Investor ID],INVESTORS_LIST[[#This Row],[INVESTOR CODE]],LS[B/S],"B")</f>
        <v>0</v>
      </c>
      <c r="W24" s="33">
        <f>SUMIFS(LS[BO UNIT TRANSFER],LS[Investor ID],INVESTORS_LIST[[#This Row],[INVESTOR CODE]],LS[B/S],"S")</f>
        <v>0</v>
      </c>
      <c r="X24" s="33">
        <f>SUMIFS(SIP[BO UNIT TRANSFER],SIP[Investor ID],INVESTORS_LIST[[#This Row],[INVESTOR CODE]],SIP[B/S],"S")</f>
        <v>0</v>
      </c>
      <c r="Y24" s="33">
        <f>SUMIFS(SIP[BO UNIT TRANSFER],SIP[Investor ID],INVESTORS_LIST[[#This Row],[INVESTOR CODE]],SIP[B/S],"B")</f>
        <v>0</v>
      </c>
      <c r="Z2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4" s="119">
        <f>INVESTORS_LIST[[#This Row],[TOTAL UNITS BUY]]-INVESTORS_LIST[[#This Row],[TOTAL UNITS SOLD]]</f>
        <v>0</v>
      </c>
      <c r="AB24" s="119">
        <f>INVESTORS_LIST[[#This Row],[TOTAL CURRENT UNITS]]-INVESTORS_LIST[[#This Row],[BO UNITS HOLD]]</f>
        <v>0</v>
      </c>
      <c r="AC24" s="119" t="e">
        <f>INDEX([4]!Table_1[BO ID],MATCH(INVESTORS_LIST[[#This Row],[INVESTOR CODE]],[4]!Table_1[INVESTOR CODE],0))</f>
        <v>#REF!</v>
      </c>
      <c r="AD24" s="33">
        <f>INVESTORS_LIST[[#This Row],[LS_TOTAL COST VALUE OF CURRENT UNITS]]+INVESTORS_LIST[[#This Row],[SIP_TOTAL COST VALUE OF CURRENT UNITS]]</f>
        <v>0</v>
      </c>
      <c r="AE24" s="44">
        <f>IF(INVESTORS_LIST[[#This Row],[TOTAL CURRENT UNITS]]=0,0,INVESTORS_LIST[[#This Row],[LS_TOTAL CURRENT UNITS]]/INVESTORS_LIST[[#This Row],[TOTAL CURRENT UNITS]])</f>
        <v>0</v>
      </c>
      <c r="AF24" s="44">
        <f>IF(INVESTORS_LIST[[#This Row],[TOTAL CURRENT UNITS]]=0,0,INVESTORS_LIST[[#This Row],[SIP_TOTAL CURRENT UNITS]]/INVESTORS_LIST[[#This Row],[TOTAL CURRENT UNITS]])</f>
        <v>0</v>
      </c>
      <c r="AG24" s="4" cm="1">
        <f t="array" ref="AG2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4" s="4" cm="1">
        <f t="array" ref="AH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4" s="178">
        <f t="shared" si="0"/>
        <v>12.552</v>
      </c>
      <c r="AK24" s="118">
        <f>IF(INVESTORS_LIST[[#This Row],[TOTAL CURRENT UNITS]]=0,0,INVESTORS_LIST[[#This Row],[TOTAL CURRENT UNITS]]*INVESTORS_LIST[[#This Row],[NAV]])</f>
        <v>0</v>
      </c>
      <c r="AL24" s="4">
        <f>IF(INVESTORS_LIST[[#This Row],[LS_TOTAL CURRENT UNITS]]=0,0,INVESTORS_LIST[[#This Row],[LS_TOTAL CURRENT UNITS]]*INVESTORS_LIST[[#This Row],[NAV]])</f>
        <v>0</v>
      </c>
      <c r="AM24" s="6">
        <f>IF(INVESTORS_LIST[[#This Row],[SIP_TOTAL CURRENT UNITS]]=0,0,INVESTORS_LIST[[#This Row],[SIP_TOTAL CURRENT UNITS]]*INVESTORS_LIST[[#This Row],[NAV]])</f>
        <v>0</v>
      </c>
      <c r="AO24" s="6">
        <f>IF(INVESTORS_LIST[[#This Row],[TOTAL SELLABLE UNITS]]=0,0,INVESTORS_LIST[[#This Row],[TOTAL SELLABLE UNITS]]*INVESTORS_LIST[[#This Row],[NAV]])</f>
        <v>0</v>
      </c>
      <c r="AP24" s="6">
        <f>INVESTORS_LIST[[#This Row],[LS_TOTAL REALIZED GAIN]]+INVESTORS_LIST[[#This Row],[SIP_TOTAL REALIZED GAIN]]</f>
        <v>0</v>
      </c>
      <c r="AQ24" s="6">
        <f>INVESTORS_LIST[[#This Row],[TOTAL MARKET VALUE]]-INVESTORS_LIST[[#This Row],[TOTAL COST VALUE OF CURRENT INVESTMENT]]</f>
        <v>0</v>
      </c>
      <c r="AR24" s="6">
        <f>SUMIFS(DivAndTax[Tax Amount],DivAndTax[Investor ID],INVESTORS_LIST[[#This Row],[INVESTOR CODE]])</f>
        <v>0</v>
      </c>
      <c r="AS24" s="6">
        <f>SUMIFS(DivAndTax[Gross Dividend],DivAndTax[Investor ID],INVESTORS_LIST[[#This Row],[INVESTOR CODE]])</f>
        <v>0</v>
      </c>
      <c r="AT24" s="5">
        <f>IFERROR(INVESTORS_LIST[[#This Row],[TOTAL CURRENT UNITS]]/SUM(INVESTORS_LIST[TOTAL CURRENT UNITS]),0)</f>
        <v>0</v>
      </c>
    </row>
    <row r="25" spans="1:46" hidden="1">
      <c r="A25" t="s">
        <v>735</v>
      </c>
      <c r="B25" t="s">
        <v>32</v>
      </c>
      <c r="C25" t="s">
        <v>536</v>
      </c>
      <c r="D25" s="8" t="s">
        <v>2</v>
      </c>
      <c r="E25" s="2">
        <f>SUMIFS(LS[Unit],LS[Investor ID],INVESTORS_LIST[[#This Row],[INVESTOR CODE]],LS[B/S],"B")</f>
        <v>0</v>
      </c>
      <c r="F25" s="2">
        <f>-SUMIFS(LS[Unit],LS[Investor ID],INVESTORS_LIST[[#This Row],[INVESTOR CODE]],LS[B/S],"S")</f>
        <v>0</v>
      </c>
      <c r="G25" s="2">
        <f>IF(INVESTORS_LIST[[#This Row],[LS_TOTAL UNITS BUY]]=0,0,INVESTORS_LIST[[#This Row],[LS_TOTAL UNITS BUY]]-INVESTORS_LIST[[#This Row],[LS_TOTAL UNITS SOLD]])</f>
        <v>0</v>
      </c>
      <c r="H25" s="4">
        <f>IF(INVESTORS_LIST[[#This Row],[LS_TOTAL UNITS BUY]]=0,0,SUMIFS(LS[Amount],LS[Investor ID],INVESTORS_LIST[[#This Row],[INVESTOR CODE]],LS[B/S],"B"))</f>
        <v>0</v>
      </c>
      <c r="I25" s="6">
        <f>IF(INVESTORS_LIST[[#This Row],[LS_TOTAL UNITS SOLD]]=0,0,SUMIFS(LS[Cost of Units Sold],LS[Investor ID],INVESTORS_LIST[[#This Row],[INVESTOR CODE]],LS[B/S],"S"))</f>
        <v>0</v>
      </c>
      <c r="J25" s="6">
        <f>IF(INVESTORS_LIST[[#This Row],[LS_TOTAL CURRENT UNITS]]=0,0,INVESTORS_LIST[[#This Row],[LS_TOTAL CURRENT UNITS]]*INVESTORS_LIST[[#This Row],[LS_AVERAGE COST]])</f>
        <v>0</v>
      </c>
      <c r="K25" s="4">
        <f>IF(INVESTORS_LIST[[#This Row],[LS_TOTAL UNITS SOLD]]=0,0,SUMIFS(LS[Realized Gain],LS[Investor ID],INVESTORS_LIST[[#This Row],[INVESTOR CODE]],LS[B/S],"S"))</f>
        <v>0</v>
      </c>
      <c r="L25" s="2">
        <f>SUMIFS(SIP[Unit],SIP[Investor ID],INVESTORS_LIST[[#This Row],[INVESTOR CODE]],SIP[B/S],"B")</f>
        <v>0</v>
      </c>
      <c r="M25" s="2">
        <f>-SUMIFS(SIP[Unit],SIP[Investor ID],INVESTORS_LIST[[#This Row],[INVESTOR CODE]],SIP[B/S],"S")</f>
        <v>0</v>
      </c>
      <c r="N25" s="33">
        <f>IF(INVESTORS_LIST[[#This Row],[SIP_TOTAL UNITS BUY]]=0,0,INVESTORS_LIST[[#This Row],[SIP_TOTAL UNITS BUY]]-INVESTORS_LIST[[#This Row],[SIP_TOTAL UNITS SOLD]])</f>
        <v>0</v>
      </c>
      <c r="O25" s="4">
        <f>IF(INVESTORS_LIST[[#This Row],[SIP_TOTAL UNITS BUY]]=0,0,SUMIFS(SIP[Amount],SIP[Investor ID],INVESTORS_LIST[[#This Row],[INVESTOR CODE]],SIP[B/S],"B"))</f>
        <v>0</v>
      </c>
      <c r="P25" s="4">
        <f>IF(INVESTORS_LIST[[#This Row],[SIP_TOTAL UNITS SOLD]]=0,0,SUMIFS(SIP[Cost of Units Sold],SIP[Investor ID],INVESTORS_LIST[[#This Row],[INVESTOR CODE]],SIP[B/S],"S"))</f>
        <v>0</v>
      </c>
      <c r="Q25" s="6">
        <f>IF(INVESTORS_LIST[[#This Row],[SIP_TOTAL CURRENT UNITS]]=0,0,INVESTORS_LIST[[#This Row],[SIP_TOTAL CURRENT UNITS]]*INVESTORS_LIST[[#This Row],[SIP_AVERAGE COST]])</f>
        <v>0</v>
      </c>
      <c r="R25" s="6">
        <f>IF(INVESTORS_LIST[[#This Row],[SIP_TOTAL UNITS SOLD]]=0,0,SUMIFS(SIP[Realized Gain],SIP[Investor ID],INVESTORS_LIST[[#This Row],[INVESTOR CODE]],SIP[B/S],"S"))</f>
        <v>0</v>
      </c>
      <c r="S25" s="33">
        <f>INVESTORS_LIST[[#This Row],[LS_TOTAL UNITS BUY]]+INVESTORS_LIST[[#This Row],[SIP_TOTAL UNITS BUY]]</f>
        <v>0</v>
      </c>
      <c r="T25" s="33">
        <f>INVESTORS_LIST[[#This Row],[LS_TOTAL UNITS SOLD]]+INVESTORS_LIST[[#This Row],[SIP_TOTAL UNITS SOLD]]</f>
        <v>0</v>
      </c>
      <c r="U25" s="33">
        <v>0</v>
      </c>
      <c r="V25" s="33">
        <f>SUMIFS(LS[BO UNIT TRANSFER],LS[Investor ID],INVESTORS_LIST[[#This Row],[INVESTOR CODE]],LS[B/S],"B")</f>
        <v>0</v>
      </c>
      <c r="W25" s="33">
        <f>SUMIFS(LS[BO UNIT TRANSFER],LS[Investor ID],INVESTORS_LIST[[#This Row],[INVESTOR CODE]],LS[B/S],"S")</f>
        <v>0</v>
      </c>
      <c r="X25" s="33">
        <f>SUMIFS(SIP[BO UNIT TRANSFER],SIP[Investor ID],INVESTORS_LIST[[#This Row],[INVESTOR CODE]],SIP[B/S],"S")</f>
        <v>0</v>
      </c>
      <c r="Y25" s="33">
        <f>SUMIFS(SIP[BO UNIT TRANSFER],SIP[Investor ID],INVESTORS_LIST[[#This Row],[INVESTOR CODE]],SIP[B/S],"B")</f>
        <v>0</v>
      </c>
      <c r="Z2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5" s="119">
        <f>INVESTORS_LIST[[#This Row],[TOTAL UNITS BUY]]-INVESTORS_LIST[[#This Row],[TOTAL UNITS SOLD]]</f>
        <v>0</v>
      </c>
      <c r="AB25" s="119">
        <f>INVESTORS_LIST[[#This Row],[TOTAL CURRENT UNITS]]-INVESTORS_LIST[[#This Row],[BO UNITS HOLD]]</f>
        <v>0</v>
      </c>
      <c r="AC25" s="119" t="e">
        <f>INDEX([4]!Table_1[BO ID],MATCH(INVESTORS_LIST[[#This Row],[INVESTOR CODE]],[4]!Table_1[INVESTOR CODE],0))</f>
        <v>#REF!</v>
      </c>
      <c r="AD25" s="33">
        <f>INVESTORS_LIST[[#This Row],[LS_TOTAL COST VALUE OF CURRENT UNITS]]+INVESTORS_LIST[[#This Row],[SIP_TOTAL COST VALUE OF CURRENT UNITS]]</f>
        <v>0</v>
      </c>
      <c r="AE25" s="44">
        <f>IF(INVESTORS_LIST[[#This Row],[TOTAL CURRENT UNITS]]=0,0,INVESTORS_LIST[[#This Row],[LS_TOTAL CURRENT UNITS]]/INVESTORS_LIST[[#This Row],[TOTAL CURRENT UNITS]])</f>
        <v>0</v>
      </c>
      <c r="AF25" s="44">
        <f>IF(INVESTORS_LIST[[#This Row],[TOTAL CURRENT UNITS]]=0,0,INVESTORS_LIST[[#This Row],[SIP_TOTAL CURRENT UNITS]]/INVESTORS_LIST[[#This Row],[TOTAL CURRENT UNITS]])</f>
        <v>0</v>
      </c>
      <c r="AG25" s="4" cm="1">
        <f t="array" ref="AG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5" s="4" cm="1">
        <f t="array" ref="AH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5" s="178">
        <f t="shared" si="0"/>
        <v>12.552</v>
      </c>
      <c r="AK25" s="118">
        <f>IF(INVESTORS_LIST[[#This Row],[TOTAL CURRENT UNITS]]=0,0,INVESTORS_LIST[[#This Row],[TOTAL CURRENT UNITS]]*INVESTORS_LIST[[#This Row],[NAV]])</f>
        <v>0</v>
      </c>
      <c r="AL25" s="4">
        <f>IF(INVESTORS_LIST[[#This Row],[LS_TOTAL CURRENT UNITS]]=0,0,INVESTORS_LIST[[#This Row],[LS_TOTAL CURRENT UNITS]]*INVESTORS_LIST[[#This Row],[NAV]])</f>
        <v>0</v>
      </c>
      <c r="AM25" s="6">
        <f>IF(INVESTORS_LIST[[#This Row],[SIP_TOTAL CURRENT UNITS]]=0,0,INVESTORS_LIST[[#This Row],[SIP_TOTAL CURRENT UNITS]]*INVESTORS_LIST[[#This Row],[NAV]])</f>
        <v>0</v>
      </c>
      <c r="AO25" s="6">
        <f>IF(INVESTORS_LIST[[#This Row],[TOTAL SELLABLE UNITS]]=0,0,INVESTORS_LIST[[#This Row],[TOTAL SELLABLE UNITS]]*INVESTORS_LIST[[#This Row],[NAV]])</f>
        <v>0</v>
      </c>
      <c r="AP25" s="6">
        <f>INVESTORS_LIST[[#This Row],[LS_TOTAL REALIZED GAIN]]+INVESTORS_LIST[[#This Row],[SIP_TOTAL REALIZED GAIN]]</f>
        <v>0</v>
      </c>
      <c r="AQ25" s="6">
        <f>INVESTORS_LIST[[#This Row],[TOTAL MARKET VALUE]]-INVESTORS_LIST[[#This Row],[TOTAL COST VALUE OF CURRENT INVESTMENT]]</f>
        <v>0</v>
      </c>
      <c r="AR25" s="6">
        <f>SUMIFS(DivAndTax[Tax Amount],DivAndTax[Investor ID],INVESTORS_LIST[[#This Row],[INVESTOR CODE]])</f>
        <v>0</v>
      </c>
      <c r="AS25" s="6">
        <f>SUMIFS(DivAndTax[Gross Dividend],DivAndTax[Investor ID],INVESTORS_LIST[[#This Row],[INVESTOR CODE]])</f>
        <v>0</v>
      </c>
      <c r="AT25" s="5">
        <f>IFERROR(INVESTORS_LIST[[#This Row],[TOTAL CURRENT UNITS]]/SUM(INVESTORS_LIST[TOTAL CURRENT UNITS]),0)</f>
        <v>0</v>
      </c>
    </row>
    <row r="26" spans="1:46" hidden="1">
      <c r="A26" t="s">
        <v>736</v>
      </c>
      <c r="B26" t="s">
        <v>33</v>
      </c>
      <c r="C26" t="s">
        <v>538</v>
      </c>
      <c r="D26" s="8" t="s">
        <v>2</v>
      </c>
      <c r="E26" s="2">
        <f>SUMIFS(LS[Unit],LS[Investor ID],INVESTORS_LIST[[#This Row],[INVESTOR CODE]],LS[B/S],"B")</f>
        <v>55293</v>
      </c>
      <c r="F26" s="2">
        <f>-SUMIFS(LS[Unit],LS[Investor ID],INVESTORS_LIST[[#This Row],[INVESTOR CODE]],LS[B/S],"S")</f>
        <v>55293</v>
      </c>
      <c r="G26" s="2">
        <f>IF(INVESTORS_LIST[[#This Row],[LS_TOTAL UNITS BUY]]=0,0,INVESTORS_LIST[[#This Row],[LS_TOTAL UNITS BUY]]-INVESTORS_LIST[[#This Row],[LS_TOTAL UNITS SOLD]])</f>
        <v>0</v>
      </c>
      <c r="H26" s="4">
        <f>IF(INVESTORS_LIST[[#This Row],[LS_TOTAL UNITS BUY]]=0,0,SUMIFS(LS[Amount],LS[Investor ID],INVESTORS_LIST[[#This Row],[INVESTOR CODE]],LS[B/S],"B"))</f>
        <v>553462.12</v>
      </c>
      <c r="I26" s="6">
        <f>IF(INVESTORS_LIST[[#This Row],[LS_TOTAL UNITS SOLD]]=0,0,SUMIFS(LS[Cost of Units Sold],LS[Investor ID],INVESTORS_LIST[[#This Row],[INVESTOR CODE]],LS[B/S],"S"))</f>
        <v>553462.12</v>
      </c>
      <c r="J26" s="6">
        <f>IF(INVESTORS_LIST[[#This Row],[LS_TOTAL CURRENT UNITS]]=0,0,INVESTORS_LIST[[#This Row],[LS_TOTAL CURRENT UNITS]]*INVESTORS_LIST[[#This Row],[LS_AVERAGE COST]])</f>
        <v>0</v>
      </c>
      <c r="K26" s="4">
        <f>IF(INVESTORS_LIST[[#This Row],[LS_TOTAL UNITS SOLD]]=0,0,SUMIFS(LS[Realized Gain],LS[Investor ID],INVESTORS_LIST[[#This Row],[INVESTOR CODE]],LS[B/S],"S"))</f>
        <v>169715.03000000009</v>
      </c>
      <c r="L26" s="2">
        <f>SUMIFS(SIP[Unit],SIP[Investor ID],INVESTORS_LIST[[#This Row],[INVESTOR CODE]],SIP[B/S],"B")</f>
        <v>0</v>
      </c>
      <c r="M26" s="2">
        <f>-SUMIFS(SIP[Unit],SIP[Investor ID],INVESTORS_LIST[[#This Row],[INVESTOR CODE]],SIP[B/S],"S")</f>
        <v>0</v>
      </c>
      <c r="N26" s="33">
        <f>IF(INVESTORS_LIST[[#This Row],[SIP_TOTAL UNITS BUY]]=0,0,INVESTORS_LIST[[#This Row],[SIP_TOTAL UNITS BUY]]-INVESTORS_LIST[[#This Row],[SIP_TOTAL UNITS SOLD]])</f>
        <v>0</v>
      </c>
      <c r="O26" s="4">
        <f>IF(INVESTORS_LIST[[#This Row],[SIP_TOTAL UNITS BUY]]=0,0,SUMIFS(SIP[Amount],SIP[Investor ID],INVESTORS_LIST[[#This Row],[INVESTOR CODE]],SIP[B/S],"B"))</f>
        <v>0</v>
      </c>
      <c r="P26" s="4">
        <f>IF(INVESTORS_LIST[[#This Row],[SIP_TOTAL UNITS SOLD]]=0,0,SUMIFS(SIP[Cost of Units Sold],SIP[Investor ID],INVESTORS_LIST[[#This Row],[INVESTOR CODE]],SIP[B/S],"S"))</f>
        <v>0</v>
      </c>
      <c r="Q26" s="6">
        <f>IF(INVESTORS_LIST[[#This Row],[SIP_TOTAL CURRENT UNITS]]=0,0,INVESTORS_LIST[[#This Row],[SIP_TOTAL CURRENT UNITS]]*INVESTORS_LIST[[#This Row],[SIP_AVERAGE COST]])</f>
        <v>0</v>
      </c>
      <c r="R26" s="6">
        <f>IF(INVESTORS_LIST[[#This Row],[SIP_TOTAL UNITS SOLD]]=0,0,SUMIFS(SIP[Realized Gain],SIP[Investor ID],INVESTORS_LIST[[#This Row],[INVESTOR CODE]],SIP[B/S],"S"))</f>
        <v>0</v>
      </c>
      <c r="S26" s="33">
        <f>INVESTORS_LIST[[#This Row],[LS_TOTAL UNITS BUY]]+INVESTORS_LIST[[#This Row],[SIP_TOTAL UNITS BUY]]</f>
        <v>55293</v>
      </c>
      <c r="T26" s="33">
        <f>INVESTORS_LIST[[#This Row],[LS_TOTAL UNITS SOLD]]+INVESTORS_LIST[[#This Row],[SIP_TOTAL UNITS SOLD]]</f>
        <v>55293</v>
      </c>
      <c r="U26" s="33">
        <v>0</v>
      </c>
      <c r="V26" s="33">
        <f>SUMIFS(LS[BO UNIT TRANSFER],LS[Investor ID],INVESTORS_LIST[[#This Row],[INVESTOR CODE]],LS[B/S],"B")</f>
        <v>0</v>
      </c>
      <c r="W26" s="33">
        <f>SUMIFS(LS[BO UNIT TRANSFER],LS[Investor ID],INVESTORS_LIST[[#This Row],[INVESTOR CODE]],LS[B/S],"S")</f>
        <v>0</v>
      </c>
      <c r="X26" s="33">
        <f>SUMIFS(SIP[BO UNIT TRANSFER],SIP[Investor ID],INVESTORS_LIST[[#This Row],[INVESTOR CODE]],SIP[B/S],"S")</f>
        <v>0</v>
      </c>
      <c r="Y26" s="33">
        <f>SUMIFS(SIP[BO UNIT TRANSFER],SIP[Investor ID],INVESTORS_LIST[[#This Row],[INVESTOR CODE]],SIP[B/S],"B")</f>
        <v>0</v>
      </c>
      <c r="Z2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6" s="119">
        <f>INVESTORS_LIST[[#This Row],[TOTAL UNITS BUY]]-INVESTORS_LIST[[#This Row],[TOTAL UNITS SOLD]]</f>
        <v>0</v>
      </c>
      <c r="AB26" s="119">
        <f>INVESTORS_LIST[[#This Row],[TOTAL CURRENT UNITS]]-INVESTORS_LIST[[#This Row],[BO UNITS HOLD]]</f>
        <v>0</v>
      </c>
      <c r="AC26" s="119" t="e">
        <f>INDEX([4]!Table_1[BO ID],MATCH(INVESTORS_LIST[[#This Row],[INVESTOR CODE]],[4]!Table_1[INVESTOR CODE],0))</f>
        <v>#REF!</v>
      </c>
      <c r="AD26" s="33">
        <f>INVESTORS_LIST[[#This Row],[LS_TOTAL COST VALUE OF CURRENT UNITS]]+INVESTORS_LIST[[#This Row],[SIP_TOTAL COST VALUE OF CURRENT UNITS]]</f>
        <v>0</v>
      </c>
      <c r="AE26" s="44">
        <f>IF(INVESTORS_LIST[[#This Row],[TOTAL CURRENT UNITS]]=0,0,INVESTORS_LIST[[#This Row],[LS_TOTAL CURRENT UNITS]]/INVESTORS_LIST[[#This Row],[TOTAL CURRENT UNITS]])</f>
        <v>0</v>
      </c>
      <c r="AF26" s="44">
        <f>IF(INVESTORS_LIST[[#This Row],[TOTAL CURRENT UNITS]]=0,0,INVESTORS_LIST[[#This Row],[SIP_TOTAL CURRENT UNITS]]/INVESTORS_LIST[[#This Row],[TOTAL CURRENT UNITS]])</f>
        <v>0</v>
      </c>
      <c r="AG26" s="4" cm="1">
        <f t="array" ref="AG2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6" s="4" cm="1">
        <f t="array" ref="AH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6" s="178">
        <f t="shared" si="0"/>
        <v>12.552</v>
      </c>
      <c r="AK26" s="118">
        <f>IF(INVESTORS_LIST[[#This Row],[TOTAL CURRENT UNITS]]=0,0,INVESTORS_LIST[[#This Row],[TOTAL CURRENT UNITS]]*INVESTORS_LIST[[#This Row],[NAV]])</f>
        <v>0</v>
      </c>
      <c r="AL26" s="4">
        <f>IF(INVESTORS_LIST[[#This Row],[LS_TOTAL CURRENT UNITS]]=0,0,INVESTORS_LIST[[#This Row],[LS_TOTAL CURRENT UNITS]]*INVESTORS_LIST[[#This Row],[NAV]])</f>
        <v>0</v>
      </c>
      <c r="AM26" s="6">
        <f>IF(INVESTORS_LIST[[#This Row],[SIP_TOTAL CURRENT UNITS]]=0,0,INVESTORS_LIST[[#This Row],[SIP_TOTAL CURRENT UNITS]]*INVESTORS_LIST[[#This Row],[NAV]])</f>
        <v>0</v>
      </c>
      <c r="AO26" s="6">
        <f>IF(INVESTORS_LIST[[#This Row],[TOTAL SELLABLE UNITS]]=0,0,INVESTORS_LIST[[#This Row],[TOTAL SELLABLE UNITS]]*INVESTORS_LIST[[#This Row],[NAV]])</f>
        <v>0</v>
      </c>
      <c r="AP26" s="6">
        <f>INVESTORS_LIST[[#This Row],[LS_TOTAL REALIZED GAIN]]+INVESTORS_LIST[[#This Row],[SIP_TOTAL REALIZED GAIN]]</f>
        <v>169715.03000000009</v>
      </c>
      <c r="AQ26" s="6">
        <f>INVESTORS_LIST[[#This Row],[TOTAL MARKET VALUE]]-INVESTORS_LIST[[#This Row],[TOTAL COST VALUE OF CURRENT INVESTMENT]]</f>
        <v>0</v>
      </c>
      <c r="AR26" s="6">
        <f>SUMIFS(DivAndTax[Tax Amount],DivAndTax[Investor ID],INVESTORS_LIST[[#This Row],[INVESTOR CODE]])</f>
        <v>5730.77</v>
      </c>
      <c r="AS26" s="6">
        <f>SUMIFS(DivAndTax[Gross Dividend],DivAndTax[Investor ID],INVESTORS_LIST[[#This Row],[INVESTOR CODE]])</f>
        <v>57307.649999999994</v>
      </c>
      <c r="AT26" s="5">
        <f>IFERROR(INVESTORS_LIST[[#This Row],[TOTAL CURRENT UNITS]]/SUM(INVESTORS_LIST[TOTAL CURRENT UNITS]),0)</f>
        <v>0</v>
      </c>
    </row>
    <row r="27" spans="1:46" hidden="1">
      <c r="A27" t="s">
        <v>616</v>
      </c>
      <c r="B27" t="s">
        <v>34</v>
      </c>
      <c r="C27" t="s">
        <v>536</v>
      </c>
      <c r="D27" s="8" t="s">
        <v>2</v>
      </c>
      <c r="E27" s="2">
        <f>SUMIFS(LS[Unit],LS[Investor ID],INVESTORS_LIST[[#This Row],[INVESTOR CODE]],LS[B/S],"B")</f>
        <v>200000</v>
      </c>
      <c r="F27" s="2">
        <f>-SUMIFS(LS[Unit],LS[Investor ID],INVESTORS_LIST[[#This Row],[INVESTOR CODE]],LS[B/S],"S")</f>
        <v>200000</v>
      </c>
      <c r="G27" s="2">
        <f>IF(INVESTORS_LIST[[#This Row],[LS_TOTAL UNITS BUY]]=0,0,INVESTORS_LIST[[#This Row],[LS_TOTAL UNITS BUY]]-INVESTORS_LIST[[#This Row],[LS_TOTAL UNITS SOLD]])</f>
        <v>0</v>
      </c>
      <c r="H27" s="4">
        <f>IF(INVESTORS_LIST[[#This Row],[LS_TOTAL UNITS BUY]]=0,0,SUMIFS(LS[Amount],LS[Investor ID],INVESTORS_LIST[[#This Row],[INVESTOR CODE]],LS[B/S],"B"))</f>
        <v>2000000</v>
      </c>
      <c r="I27" s="6">
        <f>IF(INVESTORS_LIST[[#This Row],[LS_TOTAL UNITS SOLD]]=0,0,SUMIFS(LS[Cost of Units Sold],LS[Investor ID],INVESTORS_LIST[[#This Row],[INVESTOR CODE]],LS[B/S],"S"))</f>
        <v>2000000</v>
      </c>
      <c r="J27" s="6">
        <f>IF(INVESTORS_LIST[[#This Row],[LS_TOTAL CURRENT UNITS]]=0,0,INVESTORS_LIST[[#This Row],[LS_TOTAL CURRENT UNITS]]*INVESTORS_LIST[[#This Row],[LS_AVERAGE COST]])</f>
        <v>0</v>
      </c>
      <c r="K27" s="4">
        <f>IF(INVESTORS_LIST[[#This Row],[LS_TOTAL UNITS SOLD]]=0,0,SUMIFS(LS[Realized Gain],LS[Investor ID],INVESTORS_LIST[[#This Row],[INVESTOR CODE]],LS[B/S],"S"))</f>
        <v>7999.999999999829</v>
      </c>
      <c r="L27" s="2">
        <f>SUMIFS(SIP[Unit],SIP[Investor ID],INVESTORS_LIST[[#This Row],[INVESTOR CODE]],SIP[B/S],"B")</f>
        <v>0</v>
      </c>
      <c r="M27" s="2">
        <f>-SUMIFS(SIP[Unit],SIP[Investor ID],INVESTORS_LIST[[#This Row],[INVESTOR CODE]],SIP[B/S],"S")</f>
        <v>0</v>
      </c>
      <c r="N27" s="33">
        <f>IF(INVESTORS_LIST[[#This Row],[SIP_TOTAL UNITS BUY]]=0,0,INVESTORS_LIST[[#This Row],[SIP_TOTAL UNITS BUY]]-INVESTORS_LIST[[#This Row],[SIP_TOTAL UNITS SOLD]])</f>
        <v>0</v>
      </c>
      <c r="O27" s="4">
        <f>IF(INVESTORS_LIST[[#This Row],[SIP_TOTAL UNITS BUY]]=0,0,SUMIFS(SIP[Amount],SIP[Investor ID],INVESTORS_LIST[[#This Row],[INVESTOR CODE]],SIP[B/S],"B"))</f>
        <v>0</v>
      </c>
      <c r="P27" s="4">
        <f>IF(INVESTORS_LIST[[#This Row],[SIP_TOTAL UNITS SOLD]]=0,0,SUMIFS(SIP[Cost of Units Sold],SIP[Investor ID],INVESTORS_LIST[[#This Row],[INVESTOR CODE]],SIP[B/S],"S"))</f>
        <v>0</v>
      </c>
      <c r="Q27" s="6">
        <f>IF(INVESTORS_LIST[[#This Row],[SIP_TOTAL CURRENT UNITS]]=0,0,INVESTORS_LIST[[#This Row],[SIP_TOTAL CURRENT UNITS]]*INVESTORS_LIST[[#This Row],[SIP_AVERAGE COST]])</f>
        <v>0</v>
      </c>
      <c r="R27" s="6">
        <f>IF(INVESTORS_LIST[[#This Row],[SIP_TOTAL UNITS SOLD]]=0,0,SUMIFS(SIP[Realized Gain],SIP[Investor ID],INVESTORS_LIST[[#This Row],[INVESTOR CODE]],SIP[B/S],"S"))</f>
        <v>0</v>
      </c>
      <c r="S27" s="33">
        <f>INVESTORS_LIST[[#This Row],[LS_TOTAL UNITS BUY]]+INVESTORS_LIST[[#This Row],[SIP_TOTAL UNITS BUY]]</f>
        <v>200000</v>
      </c>
      <c r="T27" s="33">
        <f>INVESTORS_LIST[[#This Row],[LS_TOTAL UNITS SOLD]]+INVESTORS_LIST[[#This Row],[SIP_TOTAL UNITS SOLD]]</f>
        <v>200000</v>
      </c>
      <c r="U27" s="33">
        <v>0</v>
      </c>
      <c r="V27" s="33">
        <f>SUMIFS(LS[BO UNIT TRANSFER],LS[Investor ID],INVESTORS_LIST[[#This Row],[INVESTOR CODE]],LS[B/S],"B")</f>
        <v>0</v>
      </c>
      <c r="W27" s="33">
        <f>SUMIFS(LS[BO UNIT TRANSFER],LS[Investor ID],INVESTORS_LIST[[#This Row],[INVESTOR CODE]],LS[B/S],"S")</f>
        <v>0</v>
      </c>
      <c r="X27" s="33">
        <f>SUMIFS(SIP[BO UNIT TRANSFER],SIP[Investor ID],INVESTORS_LIST[[#This Row],[INVESTOR CODE]],SIP[B/S],"S")</f>
        <v>0</v>
      </c>
      <c r="Y27" s="33">
        <f>SUMIFS(SIP[BO UNIT TRANSFER],SIP[Investor ID],INVESTORS_LIST[[#This Row],[INVESTOR CODE]],SIP[B/S],"B")</f>
        <v>0</v>
      </c>
      <c r="Z2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7" s="119">
        <f>INVESTORS_LIST[[#This Row],[TOTAL UNITS BUY]]-INVESTORS_LIST[[#This Row],[TOTAL UNITS SOLD]]</f>
        <v>0</v>
      </c>
      <c r="AB27" s="119">
        <f>INVESTORS_LIST[[#This Row],[TOTAL CURRENT UNITS]]-INVESTORS_LIST[[#This Row],[BO UNITS HOLD]]</f>
        <v>0</v>
      </c>
      <c r="AC27" s="119" t="e">
        <f>INDEX([4]!Table_1[BO ID],MATCH(INVESTORS_LIST[[#This Row],[INVESTOR CODE]],[4]!Table_1[INVESTOR CODE],0))</f>
        <v>#REF!</v>
      </c>
      <c r="AD27" s="33">
        <f>INVESTORS_LIST[[#This Row],[LS_TOTAL COST VALUE OF CURRENT UNITS]]+INVESTORS_LIST[[#This Row],[SIP_TOTAL COST VALUE OF CURRENT UNITS]]</f>
        <v>0</v>
      </c>
      <c r="AE27" s="44">
        <f>IF(INVESTORS_LIST[[#This Row],[TOTAL CURRENT UNITS]]=0,0,INVESTORS_LIST[[#This Row],[LS_TOTAL CURRENT UNITS]]/INVESTORS_LIST[[#This Row],[TOTAL CURRENT UNITS]])</f>
        <v>0</v>
      </c>
      <c r="AF27" s="44">
        <f>IF(INVESTORS_LIST[[#This Row],[TOTAL CURRENT UNITS]]=0,0,INVESTORS_LIST[[#This Row],[SIP_TOTAL CURRENT UNITS]]/INVESTORS_LIST[[#This Row],[TOTAL CURRENT UNITS]])</f>
        <v>0</v>
      </c>
      <c r="AG27" s="4" cm="1">
        <f t="array" ref="AG2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7" s="4" cm="1">
        <f t="array" ref="AH2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7" s="178">
        <f t="shared" si="0"/>
        <v>12.552</v>
      </c>
      <c r="AK27" s="118">
        <f>IF(INVESTORS_LIST[[#This Row],[TOTAL CURRENT UNITS]]=0,0,INVESTORS_LIST[[#This Row],[TOTAL CURRENT UNITS]]*INVESTORS_LIST[[#This Row],[NAV]])</f>
        <v>0</v>
      </c>
      <c r="AL27" s="4">
        <f>IF(INVESTORS_LIST[[#This Row],[LS_TOTAL CURRENT UNITS]]=0,0,INVESTORS_LIST[[#This Row],[LS_TOTAL CURRENT UNITS]]*INVESTORS_LIST[[#This Row],[NAV]])</f>
        <v>0</v>
      </c>
      <c r="AM27" s="6">
        <f>IF(INVESTORS_LIST[[#This Row],[SIP_TOTAL CURRENT UNITS]]=0,0,INVESTORS_LIST[[#This Row],[SIP_TOTAL CURRENT UNITS]]*INVESTORS_LIST[[#This Row],[NAV]])</f>
        <v>0</v>
      </c>
      <c r="AO27" s="6">
        <f>IF(INVESTORS_LIST[[#This Row],[TOTAL SELLABLE UNITS]]=0,0,INVESTORS_LIST[[#This Row],[TOTAL SELLABLE UNITS]]*INVESTORS_LIST[[#This Row],[NAV]])</f>
        <v>0</v>
      </c>
      <c r="AP27" s="6">
        <f>INVESTORS_LIST[[#This Row],[LS_TOTAL REALIZED GAIN]]+INVESTORS_LIST[[#This Row],[SIP_TOTAL REALIZED GAIN]]</f>
        <v>7999.999999999829</v>
      </c>
      <c r="AQ27" s="6">
        <f>INVESTORS_LIST[[#This Row],[TOTAL MARKET VALUE]]-INVESTORS_LIST[[#This Row],[TOTAL COST VALUE OF CURRENT INVESTMENT]]</f>
        <v>0</v>
      </c>
      <c r="AR27" s="6">
        <f>SUMIFS(DivAndTax[Tax Amount],DivAndTax[Investor ID],INVESTORS_LIST[[#This Row],[INVESTOR CODE]])</f>
        <v>0</v>
      </c>
      <c r="AS27" s="6">
        <f>SUMIFS(DivAndTax[Gross Dividend],DivAndTax[Investor ID],INVESTORS_LIST[[#This Row],[INVESTOR CODE]])</f>
        <v>0</v>
      </c>
      <c r="AT27" s="5">
        <f>IFERROR(INVESTORS_LIST[[#This Row],[TOTAL CURRENT UNITS]]/SUM(INVESTORS_LIST[TOTAL CURRENT UNITS]),0)</f>
        <v>0</v>
      </c>
    </row>
    <row r="28" spans="1:46" hidden="1">
      <c r="A28" t="s">
        <v>617</v>
      </c>
      <c r="B28" t="s">
        <v>35</v>
      </c>
      <c r="C28" t="s">
        <v>538</v>
      </c>
      <c r="D28" s="8" t="s">
        <v>2</v>
      </c>
      <c r="E28" s="2">
        <f>SUMIFS(LS[Unit],LS[Investor ID],INVESTORS_LIST[[#This Row],[INVESTOR CODE]],LS[B/S],"B")</f>
        <v>100000</v>
      </c>
      <c r="F28" s="2">
        <f>-SUMIFS(LS[Unit],LS[Investor ID],INVESTORS_LIST[[#This Row],[INVESTOR CODE]],LS[B/S],"S")</f>
        <v>100000</v>
      </c>
      <c r="G28" s="2">
        <f>IF(INVESTORS_LIST[[#This Row],[LS_TOTAL UNITS BUY]]=0,0,INVESTORS_LIST[[#This Row],[LS_TOTAL UNITS BUY]]-INVESTORS_LIST[[#This Row],[LS_TOTAL UNITS SOLD]])</f>
        <v>0</v>
      </c>
      <c r="H28" s="4">
        <f>IF(INVESTORS_LIST[[#This Row],[LS_TOTAL UNITS BUY]]=0,0,SUMIFS(LS[Amount],LS[Investor ID],INVESTORS_LIST[[#This Row],[INVESTOR CODE]],LS[B/S],"B"))</f>
        <v>1000000</v>
      </c>
      <c r="I28" s="6">
        <f>IF(INVESTORS_LIST[[#This Row],[LS_TOTAL UNITS SOLD]]=0,0,SUMIFS(LS[Cost of Units Sold],LS[Investor ID],INVESTORS_LIST[[#This Row],[INVESTOR CODE]],LS[B/S],"S"))</f>
        <v>1000000</v>
      </c>
      <c r="J28" s="6">
        <f>IF(INVESTORS_LIST[[#This Row],[LS_TOTAL CURRENT UNITS]]=0,0,INVESTORS_LIST[[#This Row],[LS_TOTAL CURRENT UNITS]]*INVESTORS_LIST[[#This Row],[LS_AVERAGE COST]])</f>
        <v>0</v>
      </c>
      <c r="K28" s="4">
        <f>IF(INVESTORS_LIST[[#This Row],[LS_TOTAL UNITS SOLD]]=0,0,SUMIFS(LS[Realized Gain],LS[Investor ID],INVESTORS_LIST[[#This Row],[INVESTOR CODE]],LS[B/S],"S"))</f>
        <v>-2999.9999999999359</v>
      </c>
      <c r="L28" s="2">
        <f>SUMIFS(SIP[Unit],SIP[Investor ID],INVESTORS_LIST[[#This Row],[INVESTOR CODE]],SIP[B/S],"B")</f>
        <v>0</v>
      </c>
      <c r="M28" s="2">
        <f>-SUMIFS(SIP[Unit],SIP[Investor ID],INVESTORS_LIST[[#This Row],[INVESTOR CODE]],SIP[B/S],"S")</f>
        <v>0</v>
      </c>
      <c r="N28" s="33">
        <f>IF(INVESTORS_LIST[[#This Row],[SIP_TOTAL UNITS BUY]]=0,0,INVESTORS_LIST[[#This Row],[SIP_TOTAL UNITS BUY]]-INVESTORS_LIST[[#This Row],[SIP_TOTAL UNITS SOLD]])</f>
        <v>0</v>
      </c>
      <c r="O28" s="4">
        <f>IF(INVESTORS_LIST[[#This Row],[SIP_TOTAL UNITS BUY]]=0,0,SUMIFS(SIP[Amount],SIP[Investor ID],INVESTORS_LIST[[#This Row],[INVESTOR CODE]],SIP[B/S],"B"))</f>
        <v>0</v>
      </c>
      <c r="P28" s="4">
        <f>IF(INVESTORS_LIST[[#This Row],[SIP_TOTAL UNITS SOLD]]=0,0,SUMIFS(SIP[Cost of Units Sold],SIP[Investor ID],INVESTORS_LIST[[#This Row],[INVESTOR CODE]],SIP[B/S],"S"))</f>
        <v>0</v>
      </c>
      <c r="Q28" s="6">
        <f>IF(INVESTORS_LIST[[#This Row],[SIP_TOTAL CURRENT UNITS]]=0,0,INVESTORS_LIST[[#This Row],[SIP_TOTAL CURRENT UNITS]]*INVESTORS_LIST[[#This Row],[SIP_AVERAGE COST]])</f>
        <v>0</v>
      </c>
      <c r="R28" s="6">
        <f>IF(INVESTORS_LIST[[#This Row],[SIP_TOTAL UNITS SOLD]]=0,0,SUMIFS(SIP[Realized Gain],SIP[Investor ID],INVESTORS_LIST[[#This Row],[INVESTOR CODE]],SIP[B/S],"S"))</f>
        <v>0</v>
      </c>
      <c r="S28" s="33">
        <f>INVESTORS_LIST[[#This Row],[LS_TOTAL UNITS BUY]]+INVESTORS_LIST[[#This Row],[SIP_TOTAL UNITS BUY]]</f>
        <v>100000</v>
      </c>
      <c r="T28" s="33">
        <f>INVESTORS_LIST[[#This Row],[LS_TOTAL UNITS SOLD]]+INVESTORS_LIST[[#This Row],[SIP_TOTAL UNITS SOLD]]</f>
        <v>100000</v>
      </c>
      <c r="U28" s="33">
        <v>100000</v>
      </c>
      <c r="V28" s="33">
        <f>SUMIFS(LS[BO UNIT TRANSFER],LS[Investor ID],INVESTORS_LIST[[#This Row],[INVESTOR CODE]],LS[B/S],"B")</f>
        <v>0</v>
      </c>
      <c r="W28" s="33">
        <f>SUMIFS(LS[BO UNIT TRANSFER],LS[Investor ID],INVESTORS_LIST[[#This Row],[INVESTOR CODE]],LS[B/S],"S")</f>
        <v>0</v>
      </c>
      <c r="X28" s="33">
        <f>SUMIFS(SIP[BO UNIT TRANSFER],SIP[Investor ID],INVESTORS_LIST[[#This Row],[INVESTOR CODE]],SIP[B/S],"S")</f>
        <v>0</v>
      </c>
      <c r="Y28" s="33">
        <f>SUMIFS(SIP[BO UNIT TRANSFER],SIP[Investor ID],INVESTORS_LIST[[#This Row],[INVESTOR CODE]],SIP[B/S],"B")</f>
        <v>0</v>
      </c>
      <c r="Z2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100000</v>
      </c>
      <c r="AA28" s="119">
        <f>INVESTORS_LIST[[#This Row],[TOTAL UNITS BUY]]-INVESTORS_LIST[[#This Row],[TOTAL UNITS SOLD]]</f>
        <v>0</v>
      </c>
      <c r="AB28" s="119">
        <f>INVESTORS_LIST[[#This Row],[TOTAL CURRENT UNITS]]-INVESTORS_LIST[[#This Row],[BO UNITS HOLD]]</f>
        <v>-100000</v>
      </c>
      <c r="AC28" s="119" t="e">
        <f>INDEX([4]!Table_1[BO ID],MATCH(INVESTORS_LIST[[#This Row],[INVESTOR CODE]],[4]!Table_1[INVESTOR CODE],0))</f>
        <v>#REF!</v>
      </c>
      <c r="AD28" s="33">
        <f>INVESTORS_LIST[[#This Row],[LS_TOTAL COST VALUE OF CURRENT UNITS]]+INVESTORS_LIST[[#This Row],[SIP_TOTAL COST VALUE OF CURRENT UNITS]]</f>
        <v>0</v>
      </c>
      <c r="AE28" s="44">
        <f>IF(INVESTORS_LIST[[#This Row],[TOTAL CURRENT UNITS]]=0,0,INVESTORS_LIST[[#This Row],[LS_TOTAL CURRENT UNITS]]/INVESTORS_LIST[[#This Row],[TOTAL CURRENT UNITS]])</f>
        <v>0</v>
      </c>
      <c r="AF28" s="44">
        <f>IF(INVESTORS_LIST[[#This Row],[TOTAL CURRENT UNITS]]=0,0,INVESTORS_LIST[[#This Row],[SIP_TOTAL CURRENT UNITS]]/INVESTORS_LIST[[#This Row],[TOTAL CURRENT UNITS]])</f>
        <v>0</v>
      </c>
      <c r="AG28" s="4" cm="1">
        <f t="array" ref="AG2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8" s="4" cm="1">
        <f t="array" ref="AH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8" s="178">
        <f t="shared" si="0"/>
        <v>12.552</v>
      </c>
      <c r="AK28" s="118">
        <f>IF(INVESTORS_LIST[[#This Row],[TOTAL CURRENT UNITS]]=0,0,INVESTORS_LIST[[#This Row],[TOTAL CURRENT UNITS]]*INVESTORS_LIST[[#This Row],[NAV]])</f>
        <v>0</v>
      </c>
      <c r="AL28" s="4">
        <f>IF(INVESTORS_LIST[[#This Row],[LS_TOTAL CURRENT UNITS]]=0,0,INVESTORS_LIST[[#This Row],[LS_TOTAL CURRENT UNITS]]*INVESTORS_LIST[[#This Row],[NAV]])</f>
        <v>0</v>
      </c>
      <c r="AM28" s="6">
        <f>IF(INVESTORS_LIST[[#This Row],[SIP_TOTAL CURRENT UNITS]]=0,0,INVESTORS_LIST[[#This Row],[SIP_TOTAL CURRENT UNITS]]*INVESTORS_LIST[[#This Row],[NAV]])</f>
        <v>0</v>
      </c>
      <c r="AO28" s="6">
        <f>IF(INVESTORS_LIST[[#This Row],[TOTAL SELLABLE UNITS]]=0,0,INVESTORS_LIST[[#This Row],[TOTAL SELLABLE UNITS]]*INVESTORS_LIST[[#This Row],[NAV]])</f>
        <v>0</v>
      </c>
      <c r="AP28" s="6">
        <f>INVESTORS_LIST[[#This Row],[LS_TOTAL REALIZED GAIN]]+INVESTORS_LIST[[#This Row],[SIP_TOTAL REALIZED GAIN]]</f>
        <v>-2999.9999999999359</v>
      </c>
      <c r="AQ28" s="6">
        <f>INVESTORS_LIST[[#This Row],[TOTAL MARKET VALUE]]-INVESTORS_LIST[[#This Row],[TOTAL COST VALUE OF CURRENT INVESTMENT]]</f>
        <v>0</v>
      </c>
      <c r="AR28" s="6">
        <f>SUMIFS(DivAndTax[Tax Amount],DivAndTax[Investor ID],INVESTORS_LIST[[#This Row],[INVESTOR CODE]])</f>
        <v>0</v>
      </c>
      <c r="AS28" s="6">
        <f>SUMIFS(DivAndTax[Gross Dividend],DivAndTax[Investor ID],INVESTORS_LIST[[#This Row],[INVESTOR CODE]])</f>
        <v>0</v>
      </c>
      <c r="AT28" s="5">
        <f>IFERROR(INVESTORS_LIST[[#This Row],[TOTAL CURRENT UNITS]]/SUM(INVESTORS_LIST[TOTAL CURRENT UNITS]),0)</f>
        <v>0</v>
      </c>
    </row>
    <row r="29" spans="1:46" hidden="1">
      <c r="A29" t="s">
        <v>737</v>
      </c>
      <c r="B29" t="s">
        <v>36</v>
      </c>
      <c r="C29" t="s">
        <v>536</v>
      </c>
      <c r="D29" s="8" t="s">
        <v>2</v>
      </c>
      <c r="E29" s="2">
        <f>SUMIFS(LS[Unit],LS[Investor ID],INVESTORS_LIST[[#This Row],[INVESTOR CODE]],LS[B/S],"B")</f>
        <v>0</v>
      </c>
      <c r="F29" s="2">
        <f>-SUMIFS(LS[Unit],LS[Investor ID],INVESTORS_LIST[[#This Row],[INVESTOR CODE]],LS[B/S],"S")</f>
        <v>0</v>
      </c>
      <c r="G29" s="2">
        <f>IF(INVESTORS_LIST[[#This Row],[LS_TOTAL UNITS BUY]]=0,0,INVESTORS_LIST[[#This Row],[LS_TOTAL UNITS BUY]]-INVESTORS_LIST[[#This Row],[LS_TOTAL UNITS SOLD]])</f>
        <v>0</v>
      </c>
      <c r="H29" s="4">
        <f>IF(INVESTORS_LIST[[#This Row],[LS_TOTAL UNITS BUY]]=0,0,SUMIFS(LS[Amount],LS[Investor ID],INVESTORS_LIST[[#This Row],[INVESTOR CODE]],LS[B/S],"B"))</f>
        <v>0</v>
      </c>
      <c r="I29" s="6">
        <f>IF(INVESTORS_LIST[[#This Row],[LS_TOTAL UNITS SOLD]]=0,0,SUMIFS(LS[Cost of Units Sold],LS[Investor ID],INVESTORS_LIST[[#This Row],[INVESTOR CODE]],LS[B/S],"S"))</f>
        <v>0</v>
      </c>
      <c r="J29" s="6">
        <f>IF(INVESTORS_LIST[[#This Row],[LS_TOTAL CURRENT UNITS]]=0,0,INVESTORS_LIST[[#This Row],[LS_TOTAL CURRENT UNITS]]*INVESTORS_LIST[[#This Row],[LS_AVERAGE COST]])</f>
        <v>0</v>
      </c>
      <c r="K29" s="4">
        <f>IF(INVESTORS_LIST[[#This Row],[LS_TOTAL UNITS SOLD]]=0,0,SUMIFS(LS[Realized Gain],LS[Investor ID],INVESTORS_LIST[[#This Row],[INVESTOR CODE]],LS[B/S],"S"))</f>
        <v>0</v>
      </c>
      <c r="L29" s="2">
        <f>SUMIFS(SIP[Unit],SIP[Investor ID],INVESTORS_LIST[[#This Row],[INVESTOR CODE]],SIP[B/S],"B")</f>
        <v>0</v>
      </c>
      <c r="M29" s="2">
        <f>-SUMIFS(SIP[Unit],SIP[Investor ID],INVESTORS_LIST[[#This Row],[INVESTOR CODE]],SIP[B/S],"S")</f>
        <v>0</v>
      </c>
      <c r="N29" s="33">
        <f>IF(INVESTORS_LIST[[#This Row],[SIP_TOTAL UNITS BUY]]=0,0,INVESTORS_LIST[[#This Row],[SIP_TOTAL UNITS BUY]]-INVESTORS_LIST[[#This Row],[SIP_TOTAL UNITS SOLD]])</f>
        <v>0</v>
      </c>
      <c r="O29" s="4">
        <f>IF(INVESTORS_LIST[[#This Row],[SIP_TOTAL UNITS BUY]]=0,0,SUMIFS(SIP[Amount],SIP[Investor ID],INVESTORS_LIST[[#This Row],[INVESTOR CODE]],SIP[B/S],"B"))</f>
        <v>0</v>
      </c>
      <c r="P29" s="4">
        <f>IF(INVESTORS_LIST[[#This Row],[SIP_TOTAL UNITS SOLD]]=0,0,SUMIFS(SIP[Cost of Units Sold],SIP[Investor ID],INVESTORS_LIST[[#This Row],[INVESTOR CODE]],SIP[B/S],"S"))</f>
        <v>0</v>
      </c>
      <c r="Q29" s="6">
        <f>IF(INVESTORS_LIST[[#This Row],[SIP_TOTAL CURRENT UNITS]]=0,0,INVESTORS_LIST[[#This Row],[SIP_TOTAL CURRENT UNITS]]*INVESTORS_LIST[[#This Row],[SIP_AVERAGE COST]])</f>
        <v>0</v>
      </c>
      <c r="R29" s="6">
        <f>IF(INVESTORS_LIST[[#This Row],[SIP_TOTAL UNITS SOLD]]=0,0,SUMIFS(SIP[Realized Gain],SIP[Investor ID],INVESTORS_LIST[[#This Row],[INVESTOR CODE]],SIP[B/S],"S"))</f>
        <v>0</v>
      </c>
      <c r="S29" s="33">
        <f>INVESTORS_LIST[[#This Row],[LS_TOTAL UNITS BUY]]+INVESTORS_LIST[[#This Row],[SIP_TOTAL UNITS BUY]]</f>
        <v>0</v>
      </c>
      <c r="T29" s="33">
        <f>INVESTORS_LIST[[#This Row],[LS_TOTAL UNITS SOLD]]+INVESTORS_LIST[[#This Row],[SIP_TOTAL UNITS SOLD]]</f>
        <v>0</v>
      </c>
      <c r="U29" s="33">
        <v>0</v>
      </c>
      <c r="V29" s="33">
        <f>SUMIFS(LS[BO UNIT TRANSFER],LS[Investor ID],INVESTORS_LIST[[#This Row],[INVESTOR CODE]],LS[B/S],"B")</f>
        <v>0</v>
      </c>
      <c r="W29" s="33">
        <f>SUMIFS(LS[BO UNIT TRANSFER],LS[Investor ID],INVESTORS_LIST[[#This Row],[INVESTOR CODE]],LS[B/S],"S")</f>
        <v>0</v>
      </c>
      <c r="X29" s="33">
        <f>SUMIFS(SIP[BO UNIT TRANSFER],SIP[Investor ID],INVESTORS_LIST[[#This Row],[INVESTOR CODE]],SIP[B/S],"S")</f>
        <v>0</v>
      </c>
      <c r="Y29" s="33">
        <f>SUMIFS(SIP[BO UNIT TRANSFER],SIP[Investor ID],INVESTORS_LIST[[#This Row],[INVESTOR CODE]],SIP[B/S],"B")</f>
        <v>0</v>
      </c>
      <c r="Z2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9" s="119">
        <f>INVESTORS_LIST[[#This Row],[TOTAL UNITS BUY]]-INVESTORS_LIST[[#This Row],[TOTAL UNITS SOLD]]</f>
        <v>0</v>
      </c>
      <c r="AB29" s="119">
        <f>INVESTORS_LIST[[#This Row],[TOTAL CURRENT UNITS]]-INVESTORS_LIST[[#This Row],[BO UNITS HOLD]]</f>
        <v>0</v>
      </c>
      <c r="AC29" s="119" t="e">
        <f>INDEX([4]!Table_1[BO ID],MATCH(INVESTORS_LIST[[#This Row],[INVESTOR CODE]],[4]!Table_1[INVESTOR CODE],0))</f>
        <v>#REF!</v>
      </c>
      <c r="AD29" s="33">
        <f>INVESTORS_LIST[[#This Row],[LS_TOTAL COST VALUE OF CURRENT UNITS]]+INVESTORS_LIST[[#This Row],[SIP_TOTAL COST VALUE OF CURRENT UNITS]]</f>
        <v>0</v>
      </c>
      <c r="AE29" s="44">
        <f>IF(INVESTORS_LIST[[#This Row],[TOTAL CURRENT UNITS]]=0,0,INVESTORS_LIST[[#This Row],[LS_TOTAL CURRENT UNITS]]/INVESTORS_LIST[[#This Row],[TOTAL CURRENT UNITS]])</f>
        <v>0</v>
      </c>
      <c r="AF29" s="44">
        <f>IF(INVESTORS_LIST[[#This Row],[TOTAL CURRENT UNITS]]=0,0,INVESTORS_LIST[[#This Row],[SIP_TOTAL CURRENT UNITS]]/INVESTORS_LIST[[#This Row],[TOTAL CURRENT UNITS]])</f>
        <v>0</v>
      </c>
      <c r="AG29" s="4" cm="1">
        <f t="array" ref="AG2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9" s="4" cm="1">
        <f t="array" ref="AH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9" s="178">
        <f t="shared" si="0"/>
        <v>12.552</v>
      </c>
      <c r="AK29" s="118">
        <f>IF(INVESTORS_LIST[[#This Row],[TOTAL CURRENT UNITS]]=0,0,INVESTORS_LIST[[#This Row],[TOTAL CURRENT UNITS]]*INVESTORS_LIST[[#This Row],[NAV]])</f>
        <v>0</v>
      </c>
      <c r="AL29" s="4">
        <f>IF(INVESTORS_LIST[[#This Row],[LS_TOTAL CURRENT UNITS]]=0,0,INVESTORS_LIST[[#This Row],[LS_TOTAL CURRENT UNITS]]*INVESTORS_LIST[[#This Row],[NAV]])</f>
        <v>0</v>
      </c>
      <c r="AM29" s="6">
        <f>IF(INVESTORS_LIST[[#This Row],[SIP_TOTAL CURRENT UNITS]]=0,0,INVESTORS_LIST[[#This Row],[SIP_TOTAL CURRENT UNITS]]*INVESTORS_LIST[[#This Row],[NAV]])</f>
        <v>0</v>
      </c>
      <c r="AO29" s="6">
        <f>IF(INVESTORS_LIST[[#This Row],[TOTAL SELLABLE UNITS]]=0,0,INVESTORS_LIST[[#This Row],[TOTAL SELLABLE UNITS]]*INVESTORS_LIST[[#This Row],[NAV]])</f>
        <v>0</v>
      </c>
      <c r="AP29" s="6">
        <f>INVESTORS_LIST[[#This Row],[LS_TOTAL REALIZED GAIN]]+INVESTORS_LIST[[#This Row],[SIP_TOTAL REALIZED GAIN]]</f>
        <v>0</v>
      </c>
      <c r="AQ29" s="6">
        <f>INVESTORS_LIST[[#This Row],[TOTAL MARKET VALUE]]-INVESTORS_LIST[[#This Row],[TOTAL COST VALUE OF CURRENT INVESTMENT]]</f>
        <v>0</v>
      </c>
      <c r="AR29" s="6">
        <f>SUMIFS(DivAndTax[Tax Amount],DivAndTax[Investor ID],INVESTORS_LIST[[#This Row],[INVESTOR CODE]])</f>
        <v>0</v>
      </c>
      <c r="AS29" s="6">
        <f>SUMIFS(DivAndTax[Gross Dividend],DivAndTax[Investor ID],INVESTORS_LIST[[#This Row],[INVESTOR CODE]])</f>
        <v>0</v>
      </c>
      <c r="AT29" s="5">
        <f>IFERROR(INVESTORS_LIST[[#This Row],[TOTAL CURRENT UNITS]]/SUM(INVESTORS_LIST[TOTAL CURRENT UNITS]),0)</f>
        <v>0</v>
      </c>
    </row>
    <row r="30" spans="1:46" hidden="1">
      <c r="A30" t="s">
        <v>738</v>
      </c>
      <c r="B30" t="s">
        <v>37</v>
      </c>
      <c r="C30" t="s">
        <v>537</v>
      </c>
      <c r="D30" s="8" t="s">
        <v>5</v>
      </c>
      <c r="E30" s="2">
        <f>SUMIFS(LS[Unit],LS[Investor ID],INVESTORS_LIST[[#This Row],[INVESTOR CODE]],LS[B/S],"B")</f>
        <v>500000</v>
      </c>
      <c r="F30" s="2">
        <f>-SUMIFS(LS[Unit],LS[Investor ID],INVESTORS_LIST[[#This Row],[INVESTOR CODE]],LS[B/S],"S")</f>
        <v>500000</v>
      </c>
      <c r="G30" s="2">
        <f>IF(INVESTORS_LIST[[#This Row],[LS_TOTAL UNITS BUY]]=0,0,INVESTORS_LIST[[#This Row],[LS_TOTAL UNITS BUY]]-INVESTORS_LIST[[#This Row],[LS_TOTAL UNITS SOLD]])</f>
        <v>0</v>
      </c>
      <c r="H30" s="4">
        <f>IF(INVESTORS_LIST[[#This Row],[LS_TOTAL UNITS BUY]]=0,0,SUMIFS(LS[Amount],LS[Investor ID],INVESTORS_LIST[[#This Row],[INVESTOR CODE]],LS[B/S],"B"))</f>
        <v>5000000</v>
      </c>
      <c r="I30" s="6">
        <f>IF(INVESTORS_LIST[[#This Row],[LS_TOTAL UNITS SOLD]]=0,0,SUMIFS(LS[Cost of Units Sold],LS[Investor ID],INVESTORS_LIST[[#This Row],[INVESTOR CODE]],LS[B/S],"S"))</f>
        <v>5000000</v>
      </c>
      <c r="J30" s="6">
        <f>IF(INVESTORS_LIST[[#This Row],[LS_TOTAL CURRENT UNITS]]=0,0,INVESTORS_LIST[[#This Row],[LS_TOTAL CURRENT UNITS]]*INVESTORS_LIST[[#This Row],[LS_AVERAGE COST]])</f>
        <v>0</v>
      </c>
      <c r="K30" s="4">
        <f>IF(INVESTORS_LIST[[#This Row],[LS_TOTAL UNITS SOLD]]=0,0,SUMIFS(LS[Realized Gain],LS[Investor ID],INVESTORS_LIST[[#This Row],[INVESTOR CODE]],LS[B/S],"S"))</f>
        <v>120499.99999999983</v>
      </c>
      <c r="L30" s="2">
        <f>SUMIFS(SIP[Unit],SIP[Investor ID],INVESTORS_LIST[[#This Row],[INVESTOR CODE]],SIP[B/S],"B")</f>
        <v>0</v>
      </c>
      <c r="M30" s="2">
        <f>-SUMIFS(SIP[Unit],SIP[Investor ID],INVESTORS_LIST[[#This Row],[INVESTOR CODE]],SIP[B/S],"S")</f>
        <v>0</v>
      </c>
      <c r="N30" s="33">
        <f>IF(INVESTORS_LIST[[#This Row],[SIP_TOTAL UNITS BUY]]=0,0,INVESTORS_LIST[[#This Row],[SIP_TOTAL UNITS BUY]]-INVESTORS_LIST[[#This Row],[SIP_TOTAL UNITS SOLD]])</f>
        <v>0</v>
      </c>
      <c r="O30" s="4">
        <f>IF(INVESTORS_LIST[[#This Row],[SIP_TOTAL UNITS BUY]]=0,0,SUMIFS(SIP[Amount],SIP[Investor ID],INVESTORS_LIST[[#This Row],[INVESTOR CODE]],SIP[B/S],"B"))</f>
        <v>0</v>
      </c>
      <c r="P30" s="4">
        <f>IF(INVESTORS_LIST[[#This Row],[SIP_TOTAL UNITS SOLD]]=0,0,SUMIFS(SIP[Cost of Units Sold],SIP[Investor ID],INVESTORS_LIST[[#This Row],[INVESTOR CODE]],SIP[B/S],"S"))</f>
        <v>0</v>
      </c>
      <c r="Q30" s="6">
        <f>IF(INVESTORS_LIST[[#This Row],[SIP_TOTAL CURRENT UNITS]]=0,0,INVESTORS_LIST[[#This Row],[SIP_TOTAL CURRENT UNITS]]*INVESTORS_LIST[[#This Row],[SIP_AVERAGE COST]])</f>
        <v>0</v>
      </c>
      <c r="R30" s="6">
        <f>IF(INVESTORS_LIST[[#This Row],[SIP_TOTAL UNITS SOLD]]=0,0,SUMIFS(SIP[Realized Gain],SIP[Investor ID],INVESTORS_LIST[[#This Row],[INVESTOR CODE]],SIP[B/S],"S"))</f>
        <v>0</v>
      </c>
      <c r="S30" s="33">
        <f>INVESTORS_LIST[[#This Row],[LS_TOTAL UNITS BUY]]+INVESTORS_LIST[[#This Row],[SIP_TOTAL UNITS BUY]]</f>
        <v>500000</v>
      </c>
      <c r="T30" s="33">
        <f>INVESTORS_LIST[[#This Row],[LS_TOTAL UNITS SOLD]]+INVESTORS_LIST[[#This Row],[SIP_TOTAL UNITS SOLD]]</f>
        <v>500000</v>
      </c>
      <c r="U30" s="33">
        <v>0</v>
      </c>
      <c r="V30" s="33">
        <f>SUMIFS(LS[BO UNIT TRANSFER],LS[Investor ID],INVESTORS_LIST[[#This Row],[INVESTOR CODE]],LS[B/S],"B")</f>
        <v>0</v>
      </c>
      <c r="W30" s="33">
        <f>SUMIFS(LS[BO UNIT TRANSFER],LS[Investor ID],INVESTORS_LIST[[#This Row],[INVESTOR CODE]],LS[B/S],"S")</f>
        <v>0</v>
      </c>
      <c r="X30" s="33">
        <f>SUMIFS(SIP[BO UNIT TRANSFER],SIP[Investor ID],INVESTORS_LIST[[#This Row],[INVESTOR CODE]],SIP[B/S],"S")</f>
        <v>0</v>
      </c>
      <c r="Y30" s="33">
        <f>SUMIFS(SIP[BO UNIT TRANSFER],SIP[Investor ID],INVESTORS_LIST[[#This Row],[INVESTOR CODE]],SIP[B/S],"B")</f>
        <v>0</v>
      </c>
      <c r="Z3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0" s="119">
        <f>INVESTORS_LIST[[#This Row],[TOTAL UNITS BUY]]-INVESTORS_LIST[[#This Row],[TOTAL UNITS SOLD]]</f>
        <v>0</v>
      </c>
      <c r="AB30" s="119">
        <f>INVESTORS_LIST[[#This Row],[TOTAL CURRENT UNITS]]-INVESTORS_LIST[[#This Row],[BO UNITS HOLD]]</f>
        <v>0</v>
      </c>
      <c r="AC30" s="119" t="e">
        <f>INDEX([4]!Table_1[BO ID],MATCH(INVESTORS_LIST[[#This Row],[INVESTOR CODE]],[4]!Table_1[INVESTOR CODE],0))</f>
        <v>#REF!</v>
      </c>
      <c r="AD30" s="33">
        <f>INVESTORS_LIST[[#This Row],[LS_TOTAL COST VALUE OF CURRENT UNITS]]+INVESTORS_LIST[[#This Row],[SIP_TOTAL COST VALUE OF CURRENT UNITS]]</f>
        <v>0</v>
      </c>
      <c r="AE30" s="44">
        <f>IF(INVESTORS_LIST[[#This Row],[TOTAL CURRENT UNITS]]=0,0,INVESTORS_LIST[[#This Row],[LS_TOTAL CURRENT UNITS]]/INVESTORS_LIST[[#This Row],[TOTAL CURRENT UNITS]])</f>
        <v>0</v>
      </c>
      <c r="AF30" s="44">
        <f>IF(INVESTORS_LIST[[#This Row],[TOTAL CURRENT UNITS]]=0,0,INVESTORS_LIST[[#This Row],[SIP_TOTAL CURRENT UNITS]]/INVESTORS_LIST[[#This Row],[TOTAL CURRENT UNITS]])</f>
        <v>0</v>
      </c>
      <c r="AG30" s="4" cm="1">
        <f t="array" ref="AG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0" s="4" cm="1">
        <f t="array" ref="AH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0" s="178">
        <f t="shared" si="0"/>
        <v>12.552</v>
      </c>
      <c r="AK30" s="118">
        <f>IF(INVESTORS_LIST[[#This Row],[TOTAL CURRENT UNITS]]=0,0,INVESTORS_LIST[[#This Row],[TOTAL CURRENT UNITS]]*INVESTORS_LIST[[#This Row],[NAV]])</f>
        <v>0</v>
      </c>
      <c r="AL30" s="4">
        <f>IF(INVESTORS_LIST[[#This Row],[LS_TOTAL CURRENT UNITS]]=0,0,INVESTORS_LIST[[#This Row],[LS_TOTAL CURRENT UNITS]]*INVESTORS_LIST[[#This Row],[NAV]])</f>
        <v>0</v>
      </c>
      <c r="AM30" s="6">
        <f>IF(INVESTORS_LIST[[#This Row],[SIP_TOTAL CURRENT UNITS]]=0,0,INVESTORS_LIST[[#This Row],[SIP_TOTAL CURRENT UNITS]]*INVESTORS_LIST[[#This Row],[NAV]])</f>
        <v>0</v>
      </c>
      <c r="AO30" s="6">
        <f>IF(INVESTORS_LIST[[#This Row],[TOTAL SELLABLE UNITS]]=0,0,INVESTORS_LIST[[#This Row],[TOTAL SELLABLE UNITS]]*INVESTORS_LIST[[#This Row],[NAV]])</f>
        <v>0</v>
      </c>
      <c r="AP30" s="6">
        <f>INVESTORS_LIST[[#This Row],[LS_TOTAL REALIZED GAIN]]+INVESTORS_LIST[[#This Row],[SIP_TOTAL REALIZED GAIN]]</f>
        <v>120499.99999999983</v>
      </c>
      <c r="AQ30" s="6">
        <f>INVESTORS_LIST[[#This Row],[TOTAL MARKET VALUE]]-INVESTORS_LIST[[#This Row],[TOTAL COST VALUE OF CURRENT INVESTMENT]]</f>
        <v>0</v>
      </c>
      <c r="AR30" s="6">
        <f>SUMIFS(DivAndTax[Tax Amount],DivAndTax[Investor ID],INVESTORS_LIST[[#This Row],[INVESTOR CODE]])</f>
        <v>0</v>
      </c>
      <c r="AS30" s="6">
        <f>SUMIFS(DivAndTax[Gross Dividend],DivAndTax[Investor ID],INVESTORS_LIST[[#This Row],[INVESTOR CODE]])</f>
        <v>0</v>
      </c>
      <c r="AT30" s="5">
        <f>IFERROR(INVESTORS_LIST[[#This Row],[TOTAL CURRENT UNITS]]/SUM(INVESTORS_LIST[TOTAL CURRENT UNITS]),0)</f>
        <v>0</v>
      </c>
    </row>
    <row r="31" spans="1:46" hidden="1">
      <c r="A31" t="s">
        <v>739</v>
      </c>
      <c r="B31" t="s">
        <v>38</v>
      </c>
      <c r="C31" t="s">
        <v>537</v>
      </c>
      <c r="D31" s="8" t="s">
        <v>5</v>
      </c>
      <c r="E31" s="2">
        <f>SUMIFS(LS[Unit],LS[Investor ID],INVESTORS_LIST[[#This Row],[INVESTOR CODE]],LS[B/S],"B")</f>
        <v>0</v>
      </c>
      <c r="F31" s="2">
        <f>-SUMIFS(LS[Unit],LS[Investor ID],INVESTORS_LIST[[#This Row],[INVESTOR CODE]],LS[B/S],"S")</f>
        <v>0</v>
      </c>
      <c r="G31" s="2">
        <f>IF(INVESTORS_LIST[[#This Row],[LS_TOTAL UNITS BUY]]=0,0,INVESTORS_LIST[[#This Row],[LS_TOTAL UNITS BUY]]-INVESTORS_LIST[[#This Row],[LS_TOTAL UNITS SOLD]])</f>
        <v>0</v>
      </c>
      <c r="H31" s="4">
        <f>IF(INVESTORS_LIST[[#This Row],[LS_TOTAL UNITS BUY]]=0,0,SUMIFS(LS[Amount],LS[Investor ID],INVESTORS_LIST[[#This Row],[INVESTOR CODE]],LS[B/S],"B"))</f>
        <v>0</v>
      </c>
      <c r="I31" s="6">
        <f>IF(INVESTORS_LIST[[#This Row],[LS_TOTAL UNITS SOLD]]=0,0,SUMIFS(LS[Cost of Units Sold],LS[Investor ID],INVESTORS_LIST[[#This Row],[INVESTOR CODE]],LS[B/S],"S"))</f>
        <v>0</v>
      </c>
      <c r="J31" s="6">
        <f>IF(INVESTORS_LIST[[#This Row],[LS_TOTAL CURRENT UNITS]]=0,0,INVESTORS_LIST[[#This Row],[LS_TOTAL CURRENT UNITS]]*INVESTORS_LIST[[#This Row],[LS_AVERAGE COST]])</f>
        <v>0</v>
      </c>
      <c r="K31" s="4">
        <f>IF(INVESTORS_LIST[[#This Row],[LS_TOTAL UNITS SOLD]]=0,0,SUMIFS(LS[Realized Gain],LS[Investor ID],INVESTORS_LIST[[#This Row],[INVESTOR CODE]],LS[B/S],"S"))</f>
        <v>0</v>
      </c>
      <c r="L31" s="2">
        <f>SUMIFS(SIP[Unit],SIP[Investor ID],INVESTORS_LIST[[#This Row],[INVESTOR CODE]],SIP[B/S],"B")</f>
        <v>0</v>
      </c>
      <c r="M31" s="2">
        <f>-SUMIFS(SIP[Unit],SIP[Investor ID],INVESTORS_LIST[[#This Row],[INVESTOR CODE]],SIP[B/S],"S")</f>
        <v>0</v>
      </c>
      <c r="N31" s="33">
        <f>IF(INVESTORS_LIST[[#This Row],[SIP_TOTAL UNITS BUY]]=0,0,INVESTORS_LIST[[#This Row],[SIP_TOTAL UNITS BUY]]-INVESTORS_LIST[[#This Row],[SIP_TOTAL UNITS SOLD]])</f>
        <v>0</v>
      </c>
      <c r="O31" s="4">
        <f>IF(INVESTORS_LIST[[#This Row],[SIP_TOTAL UNITS BUY]]=0,0,SUMIFS(SIP[Amount],SIP[Investor ID],INVESTORS_LIST[[#This Row],[INVESTOR CODE]],SIP[B/S],"B"))</f>
        <v>0</v>
      </c>
      <c r="P31" s="4">
        <f>IF(INVESTORS_LIST[[#This Row],[SIP_TOTAL UNITS SOLD]]=0,0,SUMIFS(SIP[Cost of Units Sold],SIP[Investor ID],INVESTORS_LIST[[#This Row],[INVESTOR CODE]],SIP[B/S],"S"))</f>
        <v>0</v>
      </c>
      <c r="Q31" s="6">
        <f>IF(INVESTORS_LIST[[#This Row],[SIP_TOTAL CURRENT UNITS]]=0,0,INVESTORS_LIST[[#This Row],[SIP_TOTAL CURRENT UNITS]]*INVESTORS_LIST[[#This Row],[SIP_AVERAGE COST]])</f>
        <v>0</v>
      </c>
      <c r="R31" s="6">
        <f>IF(INVESTORS_LIST[[#This Row],[SIP_TOTAL UNITS SOLD]]=0,0,SUMIFS(SIP[Realized Gain],SIP[Investor ID],INVESTORS_LIST[[#This Row],[INVESTOR CODE]],SIP[B/S],"S"))</f>
        <v>0</v>
      </c>
      <c r="S31" s="33">
        <f>INVESTORS_LIST[[#This Row],[LS_TOTAL UNITS BUY]]+INVESTORS_LIST[[#This Row],[SIP_TOTAL UNITS BUY]]</f>
        <v>0</v>
      </c>
      <c r="T31" s="33">
        <f>INVESTORS_LIST[[#This Row],[LS_TOTAL UNITS SOLD]]+INVESTORS_LIST[[#This Row],[SIP_TOTAL UNITS SOLD]]</f>
        <v>0</v>
      </c>
      <c r="U31" s="33">
        <v>0</v>
      </c>
      <c r="V31" s="33">
        <f>SUMIFS(LS[BO UNIT TRANSFER],LS[Investor ID],INVESTORS_LIST[[#This Row],[INVESTOR CODE]],LS[B/S],"B")</f>
        <v>0</v>
      </c>
      <c r="W31" s="33">
        <f>SUMIFS(LS[BO UNIT TRANSFER],LS[Investor ID],INVESTORS_LIST[[#This Row],[INVESTOR CODE]],LS[B/S],"S")</f>
        <v>0</v>
      </c>
      <c r="X31" s="33">
        <f>SUMIFS(SIP[BO UNIT TRANSFER],SIP[Investor ID],INVESTORS_LIST[[#This Row],[INVESTOR CODE]],SIP[B/S],"S")</f>
        <v>0</v>
      </c>
      <c r="Y31" s="33">
        <f>SUMIFS(SIP[BO UNIT TRANSFER],SIP[Investor ID],INVESTORS_LIST[[#This Row],[INVESTOR CODE]],SIP[B/S],"B")</f>
        <v>0</v>
      </c>
      <c r="Z3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1" s="119">
        <f>INVESTORS_LIST[[#This Row],[TOTAL UNITS BUY]]-INVESTORS_LIST[[#This Row],[TOTAL UNITS SOLD]]</f>
        <v>0</v>
      </c>
      <c r="AB31" s="119">
        <f>INVESTORS_LIST[[#This Row],[TOTAL CURRENT UNITS]]-INVESTORS_LIST[[#This Row],[BO UNITS HOLD]]</f>
        <v>0</v>
      </c>
      <c r="AC31" s="119" t="e">
        <f>INDEX([4]!Table_1[BO ID],MATCH(INVESTORS_LIST[[#This Row],[INVESTOR CODE]],[4]!Table_1[INVESTOR CODE],0))</f>
        <v>#REF!</v>
      </c>
      <c r="AD31" s="33">
        <f>INVESTORS_LIST[[#This Row],[LS_TOTAL COST VALUE OF CURRENT UNITS]]+INVESTORS_LIST[[#This Row],[SIP_TOTAL COST VALUE OF CURRENT UNITS]]</f>
        <v>0</v>
      </c>
      <c r="AE31" s="44">
        <f>IF(INVESTORS_LIST[[#This Row],[TOTAL CURRENT UNITS]]=0,0,INVESTORS_LIST[[#This Row],[LS_TOTAL CURRENT UNITS]]/INVESTORS_LIST[[#This Row],[TOTAL CURRENT UNITS]])</f>
        <v>0</v>
      </c>
      <c r="AF31" s="44">
        <f>IF(INVESTORS_LIST[[#This Row],[TOTAL CURRENT UNITS]]=0,0,INVESTORS_LIST[[#This Row],[SIP_TOTAL CURRENT UNITS]]/INVESTORS_LIST[[#This Row],[TOTAL CURRENT UNITS]])</f>
        <v>0</v>
      </c>
      <c r="AG31" s="4" cm="1">
        <f t="array" ref="AG3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1" s="4" cm="1">
        <f t="array" ref="AH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1" s="178">
        <f t="shared" si="0"/>
        <v>12.552</v>
      </c>
      <c r="AK31" s="118">
        <f>IF(INVESTORS_LIST[[#This Row],[TOTAL CURRENT UNITS]]=0,0,INVESTORS_LIST[[#This Row],[TOTAL CURRENT UNITS]]*INVESTORS_LIST[[#This Row],[NAV]])</f>
        <v>0</v>
      </c>
      <c r="AL31" s="4">
        <f>IF(INVESTORS_LIST[[#This Row],[LS_TOTAL CURRENT UNITS]]=0,0,INVESTORS_LIST[[#This Row],[LS_TOTAL CURRENT UNITS]]*INVESTORS_LIST[[#This Row],[NAV]])</f>
        <v>0</v>
      </c>
      <c r="AM31" s="6">
        <f>IF(INVESTORS_LIST[[#This Row],[SIP_TOTAL CURRENT UNITS]]=0,0,INVESTORS_LIST[[#This Row],[SIP_TOTAL CURRENT UNITS]]*INVESTORS_LIST[[#This Row],[NAV]])</f>
        <v>0</v>
      </c>
      <c r="AO31" s="6">
        <f>IF(INVESTORS_LIST[[#This Row],[TOTAL SELLABLE UNITS]]=0,0,INVESTORS_LIST[[#This Row],[TOTAL SELLABLE UNITS]]*INVESTORS_LIST[[#This Row],[NAV]])</f>
        <v>0</v>
      </c>
      <c r="AP31" s="6">
        <f>INVESTORS_LIST[[#This Row],[LS_TOTAL REALIZED GAIN]]+INVESTORS_LIST[[#This Row],[SIP_TOTAL REALIZED GAIN]]</f>
        <v>0</v>
      </c>
      <c r="AQ31" s="6">
        <f>INVESTORS_LIST[[#This Row],[TOTAL MARKET VALUE]]-INVESTORS_LIST[[#This Row],[TOTAL COST VALUE OF CURRENT INVESTMENT]]</f>
        <v>0</v>
      </c>
      <c r="AR31" s="6">
        <f>SUMIFS(DivAndTax[Tax Amount],DivAndTax[Investor ID],INVESTORS_LIST[[#This Row],[INVESTOR CODE]])</f>
        <v>0</v>
      </c>
      <c r="AS31" s="6">
        <f>SUMIFS(DivAndTax[Gross Dividend],DivAndTax[Investor ID],INVESTORS_LIST[[#This Row],[INVESTOR CODE]])</f>
        <v>0</v>
      </c>
      <c r="AT31" s="5">
        <f>IFERROR(INVESTORS_LIST[[#This Row],[TOTAL CURRENT UNITS]]/SUM(INVESTORS_LIST[TOTAL CURRENT UNITS]),0)</f>
        <v>0</v>
      </c>
    </row>
    <row r="32" spans="1:46" hidden="1">
      <c r="A32" t="s">
        <v>740</v>
      </c>
      <c r="B32" t="s">
        <v>39</v>
      </c>
      <c r="C32" t="s">
        <v>536</v>
      </c>
      <c r="D32" s="8" t="s">
        <v>2</v>
      </c>
      <c r="E32" s="2">
        <f>SUMIFS(LS[Unit],LS[Investor ID],INVESTORS_LIST[[#This Row],[INVESTOR CODE]],LS[B/S],"B")</f>
        <v>26356</v>
      </c>
      <c r="F32" s="2">
        <f>-SUMIFS(LS[Unit],LS[Investor ID],INVESTORS_LIST[[#This Row],[INVESTOR CODE]],LS[B/S],"S")</f>
        <v>26356</v>
      </c>
      <c r="G32" s="2">
        <f>IF(INVESTORS_LIST[[#This Row],[LS_TOTAL UNITS BUY]]=0,0,INVESTORS_LIST[[#This Row],[LS_TOTAL UNITS BUY]]-INVESTORS_LIST[[#This Row],[LS_TOTAL UNITS SOLD]])</f>
        <v>0</v>
      </c>
      <c r="H32" s="4">
        <f>IF(INVESTORS_LIST[[#This Row],[LS_TOTAL UNITS BUY]]=0,0,SUMIFS(LS[Amount],LS[Investor ID],INVESTORS_LIST[[#This Row],[INVESTOR CODE]],LS[B/S],"B"))</f>
        <v>263929.8</v>
      </c>
      <c r="I32" s="6">
        <f>IF(INVESTORS_LIST[[#This Row],[LS_TOTAL UNITS SOLD]]=0,0,SUMIFS(LS[Cost of Units Sold],LS[Investor ID],INVESTORS_LIST[[#This Row],[INVESTOR CODE]],LS[B/S],"S"))</f>
        <v>263929.8</v>
      </c>
      <c r="J32" s="6">
        <f>IF(INVESTORS_LIST[[#This Row],[LS_TOTAL CURRENT UNITS]]=0,0,INVESTORS_LIST[[#This Row],[LS_TOTAL CURRENT UNITS]]*INVESTORS_LIST[[#This Row],[LS_AVERAGE COST]])</f>
        <v>0</v>
      </c>
      <c r="K32" s="4">
        <f>IF(INVESTORS_LIST[[#This Row],[LS_TOTAL UNITS SOLD]]=0,0,SUMIFS(LS[Realized Gain],LS[Investor ID],INVESTORS_LIST[[#This Row],[INVESTOR CODE]],LS[B/S],"S"))</f>
        <v>53949.919999999947</v>
      </c>
      <c r="L32" s="2">
        <f>SUMIFS(SIP[Unit],SIP[Investor ID],INVESTORS_LIST[[#This Row],[INVESTOR CODE]],SIP[B/S],"B")</f>
        <v>0</v>
      </c>
      <c r="M32" s="2">
        <f>-SUMIFS(SIP[Unit],SIP[Investor ID],INVESTORS_LIST[[#This Row],[INVESTOR CODE]],SIP[B/S],"S")</f>
        <v>0</v>
      </c>
      <c r="N32" s="33">
        <f>IF(INVESTORS_LIST[[#This Row],[SIP_TOTAL UNITS BUY]]=0,0,INVESTORS_LIST[[#This Row],[SIP_TOTAL UNITS BUY]]-INVESTORS_LIST[[#This Row],[SIP_TOTAL UNITS SOLD]])</f>
        <v>0</v>
      </c>
      <c r="O32" s="4">
        <f>IF(INVESTORS_LIST[[#This Row],[SIP_TOTAL UNITS BUY]]=0,0,SUMIFS(SIP[Amount],SIP[Investor ID],INVESTORS_LIST[[#This Row],[INVESTOR CODE]],SIP[B/S],"B"))</f>
        <v>0</v>
      </c>
      <c r="P32" s="4">
        <f>IF(INVESTORS_LIST[[#This Row],[SIP_TOTAL UNITS SOLD]]=0,0,SUMIFS(SIP[Cost of Units Sold],SIP[Investor ID],INVESTORS_LIST[[#This Row],[INVESTOR CODE]],SIP[B/S],"S"))</f>
        <v>0</v>
      </c>
      <c r="Q32" s="6">
        <f>IF(INVESTORS_LIST[[#This Row],[SIP_TOTAL CURRENT UNITS]]=0,0,INVESTORS_LIST[[#This Row],[SIP_TOTAL CURRENT UNITS]]*INVESTORS_LIST[[#This Row],[SIP_AVERAGE COST]])</f>
        <v>0</v>
      </c>
      <c r="R32" s="6">
        <f>IF(INVESTORS_LIST[[#This Row],[SIP_TOTAL UNITS SOLD]]=0,0,SUMIFS(SIP[Realized Gain],SIP[Investor ID],INVESTORS_LIST[[#This Row],[INVESTOR CODE]],SIP[B/S],"S"))</f>
        <v>0</v>
      </c>
      <c r="S32" s="33">
        <f>INVESTORS_LIST[[#This Row],[LS_TOTAL UNITS BUY]]+INVESTORS_LIST[[#This Row],[SIP_TOTAL UNITS BUY]]</f>
        <v>26356</v>
      </c>
      <c r="T32" s="33">
        <f>INVESTORS_LIST[[#This Row],[LS_TOTAL UNITS SOLD]]+INVESTORS_LIST[[#This Row],[SIP_TOTAL UNITS SOLD]]</f>
        <v>26356</v>
      </c>
      <c r="U32" s="33">
        <v>0</v>
      </c>
      <c r="V32" s="33">
        <f>SUMIFS(LS[BO UNIT TRANSFER],LS[Investor ID],INVESTORS_LIST[[#This Row],[INVESTOR CODE]],LS[B/S],"B")</f>
        <v>0</v>
      </c>
      <c r="W32" s="33">
        <f>SUMIFS(LS[BO UNIT TRANSFER],LS[Investor ID],INVESTORS_LIST[[#This Row],[INVESTOR CODE]],LS[B/S],"S")</f>
        <v>0</v>
      </c>
      <c r="X32" s="33">
        <f>SUMIFS(SIP[BO UNIT TRANSFER],SIP[Investor ID],INVESTORS_LIST[[#This Row],[INVESTOR CODE]],SIP[B/S],"S")</f>
        <v>0</v>
      </c>
      <c r="Y32" s="33">
        <f>SUMIFS(SIP[BO UNIT TRANSFER],SIP[Investor ID],INVESTORS_LIST[[#This Row],[INVESTOR CODE]],SIP[B/S],"B")</f>
        <v>0</v>
      </c>
      <c r="Z3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2" s="119">
        <f>INVESTORS_LIST[[#This Row],[TOTAL UNITS BUY]]-INVESTORS_LIST[[#This Row],[TOTAL UNITS SOLD]]</f>
        <v>0</v>
      </c>
      <c r="AB32" s="119">
        <f>INVESTORS_LIST[[#This Row],[TOTAL CURRENT UNITS]]-INVESTORS_LIST[[#This Row],[BO UNITS HOLD]]</f>
        <v>0</v>
      </c>
      <c r="AC32" s="119" t="e">
        <f>INDEX([4]!Table_1[BO ID],MATCH(INVESTORS_LIST[[#This Row],[INVESTOR CODE]],[4]!Table_1[INVESTOR CODE],0))</f>
        <v>#REF!</v>
      </c>
      <c r="AD32" s="33">
        <f>INVESTORS_LIST[[#This Row],[LS_TOTAL COST VALUE OF CURRENT UNITS]]+INVESTORS_LIST[[#This Row],[SIP_TOTAL COST VALUE OF CURRENT UNITS]]</f>
        <v>0</v>
      </c>
      <c r="AE32" s="44">
        <f>IF(INVESTORS_LIST[[#This Row],[TOTAL CURRENT UNITS]]=0,0,INVESTORS_LIST[[#This Row],[LS_TOTAL CURRENT UNITS]]/INVESTORS_LIST[[#This Row],[TOTAL CURRENT UNITS]])</f>
        <v>0</v>
      </c>
      <c r="AF32" s="44">
        <f>IF(INVESTORS_LIST[[#This Row],[TOTAL CURRENT UNITS]]=0,0,INVESTORS_LIST[[#This Row],[SIP_TOTAL CURRENT UNITS]]/INVESTORS_LIST[[#This Row],[TOTAL CURRENT UNITS]])</f>
        <v>0</v>
      </c>
      <c r="AG32" s="4" cm="1">
        <f t="array" ref="AG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2" s="4" cm="1">
        <f t="array" ref="AH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2" s="178">
        <f t="shared" si="0"/>
        <v>12.552</v>
      </c>
      <c r="AK32" s="118">
        <f>IF(INVESTORS_LIST[[#This Row],[TOTAL CURRENT UNITS]]=0,0,INVESTORS_LIST[[#This Row],[TOTAL CURRENT UNITS]]*INVESTORS_LIST[[#This Row],[NAV]])</f>
        <v>0</v>
      </c>
      <c r="AL32" s="4">
        <f>IF(INVESTORS_LIST[[#This Row],[LS_TOTAL CURRENT UNITS]]=0,0,INVESTORS_LIST[[#This Row],[LS_TOTAL CURRENT UNITS]]*INVESTORS_LIST[[#This Row],[NAV]])</f>
        <v>0</v>
      </c>
      <c r="AM32" s="6">
        <f>IF(INVESTORS_LIST[[#This Row],[SIP_TOTAL CURRENT UNITS]]=0,0,INVESTORS_LIST[[#This Row],[SIP_TOTAL CURRENT UNITS]]*INVESTORS_LIST[[#This Row],[NAV]])</f>
        <v>0</v>
      </c>
      <c r="AO32" s="6">
        <f>IF(INVESTORS_LIST[[#This Row],[TOTAL SELLABLE UNITS]]=0,0,INVESTORS_LIST[[#This Row],[TOTAL SELLABLE UNITS]]*INVESTORS_LIST[[#This Row],[NAV]])</f>
        <v>0</v>
      </c>
      <c r="AP32" s="6">
        <f>INVESTORS_LIST[[#This Row],[LS_TOTAL REALIZED GAIN]]+INVESTORS_LIST[[#This Row],[SIP_TOTAL REALIZED GAIN]]</f>
        <v>53949.919999999947</v>
      </c>
      <c r="AQ32" s="6">
        <f>INVESTORS_LIST[[#This Row],[TOTAL MARKET VALUE]]-INVESTORS_LIST[[#This Row],[TOTAL COST VALUE OF CURRENT INVESTMENT]]</f>
        <v>0</v>
      </c>
      <c r="AR32" s="6">
        <f>SUMIFS(DivAndTax[Tax Amount],DivAndTax[Investor ID],INVESTORS_LIST[[#This Row],[INVESTOR CODE]])</f>
        <v>2458.1999999999998</v>
      </c>
      <c r="AS32" s="6">
        <f>SUMIFS(DivAndTax[Gross Dividend],DivAndTax[Investor ID],INVESTORS_LIST[[#This Row],[INVESTOR CODE]])</f>
        <v>16388</v>
      </c>
      <c r="AT32" s="5">
        <f>IFERROR(INVESTORS_LIST[[#This Row],[TOTAL CURRENT UNITS]]/SUM(INVESTORS_LIST[TOTAL CURRENT UNITS]),0)</f>
        <v>0</v>
      </c>
    </row>
    <row r="33" spans="1:48" hidden="1">
      <c r="A33" t="s">
        <v>741</v>
      </c>
      <c r="B33" t="s">
        <v>40</v>
      </c>
      <c r="C33" t="s">
        <v>536</v>
      </c>
      <c r="D33" s="8" t="s">
        <v>2</v>
      </c>
      <c r="E33" s="2">
        <f>SUMIFS(LS[Unit],LS[Investor ID],INVESTORS_LIST[[#This Row],[INVESTOR CODE]],LS[B/S],"B")</f>
        <v>0</v>
      </c>
      <c r="F33" s="2">
        <f>-SUMIFS(LS[Unit],LS[Investor ID],INVESTORS_LIST[[#This Row],[INVESTOR CODE]],LS[B/S],"S")</f>
        <v>0</v>
      </c>
      <c r="G33" s="2">
        <f>IF(INVESTORS_LIST[[#This Row],[LS_TOTAL UNITS BUY]]=0,0,INVESTORS_LIST[[#This Row],[LS_TOTAL UNITS BUY]]-INVESTORS_LIST[[#This Row],[LS_TOTAL UNITS SOLD]])</f>
        <v>0</v>
      </c>
      <c r="H33" s="4">
        <f>IF(INVESTORS_LIST[[#This Row],[LS_TOTAL UNITS BUY]]=0,0,SUMIFS(LS[Amount],LS[Investor ID],INVESTORS_LIST[[#This Row],[INVESTOR CODE]],LS[B/S],"B"))</f>
        <v>0</v>
      </c>
      <c r="I33" s="6">
        <f>IF(INVESTORS_LIST[[#This Row],[LS_TOTAL UNITS SOLD]]=0,0,SUMIFS(LS[Cost of Units Sold],LS[Investor ID],INVESTORS_LIST[[#This Row],[INVESTOR CODE]],LS[B/S],"S"))</f>
        <v>0</v>
      </c>
      <c r="J33" s="6">
        <f>IF(INVESTORS_LIST[[#This Row],[LS_TOTAL CURRENT UNITS]]=0,0,INVESTORS_LIST[[#This Row],[LS_TOTAL CURRENT UNITS]]*INVESTORS_LIST[[#This Row],[LS_AVERAGE COST]])</f>
        <v>0</v>
      </c>
      <c r="K33" s="4">
        <f>IF(INVESTORS_LIST[[#This Row],[LS_TOTAL UNITS SOLD]]=0,0,SUMIFS(LS[Realized Gain],LS[Investor ID],INVESTORS_LIST[[#This Row],[INVESTOR CODE]],LS[B/S],"S"))</f>
        <v>0</v>
      </c>
      <c r="L33" s="2">
        <f>SUMIFS(SIP[Unit],SIP[Investor ID],INVESTORS_LIST[[#This Row],[INVESTOR CODE]],SIP[B/S],"B")</f>
        <v>0</v>
      </c>
      <c r="M33" s="2">
        <f>-SUMIFS(SIP[Unit],SIP[Investor ID],INVESTORS_LIST[[#This Row],[INVESTOR CODE]],SIP[B/S],"S")</f>
        <v>0</v>
      </c>
      <c r="N33" s="33">
        <f>IF(INVESTORS_LIST[[#This Row],[SIP_TOTAL UNITS BUY]]=0,0,INVESTORS_LIST[[#This Row],[SIP_TOTAL UNITS BUY]]-INVESTORS_LIST[[#This Row],[SIP_TOTAL UNITS SOLD]])</f>
        <v>0</v>
      </c>
      <c r="O33" s="4">
        <f>IF(INVESTORS_LIST[[#This Row],[SIP_TOTAL UNITS BUY]]=0,0,SUMIFS(SIP[Amount],SIP[Investor ID],INVESTORS_LIST[[#This Row],[INVESTOR CODE]],SIP[B/S],"B"))</f>
        <v>0</v>
      </c>
      <c r="P33" s="4">
        <f>IF(INVESTORS_LIST[[#This Row],[SIP_TOTAL UNITS SOLD]]=0,0,SUMIFS(SIP[Cost of Units Sold],SIP[Investor ID],INVESTORS_LIST[[#This Row],[INVESTOR CODE]],SIP[B/S],"S"))</f>
        <v>0</v>
      </c>
      <c r="Q33" s="6">
        <f>IF(INVESTORS_LIST[[#This Row],[SIP_TOTAL CURRENT UNITS]]=0,0,INVESTORS_LIST[[#This Row],[SIP_TOTAL CURRENT UNITS]]*INVESTORS_LIST[[#This Row],[SIP_AVERAGE COST]])</f>
        <v>0</v>
      </c>
      <c r="R33" s="6">
        <f>IF(INVESTORS_LIST[[#This Row],[SIP_TOTAL UNITS SOLD]]=0,0,SUMIFS(SIP[Realized Gain],SIP[Investor ID],INVESTORS_LIST[[#This Row],[INVESTOR CODE]],SIP[B/S],"S"))</f>
        <v>0</v>
      </c>
      <c r="S33" s="33">
        <f>INVESTORS_LIST[[#This Row],[LS_TOTAL UNITS BUY]]+INVESTORS_LIST[[#This Row],[SIP_TOTAL UNITS BUY]]</f>
        <v>0</v>
      </c>
      <c r="T33" s="33">
        <f>INVESTORS_LIST[[#This Row],[LS_TOTAL UNITS SOLD]]+INVESTORS_LIST[[#This Row],[SIP_TOTAL UNITS SOLD]]</f>
        <v>0</v>
      </c>
      <c r="U33" s="33">
        <v>0</v>
      </c>
      <c r="V33" s="33">
        <f>SUMIFS(LS[BO UNIT TRANSFER],LS[Investor ID],INVESTORS_LIST[[#This Row],[INVESTOR CODE]],LS[B/S],"B")</f>
        <v>0</v>
      </c>
      <c r="W33" s="33">
        <f>SUMIFS(LS[BO UNIT TRANSFER],LS[Investor ID],INVESTORS_LIST[[#This Row],[INVESTOR CODE]],LS[B/S],"S")</f>
        <v>0</v>
      </c>
      <c r="X33" s="33">
        <f>SUMIFS(SIP[BO UNIT TRANSFER],SIP[Investor ID],INVESTORS_LIST[[#This Row],[INVESTOR CODE]],SIP[B/S],"S")</f>
        <v>0</v>
      </c>
      <c r="Y33" s="33">
        <f>SUMIFS(SIP[BO UNIT TRANSFER],SIP[Investor ID],INVESTORS_LIST[[#This Row],[INVESTOR CODE]],SIP[B/S],"B")</f>
        <v>0</v>
      </c>
      <c r="Z3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3" s="119">
        <f>INVESTORS_LIST[[#This Row],[TOTAL UNITS BUY]]-INVESTORS_LIST[[#This Row],[TOTAL UNITS SOLD]]</f>
        <v>0</v>
      </c>
      <c r="AB33" s="119">
        <f>INVESTORS_LIST[[#This Row],[TOTAL CURRENT UNITS]]-INVESTORS_LIST[[#This Row],[BO UNITS HOLD]]</f>
        <v>0</v>
      </c>
      <c r="AC33" s="119" t="e">
        <f>INDEX([4]!Table_1[BO ID],MATCH(INVESTORS_LIST[[#This Row],[INVESTOR CODE]],[4]!Table_1[INVESTOR CODE],0))</f>
        <v>#REF!</v>
      </c>
      <c r="AD33" s="33">
        <f>INVESTORS_LIST[[#This Row],[LS_TOTAL COST VALUE OF CURRENT UNITS]]+INVESTORS_LIST[[#This Row],[SIP_TOTAL COST VALUE OF CURRENT UNITS]]</f>
        <v>0</v>
      </c>
      <c r="AE33" s="44">
        <f>IF(INVESTORS_LIST[[#This Row],[TOTAL CURRENT UNITS]]=0,0,INVESTORS_LIST[[#This Row],[LS_TOTAL CURRENT UNITS]]/INVESTORS_LIST[[#This Row],[TOTAL CURRENT UNITS]])</f>
        <v>0</v>
      </c>
      <c r="AF33" s="44">
        <f>IF(INVESTORS_LIST[[#This Row],[TOTAL CURRENT UNITS]]=0,0,INVESTORS_LIST[[#This Row],[SIP_TOTAL CURRENT UNITS]]/INVESTORS_LIST[[#This Row],[TOTAL CURRENT UNITS]])</f>
        <v>0</v>
      </c>
      <c r="AG33" s="4" cm="1">
        <f t="array" ref="AG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3" s="4" cm="1">
        <f t="array" ref="AH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3" s="178">
        <f t="shared" si="0"/>
        <v>12.552</v>
      </c>
      <c r="AK33" s="118">
        <f>IF(INVESTORS_LIST[[#This Row],[TOTAL CURRENT UNITS]]=0,0,INVESTORS_LIST[[#This Row],[TOTAL CURRENT UNITS]]*INVESTORS_LIST[[#This Row],[NAV]])</f>
        <v>0</v>
      </c>
      <c r="AL33" s="4">
        <f>IF(INVESTORS_LIST[[#This Row],[LS_TOTAL CURRENT UNITS]]=0,0,INVESTORS_LIST[[#This Row],[LS_TOTAL CURRENT UNITS]]*INVESTORS_LIST[[#This Row],[NAV]])</f>
        <v>0</v>
      </c>
      <c r="AM33" s="6">
        <f>IF(INVESTORS_LIST[[#This Row],[SIP_TOTAL CURRENT UNITS]]=0,0,INVESTORS_LIST[[#This Row],[SIP_TOTAL CURRENT UNITS]]*INVESTORS_LIST[[#This Row],[NAV]])</f>
        <v>0</v>
      </c>
      <c r="AO33" s="6">
        <f>IF(INVESTORS_LIST[[#This Row],[TOTAL SELLABLE UNITS]]=0,0,INVESTORS_LIST[[#This Row],[TOTAL SELLABLE UNITS]]*INVESTORS_LIST[[#This Row],[NAV]])</f>
        <v>0</v>
      </c>
      <c r="AP33" s="6">
        <f>INVESTORS_LIST[[#This Row],[LS_TOTAL REALIZED GAIN]]+INVESTORS_LIST[[#This Row],[SIP_TOTAL REALIZED GAIN]]</f>
        <v>0</v>
      </c>
      <c r="AQ33" s="6">
        <f>INVESTORS_LIST[[#This Row],[TOTAL MARKET VALUE]]-INVESTORS_LIST[[#This Row],[TOTAL COST VALUE OF CURRENT INVESTMENT]]</f>
        <v>0</v>
      </c>
      <c r="AR33" s="6">
        <f>SUMIFS(DivAndTax[Tax Amount],DivAndTax[Investor ID],INVESTORS_LIST[[#This Row],[INVESTOR CODE]])</f>
        <v>0</v>
      </c>
      <c r="AS33" s="6">
        <f>SUMIFS(DivAndTax[Gross Dividend],DivAndTax[Investor ID],INVESTORS_LIST[[#This Row],[INVESTOR CODE]])</f>
        <v>0</v>
      </c>
      <c r="AT33" s="5">
        <f>IFERROR(INVESTORS_LIST[[#This Row],[TOTAL CURRENT UNITS]]/SUM(INVESTORS_LIST[TOTAL CURRENT UNITS]),0)</f>
        <v>0</v>
      </c>
    </row>
    <row r="34" spans="1:48">
      <c r="A34" t="s">
        <v>742</v>
      </c>
      <c r="B34" t="s">
        <v>41</v>
      </c>
      <c r="C34" t="s">
        <v>536</v>
      </c>
      <c r="D34" s="8" t="s">
        <v>2</v>
      </c>
      <c r="E34" s="2">
        <f>SUMIFS(LS[Unit],LS[Investor ID],INVESTORS_LIST[[#This Row],[INVESTOR CODE]],LS[B/S],"B")</f>
        <v>19344</v>
      </c>
      <c r="F34" s="2">
        <f>-SUMIFS(LS[Unit],LS[Investor ID],INVESTORS_LIST[[#This Row],[INVESTOR CODE]],LS[B/S],"S")</f>
        <v>0</v>
      </c>
      <c r="G34" s="2">
        <f>IF(INVESTORS_LIST[[#This Row],[LS_TOTAL UNITS BUY]]=0,0,INVESTORS_LIST[[#This Row],[LS_TOTAL UNITS BUY]]-INVESTORS_LIST[[#This Row],[LS_TOTAL UNITS SOLD]])</f>
        <v>19344</v>
      </c>
      <c r="H34" s="4">
        <f>IF(INVESTORS_LIST[[#This Row],[LS_TOTAL UNITS BUY]]=0,0,SUMIFS(LS[Amount],LS[Investor ID],INVESTORS_LIST[[#This Row],[INVESTOR CODE]],LS[B/S],"B"))</f>
        <v>206595.4</v>
      </c>
      <c r="I34" s="6">
        <f>IF(INVESTORS_LIST[[#This Row],[LS_TOTAL UNITS SOLD]]=0,0,SUMIFS(LS[Cost of Units Sold],LS[Investor ID],INVESTORS_LIST[[#This Row],[INVESTOR CODE]],LS[B/S],"S"))</f>
        <v>0</v>
      </c>
      <c r="J34" s="6">
        <f>IF(INVESTORS_LIST[[#This Row],[LS_TOTAL CURRENT UNITS]]=0,0,INVESTORS_LIST[[#This Row],[LS_TOTAL CURRENT UNITS]]*INVESTORS_LIST[[#This Row],[LS_AVERAGE COST]])</f>
        <v>206595.4</v>
      </c>
      <c r="K34" s="4">
        <f>IF(INVESTORS_LIST[[#This Row],[LS_TOTAL UNITS SOLD]]=0,0,SUMIFS(LS[Realized Gain],LS[Investor ID],INVESTORS_LIST[[#This Row],[INVESTOR CODE]],LS[B/S],"S"))</f>
        <v>0</v>
      </c>
      <c r="L34" s="2">
        <f>SUMIFS(SIP[Unit],SIP[Investor ID],INVESTORS_LIST[[#This Row],[INVESTOR CODE]],SIP[B/S],"B")</f>
        <v>0</v>
      </c>
      <c r="M34" s="2">
        <f>-SUMIFS(SIP[Unit],SIP[Investor ID],INVESTORS_LIST[[#This Row],[INVESTOR CODE]],SIP[B/S],"S")</f>
        <v>0</v>
      </c>
      <c r="N34" s="33">
        <f>IF(INVESTORS_LIST[[#This Row],[SIP_TOTAL UNITS BUY]]=0,0,INVESTORS_LIST[[#This Row],[SIP_TOTAL UNITS BUY]]-INVESTORS_LIST[[#This Row],[SIP_TOTAL UNITS SOLD]])</f>
        <v>0</v>
      </c>
      <c r="O34" s="4">
        <f>IF(INVESTORS_LIST[[#This Row],[SIP_TOTAL UNITS BUY]]=0,0,SUMIFS(SIP[Amount],SIP[Investor ID],INVESTORS_LIST[[#This Row],[INVESTOR CODE]],SIP[B/S],"B"))</f>
        <v>0</v>
      </c>
      <c r="P34" s="4">
        <f>IF(INVESTORS_LIST[[#This Row],[SIP_TOTAL UNITS SOLD]]=0,0,SUMIFS(SIP[Cost of Units Sold],SIP[Investor ID],INVESTORS_LIST[[#This Row],[INVESTOR CODE]],SIP[B/S],"S"))</f>
        <v>0</v>
      </c>
      <c r="Q34" s="6">
        <f>IF(INVESTORS_LIST[[#This Row],[SIP_TOTAL CURRENT UNITS]]=0,0,INVESTORS_LIST[[#This Row],[SIP_TOTAL CURRENT UNITS]]*INVESTORS_LIST[[#This Row],[SIP_AVERAGE COST]])</f>
        <v>0</v>
      </c>
      <c r="R34" s="6">
        <f>IF(INVESTORS_LIST[[#This Row],[SIP_TOTAL UNITS SOLD]]=0,0,SUMIFS(SIP[Realized Gain],SIP[Investor ID],INVESTORS_LIST[[#This Row],[INVESTOR CODE]],SIP[B/S],"S"))</f>
        <v>0</v>
      </c>
      <c r="S34" s="33">
        <f>INVESTORS_LIST[[#This Row],[LS_TOTAL UNITS BUY]]+INVESTORS_LIST[[#This Row],[SIP_TOTAL UNITS BUY]]</f>
        <v>19344</v>
      </c>
      <c r="T34" s="33">
        <f>INVESTORS_LIST[[#This Row],[LS_TOTAL UNITS SOLD]]+INVESTORS_LIST[[#This Row],[SIP_TOTAL UNITS SOLD]]</f>
        <v>0</v>
      </c>
      <c r="U34" s="33">
        <v>18844</v>
      </c>
      <c r="V34" s="33">
        <f>SUMIFS(LS[BO UNIT TRANSFER],LS[Investor ID],INVESTORS_LIST[[#This Row],[INVESTOR CODE]],LS[B/S],"B")</f>
        <v>500</v>
      </c>
      <c r="W34" s="33">
        <f>SUMIFS(LS[BO UNIT TRANSFER],LS[Investor ID],INVESTORS_LIST[[#This Row],[INVESTOR CODE]],LS[B/S],"S")</f>
        <v>0</v>
      </c>
      <c r="X34" s="33">
        <f>SUMIFS(SIP[BO UNIT TRANSFER],SIP[Investor ID],INVESTORS_LIST[[#This Row],[INVESTOR CODE]],SIP[B/S],"S")</f>
        <v>0</v>
      </c>
      <c r="Y34" s="33">
        <f>SUMIFS(SIP[BO UNIT TRANSFER],SIP[Investor ID],INVESTORS_LIST[[#This Row],[INVESTOR CODE]],SIP[B/S],"B")</f>
        <v>0</v>
      </c>
      <c r="Z3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19344</v>
      </c>
      <c r="AA34" s="119">
        <f>INVESTORS_LIST[[#This Row],[TOTAL UNITS BUY]]-INVESTORS_LIST[[#This Row],[TOTAL UNITS SOLD]]</f>
        <v>19344</v>
      </c>
      <c r="AB34" s="119">
        <f>INVESTORS_LIST[[#This Row],[TOTAL CURRENT UNITS]]-INVESTORS_LIST[[#This Row],[BO UNITS HOLD]]</f>
        <v>0</v>
      </c>
      <c r="AC34" s="119" t="e">
        <f>INDEX([4]!Table_1[BO ID],MATCH(INVESTORS_LIST[[#This Row],[INVESTOR CODE]],[4]!Table_1[INVESTOR CODE],0))</f>
        <v>#REF!</v>
      </c>
      <c r="AD34" s="33">
        <f>INVESTORS_LIST[[#This Row],[LS_TOTAL COST VALUE OF CURRENT UNITS]]+INVESTORS_LIST[[#This Row],[SIP_TOTAL COST VALUE OF CURRENT UNITS]]</f>
        <v>206595.4</v>
      </c>
      <c r="AE34" s="44">
        <f>IF(INVESTORS_LIST[[#This Row],[TOTAL CURRENT UNITS]]=0,0,INVESTORS_LIST[[#This Row],[LS_TOTAL CURRENT UNITS]]/INVESTORS_LIST[[#This Row],[TOTAL CURRENT UNITS]])</f>
        <v>1</v>
      </c>
      <c r="AF34" s="44">
        <f>IF(INVESTORS_LIST[[#This Row],[TOTAL CURRENT UNITS]]=0,0,INVESTORS_LIST[[#This Row],[SIP_TOTAL CURRENT UNITS]]/INVESTORS_LIST[[#This Row],[TOTAL CURRENT UNITS]])</f>
        <v>0</v>
      </c>
      <c r="AG34" s="4" cm="1">
        <f t="array" ref="AG34">IF(INVESTORS_LIST[[#This Row],[LS_TOTAL UNITS BUY]]&gt;0,INDEX(LS[NAV at Cost (Average)],MATCH(CONCATENATE(COUNTIFS(LS[Investor ID],INVESTORS_LIST[[#This Row],[INVESTOR CODE]]),INVESTORS_LIST[[#This Row],[INVESTOR CODE]]),LS[Unique Code],0),),0)</f>
        <v>10.680076509511993</v>
      </c>
      <c r="AH34" s="4" cm="1">
        <f t="array" ref="AH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4" s="178">
        <f>IF(INVESTORS_LIST[[#This Row],[TOTAL CURRENT UNITS]]=0,0,(INVESTORS_LIST[[#This Row],[LS_WEIGHT]]*INVESTORS_LIST[[#This Row],[LS_AVERAGE COST]])+(INVESTORS_LIST[[#This Row],[SIP_WEIGHT]]*INVESTORS_LIST[[#This Row],[SIP_AVERAGE COST]]))</f>
        <v>10.680076509511993</v>
      </c>
      <c r="AJ34" s="178">
        <f t="shared" si="0"/>
        <v>12.552</v>
      </c>
      <c r="AK34" s="118">
        <f>IF(INVESTORS_LIST[[#This Row],[TOTAL CURRENT UNITS]]=0,0,INVESTORS_LIST[[#This Row],[TOTAL CURRENT UNITS]]*INVESTORS_LIST[[#This Row],[NAV]])</f>
        <v>242805.88800000001</v>
      </c>
      <c r="AL34" s="4">
        <f>IF(INVESTORS_LIST[[#This Row],[LS_TOTAL CURRENT UNITS]]=0,0,INVESTORS_LIST[[#This Row],[LS_TOTAL CURRENT UNITS]]*INVESTORS_LIST[[#This Row],[NAV]])</f>
        <v>242805.88800000001</v>
      </c>
      <c r="AM34" s="6">
        <f>IF(INVESTORS_LIST[[#This Row],[SIP_TOTAL CURRENT UNITS]]=0,0,INVESTORS_LIST[[#This Row],[SIP_TOTAL CURRENT UNITS]]*INVESTORS_LIST[[#This Row],[NAV]])</f>
        <v>0</v>
      </c>
      <c r="AO34" s="6">
        <f>IF(INVESTORS_LIST[[#This Row],[TOTAL SELLABLE UNITS]]=0,0,INVESTORS_LIST[[#This Row],[TOTAL SELLABLE UNITS]]*INVESTORS_LIST[[#This Row],[NAV]])</f>
        <v>0</v>
      </c>
      <c r="AP34" s="6">
        <f>INVESTORS_LIST[[#This Row],[LS_TOTAL REALIZED GAIN]]+INVESTORS_LIST[[#This Row],[SIP_TOTAL REALIZED GAIN]]</f>
        <v>0</v>
      </c>
      <c r="AQ34" s="6">
        <f>INVESTORS_LIST[[#This Row],[TOTAL MARKET VALUE]]-INVESTORS_LIST[[#This Row],[TOTAL COST VALUE OF CURRENT INVESTMENT]]</f>
        <v>36210.488000000012</v>
      </c>
      <c r="AR34" s="6">
        <f>SUMIFS(DivAndTax[Tax Amount],DivAndTax[Investor ID],INVESTORS_LIST[[#This Row],[INVESTOR CODE]])</f>
        <v>659.54</v>
      </c>
      <c r="AS34" s="6">
        <f>SUMIFS(DivAndTax[Gross Dividend],DivAndTax[Investor ID],INVESTORS_LIST[[#This Row],[INVESTOR CODE]])</f>
        <v>6595.4</v>
      </c>
      <c r="AT34" s="5">
        <f>IFERROR(INVESTORS_LIST[[#This Row],[TOTAL CURRENT UNITS]]/SUM(INVESTORS_LIST[TOTAL CURRENT UNITS]),0)</f>
        <v>9.2744488932989611E-4</v>
      </c>
    </row>
    <row r="35" spans="1:48" hidden="1">
      <c r="A35" t="s">
        <v>743</v>
      </c>
      <c r="B35" t="s">
        <v>42</v>
      </c>
      <c r="C35" t="s">
        <v>536</v>
      </c>
      <c r="D35" s="8" t="s">
        <v>2</v>
      </c>
      <c r="E35" s="2">
        <f>SUMIFS(LS[Unit],LS[Investor ID],INVESTORS_LIST[[#This Row],[INVESTOR CODE]],LS[B/S],"B")</f>
        <v>0</v>
      </c>
      <c r="F35" s="2">
        <f>-SUMIFS(LS[Unit],LS[Investor ID],INVESTORS_LIST[[#This Row],[INVESTOR CODE]],LS[B/S],"S")</f>
        <v>0</v>
      </c>
      <c r="G35" s="2">
        <f>IF(INVESTORS_LIST[[#This Row],[LS_TOTAL UNITS BUY]]=0,0,INVESTORS_LIST[[#This Row],[LS_TOTAL UNITS BUY]]-INVESTORS_LIST[[#This Row],[LS_TOTAL UNITS SOLD]])</f>
        <v>0</v>
      </c>
      <c r="H35" s="4">
        <f>IF(INVESTORS_LIST[[#This Row],[LS_TOTAL UNITS BUY]]=0,0,SUMIFS(LS[Amount],LS[Investor ID],INVESTORS_LIST[[#This Row],[INVESTOR CODE]],LS[B/S],"B"))</f>
        <v>0</v>
      </c>
      <c r="I35" s="6">
        <f>IF(INVESTORS_LIST[[#This Row],[LS_TOTAL UNITS SOLD]]=0,0,SUMIFS(LS[Cost of Units Sold],LS[Investor ID],INVESTORS_LIST[[#This Row],[INVESTOR CODE]],LS[B/S],"S"))</f>
        <v>0</v>
      </c>
      <c r="J35" s="6">
        <f>IF(INVESTORS_LIST[[#This Row],[LS_TOTAL CURRENT UNITS]]=0,0,INVESTORS_LIST[[#This Row],[LS_TOTAL CURRENT UNITS]]*INVESTORS_LIST[[#This Row],[LS_AVERAGE COST]])</f>
        <v>0</v>
      </c>
      <c r="K35" s="4">
        <f>IF(INVESTORS_LIST[[#This Row],[LS_TOTAL UNITS SOLD]]=0,0,SUMIFS(LS[Realized Gain],LS[Investor ID],INVESTORS_LIST[[#This Row],[INVESTOR CODE]],LS[B/S],"S"))</f>
        <v>0</v>
      </c>
      <c r="L35" s="2">
        <f>SUMIFS(SIP[Unit],SIP[Investor ID],INVESTORS_LIST[[#This Row],[INVESTOR CODE]],SIP[B/S],"B")</f>
        <v>0</v>
      </c>
      <c r="M35" s="2">
        <f>-SUMIFS(SIP[Unit],SIP[Investor ID],INVESTORS_LIST[[#This Row],[INVESTOR CODE]],SIP[B/S],"S")</f>
        <v>0</v>
      </c>
      <c r="N35" s="33">
        <f>IF(INVESTORS_LIST[[#This Row],[SIP_TOTAL UNITS BUY]]=0,0,INVESTORS_LIST[[#This Row],[SIP_TOTAL UNITS BUY]]-INVESTORS_LIST[[#This Row],[SIP_TOTAL UNITS SOLD]])</f>
        <v>0</v>
      </c>
      <c r="O35" s="4">
        <f>IF(INVESTORS_LIST[[#This Row],[SIP_TOTAL UNITS BUY]]=0,0,SUMIFS(SIP[Amount],SIP[Investor ID],INVESTORS_LIST[[#This Row],[INVESTOR CODE]],SIP[B/S],"B"))</f>
        <v>0</v>
      </c>
      <c r="P35" s="4">
        <f>IF(INVESTORS_LIST[[#This Row],[SIP_TOTAL UNITS SOLD]]=0,0,SUMIFS(SIP[Cost of Units Sold],SIP[Investor ID],INVESTORS_LIST[[#This Row],[INVESTOR CODE]],SIP[B/S],"S"))</f>
        <v>0</v>
      </c>
      <c r="Q35" s="6">
        <f>IF(INVESTORS_LIST[[#This Row],[SIP_TOTAL CURRENT UNITS]]=0,0,INVESTORS_LIST[[#This Row],[SIP_TOTAL CURRENT UNITS]]*INVESTORS_LIST[[#This Row],[SIP_AVERAGE COST]])</f>
        <v>0</v>
      </c>
      <c r="R35" s="6">
        <f>IF(INVESTORS_LIST[[#This Row],[SIP_TOTAL UNITS SOLD]]=0,0,SUMIFS(SIP[Realized Gain],SIP[Investor ID],INVESTORS_LIST[[#This Row],[INVESTOR CODE]],SIP[B/S],"S"))</f>
        <v>0</v>
      </c>
      <c r="S35" s="33">
        <f>INVESTORS_LIST[[#This Row],[LS_TOTAL UNITS BUY]]+INVESTORS_LIST[[#This Row],[SIP_TOTAL UNITS BUY]]</f>
        <v>0</v>
      </c>
      <c r="T35" s="33">
        <f>INVESTORS_LIST[[#This Row],[LS_TOTAL UNITS SOLD]]+INVESTORS_LIST[[#This Row],[SIP_TOTAL UNITS SOLD]]</f>
        <v>0</v>
      </c>
      <c r="U35" s="33">
        <v>0</v>
      </c>
      <c r="V35" s="33">
        <f>SUMIFS(LS[BO UNIT TRANSFER],LS[Investor ID],INVESTORS_LIST[[#This Row],[INVESTOR CODE]],LS[B/S],"B")</f>
        <v>0</v>
      </c>
      <c r="W35" s="33">
        <f>SUMIFS(LS[BO UNIT TRANSFER],LS[Investor ID],INVESTORS_LIST[[#This Row],[INVESTOR CODE]],LS[B/S],"S")</f>
        <v>0</v>
      </c>
      <c r="X35" s="33">
        <f>SUMIFS(SIP[BO UNIT TRANSFER],SIP[Investor ID],INVESTORS_LIST[[#This Row],[INVESTOR CODE]],SIP[B/S],"S")</f>
        <v>0</v>
      </c>
      <c r="Y35" s="33">
        <f>SUMIFS(SIP[BO UNIT TRANSFER],SIP[Investor ID],INVESTORS_LIST[[#This Row],[INVESTOR CODE]],SIP[B/S],"B")</f>
        <v>0</v>
      </c>
      <c r="Z3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5" s="119">
        <f>INVESTORS_LIST[[#This Row],[TOTAL UNITS BUY]]-INVESTORS_LIST[[#This Row],[TOTAL UNITS SOLD]]</f>
        <v>0</v>
      </c>
      <c r="AB35" s="119">
        <f>INVESTORS_LIST[[#This Row],[TOTAL CURRENT UNITS]]-INVESTORS_LIST[[#This Row],[BO UNITS HOLD]]</f>
        <v>0</v>
      </c>
      <c r="AC35" s="119" t="e">
        <f>INDEX([4]!Table_1[BO ID],MATCH(INVESTORS_LIST[[#This Row],[INVESTOR CODE]],[4]!Table_1[INVESTOR CODE],0))</f>
        <v>#REF!</v>
      </c>
      <c r="AD35" s="33">
        <f>INVESTORS_LIST[[#This Row],[LS_TOTAL COST VALUE OF CURRENT UNITS]]+INVESTORS_LIST[[#This Row],[SIP_TOTAL COST VALUE OF CURRENT UNITS]]</f>
        <v>0</v>
      </c>
      <c r="AE35" s="44">
        <f>IF(INVESTORS_LIST[[#This Row],[TOTAL CURRENT UNITS]]=0,0,INVESTORS_LIST[[#This Row],[LS_TOTAL CURRENT UNITS]]/INVESTORS_LIST[[#This Row],[TOTAL CURRENT UNITS]])</f>
        <v>0</v>
      </c>
      <c r="AF35" s="44">
        <f>IF(INVESTORS_LIST[[#This Row],[TOTAL CURRENT UNITS]]=0,0,INVESTORS_LIST[[#This Row],[SIP_TOTAL CURRENT UNITS]]/INVESTORS_LIST[[#This Row],[TOTAL CURRENT UNITS]])</f>
        <v>0</v>
      </c>
      <c r="AG35" s="4" cm="1">
        <f t="array" ref="AG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5" s="4" cm="1">
        <f t="array" ref="AH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5" s="178">
        <f t="shared" si="0"/>
        <v>12.552</v>
      </c>
      <c r="AK35" s="118">
        <f>IF(INVESTORS_LIST[[#This Row],[TOTAL CURRENT UNITS]]=0,0,INVESTORS_LIST[[#This Row],[TOTAL CURRENT UNITS]]*INVESTORS_LIST[[#This Row],[NAV]])</f>
        <v>0</v>
      </c>
      <c r="AL35" s="4">
        <f>IF(INVESTORS_LIST[[#This Row],[LS_TOTAL CURRENT UNITS]]=0,0,INVESTORS_LIST[[#This Row],[LS_TOTAL CURRENT UNITS]]*INVESTORS_LIST[[#This Row],[NAV]])</f>
        <v>0</v>
      </c>
      <c r="AM35" s="6">
        <f>IF(INVESTORS_LIST[[#This Row],[SIP_TOTAL CURRENT UNITS]]=0,0,INVESTORS_LIST[[#This Row],[SIP_TOTAL CURRENT UNITS]]*INVESTORS_LIST[[#This Row],[NAV]])</f>
        <v>0</v>
      </c>
      <c r="AO35" s="6">
        <f>IF(INVESTORS_LIST[[#This Row],[TOTAL SELLABLE UNITS]]=0,0,INVESTORS_LIST[[#This Row],[TOTAL SELLABLE UNITS]]*INVESTORS_LIST[[#This Row],[NAV]])</f>
        <v>0</v>
      </c>
      <c r="AP35" s="6">
        <f>INVESTORS_LIST[[#This Row],[LS_TOTAL REALIZED GAIN]]+INVESTORS_LIST[[#This Row],[SIP_TOTAL REALIZED GAIN]]</f>
        <v>0</v>
      </c>
      <c r="AQ35" s="6">
        <f>INVESTORS_LIST[[#This Row],[TOTAL MARKET VALUE]]-INVESTORS_LIST[[#This Row],[TOTAL COST VALUE OF CURRENT INVESTMENT]]</f>
        <v>0</v>
      </c>
      <c r="AR35" s="6">
        <f>SUMIFS(DivAndTax[Tax Amount],DivAndTax[Investor ID],INVESTORS_LIST[[#This Row],[INVESTOR CODE]])</f>
        <v>0</v>
      </c>
      <c r="AS35" s="6">
        <f>SUMIFS(DivAndTax[Gross Dividend],DivAndTax[Investor ID],INVESTORS_LIST[[#This Row],[INVESTOR CODE]])</f>
        <v>0</v>
      </c>
      <c r="AT35" s="5">
        <f>IFERROR(INVESTORS_LIST[[#This Row],[TOTAL CURRENT UNITS]]/SUM(INVESTORS_LIST[TOTAL CURRENT UNITS]),0)</f>
        <v>0</v>
      </c>
    </row>
    <row r="36" spans="1:48" hidden="1">
      <c r="A36" t="s">
        <v>744</v>
      </c>
      <c r="B36" t="s">
        <v>43</v>
      </c>
      <c r="C36" t="s">
        <v>538</v>
      </c>
      <c r="D36" s="8" t="s">
        <v>2</v>
      </c>
      <c r="E36" s="2">
        <f>SUMIFS(LS[Unit],LS[Investor ID],INVESTORS_LIST[[#This Row],[INVESTOR CODE]],LS[B/S],"B")</f>
        <v>0</v>
      </c>
      <c r="F36" s="2">
        <f>-SUMIFS(LS[Unit],LS[Investor ID],INVESTORS_LIST[[#This Row],[INVESTOR CODE]],LS[B/S],"S")</f>
        <v>0</v>
      </c>
      <c r="G36" s="2">
        <f>IF(INVESTORS_LIST[[#This Row],[LS_TOTAL UNITS BUY]]=0,0,INVESTORS_LIST[[#This Row],[LS_TOTAL UNITS BUY]]-INVESTORS_LIST[[#This Row],[LS_TOTAL UNITS SOLD]])</f>
        <v>0</v>
      </c>
      <c r="H36" s="4">
        <f>IF(INVESTORS_LIST[[#This Row],[LS_TOTAL UNITS BUY]]=0,0,SUMIFS(LS[Amount],LS[Investor ID],INVESTORS_LIST[[#This Row],[INVESTOR CODE]],LS[B/S],"B"))</f>
        <v>0</v>
      </c>
      <c r="I36" s="6">
        <f>IF(INVESTORS_LIST[[#This Row],[LS_TOTAL UNITS SOLD]]=0,0,SUMIFS(LS[Cost of Units Sold],LS[Investor ID],INVESTORS_LIST[[#This Row],[INVESTOR CODE]],LS[B/S],"S"))</f>
        <v>0</v>
      </c>
      <c r="J36" s="6">
        <f>IF(INVESTORS_LIST[[#This Row],[LS_TOTAL CURRENT UNITS]]=0,0,INVESTORS_LIST[[#This Row],[LS_TOTAL CURRENT UNITS]]*INVESTORS_LIST[[#This Row],[LS_AVERAGE COST]])</f>
        <v>0</v>
      </c>
      <c r="K36" s="4">
        <f>IF(INVESTORS_LIST[[#This Row],[LS_TOTAL UNITS SOLD]]=0,0,SUMIFS(LS[Realized Gain],LS[Investor ID],INVESTORS_LIST[[#This Row],[INVESTOR CODE]],LS[B/S],"S"))</f>
        <v>0</v>
      </c>
      <c r="L36" s="2">
        <f>SUMIFS(SIP[Unit],SIP[Investor ID],INVESTORS_LIST[[#This Row],[INVESTOR CODE]],SIP[B/S],"B")</f>
        <v>0</v>
      </c>
      <c r="M36" s="2">
        <f>-SUMIFS(SIP[Unit],SIP[Investor ID],INVESTORS_LIST[[#This Row],[INVESTOR CODE]],SIP[B/S],"S")</f>
        <v>0</v>
      </c>
      <c r="N36" s="33">
        <f>IF(INVESTORS_LIST[[#This Row],[SIP_TOTAL UNITS BUY]]=0,0,INVESTORS_LIST[[#This Row],[SIP_TOTAL UNITS BUY]]-INVESTORS_LIST[[#This Row],[SIP_TOTAL UNITS SOLD]])</f>
        <v>0</v>
      </c>
      <c r="O36" s="4">
        <f>IF(INVESTORS_LIST[[#This Row],[SIP_TOTAL UNITS BUY]]=0,0,SUMIFS(SIP[Amount],SIP[Investor ID],INVESTORS_LIST[[#This Row],[INVESTOR CODE]],SIP[B/S],"B"))</f>
        <v>0</v>
      </c>
      <c r="P36" s="4">
        <f>IF(INVESTORS_LIST[[#This Row],[SIP_TOTAL UNITS SOLD]]=0,0,SUMIFS(SIP[Cost of Units Sold],SIP[Investor ID],INVESTORS_LIST[[#This Row],[INVESTOR CODE]],SIP[B/S],"S"))</f>
        <v>0</v>
      </c>
      <c r="Q36" s="6">
        <f>IF(INVESTORS_LIST[[#This Row],[SIP_TOTAL CURRENT UNITS]]=0,0,INVESTORS_LIST[[#This Row],[SIP_TOTAL CURRENT UNITS]]*INVESTORS_LIST[[#This Row],[SIP_AVERAGE COST]])</f>
        <v>0</v>
      </c>
      <c r="R36" s="6">
        <f>IF(INVESTORS_LIST[[#This Row],[SIP_TOTAL UNITS SOLD]]=0,0,SUMIFS(SIP[Realized Gain],SIP[Investor ID],INVESTORS_LIST[[#This Row],[INVESTOR CODE]],SIP[B/S],"S"))</f>
        <v>0</v>
      </c>
      <c r="S36" s="33">
        <f>INVESTORS_LIST[[#This Row],[LS_TOTAL UNITS BUY]]+INVESTORS_LIST[[#This Row],[SIP_TOTAL UNITS BUY]]</f>
        <v>0</v>
      </c>
      <c r="T36" s="33">
        <f>INVESTORS_LIST[[#This Row],[LS_TOTAL UNITS SOLD]]+INVESTORS_LIST[[#This Row],[SIP_TOTAL UNITS SOLD]]</f>
        <v>0</v>
      </c>
      <c r="U36" s="33">
        <v>0</v>
      </c>
      <c r="V36" s="33">
        <f>SUMIFS(LS[BO UNIT TRANSFER],LS[Investor ID],INVESTORS_LIST[[#This Row],[INVESTOR CODE]],LS[B/S],"B")</f>
        <v>0</v>
      </c>
      <c r="W36" s="33">
        <f>SUMIFS(LS[BO UNIT TRANSFER],LS[Investor ID],INVESTORS_LIST[[#This Row],[INVESTOR CODE]],LS[B/S],"S")</f>
        <v>0</v>
      </c>
      <c r="X36" s="33">
        <f>SUMIFS(SIP[BO UNIT TRANSFER],SIP[Investor ID],INVESTORS_LIST[[#This Row],[INVESTOR CODE]],SIP[B/S],"S")</f>
        <v>0</v>
      </c>
      <c r="Y36" s="33">
        <f>SUMIFS(SIP[BO UNIT TRANSFER],SIP[Investor ID],INVESTORS_LIST[[#This Row],[INVESTOR CODE]],SIP[B/S],"B")</f>
        <v>0</v>
      </c>
      <c r="Z3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6" s="119">
        <f>INVESTORS_LIST[[#This Row],[TOTAL UNITS BUY]]-INVESTORS_LIST[[#This Row],[TOTAL UNITS SOLD]]</f>
        <v>0</v>
      </c>
      <c r="AB36" s="119">
        <f>INVESTORS_LIST[[#This Row],[TOTAL CURRENT UNITS]]-INVESTORS_LIST[[#This Row],[BO UNITS HOLD]]</f>
        <v>0</v>
      </c>
      <c r="AC36" s="119" t="e">
        <f>INDEX([4]!Table_1[BO ID],MATCH(INVESTORS_LIST[[#This Row],[INVESTOR CODE]],[4]!Table_1[INVESTOR CODE],0))</f>
        <v>#REF!</v>
      </c>
      <c r="AD36" s="33">
        <f>INVESTORS_LIST[[#This Row],[LS_TOTAL COST VALUE OF CURRENT UNITS]]+INVESTORS_LIST[[#This Row],[SIP_TOTAL COST VALUE OF CURRENT UNITS]]</f>
        <v>0</v>
      </c>
      <c r="AE36" s="44">
        <f>IF(INVESTORS_LIST[[#This Row],[TOTAL CURRENT UNITS]]=0,0,INVESTORS_LIST[[#This Row],[LS_TOTAL CURRENT UNITS]]/INVESTORS_LIST[[#This Row],[TOTAL CURRENT UNITS]])</f>
        <v>0</v>
      </c>
      <c r="AF36" s="44">
        <f>IF(INVESTORS_LIST[[#This Row],[TOTAL CURRENT UNITS]]=0,0,INVESTORS_LIST[[#This Row],[SIP_TOTAL CURRENT UNITS]]/INVESTORS_LIST[[#This Row],[TOTAL CURRENT UNITS]])</f>
        <v>0</v>
      </c>
      <c r="AG36" s="4" cm="1">
        <f t="array" ref="AG3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6" s="4" cm="1">
        <f t="array" ref="AH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6" s="178">
        <f t="shared" si="0"/>
        <v>12.552</v>
      </c>
      <c r="AK36" s="118">
        <f>IF(INVESTORS_LIST[[#This Row],[TOTAL CURRENT UNITS]]=0,0,INVESTORS_LIST[[#This Row],[TOTAL CURRENT UNITS]]*INVESTORS_LIST[[#This Row],[NAV]])</f>
        <v>0</v>
      </c>
      <c r="AL36" s="4">
        <f>IF(INVESTORS_LIST[[#This Row],[LS_TOTAL CURRENT UNITS]]=0,0,INVESTORS_LIST[[#This Row],[LS_TOTAL CURRENT UNITS]]*INVESTORS_LIST[[#This Row],[NAV]])</f>
        <v>0</v>
      </c>
      <c r="AM36" s="6">
        <f>IF(INVESTORS_LIST[[#This Row],[SIP_TOTAL CURRENT UNITS]]=0,0,INVESTORS_LIST[[#This Row],[SIP_TOTAL CURRENT UNITS]]*INVESTORS_LIST[[#This Row],[NAV]])</f>
        <v>0</v>
      </c>
      <c r="AO36" s="6">
        <f>IF(INVESTORS_LIST[[#This Row],[TOTAL SELLABLE UNITS]]=0,0,INVESTORS_LIST[[#This Row],[TOTAL SELLABLE UNITS]]*INVESTORS_LIST[[#This Row],[NAV]])</f>
        <v>0</v>
      </c>
      <c r="AP36" s="6">
        <f>INVESTORS_LIST[[#This Row],[LS_TOTAL REALIZED GAIN]]+INVESTORS_LIST[[#This Row],[SIP_TOTAL REALIZED GAIN]]</f>
        <v>0</v>
      </c>
      <c r="AQ36" s="6">
        <f>INVESTORS_LIST[[#This Row],[TOTAL MARKET VALUE]]-INVESTORS_LIST[[#This Row],[TOTAL COST VALUE OF CURRENT INVESTMENT]]</f>
        <v>0</v>
      </c>
      <c r="AR36" s="6">
        <f>SUMIFS(DivAndTax[Tax Amount],DivAndTax[Investor ID],INVESTORS_LIST[[#This Row],[INVESTOR CODE]])</f>
        <v>0</v>
      </c>
      <c r="AS36" s="6">
        <f>SUMIFS(DivAndTax[Gross Dividend],DivAndTax[Investor ID],INVESTORS_LIST[[#This Row],[INVESTOR CODE]])</f>
        <v>0</v>
      </c>
      <c r="AT36" s="5">
        <f>IFERROR(INVESTORS_LIST[[#This Row],[TOTAL CURRENT UNITS]]/SUM(INVESTORS_LIST[TOTAL CURRENT UNITS]),0)</f>
        <v>0</v>
      </c>
    </row>
    <row r="37" spans="1:48" hidden="1">
      <c r="A37" t="s">
        <v>745</v>
      </c>
      <c r="B37" t="s">
        <v>44</v>
      </c>
      <c r="C37" t="s">
        <v>537</v>
      </c>
      <c r="D37" s="8" t="s">
        <v>2</v>
      </c>
      <c r="E37" s="2">
        <f>SUMIFS(LS[Unit],LS[Investor ID],INVESTORS_LIST[[#This Row],[INVESTOR CODE]],LS[B/S],"B")</f>
        <v>0</v>
      </c>
      <c r="F37" s="2">
        <f>-SUMIFS(LS[Unit],LS[Investor ID],INVESTORS_LIST[[#This Row],[INVESTOR CODE]],LS[B/S],"S")</f>
        <v>0</v>
      </c>
      <c r="G37" s="2">
        <f>IF(INVESTORS_LIST[[#This Row],[LS_TOTAL UNITS BUY]]=0,0,INVESTORS_LIST[[#This Row],[LS_TOTAL UNITS BUY]]-INVESTORS_LIST[[#This Row],[LS_TOTAL UNITS SOLD]])</f>
        <v>0</v>
      </c>
      <c r="H37" s="4">
        <f>IF(INVESTORS_LIST[[#This Row],[LS_TOTAL UNITS BUY]]=0,0,SUMIFS(LS[Amount],LS[Investor ID],INVESTORS_LIST[[#This Row],[INVESTOR CODE]],LS[B/S],"B"))</f>
        <v>0</v>
      </c>
      <c r="I37" s="6">
        <f>IF(INVESTORS_LIST[[#This Row],[LS_TOTAL UNITS SOLD]]=0,0,SUMIFS(LS[Cost of Units Sold],LS[Investor ID],INVESTORS_LIST[[#This Row],[INVESTOR CODE]],LS[B/S],"S"))</f>
        <v>0</v>
      </c>
      <c r="J37" s="6">
        <f>IF(INVESTORS_LIST[[#This Row],[LS_TOTAL CURRENT UNITS]]=0,0,INVESTORS_LIST[[#This Row],[LS_TOTAL CURRENT UNITS]]*INVESTORS_LIST[[#This Row],[LS_AVERAGE COST]])</f>
        <v>0</v>
      </c>
      <c r="K37" s="4">
        <f>IF(INVESTORS_LIST[[#This Row],[LS_TOTAL UNITS SOLD]]=0,0,SUMIFS(LS[Realized Gain],LS[Investor ID],INVESTORS_LIST[[#This Row],[INVESTOR CODE]],LS[B/S],"S"))</f>
        <v>0</v>
      </c>
      <c r="L37" s="2">
        <f>SUMIFS(SIP[Unit],SIP[Investor ID],INVESTORS_LIST[[#This Row],[INVESTOR CODE]],SIP[B/S],"B")</f>
        <v>0</v>
      </c>
      <c r="M37" s="2">
        <f>-SUMIFS(SIP[Unit],SIP[Investor ID],INVESTORS_LIST[[#This Row],[INVESTOR CODE]],SIP[B/S],"S")</f>
        <v>0</v>
      </c>
      <c r="N37" s="33">
        <f>IF(INVESTORS_LIST[[#This Row],[SIP_TOTAL UNITS BUY]]=0,0,INVESTORS_LIST[[#This Row],[SIP_TOTAL UNITS BUY]]-INVESTORS_LIST[[#This Row],[SIP_TOTAL UNITS SOLD]])</f>
        <v>0</v>
      </c>
      <c r="O37" s="4">
        <f>IF(INVESTORS_LIST[[#This Row],[SIP_TOTAL UNITS BUY]]=0,0,SUMIFS(SIP[Amount],SIP[Investor ID],INVESTORS_LIST[[#This Row],[INVESTOR CODE]],SIP[B/S],"B"))</f>
        <v>0</v>
      </c>
      <c r="P37" s="4">
        <f>IF(INVESTORS_LIST[[#This Row],[SIP_TOTAL UNITS SOLD]]=0,0,SUMIFS(SIP[Cost of Units Sold],SIP[Investor ID],INVESTORS_LIST[[#This Row],[INVESTOR CODE]],SIP[B/S],"S"))</f>
        <v>0</v>
      </c>
      <c r="Q37" s="6">
        <f>IF(INVESTORS_LIST[[#This Row],[SIP_TOTAL CURRENT UNITS]]=0,0,INVESTORS_LIST[[#This Row],[SIP_TOTAL CURRENT UNITS]]*INVESTORS_LIST[[#This Row],[SIP_AVERAGE COST]])</f>
        <v>0</v>
      </c>
      <c r="R37" s="6">
        <f>IF(INVESTORS_LIST[[#This Row],[SIP_TOTAL UNITS SOLD]]=0,0,SUMIFS(SIP[Realized Gain],SIP[Investor ID],INVESTORS_LIST[[#This Row],[INVESTOR CODE]],SIP[B/S],"S"))</f>
        <v>0</v>
      </c>
      <c r="S37" s="33">
        <f>INVESTORS_LIST[[#This Row],[LS_TOTAL UNITS BUY]]+INVESTORS_LIST[[#This Row],[SIP_TOTAL UNITS BUY]]</f>
        <v>0</v>
      </c>
      <c r="T37" s="33">
        <f>INVESTORS_LIST[[#This Row],[LS_TOTAL UNITS SOLD]]+INVESTORS_LIST[[#This Row],[SIP_TOTAL UNITS SOLD]]</f>
        <v>0</v>
      </c>
      <c r="U37" s="33">
        <v>0</v>
      </c>
      <c r="V37" s="33">
        <f>SUMIFS(LS[BO UNIT TRANSFER],LS[Investor ID],INVESTORS_LIST[[#This Row],[INVESTOR CODE]],LS[B/S],"B")</f>
        <v>0</v>
      </c>
      <c r="W37" s="33">
        <f>SUMIFS(LS[BO UNIT TRANSFER],LS[Investor ID],INVESTORS_LIST[[#This Row],[INVESTOR CODE]],LS[B/S],"S")</f>
        <v>0</v>
      </c>
      <c r="X37" s="33">
        <f>SUMIFS(SIP[BO UNIT TRANSFER],SIP[Investor ID],INVESTORS_LIST[[#This Row],[INVESTOR CODE]],SIP[B/S],"S")</f>
        <v>0</v>
      </c>
      <c r="Y37" s="33">
        <f>SUMIFS(SIP[BO UNIT TRANSFER],SIP[Investor ID],INVESTORS_LIST[[#This Row],[INVESTOR CODE]],SIP[B/S],"B")</f>
        <v>0</v>
      </c>
      <c r="Z3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7" s="119">
        <f>INVESTORS_LIST[[#This Row],[TOTAL UNITS BUY]]-INVESTORS_LIST[[#This Row],[TOTAL UNITS SOLD]]</f>
        <v>0</v>
      </c>
      <c r="AB37" s="119">
        <f>INVESTORS_LIST[[#This Row],[TOTAL CURRENT UNITS]]-INVESTORS_LIST[[#This Row],[BO UNITS HOLD]]</f>
        <v>0</v>
      </c>
      <c r="AC37" s="119" t="e">
        <f>INDEX([4]!Table_1[BO ID],MATCH(INVESTORS_LIST[[#This Row],[INVESTOR CODE]],[4]!Table_1[INVESTOR CODE],0))</f>
        <v>#REF!</v>
      </c>
      <c r="AD37" s="33">
        <f>INVESTORS_LIST[[#This Row],[LS_TOTAL COST VALUE OF CURRENT UNITS]]+INVESTORS_LIST[[#This Row],[SIP_TOTAL COST VALUE OF CURRENT UNITS]]</f>
        <v>0</v>
      </c>
      <c r="AE37" s="44">
        <f>IF(INVESTORS_LIST[[#This Row],[TOTAL CURRENT UNITS]]=0,0,INVESTORS_LIST[[#This Row],[LS_TOTAL CURRENT UNITS]]/INVESTORS_LIST[[#This Row],[TOTAL CURRENT UNITS]])</f>
        <v>0</v>
      </c>
      <c r="AF37" s="44">
        <f>IF(INVESTORS_LIST[[#This Row],[TOTAL CURRENT UNITS]]=0,0,INVESTORS_LIST[[#This Row],[SIP_TOTAL CURRENT UNITS]]/INVESTORS_LIST[[#This Row],[TOTAL CURRENT UNITS]])</f>
        <v>0</v>
      </c>
      <c r="AG37" s="4" cm="1">
        <f t="array" ref="AG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7" s="4" cm="1">
        <f t="array" ref="AH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7" s="178">
        <f t="shared" si="0"/>
        <v>12.552</v>
      </c>
      <c r="AK37" s="118">
        <f>IF(INVESTORS_LIST[[#This Row],[TOTAL CURRENT UNITS]]=0,0,INVESTORS_LIST[[#This Row],[TOTAL CURRENT UNITS]]*INVESTORS_LIST[[#This Row],[NAV]])</f>
        <v>0</v>
      </c>
      <c r="AL37" s="4">
        <f>IF(INVESTORS_LIST[[#This Row],[LS_TOTAL CURRENT UNITS]]=0,0,INVESTORS_LIST[[#This Row],[LS_TOTAL CURRENT UNITS]]*INVESTORS_LIST[[#This Row],[NAV]])</f>
        <v>0</v>
      </c>
      <c r="AM37" s="6">
        <f>IF(INVESTORS_LIST[[#This Row],[SIP_TOTAL CURRENT UNITS]]=0,0,INVESTORS_LIST[[#This Row],[SIP_TOTAL CURRENT UNITS]]*INVESTORS_LIST[[#This Row],[NAV]])</f>
        <v>0</v>
      </c>
      <c r="AO37" s="6">
        <f>IF(INVESTORS_LIST[[#This Row],[TOTAL SELLABLE UNITS]]=0,0,INVESTORS_LIST[[#This Row],[TOTAL SELLABLE UNITS]]*INVESTORS_LIST[[#This Row],[NAV]])</f>
        <v>0</v>
      </c>
      <c r="AP37" s="6">
        <f>INVESTORS_LIST[[#This Row],[LS_TOTAL REALIZED GAIN]]+INVESTORS_LIST[[#This Row],[SIP_TOTAL REALIZED GAIN]]</f>
        <v>0</v>
      </c>
      <c r="AQ37" s="6">
        <f>INVESTORS_LIST[[#This Row],[TOTAL MARKET VALUE]]-INVESTORS_LIST[[#This Row],[TOTAL COST VALUE OF CURRENT INVESTMENT]]</f>
        <v>0</v>
      </c>
      <c r="AR37" s="6">
        <f>SUMIFS(DivAndTax[Tax Amount],DivAndTax[Investor ID],INVESTORS_LIST[[#This Row],[INVESTOR CODE]])</f>
        <v>0</v>
      </c>
      <c r="AS37" s="6">
        <f>SUMIFS(DivAndTax[Gross Dividend],DivAndTax[Investor ID],INVESTORS_LIST[[#This Row],[INVESTOR CODE]])</f>
        <v>0</v>
      </c>
      <c r="AT37" s="5">
        <f>IFERROR(INVESTORS_LIST[[#This Row],[TOTAL CURRENT UNITS]]/SUM(INVESTORS_LIST[TOTAL CURRENT UNITS]),0)</f>
        <v>0</v>
      </c>
    </row>
    <row r="38" spans="1:48" hidden="1">
      <c r="A38" t="s">
        <v>746</v>
      </c>
      <c r="B38" t="s">
        <v>45</v>
      </c>
      <c r="C38" t="s">
        <v>536</v>
      </c>
      <c r="D38" s="8" t="s">
        <v>2</v>
      </c>
      <c r="E38" s="2">
        <f>SUMIFS(LS[Unit],LS[Investor ID],INVESTORS_LIST[[#This Row],[INVESTOR CODE]],LS[B/S],"B")</f>
        <v>0</v>
      </c>
      <c r="F38" s="2">
        <f>-SUMIFS(LS[Unit],LS[Investor ID],INVESTORS_LIST[[#This Row],[INVESTOR CODE]],LS[B/S],"S")</f>
        <v>0</v>
      </c>
      <c r="G38" s="2">
        <f>IF(INVESTORS_LIST[[#This Row],[LS_TOTAL UNITS BUY]]=0,0,INVESTORS_LIST[[#This Row],[LS_TOTAL UNITS BUY]]-INVESTORS_LIST[[#This Row],[LS_TOTAL UNITS SOLD]])</f>
        <v>0</v>
      </c>
      <c r="H38" s="4">
        <f>IF(INVESTORS_LIST[[#This Row],[LS_TOTAL UNITS BUY]]=0,0,SUMIFS(LS[Amount],LS[Investor ID],INVESTORS_LIST[[#This Row],[INVESTOR CODE]],LS[B/S],"B"))</f>
        <v>0</v>
      </c>
      <c r="I38" s="6">
        <f>IF(INVESTORS_LIST[[#This Row],[LS_TOTAL UNITS SOLD]]=0,0,SUMIFS(LS[Cost of Units Sold],LS[Investor ID],INVESTORS_LIST[[#This Row],[INVESTOR CODE]],LS[B/S],"S"))</f>
        <v>0</v>
      </c>
      <c r="J38" s="6">
        <f>IF(INVESTORS_LIST[[#This Row],[LS_TOTAL CURRENT UNITS]]=0,0,INVESTORS_LIST[[#This Row],[LS_TOTAL CURRENT UNITS]]*INVESTORS_LIST[[#This Row],[LS_AVERAGE COST]])</f>
        <v>0</v>
      </c>
      <c r="K38" s="4">
        <f>IF(INVESTORS_LIST[[#This Row],[LS_TOTAL UNITS SOLD]]=0,0,SUMIFS(LS[Realized Gain],LS[Investor ID],INVESTORS_LIST[[#This Row],[INVESTOR CODE]],LS[B/S],"S"))</f>
        <v>0</v>
      </c>
      <c r="L38" s="2">
        <f>SUMIFS(SIP[Unit],SIP[Investor ID],INVESTORS_LIST[[#This Row],[INVESTOR CODE]],SIP[B/S],"B")</f>
        <v>0</v>
      </c>
      <c r="M38" s="2">
        <f>-SUMIFS(SIP[Unit],SIP[Investor ID],INVESTORS_LIST[[#This Row],[INVESTOR CODE]],SIP[B/S],"S")</f>
        <v>0</v>
      </c>
      <c r="N38" s="33">
        <f>IF(INVESTORS_LIST[[#This Row],[SIP_TOTAL UNITS BUY]]=0,0,INVESTORS_LIST[[#This Row],[SIP_TOTAL UNITS BUY]]-INVESTORS_LIST[[#This Row],[SIP_TOTAL UNITS SOLD]])</f>
        <v>0</v>
      </c>
      <c r="O38" s="4">
        <f>IF(INVESTORS_LIST[[#This Row],[SIP_TOTAL UNITS BUY]]=0,0,SUMIFS(SIP[Amount],SIP[Investor ID],INVESTORS_LIST[[#This Row],[INVESTOR CODE]],SIP[B/S],"B"))</f>
        <v>0</v>
      </c>
      <c r="P38" s="4">
        <f>IF(INVESTORS_LIST[[#This Row],[SIP_TOTAL UNITS SOLD]]=0,0,SUMIFS(SIP[Cost of Units Sold],SIP[Investor ID],INVESTORS_LIST[[#This Row],[INVESTOR CODE]],SIP[B/S],"S"))</f>
        <v>0</v>
      </c>
      <c r="Q38" s="6">
        <f>IF(INVESTORS_LIST[[#This Row],[SIP_TOTAL CURRENT UNITS]]=0,0,INVESTORS_LIST[[#This Row],[SIP_TOTAL CURRENT UNITS]]*INVESTORS_LIST[[#This Row],[SIP_AVERAGE COST]])</f>
        <v>0</v>
      </c>
      <c r="R38" s="6">
        <f>IF(INVESTORS_LIST[[#This Row],[SIP_TOTAL UNITS SOLD]]=0,0,SUMIFS(SIP[Realized Gain],SIP[Investor ID],INVESTORS_LIST[[#This Row],[INVESTOR CODE]],SIP[B/S],"S"))</f>
        <v>0</v>
      </c>
      <c r="S38" s="33">
        <f>INVESTORS_LIST[[#This Row],[LS_TOTAL UNITS BUY]]+INVESTORS_LIST[[#This Row],[SIP_TOTAL UNITS BUY]]</f>
        <v>0</v>
      </c>
      <c r="T38" s="33">
        <f>INVESTORS_LIST[[#This Row],[LS_TOTAL UNITS SOLD]]+INVESTORS_LIST[[#This Row],[SIP_TOTAL UNITS SOLD]]</f>
        <v>0</v>
      </c>
      <c r="U38" s="33">
        <v>0</v>
      </c>
      <c r="V38" s="33">
        <f>SUMIFS(LS[BO UNIT TRANSFER],LS[Investor ID],INVESTORS_LIST[[#This Row],[INVESTOR CODE]],LS[B/S],"B")</f>
        <v>0</v>
      </c>
      <c r="W38" s="33">
        <f>SUMIFS(LS[BO UNIT TRANSFER],LS[Investor ID],INVESTORS_LIST[[#This Row],[INVESTOR CODE]],LS[B/S],"S")</f>
        <v>0</v>
      </c>
      <c r="X38" s="33">
        <f>SUMIFS(SIP[BO UNIT TRANSFER],SIP[Investor ID],INVESTORS_LIST[[#This Row],[INVESTOR CODE]],SIP[B/S],"S")</f>
        <v>0</v>
      </c>
      <c r="Y38" s="33">
        <f>SUMIFS(SIP[BO UNIT TRANSFER],SIP[Investor ID],INVESTORS_LIST[[#This Row],[INVESTOR CODE]],SIP[B/S],"B")</f>
        <v>0</v>
      </c>
      <c r="Z3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8" s="119">
        <f>INVESTORS_LIST[[#This Row],[TOTAL UNITS BUY]]-INVESTORS_LIST[[#This Row],[TOTAL UNITS SOLD]]</f>
        <v>0</v>
      </c>
      <c r="AB38" s="119">
        <f>INVESTORS_LIST[[#This Row],[TOTAL CURRENT UNITS]]-INVESTORS_LIST[[#This Row],[BO UNITS HOLD]]</f>
        <v>0</v>
      </c>
      <c r="AC38" s="119" t="e">
        <f>INDEX([4]!Table_1[BO ID],MATCH(INVESTORS_LIST[[#This Row],[INVESTOR CODE]],[4]!Table_1[INVESTOR CODE],0))</f>
        <v>#REF!</v>
      </c>
      <c r="AD38" s="33">
        <f>INVESTORS_LIST[[#This Row],[LS_TOTAL COST VALUE OF CURRENT UNITS]]+INVESTORS_LIST[[#This Row],[SIP_TOTAL COST VALUE OF CURRENT UNITS]]</f>
        <v>0</v>
      </c>
      <c r="AE38" s="44">
        <f>IF(INVESTORS_LIST[[#This Row],[TOTAL CURRENT UNITS]]=0,0,INVESTORS_LIST[[#This Row],[LS_TOTAL CURRENT UNITS]]/INVESTORS_LIST[[#This Row],[TOTAL CURRENT UNITS]])</f>
        <v>0</v>
      </c>
      <c r="AF38" s="44">
        <f>IF(INVESTORS_LIST[[#This Row],[TOTAL CURRENT UNITS]]=0,0,INVESTORS_LIST[[#This Row],[SIP_TOTAL CURRENT UNITS]]/INVESTORS_LIST[[#This Row],[TOTAL CURRENT UNITS]])</f>
        <v>0</v>
      </c>
      <c r="AG38" s="4" cm="1">
        <f t="array" ref="AG3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8" s="4" cm="1">
        <f t="array" ref="AH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8" s="178">
        <f t="shared" si="0"/>
        <v>12.552</v>
      </c>
      <c r="AK38" s="118">
        <f>IF(INVESTORS_LIST[[#This Row],[TOTAL CURRENT UNITS]]=0,0,INVESTORS_LIST[[#This Row],[TOTAL CURRENT UNITS]]*INVESTORS_LIST[[#This Row],[NAV]])</f>
        <v>0</v>
      </c>
      <c r="AL38" s="4">
        <f>IF(INVESTORS_LIST[[#This Row],[LS_TOTAL CURRENT UNITS]]=0,0,INVESTORS_LIST[[#This Row],[LS_TOTAL CURRENT UNITS]]*INVESTORS_LIST[[#This Row],[NAV]])</f>
        <v>0</v>
      </c>
      <c r="AM38" s="6">
        <f>IF(INVESTORS_LIST[[#This Row],[SIP_TOTAL CURRENT UNITS]]=0,0,INVESTORS_LIST[[#This Row],[SIP_TOTAL CURRENT UNITS]]*INVESTORS_LIST[[#This Row],[NAV]])</f>
        <v>0</v>
      </c>
      <c r="AO38" s="6">
        <f>IF(INVESTORS_LIST[[#This Row],[TOTAL SELLABLE UNITS]]=0,0,INVESTORS_LIST[[#This Row],[TOTAL SELLABLE UNITS]]*INVESTORS_LIST[[#This Row],[NAV]])</f>
        <v>0</v>
      </c>
      <c r="AP38" s="6">
        <f>INVESTORS_LIST[[#This Row],[LS_TOTAL REALIZED GAIN]]+INVESTORS_LIST[[#This Row],[SIP_TOTAL REALIZED GAIN]]</f>
        <v>0</v>
      </c>
      <c r="AQ38" s="6">
        <f>INVESTORS_LIST[[#This Row],[TOTAL MARKET VALUE]]-INVESTORS_LIST[[#This Row],[TOTAL COST VALUE OF CURRENT INVESTMENT]]</f>
        <v>0</v>
      </c>
      <c r="AR38" s="6">
        <f>SUMIFS(DivAndTax[Tax Amount],DivAndTax[Investor ID],INVESTORS_LIST[[#This Row],[INVESTOR CODE]])</f>
        <v>0</v>
      </c>
      <c r="AS38" s="6">
        <f>SUMIFS(DivAndTax[Gross Dividend],DivAndTax[Investor ID],INVESTORS_LIST[[#This Row],[INVESTOR CODE]])</f>
        <v>0</v>
      </c>
      <c r="AT38" s="5">
        <f>IFERROR(INVESTORS_LIST[[#This Row],[TOTAL CURRENT UNITS]]/SUM(INVESTORS_LIST[TOTAL CURRENT UNITS]),0)</f>
        <v>0</v>
      </c>
    </row>
    <row r="39" spans="1:48" hidden="1">
      <c r="A39" t="s">
        <v>747</v>
      </c>
      <c r="B39" t="s">
        <v>46</v>
      </c>
      <c r="C39" t="s">
        <v>536</v>
      </c>
      <c r="D39" s="8" t="s">
        <v>2</v>
      </c>
      <c r="E39" s="2">
        <f>SUMIFS(LS[Unit],LS[Investor ID],INVESTORS_LIST[[#This Row],[INVESTOR CODE]],LS[B/S],"B")</f>
        <v>0</v>
      </c>
      <c r="F39" s="2">
        <f>-SUMIFS(LS[Unit],LS[Investor ID],INVESTORS_LIST[[#This Row],[INVESTOR CODE]],LS[B/S],"S")</f>
        <v>0</v>
      </c>
      <c r="G39" s="2">
        <f>IF(INVESTORS_LIST[[#This Row],[LS_TOTAL UNITS BUY]]=0,0,INVESTORS_LIST[[#This Row],[LS_TOTAL UNITS BUY]]-INVESTORS_LIST[[#This Row],[LS_TOTAL UNITS SOLD]])</f>
        <v>0</v>
      </c>
      <c r="H39" s="4">
        <f>IF(INVESTORS_LIST[[#This Row],[LS_TOTAL UNITS BUY]]=0,0,SUMIFS(LS[Amount],LS[Investor ID],INVESTORS_LIST[[#This Row],[INVESTOR CODE]],LS[B/S],"B"))</f>
        <v>0</v>
      </c>
      <c r="I39" s="6">
        <f>IF(INVESTORS_LIST[[#This Row],[LS_TOTAL UNITS SOLD]]=0,0,SUMIFS(LS[Cost of Units Sold],LS[Investor ID],INVESTORS_LIST[[#This Row],[INVESTOR CODE]],LS[B/S],"S"))</f>
        <v>0</v>
      </c>
      <c r="J39" s="6">
        <f>IF(INVESTORS_LIST[[#This Row],[LS_TOTAL CURRENT UNITS]]=0,0,INVESTORS_LIST[[#This Row],[LS_TOTAL CURRENT UNITS]]*INVESTORS_LIST[[#This Row],[LS_AVERAGE COST]])</f>
        <v>0</v>
      </c>
      <c r="K39" s="4">
        <f>IF(INVESTORS_LIST[[#This Row],[LS_TOTAL UNITS SOLD]]=0,0,SUMIFS(LS[Realized Gain],LS[Investor ID],INVESTORS_LIST[[#This Row],[INVESTOR CODE]],LS[B/S],"S"))</f>
        <v>0</v>
      </c>
      <c r="L39" s="2">
        <f>SUMIFS(SIP[Unit],SIP[Investor ID],INVESTORS_LIST[[#This Row],[INVESTOR CODE]],SIP[B/S],"B")</f>
        <v>0</v>
      </c>
      <c r="M39" s="2">
        <f>-SUMIFS(SIP[Unit],SIP[Investor ID],INVESTORS_LIST[[#This Row],[INVESTOR CODE]],SIP[B/S],"S")</f>
        <v>0</v>
      </c>
      <c r="N39" s="33">
        <f>IF(INVESTORS_LIST[[#This Row],[SIP_TOTAL UNITS BUY]]=0,0,INVESTORS_LIST[[#This Row],[SIP_TOTAL UNITS BUY]]-INVESTORS_LIST[[#This Row],[SIP_TOTAL UNITS SOLD]])</f>
        <v>0</v>
      </c>
      <c r="O39" s="4">
        <f>IF(INVESTORS_LIST[[#This Row],[SIP_TOTAL UNITS BUY]]=0,0,SUMIFS(SIP[Amount],SIP[Investor ID],INVESTORS_LIST[[#This Row],[INVESTOR CODE]],SIP[B/S],"B"))</f>
        <v>0</v>
      </c>
      <c r="P39" s="4">
        <f>IF(INVESTORS_LIST[[#This Row],[SIP_TOTAL UNITS SOLD]]=0,0,SUMIFS(SIP[Cost of Units Sold],SIP[Investor ID],INVESTORS_LIST[[#This Row],[INVESTOR CODE]],SIP[B/S],"S"))</f>
        <v>0</v>
      </c>
      <c r="Q39" s="6">
        <f>IF(INVESTORS_LIST[[#This Row],[SIP_TOTAL CURRENT UNITS]]=0,0,INVESTORS_LIST[[#This Row],[SIP_TOTAL CURRENT UNITS]]*INVESTORS_LIST[[#This Row],[SIP_AVERAGE COST]])</f>
        <v>0</v>
      </c>
      <c r="R39" s="6">
        <f>IF(INVESTORS_LIST[[#This Row],[SIP_TOTAL UNITS SOLD]]=0,0,SUMIFS(SIP[Realized Gain],SIP[Investor ID],INVESTORS_LIST[[#This Row],[INVESTOR CODE]],SIP[B/S],"S"))</f>
        <v>0</v>
      </c>
      <c r="S39" s="33">
        <f>INVESTORS_LIST[[#This Row],[LS_TOTAL UNITS BUY]]+INVESTORS_LIST[[#This Row],[SIP_TOTAL UNITS BUY]]</f>
        <v>0</v>
      </c>
      <c r="T39" s="33">
        <f>INVESTORS_LIST[[#This Row],[LS_TOTAL UNITS SOLD]]+INVESTORS_LIST[[#This Row],[SIP_TOTAL UNITS SOLD]]</f>
        <v>0</v>
      </c>
      <c r="U39" s="33">
        <v>0</v>
      </c>
      <c r="V39" s="33">
        <f>SUMIFS(LS[BO UNIT TRANSFER],LS[Investor ID],INVESTORS_LIST[[#This Row],[INVESTOR CODE]],LS[B/S],"B")</f>
        <v>0</v>
      </c>
      <c r="W39" s="33">
        <f>SUMIFS(LS[BO UNIT TRANSFER],LS[Investor ID],INVESTORS_LIST[[#This Row],[INVESTOR CODE]],LS[B/S],"S")</f>
        <v>0</v>
      </c>
      <c r="X39" s="33">
        <f>SUMIFS(SIP[BO UNIT TRANSFER],SIP[Investor ID],INVESTORS_LIST[[#This Row],[INVESTOR CODE]],SIP[B/S],"S")</f>
        <v>0</v>
      </c>
      <c r="Y39" s="33">
        <f>SUMIFS(SIP[BO UNIT TRANSFER],SIP[Investor ID],INVESTORS_LIST[[#This Row],[INVESTOR CODE]],SIP[B/S],"B")</f>
        <v>0</v>
      </c>
      <c r="Z3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9" s="119">
        <f>INVESTORS_LIST[[#This Row],[TOTAL UNITS BUY]]-INVESTORS_LIST[[#This Row],[TOTAL UNITS SOLD]]</f>
        <v>0</v>
      </c>
      <c r="AB39" s="119">
        <f>INVESTORS_LIST[[#This Row],[TOTAL CURRENT UNITS]]-INVESTORS_LIST[[#This Row],[BO UNITS HOLD]]</f>
        <v>0</v>
      </c>
      <c r="AC39" s="119" t="e">
        <f>INDEX([4]!Table_1[BO ID],MATCH(INVESTORS_LIST[[#This Row],[INVESTOR CODE]],[4]!Table_1[INVESTOR CODE],0))</f>
        <v>#REF!</v>
      </c>
      <c r="AD39" s="33">
        <f>INVESTORS_LIST[[#This Row],[LS_TOTAL COST VALUE OF CURRENT UNITS]]+INVESTORS_LIST[[#This Row],[SIP_TOTAL COST VALUE OF CURRENT UNITS]]</f>
        <v>0</v>
      </c>
      <c r="AE39" s="44">
        <f>IF(INVESTORS_LIST[[#This Row],[TOTAL CURRENT UNITS]]=0,0,INVESTORS_LIST[[#This Row],[LS_TOTAL CURRENT UNITS]]/INVESTORS_LIST[[#This Row],[TOTAL CURRENT UNITS]])</f>
        <v>0</v>
      </c>
      <c r="AF39" s="44">
        <f>IF(INVESTORS_LIST[[#This Row],[TOTAL CURRENT UNITS]]=0,0,INVESTORS_LIST[[#This Row],[SIP_TOTAL CURRENT UNITS]]/INVESTORS_LIST[[#This Row],[TOTAL CURRENT UNITS]])</f>
        <v>0</v>
      </c>
      <c r="AG39" s="4" cm="1">
        <f t="array" ref="AG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9" s="4" cm="1">
        <f t="array" ref="AH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9" s="178">
        <f t="shared" si="0"/>
        <v>12.552</v>
      </c>
      <c r="AK39" s="118">
        <f>IF(INVESTORS_LIST[[#This Row],[TOTAL CURRENT UNITS]]=0,0,INVESTORS_LIST[[#This Row],[TOTAL CURRENT UNITS]]*INVESTORS_LIST[[#This Row],[NAV]])</f>
        <v>0</v>
      </c>
      <c r="AL39" s="4">
        <f>IF(INVESTORS_LIST[[#This Row],[LS_TOTAL CURRENT UNITS]]=0,0,INVESTORS_LIST[[#This Row],[LS_TOTAL CURRENT UNITS]]*INVESTORS_LIST[[#This Row],[NAV]])</f>
        <v>0</v>
      </c>
      <c r="AM39" s="6">
        <f>IF(INVESTORS_LIST[[#This Row],[SIP_TOTAL CURRENT UNITS]]=0,0,INVESTORS_LIST[[#This Row],[SIP_TOTAL CURRENT UNITS]]*INVESTORS_LIST[[#This Row],[NAV]])</f>
        <v>0</v>
      </c>
      <c r="AO39" s="6">
        <f>IF(INVESTORS_LIST[[#This Row],[TOTAL SELLABLE UNITS]]=0,0,INVESTORS_LIST[[#This Row],[TOTAL SELLABLE UNITS]]*INVESTORS_LIST[[#This Row],[NAV]])</f>
        <v>0</v>
      </c>
      <c r="AP39" s="6">
        <f>INVESTORS_LIST[[#This Row],[LS_TOTAL REALIZED GAIN]]+INVESTORS_LIST[[#This Row],[SIP_TOTAL REALIZED GAIN]]</f>
        <v>0</v>
      </c>
      <c r="AQ39" s="6">
        <f>INVESTORS_LIST[[#This Row],[TOTAL MARKET VALUE]]-INVESTORS_LIST[[#This Row],[TOTAL COST VALUE OF CURRENT INVESTMENT]]</f>
        <v>0</v>
      </c>
      <c r="AR39" s="6">
        <f>SUMIFS(DivAndTax[Tax Amount],DivAndTax[Investor ID],INVESTORS_LIST[[#This Row],[INVESTOR CODE]])</f>
        <v>0</v>
      </c>
      <c r="AS39" s="6">
        <f>SUMIFS(DivAndTax[Gross Dividend],DivAndTax[Investor ID],INVESTORS_LIST[[#This Row],[INVESTOR CODE]])</f>
        <v>0</v>
      </c>
      <c r="AT39" s="5">
        <f>IFERROR(INVESTORS_LIST[[#This Row],[TOTAL CURRENT UNITS]]/SUM(INVESTORS_LIST[TOTAL CURRENT UNITS]),0)</f>
        <v>0</v>
      </c>
    </row>
    <row r="40" spans="1:48" hidden="1">
      <c r="A40" t="s">
        <v>748</v>
      </c>
      <c r="B40" t="s">
        <v>47</v>
      </c>
      <c r="C40" t="s">
        <v>536</v>
      </c>
      <c r="D40" s="8" t="s">
        <v>2</v>
      </c>
      <c r="E40" s="2">
        <f>SUMIFS(LS[Unit],LS[Investor ID],INVESTORS_LIST[[#This Row],[INVESTOR CODE]],LS[B/S],"B")</f>
        <v>0</v>
      </c>
      <c r="F40" s="2">
        <f>-SUMIFS(LS[Unit],LS[Investor ID],INVESTORS_LIST[[#This Row],[INVESTOR CODE]],LS[B/S],"S")</f>
        <v>0</v>
      </c>
      <c r="G40" s="2">
        <f>IF(INVESTORS_LIST[[#This Row],[LS_TOTAL UNITS BUY]]=0,0,INVESTORS_LIST[[#This Row],[LS_TOTAL UNITS BUY]]-INVESTORS_LIST[[#This Row],[LS_TOTAL UNITS SOLD]])</f>
        <v>0</v>
      </c>
      <c r="H40" s="4">
        <f>IF(INVESTORS_LIST[[#This Row],[LS_TOTAL UNITS BUY]]=0,0,SUMIFS(LS[Amount],LS[Investor ID],INVESTORS_LIST[[#This Row],[INVESTOR CODE]],LS[B/S],"B"))</f>
        <v>0</v>
      </c>
      <c r="I40" s="6">
        <f>IF(INVESTORS_LIST[[#This Row],[LS_TOTAL UNITS SOLD]]=0,0,SUMIFS(LS[Cost of Units Sold],LS[Investor ID],INVESTORS_LIST[[#This Row],[INVESTOR CODE]],LS[B/S],"S"))</f>
        <v>0</v>
      </c>
      <c r="J40" s="6">
        <f>IF(INVESTORS_LIST[[#This Row],[LS_TOTAL CURRENT UNITS]]=0,0,INVESTORS_LIST[[#This Row],[LS_TOTAL CURRENT UNITS]]*INVESTORS_LIST[[#This Row],[LS_AVERAGE COST]])</f>
        <v>0</v>
      </c>
      <c r="K40" s="4">
        <f>IF(INVESTORS_LIST[[#This Row],[LS_TOTAL UNITS SOLD]]=0,0,SUMIFS(LS[Realized Gain],LS[Investor ID],INVESTORS_LIST[[#This Row],[INVESTOR CODE]],LS[B/S],"S"))</f>
        <v>0</v>
      </c>
      <c r="L40" s="2">
        <f>SUMIFS(SIP[Unit],SIP[Investor ID],INVESTORS_LIST[[#This Row],[INVESTOR CODE]],SIP[B/S],"B")</f>
        <v>0</v>
      </c>
      <c r="M40" s="2">
        <f>-SUMIFS(SIP[Unit],SIP[Investor ID],INVESTORS_LIST[[#This Row],[INVESTOR CODE]],SIP[B/S],"S")</f>
        <v>0</v>
      </c>
      <c r="N40" s="33">
        <f>IF(INVESTORS_LIST[[#This Row],[SIP_TOTAL UNITS BUY]]=0,0,INVESTORS_LIST[[#This Row],[SIP_TOTAL UNITS BUY]]-INVESTORS_LIST[[#This Row],[SIP_TOTAL UNITS SOLD]])</f>
        <v>0</v>
      </c>
      <c r="O40" s="4">
        <f>IF(INVESTORS_LIST[[#This Row],[SIP_TOTAL UNITS BUY]]=0,0,SUMIFS(SIP[Amount],SIP[Investor ID],INVESTORS_LIST[[#This Row],[INVESTOR CODE]],SIP[B/S],"B"))</f>
        <v>0</v>
      </c>
      <c r="P40" s="4">
        <f>IF(INVESTORS_LIST[[#This Row],[SIP_TOTAL UNITS SOLD]]=0,0,SUMIFS(SIP[Cost of Units Sold],SIP[Investor ID],INVESTORS_LIST[[#This Row],[INVESTOR CODE]],SIP[B/S],"S"))</f>
        <v>0</v>
      </c>
      <c r="Q40" s="6">
        <f>IF(INVESTORS_LIST[[#This Row],[SIP_TOTAL CURRENT UNITS]]=0,0,INVESTORS_LIST[[#This Row],[SIP_TOTAL CURRENT UNITS]]*INVESTORS_LIST[[#This Row],[SIP_AVERAGE COST]])</f>
        <v>0</v>
      </c>
      <c r="R40" s="6">
        <f>IF(INVESTORS_LIST[[#This Row],[SIP_TOTAL UNITS SOLD]]=0,0,SUMIFS(SIP[Realized Gain],SIP[Investor ID],INVESTORS_LIST[[#This Row],[INVESTOR CODE]],SIP[B/S],"S"))</f>
        <v>0</v>
      </c>
      <c r="S40" s="33">
        <f>INVESTORS_LIST[[#This Row],[LS_TOTAL UNITS BUY]]+INVESTORS_LIST[[#This Row],[SIP_TOTAL UNITS BUY]]</f>
        <v>0</v>
      </c>
      <c r="T40" s="33">
        <f>INVESTORS_LIST[[#This Row],[LS_TOTAL UNITS SOLD]]+INVESTORS_LIST[[#This Row],[SIP_TOTAL UNITS SOLD]]</f>
        <v>0</v>
      </c>
      <c r="U40" s="33">
        <v>0</v>
      </c>
      <c r="V40" s="33">
        <f>SUMIFS(LS[BO UNIT TRANSFER],LS[Investor ID],INVESTORS_LIST[[#This Row],[INVESTOR CODE]],LS[B/S],"B")</f>
        <v>0</v>
      </c>
      <c r="W40" s="33">
        <f>SUMIFS(LS[BO UNIT TRANSFER],LS[Investor ID],INVESTORS_LIST[[#This Row],[INVESTOR CODE]],LS[B/S],"S")</f>
        <v>0</v>
      </c>
      <c r="X40" s="33">
        <f>SUMIFS(SIP[BO UNIT TRANSFER],SIP[Investor ID],INVESTORS_LIST[[#This Row],[INVESTOR CODE]],SIP[B/S],"S")</f>
        <v>0</v>
      </c>
      <c r="Y40" s="33">
        <f>SUMIFS(SIP[BO UNIT TRANSFER],SIP[Investor ID],INVESTORS_LIST[[#This Row],[INVESTOR CODE]],SIP[B/S],"B")</f>
        <v>0</v>
      </c>
      <c r="Z4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0" s="119">
        <f>INVESTORS_LIST[[#This Row],[TOTAL UNITS BUY]]-INVESTORS_LIST[[#This Row],[TOTAL UNITS SOLD]]</f>
        <v>0</v>
      </c>
      <c r="AB40" s="119">
        <f>INVESTORS_LIST[[#This Row],[TOTAL CURRENT UNITS]]-INVESTORS_LIST[[#This Row],[BO UNITS HOLD]]</f>
        <v>0</v>
      </c>
      <c r="AC40" s="119" t="e">
        <f>INDEX([4]!Table_1[BO ID],MATCH(INVESTORS_LIST[[#This Row],[INVESTOR CODE]],[4]!Table_1[INVESTOR CODE],0))</f>
        <v>#REF!</v>
      </c>
      <c r="AD40" s="33">
        <f>INVESTORS_LIST[[#This Row],[LS_TOTAL COST VALUE OF CURRENT UNITS]]+INVESTORS_LIST[[#This Row],[SIP_TOTAL COST VALUE OF CURRENT UNITS]]</f>
        <v>0</v>
      </c>
      <c r="AE40" s="44">
        <f>IF(INVESTORS_LIST[[#This Row],[TOTAL CURRENT UNITS]]=0,0,INVESTORS_LIST[[#This Row],[LS_TOTAL CURRENT UNITS]]/INVESTORS_LIST[[#This Row],[TOTAL CURRENT UNITS]])</f>
        <v>0</v>
      </c>
      <c r="AF40" s="44">
        <f>IF(INVESTORS_LIST[[#This Row],[TOTAL CURRENT UNITS]]=0,0,INVESTORS_LIST[[#This Row],[SIP_TOTAL CURRENT UNITS]]/INVESTORS_LIST[[#This Row],[TOTAL CURRENT UNITS]])</f>
        <v>0</v>
      </c>
      <c r="AG40" s="4" cm="1">
        <f t="array" ref="AG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0" s="4" cm="1">
        <f t="array" ref="AH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0" s="178">
        <f t="shared" si="0"/>
        <v>12.552</v>
      </c>
      <c r="AK40" s="118">
        <f>IF(INVESTORS_LIST[[#This Row],[TOTAL CURRENT UNITS]]=0,0,INVESTORS_LIST[[#This Row],[TOTAL CURRENT UNITS]]*INVESTORS_LIST[[#This Row],[NAV]])</f>
        <v>0</v>
      </c>
      <c r="AL40" s="4">
        <f>IF(INVESTORS_LIST[[#This Row],[LS_TOTAL CURRENT UNITS]]=0,0,INVESTORS_LIST[[#This Row],[LS_TOTAL CURRENT UNITS]]*INVESTORS_LIST[[#This Row],[NAV]])</f>
        <v>0</v>
      </c>
      <c r="AM40" s="6">
        <f>IF(INVESTORS_LIST[[#This Row],[SIP_TOTAL CURRENT UNITS]]=0,0,INVESTORS_LIST[[#This Row],[SIP_TOTAL CURRENT UNITS]]*INVESTORS_LIST[[#This Row],[NAV]])</f>
        <v>0</v>
      </c>
      <c r="AO40" s="6">
        <f>IF(INVESTORS_LIST[[#This Row],[TOTAL SELLABLE UNITS]]=0,0,INVESTORS_LIST[[#This Row],[TOTAL SELLABLE UNITS]]*INVESTORS_LIST[[#This Row],[NAV]])</f>
        <v>0</v>
      </c>
      <c r="AP40" s="6">
        <f>INVESTORS_LIST[[#This Row],[LS_TOTAL REALIZED GAIN]]+INVESTORS_LIST[[#This Row],[SIP_TOTAL REALIZED GAIN]]</f>
        <v>0</v>
      </c>
      <c r="AQ40" s="6">
        <f>INVESTORS_LIST[[#This Row],[TOTAL MARKET VALUE]]-INVESTORS_LIST[[#This Row],[TOTAL COST VALUE OF CURRENT INVESTMENT]]</f>
        <v>0</v>
      </c>
      <c r="AR40" s="6">
        <f>SUMIFS(DivAndTax[Tax Amount],DivAndTax[Investor ID],INVESTORS_LIST[[#This Row],[INVESTOR CODE]])</f>
        <v>0</v>
      </c>
      <c r="AS40" s="6">
        <f>SUMIFS(DivAndTax[Gross Dividend],DivAndTax[Investor ID],INVESTORS_LIST[[#This Row],[INVESTOR CODE]])</f>
        <v>0</v>
      </c>
      <c r="AT40" s="5">
        <f>IFERROR(INVESTORS_LIST[[#This Row],[TOTAL CURRENT UNITS]]/SUM(INVESTORS_LIST[TOTAL CURRENT UNITS]),0)</f>
        <v>0</v>
      </c>
    </row>
    <row r="41" spans="1:48">
      <c r="A41" t="s">
        <v>749</v>
      </c>
      <c r="B41" t="s">
        <v>48</v>
      </c>
      <c r="C41" t="s">
        <v>536</v>
      </c>
      <c r="D41" s="8" t="s">
        <v>2</v>
      </c>
      <c r="E41" s="2">
        <f>SUMIFS(LS[Unit],LS[Investor ID],INVESTORS_LIST[[#This Row],[INVESTOR CODE]],LS[B/S],"B")</f>
        <v>15000</v>
      </c>
      <c r="F41" s="2">
        <f>-SUMIFS(LS[Unit],LS[Investor ID],INVESTORS_LIST[[#This Row],[INVESTOR CODE]],LS[B/S],"S")</f>
        <v>0</v>
      </c>
      <c r="G41" s="2">
        <f>IF(INVESTORS_LIST[[#This Row],[LS_TOTAL UNITS BUY]]=0,0,INVESTORS_LIST[[#This Row],[LS_TOTAL UNITS BUY]]-INVESTORS_LIST[[#This Row],[LS_TOTAL UNITS SOLD]])</f>
        <v>15000</v>
      </c>
      <c r="H41" s="4">
        <f>IF(INVESTORS_LIST[[#This Row],[LS_TOTAL UNITS BUY]]=0,0,SUMIFS(LS[Amount],LS[Investor ID],INVESTORS_LIST[[#This Row],[INVESTOR CODE]],LS[B/S],"B"))</f>
        <v>150000</v>
      </c>
      <c r="I41" s="6">
        <f>IF(INVESTORS_LIST[[#This Row],[LS_TOTAL UNITS SOLD]]=0,0,SUMIFS(LS[Cost of Units Sold],LS[Investor ID],INVESTORS_LIST[[#This Row],[INVESTOR CODE]],LS[B/S],"S"))</f>
        <v>0</v>
      </c>
      <c r="J41" s="6">
        <f>IF(INVESTORS_LIST[[#This Row],[LS_TOTAL CURRENT UNITS]]=0,0,INVESTORS_LIST[[#This Row],[LS_TOTAL CURRENT UNITS]]*INVESTORS_LIST[[#This Row],[LS_AVERAGE COST]])</f>
        <v>150000</v>
      </c>
      <c r="K41" s="4">
        <f>IF(INVESTORS_LIST[[#This Row],[LS_TOTAL UNITS SOLD]]=0,0,SUMIFS(LS[Realized Gain],LS[Investor ID],INVESTORS_LIST[[#This Row],[INVESTOR CODE]],LS[B/S],"S"))</f>
        <v>0</v>
      </c>
      <c r="L41" s="2">
        <f>SUMIFS(SIP[Unit],SIP[Investor ID],INVESTORS_LIST[[#This Row],[INVESTOR CODE]],SIP[B/S],"B")</f>
        <v>0</v>
      </c>
      <c r="M41" s="2">
        <f>-SUMIFS(SIP[Unit],SIP[Investor ID],INVESTORS_LIST[[#This Row],[INVESTOR CODE]],SIP[B/S],"S")</f>
        <v>0</v>
      </c>
      <c r="N41" s="33">
        <f>IF(INVESTORS_LIST[[#This Row],[SIP_TOTAL UNITS BUY]]=0,0,INVESTORS_LIST[[#This Row],[SIP_TOTAL UNITS BUY]]-INVESTORS_LIST[[#This Row],[SIP_TOTAL UNITS SOLD]])</f>
        <v>0</v>
      </c>
      <c r="O41" s="4">
        <f>IF(INVESTORS_LIST[[#This Row],[SIP_TOTAL UNITS BUY]]=0,0,SUMIFS(SIP[Amount],SIP[Investor ID],INVESTORS_LIST[[#This Row],[INVESTOR CODE]],SIP[B/S],"B"))</f>
        <v>0</v>
      </c>
      <c r="P41" s="4">
        <f>IF(INVESTORS_LIST[[#This Row],[SIP_TOTAL UNITS SOLD]]=0,0,SUMIFS(SIP[Cost of Units Sold],SIP[Investor ID],INVESTORS_LIST[[#This Row],[INVESTOR CODE]],SIP[B/S],"S"))</f>
        <v>0</v>
      </c>
      <c r="Q41" s="6">
        <f>IF(INVESTORS_LIST[[#This Row],[SIP_TOTAL CURRENT UNITS]]=0,0,INVESTORS_LIST[[#This Row],[SIP_TOTAL CURRENT UNITS]]*INVESTORS_LIST[[#This Row],[SIP_AVERAGE COST]])</f>
        <v>0</v>
      </c>
      <c r="R41" s="6">
        <f>IF(INVESTORS_LIST[[#This Row],[SIP_TOTAL UNITS SOLD]]=0,0,SUMIFS(SIP[Realized Gain],SIP[Investor ID],INVESTORS_LIST[[#This Row],[INVESTOR CODE]],SIP[B/S],"S"))</f>
        <v>0</v>
      </c>
      <c r="S41" s="33">
        <f>INVESTORS_LIST[[#This Row],[LS_TOTAL UNITS BUY]]+INVESTORS_LIST[[#This Row],[SIP_TOTAL UNITS BUY]]</f>
        <v>15000</v>
      </c>
      <c r="T41" s="33">
        <f>INVESTORS_LIST[[#This Row],[LS_TOTAL UNITS SOLD]]+INVESTORS_LIST[[#This Row],[SIP_TOTAL UNITS SOLD]]</f>
        <v>0</v>
      </c>
      <c r="U41" s="33">
        <v>0</v>
      </c>
      <c r="V41" s="33">
        <f>SUMIFS(LS[BO UNIT TRANSFER],LS[Investor ID],INVESTORS_LIST[[#This Row],[INVESTOR CODE]],LS[B/S],"B")</f>
        <v>0</v>
      </c>
      <c r="W41" s="33">
        <f>SUMIFS(LS[BO UNIT TRANSFER],LS[Investor ID],INVESTORS_LIST[[#This Row],[INVESTOR CODE]],LS[B/S],"S")</f>
        <v>0</v>
      </c>
      <c r="X41" s="33">
        <f>SUMIFS(SIP[BO UNIT TRANSFER],SIP[Investor ID],INVESTORS_LIST[[#This Row],[INVESTOR CODE]],SIP[B/S],"S")</f>
        <v>0</v>
      </c>
      <c r="Y41" s="33">
        <f>SUMIFS(SIP[BO UNIT TRANSFER],SIP[Investor ID],INVESTORS_LIST[[#This Row],[INVESTOR CODE]],SIP[B/S],"B")</f>
        <v>0</v>
      </c>
      <c r="Z4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1" s="119">
        <f>INVESTORS_LIST[[#This Row],[TOTAL UNITS BUY]]-INVESTORS_LIST[[#This Row],[TOTAL UNITS SOLD]]</f>
        <v>15000</v>
      </c>
      <c r="AB41" s="119">
        <f>INVESTORS_LIST[[#This Row],[TOTAL CURRENT UNITS]]-INVESTORS_LIST[[#This Row],[BO UNITS HOLD]]</f>
        <v>15000</v>
      </c>
      <c r="AC41" s="119" t="e">
        <f>INDEX([4]!Table_1[BO ID],MATCH(INVESTORS_LIST[[#This Row],[INVESTOR CODE]],[4]!Table_1[INVESTOR CODE],0))</f>
        <v>#REF!</v>
      </c>
      <c r="AD41" s="33">
        <f>INVESTORS_LIST[[#This Row],[LS_TOTAL COST VALUE OF CURRENT UNITS]]+INVESTORS_LIST[[#This Row],[SIP_TOTAL COST VALUE OF CURRENT UNITS]]</f>
        <v>150000</v>
      </c>
      <c r="AE41" s="44">
        <f>IF(INVESTORS_LIST[[#This Row],[TOTAL CURRENT UNITS]]=0,0,INVESTORS_LIST[[#This Row],[LS_TOTAL CURRENT UNITS]]/INVESTORS_LIST[[#This Row],[TOTAL CURRENT UNITS]])</f>
        <v>1</v>
      </c>
      <c r="AF41" s="44">
        <f>IF(INVESTORS_LIST[[#This Row],[TOTAL CURRENT UNITS]]=0,0,INVESTORS_LIST[[#This Row],[SIP_TOTAL CURRENT UNITS]]/INVESTORS_LIST[[#This Row],[TOTAL CURRENT UNITS]])</f>
        <v>0</v>
      </c>
      <c r="AG41" s="4" cm="1">
        <f t="array" ref="AG41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41" s="4" cm="1">
        <f t="array" ref="AH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1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41" s="178">
        <f t="shared" si="0"/>
        <v>12.552</v>
      </c>
      <c r="AK41" s="118">
        <f>IF(INVESTORS_LIST[[#This Row],[TOTAL CURRENT UNITS]]=0,0,INVESTORS_LIST[[#This Row],[TOTAL CURRENT UNITS]]*INVESTORS_LIST[[#This Row],[NAV]])</f>
        <v>188280</v>
      </c>
      <c r="AL41" s="4">
        <f>IF(INVESTORS_LIST[[#This Row],[LS_TOTAL CURRENT UNITS]]=0,0,INVESTORS_LIST[[#This Row],[LS_TOTAL CURRENT UNITS]]*INVESTORS_LIST[[#This Row],[NAV]])</f>
        <v>188280</v>
      </c>
      <c r="AM41" s="6">
        <f>IF(INVESTORS_LIST[[#This Row],[SIP_TOTAL CURRENT UNITS]]=0,0,INVESTORS_LIST[[#This Row],[SIP_TOTAL CURRENT UNITS]]*INVESTORS_LIST[[#This Row],[NAV]])</f>
        <v>0</v>
      </c>
      <c r="AO41" s="6">
        <f>IF(INVESTORS_LIST[[#This Row],[TOTAL SELLABLE UNITS]]=0,0,INVESTORS_LIST[[#This Row],[TOTAL SELLABLE UNITS]]*INVESTORS_LIST[[#This Row],[NAV]])</f>
        <v>0</v>
      </c>
      <c r="AP41" s="6">
        <f>INVESTORS_LIST[[#This Row],[LS_TOTAL REALIZED GAIN]]+INVESTORS_LIST[[#This Row],[SIP_TOTAL REALIZED GAIN]]</f>
        <v>0</v>
      </c>
      <c r="AQ41" s="6">
        <f>INVESTORS_LIST[[#This Row],[TOTAL MARKET VALUE]]-INVESTORS_LIST[[#This Row],[TOTAL COST VALUE OF CURRENT INVESTMENT]]</f>
        <v>38280</v>
      </c>
      <c r="AR41" s="6">
        <f>SUMIFS(DivAndTax[Tax Amount],DivAndTax[Investor ID],INVESTORS_LIST[[#This Row],[INVESTOR CODE]])</f>
        <v>1650</v>
      </c>
      <c r="AS41" s="6">
        <f>SUMIFS(DivAndTax[Gross Dividend],DivAndTax[Investor ID],INVESTORS_LIST[[#This Row],[INVESTOR CODE]])</f>
        <v>16500</v>
      </c>
      <c r="AT41" s="5">
        <f>IFERROR(INVESTORS_LIST[[#This Row],[TOTAL CURRENT UNITS]]/SUM(INVESTORS_LIST[TOTAL CURRENT UNITS]),0)</f>
        <v>7.1917252584514284E-4</v>
      </c>
    </row>
    <row r="42" spans="1:48" hidden="1">
      <c r="A42" t="s">
        <v>750</v>
      </c>
      <c r="B42" t="s">
        <v>49</v>
      </c>
      <c r="C42" t="s">
        <v>537</v>
      </c>
      <c r="D42" s="8" t="s">
        <v>8</v>
      </c>
      <c r="E42" s="2">
        <f>SUMIFS(LS[Unit],LS[Investor ID],INVESTORS_LIST[[#This Row],[INVESTOR CODE]],LS[B/S],"B")</f>
        <v>0</v>
      </c>
      <c r="F42" s="2">
        <f>-SUMIFS(LS[Unit],LS[Investor ID],INVESTORS_LIST[[#This Row],[INVESTOR CODE]],LS[B/S],"S")</f>
        <v>0</v>
      </c>
      <c r="G42" s="2">
        <f>IF(INVESTORS_LIST[[#This Row],[LS_TOTAL UNITS BUY]]=0,0,INVESTORS_LIST[[#This Row],[LS_TOTAL UNITS BUY]]-INVESTORS_LIST[[#This Row],[LS_TOTAL UNITS SOLD]])</f>
        <v>0</v>
      </c>
      <c r="H42" s="4">
        <f>IF(INVESTORS_LIST[[#This Row],[LS_TOTAL UNITS BUY]]=0,0,SUMIFS(LS[Amount],LS[Investor ID],INVESTORS_LIST[[#This Row],[INVESTOR CODE]],LS[B/S],"B"))</f>
        <v>0</v>
      </c>
      <c r="I42" s="6">
        <f>IF(INVESTORS_LIST[[#This Row],[LS_TOTAL UNITS SOLD]]=0,0,SUMIFS(LS[Cost of Units Sold],LS[Investor ID],INVESTORS_LIST[[#This Row],[INVESTOR CODE]],LS[B/S],"S"))</f>
        <v>0</v>
      </c>
      <c r="J42" s="6">
        <f>IF(INVESTORS_LIST[[#This Row],[LS_TOTAL CURRENT UNITS]]=0,0,INVESTORS_LIST[[#This Row],[LS_TOTAL CURRENT UNITS]]*INVESTORS_LIST[[#This Row],[LS_AVERAGE COST]])</f>
        <v>0</v>
      </c>
      <c r="K42" s="4">
        <f>IF(INVESTORS_LIST[[#This Row],[LS_TOTAL UNITS SOLD]]=0,0,SUMIFS(LS[Realized Gain],LS[Investor ID],INVESTORS_LIST[[#This Row],[INVESTOR CODE]],LS[B/S],"S"))</f>
        <v>0</v>
      </c>
      <c r="L42" s="2">
        <f>SUMIFS(SIP[Unit],SIP[Investor ID],INVESTORS_LIST[[#This Row],[INVESTOR CODE]],SIP[B/S],"B")</f>
        <v>0</v>
      </c>
      <c r="M42" s="2">
        <f>-SUMIFS(SIP[Unit],SIP[Investor ID],INVESTORS_LIST[[#This Row],[INVESTOR CODE]],SIP[B/S],"S")</f>
        <v>0</v>
      </c>
      <c r="N42" s="33">
        <f>IF(INVESTORS_LIST[[#This Row],[SIP_TOTAL UNITS BUY]]=0,0,INVESTORS_LIST[[#This Row],[SIP_TOTAL UNITS BUY]]-INVESTORS_LIST[[#This Row],[SIP_TOTAL UNITS SOLD]])</f>
        <v>0</v>
      </c>
      <c r="O42" s="4">
        <f>IF(INVESTORS_LIST[[#This Row],[SIP_TOTAL UNITS BUY]]=0,0,SUMIFS(SIP[Amount],SIP[Investor ID],INVESTORS_LIST[[#This Row],[INVESTOR CODE]],SIP[B/S],"B"))</f>
        <v>0</v>
      </c>
      <c r="P42" s="4">
        <f>IF(INVESTORS_LIST[[#This Row],[SIP_TOTAL UNITS SOLD]]=0,0,SUMIFS(SIP[Cost of Units Sold],SIP[Investor ID],INVESTORS_LIST[[#This Row],[INVESTOR CODE]],SIP[B/S],"S"))</f>
        <v>0</v>
      </c>
      <c r="Q42" s="6">
        <f>IF(INVESTORS_LIST[[#This Row],[SIP_TOTAL CURRENT UNITS]]=0,0,INVESTORS_LIST[[#This Row],[SIP_TOTAL CURRENT UNITS]]*INVESTORS_LIST[[#This Row],[SIP_AVERAGE COST]])</f>
        <v>0</v>
      </c>
      <c r="R42" s="6">
        <f>IF(INVESTORS_LIST[[#This Row],[SIP_TOTAL UNITS SOLD]]=0,0,SUMIFS(SIP[Realized Gain],SIP[Investor ID],INVESTORS_LIST[[#This Row],[INVESTOR CODE]],SIP[B/S],"S"))</f>
        <v>0</v>
      </c>
      <c r="S42" s="33">
        <f>INVESTORS_LIST[[#This Row],[LS_TOTAL UNITS BUY]]+INVESTORS_LIST[[#This Row],[SIP_TOTAL UNITS BUY]]</f>
        <v>0</v>
      </c>
      <c r="T42" s="33">
        <f>INVESTORS_LIST[[#This Row],[LS_TOTAL UNITS SOLD]]+INVESTORS_LIST[[#This Row],[SIP_TOTAL UNITS SOLD]]</f>
        <v>0</v>
      </c>
      <c r="U42" s="33">
        <v>0</v>
      </c>
      <c r="V42" s="33">
        <f>SUMIFS(LS[BO UNIT TRANSFER],LS[Investor ID],INVESTORS_LIST[[#This Row],[INVESTOR CODE]],LS[B/S],"B")</f>
        <v>0</v>
      </c>
      <c r="W42" s="33">
        <f>SUMIFS(LS[BO UNIT TRANSFER],LS[Investor ID],INVESTORS_LIST[[#This Row],[INVESTOR CODE]],LS[B/S],"S")</f>
        <v>0</v>
      </c>
      <c r="X42" s="33">
        <f>SUMIFS(SIP[BO UNIT TRANSFER],SIP[Investor ID],INVESTORS_LIST[[#This Row],[INVESTOR CODE]],SIP[B/S],"S")</f>
        <v>0</v>
      </c>
      <c r="Y42" s="33">
        <f>SUMIFS(SIP[BO UNIT TRANSFER],SIP[Investor ID],INVESTORS_LIST[[#This Row],[INVESTOR CODE]],SIP[B/S],"B")</f>
        <v>0</v>
      </c>
      <c r="Z4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2" s="119">
        <f>INVESTORS_LIST[[#This Row],[TOTAL UNITS BUY]]-INVESTORS_LIST[[#This Row],[TOTAL UNITS SOLD]]</f>
        <v>0</v>
      </c>
      <c r="AB42" s="119">
        <f>INVESTORS_LIST[[#This Row],[TOTAL CURRENT UNITS]]-INVESTORS_LIST[[#This Row],[BO UNITS HOLD]]</f>
        <v>0</v>
      </c>
      <c r="AC42" s="119" t="e">
        <f>INDEX([4]!Table_1[BO ID],MATCH(INVESTORS_LIST[[#This Row],[INVESTOR CODE]],[4]!Table_1[INVESTOR CODE],0))</f>
        <v>#REF!</v>
      </c>
      <c r="AD42" s="33">
        <f>INVESTORS_LIST[[#This Row],[LS_TOTAL COST VALUE OF CURRENT UNITS]]+INVESTORS_LIST[[#This Row],[SIP_TOTAL COST VALUE OF CURRENT UNITS]]</f>
        <v>0</v>
      </c>
      <c r="AE42" s="44">
        <f>IF(INVESTORS_LIST[[#This Row],[TOTAL CURRENT UNITS]]=0,0,INVESTORS_LIST[[#This Row],[LS_TOTAL CURRENT UNITS]]/INVESTORS_LIST[[#This Row],[TOTAL CURRENT UNITS]])</f>
        <v>0</v>
      </c>
      <c r="AF42" s="44">
        <f>IF(INVESTORS_LIST[[#This Row],[TOTAL CURRENT UNITS]]=0,0,INVESTORS_LIST[[#This Row],[SIP_TOTAL CURRENT UNITS]]/INVESTORS_LIST[[#This Row],[TOTAL CURRENT UNITS]])</f>
        <v>0</v>
      </c>
      <c r="AG42" s="4" cm="1">
        <f t="array" ref="AG4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2" s="4" cm="1">
        <f t="array" ref="AH4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2" s="178">
        <f t="shared" si="0"/>
        <v>12.552</v>
      </c>
      <c r="AK42" s="118">
        <f>IF(INVESTORS_LIST[[#This Row],[TOTAL CURRENT UNITS]]=0,0,INVESTORS_LIST[[#This Row],[TOTAL CURRENT UNITS]]*INVESTORS_LIST[[#This Row],[NAV]])</f>
        <v>0</v>
      </c>
      <c r="AL42" s="4">
        <f>IF(INVESTORS_LIST[[#This Row],[LS_TOTAL CURRENT UNITS]]=0,0,INVESTORS_LIST[[#This Row],[LS_TOTAL CURRENT UNITS]]*INVESTORS_LIST[[#This Row],[NAV]])</f>
        <v>0</v>
      </c>
      <c r="AM42" s="6">
        <f>IF(INVESTORS_LIST[[#This Row],[SIP_TOTAL CURRENT UNITS]]=0,0,INVESTORS_LIST[[#This Row],[SIP_TOTAL CURRENT UNITS]]*INVESTORS_LIST[[#This Row],[NAV]])</f>
        <v>0</v>
      </c>
      <c r="AO42" s="6">
        <f>IF(INVESTORS_LIST[[#This Row],[TOTAL SELLABLE UNITS]]=0,0,INVESTORS_LIST[[#This Row],[TOTAL SELLABLE UNITS]]*INVESTORS_LIST[[#This Row],[NAV]])</f>
        <v>0</v>
      </c>
      <c r="AP42" s="6">
        <f>INVESTORS_LIST[[#This Row],[LS_TOTAL REALIZED GAIN]]+INVESTORS_LIST[[#This Row],[SIP_TOTAL REALIZED GAIN]]</f>
        <v>0</v>
      </c>
      <c r="AQ42" s="6">
        <f>INVESTORS_LIST[[#This Row],[TOTAL MARKET VALUE]]-INVESTORS_LIST[[#This Row],[TOTAL COST VALUE OF CURRENT INVESTMENT]]</f>
        <v>0</v>
      </c>
      <c r="AR42" s="6">
        <f>SUMIFS(DivAndTax[Tax Amount],DivAndTax[Investor ID],INVESTORS_LIST[[#This Row],[INVESTOR CODE]])</f>
        <v>0</v>
      </c>
      <c r="AS42" s="6">
        <f>SUMIFS(DivAndTax[Gross Dividend],DivAndTax[Investor ID],INVESTORS_LIST[[#This Row],[INVESTOR CODE]])</f>
        <v>0</v>
      </c>
      <c r="AT42" s="5">
        <f>IFERROR(INVESTORS_LIST[[#This Row],[TOTAL CURRENT UNITS]]/SUM(INVESTORS_LIST[TOTAL CURRENT UNITS]),0)</f>
        <v>0</v>
      </c>
    </row>
    <row r="43" spans="1:48">
      <c r="A43" t="s">
        <v>618</v>
      </c>
      <c r="B43" t="s">
        <v>50</v>
      </c>
      <c r="C43" t="s">
        <v>537</v>
      </c>
      <c r="D43" s="8" t="s">
        <v>5</v>
      </c>
      <c r="E43" s="2">
        <f>SUMIFS(LS[Unit],LS[Investor ID],INVESTORS_LIST[[#This Row],[INVESTOR CODE]],LS[B/S],"B")</f>
        <v>264758</v>
      </c>
      <c r="F43" s="2">
        <f>-SUMIFS(LS[Unit],LS[Investor ID],INVESTORS_LIST[[#This Row],[INVESTOR CODE]],LS[B/S],"S")</f>
        <v>0</v>
      </c>
      <c r="G43" s="2">
        <f>IF(INVESTORS_LIST[[#This Row],[LS_TOTAL UNITS BUY]]=0,0,INVESTORS_LIST[[#This Row],[LS_TOTAL UNITS BUY]]-INVESTORS_LIST[[#This Row],[LS_TOTAL UNITS SOLD]])</f>
        <v>264758</v>
      </c>
      <c r="H43" s="4">
        <f>IF(INVESTORS_LIST[[#This Row],[LS_TOTAL UNITS BUY]]=0,0,SUMIFS(LS[Amount],LS[Investor ID],INVESTORS_LIST[[#This Row],[INVESTOR CODE]],LS[B/S],"B"))</f>
        <v>2652030</v>
      </c>
      <c r="I43" s="6">
        <f>IF(INVESTORS_LIST[[#This Row],[LS_TOTAL UNITS SOLD]]=0,0,SUMIFS(LS[Cost of Units Sold],LS[Investor ID],INVESTORS_LIST[[#This Row],[INVESTOR CODE]],LS[B/S],"S"))</f>
        <v>0</v>
      </c>
      <c r="J43" s="6">
        <f>IF(INVESTORS_LIST[[#This Row],[LS_TOTAL CURRENT UNITS]]=0,0,INVESTORS_LIST[[#This Row],[LS_TOTAL CURRENT UNITS]]*INVESTORS_LIST[[#This Row],[LS_AVERAGE COST]])</f>
        <v>2652030.0000000005</v>
      </c>
      <c r="K43" s="4">
        <f>IF(INVESTORS_LIST[[#This Row],[LS_TOTAL UNITS SOLD]]=0,0,SUMIFS(LS[Realized Gain],LS[Investor ID],INVESTORS_LIST[[#This Row],[INVESTOR CODE]],LS[B/S],"S"))</f>
        <v>0</v>
      </c>
      <c r="L43" s="2">
        <f>SUMIFS(SIP[Unit],SIP[Investor ID],INVESTORS_LIST[[#This Row],[INVESTOR CODE]],SIP[B/S],"B")</f>
        <v>0</v>
      </c>
      <c r="M43" s="2">
        <f>-SUMIFS(SIP[Unit],SIP[Investor ID],INVESTORS_LIST[[#This Row],[INVESTOR CODE]],SIP[B/S],"S")</f>
        <v>0</v>
      </c>
      <c r="N43" s="33">
        <f>IF(INVESTORS_LIST[[#This Row],[SIP_TOTAL UNITS BUY]]=0,0,INVESTORS_LIST[[#This Row],[SIP_TOTAL UNITS BUY]]-INVESTORS_LIST[[#This Row],[SIP_TOTAL UNITS SOLD]])</f>
        <v>0</v>
      </c>
      <c r="O43" s="4">
        <f>IF(INVESTORS_LIST[[#This Row],[SIP_TOTAL UNITS BUY]]=0,0,SUMIFS(SIP[Amount],SIP[Investor ID],INVESTORS_LIST[[#This Row],[INVESTOR CODE]],SIP[B/S],"B"))</f>
        <v>0</v>
      </c>
      <c r="P43" s="4">
        <f>IF(INVESTORS_LIST[[#This Row],[SIP_TOTAL UNITS SOLD]]=0,0,SUMIFS(SIP[Cost of Units Sold],SIP[Investor ID],INVESTORS_LIST[[#This Row],[INVESTOR CODE]],SIP[B/S],"S"))</f>
        <v>0</v>
      </c>
      <c r="Q43" s="6">
        <f>IF(INVESTORS_LIST[[#This Row],[SIP_TOTAL CURRENT UNITS]]=0,0,INVESTORS_LIST[[#This Row],[SIP_TOTAL CURRENT UNITS]]*INVESTORS_LIST[[#This Row],[SIP_AVERAGE COST]])</f>
        <v>0</v>
      </c>
      <c r="R43" s="6">
        <f>IF(INVESTORS_LIST[[#This Row],[SIP_TOTAL UNITS SOLD]]=0,0,SUMIFS(SIP[Realized Gain],SIP[Investor ID],INVESTORS_LIST[[#This Row],[INVESTOR CODE]],SIP[B/S],"S"))</f>
        <v>0</v>
      </c>
      <c r="S43" s="33">
        <f>INVESTORS_LIST[[#This Row],[LS_TOTAL UNITS BUY]]+INVESTORS_LIST[[#This Row],[SIP_TOTAL UNITS BUY]]</f>
        <v>264758</v>
      </c>
      <c r="T43" s="33">
        <f>INVESTORS_LIST[[#This Row],[LS_TOTAL UNITS SOLD]]+INVESTORS_LIST[[#This Row],[SIP_TOTAL UNITS SOLD]]</f>
        <v>0</v>
      </c>
      <c r="U43" s="33">
        <v>250000</v>
      </c>
      <c r="V43" s="33">
        <f>SUMIFS(LS[BO UNIT TRANSFER],LS[Investor ID],INVESTORS_LIST[[#This Row],[INVESTOR CODE]],LS[B/S],"B")</f>
        <v>0</v>
      </c>
      <c r="W43" s="33">
        <f>SUMIFS(LS[BO UNIT TRANSFER],LS[Investor ID],INVESTORS_LIST[[#This Row],[INVESTOR CODE]],LS[B/S],"S")</f>
        <v>0</v>
      </c>
      <c r="X43" s="33">
        <f>SUMIFS(SIP[BO UNIT TRANSFER],SIP[Investor ID],INVESTORS_LIST[[#This Row],[INVESTOR CODE]],SIP[B/S],"S")</f>
        <v>0</v>
      </c>
      <c r="Y43" s="33">
        <f>SUMIFS(SIP[BO UNIT TRANSFER],SIP[Investor ID],INVESTORS_LIST[[#This Row],[INVESTOR CODE]],SIP[B/S],"B")</f>
        <v>0</v>
      </c>
      <c r="Z4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250000</v>
      </c>
      <c r="AA43" s="119">
        <f>INVESTORS_LIST[[#This Row],[TOTAL UNITS BUY]]-INVESTORS_LIST[[#This Row],[TOTAL UNITS SOLD]]</f>
        <v>264758</v>
      </c>
      <c r="AB43" s="119">
        <f>INVESTORS_LIST[[#This Row],[TOTAL CURRENT UNITS]]-INVESTORS_LIST[[#This Row],[BO UNITS HOLD]]</f>
        <v>14758</v>
      </c>
      <c r="AC43" s="119" t="e">
        <f>INDEX([4]!Table_1[BO ID],MATCH(INVESTORS_LIST[[#This Row],[INVESTOR CODE]],[4]!Table_1[INVESTOR CODE],0))</f>
        <v>#REF!</v>
      </c>
      <c r="AD43" s="33">
        <f>INVESTORS_LIST[[#This Row],[LS_TOTAL COST VALUE OF CURRENT UNITS]]+INVESTORS_LIST[[#This Row],[SIP_TOTAL COST VALUE OF CURRENT UNITS]]</f>
        <v>2652030.0000000005</v>
      </c>
      <c r="AE43" s="44">
        <f>IF(INVESTORS_LIST[[#This Row],[TOTAL CURRENT UNITS]]=0,0,INVESTORS_LIST[[#This Row],[LS_TOTAL CURRENT UNITS]]/INVESTORS_LIST[[#This Row],[TOTAL CURRENT UNITS]])</f>
        <v>1</v>
      </c>
      <c r="AF43" s="44">
        <f>IF(INVESTORS_LIST[[#This Row],[TOTAL CURRENT UNITS]]=0,0,INVESTORS_LIST[[#This Row],[SIP_TOTAL CURRENT UNITS]]/INVESTORS_LIST[[#This Row],[TOTAL CURRENT UNITS]])</f>
        <v>0</v>
      </c>
      <c r="AG43" s="4" cm="1">
        <f t="array" ref="AG43">IF(INVESTORS_LIST[[#This Row],[LS_TOTAL UNITS BUY]]&gt;0,INDEX(LS[NAV at Cost (Average)],MATCH(CONCATENATE(COUNTIFS(LS[Investor ID],INVESTORS_LIST[[#This Row],[INVESTOR CODE]]),INVESTORS_LIST[[#This Row],[INVESTOR CODE]]),LS[Unique Code],0),),0)</f>
        <v>10.016807801841683</v>
      </c>
      <c r="AH43" s="4" cm="1">
        <f t="array" ref="AH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3" s="178">
        <f>IF(INVESTORS_LIST[[#This Row],[TOTAL CURRENT UNITS]]=0,0,(INVESTORS_LIST[[#This Row],[LS_WEIGHT]]*INVESTORS_LIST[[#This Row],[LS_AVERAGE COST]])+(INVESTORS_LIST[[#This Row],[SIP_WEIGHT]]*INVESTORS_LIST[[#This Row],[SIP_AVERAGE COST]]))</f>
        <v>10.016807801841683</v>
      </c>
      <c r="AJ43" s="178">
        <f t="shared" si="0"/>
        <v>12.552</v>
      </c>
      <c r="AK43" s="118">
        <f>IF(INVESTORS_LIST[[#This Row],[TOTAL CURRENT UNITS]]=0,0,INVESTORS_LIST[[#This Row],[TOTAL CURRENT UNITS]]*INVESTORS_LIST[[#This Row],[NAV]])</f>
        <v>3323242.4159999997</v>
      </c>
      <c r="AL43" s="4">
        <f>IF(INVESTORS_LIST[[#This Row],[LS_TOTAL CURRENT UNITS]]=0,0,INVESTORS_LIST[[#This Row],[LS_TOTAL CURRENT UNITS]]*INVESTORS_LIST[[#This Row],[NAV]])</f>
        <v>3323242.4159999997</v>
      </c>
      <c r="AM43" s="6">
        <f>IF(INVESTORS_LIST[[#This Row],[SIP_TOTAL CURRENT UNITS]]=0,0,INVESTORS_LIST[[#This Row],[SIP_TOTAL CURRENT UNITS]]*INVESTORS_LIST[[#This Row],[NAV]])</f>
        <v>0</v>
      </c>
      <c r="AO43" s="6">
        <f>IF(INVESTORS_LIST[[#This Row],[TOTAL SELLABLE UNITS]]=0,0,INVESTORS_LIST[[#This Row],[TOTAL SELLABLE UNITS]]*INVESTORS_LIST[[#This Row],[NAV]])</f>
        <v>0</v>
      </c>
      <c r="AP43" s="6">
        <f>INVESTORS_LIST[[#This Row],[LS_TOTAL REALIZED GAIN]]+INVESTORS_LIST[[#This Row],[SIP_TOTAL REALIZED GAIN]]</f>
        <v>0</v>
      </c>
      <c r="AQ43" s="6">
        <f>INVESTORS_LIST[[#This Row],[TOTAL MARKET VALUE]]-INVESTORS_LIST[[#This Row],[TOTAL COST VALUE OF CURRENT INVESTMENT]]</f>
        <v>671212.41599999927</v>
      </c>
      <c r="AR43" s="6">
        <f>SUMIFS(DivAndTax[Tax Amount],DivAndTax[Investor ID],INVESTORS_LIST[[#This Row],[INVESTOR CODE]])</f>
        <v>56540.56</v>
      </c>
      <c r="AS43" s="6">
        <f>SUMIFS(DivAndTax[Gross Dividend],DivAndTax[Investor ID],INVESTORS_LIST[[#This Row],[INVESTOR CODE]])</f>
        <v>282702.8</v>
      </c>
      <c r="AT43" s="5">
        <f>IFERROR(INVESTORS_LIST[[#This Row],[TOTAL CURRENT UNITS]]/SUM(INVESTORS_LIST[TOTAL CURRENT UNITS]),0)</f>
        <v>1.2693778639847221E-2</v>
      </c>
    </row>
    <row r="44" spans="1:48" hidden="1">
      <c r="A44" t="s">
        <v>751</v>
      </c>
      <c r="B44" t="s">
        <v>51</v>
      </c>
      <c r="C44" t="s">
        <v>536</v>
      </c>
      <c r="D44" s="8" t="s">
        <v>2</v>
      </c>
      <c r="E44" s="2">
        <f>SUMIFS(LS[Unit],LS[Investor ID],INVESTORS_LIST[[#This Row],[INVESTOR CODE]],LS[B/S],"B")</f>
        <v>60000</v>
      </c>
      <c r="F44" s="2">
        <f>-SUMIFS(LS[Unit],LS[Investor ID],INVESTORS_LIST[[#This Row],[INVESTOR CODE]],LS[B/S],"S")</f>
        <v>60000</v>
      </c>
      <c r="G44" s="2">
        <f>IF(INVESTORS_LIST[[#This Row],[LS_TOTAL UNITS BUY]]=0,0,INVESTORS_LIST[[#This Row],[LS_TOTAL UNITS BUY]]-INVESTORS_LIST[[#This Row],[LS_TOTAL UNITS SOLD]])</f>
        <v>0</v>
      </c>
      <c r="H44" s="4">
        <f>IF(INVESTORS_LIST[[#This Row],[LS_TOTAL UNITS BUY]]=0,0,SUMIFS(LS[Amount],LS[Investor ID],INVESTORS_LIST[[#This Row],[INVESTOR CODE]],LS[B/S],"B"))</f>
        <v>600000</v>
      </c>
      <c r="I44" s="6">
        <f>IF(INVESTORS_LIST[[#This Row],[LS_TOTAL UNITS SOLD]]=0,0,SUMIFS(LS[Cost of Units Sold],LS[Investor ID],INVESTORS_LIST[[#This Row],[INVESTOR CODE]],LS[B/S],"S"))</f>
        <v>600000</v>
      </c>
      <c r="J44" s="6">
        <f>IF(INVESTORS_LIST[[#This Row],[LS_TOTAL CURRENT UNITS]]=0,0,INVESTORS_LIST[[#This Row],[LS_TOTAL CURRENT UNITS]]*INVESTORS_LIST[[#This Row],[LS_AVERAGE COST]])</f>
        <v>0</v>
      </c>
      <c r="K44" s="4">
        <f>IF(INVESTORS_LIST[[#This Row],[LS_TOTAL UNITS SOLD]]=0,0,SUMIFS(LS[Realized Gain],LS[Investor ID],INVESTORS_LIST[[#This Row],[INVESTOR CODE]],LS[B/S],"S"))</f>
        <v>18659.999999999996</v>
      </c>
      <c r="L44" s="2">
        <f>SUMIFS(SIP[Unit],SIP[Investor ID],INVESTORS_LIST[[#This Row],[INVESTOR CODE]],SIP[B/S],"B")</f>
        <v>0</v>
      </c>
      <c r="M44" s="2">
        <f>-SUMIFS(SIP[Unit],SIP[Investor ID],INVESTORS_LIST[[#This Row],[INVESTOR CODE]],SIP[B/S],"S")</f>
        <v>0</v>
      </c>
      <c r="N44" s="33">
        <f>IF(INVESTORS_LIST[[#This Row],[SIP_TOTAL UNITS BUY]]=0,0,INVESTORS_LIST[[#This Row],[SIP_TOTAL UNITS BUY]]-INVESTORS_LIST[[#This Row],[SIP_TOTAL UNITS SOLD]])</f>
        <v>0</v>
      </c>
      <c r="O44" s="4">
        <f>IF(INVESTORS_LIST[[#This Row],[SIP_TOTAL UNITS BUY]]=0,0,SUMIFS(SIP[Amount],SIP[Investor ID],INVESTORS_LIST[[#This Row],[INVESTOR CODE]],SIP[B/S],"B"))</f>
        <v>0</v>
      </c>
      <c r="P44" s="4">
        <f>IF(INVESTORS_LIST[[#This Row],[SIP_TOTAL UNITS SOLD]]=0,0,SUMIFS(SIP[Cost of Units Sold],SIP[Investor ID],INVESTORS_LIST[[#This Row],[INVESTOR CODE]],SIP[B/S],"S"))</f>
        <v>0</v>
      </c>
      <c r="Q44" s="6">
        <f>IF(INVESTORS_LIST[[#This Row],[SIP_TOTAL CURRENT UNITS]]=0,0,INVESTORS_LIST[[#This Row],[SIP_TOTAL CURRENT UNITS]]*INVESTORS_LIST[[#This Row],[SIP_AVERAGE COST]])</f>
        <v>0</v>
      </c>
      <c r="R44" s="6">
        <f>IF(INVESTORS_LIST[[#This Row],[SIP_TOTAL UNITS SOLD]]=0,0,SUMIFS(SIP[Realized Gain],SIP[Investor ID],INVESTORS_LIST[[#This Row],[INVESTOR CODE]],SIP[B/S],"S"))</f>
        <v>0</v>
      </c>
      <c r="S44" s="33">
        <f>INVESTORS_LIST[[#This Row],[LS_TOTAL UNITS BUY]]+INVESTORS_LIST[[#This Row],[SIP_TOTAL UNITS BUY]]</f>
        <v>60000</v>
      </c>
      <c r="T44" s="33">
        <f>INVESTORS_LIST[[#This Row],[LS_TOTAL UNITS SOLD]]+INVESTORS_LIST[[#This Row],[SIP_TOTAL UNITS SOLD]]</f>
        <v>60000</v>
      </c>
      <c r="U44" s="33">
        <v>60000</v>
      </c>
      <c r="V44" s="33">
        <f>SUMIFS(LS[BO UNIT TRANSFER],LS[Investor ID],INVESTORS_LIST[[#This Row],[INVESTOR CODE]],LS[B/S],"B")</f>
        <v>0</v>
      </c>
      <c r="W44" s="33">
        <f>SUMIFS(LS[BO UNIT TRANSFER],LS[Investor ID],INVESTORS_LIST[[#This Row],[INVESTOR CODE]],LS[B/S],"S")</f>
        <v>0</v>
      </c>
      <c r="X44" s="33">
        <f>SUMIFS(SIP[BO UNIT TRANSFER],SIP[Investor ID],INVESTORS_LIST[[#This Row],[INVESTOR CODE]],SIP[B/S],"S")</f>
        <v>0</v>
      </c>
      <c r="Y44" s="33">
        <f>SUMIFS(SIP[BO UNIT TRANSFER],SIP[Investor ID],INVESTORS_LIST[[#This Row],[INVESTOR CODE]],SIP[B/S],"B")</f>
        <v>0</v>
      </c>
      <c r="Z4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60000</v>
      </c>
      <c r="AA44" s="119">
        <f>INVESTORS_LIST[[#This Row],[TOTAL UNITS BUY]]-INVESTORS_LIST[[#This Row],[TOTAL UNITS SOLD]]</f>
        <v>0</v>
      </c>
      <c r="AB44" s="119">
        <f>INVESTORS_LIST[[#This Row],[TOTAL CURRENT UNITS]]-INVESTORS_LIST[[#This Row],[BO UNITS HOLD]]</f>
        <v>-60000</v>
      </c>
      <c r="AC44" s="119" t="e">
        <f>INDEX([4]!Table_1[BO ID],MATCH(INVESTORS_LIST[[#This Row],[INVESTOR CODE]],[4]!Table_1[INVESTOR CODE],0))</f>
        <v>#REF!</v>
      </c>
      <c r="AD44" s="33">
        <f>INVESTORS_LIST[[#This Row],[LS_TOTAL COST VALUE OF CURRENT UNITS]]+INVESTORS_LIST[[#This Row],[SIP_TOTAL COST VALUE OF CURRENT UNITS]]</f>
        <v>0</v>
      </c>
      <c r="AE44" s="44">
        <f>IF(INVESTORS_LIST[[#This Row],[TOTAL CURRENT UNITS]]=0,0,INVESTORS_LIST[[#This Row],[LS_TOTAL CURRENT UNITS]]/INVESTORS_LIST[[#This Row],[TOTAL CURRENT UNITS]])</f>
        <v>0</v>
      </c>
      <c r="AF44" s="44">
        <f>IF(INVESTORS_LIST[[#This Row],[TOTAL CURRENT UNITS]]=0,0,INVESTORS_LIST[[#This Row],[SIP_TOTAL CURRENT UNITS]]/INVESTORS_LIST[[#This Row],[TOTAL CURRENT UNITS]])</f>
        <v>0</v>
      </c>
      <c r="AG44" s="4" cm="1">
        <f t="array" ref="AG4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4" s="4" cm="1">
        <f t="array" ref="AH4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4" s="178">
        <f t="shared" si="0"/>
        <v>12.552</v>
      </c>
      <c r="AK44" s="118">
        <f>IF(INVESTORS_LIST[[#This Row],[TOTAL CURRENT UNITS]]=0,0,INVESTORS_LIST[[#This Row],[TOTAL CURRENT UNITS]]*INVESTORS_LIST[[#This Row],[NAV]])</f>
        <v>0</v>
      </c>
      <c r="AL44" s="4">
        <f>IF(INVESTORS_LIST[[#This Row],[LS_TOTAL CURRENT UNITS]]=0,0,INVESTORS_LIST[[#This Row],[LS_TOTAL CURRENT UNITS]]*INVESTORS_LIST[[#This Row],[NAV]])</f>
        <v>0</v>
      </c>
      <c r="AM44" s="6">
        <f>IF(INVESTORS_LIST[[#This Row],[SIP_TOTAL CURRENT UNITS]]=0,0,INVESTORS_LIST[[#This Row],[SIP_TOTAL CURRENT UNITS]]*INVESTORS_LIST[[#This Row],[NAV]])</f>
        <v>0</v>
      </c>
      <c r="AO44" s="6">
        <f>IF(INVESTORS_LIST[[#This Row],[TOTAL SELLABLE UNITS]]=0,0,INVESTORS_LIST[[#This Row],[TOTAL SELLABLE UNITS]]*INVESTORS_LIST[[#This Row],[NAV]])</f>
        <v>0</v>
      </c>
      <c r="AP44" s="6">
        <f>INVESTORS_LIST[[#This Row],[LS_TOTAL REALIZED GAIN]]+INVESTORS_LIST[[#This Row],[SIP_TOTAL REALIZED GAIN]]</f>
        <v>18659.999999999996</v>
      </c>
      <c r="AQ44" s="6">
        <f>INVESTORS_LIST[[#This Row],[TOTAL MARKET VALUE]]-INVESTORS_LIST[[#This Row],[TOTAL COST VALUE OF CURRENT INVESTMENT]]</f>
        <v>0</v>
      </c>
      <c r="AR44" s="6">
        <f>SUMIFS(DivAndTax[Tax Amount],DivAndTax[Investor ID],INVESTORS_LIST[[#This Row],[INVESTOR CODE]])</f>
        <v>0</v>
      </c>
      <c r="AS44" s="6">
        <f>SUMIFS(DivAndTax[Gross Dividend],DivAndTax[Investor ID],INVESTORS_LIST[[#This Row],[INVESTOR CODE]])</f>
        <v>0</v>
      </c>
      <c r="AT44" s="5">
        <f>IFERROR(INVESTORS_LIST[[#This Row],[TOTAL CURRENT UNITS]]/SUM(INVESTORS_LIST[TOTAL CURRENT UNITS]),0)</f>
        <v>0</v>
      </c>
    </row>
    <row r="45" spans="1:48" hidden="1">
      <c r="A45" t="s">
        <v>752</v>
      </c>
      <c r="B45" t="s">
        <v>52</v>
      </c>
      <c r="C45" t="s">
        <v>538</v>
      </c>
      <c r="D45" s="8" t="s">
        <v>2</v>
      </c>
      <c r="E45" s="2">
        <f>SUMIFS(LS[Unit],LS[Investor ID],INVESTORS_LIST[[#This Row],[INVESTOR CODE]],LS[B/S],"B")</f>
        <v>0</v>
      </c>
      <c r="F45" s="2">
        <f>-SUMIFS(LS[Unit],LS[Investor ID],INVESTORS_LIST[[#This Row],[INVESTOR CODE]],LS[B/S],"S")</f>
        <v>0</v>
      </c>
      <c r="G45" s="2">
        <f>IF(INVESTORS_LIST[[#This Row],[LS_TOTAL UNITS BUY]]=0,0,INVESTORS_LIST[[#This Row],[LS_TOTAL UNITS BUY]]-INVESTORS_LIST[[#This Row],[LS_TOTAL UNITS SOLD]])</f>
        <v>0</v>
      </c>
      <c r="H45" s="4">
        <f>IF(INVESTORS_LIST[[#This Row],[LS_TOTAL UNITS BUY]]=0,0,SUMIFS(LS[Amount],LS[Investor ID],INVESTORS_LIST[[#This Row],[INVESTOR CODE]],LS[B/S],"B"))</f>
        <v>0</v>
      </c>
      <c r="I45" s="6">
        <f>IF(INVESTORS_LIST[[#This Row],[LS_TOTAL UNITS SOLD]]=0,0,SUMIFS(LS[Cost of Units Sold],LS[Investor ID],INVESTORS_LIST[[#This Row],[INVESTOR CODE]],LS[B/S],"S"))</f>
        <v>0</v>
      </c>
      <c r="J45" s="6">
        <f>IF(INVESTORS_LIST[[#This Row],[LS_TOTAL CURRENT UNITS]]=0,0,INVESTORS_LIST[[#This Row],[LS_TOTAL CURRENT UNITS]]*INVESTORS_LIST[[#This Row],[LS_AVERAGE COST]])</f>
        <v>0</v>
      </c>
      <c r="K45" s="4">
        <f>IF(INVESTORS_LIST[[#This Row],[LS_TOTAL UNITS SOLD]]=0,0,SUMIFS(LS[Realized Gain],LS[Investor ID],INVESTORS_LIST[[#This Row],[INVESTOR CODE]],LS[B/S],"S"))</f>
        <v>0</v>
      </c>
      <c r="L45" s="2">
        <f>SUMIFS(SIP[Unit],SIP[Investor ID],INVESTORS_LIST[[#This Row],[INVESTOR CODE]],SIP[B/S],"B")</f>
        <v>0</v>
      </c>
      <c r="M45" s="2">
        <f>-SUMIFS(SIP[Unit],SIP[Investor ID],INVESTORS_LIST[[#This Row],[INVESTOR CODE]],SIP[B/S],"S")</f>
        <v>0</v>
      </c>
      <c r="N45" s="33">
        <f>IF(INVESTORS_LIST[[#This Row],[SIP_TOTAL UNITS BUY]]=0,0,INVESTORS_LIST[[#This Row],[SIP_TOTAL UNITS BUY]]-INVESTORS_LIST[[#This Row],[SIP_TOTAL UNITS SOLD]])</f>
        <v>0</v>
      </c>
      <c r="O45" s="4">
        <f>IF(INVESTORS_LIST[[#This Row],[SIP_TOTAL UNITS BUY]]=0,0,SUMIFS(SIP[Amount],SIP[Investor ID],INVESTORS_LIST[[#This Row],[INVESTOR CODE]],SIP[B/S],"B"))</f>
        <v>0</v>
      </c>
      <c r="P45" s="4">
        <f>IF(INVESTORS_LIST[[#This Row],[SIP_TOTAL UNITS SOLD]]=0,0,SUMIFS(SIP[Cost of Units Sold],SIP[Investor ID],INVESTORS_LIST[[#This Row],[INVESTOR CODE]],SIP[B/S],"S"))</f>
        <v>0</v>
      </c>
      <c r="Q45" s="6">
        <f>IF(INVESTORS_LIST[[#This Row],[SIP_TOTAL CURRENT UNITS]]=0,0,INVESTORS_LIST[[#This Row],[SIP_TOTAL CURRENT UNITS]]*INVESTORS_LIST[[#This Row],[SIP_AVERAGE COST]])</f>
        <v>0</v>
      </c>
      <c r="R45" s="6">
        <f>IF(INVESTORS_LIST[[#This Row],[SIP_TOTAL UNITS SOLD]]=0,0,SUMIFS(SIP[Realized Gain],SIP[Investor ID],INVESTORS_LIST[[#This Row],[INVESTOR CODE]],SIP[B/S],"S"))</f>
        <v>0</v>
      </c>
      <c r="S45" s="33">
        <f>INVESTORS_LIST[[#This Row],[LS_TOTAL UNITS BUY]]+INVESTORS_LIST[[#This Row],[SIP_TOTAL UNITS BUY]]</f>
        <v>0</v>
      </c>
      <c r="T45" s="33">
        <f>INVESTORS_LIST[[#This Row],[LS_TOTAL UNITS SOLD]]+INVESTORS_LIST[[#This Row],[SIP_TOTAL UNITS SOLD]]</f>
        <v>0</v>
      </c>
      <c r="U45" s="33">
        <v>0</v>
      </c>
      <c r="V45" s="33">
        <f>SUMIFS(LS[BO UNIT TRANSFER],LS[Investor ID],INVESTORS_LIST[[#This Row],[INVESTOR CODE]],LS[B/S],"B")</f>
        <v>0</v>
      </c>
      <c r="W45" s="33">
        <f>SUMIFS(LS[BO UNIT TRANSFER],LS[Investor ID],INVESTORS_LIST[[#This Row],[INVESTOR CODE]],LS[B/S],"S")</f>
        <v>0</v>
      </c>
      <c r="X45" s="33">
        <f>SUMIFS(SIP[BO UNIT TRANSFER],SIP[Investor ID],INVESTORS_LIST[[#This Row],[INVESTOR CODE]],SIP[B/S],"S")</f>
        <v>0</v>
      </c>
      <c r="Y45" s="33">
        <f>SUMIFS(SIP[BO UNIT TRANSFER],SIP[Investor ID],INVESTORS_LIST[[#This Row],[INVESTOR CODE]],SIP[B/S],"B")</f>
        <v>0</v>
      </c>
      <c r="Z4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5" s="119">
        <f>INVESTORS_LIST[[#This Row],[TOTAL UNITS BUY]]-INVESTORS_LIST[[#This Row],[TOTAL UNITS SOLD]]</f>
        <v>0</v>
      </c>
      <c r="AB45" s="119">
        <f>INVESTORS_LIST[[#This Row],[TOTAL CURRENT UNITS]]-INVESTORS_LIST[[#This Row],[BO UNITS HOLD]]</f>
        <v>0</v>
      </c>
      <c r="AC45" s="119" t="e">
        <f>INDEX([4]!Table_1[BO ID],MATCH(INVESTORS_LIST[[#This Row],[INVESTOR CODE]],[4]!Table_1[INVESTOR CODE],0))</f>
        <v>#REF!</v>
      </c>
      <c r="AD45" s="33">
        <f>INVESTORS_LIST[[#This Row],[LS_TOTAL COST VALUE OF CURRENT UNITS]]+INVESTORS_LIST[[#This Row],[SIP_TOTAL COST VALUE OF CURRENT UNITS]]</f>
        <v>0</v>
      </c>
      <c r="AE45" s="44">
        <f>IF(INVESTORS_LIST[[#This Row],[TOTAL CURRENT UNITS]]=0,0,INVESTORS_LIST[[#This Row],[LS_TOTAL CURRENT UNITS]]/INVESTORS_LIST[[#This Row],[TOTAL CURRENT UNITS]])</f>
        <v>0</v>
      </c>
      <c r="AF45" s="44">
        <f>IF(INVESTORS_LIST[[#This Row],[TOTAL CURRENT UNITS]]=0,0,INVESTORS_LIST[[#This Row],[SIP_TOTAL CURRENT UNITS]]/INVESTORS_LIST[[#This Row],[TOTAL CURRENT UNITS]])</f>
        <v>0</v>
      </c>
      <c r="AG45" s="4" cm="1">
        <f t="array" ref="AG4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5" s="4" cm="1">
        <f t="array" ref="AH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5" s="178">
        <f t="shared" si="0"/>
        <v>12.552</v>
      </c>
      <c r="AK45" s="118">
        <f>IF(INVESTORS_LIST[[#This Row],[TOTAL CURRENT UNITS]]=0,0,INVESTORS_LIST[[#This Row],[TOTAL CURRENT UNITS]]*INVESTORS_LIST[[#This Row],[NAV]])</f>
        <v>0</v>
      </c>
      <c r="AL45" s="4">
        <f>IF(INVESTORS_LIST[[#This Row],[LS_TOTAL CURRENT UNITS]]=0,0,INVESTORS_LIST[[#This Row],[LS_TOTAL CURRENT UNITS]]*INVESTORS_LIST[[#This Row],[NAV]])</f>
        <v>0</v>
      </c>
      <c r="AM45" s="6">
        <f>IF(INVESTORS_LIST[[#This Row],[SIP_TOTAL CURRENT UNITS]]=0,0,INVESTORS_LIST[[#This Row],[SIP_TOTAL CURRENT UNITS]]*INVESTORS_LIST[[#This Row],[NAV]])</f>
        <v>0</v>
      </c>
      <c r="AO45" s="6">
        <f>IF(INVESTORS_LIST[[#This Row],[TOTAL SELLABLE UNITS]]=0,0,INVESTORS_LIST[[#This Row],[TOTAL SELLABLE UNITS]]*INVESTORS_LIST[[#This Row],[NAV]])</f>
        <v>0</v>
      </c>
      <c r="AP45" s="6">
        <f>INVESTORS_LIST[[#This Row],[LS_TOTAL REALIZED GAIN]]+INVESTORS_LIST[[#This Row],[SIP_TOTAL REALIZED GAIN]]</f>
        <v>0</v>
      </c>
      <c r="AQ45" s="6">
        <f>INVESTORS_LIST[[#This Row],[TOTAL MARKET VALUE]]-INVESTORS_LIST[[#This Row],[TOTAL COST VALUE OF CURRENT INVESTMENT]]</f>
        <v>0</v>
      </c>
      <c r="AR45" s="6">
        <f>SUMIFS(DivAndTax[Tax Amount],DivAndTax[Investor ID],INVESTORS_LIST[[#This Row],[INVESTOR CODE]])</f>
        <v>0</v>
      </c>
      <c r="AS45" s="6">
        <f>SUMIFS(DivAndTax[Gross Dividend],DivAndTax[Investor ID],INVESTORS_LIST[[#This Row],[INVESTOR CODE]])</f>
        <v>0</v>
      </c>
      <c r="AT45" s="5">
        <f>IFERROR(INVESTORS_LIST[[#This Row],[TOTAL CURRENT UNITS]]/SUM(INVESTORS_LIST[TOTAL CURRENT UNITS]),0)</f>
        <v>0</v>
      </c>
    </row>
    <row r="46" spans="1:48" hidden="1">
      <c r="A46" t="s">
        <v>753</v>
      </c>
      <c r="B46" t="s">
        <v>53</v>
      </c>
      <c r="C46" t="s">
        <v>537</v>
      </c>
      <c r="D46" s="8" t="s">
        <v>5</v>
      </c>
      <c r="E46" s="2">
        <f>SUMIFS(LS[Unit],LS[Investor ID],INVESTORS_LIST[[#This Row],[INVESTOR CODE]],LS[B/S],"B")</f>
        <v>0</v>
      </c>
      <c r="F46" s="2">
        <f>-SUMIFS(LS[Unit],LS[Investor ID],INVESTORS_LIST[[#This Row],[INVESTOR CODE]],LS[B/S],"S")</f>
        <v>0</v>
      </c>
      <c r="G46" s="2">
        <f>IF(INVESTORS_LIST[[#This Row],[LS_TOTAL UNITS BUY]]=0,0,INVESTORS_LIST[[#This Row],[LS_TOTAL UNITS BUY]]-INVESTORS_LIST[[#This Row],[LS_TOTAL UNITS SOLD]])</f>
        <v>0</v>
      </c>
      <c r="H46" s="4">
        <f>IF(INVESTORS_LIST[[#This Row],[LS_TOTAL UNITS BUY]]=0,0,SUMIFS(LS[Amount],LS[Investor ID],INVESTORS_LIST[[#This Row],[INVESTOR CODE]],LS[B/S],"B"))</f>
        <v>0</v>
      </c>
      <c r="I46" s="6">
        <f>IF(INVESTORS_LIST[[#This Row],[LS_TOTAL UNITS SOLD]]=0,0,SUMIFS(LS[Cost of Units Sold],LS[Investor ID],INVESTORS_LIST[[#This Row],[INVESTOR CODE]],LS[B/S],"S"))</f>
        <v>0</v>
      </c>
      <c r="J46" s="6">
        <f>IF(INVESTORS_LIST[[#This Row],[LS_TOTAL CURRENT UNITS]]=0,0,INVESTORS_LIST[[#This Row],[LS_TOTAL CURRENT UNITS]]*INVESTORS_LIST[[#This Row],[LS_AVERAGE COST]])</f>
        <v>0</v>
      </c>
      <c r="K46" s="4">
        <f>IF(INVESTORS_LIST[[#This Row],[LS_TOTAL UNITS SOLD]]=0,0,SUMIFS(LS[Realized Gain],LS[Investor ID],INVESTORS_LIST[[#This Row],[INVESTOR CODE]],LS[B/S],"S"))</f>
        <v>0</v>
      </c>
      <c r="L46" s="2">
        <f>SUMIFS(SIP[Unit],SIP[Investor ID],INVESTORS_LIST[[#This Row],[INVESTOR CODE]],SIP[B/S],"B")</f>
        <v>0</v>
      </c>
      <c r="M46" s="2">
        <f>-SUMIFS(SIP[Unit],SIP[Investor ID],INVESTORS_LIST[[#This Row],[INVESTOR CODE]],SIP[B/S],"S")</f>
        <v>0</v>
      </c>
      <c r="N46" s="33">
        <f>IF(INVESTORS_LIST[[#This Row],[SIP_TOTAL UNITS BUY]]=0,0,INVESTORS_LIST[[#This Row],[SIP_TOTAL UNITS BUY]]-INVESTORS_LIST[[#This Row],[SIP_TOTAL UNITS SOLD]])</f>
        <v>0</v>
      </c>
      <c r="O46" s="4">
        <f>IF(INVESTORS_LIST[[#This Row],[SIP_TOTAL UNITS BUY]]=0,0,SUMIFS(SIP[Amount],SIP[Investor ID],INVESTORS_LIST[[#This Row],[INVESTOR CODE]],SIP[B/S],"B"))</f>
        <v>0</v>
      </c>
      <c r="P46" s="4">
        <f>IF(INVESTORS_LIST[[#This Row],[SIP_TOTAL UNITS SOLD]]=0,0,SUMIFS(SIP[Cost of Units Sold],SIP[Investor ID],INVESTORS_LIST[[#This Row],[INVESTOR CODE]],SIP[B/S],"S"))</f>
        <v>0</v>
      </c>
      <c r="Q46" s="6">
        <f>IF(INVESTORS_LIST[[#This Row],[SIP_TOTAL CURRENT UNITS]]=0,0,INVESTORS_LIST[[#This Row],[SIP_TOTAL CURRENT UNITS]]*INVESTORS_LIST[[#This Row],[SIP_AVERAGE COST]])</f>
        <v>0</v>
      </c>
      <c r="R46" s="6">
        <f>IF(INVESTORS_LIST[[#This Row],[SIP_TOTAL UNITS SOLD]]=0,0,SUMIFS(SIP[Realized Gain],SIP[Investor ID],INVESTORS_LIST[[#This Row],[INVESTOR CODE]],SIP[B/S],"S"))</f>
        <v>0</v>
      </c>
      <c r="S46" s="33">
        <f>INVESTORS_LIST[[#This Row],[LS_TOTAL UNITS BUY]]+INVESTORS_LIST[[#This Row],[SIP_TOTAL UNITS BUY]]</f>
        <v>0</v>
      </c>
      <c r="T46" s="33">
        <f>INVESTORS_LIST[[#This Row],[LS_TOTAL UNITS SOLD]]+INVESTORS_LIST[[#This Row],[SIP_TOTAL UNITS SOLD]]</f>
        <v>0</v>
      </c>
      <c r="U46" s="33">
        <v>0</v>
      </c>
      <c r="V46" s="33">
        <f>SUMIFS(LS[BO UNIT TRANSFER],LS[Investor ID],INVESTORS_LIST[[#This Row],[INVESTOR CODE]],LS[B/S],"B")</f>
        <v>0</v>
      </c>
      <c r="W46" s="33">
        <f>SUMIFS(LS[BO UNIT TRANSFER],LS[Investor ID],INVESTORS_LIST[[#This Row],[INVESTOR CODE]],LS[B/S],"S")</f>
        <v>0</v>
      </c>
      <c r="X46" s="33">
        <f>SUMIFS(SIP[BO UNIT TRANSFER],SIP[Investor ID],INVESTORS_LIST[[#This Row],[INVESTOR CODE]],SIP[B/S],"S")</f>
        <v>0</v>
      </c>
      <c r="Y46" s="33">
        <f>SUMIFS(SIP[BO UNIT TRANSFER],SIP[Investor ID],INVESTORS_LIST[[#This Row],[INVESTOR CODE]],SIP[B/S],"B")</f>
        <v>0</v>
      </c>
      <c r="Z4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6" s="119">
        <f>INVESTORS_LIST[[#This Row],[TOTAL UNITS BUY]]-INVESTORS_LIST[[#This Row],[TOTAL UNITS SOLD]]</f>
        <v>0</v>
      </c>
      <c r="AB46" s="119">
        <f>INVESTORS_LIST[[#This Row],[TOTAL CURRENT UNITS]]-INVESTORS_LIST[[#This Row],[BO UNITS HOLD]]</f>
        <v>0</v>
      </c>
      <c r="AC46" s="119" t="e">
        <f>INDEX([4]!Table_1[BO ID],MATCH(INVESTORS_LIST[[#This Row],[INVESTOR CODE]],[4]!Table_1[INVESTOR CODE],0))</f>
        <v>#REF!</v>
      </c>
      <c r="AD46" s="33">
        <f>INVESTORS_LIST[[#This Row],[LS_TOTAL COST VALUE OF CURRENT UNITS]]+INVESTORS_LIST[[#This Row],[SIP_TOTAL COST VALUE OF CURRENT UNITS]]</f>
        <v>0</v>
      </c>
      <c r="AE46" s="44">
        <f>IF(INVESTORS_LIST[[#This Row],[TOTAL CURRENT UNITS]]=0,0,INVESTORS_LIST[[#This Row],[LS_TOTAL CURRENT UNITS]]/INVESTORS_LIST[[#This Row],[TOTAL CURRENT UNITS]])</f>
        <v>0</v>
      </c>
      <c r="AF46" s="44">
        <f>IF(INVESTORS_LIST[[#This Row],[TOTAL CURRENT UNITS]]=0,0,INVESTORS_LIST[[#This Row],[SIP_TOTAL CURRENT UNITS]]/INVESTORS_LIST[[#This Row],[TOTAL CURRENT UNITS]])</f>
        <v>0</v>
      </c>
      <c r="AG46" s="4" cm="1">
        <f t="array" ref="AG4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6" s="4" cm="1">
        <f t="array" ref="AH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6" s="178">
        <f t="shared" si="0"/>
        <v>12.552</v>
      </c>
      <c r="AK46" s="118">
        <f>IF(INVESTORS_LIST[[#This Row],[TOTAL CURRENT UNITS]]=0,0,INVESTORS_LIST[[#This Row],[TOTAL CURRENT UNITS]]*INVESTORS_LIST[[#This Row],[NAV]])</f>
        <v>0</v>
      </c>
      <c r="AL46" s="4">
        <f>IF(INVESTORS_LIST[[#This Row],[LS_TOTAL CURRENT UNITS]]=0,0,INVESTORS_LIST[[#This Row],[LS_TOTAL CURRENT UNITS]]*INVESTORS_LIST[[#This Row],[NAV]])</f>
        <v>0</v>
      </c>
      <c r="AM46" s="6">
        <f>IF(INVESTORS_LIST[[#This Row],[SIP_TOTAL CURRENT UNITS]]=0,0,INVESTORS_LIST[[#This Row],[SIP_TOTAL CURRENT UNITS]]*INVESTORS_LIST[[#This Row],[NAV]])</f>
        <v>0</v>
      </c>
      <c r="AO46" s="6">
        <f>IF(INVESTORS_LIST[[#This Row],[TOTAL SELLABLE UNITS]]=0,0,INVESTORS_LIST[[#This Row],[TOTAL SELLABLE UNITS]]*INVESTORS_LIST[[#This Row],[NAV]])</f>
        <v>0</v>
      </c>
      <c r="AP46" s="6">
        <f>INVESTORS_LIST[[#This Row],[LS_TOTAL REALIZED GAIN]]+INVESTORS_LIST[[#This Row],[SIP_TOTAL REALIZED GAIN]]</f>
        <v>0</v>
      </c>
      <c r="AQ46" s="6">
        <f>INVESTORS_LIST[[#This Row],[TOTAL MARKET VALUE]]-INVESTORS_LIST[[#This Row],[TOTAL COST VALUE OF CURRENT INVESTMENT]]</f>
        <v>0</v>
      </c>
      <c r="AR46" s="6">
        <f>SUMIFS(DivAndTax[Tax Amount],DivAndTax[Investor ID],INVESTORS_LIST[[#This Row],[INVESTOR CODE]])</f>
        <v>0</v>
      </c>
      <c r="AS46" s="6">
        <f>SUMIFS(DivAndTax[Gross Dividend],DivAndTax[Investor ID],INVESTORS_LIST[[#This Row],[INVESTOR CODE]])</f>
        <v>0</v>
      </c>
      <c r="AT46" s="5">
        <f>IFERROR(INVESTORS_LIST[[#This Row],[TOTAL CURRENT UNITS]]/SUM(INVESTORS_LIST[TOTAL CURRENT UNITS]),0)</f>
        <v>0</v>
      </c>
    </row>
    <row r="47" spans="1:48">
      <c r="A47" t="s">
        <v>619</v>
      </c>
      <c r="B47" t="s">
        <v>54</v>
      </c>
      <c r="C47" t="s">
        <v>537</v>
      </c>
      <c r="D47" s="8" t="s">
        <v>5</v>
      </c>
      <c r="E47" s="2">
        <f>SUMIFS(LS[Unit],LS[Investor ID],INVESTORS_LIST[[#This Row],[INVESTOR CODE]],LS[B/S],"B")</f>
        <v>250000</v>
      </c>
      <c r="F47" s="2">
        <f>-SUMIFS(LS[Unit],LS[Investor ID],INVESTORS_LIST[[#This Row],[INVESTOR CODE]],LS[B/S],"S")</f>
        <v>0</v>
      </c>
      <c r="G47" s="2">
        <f>IF(INVESTORS_LIST[[#This Row],[LS_TOTAL UNITS BUY]]=0,0,INVESTORS_LIST[[#This Row],[LS_TOTAL UNITS BUY]]-INVESTORS_LIST[[#This Row],[LS_TOTAL UNITS SOLD]])</f>
        <v>250000</v>
      </c>
      <c r="H47" s="4">
        <f>IF(INVESTORS_LIST[[#This Row],[LS_TOTAL UNITS BUY]]=0,0,SUMIFS(LS[Amount],LS[Investor ID],INVESTORS_LIST[[#This Row],[INVESTOR CODE]],LS[B/S],"B"))</f>
        <v>2500000</v>
      </c>
      <c r="I47" s="6">
        <f>IF(INVESTORS_LIST[[#This Row],[LS_TOTAL UNITS SOLD]]=0,0,SUMIFS(LS[Cost of Units Sold],LS[Investor ID],INVESTORS_LIST[[#This Row],[INVESTOR CODE]],LS[B/S],"S"))</f>
        <v>0</v>
      </c>
      <c r="J47" s="6">
        <f>IF(INVESTORS_LIST[[#This Row],[LS_TOTAL CURRENT UNITS]]=0,0,INVESTORS_LIST[[#This Row],[LS_TOTAL CURRENT UNITS]]*INVESTORS_LIST[[#This Row],[LS_AVERAGE COST]])</f>
        <v>2500000</v>
      </c>
      <c r="K47" s="4">
        <f>IF(INVESTORS_LIST[[#This Row],[LS_TOTAL UNITS SOLD]]=0,0,SUMIFS(LS[Realized Gain],LS[Investor ID],INVESTORS_LIST[[#This Row],[INVESTOR CODE]],LS[B/S],"S"))</f>
        <v>0</v>
      </c>
      <c r="L47" s="2">
        <f>SUMIFS(SIP[Unit],SIP[Investor ID],INVESTORS_LIST[[#This Row],[INVESTOR CODE]],SIP[B/S],"B")</f>
        <v>0</v>
      </c>
      <c r="M47" s="2">
        <f>-SUMIFS(SIP[Unit],SIP[Investor ID],INVESTORS_LIST[[#This Row],[INVESTOR CODE]],SIP[B/S],"S")</f>
        <v>0</v>
      </c>
      <c r="N47" s="33">
        <f>IF(INVESTORS_LIST[[#This Row],[SIP_TOTAL UNITS BUY]]=0,0,INVESTORS_LIST[[#This Row],[SIP_TOTAL UNITS BUY]]-INVESTORS_LIST[[#This Row],[SIP_TOTAL UNITS SOLD]])</f>
        <v>0</v>
      </c>
      <c r="O47" s="4">
        <f>IF(INVESTORS_LIST[[#This Row],[SIP_TOTAL UNITS BUY]]=0,0,SUMIFS(SIP[Amount],SIP[Investor ID],INVESTORS_LIST[[#This Row],[INVESTOR CODE]],SIP[B/S],"B"))</f>
        <v>0</v>
      </c>
      <c r="P47" s="4">
        <f>IF(INVESTORS_LIST[[#This Row],[SIP_TOTAL UNITS SOLD]]=0,0,SUMIFS(SIP[Cost of Units Sold],SIP[Investor ID],INVESTORS_LIST[[#This Row],[INVESTOR CODE]],SIP[B/S],"S"))</f>
        <v>0</v>
      </c>
      <c r="Q47" s="6">
        <f>IF(INVESTORS_LIST[[#This Row],[SIP_TOTAL CURRENT UNITS]]=0,0,INVESTORS_LIST[[#This Row],[SIP_TOTAL CURRENT UNITS]]*INVESTORS_LIST[[#This Row],[SIP_AVERAGE COST]])</f>
        <v>0</v>
      </c>
      <c r="R47" s="6">
        <f>IF(INVESTORS_LIST[[#This Row],[SIP_TOTAL UNITS SOLD]]=0,0,SUMIFS(SIP[Realized Gain],SIP[Investor ID],INVESTORS_LIST[[#This Row],[INVESTOR CODE]],SIP[B/S],"S"))</f>
        <v>0</v>
      </c>
      <c r="S47" s="33">
        <f>INVESTORS_LIST[[#This Row],[LS_TOTAL UNITS BUY]]+INVESTORS_LIST[[#This Row],[SIP_TOTAL UNITS BUY]]</f>
        <v>250000</v>
      </c>
      <c r="T47" s="33">
        <f>INVESTORS_LIST[[#This Row],[LS_TOTAL UNITS SOLD]]+INVESTORS_LIST[[#This Row],[SIP_TOTAL UNITS SOLD]]</f>
        <v>0</v>
      </c>
      <c r="U47" s="33">
        <v>250000</v>
      </c>
      <c r="V47" s="33">
        <f>SUMIFS(LS[BO UNIT TRANSFER],LS[Investor ID],INVESTORS_LIST[[#This Row],[INVESTOR CODE]],LS[B/S],"B")</f>
        <v>0</v>
      </c>
      <c r="W47" s="33">
        <f>SUMIFS(LS[BO UNIT TRANSFER],LS[Investor ID],INVESTORS_LIST[[#This Row],[INVESTOR CODE]],LS[B/S],"S")</f>
        <v>0</v>
      </c>
      <c r="X47" s="33">
        <f>SUMIFS(SIP[BO UNIT TRANSFER],SIP[Investor ID],INVESTORS_LIST[[#This Row],[INVESTOR CODE]],SIP[B/S],"S")</f>
        <v>0</v>
      </c>
      <c r="Y47" s="33">
        <f>SUMIFS(SIP[BO UNIT TRANSFER],SIP[Investor ID],INVESTORS_LIST[[#This Row],[INVESTOR CODE]],SIP[B/S],"B")</f>
        <v>0</v>
      </c>
      <c r="Z4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250000</v>
      </c>
      <c r="AA47" s="119">
        <f>INVESTORS_LIST[[#This Row],[TOTAL UNITS BUY]]-INVESTORS_LIST[[#This Row],[TOTAL UNITS SOLD]]</f>
        <v>250000</v>
      </c>
      <c r="AB47" s="119">
        <f>INVESTORS_LIST[[#This Row],[TOTAL CURRENT UNITS]]-INVESTORS_LIST[[#This Row],[BO UNITS HOLD]]</f>
        <v>0</v>
      </c>
      <c r="AC47" s="119" t="e">
        <f>INDEX([4]!Table_1[BO ID],MATCH(INVESTORS_LIST[[#This Row],[INVESTOR CODE]],[4]!Table_1[INVESTOR CODE],0))</f>
        <v>#REF!</v>
      </c>
      <c r="AD47" s="33">
        <f>INVESTORS_LIST[[#This Row],[LS_TOTAL COST VALUE OF CURRENT UNITS]]+INVESTORS_LIST[[#This Row],[SIP_TOTAL COST VALUE OF CURRENT UNITS]]</f>
        <v>2500000</v>
      </c>
      <c r="AE47" s="44">
        <f>IF(INVESTORS_LIST[[#This Row],[TOTAL CURRENT UNITS]]=0,0,INVESTORS_LIST[[#This Row],[LS_TOTAL CURRENT UNITS]]/INVESTORS_LIST[[#This Row],[TOTAL CURRENT UNITS]])</f>
        <v>1</v>
      </c>
      <c r="AF47" s="44">
        <f>IF(INVESTORS_LIST[[#This Row],[TOTAL CURRENT UNITS]]=0,0,INVESTORS_LIST[[#This Row],[SIP_TOTAL CURRENT UNITS]]/INVESTORS_LIST[[#This Row],[TOTAL CURRENT UNITS]])</f>
        <v>0</v>
      </c>
      <c r="AG47" s="4" cm="1">
        <f t="array" ref="AG47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47" s="4" cm="1">
        <f t="array" ref="AH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7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47" s="178">
        <f t="shared" si="0"/>
        <v>12.552</v>
      </c>
      <c r="AK47" s="118">
        <f>IF(INVESTORS_LIST[[#This Row],[TOTAL CURRENT UNITS]]=0,0,INVESTORS_LIST[[#This Row],[TOTAL CURRENT UNITS]]*INVESTORS_LIST[[#This Row],[NAV]])</f>
        <v>3138000</v>
      </c>
      <c r="AL47" s="4">
        <f>IF(INVESTORS_LIST[[#This Row],[LS_TOTAL CURRENT UNITS]]=0,0,INVESTORS_LIST[[#This Row],[LS_TOTAL CURRENT UNITS]]*INVESTORS_LIST[[#This Row],[NAV]])</f>
        <v>3138000</v>
      </c>
      <c r="AM47" s="6">
        <f>IF(INVESTORS_LIST[[#This Row],[SIP_TOTAL CURRENT UNITS]]=0,0,INVESTORS_LIST[[#This Row],[SIP_TOTAL CURRENT UNITS]]*INVESTORS_LIST[[#This Row],[NAV]])</f>
        <v>0</v>
      </c>
      <c r="AO47" s="6">
        <f>IF(INVESTORS_LIST[[#This Row],[TOTAL SELLABLE UNITS]]=0,0,INVESTORS_LIST[[#This Row],[TOTAL SELLABLE UNITS]]*INVESTORS_LIST[[#This Row],[NAV]])</f>
        <v>0</v>
      </c>
      <c r="AP47" s="6">
        <f>INVESTORS_LIST[[#This Row],[LS_TOTAL REALIZED GAIN]]+INVESTORS_LIST[[#This Row],[SIP_TOTAL REALIZED GAIN]]</f>
        <v>0</v>
      </c>
      <c r="AQ47" s="6">
        <f>INVESTORS_LIST[[#This Row],[TOTAL MARKET VALUE]]-INVESTORS_LIST[[#This Row],[TOTAL COST VALUE OF CURRENT INVESTMENT]]</f>
        <v>638000</v>
      </c>
      <c r="AR47" s="6">
        <f>SUMIFS(DivAndTax[Tax Amount],DivAndTax[Investor ID],INVESTORS_LIST[[#This Row],[INVESTOR CODE]])</f>
        <v>55000</v>
      </c>
      <c r="AS47" s="6">
        <f>SUMIFS(DivAndTax[Gross Dividend],DivAndTax[Investor ID],INVESTORS_LIST[[#This Row],[INVESTOR CODE]])</f>
        <v>275000</v>
      </c>
      <c r="AT47" s="5">
        <f>IFERROR(INVESTORS_LIST[[#This Row],[TOTAL CURRENT UNITS]]/SUM(INVESTORS_LIST[TOTAL CURRENT UNITS]),0)</f>
        <v>1.1986208764085713E-2</v>
      </c>
      <c r="AV47" s="86"/>
    </row>
    <row r="48" spans="1:48" hidden="1">
      <c r="A48" t="s">
        <v>754</v>
      </c>
      <c r="B48" t="s">
        <v>55</v>
      </c>
      <c r="C48" t="s">
        <v>536</v>
      </c>
      <c r="D48" s="8" t="s">
        <v>2</v>
      </c>
      <c r="E48" s="2">
        <f>SUMIFS(LS[Unit],LS[Investor ID],INVESTORS_LIST[[#This Row],[INVESTOR CODE]],LS[B/S],"B")</f>
        <v>0</v>
      </c>
      <c r="F48" s="2">
        <f>-SUMIFS(LS[Unit],LS[Investor ID],INVESTORS_LIST[[#This Row],[INVESTOR CODE]],LS[B/S],"S")</f>
        <v>0</v>
      </c>
      <c r="G48" s="2">
        <f>IF(INVESTORS_LIST[[#This Row],[LS_TOTAL UNITS BUY]]=0,0,INVESTORS_LIST[[#This Row],[LS_TOTAL UNITS BUY]]-INVESTORS_LIST[[#This Row],[LS_TOTAL UNITS SOLD]])</f>
        <v>0</v>
      </c>
      <c r="H48" s="4">
        <f>IF(INVESTORS_LIST[[#This Row],[LS_TOTAL UNITS BUY]]=0,0,SUMIFS(LS[Amount],LS[Investor ID],INVESTORS_LIST[[#This Row],[INVESTOR CODE]],LS[B/S],"B"))</f>
        <v>0</v>
      </c>
      <c r="I48" s="6">
        <f>IF(INVESTORS_LIST[[#This Row],[LS_TOTAL UNITS SOLD]]=0,0,SUMIFS(LS[Cost of Units Sold],LS[Investor ID],INVESTORS_LIST[[#This Row],[INVESTOR CODE]],LS[B/S],"S"))</f>
        <v>0</v>
      </c>
      <c r="J48" s="6">
        <f>IF(INVESTORS_LIST[[#This Row],[LS_TOTAL CURRENT UNITS]]=0,0,INVESTORS_LIST[[#This Row],[LS_TOTAL CURRENT UNITS]]*INVESTORS_LIST[[#This Row],[LS_AVERAGE COST]])</f>
        <v>0</v>
      </c>
      <c r="K48" s="4">
        <f>IF(INVESTORS_LIST[[#This Row],[LS_TOTAL UNITS SOLD]]=0,0,SUMIFS(LS[Realized Gain],LS[Investor ID],INVESTORS_LIST[[#This Row],[INVESTOR CODE]],LS[B/S],"S"))</f>
        <v>0</v>
      </c>
      <c r="L48" s="2">
        <f>SUMIFS(SIP[Unit],SIP[Investor ID],INVESTORS_LIST[[#This Row],[INVESTOR CODE]],SIP[B/S],"B")</f>
        <v>0</v>
      </c>
      <c r="M48" s="2">
        <f>-SUMIFS(SIP[Unit],SIP[Investor ID],INVESTORS_LIST[[#This Row],[INVESTOR CODE]],SIP[B/S],"S")</f>
        <v>0</v>
      </c>
      <c r="N48" s="33">
        <f>IF(INVESTORS_LIST[[#This Row],[SIP_TOTAL UNITS BUY]]=0,0,INVESTORS_LIST[[#This Row],[SIP_TOTAL UNITS BUY]]-INVESTORS_LIST[[#This Row],[SIP_TOTAL UNITS SOLD]])</f>
        <v>0</v>
      </c>
      <c r="O48" s="4">
        <f>IF(INVESTORS_LIST[[#This Row],[SIP_TOTAL UNITS BUY]]=0,0,SUMIFS(SIP[Amount],SIP[Investor ID],INVESTORS_LIST[[#This Row],[INVESTOR CODE]],SIP[B/S],"B"))</f>
        <v>0</v>
      </c>
      <c r="P48" s="4">
        <f>IF(INVESTORS_LIST[[#This Row],[SIP_TOTAL UNITS SOLD]]=0,0,SUMIFS(SIP[Cost of Units Sold],SIP[Investor ID],INVESTORS_LIST[[#This Row],[INVESTOR CODE]],SIP[B/S],"S"))</f>
        <v>0</v>
      </c>
      <c r="Q48" s="6">
        <f>IF(INVESTORS_LIST[[#This Row],[SIP_TOTAL CURRENT UNITS]]=0,0,INVESTORS_LIST[[#This Row],[SIP_TOTAL CURRENT UNITS]]*INVESTORS_LIST[[#This Row],[SIP_AVERAGE COST]])</f>
        <v>0</v>
      </c>
      <c r="R48" s="6">
        <f>IF(INVESTORS_LIST[[#This Row],[SIP_TOTAL UNITS SOLD]]=0,0,SUMIFS(SIP[Realized Gain],SIP[Investor ID],INVESTORS_LIST[[#This Row],[INVESTOR CODE]],SIP[B/S],"S"))</f>
        <v>0</v>
      </c>
      <c r="S48" s="33">
        <f>INVESTORS_LIST[[#This Row],[LS_TOTAL UNITS BUY]]+INVESTORS_LIST[[#This Row],[SIP_TOTAL UNITS BUY]]</f>
        <v>0</v>
      </c>
      <c r="T48" s="33">
        <f>INVESTORS_LIST[[#This Row],[LS_TOTAL UNITS SOLD]]+INVESTORS_LIST[[#This Row],[SIP_TOTAL UNITS SOLD]]</f>
        <v>0</v>
      </c>
      <c r="U48" s="33">
        <v>0</v>
      </c>
      <c r="V48" s="33">
        <f>SUMIFS(LS[BO UNIT TRANSFER],LS[Investor ID],INVESTORS_LIST[[#This Row],[INVESTOR CODE]],LS[B/S],"B")</f>
        <v>0</v>
      </c>
      <c r="W48" s="33">
        <f>SUMIFS(LS[BO UNIT TRANSFER],LS[Investor ID],INVESTORS_LIST[[#This Row],[INVESTOR CODE]],LS[B/S],"S")</f>
        <v>0</v>
      </c>
      <c r="X48" s="33">
        <f>SUMIFS(SIP[BO UNIT TRANSFER],SIP[Investor ID],INVESTORS_LIST[[#This Row],[INVESTOR CODE]],SIP[B/S],"S")</f>
        <v>0</v>
      </c>
      <c r="Y48" s="33">
        <f>SUMIFS(SIP[BO UNIT TRANSFER],SIP[Investor ID],INVESTORS_LIST[[#This Row],[INVESTOR CODE]],SIP[B/S],"B")</f>
        <v>0</v>
      </c>
      <c r="Z4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8" s="119">
        <f>INVESTORS_LIST[[#This Row],[TOTAL UNITS BUY]]-INVESTORS_LIST[[#This Row],[TOTAL UNITS SOLD]]</f>
        <v>0</v>
      </c>
      <c r="AB48" s="119">
        <f>INVESTORS_LIST[[#This Row],[TOTAL CURRENT UNITS]]-INVESTORS_LIST[[#This Row],[BO UNITS HOLD]]</f>
        <v>0</v>
      </c>
      <c r="AC48" s="119" t="e">
        <f>INDEX([4]!Table_1[BO ID],MATCH(INVESTORS_LIST[[#This Row],[INVESTOR CODE]],[4]!Table_1[INVESTOR CODE],0))</f>
        <v>#REF!</v>
      </c>
      <c r="AD48" s="33">
        <f>INVESTORS_LIST[[#This Row],[LS_TOTAL COST VALUE OF CURRENT UNITS]]+INVESTORS_LIST[[#This Row],[SIP_TOTAL COST VALUE OF CURRENT UNITS]]</f>
        <v>0</v>
      </c>
      <c r="AE48" s="44">
        <f>IF(INVESTORS_LIST[[#This Row],[TOTAL CURRENT UNITS]]=0,0,INVESTORS_LIST[[#This Row],[LS_TOTAL CURRENT UNITS]]/INVESTORS_LIST[[#This Row],[TOTAL CURRENT UNITS]])</f>
        <v>0</v>
      </c>
      <c r="AF48" s="44">
        <f>IF(INVESTORS_LIST[[#This Row],[TOTAL CURRENT UNITS]]=0,0,INVESTORS_LIST[[#This Row],[SIP_TOTAL CURRENT UNITS]]/INVESTORS_LIST[[#This Row],[TOTAL CURRENT UNITS]])</f>
        <v>0</v>
      </c>
      <c r="AG48" s="4" cm="1">
        <f t="array" ref="AG4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8" s="4" cm="1">
        <f t="array" ref="AH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8" s="178">
        <f t="shared" si="0"/>
        <v>12.552</v>
      </c>
      <c r="AK48" s="118">
        <f>IF(INVESTORS_LIST[[#This Row],[TOTAL CURRENT UNITS]]=0,0,INVESTORS_LIST[[#This Row],[TOTAL CURRENT UNITS]]*INVESTORS_LIST[[#This Row],[NAV]])</f>
        <v>0</v>
      </c>
      <c r="AL48" s="4">
        <f>IF(INVESTORS_LIST[[#This Row],[LS_TOTAL CURRENT UNITS]]=0,0,INVESTORS_LIST[[#This Row],[LS_TOTAL CURRENT UNITS]]*INVESTORS_LIST[[#This Row],[NAV]])</f>
        <v>0</v>
      </c>
      <c r="AM48" s="6">
        <f>IF(INVESTORS_LIST[[#This Row],[SIP_TOTAL CURRENT UNITS]]=0,0,INVESTORS_LIST[[#This Row],[SIP_TOTAL CURRENT UNITS]]*INVESTORS_LIST[[#This Row],[NAV]])</f>
        <v>0</v>
      </c>
      <c r="AO48" s="6">
        <f>IF(INVESTORS_LIST[[#This Row],[TOTAL SELLABLE UNITS]]=0,0,INVESTORS_LIST[[#This Row],[TOTAL SELLABLE UNITS]]*INVESTORS_LIST[[#This Row],[NAV]])</f>
        <v>0</v>
      </c>
      <c r="AP48" s="6">
        <f>INVESTORS_LIST[[#This Row],[LS_TOTAL REALIZED GAIN]]+INVESTORS_LIST[[#This Row],[SIP_TOTAL REALIZED GAIN]]</f>
        <v>0</v>
      </c>
      <c r="AQ48" s="6">
        <f>INVESTORS_LIST[[#This Row],[TOTAL MARKET VALUE]]-INVESTORS_LIST[[#This Row],[TOTAL COST VALUE OF CURRENT INVESTMENT]]</f>
        <v>0</v>
      </c>
      <c r="AR48" s="6">
        <f>SUMIFS(DivAndTax[Tax Amount],DivAndTax[Investor ID],INVESTORS_LIST[[#This Row],[INVESTOR CODE]])</f>
        <v>0</v>
      </c>
      <c r="AS48" s="6">
        <f>SUMIFS(DivAndTax[Gross Dividend],DivAndTax[Investor ID],INVESTORS_LIST[[#This Row],[INVESTOR CODE]])</f>
        <v>0</v>
      </c>
      <c r="AT48" s="5">
        <f>IFERROR(INVESTORS_LIST[[#This Row],[TOTAL CURRENT UNITS]]/SUM(INVESTORS_LIST[TOTAL CURRENT UNITS]),0)</f>
        <v>0</v>
      </c>
    </row>
    <row r="49" spans="1:46">
      <c r="A49" t="s">
        <v>620</v>
      </c>
      <c r="B49" t="s">
        <v>56</v>
      </c>
      <c r="C49" t="s">
        <v>537</v>
      </c>
      <c r="D49" s="8" t="s">
        <v>11</v>
      </c>
      <c r="E49" s="2">
        <f>SUMIFS(LS[Unit],LS[Investor ID],INVESTORS_LIST[[#This Row],[INVESTOR CODE]],LS[B/S],"B")</f>
        <v>102157</v>
      </c>
      <c r="F49" s="2">
        <f>-SUMIFS(LS[Unit],LS[Investor ID],INVESTORS_LIST[[#This Row],[INVESTOR CODE]],LS[B/S],"S")</f>
        <v>0</v>
      </c>
      <c r="G49" s="2">
        <f>IF(INVESTORS_LIST[[#This Row],[LS_TOTAL UNITS BUY]]=0,0,INVESTORS_LIST[[#This Row],[LS_TOTAL UNITS BUY]]-INVESTORS_LIST[[#This Row],[LS_TOTAL UNITS SOLD]])</f>
        <v>102157</v>
      </c>
      <c r="H49" s="4">
        <f>IF(INVESTORS_LIST[[#This Row],[LS_TOTAL UNITS BUY]]=0,0,SUMIFS(LS[Amount],LS[Investor ID],INVESTORS_LIST[[#This Row],[INVESTOR CODE]],LS[B/S],"B"))</f>
        <v>1021250</v>
      </c>
      <c r="I49" s="6">
        <f>IF(INVESTORS_LIST[[#This Row],[LS_TOTAL UNITS SOLD]]=0,0,SUMIFS(LS[Cost of Units Sold],LS[Investor ID],INVESTORS_LIST[[#This Row],[INVESTOR CODE]],LS[B/S],"S"))</f>
        <v>0</v>
      </c>
      <c r="J49" s="6">
        <f>IF(INVESTORS_LIST[[#This Row],[LS_TOTAL CURRENT UNITS]]=0,0,INVESTORS_LIST[[#This Row],[LS_TOTAL CURRENT UNITS]]*INVESTORS_LIST[[#This Row],[LS_AVERAGE COST]])</f>
        <v>1021250</v>
      </c>
      <c r="K49" s="4">
        <f>IF(INVESTORS_LIST[[#This Row],[LS_TOTAL UNITS SOLD]]=0,0,SUMIFS(LS[Realized Gain],LS[Investor ID],INVESTORS_LIST[[#This Row],[INVESTOR CODE]],LS[B/S],"S"))</f>
        <v>0</v>
      </c>
      <c r="L49" s="2">
        <f>SUMIFS(SIP[Unit],SIP[Investor ID],INVESTORS_LIST[[#This Row],[INVESTOR CODE]],SIP[B/S],"B")</f>
        <v>0</v>
      </c>
      <c r="M49" s="2">
        <f>-SUMIFS(SIP[Unit],SIP[Investor ID],INVESTORS_LIST[[#This Row],[INVESTOR CODE]],SIP[B/S],"S")</f>
        <v>0</v>
      </c>
      <c r="N49" s="33">
        <f>IF(INVESTORS_LIST[[#This Row],[SIP_TOTAL UNITS BUY]]=0,0,INVESTORS_LIST[[#This Row],[SIP_TOTAL UNITS BUY]]-INVESTORS_LIST[[#This Row],[SIP_TOTAL UNITS SOLD]])</f>
        <v>0</v>
      </c>
      <c r="O49" s="4">
        <f>IF(INVESTORS_LIST[[#This Row],[SIP_TOTAL UNITS BUY]]=0,0,SUMIFS(SIP[Amount],SIP[Investor ID],INVESTORS_LIST[[#This Row],[INVESTOR CODE]],SIP[B/S],"B"))</f>
        <v>0</v>
      </c>
      <c r="P49" s="4">
        <f>IF(INVESTORS_LIST[[#This Row],[SIP_TOTAL UNITS SOLD]]=0,0,SUMIFS(SIP[Cost of Units Sold],SIP[Investor ID],INVESTORS_LIST[[#This Row],[INVESTOR CODE]],SIP[B/S],"S"))</f>
        <v>0</v>
      </c>
      <c r="Q49" s="6">
        <f>IF(INVESTORS_LIST[[#This Row],[SIP_TOTAL CURRENT UNITS]]=0,0,INVESTORS_LIST[[#This Row],[SIP_TOTAL CURRENT UNITS]]*INVESTORS_LIST[[#This Row],[SIP_AVERAGE COST]])</f>
        <v>0</v>
      </c>
      <c r="R49" s="6">
        <f>IF(INVESTORS_LIST[[#This Row],[SIP_TOTAL UNITS SOLD]]=0,0,SUMIFS(SIP[Realized Gain],SIP[Investor ID],INVESTORS_LIST[[#This Row],[INVESTOR CODE]],SIP[B/S],"S"))</f>
        <v>0</v>
      </c>
      <c r="S49" s="33">
        <f>INVESTORS_LIST[[#This Row],[LS_TOTAL UNITS BUY]]+INVESTORS_LIST[[#This Row],[SIP_TOTAL UNITS BUY]]</f>
        <v>102157</v>
      </c>
      <c r="T49" s="33">
        <f>INVESTORS_LIST[[#This Row],[LS_TOTAL UNITS SOLD]]+INVESTORS_LIST[[#This Row],[SIP_TOTAL UNITS SOLD]]</f>
        <v>0</v>
      </c>
      <c r="U49" s="33">
        <v>102157</v>
      </c>
      <c r="V49" s="33">
        <f>SUMIFS(LS[BO UNIT TRANSFER],LS[Investor ID],INVESTORS_LIST[[#This Row],[INVESTOR CODE]],LS[B/S],"B")</f>
        <v>0</v>
      </c>
      <c r="W49" s="33">
        <f>SUMIFS(LS[BO UNIT TRANSFER],LS[Investor ID],INVESTORS_LIST[[#This Row],[INVESTOR CODE]],LS[B/S],"S")</f>
        <v>0</v>
      </c>
      <c r="X49" s="33">
        <f>SUMIFS(SIP[BO UNIT TRANSFER],SIP[Investor ID],INVESTORS_LIST[[#This Row],[INVESTOR CODE]],SIP[B/S],"S")</f>
        <v>0</v>
      </c>
      <c r="Y49" s="33">
        <f>SUMIFS(SIP[BO UNIT TRANSFER],SIP[Investor ID],INVESTORS_LIST[[#This Row],[INVESTOR CODE]],SIP[B/S],"B")</f>
        <v>0</v>
      </c>
      <c r="Z4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102157</v>
      </c>
      <c r="AA49" s="119">
        <f>INVESTORS_LIST[[#This Row],[TOTAL UNITS BUY]]-INVESTORS_LIST[[#This Row],[TOTAL UNITS SOLD]]</f>
        <v>102157</v>
      </c>
      <c r="AB49" s="119">
        <f>INVESTORS_LIST[[#This Row],[TOTAL CURRENT UNITS]]-INVESTORS_LIST[[#This Row],[BO UNITS HOLD]]</f>
        <v>0</v>
      </c>
      <c r="AC49" s="119" t="e">
        <f>INDEX([4]!Table_1[BO ID],MATCH(INVESTORS_LIST[[#This Row],[INVESTOR CODE]],[4]!Table_1[INVESTOR CODE],0))</f>
        <v>#REF!</v>
      </c>
      <c r="AD49" s="33">
        <f>INVESTORS_LIST[[#This Row],[LS_TOTAL COST VALUE OF CURRENT UNITS]]+INVESTORS_LIST[[#This Row],[SIP_TOTAL COST VALUE OF CURRENT UNITS]]</f>
        <v>1021250</v>
      </c>
      <c r="AE49" s="44">
        <f>IF(INVESTORS_LIST[[#This Row],[TOTAL CURRENT UNITS]]=0,0,INVESTORS_LIST[[#This Row],[LS_TOTAL CURRENT UNITS]]/INVESTORS_LIST[[#This Row],[TOTAL CURRENT UNITS]])</f>
        <v>1</v>
      </c>
      <c r="AF49" s="44">
        <f>IF(INVESTORS_LIST[[#This Row],[TOTAL CURRENT UNITS]]=0,0,INVESTORS_LIST[[#This Row],[SIP_TOTAL CURRENT UNITS]]/INVESTORS_LIST[[#This Row],[TOTAL CURRENT UNITS]])</f>
        <v>0</v>
      </c>
      <c r="AG49" s="4" cm="1">
        <f t="array" ref="AG49">IF(INVESTORS_LIST[[#This Row],[LS_TOTAL UNITS BUY]]&gt;0,INDEX(LS[NAV at Cost (Average)],MATCH(CONCATENATE(COUNTIFS(LS[Investor ID],INVESTORS_LIST[[#This Row],[INVESTOR CODE]]),INVESTORS_LIST[[#This Row],[INVESTOR CODE]]),LS[Unique Code],0),),0)</f>
        <v>9.9968675665886817</v>
      </c>
      <c r="AH49" s="4" cm="1">
        <f t="array" ref="AH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9" s="178">
        <f>IF(INVESTORS_LIST[[#This Row],[TOTAL CURRENT UNITS]]=0,0,(INVESTORS_LIST[[#This Row],[LS_WEIGHT]]*INVESTORS_LIST[[#This Row],[LS_AVERAGE COST]])+(INVESTORS_LIST[[#This Row],[SIP_WEIGHT]]*INVESTORS_LIST[[#This Row],[SIP_AVERAGE COST]]))</f>
        <v>9.9968675665886817</v>
      </c>
      <c r="AJ49" s="178">
        <f t="shared" si="0"/>
        <v>12.552</v>
      </c>
      <c r="AK49" s="118">
        <f>IF(INVESTORS_LIST[[#This Row],[TOTAL CURRENT UNITS]]=0,0,INVESTORS_LIST[[#This Row],[TOTAL CURRENT UNITS]]*INVESTORS_LIST[[#This Row],[NAV]])</f>
        <v>1282274.6639999999</v>
      </c>
      <c r="AL49" s="4">
        <f>IF(INVESTORS_LIST[[#This Row],[LS_TOTAL CURRENT UNITS]]=0,0,INVESTORS_LIST[[#This Row],[LS_TOTAL CURRENT UNITS]]*INVESTORS_LIST[[#This Row],[NAV]])</f>
        <v>1282274.6639999999</v>
      </c>
      <c r="AM49" s="6">
        <f>IF(INVESTORS_LIST[[#This Row],[SIP_TOTAL CURRENT UNITS]]=0,0,INVESTORS_LIST[[#This Row],[SIP_TOTAL CURRENT UNITS]]*INVESTORS_LIST[[#This Row],[NAV]])</f>
        <v>0</v>
      </c>
      <c r="AO49" s="6">
        <f>IF(INVESTORS_LIST[[#This Row],[TOTAL SELLABLE UNITS]]=0,0,INVESTORS_LIST[[#This Row],[TOTAL SELLABLE UNITS]]*INVESTORS_LIST[[#This Row],[NAV]])</f>
        <v>0</v>
      </c>
      <c r="AP49" s="6">
        <f>INVESTORS_LIST[[#This Row],[LS_TOTAL REALIZED GAIN]]+INVESTORS_LIST[[#This Row],[SIP_TOTAL REALIZED GAIN]]</f>
        <v>0</v>
      </c>
      <c r="AQ49" s="6">
        <f>INVESTORS_LIST[[#This Row],[TOTAL MARKET VALUE]]-INVESTORS_LIST[[#This Row],[TOTAL COST VALUE OF CURRENT INVESTMENT]]</f>
        <v>261024.66399999987</v>
      </c>
      <c r="AR49" s="6">
        <f>SUMIFS(DivAndTax[Tax Amount],DivAndTax[Investor ID],INVESTORS_LIST[[#This Row],[INVESTOR CODE]])</f>
        <v>12433.35</v>
      </c>
      <c r="AS49" s="6">
        <f>SUMIFS(DivAndTax[Gross Dividend],DivAndTax[Investor ID],INVESTORS_LIST[[#This Row],[INVESTOR CODE]])</f>
        <v>111833.45</v>
      </c>
      <c r="AT49" s="5">
        <f>IFERROR(INVESTORS_LIST[[#This Row],[TOTAL CURRENT UNITS]]/SUM(INVESTORS_LIST[TOTAL CURRENT UNITS]),0)</f>
        <v>4.8979005148508167E-3</v>
      </c>
    </row>
    <row r="50" spans="1:46" hidden="1">
      <c r="A50" t="s">
        <v>755</v>
      </c>
      <c r="B50" t="s">
        <v>57</v>
      </c>
      <c r="C50" t="s">
        <v>537</v>
      </c>
      <c r="D50" s="8" t="s">
        <v>8</v>
      </c>
      <c r="E50" s="2">
        <f>SUMIFS(LS[Unit],LS[Investor ID],INVESTORS_LIST[[#This Row],[INVESTOR CODE]],LS[B/S],"B")</f>
        <v>0</v>
      </c>
      <c r="F50" s="2">
        <f>-SUMIFS(LS[Unit],LS[Investor ID],INVESTORS_LIST[[#This Row],[INVESTOR CODE]],LS[B/S],"S")</f>
        <v>0</v>
      </c>
      <c r="G50" s="2">
        <f>IF(INVESTORS_LIST[[#This Row],[LS_TOTAL UNITS BUY]]=0,0,INVESTORS_LIST[[#This Row],[LS_TOTAL UNITS BUY]]-INVESTORS_LIST[[#This Row],[LS_TOTAL UNITS SOLD]])</f>
        <v>0</v>
      </c>
      <c r="H50" s="4">
        <f>IF(INVESTORS_LIST[[#This Row],[LS_TOTAL UNITS BUY]]=0,0,SUMIFS(LS[Amount],LS[Investor ID],INVESTORS_LIST[[#This Row],[INVESTOR CODE]],LS[B/S],"B"))</f>
        <v>0</v>
      </c>
      <c r="I50" s="6">
        <f>IF(INVESTORS_LIST[[#This Row],[LS_TOTAL UNITS SOLD]]=0,0,SUMIFS(LS[Cost of Units Sold],LS[Investor ID],INVESTORS_LIST[[#This Row],[INVESTOR CODE]],LS[B/S],"S"))</f>
        <v>0</v>
      </c>
      <c r="J50" s="6">
        <f>IF(INVESTORS_LIST[[#This Row],[LS_TOTAL CURRENT UNITS]]=0,0,INVESTORS_LIST[[#This Row],[LS_TOTAL CURRENT UNITS]]*INVESTORS_LIST[[#This Row],[LS_AVERAGE COST]])</f>
        <v>0</v>
      </c>
      <c r="K50" s="4">
        <f>IF(INVESTORS_LIST[[#This Row],[LS_TOTAL UNITS SOLD]]=0,0,SUMIFS(LS[Realized Gain],LS[Investor ID],INVESTORS_LIST[[#This Row],[INVESTOR CODE]],LS[B/S],"S"))</f>
        <v>0</v>
      </c>
      <c r="L50" s="2">
        <f>SUMIFS(SIP[Unit],SIP[Investor ID],INVESTORS_LIST[[#This Row],[INVESTOR CODE]],SIP[B/S],"B")</f>
        <v>0</v>
      </c>
      <c r="M50" s="2">
        <f>-SUMIFS(SIP[Unit],SIP[Investor ID],INVESTORS_LIST[[#This Row],[INVESTOR CODE]],SIP[B/S],"S")</f>
        <v>0</v>
      </c>
      <c r="N50" s="33">
        <f>IF(INVESTORS_LIST[[#This Row],[SIP_TOTAL UNITS BUY]]=0,0,INVESTORS_LIST[[#This Row],[SIP_TOTAL UNITS BUY]]-INVESTORS_LIST[[#This Row],[SIP_TOTAL UNITS SOLD]])</f>
        <v>0</v>
      </c>
      <c r="O50" s="4">
        <f>IF(INVESTORS_LIST[[#This Row],[SIP_TOTAL UNITS BUY]]=0,0,SUMIFS(SIP[Amount],SIP[Investor ID],INVESTORS_LIST[[#This Row],[INVESTOR CODE]],SIP[B/S],"B"))</f>
        <v>0</v>
      </c>
      <c r="P50" s="4">
        <f>IF(INVESTORS_LIST[[#This Row],[SIP_TOTAL UNITS SOLD]]=0,0,SUMIFS(SIP[Cost of Units Sold],SIP[Investor ID],INVESTORS_LIST[[#This Row],[INVESTOR CODE]],SIP[B/S],"S"))</f>
        <v>0</v>
      </c>
      <c r="Q50" s="6">
        <f>IF(INVESTORS_LIST[[#This Row],[SIP_TOTAL CURRENT UNITS]]=0,0,INVESTORS_LIST[[#This Row],[SIP_TOTAL CURRENT UNITS]]*INVESTORS_LIST[[#This Row],[SIP_AVERAGE COST]])</f>
        <v>0</v>
      </c>
      <c r="R50" s="6">
        <f>IF(INVESTORS_LIST[[#This Row],[SIP_TOTAL UNITS SOLD]]=0,0,SUMIFS(SIP[Realized Gain],SIP[Investor ID],INVESTORS_LIST[[#This Row],[INVESTOR CODE]],SIP[B/S],"S"))</f>
        <v>0</v>
      </c>
      <c r="S50" s="33">
        <f>INVESTORS_LIST[[#This Row],[LS_TOTAL UNITS BUY]]+INVESTORS_LIST[[#This Row],[SIP_TOTAL UNITS BUY]]</f>
        <v>0</v>
      </c>
      <c r="T50" s="33">
        <f>INVESTORS_LIST[[#This Row],[LS_TOTAL UNITS SOLD]]+INVESTORS_LIST[[#This Row],[SIP_TOTAL UNITS SOLD]]</f>
        <v>0</v>
      </c>
      <c r="U50" s="33">
        <v>0</v>
      </c>
      <c r="V50" s="33">
        <f>SUMIFS(LS[BO UNIT TRANSFER],LS[Investor ID],INVESTORS_LIST[[#This Row],[INVESTOR CODE]],LS[B/S],"B")</f>
        <v>0</v>
      </c>
      <c r="W50" s="33">
        <f>SUMIFS(LS[BO UNIT TRANSFER],LS[Investor ID],INVESTORS_LIST[[#This Row],[INVESTOR CODE]],LS[B/S],"S")</f>
        <v>0</v>
      </c>
      <c r="X50" s="33">
        <f>SUMIFS(SIP[BO UNIT TRANSFER],SIP[Investor ID],INVESTORS_LIST[[#This Row],[INVESTOR CODE]],SIP[B/S],"S")</f>
        <v>0</v>
      </c>
      <c r="Y50" s="33">
        <f>SUMIFS(SIP[BO UNIT TRANSFER],SIP[Investor ID],INVESTORS_LIST[[#This Row],[INVESTOR CODE]],SIP[B/S],"B")</f>
        <v>0</v>
      </c>
      <c r="Z5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0" s="119">
        <f>INVESTORS_LIST[[#This Row],[TOTAL UNITS BUY]]-INVESTORS_LIST[[#This Row],[TOTAL UNITS SOLD]]</f>
        <v>0</v>
      </c>
      <c r="AB50" s="119">
        <f>INVESTORS_LIST[[#This Row],[TOTAL CURRENT UNITS]]-INVESTORS_LIST[[#This Row],[BO UNITS HOLD]]</f>
        <v>0</v>
      </c>
      <c r="AC50" s="119" t="e">
        <f>INDEX([4]!Table_1[BO ID],MATCH(INVESTORS_LIST[[#This Row],[INVESTOR CODE]],[4]!Table_1[INVESTOR CODE],0))</f>
        <v>#REF!</v>
      </c>
      <c r="AD50" s="33">
        <f>INVESTORS_LIST[[#This Row],[LS_TOTAL COST VALUE OF CURRENT UNITS]]+INVESTORS_LIST[[#This Row],[SIP_TOTAL COST VALUE OF CURRENT UNITS]]</f>
        <v>0</v>
      </c>
      <c r="AE50" s="44">
        <f>IF(INVESTORS_LIST[[#This Row],[TOTAL CURRENT UNITS]]=0,0,INVESTORS_LIST[[#This Row],[LS_TOTAL CURRENT UNITS]]/INVESTORS_LIST[[#This Row],[TOTAL CURRENT UNITS]])</f>
        <v>0</v>
      </c>
      <c r="AF50" s="44">
        <f>IF(INVESTORS_LIST[[#This Row],[TOTAL CURRENT UNITS]]=0,0,INVESTORS_LIST[[#This Row],[SIP_TOTAL CURRENT UNITS]]/INVESTORS_LIST[[#This Row],[TOTAL CURRENT UNITS]])</f>
        <v>0</v>
      </c>
      <c r="AG50" s="4" cm="1">
        <f t="array" ref="AG5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0" s="4" cm="1">
        <f t="array" ref="AH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0" s="178">
        <f t="shared" si="0"/>
        <v>12.552</v>
      </c>
      <c r="AK50" s="118">
        <f>IF(INVESTORS_LIST[[#This Row],[TOTAL CURRENT UNITS]]=0,0,INVESTORS_LIST[[#This Row],[TOTAL CURRENT UNITS]]*INVESTORS_LIST[[#This Row],[NAV]])</f>
        <v>0</v>
      </c>
      <c r="AL50" s="4">
        <f>IF(INVESTORS_LIST[[#This Row],[LS_TOTAL CURRENT UNITS]]=0,0,INVESTORS_LIST[[#This Row],[LS_TOTAL CURRENT UNITS]]*INVESTORS_LIST[[#This Row],[NAV]])</f>
        <v>0</v>
      </c>
      <c r="AM50" s="6">
        <f>IF(INVESTORS_LIST[[#This Row],[SIP_TOTAL CURRENT UNITS]]=0,0,INVESTORS_LIST[[#This Row],[SIP_TOTAL CURRENT UNITS]]*INVESTORS_LIST[[#This Row],[NAV]])</f>
        <v>0</v>
      </c>
      <c r="AO50" s="6">
        <f>IF(INVESTORS_LIST[[#This Row],[TOTAL SELLABLE UNITS]]=0,0,INVESTORS_LIST[[#This Row],[TOTAL SELLABLE UNITS]]*INVESTORS_LIST[[#This Row],[NAV]])</f>
        <v>0</v>
      </c>
      <c r="AP50" s="6">
        <f>INVESTORS_LIST[[#This Row],[LS_TOTAL REALIZED GAIN]]+INVESTORS_LIST[[#This Row],[SIP_TOTAL REALIZED GAIN]]</f>
        <v>0</v>
      </c>
      <c r="AQ50" s="6">
        <f>INVESTORS_LIST[[#This Row],[TOTAL MARKET VALUE]]-INVESTORS_LIST[[#This Row],[TOTAL COST VALUE OF CURRENT INVESTMENT]]</f>
        <v>0</v>
      </c>
      <c r="AR50" s="6">
        <f>SUMIFS(DivAndTax[Tax Amount],DivAndTax[Investor ID],INVESTORS_LIST[[#This Row],[INVESTOR CODE]])</f>
        <v>0</v>
      </c>
      <c r="AS50" s="6">
        <f>SUMIFS(DivAndTax[Gross Dividend],DivAndTax[Investor ID],INVESTORS_LIST[[#This Row],[INVESTOR CODE]])</f>
        <v>0</v>
      </c>
      <c r="AT50" s="5">
        <f>IFERROR(INVESTORS_LIST[[#This Row],[TOTAL CURRENT UNITS]]/SUM(INVESTORS_LIST[TOTAL CURRENT UNITS]),0)</f>
        <v>0</v>
      </c>
    </row>
    <row r="51" spans="1:46">
      <c r="A51" t="s">
        <v>621</v>
      </c>
      <c r="B51" t="s">
        <v>58</v>
      </c>
      <c r="C51" t="s">
        <v>537</v>
      </c>
      <c r="D51" s="8" t="s">
        <v>11</v>
      </c>
      <c r="E51" s="2">
        <f>SUMIFS(LS[Unit],LS[Investor ID],INVESTORS_LIST[[#This Row],[INVESTOR CODE]],LS[B/S],"B")</f>
        <v>109345</v>
      </c>
      <c r="F51" s="2">
        <f>-SUMIFS(LS[Unit],LS[Investor ID],INVESTORS_LIST[[#This Row],[INVESTOR CODE]],LS[B/S],"S")</f>
        <v>0</v>
      </c>
      <c r="G51" s="2">
        <f>IF(INVESTORS_LIST[[#This Row],[LS_TOTAL UNITS BUY]]=0,0,INVESTORS_LIST[[#This Row],[LS_TOTAL UNITS BUY]]-INVESTORS_LIST[[#This Row],[LS_TOTAL UNITS SOLD]])</f>
        <v>109345</v>
      </c>
      <c r="H51" s="4">
        <f>IF(INVESTORS_LIST[[#This Row],[LS_TOTAL UNITS BUY]]=0,0,SUMIFS(LS[Amount],LS[Investor ID],INVESTORS_LIST[[#This Row],[INVESTOR CODE]],LS[B/S],"B"))</f>
        <v>1104502.6499999999</v>
      </c>
      <c r="I51" s="6">
        <f>IF(INVESTORS_LIST[[#This Row],[LS_TOTAL UNITS SOLD]]=0,0,SUMIFS(LS[Cost of Units Sold],LS[Investor ID],INVESTORS_LIST[[#This Row],[INVESTOR CODE]],LS[B/S],"S"))</f>
        <v>0</v>
      </c>
      <c r="J51" s="6">
        <f>IF(INVESTORS_LIST[[#This Row],[LS_TOTAL CURRENT UNITS]]=0,0,INVESTORS_LIST[[#This Row],[LS_TOTAL CURRENT UNITS]]*INVESTORS_LIST[[#This Row],[LS_AVERAGE COST]])</f>
        <v>1104502.6499999999</v>
      </c>
      <c r="K51" s="4">
        <f>IF(INVESTORS_LIST[[#This Row],[LS_TOTAL UNITS SOLD]]=0,0,SUMIFS(LS[Realized Gain],LS[Investor ID],INVESTORS_LIST[[#This Row],[INVESTOR CODE]],LS[B/S],"S"))</f>
        <v>0</v>
      </c>
      <c r="L51" s="2">
        <f>SUMIFS(SIP[Unit],SIP[Investor ID],INVESTORS_LIST[[#This Row],[INVESTOR CODE]],SIP[B/S],"B")</f>
        <v>0</v>
      </c>
      <c r="M51" s="2">
        <f>-SUMIFS(SIP[Unit],SIP[Investor ID],INVESTORS_LIST[[#This Row],[INVESTOR CODE]],SIP[B/S],"S")</f>
        <v>0</v>
      </c>
      <c r="N51" s="33">
        <f>IF(INVESTORS_LIST[[#This Row],[SIP_TOTAL UNITS BUY]]=0,0,INVESTORS_LIST[[#This Row],[SIP_TOTAL UNITS BUY]]-INVESTORS_LIST[[#This Row],[SIP_TOTAL UNITS SOLD]])</f>
        <v>0</v>
      </c>
      <c r="O51" s="4">
        <f>IF(INVESTORS_LIST[[#This Row],[SIP_TOTAL UNITS BUY]]=0,0,SUMIFS(SIP[Amount],SIP[Investor ID],INVESTORS_LIST[[#This Row],[INVESTOR CODE]],SIP[B/S],"B"))</f>
        <v>0</v>
      </c>
      <c r="P51" s="4">
        <f>IF(INVESTORS_LIST[[#This Row],[SIP_TOTAL UNITS SOLD]]=0,0,SUMIFS(SIP[Cost of Units Sold],SIP[Investor ID],INVESTORS_LIST[[#This Row],[INVESTOR CODE]],SIP[B/S],"S"))</f>
        <v>0</v>
      </c>
      <c r="Q51" s="6">
        <f>IF(INVESTORS_LIST[[#This Row],[SIP_TOTAL CURRENT UNITS]]=0,0,INVESTORS_LIST[[#This Row],[SIP_TOTAL CURRENT UNITS]]*INVESTORS_LIST[[#This Row],[SIP_AVERAGE COST]])</f>
        <v>0</v>
      </c>
      <c r="R51" s="6">
        <f>IF(INVESTORS_LIST[[#This Row],[SIP_TOTAL UNITS SOLD]]=0,0,SUMIFS(SIP[Realized Gain],SIP[Investor ID],INVESTORS_LIST[[#This Row],[INVESTOR CODE]],SIP[B/S],"S"))</f>
        <v>0</v>
      </c>
      <c r="S51" s="33">
        <f>INVESTORS_LIST[[#This Row],[LS_TOTAL UNITS BUY]]+INVESTORS_LIST[[#This Row],[SIP_TOTAL UNITS BUY]]</f>
        <v>109345</v>
      </c>
      <c r="T51" s="33">
        <f>INVESTORS_LIST[[#This Row],[LS_TOTAL UNITS SOLD]]+INVESTORS_LIST[[#This Row],[SIP_TOTAL UNITS SOLD]]</f>
        <v>0</v>
      </c>
      <c r="U51" s="33">
        <v>102157</v>
      </c>
      <c r="V51" s="33">
        <f>SUMIFS(LS[BO UNIT TRANSFER],LS[Investor ID],INVESTORS_LIST[[#This Row],[INVESTOR CODE]],LS[B/S],"B")</f>
        <v>0</v>
      </c>
      <c r="W51" s="33">
        <f>SUMIFS(LS[BO UNIT TRANSFER],LS[Investor ID],INVESTORS_LIST[[#This Row],[INVESTOR CODE]],LS[B/S],"S")</f>
        <v>0</v>
      </c>
      <c r="X51" s="33">
        <f>SUMIFS(SIP[BO UNIT TRANSFER],SIP[Investor ID],INVESTORS_LIST[[#This Row],[INVESTOR CODE]],SIP[B/S],"S")</f>
        <v>0</v>
      </c>
      <c r="Y51" s="33">
        <f>SUMIFS(SIP[BO UNIT TRANSFER],SIP[Investor ID],INVESTORS_LIST[[#This Row],[INVESTOR CODE]],SIP[B/S],"B")</f>
        <v>0</v>
      </c>
      <c r="Z5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102157</v>
      </c>
      <c r="AA51" s="119">
        <f>INVESTORS_LIST[[#This Row],[TOTAL UNITS BUY]]-INVESTORS_LIST[[#This Row],[TOTAL UNITS SOLD]]</f>
        <v>109345</v>
      </c>
      <c r="AB51" s="119">
        <f>INVESTORS_LIST[[#This Row],[TOTAL CURRENT UNITS]]-INVESTORS_LIST[[#This Row],[BO UNITS HOLD]]</f>
        <v>7188</v>
      </c>
      <c r="AC51" s="119" t="e">
        <f>INDEX([4]!Table_1[BO ID],MATCH(INVESTORS_LIST[[#This Row],[INVESTOR CODE]],[4]!Table_1[INVESTOR CODE],0))</f>
        <v>#REF!</v>
      </c>
      <c r="AD51" s="33">
        <f>INVESTORS_LIST[[#This Row],[LS_TOTAL COST VALUE OF CURRENT UNITS]]+INVESTORS_LIST[[#This Row],[SIP_TOTAL COST VALUE OF CURRENT UNITS]]</f>
        <v>1104502.6499999999</v>
      </c>
      <c r="AE51" s="44">
        <f>IF(INVESTORS_LIST[[#This Row],[TOTAL CURRENT UNITS]]=0,0,INVESTORS_LIST[[#This Row],[LS_TOTAL CURRENT UNITS]]/INVESTORS_LIST[[#This Row],[TOTAL CURRENT UNITS]])</f>
        <v>1</v>
      </c>
      <c r="AF51" s="44">
        <f>IF(INVESTORS_LIST[[#This Row],[TOTAL CURRENT UNITS]]=0,0,INVESTORS_LIST[[#This Row],[SIP_TOTAL CURRENT UNITS]]/INVESTORS_LIST[[#This Row],[TOTAL CURRENT UNITS]])</f>
        <v>0</v>
      </c>
      <c r="AG51" s="4" cm="1">
        <f t="array" ref="AG51">IF(INVESTORS_LIST[[#This Row],[LS_TOTAL UNITS BUY]]&gt;0,INDEX(LS[NAV at Cost (Average)],MATCH(CONCATENATE(COUNTIFS(LS[Investor ID],INVESTORS_LIST[[#This Row],[INVESTOR CODE]]),INVESTORS_LIST[[#This Row],[INVESTOR CODE]]),LS[Unique Code],0),),0)</f>
        <v>10.101080524943985</v>
      </c>
      <c r="AH51" s="4" cm="1">
        <f t="array" ref="AH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1" s="178">
        <f>IF(INVESTORS_LIST[[#This Row],[TOTAL CURRENT UNITS]]=0,0,(INVESTORS_LIST[[#This Row],[LS_WEIGHT]]*INVESTORS_LIST[[#This Row],[LS_AVERAGE COST]])+(INVESTORS_LIST[[#This Row],[SIP_WEIGHT]]*INVESTORS_LIST[[#This Row],[SIP_AVERAGE COST]]))</f>
        <v>10.101080524943985</v>
      </c>
      <c r="AJ51" s="178">
        <f t="shared" si="0"/>
        <v>12.552</v>
      </c>
      <c r="AK51" s="118">
        <f>IF(INVESTORS_LIST[[#This Row],[TOTAL CURRENT UNITS]]=0,0,INVESTORS_LIST[[#This Row],[TOTAL CURRENT UNITS]]*INVESTORS_LIST[[#This Row],[NAV]])</f>
        <v>1372498.44</v>
      </c>
      <c r="AL51" s="4">
        <f>IF(INVESTORS_LIST[[#This Row],[LS_TOTAL CURRENT UNITS]]=0,0,INVESTORS_LIST[[#This Row],[LS_TOTAL CURRENT UNITS]]*INVESTORS_LIST[[#This Row],[NAV]])</f>
        <v>1372498.44</v>
      </c>
      <c r="AM51" s="6">
        <f>IF(INVESTORS_LIST[[#This Row],[SIP_TOTAL CURRENT UNITS]]=0,0,INVESTORS_LIST[[#This Row],[SIP_TOTAL CURRENT UNITS]]*INVESTORS_LIST[[#This Row],[NAV]])</f>
        <v>0</v>
      </c>
      <c r="AO51" s="6">
        <f>IF(INVESTORS_LIST[[#This Row],[TOTAL SELLABLE UNITS]]=0,0,INVESTORS_LIST[[#This Row],[TOTAL SELLABLE UNITS]]*INVESTORS_LIST[[#This Row],[NAV]])</f>
        <v>0</v>
      </c>
      <c r="AP51" s="6">
        <f>INVESTORS_LIST[[#This Row],[LS_TOTAL REALIZED GAIN]]+INVESTORS_LIST[[#This Row],[SIP_TOTAL REALIZED GAIN]]</f>
        <v>0</v>
      </c>
      <c r="AQ51" s="6">
        <f>INVESTORS_LIST[[#This Row],[TOTAL MARKET VALUE]]-INVESTORS_LIST[[#This Row],[TOTAL COST VALUE OF CURRENT INVESTMENT]]</f>
        <v>267995.79000000004</v>
      </c>
      <c r="AR51" s="6">
        <f>SUMIFS(DivAndTax[Tax Amount],DivAndTax[Investor ID],INVESTORS_LIST[[#This Row],[INVESTOR CODE]])</f>
        <v>12586.05</v>
      </c>
      <c r="AS51" s="6">
        <f>SUMIFS(DivAndTax[Gross Dividend],DivAndTax[Investor ID],INVESTORS_LIST[[#This Row],[INVESTOR CODE]])</f>
        <v>113360.5</v>
      </c>
      <c r="AT51" s="5">
        <f>IFERROR(INVESTORS_LIST[[#This Row],[TOTAL CURRENT UNITS]]/SUM(INVESTORS_LIST[TOTAL CURRENT UNITS]),0)</f>
        <v>5.242527989235809E-3</v>
      </c>
    </row>
    <row r="52" spans="1:46" hidden="1">
      <c r="A52" t="s">
        <v>756</v>
      </c>
      <c r="B52" t="s">
        <v>59</v>
      </c>
      <c r="C52" t="s">
        <v>538</v>
      </c>
      <c r="D52" s="8" t="s">
        <v>2</v>
      </c>
      <c r="E52" s="2">
        <f>SUMIFS(LS[Unit],LS[Investor ID],INVESTORS_LIST[[#This Row],[INVESTOR CODE]],LS[B/S],"B")</f>
        <v>20000</v>
      </c>
      <c r="F52" s="2">
        <f>-SUMIFS(LS[Unit],LS[Investor ID],INVESTORS_LIST[[#This Row],[INVESTOR CODE]],LS[B/S],"S")</f>
        <v>20000</v>
      </c>
      <c r="G52" s="2">
        <f>IF(INVESTORS_LIST[[#This Row],[LS_TOTAL UNITS BUY]]=0,0,INVESTORS_LIST[[#This Row],[LS_TOTAL UNITS BUY]]-INVESTORS_LIST[[#This Row],[LS_TOTAL UNITS SOLD]])</f>
        <v>0</v>
      </c>
      <c r="H52" s="4">
        <f>IF(INVESTORS_LIST[[#This Row],[LS_TOTAL UNITS BUY]]=0,0,SUMIFS(LS[Amount],LS[Investor ID],INVESTORS_LIST[[#This Row],[INVESTOR CODE]],LS[B/S],"B"))</f>
        <v>200000</v>
      </c>
      <c r="I52" s="6">
        <f>IF(INVESTORS_LIST[[#This Row],[LS_TOTAL UNITS SOLD]]=0,0,SUMIFS(LS[Cost of Units Sold],LS[Investor ID],INVESTORS_LIST[[#This Row],[INVESTOR CODE]],LS[B/S],"S"))</f>
        <v>200000</v>
      </c>
      <c r="J52" s="6">
        <f>IF(INVESTORS_LIST[[#This Row],[LS_TOTAL CURRENT UNITS]]=0,0,INVESTORS_LIST[[#This Row],[LS_TOTAL CURRENT UNITS]]*INVESTORS_LIST[[#This Row],[LS_AVERAGE COST]])</f>
        <v>0</v>
      </c>
      <c r="K52" s="4">
        <f>IF(INVESTORS_LIST[[#This Row],[LS_TOTAL UNITS SOLD]]=0,0,SUMIFS(LS[Realized Gain],LS[Investor ID],INVESTORS_LIST[[#This Row],[INVESTOR CODE]],LS[B/S],"S"))</f>
        <v>6219.9999999999991</v>
      </c>
      <c r="L52" s="2">
        <f>SUMIFS(SIP[Unit],SIP[Investor ID],INVESTORS_LIST[[#This Row],[INVESTOR CODE]],SIP[B/S],"B")</f>
        <v>0</v>
      </c>
      <c r="M52" s="2">
        <f>-SUMIFS(SIP[Unit],SIP[Investor ID],INVESTORS_LIST[[#This Row],[INVESTOR CODE]],SIP[B/S],"S")</f>
        <v>0</v>
      </c>
      <c r="N52" s="33">
        <f>IF(INVESTORS_LIST[[#This Row],[SIP_TOTAL UNITS BUY]]=0,0,INVESTORS_LIST[[#This Row],[SIP_TOTAL UNITS BUY]]-INVESTORS_LIST[[#This Row],[SIP_TOTAL UNITS SOLD]])</f>
        <v>0</v>
      </c>
      <c r="O52" s="4">
        <f>IF(INVESTORS_LIST[[#This Row],[SIP_TOTAL UNITS BUY]]=0,0,SUMIFS(SIP[Amount],SIP[Investor ID],INVESTORS_LIST[[#This Row],[INVESTOR CODE]],SIP[B/S],"B"))</f>
        <v>0</v>
      </c>
      <c r="P52" s="4">
        <f>IF(INVESTORS_LIST[[#This Row],[SIP_TOTAL UNITS SOLD]]=0,0,SUMIFS(SIP[Cost of Units Sold],SIP[Investor ID],INVESTORS_LIST[[#This Row],[INVESTOR CODE]],SIP[B/S],"S"))</f>
        <v>0</v>
      </c>
      <c r="Q52" s="6">
        <f>IF(INVESTORS_LIST[[#This Row],[SIP_TOTAL CURRENT UNITS]]=0,0,INVESTORS_LIST[[#This Row],[SIP_TOTAL CURRENT UNITS]]*INVESTORS_LIST[[#This Row],[SIP_AVERAGE COST]])</f>
        <v>0</v>
      </c>
      <c r="R52" s="6">
        <f>IF(INVESTORS_LIST[[#This Row],[SIP_TOTAL UNITS SOLD]]=0,0,SUMIFS(SIP[Realized Gain],SIP[Investor ID],INVESTORS_LIST[[#This Row],[INVESTOR CODE]],SIP[B/S],"S"))</f>
        <v>0</v>
      </c>
      <c r="S52" s="33">
        <f>INVESTORS_LIST[[#This Row],[LS_TOTAL UNITS BUY]]+INVESTORS_LIST[[#This Row],[SIP_TOTAL UNITS BUY]]</f>
        <v>20000</v>
      </c>
      <c r="T52" s="33">
        <f>INVESTORS_LIST[[#This Row],[LS_TOTAL UNITS SOLD]]+INVESTORS_LIST[[#This Row],[SIP_TOTAL UNITS SOLD]]</f>
        <v>20000</v>
      </c>
      <c r="U52" s="33">
        <v>0</v>
      </c>
      <c r="V52" s="33">
        <f>SUMIFS(LS[BO UNIT TRANSFER],LS[Investor ID],INVESTORS_LIST[[#This Row],[INVESTOR CODE]],LS[B/S],"B")</f>
        <v>0</v>
      </c>
      <c r="W52" s="33">
        <f>SUMIFS(LS[BO UNIT TRANSFER],LS[Investor ID],INVESTORS_LIST[[#This Row],[INVESTOR CODE]],LS[B/S],"S")</f>
        <v>0</v>
      </c>
      <c r="X52" s="33">
        <f>SUMIFS(SIP[BO UNIT TRANSFER],SIP[Investor ID],INVESTORS_LIST[[#This Row],[INVESTOR CODE]],SIP[B/S],"S")</f>
        <v>0</v>
      </c>
      <c r="Y52" s="33">
        <f>SUMIFS(SIP[BO UNIT TRANSFER],SIP[Investor ID],INVESTORS_LIST[[#This Row],[INVESTOR CODE]],SIP[B/S],"B")</f>
        <v>0</v>
      </c>
      <c r="Z5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2" s="119">
        <f>INVESTORS_LIST[[#This Row],[TOTAL UNITS BUY]]-INVESTORS_LIST[[#This Row],[TOTAL UNITS SOLD]]</f>
        <v>0</v>
      </c>
      <c r="AB52" s="119">
        <f>INVESTORS_LIST[[#This Row],[TOTAL CURRENT UNITS]]-INVESTORS_LIST[[#This Row],[BO UNITS HOLD]]</f>
        <v>0</v>
      </c>
      <c r="AC52" s="119" t="e">
        <f>INDEX([4]!Table_1[BO ID],MATCH(INVESTORS_LIST[[#This Row],[INVESTOR CODE]],[4]!Table_1[INVESTOR CODE],0))</f>
        <v>#REF!</v>
      </c>
      <c r="AD52" s="33">
        <f>INVESTORS_LIST[[#This Row],[LS_TOTAL COST VALUE OF CURRENT UNITS]]+INVESTORS_LIST[[#This Row],[SIP_TOTAL COST VALUE OF CURRENT UNITS]]</f>
        <v>0</v>
      </c>
      <c r="AE52" s="44">
        <f>IF(INVESTORS_LIST[[#This Row],[TOTAL CURRENT UNITS]]=0,0,INVESTORS_LIST[[#This Row],[LS_TOTAL CURRENT UNITS]]/INVESTORS_LIST[[#This Row],[TOTAL CURRENT UNITS]])</f>
        <v>0</v>
      </c>
      <c r="AF52" s="44">
        <f>IF(INVESTORS_LIST[[#This Row],[TOTAL CURRENT UNITS]]=0,0,INVESTORS_LIST[[#This Row],[SIP_TOTAL CURRENT UNITS]]/INVESTORS_LIST[[#This Row],[TOTAL CURRENT UNITS]])</f>
        <v>0</v>
      </c>
      <c r="AG52" s="4" cm="1">
        <f t="array" ref="AG5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2" s="4" cm="1">
        <f t="array" ref="AH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2" s="178">
        <f t="shared" si="0"/>
        <v>12.552</v>
      </c>
      <c r="AK52" s="118">
        <f>IF(INVESTORS_LIST[[#This Row],[TOTAL CURRENT UNITS]]=0,0,INVESTORS_LIST[[#This Row],[TOTAL CURRENT UNITS]]*INVESTORS_LIST[[#This Row],[NAV]])</f>
        <v>0</v>
      </c>
      <c r="AL52" s="4">
        <f>IF(INVESTORS_LIST[[#This Row],[LS_TOTAL CURRENT UNITS]]=0,0,INVESTORS_LIST[[#This Row],[LS_TOTAL CURRENT UNITS]]*INVESTORS_LIST[[#This Row],[NAV]])</f>
        <v>0</v>
      </c>
      <c r="AM52" s="6">
        <f>IF(INVESTORS_LIST[[#This Row],[SIP_TOTAL CURRENT UNITS]]=0,0,INVESTORS_LIST[[#This Row],[SIP_TOTAL CURRENT UNITS]]*INVESTORS_LIST[[#This Row],[NAV]])</f>
        <v>0</v>
      </c>
      <c r="AO52" s="6">
        <f>IF(INVESTORS_LIST[[#This Row],[TOTAL SELLABLE UNITS]]=0,0,INVESTORS_LIST[[#This Row],[TOTAL SELLABLE UNITS]]*INVESTORS_LIST[[#This Row],[NAV]])</f>
        <v>0</v>
      </c>
      <c r="AP52" s="6">
        <f>INVESTORS_LIST[[#This Row],[LS_TOTAL REALIZED GAIN]]+INVESTORS_LIST[[#This Row],[SIP_TOTAL REALIZED GAIN]]</f>
        <v>6219.9999999999991</v>
      </c>
      <c r="AQ52" s="6">
        <f>INVESTORS_LIST[[#This Row],[TOTAL MARKET VALUE]]-INVESTORS_LIST[[#This Row],[TOTAL COST VALUE OF CURRENT INVESTMENT]]</f>
        <v>0</v>
      </c>
      <c r="AR52" s="6">
        <f>SUMIFS(DivAndTax[Tax Amount],DivAndTax[Investor ID],INVESTORS_LIST[[#This Row],[INVESTOR CODE]])</f>
        <v>0</v>
      </c>
      <c r="AS52" s="6">
        <f>SUMIFS(DivAndTax[Gross Dividend],DivAndTax[Investor ID],INVESTORS_LIST[[#This Row],[INVESTOR CODE]])</f>
        <v>0</v>
      </c>
      <c r="AT52" s="5">
        <f>IFERROR(INVESTORS_LIST[[#This Row],[TOTAL CURRENT UNITS]]/SUM(INVESTORS_LIST[TOTAL CURRENT UNITS]),0)</f>
        <v>0</v>
      </c>
    </row>
    <row r="53" spans="1:46">
      <c r="A53" t="s">
        <v>757</v>
      </c>
      <c r="B53" t="s">
        <v>60</v>
      </c>
      <c r="C53" t="s">
        <v>536</v>
      </c>
      <c r="D53" s="8" t="s">
        <v>2</v>
      </c>
      <c r="E53" s="2">
        <f>SUMIFS(LS[Unit],LS[Investor ID],INVESTORS_LIST[[#This Row],[INVESTOR CODE]],LS[B/S],"B")</f>
        <v>658217</v>
      </c>
      <c r="F53" s="2">
        <f>-SUMIFS(LS[Unit],LS[Investor ID],INVESTORS_LIST[[#This Row],[INVESTOR CODE]],LS[B/S],"S")</f>
        <v>221948</v>
      </c>
      <c r="G53" s="2">
        <f>IF(INVESTORS_LIST[[#This Row],[LS_TOTAL UNITS BUY]]=0,0,INVESTORS_LIST[[#This Row],[LS_TOTAL UNITS BUY]]-INVESTORS_LIST[[#This Row],[LS_TOTAL UNITS SOLD]])</f>
        <v>436269</v>
      </c>
      <c r="H53" s="4">
        <f>IF(INVESTORS_LIST[[#This Row],[LS_TOTAL UNITS BUY]]=0,0,SUMIFS(LS[Amount],LS[Investor ID],INVESTORS_LIST[[#This Row],[INVESTOR CODE]],LS[B/S],"B"))</f>
        <v>6975329.1499999994</v>
      </c>
      <c r="I53" s="6">
        <f>IF(INVESTORS_LIST[[#This Row],[LS_TOTAL UNITS SOLD]]=0,0,SUMIFS(LS[Cost of Units Sold],LS[Investor ID],INVESTORS_LIST[[#This Row],[INVESTOR CODE]],LS[B/S],"S"))</f>
        <v>2262533.3892874941</v>
      </c>
      <c r="J53" s="6">
        <f>IF(INVESTORS_LIST[[#This Row],[LS_TOTAL CURRENT UNITS]]=0,0,INVESTORS_LIST[[#This Row],[LS_TOTAL CURRENT UNITS]]*INVESTORS_LIST[[#This Row],[LS_AVERAGE COST]])</f>
        <v>4712795.7607125062</v>
      </c>
      <c r="K53" s="4">
        <f>IF(INVESTORS_LIST[[#This Row],[LS_TOTAL UNITS SOLD]]=0,0,SUMIFS(LS[Realized Gain],LS[Investor ID],INVESTORS_LIST[[#This Row],[INVESTOR CODE]],LS[B/S],"S"))</f>
        <v>102040.61071250582</v>
      </c>
      <c r="L53" s="2">
        <f>SUMIFS(SIP[Unit],SIP[Investor ID],INVESTORS_LIST[[#This Row],[INVESTOR CODE]],SIP[B/S],"B")</f>
        <v>0</v>
      </c>
      <c r="M53" s="2">
        <f>-SUMIFS(SIP[Unit],SIP[Investor ID],INVESTORS_LIST[[#This Row],[INVESTOR CODE]],SIP[B/S],"S")</f>
        <v>0</v>
      </c>
      <c r="N53" s="33">
        <f>IF(INVESTORS_LIST[[#This Row],[SIP_TOTAL UNITS BUY]]=0,0,INVESTORS_LIST[[#This Row],[SIP_TOTAL UNITS BUY]]-INVESTORS_LIST[[#This Row],[SIP_TOTAL UNITS SOLD]])</f>
        <v>0</v>
      </c>
      <c r="O53" s="4">
        <f>IF(INVESTORS_LIST[[#This Row],[SIP_TOTAL UNITS BUY]]=0,0,SUMIFS(SIP[Amount],SIP[Investor ID],INVESTORS_LIST[[#This Row],[INVESTOR CODE]],SIP[B/S],"B"))</f>
        <v>0</v>
      </c>
      <c r="P53" s="4">
        <f>IF(INVESTORS_LIST[[#This Row],[SIP_TOTAL UNITS SOLD]]=0,0,SUMIFS(SIP[Cost of Units Sold],SIP[Investor ID],INVESTORS_LIST[[#This Row],[INVESTOR CODE]],SIP[B/S],"S"))</f>
        <v>0</v>
      </c>
      <c r="Q53" s="6">
        <f>IF(INVESTORS_LIST[[#This Row],[SIP_TOTAL CURRENT UNITS]]=0,0,INVESTORS_LIST[[#This Row],[SIP_TOTAL CURRENT UNITS]]*INVESTORS_LIST[[#This Row],[SIP_AVERAGE COST]])</f>
        <v>0</v>
      </c>
      <c r="R53" s="6">
        <f>IF(INVESTORS_LIST[[#This Row],[SIP_TOTAL UNITS SOLD]]=0,0,SUMIFS(SIP[Realized Gain],SIP[Investor ID],INVESTORS_LIST[[#This Row],[INVESTOR CODE]],SIP[B/S],"S"))</f>
        <v>0</v>
      </c>
      <c r="S53" s="33">
        <f>INVESTORS_LIST[[#This Row],[LS_TOTAL UNITS BUY]]+INVESTORS_LIST[[#This Row],[SIP_TOTAL UNITS BUY]]</f>
        <v>658217</v>
      </c>
      <c r="T53" s="33">
        <f>INVESTORS_LIST[[#This Row],[LS_TOTAL UNITS SOLD]]+INVESTORS_LIST[[#This Row],[SIP_TOTAL UNITS SOLD]]</f>
        <v>221948</v>
      </c>
      <c r="U53" s="33">
        <v>354901</v>
      </c>
      <c r="V53" s="33">
        <f>SUMIFS(LS[BO UNIT TRANSFER],LS[Investor ID],INVESTORS_LIST[[#This Row],[INVESTOR CODE]],LS[B/S],"B")</f>
        <v>144594</v>
      </c>
      <c r="W53" s="33">
        <f>SUMIFS(LS[BO UNIT TRANSFER],LS[Investor ID],INVESTORS_LIST[[#This Row],[INVESTOR CODE]],LS[B/S],"S")</f>
        <v>-4934</v>
      </c>
      <c r="X53" s="33">
        <f>SUMIFS(SIP[BO UNIT TRANSFER],SIP[Investor ID],INVESTORS_LIST[[#This Row],[INVESTOR CODE]],SIP[B/S],"S")</f>
        <v>0</v>
      </c>
      <c r="Y53" s="33">
        <f>SUMIFS(SIP[BO UNIT TRANSFER],SIP[Investor ID],INVESTORS_LIST[[#This Row],[INVESTOR CODE]],SIP[B/S],"B")</f>
        <v>0</v>
      </c>
      <c r="Z5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494561</v>
      </c>
      <c r="AA53" s="119">
        <f>INVESTORS_LIST[[#This Row],[TOTAL UNITS BUY]]-INVESTORS_LIST[[#This Row],[TOTAL UNITS SOLD]]</f>
        <v>436269</v>
      </c>
      <c r="AB53" s="119">
        <f>INVESTORS_LIST[[#This Row],[TOTAL CURRENT UNITS]]-INVESTORS_LIST[[#This Row],[BO UNITS HOLD]]</f>
        <v>-58292</v>
      </c>
      <c r="AC53" s="119" t="e">
        <f>INDEX([4]!Table_1[BO ID],MATCH(INVESTORS_LIST[[#This Row],[INVESTOR CODE]],[4]!Table_1[INVESTOR CODE],0))</f>
        <v>#REF!</v>
      </c>
      <c r="AD53" s="33">
        <f>INVESTORS_LIST[[#This Row],[LS_TOTAL COST VALUE OF CURRENT UNITS]]+INVESTORS_LIST[[#This Row],[SIP_TOTAL COST VALUE OF CURRENT UNITS]]</f>
        <v>4712795.7607125062</v>
      </c>
      <c r="AE53" s="44">
        <f>IF(INVESTORS_LIST[[#This Row],[TOTAL CURRENT UNITS]]=0,0,INVESTORS_LIST[[#This Row],[LS_TOTAL CURRENT UNITS]]/INVESTORS_LIST[[#This Row],[TOTAL CURRENT UNITS]])</f>
        <v>1</v>
      </c>
      <c r="AF53" s="44">
        <f>IF(INVESTORS_LIST[[#This Row],[TOTAL CURRENT UNITS]]=0,0,INVESTORS_LIST[[#This Row],[SIP_TOTAL CURRENT UNITS]]/INVESTORS_LIST[[#This Row],[TOTAL CURRENT UNITS]])</f>
        <v>0</v>
      </c>
      <c r="AG53" s="4" cm="1">
        <f t="array" ref="AG53">IF(INVESTORS_LIST[[#This Row],[LS_TOTAL UNITS BUY]]&gt;0,INDEX(LS[NAV at Cost (Average)],MATCH(CONCATENATE(COUNTIFS(LS[Investor ID],INVESTORS_LIST[[#This Row],[INVESTOR CODE]]),INVESTORS_LIST[[#This Row],[INVESTOR CODE]]),LS[Unique Code],0),),0)</f>
        <v>10.802499743764756</v>
      </c>
      <c r="AH53" s="4" cm="1">
        <f t="array" ref="AH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3" s="178">
        <f>IF(INVESTORS_LIST[[#This Row],[TOTAL CURRENT UNITS]]=0,0,(INVESTORS_LIST[[#This Row],[LS_WEIGHT]]*INVESTORS_LIST[[#This Row],[LS_AVERAGE COST]])+(INVESTORS_LIST[[#This Row],[SIP_WEIGHT]]*INVESTORS_LIST[[#This Row],[SIP_AVERAGE COST]]))</f>
        <v>10.802499743764756</v>
      </c>
      <c r="AJ53" s="178">
        <f t="shared" si="0"/>
        <v>12.552</v>
      </c>
      <c r="AK53" s="118">
        <f>IF(INVESTORS_LIST[[#This Row],[TOTAL CURRENT UNITS]]=0,0,INVESTORS_LIST[[#This Row],[TOTAL CURRENT UNITS]]*INVESTORS_LIST[[#This Row],[NAV]])</f>
        <v>5476048.4879999999</v>
      </c>
      <c r="AL53" s="4">
        <f>IF(INVESTORS_LIST[[#This Row],[LS_TOTAL CURRENT UNITS]]=0,0,INVESTORS_LIST[[#This Row],[LS_TOTAL CURRENT UNITS]]*INVESTORS_LIST[[#This Row],[NAV]])</f>
        <v>5476048.4879999999</v>
      </c>
      <c r="AM53" s="6">
        <f>IF(INVESTORS_LIST[[#This Row],[SIP_TOTAL CURRENT UNITS]]=0,0,INVESTORS_LIST[[#This Row],[SIP_TOTAL CURRENT UNITS]]*INVESTORS_LIST[[#This Row],[NAV]])</f>
        <v>0</v>
      </c>
      <c r="AO53" s="6">
        <f>IF(INVESTORS_LIST[[#This Row],[TOTAL SELLABLE UNITS]]=0,0,INVESTORS_LIST[[#This Row],[TOTAL SELLABLE UNITS]]*INVESTORS_LIST[[#This Row],[NAV]])</f>
        <v>0</v>
      </c>
      <c r="AP53" s="6">
        <f>INVESTORS_LIST[[#This Row],[LS_TOTAL REALIZED GAIN]]+INVESTORS_LIST[[#This Row],[SIP_TOTAL REALIZED GAIN]]</f>
        <v>102040.61071250582</v>
      </c>
      <c r="AQ53" s="6">
        <f>INVESTORS_LIST[[#This Row],[TOTAL MARKET VALUE]]-INVESTORS_LIST[[#This Row],[TOTAL COST VALUE OF CURRENT INVESTMENT]]</f>
        <v>763252.72728749365</v>
      </c>
      <c r="AR53" s="6">
        <f>SUMIFS(DivAndTax[Tax Amount],DivAndTax[Investor ID],INVESTORS_LIST[[#This Row],[INVESTOR CODE]])</f>
        <v>36496.31</v>
      </c>
      <c r="AS53" s="6">
        <f>SUMIFS(DivAndTax[Gross Dividend],DivAndTax[Investor ID],INVESTORS_LIST[[#This Row],[INVESTOR CODE]])</f>
        <v>364963.05</v>
      </c>
      <c r="AT53" s="5">
        <f>IFERROR(INVESTORS_LIST[[#This Row],[TOTAL CURRENT UNITS]]/SUM(INVESTORS_LIST[TOTAL CURRENT UNITS]),0)</f>
        <v>2.0916845245195641E-2</v>
      </c>
    </row>
    <row r="54" spans="1:46" hidden="1">
      <c r="A54" t="s">
        <v>311</v>
      </c>
      <c r="B54" t="s">
        <v>61</v>
      </c>
      <c r="C54" t="s">
        <v>536</v>
      </c>
      <c r="D54" s="8" t="s">
        <v>2</v>
      </c>
      <c r="E54" s="2">
        <f>SUMIFS(LS[Unit],LS[Investor ID],INVESTORS_LIST[[#This Row],[INVESTOR CODE]],LS[B/S],"B")</f>
        <v>0</v>
      </c>
      <c r="F54" s="2">
        <f>-SUMIFS(LS[Unit],LS[Investor ID],INVESTORS_LIST[[#This Row],[INVESTOR CODE]],LS[B/S],"S")</f>
        <v>0</v>
      </c>
      <c r="G54" s="2">
        <f>IF(INVESTORS_LIST[[#This Row],[LS_TOTAL UNITS BUY]]=0,0,INVESTORS_LIST[[#This Row],[LS_TOTAL UNITS BUY]]-INVESTORS_LIST[[#This Row],[LS_TOTAL UNITS SOLD]])</f>
        <v>0</v>
      </c>
      <c r="H54" s="4">
        <f>IF(INVESTORS_LIST[[#This Row],[LS_TOTAL UNITS BUY]]=0,0,SUMIFS(LS[Amount],LS[Investor ID],INVESTORS_LIST[[#This Row],[INVESTOR CODE]],LS[B/S],"B"))</f>
        <v>0</v>
      </c>
      <c r="I54" s="6">
        <f>IF(INVESTORS_LIST[[#This Row],[LS_TOTAL UNITS SOLD]]=0,0,SUMIFS(LS[Cost of Units Sold],LS[Investor ID],INVESTORS_LIST[[#This Row],[INVESTOR CODE]],LS[B/S],"S"))</f>
        <v>0</v>
      </c>
      <c r="J54" s="6">
        <f>IF(INVESTORS_LIST[[#This Row],[LS_TOTAL CURRENT UNITS]]=0,0,INVESTORS_LIST[[#This Row],[LS_TOTAL CURRENT UNITS]]*INVESTORS_LIST[[#This Row],[LS_AVERAGE COST]])</f>
        <v>0</v>
      </c>
      <c r="K54" s="4">
        <f>IF(INVESTORS_LIST[[#This Row],[LS_TOTAL UNITS SOLD]]=0,0,SUMIFS(LS[Realized Gain],LS[Investor ID],INVESTORS_LIST[[#This Row],[INVESTOR CODE]],LS[B/S],"S"))</f>
        <v>0</v>
      </c>
      <c r="L54" s="2">
        <f>SUMIFS(SIP[Unit],SIP[Investor ID],INVESTORS_LIST[[#This Row],[INVESTOR CODE]],SIP[B/S],"B")</f>
        <v>0</v>
      </c>
      <c r="M54" s="2">
        <f>-SUMIFS(SIP[Unit],SIP[Investor ID],INVESTORS_LIST[[#This Row],[INVESTOR CODE]],SIP[B/S],"S")</f>
        <v>0</v>
      </c>
      <c r="N54" s="33">
        <f>IF(INVESTORS_LIST[[#This Row],[SIP_TOTAL UNITS BUY]]=0,0,INVESTORS_LIST[[#This Row],[SIP_TOTAL UNITS BUY]]-INVESTORS_LIST[[#This Row],[SIP_TOTAL UNITS SOLD]])</f>
        <v>0</v>
      </c>
      <c r="O54" s="4">
        <f>IF(INVESTORS_LIST[[#This Row],[SIP_TOTAL UNITS BUY]]=0,0,SUMIFS(SIP[Amount],SIP[Investor ID],INVESTORS_LIST[[#This Row],[INVESTOR CODE]],SIP[B/S],"B"))</f>
        <v>0</v>
      </c>
      <c r="P54" s="4">
        <f>IF(INVESTORS_LIST[[#This Row],[SIP_TOTAL UNITS SOLD]]=0,0,SUMIFS(SIP[Cost of Units Sold],SIP[Investor ID],INVESTORS_LIST[[#This Row],[INVESTOR CODE]],SIP[B/S],"S"))</f>
        <v>0</v>
      </c>
      <c r="Q54" s="6">
        <f>IF(INVESTORS_LIST[[#This Row],[SIP_TOTAL CURRENT UNITS]]=0,0,INVESTORS_LIST[[#This Row],[SIP_TOTAL CURRENT UNITS]]*INVESTORS_LIST[[#This Row],[SIP_AVERAGE COST]])</f>
        <v>0</v>
      </c>
      <c r="R54" s="6">
        <f>IF(INVESTORS_LIST[[#This Row],[SIP_TOTAL UNITS SOLD]]=0,0,SUMIFS(SIP[Realized Gain],SIP[Investor ID],INVESTORS_LIST[[#This Row],[INVESTOR CODE]],SIP[B/S],"S"))</f>
        <v>0</v>
      </c>
      <c r="S54" s="33">
        <f>INVESTORS_LIST[[#This Row],[LS_TOTAL UNITS BUY]]+INVESTORS_LIST[[#This Row],[SIP_TOTAL UNITS BUY]]</f>
        <v>0</v>
      </c>
      <c r="T54" s="33">
        <f>INVESTORS_LIST[[#This Row],[LS_TOTAL UNITS SOLD]]+INVESTORS_LIST[[#This Row],[SIP_TOTAL UNITS SOLD]]</f>
        <v>0</v>
      </c>
      <c r="U54" s="33">
        <v>0</v>
      </c>
      <c r="V54" s="33">
        <f>SUMIFS(LS[BO UNIT TRANSFER],LS[Investor ID],INVESTORS_LIST[[#This Row],[INVESTOR CODE]],LS[B/S],"B")</f>
        <v>0</v>
      </c>
      <c r="W54" s="33">
        <f>SUMIFS(LS[BO UNIT TRANSFER],LS[Investor ID],INVESTORS_LIST[[#This Row],[INVESTOR CODE]],LS[B/S],"S")</f>
        <v>0</v>
      </c>
      <c r="X54" s="33">
        <f>SUMIFS(SIP[BO UNIT TRANSFER],SIP[Investor ID],INVESTORS_LIST[[#This Row],[INVESTOR CODE]],SIP[B/S],"S")</f>
        <v>0</v>
      </c>
      <c r="Y54" s="33">
        <f>SUMIFS(SIP[BO UNIT TRANSFER],SIP[Investor ID],INVESTORS_LIST[[#This Row],[INVESTOR CODE]],SIP[B/S],"B")</f>
        <v>0</v>
      </c>
      <c r="Z5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4" s="119">
        <f>INVESTORS_LIST[[#This Row],[TOTAL UNITS BUY]]-INVESTORS_LIST[[#This Row],[TOTAL UNITS SOLD]]</f>
        <v>0</v>
      </c>
      <c r="AB54" s="119">
        <f>INVESTORS_LIST[[#This Row],[TOTAL CURRENT UNITS]]-INVESTORS_LIST[[#This Row],[BO UNITS HOLD]]</f>
        <v>0</v>
      </c>
      <c r="AC54" s="119" t="e">
        <f>INDEX([4]!Table_1[BO ID],MATCH(INVESTORS_LIST[[#This Row],[INVESTOR CODE]],[4]!Table_1[INVESTOR CODE],0))</f>
        <v>#REF!</v>
      </c>
      <c r="AD54" s="33">
        <f>INVESTORS_LIST[[#This Row],[LS_TOTAL COST VALUE OF CURRENT UNITS]]+INVESTORS_LIST[[#This Row],[SIP_TOTAL COST VALUE OF CURRENT UNITS]]</f>
        <v>0</v>
      </c>
      <c r="AE54" s="44">
        <f>IF(INVESTORS_LIST[[#This Row],[TOTAL CURRENT UNITS]]=0,0,INVESTORS_LIST[[#This Row],[LS_TOTAL CURRENT UNITS]]/INVESTORS_LIST[[#This Row],[TOTAL CURRENT UNITS]])</f>
        <v>0</v>
      </c>
      <c r="AF54" s="44">
        <f>IF(INVESTORS_LIST[[#This Row],[TOTAL CURRENT UNITS]]=0,0,INVESTORS_LIST[[#This Row],[SIP_TOTAL CURRENT UNITS]]/INVESTORS_LIST[[#This Row],[TOTAL CURRENT UNITS]])</f>
        <v>0</v>
      </c>
      <c r="AG54" s="4" cm="1">
        <f t="array" ref="AG5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4" s="4" cm="1">
        <f t="array" ref="AH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4" s="178">
        <f t="shared" si="0"/>
        <v>12.552</v>
      </c>
      <c r="AK54" s="118">
        <f>IF(INVESTORS_LIST[[#This Row],[TOTAL CURRENT UNITS]]=0,0,INVESTORS_LIST[[#This Row],[TOTAL CURRENT UNITS]]*INVESTORS_LIST[[#This Row],[NAV]])</f>
        <v>0</v>
      </c>
      <c r="AL54" s="4">
        <f>IF(INVESTORS_LIST[[#This Row],[LS_TOTAL CURRENT UNITS]]=0,0,INVESTORS_LIST[[#This Row],[LS_TOTAL CURRENT UNITS]]*INVESTORS_LIST[[#This Row],[NAV]])</f>
        <v>0</v>
      </c>
      <c r="AM54" s="6">
        <f>IF(INVESTORS_LIST[[#This Row],[SIP_TOTAL CURRENT UNITS]]=0,0,INVESTORS_LIST[[#This Row],[SIP_TOTAL CURRENT UNITS]]*INVESTORS_LIST[[#This Row],[NAV]])</f>
        <v>0</v>
      </c>
      <c r="AO54" s="6">
        <f>IF(INVESTORS_LIST[[#This Row],[TOTAL SELLABLE UNITS]]=0,0,INVESTORS_LIST[[#This Row],[TOTAL SELLABLE UNITS]]*INVESTORS_LIST[[#This Row],[NAV]])</f>
        <v>0</v>
      </c>
      <c r="AP54" s="6">
        <f>INVESTORS_LIST[[#This Row],[LS_TOTAL REALIZED GAIN]]+INVESTORS_LIST[[#This Row],[SIP_TOTAL REALIZED GAIN]]</f>
        <v>0</v>
      </c>
      <c r="AQ54" s="6">
        <f>INVESTORS_LIST[[#This Row],[TOTAL MARKET VALUE]]-INVESTORS_LIST[[#This Row],[TOTAL COST VALUE OF CURRENT INVESTMENT]]</f>
        <v>0</v>
      </c>
      <c r="AR54" s="6">
        <f>SUMIFS(DivAndTax[Tax Amount],DivAndTax[Investor ID],INVESTORS_LIST[[#This Row],[INVESTOR CODE]])</f>
        <v>0</v>
      </c>
      <c r="AS54" s="6">
        <f>SUMIFS(DivAndTax[Gross Dividend],DivAndTax[Investor ID],INVESTORS_LIST[[#This Row],[INVESTOR CODE]])</f>
        <v>0</v>
      </c>
      <c r="AT54" s="5">
        <f>IFERROR(INVESTORS_LIST[[#This Row],[TOTAL CURRENT UNITS]]/SUM(INVESTORS_LIST[TOTAL CURRENT UNITS]),0)</f>
        <v>0</v>
      </c>
    </row>
    <row r="55" spans="1:46">
      <c r="A55" t="s">
        <v>758</v>
      </c>
      <c r="B55" t="s">
        <v>62</v>
      </c>
      <c r="C55" t="s">
        <v>536</v>
      </c>
      <c r="D55" s="8" t="s">
        <v>2</v>
      </c>
      <c r="E55" s="2">
        <f>SUMIFS(LS[Unit],LS[Investor ID],INVESTORS_LIST[[#This Row],[INVESTOR CODE]],LS[B/S],"B")</f>
        <v>353924</v>
      </c>
      <c r="F55" s="2">
        <f>-SUMIFS(LS[Unit],LS[Investor ID],INVESTORS_LIST[[#This Row],[INVESTOR CODE]],LS[B/S],"S")</f>
        <v>102320</v>
      </c>
      <c r="G55" s="2">
        <f>IF(INVESTORS_LIST[[#This Row],[LS_TOTAL UNITS BUY]]=0,0,INVESTORS_LIST[[#This Row],[LS_TOTAL UNITS BUY]]-INVESTORS_LIST[[#This Row],[LS_TOTAL UNITS SOLD]])</f>
        <v>251604</v>
      </c>
      <c r="H55" s="4">
        <f>IF(INVESTORS_LIST[[#This Row],[LS_TOTAL UNITS BUY]]=0,0,SUMIFS(LS[Amount],LS[Investor ID],INVESTORS_LIST[[#This Row],[INVESTOR CODE]],LS[B/S],"B"))</f>
        <v>3780667.6199999996</v>
      </c>
      <c r="I55" s="6">
        <f>IF(INVESTORS_LIST[[#This Row],[LS_TOTAL UNITS SOLD]]=0,0,SUMIFS(LS[Cost of Units Sold],LS[Investor ID],INVESTORS_LIST[[#This Row],[INVESTOR CODE]],LS[B/S],"S"))</f>
        <v>1010500.592553123</v>
      </c>
      <c r="J55" s="6">
        <f>IF(INVESTORS_LIST[[#This Row],[LS_TOTAL CURRENT UNITS]]=0,0,INVESTORS_LIST[[#This Row],[LS_TOTAL CURRENT UNITS]]*INVESTORS_LIST[[#This Row],[LS_AVERAGE COST]])</f>
        <v>2770167.0274468772</v>
      </c>
      <c r="K55" s="4">
        <f>IF(INVESTORS_LIST[[#This Row],[LS_TOTAL UNITS SOLD]]=0,0,SUMIFS(LS[Realized Gain],LS[Investor ID],INVESTORS_LIST[[#This Row],[INVESTOR CODE]],LS[B/S],"S"))</f>
        <v>47589.907446877085</v>
      </c>
      <c r="L55" s="2">
        <f>SUMIFS(SIP[Unit],SIP[Investor ID],INVESTORS_LIST[[#This Row],[INVESTOR CODE]],SIP[B/S],"B")</f>
        <v>0</v>
      </c>
      <c r="M55" s="2">
        <f>-SUMIFS(SIP[Unit],SIP[Investor ID],INVESTORS_LIST[[#This Row],[INVESTOR CODE]],SIP[B/S],"S")</f>
        <v>0</v>
      </c>
      <c r="N55" s="33">
        <f>IF(INVESTORS_LIST[[#This Row],[SIP_TOTAL UNITS BUY]]=0,0,INVESTORS_LIST[[#This Row],[SIP_TOTAL UNITS BUY]]-INVESTORS_LIST[[#This Row],[SIP_TOTAL UNITS SOLD]])</f>
        <v>0</v>
      </c>
      <c r="O55" s="4">
        <f>IF(INVESTORS_LIST[[#This Row],[SIP_TOTAL UNITS BUY]]=0,0,SUMIFS(SIP[Amount],SIP[Investor ID],INVESTORS_LIST[[#This Row],[INVESTOR CODE]],SIP[B/S],"B"))</f>
        <v>0</v>
      </c>
      <c r="P55" s="4">
        <f>IF(INVESTORS_LIST[[#This Row],[SIP_TOTAL UNITS SOLD]]=0,0,SUMIFS(SIP[Cost of Units Sold],SIP[Investor ID],INVESTORS_LIST[[#This Row],[INVESTOR CODE]],SIP[B/S],"S"))</f>
        <v>0</v>
      </c>
      <c r="Q55" s="6">
        <f>IF(INVESTORS_LIST[[#This Row],[SIP_TOTAL CURRENT UNITS]]=0,0,INVESTORS_LIST[[#This Row],[SIP_TOTAL CURRENT UNITS]]*INVESTORS_LIST[[#This Row],[SIP_AVERAGE COST]])</f>
        <v>0</v>
      </c>
      <c r="R55" s="6">
        <f>IF(INVESTORS_LIST[[#This Row],[SIP_TOTAL UNITS SOLD]]=0,0,SUMIFS(SIP[Realized Gain],SIP[Investor ID],INVESTORS_LIST[[#This Row],[INVESTOR CODE]],SIP[B/S],"S"))</f>
        <v>0</v>
      </c>
      <c r="S55" s="33">
        <f>INVESTORS_LIST[[#This Row],[LS_TOTAL UNITS BUY]]+INVESTORS_LIST[[#This Row],[SIP_TOTAL UNITS BUY]]</f>
        <v>353924</v>
      </c>
      <c r="T55" s="33">
        <f>INVESTORS_LIST[[#This Row],[LS_TOTAL UNITS SOLD]]+INVESTORS_LIST[[#This Row],[SIP_TOTAL UNITS SOLD]]</f>
        <v>102320</v>
      </c>
      <c r="U55" s="33">
        <v>174151</v>
      </c>
      <c r="V55" s="33">
        <f>SUMIFS(LS[BO UNIT TRANSFER],LS[Investor ID],INVESTORS_LIST[[#This Row],[INVESTOR CODE]],LS[B/S],"B")</f>
        <v>77453</v>
      </c>
      <c r="W55" s="33">
        <f>SUMIFS(LS[BO UNIT TRANSFER],LS[Investor ID],INVESTORS_LIST[[#This Row],[INVESTOR CODE]],LS[B/S],"S")</f>
        <v>0</v>
      </c>
      <c r="X55" s="33">
        <f>SUMIFS(SIP[BO UNIT TRANSFER],SIP[Investor ID],INVESTORS_LIST[[#This Row],[INVESTOR CODE]],SIP[B/S],"S")</f>
        <v>0</v>
      </c>
      <c r="Y55" s="33">
        <f>SUMIFS(SIP[BO UNIT TRANSFER],SIP[Investor ID],INVESTORS_LIST[[#This Row],[INVESTOR CODE]],SIP[B/S],"B")</f>
        <v>0</v>
      </c>
      <c r="Z5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251604</v>
      </c>
      <c r="AA55" s="119">
        <f>INVESTORS_LIST[[#This Row],[TOTAL UNITS BUY]]-INVESTORS_LIST[[#This Row],[TOTAL UNITS SOLD]]</f>
        <v>251604</v>
      </c>
      <c r="AB55" s="119">
        <f>INVESTORS_LIST[[#This Row],[TOTAL CURRENT UNITS]]-INVESTORS_LIST[[#This Row],[BO UNITS HOLD]]</f>
        <v>0</v>
      </c>
      <c r="AC55" s="119" t="e">
        <f>INDEX([4]!Table_1[BO ID],MATCH(INVESTORS_LIST[[#This Row],[INVESTOR CODE]],[4]!Table_1[INVESTOR CODE],0))</f>
        <v>#REF!</v>
      </c>
      <c r="AD55" s="33">
        <f>INVESTORS_LIST[[#This Row],[LS_TOTAL COST VALUE OF CURRENT UNITS]]+INVESTORS_LIST[[#This Row],[SIP_TOTAL COST VALUE OF CURRENT UNITS]]</f>
        <v>2770167.0274468772</v>
      </c>
      <c r="AE55" s="44">
        <f>IF(INVESTORS_LIST[[#This Row],[TOTAL CURRENT UNITS]]=0,0,INVESTORS_LIST[[#This Row],[LS_TOTAL CURRENT UNITS]]/INVESTORS_LIST[[#This Row],[TOTAL CURRENT UNITS]])</f>
        <v>1</v>
      </c>
      <c r="AF55" s="44">
        <f>IF(INVESTORS_LIST[[#This Row],[TOTAL CURRENT UNITS]]=0,0,INVESTORS_LIST[[#This Row],[SIP_TOTAL CURRENT UNITS]]/INVESTORS_LIST[[#This Row],[TOTAL CURRENT UNITS]])</f>
        <v>0</v>
      </c>
      <c r="AG55" s="4" cm="1">
        <f t="array" ref="AG55">IF(INVESTORS_LIST[[#This Row],[LS_TOTAL UNITS BUY]]&gt;0,INDEX(LS[NAV at Cost (Average)],MATCH(CONCATENATE(COUNTIFS(LS[Investor ID],INVESTORS_LIST[[#This Row],[INVESTOR CODE]]),INVESTORS_LIST[[#This Row],[INVESTOR CODE]]),LS[Unique Code],0),),0)</f>
        <v>11.010027771604891</v>
      </c>
      <c r="AH55" s="4" cm="1">
        <f t="array" ref="AH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5" s="178">
        <f>IF(INVESTORS_LIST[[#This Row],[TOTAL CURRENT UNITS]]=0,0,(INVESTORS_LIST[[#This Row],[LS_WEIGHT]]*INVESTORS_LIST[[#This Row],[LS_AVERAGE COST]])+(INVESTORS_LIST[[#This Row],[SIP_WEIGHT]]*INVESTORS_LIST[[#This Row],[SIP_AVERAGE COST]]))</f>
        <v>11.010027771604891</v>
      </c>
      <c r="AJ55" s="178">
        <f t="shared" si="0"/>
        <v>12.552</v>
      </c>
      <c r="AK55" s="118">
        <f>IF(INVESTORS_LIST[[#This Row],[TOTAL CURRENT UNITS]]=0,0,INVESTORS_LIST[[#This Row],[TOTAL CURRENT UNITS]]*INVESTORS_LIST[[#This Row],[NAV]])</f>
        <v>3158133.4079999998</v>
      </c>
      <c r="AL55" s="4">
        <f>IF(INVESTORS_LIST[[#This Row],[LS_TOTAL CURRENT UNITS]]=0,0,INVESTORS_LIST[[#This Row],[LS_TOTAL CURRENT UNITS]]*INVESTORS_LIST[[#This Row],[NAV]])</f>
        <v>3158133.4079999998</v>
      </c>
      <c r="AM55" s="6">
        <f>IF(INVESTORS_LIST[[#This Row],[SIP_TOTAL CURRENT UNITS]]=0,0,INVESTORS_LIST[[#This Row],[SIP_TOTAL CURRENT UNITS]]*INVESTORS_LIST[[#This Row],[NAV]])</f>
        <v>0</v>
      </c>
      <c r="AO55" s="6">
        <f>IF(INVESTORS_LIST[[#This Row],[TOTAL SELLABLE UNITS]]=0,0,INVESTORS_LIST[[#This Row],[TOTAL SELLABLE UNITS]]*INVESTORS_LIST[[#This Row],[NAV]])</f>
        <v>0</v>
      </c>
      <c r="AP55" s="6">
        <f>INVESTORS_LIST[[#This Row],[LS_TOTAL REALIZED GAIN]]+INVESTORS_LIST[[#This Row],[SIP_TOTAL REALIZED GAIN]]</f>
        <v>47589.907446877085</v>
      </c>
      <c r="AQ55" s="6">
        <f>INVESTORS_LIST[[#This Row],[TOTAL MARKET VALUE]]-INVESTORS_LIST[[#This Row],[TOTAL COST VALUE OF CURRENT INVESTMENT]]</f>
        <v>387966.38055312261</v>
      </c>
      <c r="AR55" s="6">
        <f>SUMIFS(DivAndTax[Tax Amount],DivAndTax[Investor ID],INVESTORS_LIST[[#This Row],[INVESTOR CODE]])</f>
        <v>19650.79</v>
      </c>
      <c r="AS55" s="6">
        <f>SUMIFS(DivAndTax[Gross Dividend],DivAndTax[Investor ID],INVESTORS_LIST[[#This Row],[INVESTOR CODE]])</f>
        <v>196507.8</v>
      </c>
      <c r="AT55" s="5">
        <f>IFERROR(INVESTORS_LIST[[#This Row],[TOTAL CURRENT UNITS]]/SUM(INVESTORS_LIST[TOTAL CURRENT UNITS]),0)</f>
        <v>1.2063112279516086E-2</v>
      </c>
    </row>
    <row r="56" spans="1:46">
      <c r="A56" t="s">
        <v>759</v>
      </c>
      <c r="B56" t="s">
        <v>63</v>
      </c>
      <c r="C56" t="s">
        <v>536</v>
      </c>
      <c r="D56" s="8" t="s">
        <v>2</v>
      </c>
      <c r="E56" s="2">
        <f>SUMIFS(LS[Unit],LS[Investor ID],INVESTORS_LIST[[#This Row],[INVESTOR CODE]],LS[B/S],"B")</f>
        <v>416</v>
      </c>
      <c r="F56" s="2">
        <f>-SUMIFS(LS[Unit],LS[Investor ID],INVESTORS_LIST[[#This Row],[INVESTOR CODE]],LS[B/S],"S")</f>
        <v>0</v>
      </c>
      <c r="G56" s="2">
        <f>IF(INVESTORS_LIST[[#This Row],[LS_TOTAL UNITS BUY]]=0,0,INVESTORS_LIST[[#This Row],[LS_TOTAL UNITS BUY]]-INVESTORS_LIST[[#This Row],[LS_TOTAL UNITS SOLD]])</f>
        <v>416</v>
      </c>
      <c r="H56" s="4">
        <f>IF(INVESTORS_LIST[[#This Row],[LS_TOTAL UNITS BUY]]=0,0,SUMIFS(LS[Amount],LS[Investor ID],INVESTORS_LIST[[#This Row],[INVESTOR CODE]],LS[B/S],"B"))</f>
        <v>5000</v>
      </c>
      <c r="I56" s="6">
        <f>IF(INVESTORS_LIST[[#This Row],[LS_TOTAL UNITS SOLD]]=0,0,SUMIFS(LS[Cost of Units Sold],LS[Investor ID],INVESTORS_LIST[[#This Row],[INVESTOR CODE]],LS[B/S],"S"))</f>
        <v>0</v>
      </c>
      <c r="J56" s="6">
        <f>IF(INVESTORS_LIST[[#This Row],[LS_TOTAL CURRENT UNITS]]=0,0,INVESTORS_LIST[[#This Row],[LS_TOTAL CURRENT UNITS]]*INVESTORS_LIST[[#This Row],[LS_AVERAGE COST]])</f>
        <v>5000</v>
      </c>
      <c r="K56" s="4">
        <f>IF(INVESTORS_LIST[[#This Row],[LS_TOTAL UNITS SOLD]]=0,0,SUMIFS(LS[Realized Gain],LS[Investor ID],INVESTORS_LIST[[#This Row],[INVESTOR CODE]],LS[B/S],"S"))</f>
        <v>0</v>
      </c>
      <c r="L56" s="2">
        <f>SUMIFS(SIP[Unit],SIP[Investor ID],INVESTORS_LIST[[#This Row],[INVESTOR CODE]],SIP[B/S],"B")</f>
        <v>2047</v>
      </c>
      <c r="M56" s="2">
        <f>-SUMIFS(SIP[Unit],SIP[Investor ID],INVESTORS_LIST[[#This Row],[INVESTOR CODE]],SIP[B/S],"S")</f>
        <v>0</v>
      </c>
      <c r="N56" s="33">
        <f>IF(INVESTORS_LIST[[#This Row],[SIP_TOTAL UNITS BUY]]=0,0,INVESTORS_LIST[[#This Row],[SIP_TOTAL UNITS BUY]]-INVESTORS_LIST[[#This Row],[SIP_TOTAL UNITS SOLD]])</f>
        <v>2047</v>
      </c>
      <c r="O56" s="4">
        <f>IF(INVESTORS_LIST[[#This Row],[SIP_TOTAL UNITS BUY]]=0,0,SUMIFS(SIP[Amount],SIP[Investor ID],INVESTORS_LIST[[#This Row],[INVESTOR CODE]],SIP[B/S],"B"))</f>
        <v>25000</v>
      </c>
      <c r="P56" s="4">
        <f>IF(INVESTORS_LIST[[#This Row],[SIP_TOTAL UNITS SOLD]]=0,0,SUMIFS(SIP[Cost of Units Sold],SIP[Investor ID],INVESTORS_LIST[[#This Row],[INVESTOR CODE]],SIP[B/S],"S"))</f>
        <v>0</v>
      </c>
      <c r="Q56" s="6">
        <f>IF(INVESTORS_LIST[[#This Row],[SIP_TOTAL CURRENT UNITS]]=0,0,INVESTORS_LIST[[#This Row],[SIP_TOTAL CURRENT UNITS]]*INVESTORS_LIST[[#This Row],[SIP_AVERAGE COST]])</f>
        <v>25000</v>
      </c>
      <c r="R56" s="6">
        <f>IF(INVESTORS_LIST[[#This Row],[SIP_TOTAL UNITS SOLD]]=0,0,SUMIFS(SIP[Realized Gain],SIP[Investor ID],INVESTORS_LIST[[#This Row],[INVESTOR CODE]],SIP[B/S],"S"))</f>
        <v>0</v>
      </c>
      <c r="S56" s="33">
        <f>INVESTORS_LIST[[#This Row],[LS_TOTAL UNITS BUY]]+INVESTORS_LIST[[#This Row],[SIP_TOTAL UNITS BUY]]</f>
        <v>2463</v>
      </c>
      <c r="T56" s="33">
        <f>INVESTORS_LIST[[#This Row],[LS_TOTAL UNITS SOLD]]+INVESTORS_LIST[[#This Row],[SIP_TOTAL UNITS SOLD]]</f>
        <v>0</v>
      </c>
      <c r="U56" s="33">
        <v>0</v>
      </c>
      <c r="V56" s="33">
        <f>SUMIFS(LS[BO UNIT TRANSFER],LS[Investor ID],INVESTORS_LIST[[#This Row],[INVESTOR CODE]],LS[B/S],"B")</f>
        <v>0</v>
      </c>
      <c r="W56" s="33">
        <f>SUMIFS(LS[BO UNIT TRANSFER],LS[Investor ID],INVESTORS_LIST[[#This Row],[INVESTOR CODE]],LS[B/S],"S")</f>
        <v>0</v>
      </c>
      <c r="X56" s="33">
        <f>SUMIFS(SIP[BO UNIT TRANSFER],SIP[Investor ID],INVESTORS_LIST[[#This Row],[INVESTOR CODE]],SIP[B/S],"S")</f>
        <v>0</v>
      </c>
      <c r="Y56" s="33">
        <f>SUMIFS(SIP[BO UNIT TRANSFER],SIP[Investor ID],INVESTORS_LIST[[#This Row],[INVESTOR CODE]],SIP[B/S],"B")</f>
        <v>0</v>
      </c>
      <c r="Z5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6" s="119">
        <f>INVESTORS_LIST[[#This Row],[TOTAL UNITS BUY]]-INVESTORS_LIST[[#This Row],[TOTAL UNITS SOLD]]</f>
        <v>2463</v>
      </c>
      <c r="AB56" s="119">
        <f>INVESTORS_LIST[[#This Row],[TOTAL CURRENT UNITS]]-INVESTORS_LIST[[#This Row],[BO UNITS HOLD]]</f>
        <v>2463</v>
      </c>
      <c r="AC56" s="119" t="e">
        <f>INDEX([4]!Table_1[BO ID],MATCH(INVESTORS_LIST[[#This Row],[INVESTOR CODE]],[4]!Table_1[INVESTOR CODE],0))</f>
        <v>#REF!</v>
      </c>
      <c r="AD56" s="33">
        <f>INVESTORS_LIST[[#This Row],[LS_TOTAL COST VALUE OF CURRENT UNITS]]+INVESTORS_LIST[[#This Row],[SIP_TOTAL COST VALUE OF CURRENT UNITS]]</f>
        <v>30000</v>
      </c>
      <c r="AE56" s="44">
        <f>IF(INVESTORS_LIST[[#This Row],[TOTAL CURRENT UNITS]]=0,0,INVESTORS_LIST[[#This Row],[LS_TOTAL CURRENT UNITS]]/INVESTORS_LIST[[#This Row],[TOTAL CURRENT UNITS]])</f>
        <v>0.16889971579374746</v>
      </c>
      <c r="AF56" s="44">
        <f>IF(INVESTORS_LIST[[#This Row],[TOTAL CURRENT UNITS]]=0,0,INVESTORS_LIST[[#This Row],[SIP_TOTAL CURRENT UNITS]]/INVESTORS_LIST[[#This Row],[TOTAL CURRENT UNITS]])</f>
        <v>0.83110028420625248</v>
      </c>
      <c r="AG56" s="4" cm="1">
        <f t="array" ref="AG56">IF(INVESTORS_LIST[[#This Row],[LS_TOTAL UNITS BUY]]&gt;0,INDEX(LS[NAV at Cost (Average)],MATCH(CONCATENATE(COUNTIFS(LS[Investor ID],INVESTORS_LIST[[#This Row],[INVESTOR CODE]]),INVESTORS_LIST[[#This Row],[INVESTOR CODE]]),LS[Unique Code],0),),0)</f>
        <v>12.01923076923077</v>
      </c>
      <c r="AH56" s="4" cm="1">
        <f t="array" ref="AH56">IF(INVESTORS_LIST[[#This Row],[SIP_TOTAL UNITS BUY]]&gt;0,INDEX(SIP[NAV at Cost (Average)],MATCH(CONCATENATE(COUNTIFS(SIP[Investor ID],INVESTORS_LIST[[#This Row],[INVESTOR CODE]]),INVESTORS_LIST[[#This Row],[INVESTOR CODE]]),SIP[Unique Code],0),),0)</f>
        <v>12.212994626282365</v>
      </c>
      <c r="AI56" s="178">
        <f>IF(INVESTORS_LIST[[#This Row],[TOTAL CURRENT UNITS]]=0,0,(INVESTORS_LIST[[#This Row],[LS_WEIGHT]]*INVESTORS_LIST[[#This Row],[LS_AVERAGE COST]])+(INVESTORS_LIST[[#This Row],[SIP_WEIGHT]]*INVESTORS_LIST[[#This Row],[SIP_AVERAGE COST]]))</f>
        <v>12.180267965895249</v>
      </c>
      <c r="AJ56" s="178">
        <f t="shared" si="0"/>
        <v>12.552</v>
      </c>
      <c r="AK56" s="118">
        <f>IF(INVESTORS_LIST[[#This Row],[TOTAL CURRENT UNITS]]=0,0,INVESTORS_LIST[[#This Row],[TOTAL CURRENT UNITS]]*INVESTORS_LIST[[#This Row],[NAV]])</f>
        <v>30915.575999999997</v>
      </c>
      <c r="AL56" s="4">
        <f>IF(INVESTORS_LIST[[#This Row],[LS_TOTAL CURRENT UNITS]]=0,0,INVESTORS_LIST[[#This Row],[LS_TOTAL CURRENT UNITS]]*INVESTORS_LIST[[#This Row],[NAV]])</f>
        <v>5221.6319999999996</v>
      </c>
      <c r="AM56" s="6">
        <f>IF(INVESTORS_LIST[[#This Row],[SIP_TOTAL CURRENT UNITS]]=0,0,INVESTORS_LIST[[#This Row],[SIP_TOTAL CURRENT UNITS]]*INVESTORS_LIST[[#This Row],[NAV]])</f>
        <v>25693.944</v>
      </c>
      <c r="AO56" s="6">
        <f>IF(INVESTORS_LIST[[#This Row],[TOTAL SELLABLE UNITS]]=0,0,INVESTORS_LIST[[#This Row],[TOTAL SELLABLE UNITS]]*INVESTORS_LIST[[#This Row],[NAV]])</f>
        <v>0</v>
      </c>
      <c r="AP56" s="6">
        <f>INVESTORS_LIST[[#This Row],[LS_TOTAL REALIZED GAIN]]+INVESTORS_LIST[[#This Row],[SIP_TOTAL REALIZED GAIN]]</f>
        <v>0</v>
      </c>
      <c r="AQ56" s="6">
        <f>INVESTORS_LIST[[#This Row],[TOTAL MARKET VALUE]]-INVESTORS_LIST[[#This Row],[TOTAL COST VALUE OF CURRENT INVESTMENT]]</f>
        <v>915.57599999999729</v>
      </c>
      <c r="AR56" s="6">
        <f>SUMIFS(DivAndTax[Tax Amount],DivAndTax[Investor ID],INVESTORS_LIST[[#This Row],[INVESTOR CODE]])</f>
        <v>43.82</v>
      </c>
      <c r="AS56" s="6">
        <f>SUMIFS(DivAndTax[Gross Dividend],DivAndTax[Investor ID],INVESTORS_LIST[[#This Row],[INVESTOR CODE]])</f>
        <v>438.2</v>
      </c>
      <c r="AT56" s="5">
        <f>IFERROR(INVESTORS_LIST[[#This Row],[TOTAL CURRENT UNITS]]/SUM(INVESTORS_LIST[TOTAL CURRENT UNITS]),0)</f>
        <v>1.1808812874377245E-4</v>
      </c>
    </row>
    <row r="57" spans="1:46" hidden="1">
      <c r="A57" t="s">
        <v>760</v>
      </c>
      <c r="B57" t="s">
        <v>64</v>
      </c>
      <c r="C57" t="s">
        <v>536</v>
      </c>
      <c r="D57" s="8" t="s">
        <v>2</v>
      </c>
      <c r="E57" s="2">
        <f>SUMIFS(LS[Unit],LS[Investor ID],INVESTORS_LIST[[#This Row],[INVESTOR CODE]],LS[B/S],"B")</f>
        <v>0</v>
      </c>
      <c r="F57" s="2">
        <f>-SUMIFS(LS[Unit],LS[Investor ID],INVESTORS_LIST[[#This Row],[INVESTOR CODE]],LS[B/S],"S")</f>
        <v>0</v>
      </c>
      <c r="G57" s="2">
        <f>IF(INVESTORS_LIST[[#This Row],[LS_TOTAL UNITS BUY]]=0,0,INVESTORS_LIST[[#This Row],[LS_TOTAL UNITS BUY]]-INVESTORS_LIST[[#This Row],[LS_TOTAL UNITS SOLD]])</f>
        <v>0</v>
      </c>
      <c r="H57" s="4">
        <f>IF(INVESTORS_LIST[[#This Row],[LS_TOTAL UNITS BUY]]=0,0,SUMIFS(LS[Amount],LS[Investor ID],INVESTORS_LIST[[#This Row],[INVESTOR CODE]],LS[B/S],"B"))</f>
        <v>0</v>
      </c>
      <c r="I57" s="6">
        <f>IF(INVESTORS_LIST[[#This Row],[LS_TOTAL UNITS SOLD]]=0,0,SUMIFS(LS[Cost of Units Sold],LS[Investor ID],INVESTORS_LIST[[#This Row],[INVESTOR CODE]],LS[B/S],"S"))</f>
        <v>0</v>
      </c>
      <c r="J57" s="6">
        <f>IF(INVESTORS_LIST[[#This Row],[LS_TOTAL CURRENT UNITS]]=0,0,INVESTORS_LIST[[#This Row],[LS_TOTAL CURRENT UNITS]]*INVESTORS_LIST[[#This Row],[LS_AVERAGE COST]])</f>
        <v>0</v>
      </c>
      <c r="K57" s="4">
        <f>IF(INVESTORS_LIST[[#This Row],[LS_TOTAL UNITS SOLD]]=0,0,SUMIFS(LS[Realized Gain],LS[Investor ID],INVESTORS_LIST[[#This Row],[INVESTOR CODE]],LS[B/S],"S"))</f>
        <v>0</v>
      </c>
      <c r="L57" s="2">
        <f>SUMIFS(SIP[Unit],SIP[Investor ID],INVESTORS_LIST[[#This Row],[INVESTOR CODE]],SIP[B/S],"B")</f>
        <v>0</v>
      </c>
      <c r="M57" s="2">
        <f>-SUMIFS(SIP[Unit],SIP[Investor ID],INVESTORS_LIST[[#This Row],[INVESTOR CODE]],SIP[B/S],"S")</f>
        <v>0</v>
      </c>
      <c r="N57" s="33">
        <f>IF(INVESTORS_LIST[[#This Row],[SIP_TOTAL UNITS BUY]]=0,0,INVESTORS_LIST[[#This Row],[SIP_TOTAL UNITS BUY]]-INVESTORS_LIST[[#This Row],[SIP_TOTAL UNITS SOLD]])</f>
        <v>0</v>
      </c>
      <c r="O57" s="4">
        <f>IF(INVESTORS_LIST[[#This Row],[SIP_TOTAL UNITS BUY]]=0,0,SUMIFS(SIP[Amount],SIP[Investor ID],INVESTORS_LIST[[#This Row],[INVESTOR CODE]],SIP[B/S],"B"))</f>
        <v>0</v>
      </c>
      <c r="P57" s="4">
        <f>IF(INVESTORS_LIST[[#This Row],[SIP_TOTAL UNITS SOLD]]=0,0,SUMIFS(SIP[Cost of Units Sold],SIP[Investor ID],INVESTORS_LIST[[#This Row],[INVESTOR CODE]],SIP[B/S],"S"))</f>
        <v>0</v>
      </c>
      <c r="Q57" s="6">
        <f>IF(INVESTORS_LIST[[#This Row],[SIP_TOTAL CURRENT UNITS]]=0,0,INVESTORS_LIST[[#This Row],[SIP_TOTAL CURRENT UNITS]]*INVESTORS_LIST[[#This Row],[SIP_AVERAGE COST]])</f>
        <v>0</v>
      </c>
      <c r="R57" s="6">
        <f>IF(INVESTORS_LIST[[#This Row],[SIP_TOTAL UNITS SOLD]]=0,0,SUMIFS(SIP[Realized Gain],SIP[Investor ID],INVESTORS_LIST[[#This Row],[INVESTOR CODE]],SIP[B/S],"S"))</f>
        <v>0</v>
      </c>
      <c r="S57" s="33">
        <f>INVESTORS_LIST[[#This Row],[LS_TOTAL UNITS BUY]]+INVESTORS_LIST[[#This Row],[SIP_TOTAL UNITS BUY]]</f>
        <v>0</v>
      </c>
      <c r="T57" s="33">
        <f>INVESTORS_LIST[[#This Row],[LS_TOTAL UNITS SOLD]]+INVESTORS_LIST[[#This Row],[SIP_TOTAL UNITS SOLD]]</f>
        <v>0</v>
      </c>
      <c r="U57" s="33">
        <v>0</v>
      </c>
      <c r="V57" s="33">
        <f>SUMIFS(LS[BO UNIT TRANSFER],LS[Investor ID],INVESTORS_LIST[[#This Row],[INVESTOR CODE]],LS[B/S],"B")</f>
        <v>0</v>
      </c>
      <c r="W57" s="33">
        <f>SUMIFS(LS[BO UNIT TRANSFER],LS[Investor ID],INVESTORS_LIST[[#This Row],[INVESTOR CODE]],LS[B/S],"S")</f>
        <v>0</v>
      </c>
      <c r="X57" s="33">
        <f>SUMIFS(SIP[BO UNIT TRANSFER],SIP[Investor ID],INVESTORS_LIST[[#This Row],[INVESTOR CODE]],SIP[B/S],"S")</f>
        <v>0</v>
      </c>
      <c r="Y57" s="33">
        <f>SUMIFS(SIP[BO UNIT TRANSFER],SIP[Investor ID],INVESTORS_LIST[[#This Row],[INVESTOR CODE]],SIP[B/S],"B")</f>
        <v>0</v>
      </c>
      <c r="Z5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7" s="119">
        <f>INVESTORS_LIST[[#This Row],[TOTAL UNITS BUY]]-INVESTORS_LIST[[#This Row],[TOTAL UNITS SOLD]]</f>
        <v>0</v>
      </c>
      <c r="AB57" s="119">
        <f>INVESTORS_LIST[[#This Row],[TOTAL CURRENT UNITS]]-INVESTORS_LIST[[#This Row],[BO UNITS HOLD]]</f>
        <v>0</v>
      </c>
      <c r="AC57" s="119" t="e">
        <f>INDEX([4]!Table_1[BO ID],MATCH(INVESTORS_LIST[[#This Row],[INVESTOR CODE]],[4]!Table_1[INVESTOR CODE],0))</f>
        <v>#REF!</v>
      </c>
      <c r="AD57" s="33">
        <f>INVESTORS_LIST[[#This Row],[LS_TOTAL COST VALUE OF CURRENT UNITS]]+INVESTORS_LIST[[#This Row],[SIP_TOTAL COST VALUE OF CURRENT UNITS]]</f>
        <v>0</v>
      </c>
      <c r="AE57" s="44">
        <f>IF(INVESTORS_LIST[[#This Row],[TOTAL CURRENT UNITS]]=0,0,INVESTORS_LIST[[#This Row],[LS_TOTAL CURRENT UNITS]]/INVESTORS_LIST[[#This Row],[TOTAL CURRENT UNITS]])</f>
        <v>0</v>
      </c>
      <c r="AF57" s="44">
        <f>IF(INVESTORS_LIST[[#This Row],[TOTAL CURRENT UNITS]]=0,0,INVESTORS_LIST[[#This Row],[SIP_TOTAL CURRENT UNITS]]/INVESTORS_LIST[[#This Row],[TOTAL CURRENT UNITS]])</f>
        <v>0</v>
      </c>
      <c r="AG57" s="4" cm="1">
        <f t="array" ref="AG5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7" s="4" cm="1">
        <f t="array" ref="AH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7" s="178">
        <f t="shared" si="0"/>
        <v>12.552</v>
      </c>
      <c r="AK57" s="118">
        <f>IF(INVESTORS_LIST[[#This Row],[TOTAL CURRENT UNITS]]=0,0,INVESTORS_LIST[[#This Row],[TOTAL CURRENT UNITS]]*INVESTORS_LIST[[#This Row],[NAV]])</f>
        <v>0</v>
      </c>
      <c r="AL57" s="4">
        <f>IF(INVESTORS_LIST[[#This Row],[LS_TOTAL CURRENT UNITS]]=0,0,INVESTORS_LIST[[#This Row],[LS_TOTAL CURRENT UNITS]]*INVESTORS_LIST[[#This Row],[NAV]])</f>
        <v>0</v>
      </c>
      <c r="AM57" s="6">
        <f>IF(INVESTORS_LIST[[#This Row],[SIP_TOTAL CURRENT UNITS]]=0,0,INVESTORS_LIST[[#This Row],[SIP_TOTAL CURRENT UNITS]]*INVESTORS_LIST[[#This Row],[NAV]])</f>
        <v>0</v>
      </c>
      <c r="AO57" s="6">
        <f>IF(INVESTORS_LIST[[#This Row],[TOTAL SELLABLE UNITS]]=0,0,INVESTORS_LIST[[#This Row],[TOTAL SELLABLE UNITS]]*INVESTORS_LIST[[#This Row],[NAV]])</f>
        <v>0</v>
      </c>
      <c r="AP57" s="6">
        <f>INVESTORS_LIST[[#This Row],[LS_TOTAL REALIZED GAIN]]+INVESTORS_LIST[[#This Row],[SIP_TOTAL REALIZED GAIN]]</f>
        <v>0</v>
      </c>
      <c r="AQ57" s="6">
        <f>INVESTORS_LIST[[#This Row],[TOTAL MARKET VALUE]]-INVESTORS_LIST[[#This Row],[TOTAL COST VALUE OF CURRENT INVESTMENT]]</f>
        <v>0</v>
      </c>
      <c r="AR57" s="6">
        <f>SUMIFS(DivAndTax[Tax Amount],DivAndTax[Investor ID],INVESTORS_LIST[[#This Row],[INVESTOR CODE]])</f>
        <v>0</v>
      </c>
      <c r="AS57" s="6">
        <f>SUMIFS(DivAndTax[Gross Dividend],DivAndTax[Investor ID],INVESTORS_LIST[[#This Row],[INVESTOR CODE]])</f>
        <v>0</v>
      </c>
      <c r="AT57" s="5">
        <f>IFERROR(INVESTORS_LIST[[#This Row],[TOTAL CURRENT UNITS]]/SUM(INVESTORS_LIST[TOTAL CURRENT UNITS]),0)</f>
        <v>0</v>
      </c>
    </row>
    <row r="58" spans="1:46" hidden="1">
      <c r="A58" t="s">
        <v>363</v>
      </c>
      <c r="B58" t="s">
        <v>65</v>
      </c>
      <c r="C58" t="s">
        <v>536</v>
      </c>
      <c r="D58" s="8" t="s">
        <v>2</v>
      </c>
      <c r="E58" s="2">
        <f>SUMIFS(LS[Unit],LS[Investor ID],INVESTORS_LIST[[#This Row],[INVESTOR CODE]],LS[B/S],"B")</f>
        <v>0</v>
      </c>
      <c r="F58" s="2">
        <f>-SUMIFS(LS[Unit],LS[Investor ID],INVESTORS_LIST[[#This Row],[INVESTOR CODE]],LS[B/S],"S")</f>
        <v>0</v>
      </c>
      <c r="G58" s="2">
        <f>IF(INVESTORS_LIST[[#This Row],[LS_TOTAL UNITS BUY]]=0,0,INVESTORS_LIST[[#This Row],[LS_TOTAL UNITS BUY]]-INVESTORS_LIST[[#This Row],[LS_TOTAL UNITS SOLD]])</f>
        <v>0</v>
      </c>
      <c r="H58" s="4">
        <f>IF(INVESTORS_LIST[[#This Row],[LS_TOTAL UNITS BUY]]=0,0,SUMIFS(LS[Amount],LS[Investor ID],INVESTORS_LIST[[#This Row],[INVESTOR CODE]],LS[B/S],"B"))</f>
        <v>0</v>
      </c>
      <c r="I58" s="6">
        <f>IF(INVESTORS_LIST[[#This Row],[LS_TOTAL UNITS SOLD]]=0,0,SUMIFS(LS[Cost of Units Sold],LS[Investor ID],INVESTORS_LIST[[#This Row],[INVESTOR CODE]],LS[B/S],"S"))</f>
        <v>0</v>
      </c>
      <c r="J58" s="6">
        <f>IF(INVESTORS_LIST[[#This Row],[LS_TOTAL CURRENT UNITS]]=0,0,INVESTORS_LIST[[#This Row],[LS_TOTAL CURRENT UNITS]]*INVESTORS_LIST[[#This Row],[LS_AVERAGE COST]])</f>
        <v>0</v>
      </c>
      <c r="K58" s="4">
        <f>IF(INVESTORS_LIST[[#This Row],[LS_TOTAL UNITS SOLD]]=0,0,SUMIFS(LS[Realized Gain],LS[Investor ID],INVESTORS_LIST[[#This Row],[INVESTOR CODE]],LS[B/S],"S"))</f>
        <v>0</v>
      </c>
      <c r="L58" s="2">
        <f>SUMIFS(SIP[Unit],SIP[Investor ID],INVESTORS_LIST[[#This Row],[INVESTOR CODE]],SIP[B/S],"B")</f>
        <v>0</v>
      </c>
      <c r="M58" s="2">
        <f>-SUMIFS(SIP[Unit],SIP[Investor ID],INVESTORS_LIST[[#This Row],[INVESTOR CODE]],SIP[B/S],"S")</f>
        <v>0</v>
      </c>
      <c r="N58" s="33">
        <f>IF(INVESTORS_LIST[[#This Row],[SIP_TOTAL UNITS BUY]]=0,0,INVESTORS_LIST[[#This Row],[SIP_TOTAL UNITS BUY]]-INVESTORS_LIST[[#This Row],[SIP_TOTAL UNITS SOLD]])</f>
        <v>0</v>
      </c>
      <c r="O58" s="4">
        <f>IF(INVESTORS_LIST[[#This Row],[SIP_TOTAL UNITS BUY]]=0,0,SUMIFS(SIP[Amount],SIP[Investor ID],INVESTORS_LIST[[#This Row],[INVESTOR CODE]],SIP[B/S],"B"))</f>
        <v>0</v>
      </c>
      <c r="P58" s="4">
        <f>IF(INVESTORS_LIST[[#This Row],[SIP_TOTAL UNITS SOLD]]=0,0,SUMIFS(SIP[Cost of Units Sold],SIP[Investor ID],INVESTORS_LIST[[#This Row],[INVESTOR CODE]],SIP[B/S],"S"))</f>
        <v>0</v>
      </c>
      <c r="Q58" s="6">
        <f>IF(INVESTORS_LIST[[#This Row],[SIP_TOTAL CURRENT UNITS]]=0,0,INVESTORS_LIST[[#This Row],[SIP_TOTAL CURRENT UNITS]]*INVESTORS_LIST[[#This Row],[SIP_AVERAGE COST]])</f>
        <v>0</v>
      </c>
      <c r="R58" s="6">
        <f>IF(INVESTORS_LIST[[#This Row],[SIP_TOTAL UNITS SOLD]]=0,0,SUMIFS(SIP[Realized Gain],SIP[Investor ID],INVESTORS_LIST[[#This Row],[INVESTOR CODE]],SIP[B/S],"S"))</f>
        <v>0</v>
      </c>
      <c r="S58" s="33">
        <f>INVESTORS_LIST[[#This Row],[LS_TOTAL UNITS BUY]]+INVESTORS_LIST[[#This Row],[SIP_TOTAL UNITS BUY]]</f>
        <v>0</v>
      </c>
      <c r="T58" s="33">
        <f>INVESTORS_LIST[[#This Row],[LS_TOTAL UNITS SOLD]]+INVESTORS_LIST[[#This Row],[SIP_TOTAL UNITS SOLD]]</f>
        <v>0</v>
      </c>
      <c r="U58" s="33">
        <v>0</v>
      </c>
      <c r="V58" s="33">
        <f>SUMIFS(LS[BO UNIT TRANSFER],LS[Investor ID],INVESTORS_LIST[[#This Row],[INVESTOR CODE]],LS[B/S],"B")</f>
        <v>0</v>
      </c>
      <c r="W58" s="33">
        <f>SUMIFS(LS[BO UNIT TRANSFER],LS[Investor ID],INVESTORS_LIST[[#This Row],[INVESTOR CODE]],LS[B/S],"S")</f>
        <v>0</v>
      </c>
      <c r="X58" s="33">
        <f>SUMIFS(SIP[BO UNIT TRANSFER],SIP[Investor ID],INVESTORS_LIST[[#This Row],[INVESTOR CODE]],SIP[B/S],"S")</f>
        <v>0</v>
      </c>
      <c r="Y58" s="33">
        <f>SUMIFS(SIP[BO UNIT TRANSFER],SIP[Investor ID],INVESTORS_LIST[[#This Row],[INVESTOR CODE]],SIP[B/S],"B")</f>
        <v>0</v>
      </c>
      <c r="Z5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8" s="119">
        <f>INVESTORS_LIST[[#This Row],[TOTAL UNITS BUY]]-INVESTORS_LIST[[#This Row],[TOTAL UNITS SOLD]]</f>
        <v>0</v>
      </c>
      <c r="AB58" s="119">
        <f>INVESTORS_LIST[[#This Row],[TOTAL CURRENT UNITS]]-INVESTORS_LIST[[#This Row],[BO UNITS HOLD]]</f>
        <v>0</v>
      </c>
      <c r="AC58" s="119" t="e">
        <f>INDEX([4]!Table_1[BO ID],MATCH(INVESTORS_LIST[[#This Row],[INVESTOR CODE]],[4]!Table_1[INVESTOR CODE],0))</f>
        <v>#REF!</v>
      </c>
      <c r="AD58" s="33">
        <f>INVESTORS_LIST[[#This Row],[LS_TOTAL COST VALUE OF CURRENT UNITS]]+INVESTORS_LIST[[#This Row],[SIP_TOTAL COST VALUE OF CURRENT UNITS]]</f>
        <v>0</v>
      </c>
      <c r="AE58" s="44">
        <f>IF(INVESTORS_LIST[[#This Row],[TOTAL CURRENT UNITS]]=0,0,INVESTORS_LIST[[#This Row],[LS_TOTAL CURRENT UNITS]]/INVESTORS_LIST[[#This Row],[TOTAL CURRENT UNITS]])</f>
        <v>0</v>
      </c>
      <c r="AF58" s="44">
        <f>IF(INVESTORS_LIST[[#This Row],[TOTAL CURRENT UNITS]]=0,0,INVESTORS_LIST[[#This Row],[SIP_TOTAL CURRENT UNITS]]/INVESTORS_LIST[[#This Row],[TOTAL CURRENT UNITS]])</f>
        <v>0</v>
      </c>
      <c r="AG58" s="4" cm="1">
        <f t="array" ref="AG5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8" s="4" cm="1">
        <f t="array" ref="AH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8" s="178">
        <f t="shared" si="0"/>
        <v>12.552</v>
      </c>
      <c r="AK58" s="118">
        <f>IF(INVESTORS_LIST[[#This Row],[TOTAL CURRENT UNITS]]=0,0,INVESTORS_LIST[[#This Row],[TOTAL CURRENT UNITS]]*INVESTORS_LIST[[#This Row],[NAV]])</f>
        <v>0</v>
      </c>
      <c r="AL58" s="4">
        <f>IF(INVESTORS_LIST[[#This Row],[LS_TOTAL CURRENT UNITS]]=0,0,INVESTORS_LIST[[#This Row],[LS_TOTAL CURRENT UNITS]]*INVESTORS_LIST[[#This Row],[NAV]])</f>
        <v>0</v>
      </c>
      <c r="AM58" s="6">
        <f>IF(INVESTORS_LIST[[#This Row],[SIP_TOTAL CURRENT UNITS]]=0,0,INVESTORS_LIST[[#This Row],[SIP_TOTAL CURRENT UNITS]]*INVESTORS_LIST[[#This Row],[NAV]])</f>
        <v>0</v>
      </c>
      <c r="AO58" s="6">
        <f>IF(INVESTORS_LIST[[#This Row],[TOTAL SELLABLE UNITS]]=0,0,INVESTORS_LIST[[#This Row],[TOTAL SELLABLE UNITS]]*INVESTORS_LIST[[#This Row],[NAV]])</f>
        <v>0</v>
      </c>
      <c r="AP58" s="6">
        <f>INVESTORS_LIST[[#This Row],[LS_TOTAL REALIZED GAIN]]+INVESTORS_LIST[[#This Row],[SIP_TOTAL REALIZED GAIN]]</f>
        <v>0</v>
      </c>
      <c r="AQ58" s="6">
        <f>INVESTORS_LIST[[#This Row],[TOTAL MARKET VALUE]]-INVESTORS_LIST[[#This Row],[TOTAL COST VALUE OF CURRENT INVESTMENT]]</f>
        <v>0</v>
      </c>
      <c r="AR58" s="6">
        <f>SUMIFS(DivAndTax[Tax Amount],DivAndTax[Investor ID],INVESTORS_LIST[[#This Row],[INVESTOR CODE]])</f>
        <v>0</v>
      </c>
      <c r="AS58" s="6">
        <f>SUMIFS(DivAndTax[Gross Dividend],DivAndTax[Investor ID],INVESTORS_LIST[[#This Row],[INVESTOR CODE]])</f>
        <v>0</v>
      </c>
      <c r="AT58" s="5">
        <f>IFERROR(INVESTORS_LIST[[#This Row],[TOTAL CURRENT UNITS]]/SUM(INVESTORS_LIST[TOTAL CURRENT UNITS]),0)</f>
        <v>0</v>
      </c>
    </row>
    <row r="59" spans="1:46" hidden="1">
      <c r="A59" t="s">
        <v>761</v>
      </c>
      <c r="B59" t="s">
        <v>66</v>
      </c>
      <c r="C59" t="s">
        <v>536</v>
      </c>
      <c r="D59" s="8" t="s">
        <v>2</v>
      </c>
      <c r="E59" s="2">
        <f>SUMIFS(LS[Unit],LS[Investor ID],INVESTORS_LIST[[#This Row],[INVESTOR CODE]],LS[B/S],"B")</f>
        <v>0</v>
      </c>
      <c r="F59" s="2">
        <f>-SUMIFS(LS[Unit],LS[Investor ID],INVESTORS_LIST[[#This Row],[INVESTOR CODE]],LS[B/S],"S")</f>
        <v>0</v>
      </c>
      <c r="G59" s="2">
        <f>IF(INVESTORS_LIST[[#This Row],[LS_TOTAL UNITS BUY]]=0,0,INVESTORS_LIST[[#This Row],[LS_TOTAL UNITS BUY]]-INVESTORS_LIST[[#This Row],[LS_TOTAL UNITS SOLD]])</f>
        <v>0</v>
      </c>
      <c r="H59" s="4">
        <f>IF(INVESTORS_LIST[[#This Row],[LS_TOTAL UNITS BUY]]=0,0,SUMIFS(LS[Amount],LS[Investor ID],INVESTORS_LIST[[#This Row],[INVESTOR CODE]],LS[B/S],"B"))</f>
        <v>0</v>
      </c>
      <c r="I59" s="6">
        <f>IF(INVESTORS_LIST[[#This Row],[LS_TOTAL UNITS SOLD]]=0,0,SUMIFS(LS[Cost of Units Sold],LS[Investor ID],INVESTORS_LIST[[#This Row],[INVESTOR CODE]],LS[B/S],"S"))</f>
        <v>0</v>
      </c>
      <c r="J59" s="6">
        <f>IF(INVESTORS_LIST[[#This Row],[LS_TOTAL CURRENT UNITS]]=0,0,INVESTORS_LIST[[#This Row],[LS_TOTAL CURRENT UNITS]]*INVESTORS_LIST[[#This Row],[LS_AVERAGE COST]])</f>
        <v>0</v>
      </c>
      <c r="K59" s="4">
        <f>IF(INVESTORS_LIST[[#This Row],[LS_TOTAL UNITS SOLD]]=0,0,SUMIFS(LS[Realized Gain],LS[Investor ID],INVESTORS_LIST[[#This Row],[INVESTOR CODE]],LS[B/S],"S"))</f>
        <v>0</v>
      </c>
      <c r="L59" s="2">
        <f>SUMIFS(SIP[Unit],SIP[Investor ID],INVESTORS_LIST[[#This Row],[INVESTOR CODE]],SIP[B/S],"B")</f>
        <v>0</v>
      </c>
      <c r="M59" s="2">
        <f>-SUMIFS(SIP[Unit],SIP[Investor ID],INVESTORS_LIST[[#This Row],[INVESTOR CODE]],SIP[B/S],"S")</f>
        <v>0</v>
      </c>
      <c r="N59" s="33">
        <f>IF(INVESTORS_LIST[[#This Row],[SIP_TOTAL UNITS BUY]]=0,0,INVESTORS_LIST[[#This Row],[SIP_TOTAL UNITS BUY]]-INVESTORS_LIST[[#This Row],[SIP_TOTAL UNITS SOLD]])</f>
        <v>0</v>
      </c>
      <c r="O59" s="4">
        <f>IF(INVESTORS_LIST[[#This Row],[SIP_TOTAL UNITS BUY]]=0,0,SUMIFS(SIP[Amount],SIP[Investor ID],INVESTORS_LIST[[#This Row],[INVESTOR CODE]],SIP[B/S],"B"))</f>
        <v>0</v>
      </c>
      <c r="P59" s="4">
        <f>IF(INVESTORS_LIST[[#This Row],[SIP_TOTAL UNITS SOLD]]=0,0,SUMIFS(SIP[Cost of Units Sold],SIP[Investor ID],INVESTORS_LIST[[#This Row],[INVESTOR CODE]],SIP[B/S],"S"))</f>
        <v>0</v>
      </c>
      <c r="Q59" s="6">
        <f>IF(INVESTORS_LIST[[#This Row],[SIP_TOTAL CURRENT UNITS]]=0,0,INVESTORS_LIST[[#This Row],[SIP_TOTAL CURRENT UNITS]]*INVESTORS_LIST[[#This Row],[SIP_AVERAGE COST]])</f>
        <v>0</v>
      </c>
      <c r="R59" s="6">
        <f>IF(INVESTORS_LIST[[#This Row],[SIP_TOTAL UNITS SOLD]]=0,0,SUMIFS(SIP[Realized Gain],SIP[Investor ID],INVESTORS_LIST[[#This Row],[INVESTOR CODE]],SIP[B/S],"S"))</f>
        <v>0</v>
      </c>
      <c r="S59" s="33">
        <f>INVESTORS_LIST[[#This Row],[LS_TOTAL UNITS BUY]]+INVESTORS_LIST[[#This Row],[SIP_TOTAL UNITS BUY]]</f>
        <v>0</v>
      </c>
      <c r="T59" s="33">
        <f>INVESTORS_LIST[[#This Row],[LS_TOTAL UNITS SOLD]]+INVESTORS_LIST[[#This Row],[SIP_TOTAL UNITS SOLD]]</f>
        <v>0</v>
      </c>
      <c r="U59" s="33">
        <v>0</v>
      </c>
      <c r="V59" s="33">
        <f>SUMIFS(LS[BO UNIT TRANSFER],LS[Investor ID],INVESTORS_LIST[[#This Row],[INVESTOR CODE]],LS[B/S],"B")</f>
        <v>0</v>
      </c>
      <c r="W59" s="33">
        <f>SUMIFS(LS[BO UNIT TRANSFER],LS[Investor ID],INVESTORS_LIST[[#This Row],[INVESTOR CODE]],LS[B/S],"S")</f>
        <v>0</v>
      </c>
      <c r="X59" s="33">
        <f>SUMIFS(SIP[BO UNIT TRANSFER],SIP[Investor ID],INVESTORS_LIST[[#This Row],[INVESTOR CODE]],SIP[B/S],"S")</f>
        <v>0</v>
      </c>
      <c r="Y59" s="33">
        <f>SUMIFS(SIP[BO UNIT TRANSFER],SIP[Investor ID],INVESTORS_LIST[[#This Row],[INVESTOR CODE]],SIP[B/S],"B")</f>
        <v>0</v>
      </c>
      <c r="Z5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9" s="119">
        <f>INVESTORS_LIST[[#This Row],[TOTAL UNITS BUY]]-INVESTORS_LIST[[#This Row],[TOTAL UNITS SOLD]]</f>
        <v>0</v>
      </c>
      <c r="AB59" s="119">
        <f>INVESTORS_LIST[[#This Row],[TOTAL CURRENT UNITS]]-INVESTORS_LIST[[#This Row],[BO UNITS HOLD]]</f>
        <v>0</v>
      </c>
      <c r="AC59" s="119" t="e">
        <f>INDEX([4]!Table_1[BO ID],MATCH(INVESTORS_LIST[[#This Row],[INVESTOR CODE]],[4]!Table_1[INVESTOR CODE],0))</f>
        <v>#REF!</v>
      </c>
      <c r="AD59" s="33">
        <f>INVESTORS_LIST[[#This Row],[LS_TOTAL COST VALUE OF CURRENT UNITS]]+INVESTORS_LIST[[#This Row],[SIP_TOTAL COST VALUE OF CURRENT UNITS]]</f>
        <v>0</v>
      </c>
      <c r="AE59" s="44">
        <f>IF(INVESTORS_LIST[[#This Row],[TOTAL CURRENT UNITS]]=0,0,INVESTORS_LIST[[#This Row],[LS_TOTAL CURRENT UNITS]]/INVESTORS_LIST[[#This Row],[TOTAL CURRENT UNITS]])</f>
        <v>0</v>
      </c>
      <c r="AF59" s="44">
        <f>IF(INVESTORS_LIST[[#This Row],[TOTAL CURRENT UNITS]]=0,0,INVESTORS_LIST[[#This Row],[SIP_TOTAL CURRENT UNITS]]/INVESTORS_LIST[[#This Row],[TOTAL CURRENT UNITS]])</f>
        <v>0</v>
      </c>
      <c r="AG59" s="4" cm="1">
        <f t="array" ref="AG5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9" s="4" cm="1">
        <f t="array" ref="AH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9" s="178">
        <f t="shared" si="0"/>
        <v>12.552</v>
      </c>
      <c r="AK59" s="118">
        <f>IF(INVESTORS_LIST[[#This Row],[TOTAL CURRENT UNITS]]=0,0,INVESTORS_LIST[[#This Row],[TOTAL CURRENT UNITS]]*INVESTORS_LIST[[#This Row],[NAV]])</f>
        <v>0</v>
      </c>
      <c r="AL59" s="4">
        <f>IF(INVESTORS_LIST[[#This Row],[LS_TOTAL CURRENT UNITS]]=0,0,INVESTORS_LIST[[#This Row],[LS_TOTAL CURRENT UNITS]]*INVESTORS_LIST[[#This Row],[NAV]])</f>
        <v>0</v>
      </c>
      <c r="AM59" s="6">
        <f>IF(INVESTORS_LIST[[#This Row],[SIP_TOTAL CURRENT UNITS]]=0,0,INVESTORS_LIST[[#This Row],[SIP_TOTAL CURRENT UNITS]]*INVESTORS_LIST[[#This Row],[NAV]])</f>
        <v>0</v>
      </c>
      <c r="AO59" s="6">
        <f>IF(INVESTORS_LIST[[#This Row],[TOTAL SELLABLE UNITS]]=0,0,INVESTORS_LIST[[#This Row],[TOTAL SELLABLE UNITS]]*INVESTORS_LIST[[#This Row],[NAV]])</f>
        <v>0</v>
      </c>
      <c r="AP59" s="6">
        <f>INVESTORS_LIST[[#This Row],[LS_TOTAL REALIZED GAIN]]+INVESTORS_LIST[[#This Row],[SIP_TOTAL REALIZED GAIN]]</f>
        <v>0</v>
      </c>
      <c r="AQ59" s="6">
        <f>INVESTORS_LIST[[#This Row],[TOTAL MARKET VALUE]]-INVESTORS_LIST[[#This Row],[TOTAL COST VALUE OF CURRENT INVESTMENT]]</f>
        <v>0</v>
      </c>
      <c r="AR59" s="6">
        <f>SUMIFS(DivAndTax[Tax Amount],DivAndTax[Investor ID],INVESTORS_LIST[[#This Row],[INVESTOR CODE]])</f>
        <v>0</v>
      </c>
      <c r="AS59" s="6">
        <f>SUMIFS(DivAndTax[Gross Dividend],DivAndTax[Investor ID],INVESTORS_LIST[[#This Row],[INVESTOR CODE]])</f>
        <v>0</v>
      </c>
      <c r="AT59" s="5">
        <f>IFERROR(INVESTORS_LIST[[#This Row],[TOTAL CURRENT UNITS]]/SUM(INVESTORS_LIST[TOTAL CURRENT UNITS]),0)</f>
        <v>0</v>
      </c>
    </row>
    <row r="60" spans="1:46">
      <c r="A60" t="s">
        <v>762</v>
      </c>
      <c r="B60" t="s">
        <v>67</v>
      </c>
      <c r="C60" t="s">
        <v>538</v>
      </c>
      <c r="D60" s="8" t="s">
        <v>2</v>
      </c>
      <c r="E60" s="2">
        <f>SUMIFS(LS[Unit],LS[Investor ID],INVESTORS_LIST[[#This Row],[INVESTOR CODE]],LS[B/S],"B")</f>
        <v>104221</v>
      </c>
      <c r="F60" s="2">
        <f>-SUMIFS(LS[Unit],LS[Investor ID],INVESTORS_LIST[[#This Row],[INVESTOR CODE]],LS[B/S],"S")</f>
        <v>63199</v>
      </c>
      <c r="G60" s="2">
        <f>IF(INVESTORS_LIST[[#This Row],[LS_TOTAL UNITS BUY]]=0,0,INVESTORS_LIST[[#This Row],[LS_TOTAL UNITS BUY]]-INVESTORS_LIST[[#This Row],[LS_TOTAL UNITS SOLD]])</f>
        <v>41022</v>
      </c>
      <c r="H60" s="4">
        <f>IF(INVESTORS_LIST[[#This Row],[LS_TOTAL UNITS BUY]]=0,0,SUMIFS(LS[Amount],LS[Investor ID],INVESTORS_LIST[[#This Row],[INVESTOR CODE]],LS[B/S],"B"))</f>
        <v>1046545.0999999999</v>
      </c>
      <c r="I60" s="6">
        <f>IF(INVESTORS_LIST[[#This Row],[LS_TOTAL UNITS SOLD]]=0,0,SUMIFS(LS[Cost of Units Sold],LS[Investor ID],INVESTORS_LIST[[#This Row],[INVESTOR CODE]],LS[B/S],"S"))</f>
        <v>632230.1086695696</v>
      </c>
      <c r="J60" s="6">
        <f>IF(INVESTORS_LIST[[#This Row],[LS_TOTAL CURRENT UNITS]]=0,0,INVESTORS_LIST[[#This Row],[LS_TOTAL CURRENT UNITS]]*INVESTORS_LIST[[#This Row],[LS_AVERAGE COST]])</f>
        <v>414314.99133043044</v>
      </c>
      <c r="K60" s="4">
        <f>IF(INVESTORS_LIST[[#This Row],[LS_TOTAL UNITS SOLD]]=0,0,SUMIFS(LS[Realized Gain],LS[Investor ID],INVESTORS_LIST[[#This Row],[INVESTOR CODE]],LS[B/S],"S"))</f>
        <v>37274.501330430365</v>
      </c>
      <c r="L60" s="2">
        <f>SUMIFS(SIP[Unit],SIP[Investor ID],INVESTORS_LIST[[#This Row],[INVESTOR CODE]],SIP[B/S],"B")</f>
        <v>0</v>
      </c>
      <c r="M60" s="2">
        <f>-SUMIFS(SIP[Unit],SIP[Investor ID],INVESTORS_LIST[[#This Row],[INVESTOR CODE]],SIP[B/S],"S")</f>
        <v>0</v>
      </c>
      <c r="N60" s="33">
        <f>IF(INVESTORS_LIST[[#This Row],[SIP_TOTAL UNITS BUY]]=0,0,INVESTORS_LIST[[#This Row],[SIP_TOTAL UNITS BUY]]-INVESTORS_LIST[[#This Row],[SIP_TOTAL UNITS SOLD]])</f>
        <v>0</v>
      </c>
      <c r="O60" s="4">
        <f>IF(INVESTORS_LIST[[#This Row],[SIP_TOTAL UNITS BUY]]=0,0,SUMIFS(SIP[Amount],SIP[Investor ID],INVESTORS_LIST[[#This Row],[INVESTOR CODE]],SIP[B/S],"B"))</f>
        <v>0</v>
      </c>
      <c r="P60" s="4">
        <f>IF(INVESTORS_LIST[[#This Row],[SIP_TOTAL UNITS SOLD]]=0,0,SUMIFS(SIP[Cost of Units Sold],SIP[Investor ID],INVESTORS_LIST[[#This Row],[INVESTOR CODE]],SIP[B/S],"S"))</f>
        <v>0</v>
      </c>
      <c r="Q60" s="6">
        <f>IF(INVESTORS_LIST[[#This Row],[SIP_TOTAL CURRENT UNITS]]=0,0,INVESTORS_LIST[[#This Row],[SIP_TOTAL CURRENT UNITS]]*INVESTORS_LIST[[#This Row],[SIP_AVERAGE COST]])</f>
        <v>0</v>
      </c>
      <c r="R60" s="6">
        <f>IF(INVESTORS_LIST[[#This Row],[SIP_TOTAL UNITS SOLD]]=0,0,SUMIFS(SIP[Realized Gain],SIP[Investor ID],INVESTORS_LIST[[#This Row],[INVESTOR CODE]],SIP[B/S],"S"))</f>
        <v>0</v>
      </c>
      <c r="S60" s="33">
        <f>INVESTORS_LIST[[#This Row],[LS_TOTAL UNITS BUY]]+INVESTORS_LIST[[#This Row],[SIP_TOTAL UNITS BUY]]</f>
        <v>104221</v>
      </c>
      <c r="T60" s="33">
        <f>INVESTORS_LIST[[#This Row],[LS_TOTAL UNITS SOLD]]+INVESTORS_LIST[[#This Row],[SIP_TOTAL UNITS SOLD]]</f>
        <v>63199</v>
      </c>
      <c r="U60" s="33">
        <v>0</v>
      </c>
      <c r="V60" s="33">
        <f>SUMIFS(LS[BO UNIT TRANSFER],LS[Investor ID],INVESTORS_LIST[[#This Row],[INVESTOR CODE]],LS[B/S],"B")</f>
        <v>0</v>
      </c>
      <c r="W60" s="33">
        <f>SUMIFS(LS[BO UNIT TRANSFER],LS[Investor ID],INVESTORS_LIST[[#This Row],[INVESTOR CODE]],LS[B/S],"S")</f>
        <v>0</v>
      </c>
      <c r="X60" s="33">
        <f>SUMIFS(SIP[BO UNIT TRANSFER],SIP[Investor ID],INVESTORS_LIST[[#This Row],[INVESTOR CODE]],SIP[B/S],"S")</f>
        <v>0</v>
      </c>
      <c r="Y60" s="33">
        <f>SUMIFS(SIP[BO UNIT TRANSFER],SIP[Investor ID],INVESTORS_LIST[[#This Row],[INVESTOR CODE]],SIP[B/S],"B")</f>
        <v>0</v>
      </c>
      <c r="Z6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0" s="119">
        <f>INVESTORS_LIST[[#This Row],[TOTAL UNITS BUY]]-INVESTORS_LIST[[#This Row],[TOTAL UNITS SOLD]]</f>
        <v>41022</v>
      </c>
      <c r="AB60" s="119">
        <f>INVESTORS_LIST[[#This Row],[TOTAL CURRENT UNITS]]-INVESTORS_LIST[[#This Row],[BO UNITS HOLD]]</f>
        <v>41022</v>
      </c>
      <c r="AC60" s="119" t="e">
        <f>INDEX([4]!Table_1[BO ID],MATCH(INVESTORS_LIST[[#This Row],[INVESTOR CODE]],[4]!Table_1[INVESTOR CODE],0))</f>
        <v>#REF!</v>
      </c>
      <c r="AD60" s="33">
        <f>INVESTORS_LIST[[#This Row],[LS_TOTAL COST VALUE OF CURRENT UNITS]]+INVESTORS_LIST[[#This Row],[SIP_TOTAL COST VALUE OF CURRENT UNITS]]</f>
        <v>414314.99133043044</v>
      </c>
      <c r="AE60" s="44">
        <f>IF(INVESTORS_LIST[[#This Row],[TOTAL CURRENT UNITS]]=0,0,INVESTORS_LIST[[#This Row],[LS_TOTAL CURRENT UNITS]]/INVESTORS_LIST[[#This Row],[TOTAL CURRENT UNITS]])</f>
        <v>1</v>
      </c>
      <c r="AF60" s="44">
        <f>IF(INVESTORS_LIST[[#This Row],[TOTAL CURRENT UNITS]]=0,0,INVESTORS_LIST[[#This Row],[SIP_TOTAL CURRENT UNITS]]/INVESTORS_LIST[[#This Row],[TOTAL CURRENT UNITS]])</f>
        <v>0</v>
      </c>
      <c r="AG60" s="4" cm="1">
        <f t="array" ref="AG60">IF(INVESTORS_LIST[[#This Row],[LS_TOTAL UNITS BUY]]&gt;0,INDEX(LS[NAV at Cost (Average)],MATCH(CONCATENATE(COUNTIFS(LS[Investor ID],INVESTORS_LIST[[#This Row],[INVESTOR CODE]]),INVESTORS_LIST[[#This Row],[INVESTOR CODE]]),LS[Unique Code],0),),0)</f>
        <v>10.099824273083478</v>
      </c>
      <c r="AH60" s="4" cm="1">
        <f t="array" ref="AH6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0" s="178">
        <f>IF(INVESTORS_LIST[[#This Row],[TOTAL CURRENT UNITS]]=0,0,(INVESTORS_LIST[[#This Row],[LS_WEIGHT]]*INVESTORS_LIST[[#This Row],[LS_AVERAGE COST]])+(INVESTORS_LIST[[#This Row],[SIP_WEIGHT]]*INVESTORS_LIST[[#This Row],[SIP_AVERAGE COST]]))</f>
        <v>10.099824273083478</v>
      </c>
      <c r="AJ60" s="178">
        <f t="shared" si="0"/>
        <v>12.552</v>
      </c>
      <c r="AK60" s="118">
        <f>IF(INVESTORS_LIST[[#This Row],[TOTAL CURRENT UNITS]]=0,0,INVESTORS_LIST[[#This Row],[TOTAL CURRENT UNITS]]*INVESTORS_LIST[[#This Row],[NAV]])</f>
        <v>514908.14399999997</v>
      </c>
      <c r="AL60" s="4">
        <f>IF(INVESTORS_LIST[[#This Row],[LS_TOTAL CURRENT UNITS]]=0,0,INVESTORS_LIST[[#This Row],[LS_TOTAL CURRENT UNITS]]*INVESTORS_LIST[[#This Row],[NAV]])</f>
        <v>514908.14399999997</v>
      </c>
      <c r="AM60" s="6">
        <f>IF(INVESTORS_LIST[[#This Row],[SIP_TOTAL CURRENT UNITS]]=0,0,INVESTORS_LIST[[#This Row],[SIP_TOTAL CURRENT UNITS]]*INVESTORS_LIST[[#This Row],[NAV]])</f>
        <v>0</v>
      </c>
      <c r="AO60" s="6">
        <f>IF(INVESTORS_LIST[[#This Row],[TOTAL SELLABLE UNITS]]=0,0,INVESTORS_LIST[[#This Row],[TOTAL SELLABLE UNITS]]*INVESTORS_LIST[[#This Row],[NAV]])</f>
        <v>0</v>
      </c>
      <c r="AP60" s="6">
        <f>INVESTORS_LIST[[#This Row],[LS_TOTAL REALIZED GAIN]]+INVESTORS_LIST[[#This Row],[SIP_TOTAL REALIZED GAIN]]</f>
        <v>37274.501330430365</v>
      </c>
      <c r="AQ60" s="6">
        <f>INVESTORS_LIST[[#This Row],[TOTAL MARKET VALUE]]-INVESTORS_LIST[[#This Row],[TOTAL COST VALUE OF CURRENT INVESTMENT]]</f>
        <v>100593.15266956954</v>
      </c>
      <c r="AR60" s="6">
        <f>SUMIFS(DivAndTax[Tax Amount],DivAndTax[Investor ID],INVESTORS_LIST[[#This Row],[INVESTOR CODE]])</f>
        <v>7843.6100000000006</v>
      </c>
      <c r="AS60" s="6">
        <f>SUMIFS(DivAndTax[Gross Dividend],DivAndTax[Investor ID],INVESTORS_LIST[[#This Row],[INVESTOR CODE]])</f>
        <v>52290.7</v>
      </c>
      <c r="AT60" s="5">
        <f>IFERROR(INVESTORS_LIST[[#This Row],[TOTAL CURRENT UNITS]]/SUM(INVESTORS_LIST[TOTAL CURRENT UNITS]),0)</f>
        <v>1.9667930236812966E-3</v>
      </c>
    </row>
    <row r="61" spans="1:46" hidden="1">
      <c r="A61" t="s">
        <v>763</v>
      </c>
      <c r="B61" t="s">
        <v>68</v>
      </c>
      <c r="C61" t="s">
        <v>536</v>
      </c>
      <c r="D61" s="8" t="s">
        <v>2</v>
      </c>
      <c r="E61" s="2">
        <f>SUMIFS(LS[Unit],LS[Investor ID],INVESTORS_LIST[[#This Row],[INVESTOR CODE]],LS[B/S],"B")</f>
        <v>0</v>
      </c>
      <c r="F61" s="2">
        <f>-SUMIFS(LS[Unit],LS[Investor ID],INVESTORS_LIST[[#This Row],[INVESTOR CODE]],LS[B/S],"S")</f>
        <v>0</v>
      </c>
      <c r="G61" s="2">
        <f>IF(INVESTORS_LIST[[#This Row],[LS_TOTAL UNITS BUY]]=0,0,INVESTORS_LIST[[#This Row],[LS_TOTAL UNITS BUY]]-INVESTORS_LIST[[#This Row],[LS_TOTAL UNITS SOLD]])</f>
        <v>0</v>
      </c>
      <c r="H61" s="4">
        <f>IF(INVESTORS_LIST[[#This Row],[LS_TOTAL UNITS BUY]]=0,0,SUMIFS(LS[Amount],LS[Investor ID],INVESTORS_LIST[[#This Row],[INVESTOR CODE]],LS[B/S],"B"))</f>
        <v>0</v>
      </c>
      <c r="I61" s="6">
        <f>IF(INVESTORS_LIST[[#This Row],[LS_TOTAL UNITS SOLD]]=0,0,SUMIFS(LS[Cost of Units Sold],LS[Investor ID],INVESTORS_LIST[[#This Row],[INVESTOR CODE]],LS[B/S],"S"))</f>
        <v>0</v>
      </c>
      <c r="J61" s="6">
        <f>IF(INVESTORS_LIST[[#This Row],[LS_TOTAL CURRENT UNITS]]=0,0,INVESTORS_LIST[[#This Row],[LS_TOTAL CURRENT UNITS]]*INVESTORS_LIST[[#This Row],[LS_AVERAGE COST]])</f>
        <v>0</v>
      </c>
      <c r="K61" s="4">
        <f>IF(INVESTORS_LIST[[#This Row],[LS_TOTAL UNITS SOLD]]=0,0,SUMIFS(LS[Realized Gain],LS[Investor ID],INVESTORS_LIST[[#This Row],[INVESTOR CODE]],LS[B/S],"S"))</f>
        <v>0</v>
      </c>
      <c r="L61" s="2">
        <f>SUMIFS(SIP[Unit],SIP[Investor ID],INVESTORS_LIST[[#This Row],[INVESTOR CODE]],SIP[B/S],"B")</f>
        <v>0</v>
      </c>
      <c r="M61" s="2">
        <f>-SUMIFS(SIP[Unit],SIP[Investor ID],INVESTORS_LIST[[#This Row],[INVESTOR CODE]],SIP[B/S],"S")</f>
        <v>0</v>
      </c>
      <c r="N61" s="33">
        <f>IF(INVESTORS_LIST[[#This Row],[SIP_TOTAL UNITS BUY]]=0,0,INVESTORS_LIST[[#This Row],[SIP_TOTAL UNITS BUY]]-INVESTORS_LIST[[#This Row],[SIP_TOTAL UNITS SOLD]])</f>
        <v>0</v>
      </c>
      <c r="O61" s="4">
        <f>IF(INVESTORS_LIST[[#This Row],[SIP_TOTAL UNITS BUY]]=0,0,SUMIFS(SIP[Amount],SIP[Investor ID],INVESTORS_LIST[[#This Row],[INVESTOR CODE]],SIP[B/S],"B"))</f>
        <v>0</v>
      </c>
      <c r="P61" s="4">
        <f>IF(INVESTORS_LIST[[#This Row],[SIP_TOTAL UNITS SOLD]]=0,0,SUMIFS(SIP[Cost of Units Sold],SIP[Investor ID],INVESTORS_LIST[[#This Row],[INVESTOR CODE]],SIP[B/S],"S"))</f>
        <v>0</v>
      </c>
      <c r="Q61" s="6">
        <f>IF(INVESTORS_LIST[[#This Row],[SIP_TOTAL CURRENT UNITS]]=0,0,INVESTORS_LIST[[#This Row],[SIP_TOTAL CURRENT UNITS]]*INVESTORS_LIST[[#This Row],[SIP_AVERAGE COST]])</f>
        <v>0</v>
      </c>
      <c r="R61" s="6">
        <f>IF(INVESTORS_LIST[[#This Row],[SIP_TOTAL UNITS SOLD]]=0,0,SUMIFS(SIP[Realized Gain],SIP[Investor ID],INVESTORS_LIST[[#This Row],[INVESTOR CODE]],SIP[B/S],"S"))</f>
        <v>0</v>
      </c>
      <c r="S61" s="33">
        <f>INVESTORS_LIST[[#This Row],[LS_TOTAL UNITS BUY]]+INVESTORS_LIST[[#This Row],[SIP_TOTAL UNITS BUY]]</f>
        <v>0</v>
      </c>
      <c r="T61" s="33">
        <f>INVESTORS_LIST[[#This Row],[LS_TOTAL UNITS SOLD]]+INVESTORS_LIST[[#This Row],[SIP_TOTAL UNITS SOLD]]</f>
        <v>0</v>
      </c>
      <c r="U61" s="33">
        <v>0</v>
      </c>
      <c r="V61" s="33">
        <f>SUMIFS(LS[BO UNIT TRANSFER],LS[Investor ID],INVESTORS_LIST[[#This Row],[INVESTOR CODE]],LS[B/S],"B")</f>
        <v>0</v>
      </c>
      <c r="W61" s="33">
        <f>SUMIFS(LS[BO UNIT TRANSFER],LS[Investor ID],INVESTORS_LIST[[#This Row],[INVESTOR CODE]],LS[B/S],"S")</f>
        <v>0</v>
      </c>
      <c r="X61" s="33">
        <f>SUMIFS(SIP[BO UNIT TRANSFER],SIP[Investor ID],INVESTORS_LIST[[#This Row],[INVESTOR CODE]],SIP[B/S],"S")</f>
        <v>0</v>
      </c>
      <c r="Y61" s="33">
        <f>SUMIFS(SIP[BO UNIT TRANSFER],SIP[Investor ID],INVESTORS_LIST[[#This Row],[INVESTOR CODE]],SIP[B/S],"B")</f>
        <v>0</v>
      </c>
      <c r="Z6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1" s="119">
        <f>INVESTORS_LIST[[#This Row],[TOTAL UNITS BUY]]-INVESTORS_LIST[[#This Row],[TOTAL UNITS SOLD]]</f>
        <v>0</v>
      </c>
      <c r="AB61" s="119">
        <f>INVESTORS_LIST[[#This Row],[TOTAL CURRENT UNITS]]-INVESTORS_LIST[[#This Row],[BO UNITS HOLD]]</f>
        <v>0</v>
      </c>
      <c r="AC61" s="119" t="e">
        <f>INDEX([4]!Table_1[BO ID],MATCH(INVESTORS_LIST[[#This Row],[INVESTOR CODE]],[4]!Table_1[INVESTOR CODE],0))</f>
        <v>#REF!</v>
      </c>
      <c r="AD61" s="33">
        <f>INVESTORS_LIST[[#This Row],[LS_TOTAL COST VALUE OF CURRENT UNITS]]+INVESTORS_LIST[[#This Row],[SIP_TOTAL COST VALUE OF CURRENT UNITS]]</f>
        <v>0</v>
      </c>
      <c r="AE61" s="44">
        <f>IF(INVESTORS_LIST[[#This Row],[TOTAL CURRENT UNITS]]=0,0,INVESTORS_LIST[[#This Row],[LS_TOTAL CURRENT UNITS]]/INVESTORS_LIST[[#This Row],[TOTAL CURRENT UNITS]])</f>
        <v>0</v>
      </c>
      <c r="AF61" s="44">
        <f>IF(INVESTORS_LIST[[#This Row],[TOTAL CURRENT UNITS]]=0,0,INVESTORS_LIST[[#This Row],[SIP_TOTAL CURRENT UNITS]]/INVESTORS_LIST[[#This Row],[TOTAL CURRENT UNITS]])</f>
        <v>0</v>
      </c>
      <c r="AG61" s="4" cm="1">
        <f t="array" ref="AG6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1" s="4" cm="1">
        <f t="array" ref="AH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1" s="178">
        <f t="shared" si="0"/>
        <v>12.552</v>
      </c>
      <c r="AK61" s="118">
        <f>IF(INVESTORS_LIST[[#This Row],[TOTAL CURRENT UNITS]]=0,0,INVESTORS_LIST[[#This Row],[TOTAL CURRENT UNITS]]*INVESTORS_LIST[[#This Row],[NAV]])</f>
        <v>0</v>
      </c>
      <c r="AL61" s="4">
        <f>IF(INVESTORS_LIST[[#This Row],[LS_TOTAL CURRENT UNITS]]=0,0,INVESTORS_LIST[[#This Row],[LS_TOTAL CURRENT UNITS]]*INVESTORS_LIST[[#This Row],[NAV]])</f>
        <v>0</v>
      </c>
      <c r="AM61" s="6">
        <f>IF(INVESTORS_LIST[[#This Row],[SIP_TOTAL CURRENT UNITS]]=0,0,INVESTORS_LIST[[#This Row],[SIP_TOTAL CURRENT UNITS]]*INVESTORS_LIST[[#This Row],[NAV]])</f>
        <v>0</v>
      </c>
      <c r="AO61" s="6">
        <f>IF(INVESTORS_LIST[[#This Row],[TOTAL SELLABLE UNITS]]=0,0,INVESTORS_LIST[[#This Row],[TOTAL SELLABLE UNITS]]*INVESTORS_LIST[[#This Row],[NAV]])</f>
        <v>0</v>
      </c>
      <c r="AP61" s="6">
        <f>INVESTORS_LIST[[#This Row],[LS_TOTAL REALIZED GAIN]]+INVESTORS_LIST[[#This Row],[SIP_TOTAL REALIZED GAIN]]</f>
        <v>0</v>
      </c>
      <c r="AQ61" s="6">
        <f>INVESTORS_LIST[[#This Row],[TOTAL MARKET VALUE]]-INVESTORS_LIST[[#This Row],[TOTAL COST VALUE OF CURRENT INVESTMENT]]</f>
        <v>0</v>
      </c>
      <c r="AR61" s="6">
        <f>SUMIFS(DivAndTax[Tax Amount],DivAndTax[Investor ID],INVESTORS_LIST[[#This Row],[INVESTOR CODE]])</f>
        <v>0</v>
      </c>
      <c r="AS61" s="6">
        <f>SUMIFS(DivAndTax[Gross Dividend],DivAndTax[Investor ID],INVESTORS_LIST[[#This Row],[INVESTOR CODE]])</f>
        <v>0</v>
      </c>
      <c r="AT61" s="5">
        <f>IFERROR(INVESTORS_LIST[[#This Row],[TOTAL CURRENT UNITS]]/SUM(INVESTORS_LIST[TOTAL CURRENT UNITS]),0)</f>
        <v>0</v>
      </c>
    </row>
    <row r="62" spans="1:46" hidden="1">
      <c r="A62" t="s">
        <v>764</v>
      </c>
      <c r="B62" t="s">
        <v>69</v>
      </c>
      <c r="C62" t="s">
        <v>536</v>
      </c>
      <c r="D62" s="8" t="s">
        <v>2</v>
      </c>
      <c r="E62" s="2">
        <f>SUMIFS(LS[Unit],LS[Investor ID],INVESTORS_LIST[[#This Row],[INVESTOR CODE]],LS[B/S],"B")</f>
        <v>15000</v>
      </c>
      <c r="F62" s="2">
        <f>-SUMIFS(LS[Unit],LS[Investor ID],INVESTORS_LIST[[#This Row],[INVESTOR CODE]],LS[B/S],"S")</f>
        <v>15000</v>
      </c>
      <c r="G62" s="2">
        <f>IF(INVESTORS_LIST[[#This Row],[LS_TOTAL UNITS BUY]]=0,0,INVESTORS_LIST[[#This Row],[LS_TOTAL UNITS BUY]]-INVESTORS_LIST[[#This Row],[LS_TOTAL UNITS SOLD]])</f>
        <v>0</v>
      </c>
      <c r="H62" s="4">
        <f>IF(INVESTORS_LIST[[#This Row],[LS_TOTAL UNITS BUY]]=0,0,SUMIFS(LS[Amount],LS[Investor ID],INVESTORS_LIST[[#This Row],[INVESTOR CODE]],LS[B/S],"B"))</f>
        <v>150000</v>
      </c>
      <c r="I62" s="6">
        <f>IF(INVESTORS_LIST[[#This Row],[LS_TOTAL UNITS SOLD]]=0,0,SUMIFS(LS[Cost of Units Sold],LS[Investor ID],INVESTORS_LIST[[#This Row],[INVESTOR CODE]],LS[B/S],"S"))</f>
        <v>150000</v>
      </c>
      <c r="J62" s="6">
        <f>IF(INVESTORS_LIST[[#This Row],[LS_TOTAL CURRENT UNITS]]=0,0,INVESTORS_LIST[[#This Row],[LS_TOTAL CURRENT UNITS]]*INVESTORS_LIST[[#This Row],[LS_AVERAGE COST]])</f>
        <v>0</v>
      </c>
      <c r="K62" s="4">
        <f>IF(INVESTORS_LIST[[#This Row],[LS_TOTAL UNITS SOLD]]=0,0,SUMIFS(LS[Realized Gain],LS[Investor ID],INVESTORS_LIST[[#This Row],[INVESTOR CODE]],LS[B/S],"S"))</f>
        <v>2865.0000000000109</v>
      </c>
      <c r="L62" s="2">
        <f>SUMIFS(SIP[Unit],SIP[Investor ID],INVESTORS_LIST[[#This Row],[INVESTOR CODE]],SIP[B/S],"B")</f>
        <v>0</v>
      </c>
      <c r="M62" s="2">
        <f>-SUMIFS(SIP[Unit],SIP[Investor ID],INVESTORS_LIST[[#This Row],[INVESTOR CODE]],SIP[B/S],"S")</f>
        <v>0</v>
      </c>
      <c r="N62" s="33">
        <f>IF(INVESTORS_LIST[[#This Row],[SIP_TOTAL UNITS BUY]]=0,0,INVESTORS_LIST[[#This Row],[SIP_TOTAL UNITS BUY]]-INVESTORS_LIST[[#This Row],[SIP_TOTAL UNITS SOLD]])</f>
        <v>0</v>
      </c>
      <c r="O62" s="4">
        <f>IF(INVESTORS_LIST[[#This Row],[SIP_TOTAL UNITS BUY]]=0,0,SUMIFS(SIP[Amount],SIP[Investor ID],INVESTORS_LIST[[#This Row],[INVESTOR CODE]],SIP[B/S],"B"))</f>
        <v>0</v>
      </c>
      <c r="P62" s="4">
        <f>IF(INVESTORS_LIST[[#This Row],[SIP_TOTAL UNITS SOLD]]=0,0,SUMIFS(SIP[Cost of Units Sold],SIP[Investor ID],INVESTORS_LIST[[#This Row],[INVESTOR CODE]],SIP[B/S],"S"))</f>
        <v>0</v>
      </c>
      <c r="Q62" s="6">
        <f>IF(INVESTORS_LIST[[#This Row],[SIP_TOTAL CURRENT UNITS]]=0,0,INVESTORS_LIST[[#This Row],[SIP_TOTAL CURRENT UNITS]]*INVESTORS_LIST[[#This Row],[SIP_AVERAGE COST]])</f>
        <v>0</v>
      </c>
      <c r="R62" s="6">
        <f>IF(INVESTORS_LIST[[#This Row],[SIP_TOTAL UNITS SOLD]]=0,0,SUMIFS(SIP[Realized Gain],SIP[Investor ID],INVESTORS_LIST[[#This Row],[INVESTOR CODE]],SIP[B/S],"S"))</f>
        <v>0</v>
      </c>
      <c r="S62" s="33">
        <f>INVESTORS_LIST[[#This Row],[LS_TOTAL UNITS BUY]]+INVESTORS_LIST[[#This Row],[SIP_TOTAL UNITS BUY]]</f>
        <v>15000</v>
      </c>
      <c r="T62" s="33">
        <f>INVESTORS_LIST[[#This Row],[LS_TOTAL UNITS SOLD]]+INVESTORS_LIST[[#This Row],[SIP_TOTAL UNITS SOLD]]</f>
        <v>15000</v>
      </c>
      <c r="U62" s="33">
        <v>15000</v>
      </c>
      <c r="V62" s="33">
        <f>SUMIFS(LS[BO UNIT TRANSFER],LS[Investor ID],INVESTORS_LIST[[#This Row],[INVESTOR CODE]],LS[B/S],"B")</f>
        <v>0</v>
      </c>
      <c r="W62" s="33">
        <f>SUMIFS(LS[BO UNIT TRANSFER],LS[Investor ID],INVESTORS_LIST[[#This Row],[INVESTOR CODE]],LS[B/S],"S")</f>
        <v>0</v>
      </c>
      <c r="X62" s="33">
        <f>SUMIFS(SIP[BO UNIT TRANSFER],SIP[Investor ID],INVESTORS_LIST[[#This Row],[INVESTOR CODE]],SIP[B/S],"S")</f>
        <v>0</v>
      </c>
      <c r="Y62" s="33">
        <f>SUMIFS(SIP[BO UNIT TRANSFER],SIP[Investor ID],INVESTORS_LIST[[#This Row],[INVESTOR CODE]],SIP[B/S],"B")</f>
        <v>0</v>
      </c>
      <c r="Z6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15000</v>
      </c>
      <c r="AA62" s="119">
        <f>INVESTORS_LIST[[#This Row],[TOTAL UNITS BUY]]-INVESTORS_LIST[[#This Row],[TOTAL UNITS SOLD]]</f>
        <v>0</v>
      </c>
      <c r="AB62" s="119">
        <f>INVESTORS_LIST[[#This Row],[TOTAL CURRENT UNITS]]-INVESTORS_LIST[[#This Row],[BO UNITS HOLD]]</f>
        <v>-15000</v>
      </c>
      <c r="AC62" s="119" t="e">
        <f>INDEX([4]!Table_1[BO ID],MATCH(INVESTORS_LIST[[#This Row],[INVESTOR CODE]],[4]!Table_1[INVESTOR CODE],0))</f>
        <v>#REF!</v>
      </c>
      <c r="AD62" s="33">
        <f>INVESTORS_LIST[[#This Row],[LS_TOTAL COST VALUE OF CURRENT UNITS]]+INVESTORS_LIST[[#This Row],[SIP_TOTAL COST VALUE OF CURRENT UNITS]]</f>
        <v>0</v>
      </c>
      <c r="AE62" s="44">
        <f>IF(INVESTORS_LIST[[#This Row],[TOTAL CURRENT UNITS]]=0,0,INVESTORS_LIST[[#This Row],[LS_TOTAL CURRENT UNITS]]/INVESTORS_LIST[[#This Row],[TOTAL CURRENT UNITS]])</f>
        <v>0</v>
      </c>
      <c r="AF62" s="44">
        <f>IF(INVESTORS_LIST[[#This Row],[TOTAL CURRENT UNITS]]=0,0,INVESTORS_LIST[[#This Row],[SIP_TOTAL CURRENT UNITS]]/INVESTORS_LIST[[#This Row],[TOTAL CURRENT UNITS]])</f>
        <v>0</v>
      </c>
      <c r="AG62" s="4" cm="1">
        <f t="array" ref="AG6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2" s="4" cm="1">
        <f t="array" ref="AH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2" s="178">
        <f t="shared" si="0"/>
        <v>12.552</v>
      </c>
      <c r="AK62" s="118">
        <f>IF(INVESTORS_LIST[[#This Row],[TOTAL CURRENT UNITS]]=0,0,INVESTORS_LIST[[#This Row],[TOTAL CURRENT UNITS]]*INVESTORS_LIST[[#This Row],[NAV]])</f>
        <v>0</v>
      </c>
      <c r="AL62" s="4">
        <f>IF(INVESTORS_LIST[[#This Row],[LS_TOTAL CURRENT UNITS]]=0,0,INVESTORS_LIST[[#This Row],[LS_TOTAL CURRENT UNITS]]*INVESTORS_LIST[[#This Row],[NAV]])</f>
        <v>0</v>
      </c>
      <c r="AM62" s="6">
        <f>IF(INVESTORS_LIST[[#This Row],[SIP_TOTAL CURRENT UNITS]]=0,0,INVESTORS_LIST[[#This Row],[SIP_TOTAL CURRENT UNITS]]*INVESTORS_LIST[[#This Row],[NAV]])</f>
        <v>0</v>
      </c>
      <c r="AO62" s="6">
        <f>IF(INVESTORS_LIST[[#This Row],[TOTAL SELLABLE UNITS]]=0,0,INVESTORS_LIST[[#This Row],[TOTAL SELLABLE UNITS]]*INVESTORS_LIST[[#This Row],[NAV]])</f>
        <v>0</v>
      </c>
      <c r="AP62" s="6">
        <f>INVESTORS_LIST[[#This Row],[LS_TOTAL REALIZED GAIN]]+INVESTORS_LIST[[#This Row],[SIP_TOTAL REALIZED GAIN]]</f>
        <v>2865.0000000000109</v>
      </c>
      <c r="AQ62" s="6">
        <f>INVESTORS_LIST[[#This Row],[TOTAL MARKET VALUE]]-INVESTORS_LIST[[#This Row],[TOTAL COST VALUE OF CURRENT INVESTMENT]]</f>
        <v>0</v>
      </c>
      <c r="AR62" s="6">
        <f>SUMIFS(DivAndTax[Tax Amount],DivAndTax[Investor ID],INVESTORS_LIST[[#This Row],[INVESTOR CODE]])</f>
        <v>0</v>
      </c>
      <c r="AS62" s="6">
        <f>SUMIFS(DivAndTax[Gross Dividend],DivAndTax[Investor ID],INVESTORS_LIST[[#This Row],[INVESTOR CODE]])</f>
        <v>0</v>
      </c>
      <c r="AT62" s="5">
        <f>IFERROR(INVESTORS_LIST[[#This Row],[TOTAL CURRENT UNITS]]/SUM(INVESTORS_LIST[TOTAL CURRENT UNITS]),0)</f>
        <v>0</v>
      </c>
    </row>
    <row r="63" spans="1:46" hidden="1">
      <c r="A63" t="s">
        <v>622</v>
      </c>
      <c r="B63" t="s">
        <v>70</v>
      </c>
      <c r="C63" t="s">
        <v>536</v>
      </c>
      <c r="D63" s="8" t="s">
        <v>2</v>
      </c>
      <c r="E63" s="2">
        <f>SUMIFS(LS[Unit],LS[Investor ID],INVESTORS_LIST[[#This Row],[INVESTOR CODE]],LS[B/S],"B")</f>
        <v>100916</v>
      </c>
      <c r="F63" s="2">
        <f>-SUMIFS(LS[Unit],LS[Investor ID],INVESTORS_LIST[[#This Row],[INVESTOR CODE]],LS[B/S],"S")</f>
        <v>100916</v>
      </c>
      <c r="G63" s="2">
        <f>IF(INVESTORS_LIST[[#This Row],[LS_TOTAL UNITS BUY]]=0,0,INVESTORS_LIST[[#This Row],[LS_TOTAL UNITS BUY]]-INVESTORS_LIST[[#This Row],[LS_TOTAL UNITS SOLD]])</f>
        <v>0</v>
      </c>
      <c r="H63" s="4">
        <f>IF(INVESTORS_LIST[[#This Row],[LS_TOTAL UNITS BUY]]=0,0,SUMIFS(LS[Amount],LS[Investor ID],INVESTORS_LIST[[#This Row],[INVESTOR CODE]],LS[B/S],"B"))</f>
        <v>1000000</v>
      </c>
      <c r="I63" s="6">
        <f>IF(INVESTORS_LIST[[#This Row],[LS_TOTAL UNITS SOLD]]=0,0,SUMIFS(LS[Cost of Units Sold],LS[Investor ID],INVESTORS_LIST[[#This Row],[INVESTOR CODE]],LS[B/S],"S"))</f>
        <v>1000000</v>
      </c>
      <c r="J63" s="6">
        <f>IF(INVESTORS_LIST[[#This Row],[LS_TOTAL CURRENT UNITS]]=0,0,INVESTORS_LIST[[#This Row],[LS_TOTAL CURRENT UNITS]]*INVESTORS_LIST[[#This Row],[LS_AVERAGE COST]])</f>
        <v>0</v>
      </c>
      <c r="K63" s="4">
        <f>IF(INVESTORS_LIST[[#This Row],[LS_TOTAL UNITS SOLD]]=0,0,SUMIFS(LS[Realized Gain],LS[Investor ID],INVESTORS_LIST[[#This Row],[INVESTOR CODE]],LS[B/S],"S"))</f>
        <v>7132.520000000025</v>
      </c>
      <c r="L63" s="2">
        <f>SUMIFS(SIP[Unit],SIP[Investor ID],INVESTORS_LIST[[#This Row],[INVESTOR CODE]],SIP[B/S],"B")</f>
        <v>0</v>
      </c>
      <c r="M63" s="2">
        <f>-SUMIFS(SIP[Unit],SIP[Investor ID],INVESTORS_LIST[[#This Row],[INVESTOR CODE]],SIP[B/S],"S")</f>
        <v>0</v>
      </c>
      <c r="N63" s="33">
        <f>IF(INVESTORS_LIST[[#This Row],[SIP_TOTAL UNITS BUY]]=0,0,INVESTORS_LIST[[#This Row],[SIP_TOTAL UNITS BUY]]-INVESTORS_LIST[[#This Row],[SIP_TOTAL UNITS SOLD]])</f>
        <v>0</v>
      </c>
      <c r="O63" s="4">
        <f>IF(INVESTORS_LIST[[#This Row],[SIP_TOTAL UNITS BUY]]=0,0,SUMIFS(SIP[Amount],SIP[Investor ID],INVESTORS_LIST[[#This Row],[INVESTOR CODE]],SIP[B/S],"B"))</f>
        <v>0</v>
      </c>
      <c r="P63" s="4">
        <f>IF(INVESTORS_LIST[[#This Row],[SIP_TOTAL UNITS SOLD]]=0,0,SUMIFS(SIP[Cost of Units Sold],SIP[Investor ID],INVESTORS_LIST[[#This Row],[INVESTOR CODE]],SIP[B/S],"S"))</f>
        <v>0</v>
      </c>
      <c r="Q63" s="6">
        <f>IF(INVESTORS_LIST[[#This Row],[SIP_TOTAL CURRENT UNITS]]=0,0,INVESTORS_LIST[[#This Row],[SIP_TOTAL CURRENT UNITS]]*INVESTORS_LIST[[#This Row],[SIP_AVERAGE COST]])</f>
        <v>0</v>
      </c>
      <c r="R63" s="6">
        <f>IF(INVESTORS_LIST[[#This Row],[SIP_TOTAL UNITS SOLD]]=0,0,SUMIFS(SIP[Realized Gain],SIP[Investor ID],INVESTORS_LIST[[#This Row],[INVESTOR CODE]],SIP[B/S],"S"))</f>
        <v>0</v>
      </c>
      <c r="S63" s="33">
        <f>INVESTORS_LIST[[#This Row],[LS_TOTAL UNITS BUY]]+INVESTORS_LIST[[#This Row],[SIP_TOTAL UNITS BUY]]</f>
        <v>100916</v>
      </c>
      <c r="T63" s="33">
        <f>INVESTORS_LIST[[#This Row],[LS_TOTAL UNITS SOLD]]+INVESTORS_LIST[[#This Row],[SIP_TOTAL UNITS SOLD]]</f>
        <v>100916</v>
      </c>
      <c r="U63" s="33">
        <v>50000</v>
      </c>
      <c r="V63" s="33">
        <f>SUMIFS(LS[BO UNIT TRANSFER],LS[Investor ID],INVESTORS_LIST[[#This Row],[INVESTOR CODE]],LS[B/S],"B")</f>
        <v>0</v>
      </c>
      <c r="W63" s="33">
        <f>SUMIFS(LS[BO UNIT TRANSFER],LS[Investor ID],INVESTORS_LIST[[#This Row],[INVESTOR CODE]],LS[B/S],"S")</f>
        <v>0</v>
      </c>
      <c r="X63" s="33">
        <f>SUMIFS(SIP[BO UNIT TRANSFER],SIP[Investor ID],INVESTORS_LIST[[#This Row],[INVESTOR CODE]],SIP[B/S],"S")</f>
        <v>0</v>
      </c>
      <c r="Y63" s="33">
        <f>SUMIFS(SIP[BO UNIT TRANSFER],SIP[Investor ID],INVESTORS_LIST[[#This Row],[INVESTOR CODE]],SIP[B/S],"B")</f>
        <v>0</v>
      </c>
      <c r="Z6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50000</v>
      </c>
      <c r="AA63" s="119">
        <f>INVESTORS_LIST[[#This Row],[TOTAL UNITS BUY]]-INVESTORS_LIST[[#This Row],[TOTAL UNITS SOLD]]</f>
        <v>0</v>
      </c>
      <c r="AB63" s="119">
        <f>INVESTORS_LIST[[#This Row],[TOTAL CURRENT UNITS]]-INVESTORS_LIST[[#This Row],[BO UNITS HOLD]]</f>
        <v>-50000</v>
      </c>
      <c r="AC63" s="119" t="e">
        <f>INDEX([4]!Table_1[BO ID],MATCH(INVESTORS_LIST[[#This Row],[INVESTOR CODE]],[4]!Table_1[INVESTOR CODE],0))</f>
        <v>#REF!</v>
      </c>
      <c r="AD63" s="33">
        <f>INVESTORS_LIST[[#This Row],[LS_TOTAL COST VALUE OF CURRENT UNITS]]+INVESTORS_LIST[[#This Row],[SIP_TOTAL COST VALUE OF CURRENT UNITS]]</f>
        <v>0</v>
      </c>
      <c r="AE63" s="44">
        <f>IF(INVESTORS_LIST[[#This Row],[TOTAL CURRENT UNITS]]=0,0,INVESTORS_LIST[[#This Row],[LS_TOTAL CURRENT UNITS]]/INVESTORS_LIST[[#This Row],[TOTAL CURRENT UNITS]])</f>
        <v>0</v>
      </c>
      <c r="AF63" s="44">
        <f>IF(INVESTORS_LIST[[#This Row],[TOTAL CURRENT UNITS]]=0,0,INVESTORS_LIST[[#This Row],[SIP_TOTAL CURRENT UNITS]]/INVESTORS_LIST[[#This Row],[TOTAL CURRENT UNITS]])</f>
        <v>0</v>
      </c>
      <c r="AG63" s="4" cm="1">
        <f t="array" ref="AG6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3" s="4" cm="1">
        <f t="array" ref="AH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3" s="178">
        <f t="shared" si="0"/>
        <v>12.552</v>
      </c>
      <c r="AK63" s="118">
        <f>IF(INVESTORS_LIST[[#This Row],[TOTAL CURRENT UNITS]]=0,0,INVESTORS_LIST[[#This Row],[TOTAL CURRENT UNITS]]*INVESTORS_LIST[[#This Row],[NAV]])</f>
        <v>0</v>
      </c>
      <c r="AL63" s="4">
        <f>IF(INVESTORS_LIST[[#This Row],[LS_TOTAL CURRENT UNITS]]=0,0,INVESTORS_LIST[[#This Row],[LS_TOTAL CURRENT UNITS]]*INVESTORS_LIST[[#This Row],[NAV]])</f>
        <v>0</v>
      </c>
      <c r="AM63" s="6">
        <f>IF(INVESTORS_LIST[[#This Row],[SIP_TOTAL CURRENT UNITS]]=0,0,INVESTORS_LIST[[#This Row],[SIP_TOTAL CURRENT UNITS]]*INVESTORS_LIST[[#This Row],[NAV]])</f>
        <v>0</v>
      </c>
      <c r="AO63" s="6">
        <f>IF(INVESTORS_LIST[[#This Row],[TOTAL SELLABLE UNITS]]=0,0,INVESTORS_LIST[[#This Row],[TOTAL SELLABLE UNITS]]*INVESTORS_LIST[[#This Row],[NAV]])</f>
        <v>0</v>
      </c>
      <c r="AP63" s="6">
        <f>INVESTORS_LIST[[#This Row],[LS_TOTAL REALIZED GAIN]]+INVESTORS_LIST[[#This Row],[SIP_TOTAL REALIZED GAIN]]</f>
        <v>7132.520000000025</v>
      </c>
      <c r="AQ63" s="6">
        <f>INVESTORS_LIST[[#This Row],[TOTAL MARKET VALUE]]-INVESTORS_LIST[[#This Row],[TOTAL COST VALUE OF CURRENT INVESTMENT]]</f>
        <v>0</v>
      </c>
      <c r="AR63" s="6">
        <f>SUMIFS(DivAndTax[Tax Amount],DivAndTax[Investor ID],INVESTORS_LIST[[#This Row],[INVESTOR CODE]])</f>
        <v>0</v>
      </c>
      <c r="AS63" s="6">
        <f>SUMIFS(DivAndTax[Gross Dividend],DivAndTax[Investor ID],INVESTORS_LIST[[#This Row],[INVESTOR CODE]])</f>
        <v>0</v>
      </c>
      <c r="AT63" s="5">
        <f>IFERROR(INVESTORS_LIST[[#This Row],[TOTAL CURRENT UNITS]]/SUM(INVESTORS_LIST[TOTAL CURRENT UNITS]),0)</f>
        <v>0</v>
      </c>
    </row>
    <row r="64" spans="1:46" hidden="1">
      <c r="A64" t="s">
        <v>71</v>
      </c>
      <c r="B64" t="s">
        <v>72</v>
      </c>
      <c r="C64" t="s">
        <v>536</v>
      </c>
      <c r="D64" s="8" t="s">
        <v>2</v>
      </c>
      <c r="E64" s="2">
        <f>SUMIFS(LS[Unit],LS[Investor ID],INVESTORS_LIST[[#This Row],[INVESTOR CODE]],LS[B/S],"B")</f>
        <v>0</v>
      </c>
      <c r="F64" s="2">
        <f>-SUMIFS(LS[Unit],LS[Investor ID],INVESTORS_LIST[[#This Row],[INVESTOR CODE]],LS[B/S],"S")</f>
        <v>0</v>
      </c>
      <c r="G64" s="2">
        <f>IF(INVESTORS_LIST[[#This Row],[LS_TOTAL UNITS BUY]]=0,0,INVESTORS_LIST[[#This Row],[LS_TOTAL UNITS BUY]]-INVESTORS_LIST[[#This Row],[LS_TOTAL UNITS SOLD]])</f>
        <v>0</v>
      </c>
      <c r="H64" s="4">
        <f>IF(INVESTORS_LIST[[#This Row],[LS_TOTAL UNITS BUY]]=0,0,SUMIFS(LS[Amount],LS[Investor ID],INVESTORS_LIST[[#This Row],[INVESTOR CODE]],LS[B/S],"B"))</f>
        <v>0</v>
      </c>
      <c r="I64" s="6">
        <f>IF(INVESTORS_LIST[[#This Row],[LS_TOTAL UNITS SOLD]]=0,0,SUMIFS(LS[Cost of Units Sold],LS[Investor ID],INVESTORS_LIST[[#This Row],[INVESTOR CODE]],LS[B/S],"S"))</f>
        <v>0</v>
      </c>
      <c r="J64" s="6">
        <f>IF(INVESTORS_LIST[[#This Row],[LS_TOTAL CURRENT UNITS]]=0,0,INVESTORS_LIST[[#This Row],[LS_TOTAL CURRENT UNITS]]*INVESTORS_LIST[[#This Row],[LS_AVERAGE COST]])</f>
        <v>0</v>
      </c>
      <c r="K64" s="4">
        <f>IF(INVESTORS_LIST[[#This Row],[LS_TOTAL UNITS SOLD]]=0,0,SUMIFS(LS[Realized Gain],LS[Investor ID],INVESTORS_LIST[[#This Row],[INVESTOR CODE]],LS[B/S],"S"))</f>
        <v>0</v>
      </c>
      <c r="L64" s="2">
        <f>SUMIFS(SIP[Unit],SIP[Investor ID],INVESTORS_LIST[[#This Row],[INVESTOR CODE]],SIP[B/S],"B")</f>
        <v>0</v>
      </c>
      <c r="M64" s="2">
        <f>-SUMIFS(SIP[Unit],SIP[Investor ID],INVESTORS_LIST[[#This Row],[INVESTOR CODE]],SIP[B/S],"S")</f>
        <v>0</v>
      </c>
      <c r="N64" s="33">
        <f>IF(INVESTORS_LIST[[#This Row],[SIP_TOTAL UNITS BUY]]=0,0,INVESTORS_LIST[[#This Row],[SIP_TOTAL UNITS BUY]]-INVESTORS_LIST[[#This Row],[SIP_TOTAL UNITS SOLD]])</f>
        <v>0</v>
      </c>
      <c r="O64" s="4">
        <f>IF(INVESTORS_LIST[[#This Row],[SIP_TOTAL UNITS BUY]]=0,0,SUMIFS(SIP[Amount],SIP[Investor ID],INVESTORS_LIST[[#This Row],[INVESTOR CODE]],SIP[B/S],"B"))</f>
        <v>0</v>
      </c>
      <c r="P64" s="4">
        <f>IF(INVESTORS_LIST[[#This Row],[SIP_TOTAL UNITS SOLD]]=0,0,SUMIFS(SIP[Cost of Units Sold],SIP[Investor ID],INVESTORS_LIST[[#This Row],[INVESTOR CODE]],SIP[B/S],"S"))</f>
        <v>0</v>
      </c>
      <c r="Q64" s="6">
        <f>IF(INVESTORS_LIST[[#This Row],[SIP_TOTAL CURRENT UNITS]]=0,0,INVESTORS_LIST[[#This Row],[SIP_TOTAL CURRENT UNITS]]*INVESTORS_LIST[[#This Row],[SIP_AVERAGE COST]])</f>
        <v>0</v>
      </c>
      <c r="R64" s="6">
        <f>IF(INVESTORS_LIST[[#This Row],[SIP_TOTAL UNITS SOLD]]=0,0,SUMIFS(SIP[Realized Gain],SIP[Investor ID],INVESTORS_LIST[[#This Row],[INVESTOR CODE]],SIP[B/S],"S"))</f>
        <v>0</v>
      </c>
      <c r="S64" s="33">
        <f>INVESTORS_LIST[[#This Row],[LS_TOTAL UNITS BUY]]+INVESTORS_LIST[[#This Row],[SIP_TOTAL UNITS BUY]]</f>
        <v>0</v>
      </c>
      <c r="T64" s="33">
        <f>INVESTORS_LIST[[#This Row],[LS_TOTAL UNITS SOLD]]+INVESTORS_LIST[[#This Row],[SIP_TOTAL UNITS SOLD]]</f>
        <v>0</v>
      </c>
      <c r="U64" s="33">
        <v>0</v>
      </c>
      <c r="V64" s="33">
        <f>SUMIFS(LS[BO UNIT TRANSFER],LS[Investor ID],INVESTORS_LIST[[#This Row],[INVESTOR CODE]],LS[B/S],"B")</f>
        <v>0</v>
      </c>
      <c r="W64" s="33">
        <f>SUMIFS(LS[BO UNIT TRANSFER],LS[Investor ID],INVESTORS_LIST[[#This Row],[INVESTOR CODE]],LS[B/S],"S")</f>
        <v>0</v>
      </c>
      <c r="X64" s="33">
        <f>SUMIFS(SIP[BO UNIT TRANSFER],SIP[Investor ID],INVESTORS_LIST[[#This Row],[INVESTOR CODE]],SIP[B/S],"S")</f>
        <v>0</v>
      </c>
      <c r="Y64" s="33">
        <f>SUMIFS(SIP[BO UNIT TRANSFER],SIP[Investor ID],INVESTORS_LIST[[#This Row],[INVESTOR CODE]],SIP[B/S],"B")</f>
        <v>0</v>
      </c>
      <c r="Z6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4" s="119">
        <f>INVESTORS_LIST[[#This Row],[TOTAL UNITS BUY]]-INVESTORS_LIST[[#This Row],[TOTAL UNITS SOLD]]</f>
        <v>0</v>
      </c>
      <c r="AB64" s="119">
        <f>INVESTORS_LIST[[#This Row],[TOTAL CURRENT UNITS]]-INVESTORS_LIST[[#This Row],[BO UNITS HOLD]]</f>
        <v>0</v>
      </c>
      <c r="AC64" s="119" t="e">
        <f>INDEX([4]!Table_1[BO ID],MATCH(INVESTORS_LIST[[#This Row],[INVESTOR CODE]],[4]!Table_1[INVESTOR CODE],0))</f>
        <v>#REF!</v>
      </c>
      <c r="AD64" s="33">
        <f>INVESTORS_LIST[[#This Row],[LS_TOTAL COST VALUE OF CURRENT UNITS]]+INVESTORS_LIST[[#This Row],[SIP_TOTAL COST VALUE OF CURRENT UNITS]]</f>
        <v>0</v>
      </c>
      <c r="AE64" s="44">
        <f>IF(INVESTORS_LIST[[#This Row],[TOTAL CURRENT UNITS]]=0,0,INVESTORS_LIST[[#This Row],[LS_TOTAL CURRENT UNITS]]/INVESTORS_LIST[[#This Row],[TOTAL CURRENT UNITS]])</f>
        <v>0</v>
      </c>
      <c r="AF64" s="44">
        <f>IF(INVESTORS_LIST[[#This Row],[TOTAL CURRENT UNITS]]=0,0,INVESTORS_LIST[[#This Row],[SIP_TOTAL CURRENT UNITS]]/INVESTORS_LIST[[#This Row],[TOTAL CURRENT UNITS]])</f>
        <v>0</v>
      </c>
      <c r="AG64" s="4" cm="1">
        <f t="array" ref="AG6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4" s="4" cm="1">
        <f t="array" ref="AH6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4" s="178">
        <f t="shared" si="0"/>
        <v>12.552</v>
      </c>
      <c r="AK64" s="118">
        <f>IF(INVESTORS_LIST[[#This Row],[TOTAL CURRENT UNITS]]=0,0,INVESTORS_LIST[[#This Row],[TOTAL CURRENT UNITS]]*INVESTORS_LIST[[#This Row],[NAV]])</f>
        <v>0</v>
      </c>
      <c r="AL64" s="4">
        <f>IF(INVESTORS_LIST[[#This Row],[LS_TOTAL CURRENT UNITS]]=0,0,INVESTORS_LIST[[#This Row],[LS_TOTAL CURRENT UNITS]]*INVESTORS_LIST[[#This Row],[NAV]])</f>
        <v>0</v>
      </c>
      <c r="AM64" s="6">
        <f>IF(INVESTORS_LIST[[#This Row],[SIP_TOTAL CURRENT UNITS]]=0,0,INVESTORS_LIST[[#This Row],[SIP_TOTAL CURRENT UNITS]]*INVESTORS_LIST[[#This Row],[NAV]])</f>
        <v>0</v>
      </c>
      <c r="AO64" s="6">
        <f>IF(INVESTORS_LIST[[#This Row],[TOTAL SELLABLE UNITS]]=0,0,INVESTORS_LIST[[#This Row],[TOTAL SELLABLE UNITS]]*INVESTORS_LIST[[#This Row],[NAV]])</f>
        <v>0</v>
      </c>
      <c r="AP64" s="6">
        <f>INVESTORS_LIST[[#This Row],[LS_TOTAL REALIZED GAIN]]+INVESTORS_LIST[[#This Row],[SIP_TOTAL REALIZED GAIN]]</f>
        <v>0</v>
      </c>
      <c r="AQ64" s="6">
        <f>INVESTORS_LIST[[#This Row],[TOTAL MARKET VALUE]]-INVESTORS_LIST[[#This Row],[TOTAL COST VALUE OF CURRENT INVESTMENT]]</f>
        <v>0</v>
      </c>
      <c r="AR64" s="6">
        <f>SUMIFS(DivAndTax[Tax Amount],DivAndTax[Investor ID],INVESTORS_LIST[[#This Row],[INVESTOR CODE]])</f>
        <v>0</v>
      </c>
      <c r="AS64" s="6">
        <f>SUMIFS(DivAndTax[Gross Dividend],DivAndTax[Investor ID],INVESTORS_LIST[[#This Row],[INVESTOR CODE]])</f>
        <v>0</v>
      </c>
      <c r="AT64" s="5">
        <f>IFERROR(INVESTORS_LIST[[#This Row],[TOTAL CURRENT UNITS]]/SUM(INVESTORS_LIST[TOTAL CURRENT UNITS]),0)</f>
        <v>0</v>
      </c>
    </row>
    <row r="65" spans="1:46">
      <c r="A65" t="s">
        <v>765</v>
      </c>
      <c r="B65" t="s">
        <v>73</v>
      </c>
      <c r="C65" t="s">
        <v>536</v>
      </c>
      <c r="D65" s="8" t="s">
        <v>2</v>
      </c>
      <c r="E65" s="2">
        <f>SUMIFS(LS[Unit],LS[Investor ID],INVESTORS_LIST[[#This Row],[INVESTOR CODE]],LS[B/S],"B")</f>
        <v>1000</v>
      </c>
      <c r="F65" s="2">
        <f>-SUMIFS(LS[Unit],LS[Investor ID],INVESTORS_LIST[[#This Row],[INVESTOR CODE]],LS[B/S],"S")</f>
        <v>0</v>
      </c>
      <c r="G65" s="2">
        <f>IF(INVESTORS_LIST[[#This Row],[LS_TOTAL UNITS BUY]]=0,0,INVESTORS_LIST[[#This Row],[LS_TOTAL UNITS BUY]]-INVESTORS_LIST[[#This Row],[LS_TOTAL UNITS SOLD]])</f>
        <v>1000</v>
      </c>
      <c r="H65" s="4">
        <f>IF(INVESTORS_LIST[[#This Row],[LS_TOTAL UNITS BUY]]=0,0,SUMIFS(LS[Amount],LS[Investor ID],INVESTORS_LIST[[#This Row],[INVESTOR CODE]],LS[B/S],"B"))</f>
        <v>9900</v>
      </c>
      <c r="I65" s="6">
        <f>IF(INVESTORS_LIST[[#This Row],[LS_TOTAL UNITS SOLD]]=0,0,SUMIFS(LS[Cost of Units Sold],LS[Investor ID],INVESTORS_LIST[[#This Row],[INVESTOR CODE]],LS[B/S],"S"))</f>
        <v>0</v>
      </c>
      <c r="J65" s="6">
        <f>IF(INVESTORS_LIST[[#This Row],[LS_TOTAL CURRENT UNITS]]=0,0,INVESTORS_LIST[[#This Row],[LS_TOTAL CURRENT UNITS]]*INVESTORS_LIST[[#This Row],[LS_AVERAGE COST]])</f>
        <v>9900</v>
      </c>
      <c r="K65" s="4">
        <f>IF(INVESTORS_LIST[[#This Row],[LS_TOTAL UNITS SOLD]]=0,0,SUMIFS(LS[Realized Gain],LS[Investor ID],INVESTORS_LIST[[#This Row],[INVESTOR CODE]],LS[B/S],"S"))</f>
        <v>0</v>
      </c>
      <c r="L65" s="2">
        <f>SUMIFS(SIP[Unit],SIP[Investor ID],INVESTORS_LIST[[#This Row],[INVESTOR CODE]],SIP[B/S],"B")</f>
        <v>0</v>
      </c>
      <c r="M65" s="2">
        <f>-SUMIFS(SIP[Unit],SIP[Investor ID],INVESTORS_LIST[[#This Row],[INVESTOR CODE]],SIP[B/S],"S")</f>
        <v>0</v>
      </c>
      <c r="N65" s="33">
        <f>IF(INVESTORS_LIST[[#This Row],[SIP_TOTAL UNITS BUY]]=0,0,INVESTORS_LIST[[#This Row],[SIP_TOTAL UNITS BUY]]-INVESTORS_LIST[[#This Row],[SIP_TOTAL UNITS SOLD]])</f>
        <v>0</v>
      </c>
      <c r="O65" s="4">
        <f>IF(INVESTORS_LIST[[#This Row],[SIP_TOTAL UNITS BUY]]=0,0,SUMIFS(SIP[Amount],SIP[Investor ID],INVESTORS_LIST[[#This Row],[INVESTOR CODE]],SIP[B/S],"B"))</f>
        <v>0</v>
      </c>
      <c r="P65" s="4">
        <f>IF(INVESTORS_LIST[[#This Row],[SIP_TOTAL UNITS SOLD]]=0,0,SUMIFS(SIP[Cost of Units Sold],SIP[Investor ID],INVESTORS_LIST[[#This Row],[INVESTOR CODE]],SIP[B/S],"S"))</f>
        <v>0</v>
      </c>
      <c r="Q65" s="6">
        <f>IF(INVESTORS_LIST[[#This Row],[SIP_TOTAL CURRENT UNITS]]=0,0,INVESTORS_LIST[[#This Row],[SIP_TOTAL CURRENT UNITS]]*INVESTORS_LIST[[#This Row],[SIP_AVERAGE COST]])</f>
        <v>0</v>
      </c>
      <c r="R65" s="6">
        <f>IF(INVESTORS_LIST[[#This Row],[SIP_TOTAL UNITS SOLD]]=0,0,SUMIFS(SIP[Realized Gain],SIP[Investor ID],INVESTORS_LIST[[#This Row],[INVESTOR CODE]],SIP[B/S],"S"))</f>
        <v>0</v>
      </c>
      <c r="S65" s="33">
        <f>INVESTORS_LIST[[#This Row],[LS_TOTAL UNITS BUY]]+INVESTORS_LIST[[#This Row],[SIP_TOTAL UNITS BUY]]</f>
        <v>1000</v>
      </c>
      <c r="T65" s="33">
        <f>INVESTORS_LIST[[#This Row],[LS_TOTAL UNITS SOLD]]+INVESTORS_LIST[[#This Row],[SIP_TOTAL UNITS SOLD]]</f>
        <v>0</v>
      </c>
      <c r="U65" s="33">
        <v>1000</v>
      </c>
      <c r="V65" s="33">
        <f>SUMIFS(LS[BO UNIT TRANSFER],LS[Investor ID],INVESTORS_LIST[[#This Row],[INVESTOR CODE]],LS[B/S],"B")</f>
        <v>0</v>
      </c>
      <c r="W65" s="33">
        <f>SUMIFS(LS[BO UNIT TRANSFER],LS[Investor ID],INVESTORS_LIST[[#This Row],[INVESTOR CODE]],LS[B/S],"S")</f>
        <v>0</v>
      </c>
      <c r="X65" s="33">
        <f>SUMIFS(SIP[BO UNIT TRANSFER],SIP[Investor ID],INVESTORS_LIST[[#This Row],[INVESTOR CODE]],SIP[B/S],"S")</f>
        <v>0</v>
      </c>
      <c r="Y65" s="33">
        <f>SUMIFS(SIP[BO UNIT TRANSFER],SIP[Investor ID],INVESTORS_LIST[[#This Row],[INVESTOR CODE]],SIP[B/S],"B")</f>
        <v>0</v>
      </c>
      <c r="Z6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1000</v>
      </c>
      <c r="AA65" s="119">
        <f>INVESTORS_LIST[[#This Row],[TOTAL UNITS BUY]]-INVESTORS_LIST[[#This Row],[TOTAL UNITS SOLD]]</f>
        <v>1000</v>
      </c>
      <c r="AB65" s="119">
        <f>INVESTORS_LIST[[#This Row],[TOTAL CURRENT UNITS]]-INVESTORS_LIST[[#This Row],[BO UNITS HOLD]]</f>
        <v>0</v>
      </c>
      <c r="AC65" s="119" t="e">
        <f>INDEX([4]!Table_1[BO ID],MATCH(INVESTORS_LIST[[#This Row],[INVESTOR CODE]],[4]!Table_1[INVESTOR CODE],0))</f>
        <v>#REF!</v>
      </c>
      <c r="AD65" s="33">
        <f>INVESTORS_LIST[[#This Row],[LS_TOTAL COST VALUE OF CURRENT UNITS]]+INVESTORS_LIST[[#This Row],[SIP_TOTAL COST VALUE OF CURRENT UNITS]]</f>
        <v>9900</v>
      </c>
      <c r="AE65" s="44">
        <f>IF(INVESTORS_LIST[[#This Row],[TOTAL CURRENT UNITS]]=0,0,INVESTORS_LIST[[#This Row],[LS_TOTAL CURRENT UNITS]]/INVESTORS_LIST[[#This Row],[TOTAL CURRENT UNITS]])</f>
        <v>1</v>
      </c>
      <c r="AF65" s="44">
        <f>IF(INVESTORS_LIST[[#This Row],[TOTAL CURRENT UNITS]]=0,0,INVESTORS_LIST[[#This Row],[SIP_TOTAL CURRENT UNITS]]/INVESTORS_LIST[[#This Row],[TOTAL CURRENT UNITS]])</f>
        <v>0</v>
      </c>
      <c r="AG65" s="4" cm="1">
        <f t="array" ref="AG65">IF(INVESTORS_LIST[[#This Row],[LS_TOTAL UNITS BUY]]&gt;0,INDEX(LS[NAV at Cost (Average)],MATCH(CONCATENATE(COUNTIFS(LS[Investor ID],INVESTORS_LIST[[#This Row],[INVESTOR CODE]]),INVESTORS_LIST[[#This Row],[INVESTOR CODE]]),LS[Unique Code],0),),0)</f>
        <v>9.9</v>
      </c>
      <c r="AH65" s="4" cm="1">
        <f t="array" ref="AH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5" s="178">
        <f>IF(INVESTORS_LIST[[#This Row],[TOTAL CURRENT UNITS]]=0,0,(INVESTORS_LIST[[#This Row],[LS_WEIGHT]]*INVESTORS_LIST[[#This Row],[LS_AVERAGE COST]])+(INVESTORS_LIST[[#This Row],[SIP_WEIGHT]]*INVESTORS_LIST[[#This Row],[SIP_AVERAGE COST]]))</f>
        <v>9.9</v>
      </c>
      <c r="AJ65" s="178">
        <f t="shared" si="0"/>
        <v>12.552</v>
      </c>
      <c r="AK65" s="118">
        <f>IF(INVESTORS_LIST[[#This Row],[TOTAL CURRENT UNITS]]=0,0,INVESTORS_LIST[[#This Row],[TOTAL CURRENT UNITS]]*INVESTORS_LIST[[#This Row],[NAV]])</f>
        <v>12552</v>
      </c>
      <c r="AL65" s="4">
        <f>IF(INVESTORS_LIST[[#This Row],[LS_TOTAL CURRENT UNITS]]=0,0,INVESTORS_LIST[[#This Row],[LS_TOTAL CURRENT UNITS]]*INVESTORS_LIST[[#This Row],[NAV]])</f>
        <v>12552</v>
      </c>
      <c r="AM65" s="6">
        <f>IF(INVESTORS_LIST[[#This Row],[SIP_TOTAL CURRENT UNITS]]=0,0,INVESTORS_LIST[[#This Row],[SIP_TOTAL CURRENT UNITS]]*INVESTORS_LIST[[#This Row],[NAV]])</f>
        <v>0</v>
      </c>
      <c r="AO65" s="6">
        <f>IF(INVESTORS_LIST[[#This Row],[TOTAL SELLABLE UNITS]]=0,0,INVESTORS_LIST[[#This Row],[TOTAL SELLABLE UNITS]]*INVESTORS_LIST[[#This Row],[NAV]])</f>
        <v>0</v>
      </c>
      <c r="AP65" s="6">
        <f>INVESTORS_LIST[[#This Row],[LS_TOTAL REALIZED GAIN]]+INVESTORS_LIST[[#This Row],[SIP_TOTAL REALIZED GAIN]]</f>
        <v>0</v>
      </c>
      <c r="AQ65" s="6">
        <f>INVESTORS_LIST[[#This Row],[TOTAL MARKET VALUE]]-INVESTORS_LIST[[#This Row],[TOTAL COST VALUE OF CURRENT INVESTMENT]]</f>
        <v>2652</v>
      </c>
      <c r="AR65" s="6">
        <f>SUMIFS(DivAndTax[Tax Amount],DivAndTax[Investor ID],INVESTORS_LIST[[#This Row],[INVESTOR CODE]])</f>
        <v>110</v>
      </c>
      <c r="AS65" s="6">
        <f>SUMIFS(DivAndTax[Gross Dividend],DivAndTax[Investor ID],INVESTORS_LIST[[#This Row],[INVESTOR CODE]])</f>
        <v>1100</v>
      </c>
      <c r="AT65" s="5">
        <f>IFERROR(INVESTORS_LIST[[#This Row],[TOTAL CURRENT UNITS]]/SUM(INVESTORS_LIST[TOTAL CURRENT UNITS]),0)</f>
        <v>4.7944835056342854E-5</v>
      </c>
    </row>
    <row r="66" spans="1:46" hidden="1">
      <c r="A66" t="s">
        <v>766</v>
      </c>
      <c r="B66" t="s">
        <v>74</v>
      </c>
      <c r="C66" t="s">
        <v>536</v>
      </c>
      <c r="D66" s="8" t="s">
        <v>2</v>
      </c>
      <c r="E66" s="2">
        <f>SUMIFS(LS[Unit],LS[Investor ID],INVESTORS_LIST[[#This Row],[INVESTOR CODE]],LS[B/S],"B")</f>
        <v>10000</v>
      </c>
      <c r="F66" s="2">
        <f>-SUMIFS(LS[Unit],LS[Investor ID],INVESTORS_LIST[[#This Row],[INVESTOR CODE]],LS[B/S],"S")</f>
        <v>10000</v>
      </c>
      <c r="G66" s="2">
        <f>IF(INVESTORS_LIST[[#This Row],[LS_TOTAL UNITS BUY]]=0,0,INVESTORS_LIST[[#This Row],[LS_TOTAL UNITS BUY]]-INVESTORS_LIST[[#This Row],[LS_TOTAL UNITS SOLD]])</f>
        <v>0</v>
      </c>
      <c r="H66" s="4">
        <f>IF(INVESTORS_LIST[[#This Row],[LS_TOTAL UNITS BUY]]=0,0,SUMIFS(LS[Amount],LS[Investor ID],INVESTORS_LIST[[#This Row],[INVESTOR CODE]],LS[B/S],"B"))</f>
        <v>100000</v>
      </c>
      <c r="I66" s="6">
        <f>IF(INVESTORS_LIST[[#This Row],[LS_TOTAL UNITS SOLD]]=0,0,SUMIFS(LS[Cost of Units Sold],LS[Investor ID],INVESTORS_LIST[[#This Row],[INVESTOR CODE]],LS[B/S],"S"))</f>
        <v>100000</v>
      </c>
      <c r="J66" s="6">
        <f>IF(INVESTORS_LIST[[#This Row],[LS_TOTAL CURRENT UNITS]]=0,0,INVESTORS_LIST[[#This Row],[LS_TOTAL CURRENT UNITS]]*INVESTORS_LIST[[#This Row],[LS_AVERAGE COST]])</f>
        <v>0</v>
      </c>
      <c r="K66" s="4">
        <f>IF(INVESTORS_LIST[[#This Row],[LS_TOTAL UNITS SOLD]]=0,0,SUMIFS(LS[Realized Gain],LS[Investor ID],INVESTORS_LIST[[#This Row],[INVESTOR CODE]],LS[B/S],"S"))</f>
        <v>2129.9999999999918</v>
      </c>
      <c r="L66" s="2">
        <f>SUMIFS(SIP[Unit],SIP[Investor ID],INVESTORS_LIST[[#This Row],[INVESTOR CODE]],SIP[B/S],"B")</f>
        <v>0</v>
      </c>
      <c r="M66" s="2">
        <f>-SUMIFS(SIP[Unit],SIP[Investor ID],INVESTORS_LIST[[#This Row],[INVESTOR CODE]],SIP[B/S],"S")</f>
        <v>0</v>
      </c>
      <c r="N66" s="33">
        <f>IF(INVESTORS_LIST[[#This Row],[SIP_TOTAL UNITS BUY]]=0,0,INVESTORS_LIST[[#This Row],[SIP_TOTAL UNITS BUY]]-INVESTORS_LIST[[#This Row],[SIP_TOTAL UNITS SOLD]])</f>
        <v>0</v>
      </c>
      <c r="O66" s="4">
        <f>IF(INVESTORS_LIST[[#This Row],[SIP_TOTAL UNITS BUY]]=0,0,SUMIFS(SIP[Amount],SIP[Investor ID],INVESTORS_LIST[[#This Row],[INVESTOR CODE]],SIP[B/S],"B"))</f>
        <v>0</v>
      </c>
      <c r="P66" s="4">
        <f>IF(INVESTORS_LIST[[#This Row],[SIP_TOTAL UNITS SOLD]]=0,0,SUMIFS(SIP[Cost of Units Sold],SIP[Investor ID],INVESTORS_LIST[[#This Row],[INVESTOR CODE]],SIP[B/S],"S"))</f>
        <v>0</v>
      </c>
      <c r="Q66" s="6">
        <f>IF(INVESTORS_LIST[[#This Row],[SIP_TOTAL CURRENT UNITS]]=0,0,INVESTORS_LIST[[#This Row],[SIP_TOTAL CURRENT UNITS]]*INVESTORS_LIST[[#This Row],[SIP_AVERAGE COST]])</f>
        <v>0</v>
      </c>
      <c r="R66" s="6">
        <f>IF(INVESTORS_LIST[[#This Row],[SIP_TOTAL UNITS SOLD]]=0,0,SUMIFS(SIP[Realized Gain],SIP[Investor ID],INVESTORS_LIST[[#This Row],[INVESTOR CODE]],SIP[B/S],"S"))</f>
        <v>0</v>
      </c>
      <c r="S66" s="33">
        <f>INVESTORS_LIST[[#This Row],[LS_TOTAL UNITS BUY]]+INVESTORS_LIST[[#This Row],[SIP_TOTAL UNITS BUY]]</f>
        <v>10000</v>
      </c>
      <c r="T66" s="33">
        <f>INVESTORS_LIST[[#This Row],[LS_TOTAL UNITS SOLD]]+INVESTORS_LIST[[#This Row],[SIP_TOTAL UNITS SOLD]]</f>
        <v>10000</v>
      </c>
      <c r="U66" s="33">
        <v>10000</v>
      </c>
      <c r="V66" s="33">
        <f>SUMIFS(LS[BO UNIT TRANSFER],LS[Investor ID],INVESTORS_LIST[[#This Row],[INVESTOR CODE]],LS[B/S],"B")</f>
        <v>0</v>
      </c>
      <c r="W66" s="33">
        <f>SUMIFS(LS[BO UNIT TRANSFER],LS[Investor ID],INVESTORS_LIST[[#This Row],[INVESTOR CODE]],LS[B/S],"S")</f>
        <v>0</v>
      </c>
      <c r="X66" s="33">
        <f>SUMIFS(SIP[BO UNIT TRANSFER],SIP[Investor ID],INVESTORS_LIST[[#This Row],[INVESTOR CODE]],SIP[B/S],"S")</f>
        <v>0</v>
      </c>
      <c r="Y66" s="33">
        <f>SUMIFS(SIP[BO UNIT TRANSFER],SIP[Investor ID],INVESTORS_LIST[[#This Row],[INVESTOR CODE]],SIP[B/S],"B")</f>
        <v>0</v>
      </c>
      <c r="Z6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10000</v>
      </c>
      <c r="AA66" s="119">
        <f>INVESTORS_LIST[[#This Row],[TOTAL UNITS BUY]]-INVESTORS_LIST[[#This Row],[TOTAL UNITS SOLD]]</f>
        <v>0</v>
      </c>
      <c r="AB66" s="119">
        <f>INVESTORS_LIST[[#This Row],[TOTAL CURRENT UNITS]]-INVESTORS_LIST[[#This Row],[BO UNITS HOLD]]</f>
        <v>-10000</v>
      </c>
      <c r="AC66" s="119" t="e">
        <f>INDEX([4]!Table_1[BO ID],MATCH(INVESTORS_LIST[[#This Row],[INVESTOR CODE]],[4]!Table_1[INVESTOR CODE],0))</f>
        <v>#REF!</v>
      </c>
      <c r="AD66" s="33">
        <f>INVESTORS_LIST[[#This Row],[LS_TOTAL COST VALUE OF CURRENT UNITS]]+INVESTORS_LIST[[#This Row],[SIP_TOTAL COST VALUE OF CURRENT UNITS]]</f>
        <v>0</v>
      </c>
      <c r="AE66" s="44">
        <f>IF(INVESTORS_LIST[[#This Row],[TOTAL CURRENT UNITS]]=0,0,INVESTORS_LIST[[#This Row],[LS_TOTAL CURRENT UNITS]]/INVESTORS_LIST[[#This Row],[TOTAL CURRENT UNITS]])</f>
        <v>0</v>
      </c>
      <c r="AF66" s="44">
        <f>IF(INVESTORS_LIST[[#This Row],[TOTAL CURRENT UNITS]]=0,0,INVESTORS_LIST[[#This Row],[SIP_TOTAL CURRENT UNITS]]/INVESTORS_LIST[[#This Row],[TOTAL CURRENT UNITS]])</f>
        <v>0</v>
      </c>
      <c r="AG66" s="4" cm="1">
        <f t="array" ref="AG6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6" s="4" cm="1">
        <f t="array" ref="AH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6" s="178">
        <f t="shared" ref="AJ66:AJ129" si="1">NAV_MKT</f>
        <v>12.552</v>
      </c>
      <c r="AK66" s="118">
        <f>IF(INVESTORS_LIST[[#This Row],[TOTAL CURRENT UNITS]]=0,0,INVESTORS_LIST[[#This Row],[TOTAL CURRENT UNITS]]*INVESTORS_LIST[[#This Row],[NAV]])</f>
        <v>0</v>
      </c>
      <c r="AL66" s="4">
        <f>IF(INVESTORS_LIST[[#This Row],[LS_TOTAL CURRENT UNITS]]=0,0,INVESTORS_LIST[[#This Row],[LS_TOTAL CURRENT UNITS]]*INVESTORS_LIST[[#This Row],[NAV]])</f>
        <v>0</v>
      </c>
      <c r="AM66" s="6">
        <f>IF(INVESTORS_LIST[[#This Row],[SIP_TOTAL CURRENT UNITS]]=0,0,INVESTORS_LIST[[#This Row],[SIP_TOTAL CURRENT UNITS]]*INVESTORS_LIST[[#This Row],[NAV]])</f>
        <v>0</v>
      </c>
      <c r="AO66" s="6">
        <f>IF(INVESTORS_LIST[[#This Row],[TOTAL SELLABLE UNITS]]=0,0,INVESTORS_LIST[[#This Row],[TOTAL SELLABLE UNITS]]*INVESTORS_LIST[[#This Row],[NAV]])</f>
        <v>0</v>
      </c>
      <c r="AP66" s="6">
        <f>INVESTORS_LIST[[#This Row],[LS_TOTAL REALIZED GAIN]]+INVESTORS_LIST[[#This Row],[SIP_TOTAL REALIZED GAIN]]</f>
        <v>2129.9999999999918</v>
      </c>
      <c r="AQ66" s="6">
        <f>INVESTORS_LIST[[#This Row],[TOTAL MARKET VALUE]]-INVESTORS_LIST[[#This Row],[TOTAL COST VALUE OF CURRENT INVESTMENT]]</f>
        <v>0</v>
      </c>
      <c r="AR66" s="6">
        <f>SUMIFS(DivAndTax[Tax Amount],DivAndTax[Investor ID],INVESTORS_LIST[[#This Row],[INVESTOR CODE]])</f>
        <v>250</v>
      </c>
      <c r="AS66" s="6">
        <f>SUMIFS(DivAndTax[Gross Dividend],DivAndTax[Investor ID],INVESTORS_LIST[[#This Row],[INVESTOR CODE]])</f>
        <v>2500</v>
      </c>
      <c r="AT66" s="5">
        <f>IFERROR(INVESTORS_LIST[[#This Row],[TOTAL CURRENT UNITS]]/SUM(INVESTORS_LIST[TOTAL CURRENT UNITS]),0)</f>
        <v>0</v>
      </c>
    </row>
    <row r="67" spans="1:46" hidden="1">
      <c r="A67" t="s">
        <v>767</v>
      </c>
      <c r="B67" t="s">
        <v>75</v>
      </c>
      <c r="C67" t="s">
        <v>538</v>
      </c>
      <c r="D67" s="8" t="s">
        <v>2</v>
      </c>
      <c r="E67" s="2">
        <f>SUMIFS(LS[Unit],LS[Investor ID],INVESTORS_LIST[[#This Row],[INVESTOR CODE]],LS[B/S],"B")</f>
        <v>0</v>
      </c>
      <c r="F67" s="2">
        <f>-SUMIFS(LS[Unit],LS[Investor ID],INVESTORS_LIST[[#This Row],[INVESTOR CODE]],LS[B/S],"S")</f>
        <v>0</v>
      </c>
      <c r="G67" s="2">
        <f>IF(INVESTORS_LIST[[#This Row],[LS_TOTAL UNITS BUY]]=0,0,INVESTORS_LIST[[#This Row],[LS_TOTAL UNITS BUY]]-INVESTORS_LIST[[#This Row],[LS_TOTAL UNITS SOLD]])</f>
        <v>0</v>
      </c>
      <c r="H67" s="4">
        <f>IF(INVESTORS_LIST[[#This Row],[LS_TOTAL UNITS BUY]]=0,0,SUMIFS(LS[Amount],LS[Investor ID],INVESTORS_LIST[[#This Row],[INVESTOR CODE]],LS[B/S],"B"))</f>
        <v>0</v>
      </c>
      <c r="I67" s="6">
        <f>IF(INVESTORS_LIST[[#This Row],[LS_TOTAL UNITS SOLD]]=0,0,SUMIFS(LS[Cost of Units Sold],LS[Investor ID],INVESTORS_LIST[[#This Row],[INVESTOR CODE]],LS[B/S],"S"))</f>
        <v>0</v>
      </c>
      <c r="J67" s="6">
        <f>IF(INVESTORS_LIST[[#This Row],[LS_TOTAL CURRENT UNITS]]=0,0,INVESTORS_LIST[[#This Row],[LS_TOTAL CURRENT UNITS]]*INVESTORS_LIST[[#This Row],[LS_AVERAGE COST]])</f>
        <v>0</v>
      </c>
      <c r="K67" s="4">
        <f>IF(INVESTORS_LIST[[#This Row],[LS_TOTAL UNITS SOLD]]=0,0,SUMIFS(LS[Realized Gain],LS[Investor ID],INVESTORS_LIST[[#This Row],[INVESTOR CODE]],LS[B/S],"S"))</f>
        <v>0</v>
      </c>
      <c r="L67" s="2">
        <f>SUMIFS(SIP[Unit],SIP[Investor ID],INVESTORS_LIST[[#This Row],[INVESTOR CODE]],SIP[B/S],"B")</f>
        <v>0</v>
      </c>
      <c r="M67" s="2">
        <f>-SUMIFS(SIP[Unit],SIP[Investor ID],INVESTORS_LIST[[#This Row],[INVESTOR CODE]],SIP[B/S],"S")</f>
        <v>0</v>
      </c>
      <c r="N67" s="33">
        <f>IF(INVESTORS_LIST[[#This Row],[SIP_TOTAL UNITS BUY]]=0,0,INVESTORS_LIST[[#This Row],[SIP_TOTAL UNITS BUY]]-INVESTORS_LIST[[#This Row],[SIP_TOTAL UNITS SOLD]])</f>
        <v>0</v>
      </c>
      <c r="O67" s="4">
        <f>IF(INVESTORS_LIST[[#This Row],[SIP_TOTAL UNITS BUY]]=0,0,SUMIFS(SIP[Amount],SIP[Investor ID],INVESTORS_LIST[[#This Row],[INVESTOR CODE]],SIP[B/S],"B"))</f>
        <v>0</v>
      </c>
      <c r="P67" s="4">
        <f>IF(INVESTORS_LIST[[#This Row],[SIP_TOTAL UNITS SOLD]]=0,0,SUMIFS(SIP[Cost of Units Sold],SIP[Investor ID],INVESTORS_LIST[[#This Row],[INVESTOR CODE]],SIP[B/S],"S"))</f>
        <v>0</v>
      </c>
      <c r="Q67" s="6">
        <f>IF(INVESTORS_LIST[[#This Row],[SIP_TOTAL CURRENT UNITS]]=0,0,INVESTORS_LIST[[#This Row],[SIP_TOTAL CURRENT UNITS]]*INVESTORS_LIST[[#This Row],[SIP_AVERAGE COST]])</f>
        <v>0</v>
      </c>
      <c r="R67" s="6">
        <f>IF(INVESTORS_LIST[[#This Row],[SIP_TOTAL UNITS SOLD]]=0,0,SUMIFS(SIP[Realized Gain],SIP[Investor ID],INVESTORS_LIST[[#This Row],[INVESTOR CODE]],SIP[B/S],"S"))</f>
        <v>0</v>
      </c>
      <c r="S67" s="33">
        <f>INVESTORS_LIST[[#This Row],[LS_TOTAL UNITS BUY]]+INVESTORS_LIST[[#This Row],[SIP_TOTAL UNITS BUY]]</f>
        <v>0</v>
      </c>
      <c r="T67" s="33">
        <f>INVESTORS_LIST[[#This Row],[LS_TOTAL UNITS SOLD]]+INVESTORS_LIST[[#This Row],[SIP_TOTAL UNITS SOLD]]</f>
        <v>0</v>
      </c>
      <c r="U67" s="33">
        <v>0</v>
      </c>
      <c r="V67" s="33">
        <f>SUMIFS(LS[BO UNIT TRANSFER],LS[Investor ID],INVESTORS_LIST[[#This Row],[INVESTOR CODE]],LS[B/S],"B")</f>
        <v>0</v>
      </c>
      <c r="W67" s="33">
        <f>SUMIFS(LS[BO UNIT TRANSFER],LS[Investor ID],INVESTORS_LIST[[#This Row],[INVESTOR CODE]],LS[B/S],"S")</f>
        <v>0</v>
      </c>
      <c r="X67" s="33">
        <f>SUMIFS(SIP[BO UNIT TRANSFER],SIP[Investor ID],INVESTORS_LIST[[#This Row],[INVESTOR CODE]],SIP[B/S],"S")</f>
        <v>0</v>
      </c>
      <c r="Y67" s="33">
        <f>SUMIFS(SIP[BO UNIT TRANSFER],SIP[Investor ID],INVESTORS_LIST[[#This Row],[INVESTOR CODE]],SIP[B/S],"B")</f>
        <v>0</v>
      </c>
      <c r="Z6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7" s="119">
        <f>INVESTORS_LIST[[#This Row],[TOTAL UNITS BUY]]-INVESTORS_LIST[[#This Row],[TOTAL UNITS SOLD]]</f>
        <v>0</v>
      </c>
      <c r="AB67" s="119">
        <f>INVESTORS_LIST[[#This Row],[TOTAL CURRENT UNITS]]-INVESTORS_LIST[[#This Row],[BO UNITS HOLD]]</f>
        <v>0</v>
      </c>
      <c r="AC67" s="119" t="e">
        <f>INDEX([4]!Table_1[BO ID],MATCH(INVESTORS_LIST[[#This Row],[INVESTOR CODE]],[4]!Table_1[INVESTOR CODE],0))</f>
        <v>#REF!</v>
      </c>
      <c r="AD67" s="33">
        <f>INVESTORS_LIST[[#This Row],[LS_TOTAL COST VALUE OF CURRENT UNITS]]+INVESTORS_LIST[[#This Row],[SIP_TOTAL COST VALUE OF CURRENT UNITS]]</f>
        <v>0</v>
      </c>
      <c r="AE67" s="44">
        <f>IF(INVESTORS_LIST[[#This Row],[TOTAL CURRENT UNITS]]=0,0,INVESTORS_LIST[[#This Row],[LS_TOTAL CURRENT UNITS]]/INVESTORS_LIST[[#This Row],[TOTAL CURRENT UNITS]])</f>
        <v>0</v>
      </c>
      <c r="AF67" s="44">
        <f>IF(INVESTORS_LIST[[#This Row],[TOTAL CURRENT UNITS]]=0,0,INVESTORS_LIST[[#This Row],[SIP_TOTAL CURRENT UNITS]]/INVESTORS_LIST[[#This Row],[TOTAL CURRENT UNITS]])</f>
        <v>0</v>
      </c>
      <c r="AG67" s="4" cm="1">
        <f t="array" ref="AG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7" s="4" cm="1">
        <f t="array" ref="AH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7" s="178">
        <f t="shared" si="1"/>
        <v>12.552</v>
      </c>
      <c r="AK67" s="118">
        <f>IF(INVESTORS_LIST[[#This Row],[TOTAL CURRENT UNITS]]=0,0,INVESTORS_LIST[[#This Row],[TOTAL CURRENT UNITS]]*INVESTORS_LIST[[#This Row],[NAV]])</f>
        <v>0</v>
      </c>
      <c r="AL67" s="4">
        <f>IF(INVESTORS_LIST[[#This Row],[LS_TOTAL CURRENT UNITS]]=0,0,INVESTORS_LIST[[#This Row],[LS_TOTAL CURRENT UNITS]]*INVESTORS_LIST[[#This Row],[NAV]])</f>
        <v>0</v>
      </c>
      <c r="AM67" s="6">
        <f>IF(INVESTORS_LIST[[#This Row],[SIP_TOTAL CURRENT UNITS]]=0,0,INVESTORS_LIST[[#This Row],[SIP_TOTAL CURRENT UNITS]]*INVESTORS_LIST[[#This Row],[NAV]])</f>
        <v>0</v>
      </c>
      <c r="AO67" s="6">
        <f>IF(INVESTORS_LIST[[#This Row],[TOTAL SELLABLE UNITS]]=0,0,INVESTORS_LIST[[#This Row],[TOTAL SELLABLE UNITS]]*INVESTORS_LIST[[#This Row],[NAV]])</f>
        <v>0</v>
      </c>
      <c r="AP67" s="6">
        <f>INVESTORS_LIST[[#This Row],[LS_TOTAL REALIZED GAIN]]+INVESTORS_LIST[[#This Row],[SIP_TOTAL REALIZED GAIN]]</f>
        <v>0</v>
      </c>
      <c r="AQ67" s="6">
        <f>INVESTORS_LIST[[#This Row],[TOTAL MARKET VALUE]]-INVESTORS_LIST[[#This Row],[TOTAL COST VALUE OF CURRENT INVESTMENT]]</f>
        <v>0</v>
      </c>
      <c r="AR67" s="6">
        <f>SUMIFS(DivAndTax[Tax Amount],DivAndTax[Investor ID],INVESTORS_LIST[[#This Row],[INVESTOR CODE]])</f>
        <v>0</v>
      </c>
      <c r="AS67" s="6">
        <f>SUMIFS(DivAndTax[Gross Dividend],DivAndTax[Investor ID],INVESTORS_LIST[[#This Row],[INVESTOR CODE]])</f>
        <v>0</v>
      </c>
      <c r="AT67" s="5">
        <f>IFERROR(INVESTORS_LIST[[#This Row],[TOTAL CURRENT UNITS]]/SUM(INVESTORS_LIST[TOTAL CURRENT UNITS]),0)</f>
        <v>0</v>
      </c>
    </row>
    <row r="68" spans="1:46">
      <c r="A68" t="s">
        <v>623</v>
      </c>
      <c r="B68" t="s">
        <v>76</v>
      </c>
      <c r="C68" t="s">
        <v>537</v>
      </c>
      <c r="D68" s="8" t="s">
        <v>5</v>
      </c>
      <c r="E68" s="2">
        <f>SUMIFS(LS[Unit],LS[Investor ID],INVESTORS_LIST[[#This Row],[INVESTOR CODE]],LS[B/S],"B")</f>
        <v>211806</v>
      </c>
      <c r="F68" s="2">
        <f>-SUMIFS(LS[Unit],LS[Investor ID],INVESTORS_LIST[[#This Row],[INVESTOR CODE]],LS[B/S],"S")</f>
        <v>0</v>
      </c>
      <c r="G68" s="2">
        <f>IF(INVESTORS_LIST[[#This Row],[LS_TOTAL UNITS BUY]]=0,0,INVESTORS_LIST[[#This Row],[LS_TOTAL UNITS BUY]]-INVESTORS_LIST[[#This Row],[LS_TOTAL UNITS SOLD]])</f>
        <v>211806</v>
      </c>
      <c r="H68" s="4">
        <f>IF(INVESTORS_LIST[[#This Row],[LS_TOTAL UNITS BUY]]=0,0,SUMIFS(LS[Amount],LS[Investor ID],INVESTORS_LIST[[#This Row],[INVESTOR CODE]],LS[B/S],"B"))</f>
        <v>2121624</v>
      </c>
      <c r="I68" s="6">
        <f>IF(INVESTORS_LIST[[#This Row],[LS_TOTAL UNITS SOLD]]=0,0,SUMIFS(LS[Cost of Units Sold],LS[Investor ID],INVESTORS_LIST[[#This Row],[INVESTOR CODE]],LS[B/S],"S"))</f>
        <v>0</v>
      </c>
      <c r="J68" s="6">
        <f>IF(INVESTORS_LIST[[#This Row],[LS_TOTAL CURRENT UNITS]]=0,0,INVESTORS_LIST[[#This Row],[LS_TOTAL CURRENT UNITS]]*INVESTORS_LIST[[#This Row],[LS_AVERAGE COST]])</f>
        <v>2121624</v>
      </c>
      <c r="K68" s="4">
        <f>IF(INVESTORS_LIST[[#This Row],[LS_TOTAL UNITS SOLD]]=0,0,SUMIFS(LS[Realized Gain],LS[Investor ID],INVESTORS_LIST[[#This Row],[INVESTOR CODE]],LS[B/S],"S"))</f>
        <v>0</v>
      </c>
      <c r="L68" s="2">
        <f>SUMIFS(SIP[Unit],SIP[Investor ID],INVESTORS_LIST[[#This Row],[INVESTOR CODE]],SIP[B/S],"B")</f>
        <v>0</v>
      </c>
      <c r="M68" s="2">
        <f>-SUMIFS(SIP[Unit],SIP[Investor ID],INVESTORS_LIST[[#This Row],[INVESTOR CODE]],SIP[B/S],"S")</f>
        <v>0</v>
      </c>
      <c r="N68" s="33">
        <f>IF(INVESTORS_LIST[[#This Row],[SIP_TOTAL UNITS BUY]]=0,0,INVESTORS_LIST[[#This Row],[SIP_TOTAL UNITS BUY]]-INVESTORS_LIST[[#This Row],[SIP_TOTAL UNITS SOLD]])</f>
        <v>0</v>
      </c>
      <c r="O68" s="4">
        <f>IF(INVESTORS_LIST[[#This Row],[SIP_TOTAL UNITS BUY]]=0,0,SUMIFS(SIP[Amount],SIP[Investor ID],INVESTORS_LIST[[#This Row],[INVESTOR CODE]],SIP[B/S],"B"))</f>
        <v>0</v>
      </c>
      <c r="P68" s="4">
        <f>IF(INVESTORS_LIST[[#This Row],[SIP_TOTAL UNITS SOLD]]=0,0,SUMIFS(SIP[Cost of Units Sold],SIP[Investor ID],INVESTORS_LIST[[#This Row],[INVESTOR CODE]],SIP[B/S],"S"))</f>
        <v>0</v>
      </c>
      <c r="Q68" s="6">
        <f>IF(INVESTORS_LIST[[#This Row],[SIP_TOTAL CURRENT UNITS]]=0,0,INVESTORS_LIST[[#This Row],[SIP_TOTAL CURRENT UNITS]]*INVESTORS_LIST[[#This Row],[SIP_AVERAGE COST]])</f>
        <v>0</v>
      </c>
      <c r="R68" s="6">
        <f>IF(INVESTORS_LIST[[#This Row],[SIP_TOTAL UNITS SOLD]]=0,0,SUMIFS(SIP[Realized Gain],SIP[Investor ID],INVESTORS_LIST[[#This Row],[INVESTOR CODE]],SIP[B/S],"S"))</f>
        <v>0</v>
      </c>
      <c r="S68" s="33">
        <f>INVESTORS_LIST[[#This Row],[LS_TOTAL UNITS BUY]]+INVESTORS_LIST[[#This Row],[SIP_TOTAL UNITS BUY]]</f>
        <v>211806</v>
      </c>
      <c r="T68" s="33">
        <f>INVESTORS_LIST[[#This Row],[LS_TOTAL UNITS SOLD]]+INVESTORS_LIST[[#This Row],[SIP_TOTAL UNITS SOLD]]</f>
        <v>0</v>
      </c>
      <c r="U68" s="33">
        <v>211806</v>
      </c>
      <c r="V68" s="33">
        <f>SUMIFS(LS[BO UNIT TRANSFER],LS[Investor ID],INVESTORS_LIST[[#This Row],[INVESTOR CODE]],LS[B/S],"B")</f>
        <v>0</v>
      </c>
      <c r="W68" s="33">
        <f>SUMIFS(LS[BO UNIT TRANSFER],LS[Investor ID],INVESTORS_LIST[[#This Row],[INVESTOR CODE]],LS[B/S],"S")</f>
        <v>0</v>
      </c>
      <c r="X68" s="33">
        <f>SUMIFS(SIP[BO UNIT TRANSFER],SIP[Investor ID],INVESTORS_LIST[[#This Row],[INVESTOR CODE]],SIP[B/S],"S")</f>
        <v>0</v>
      </c>
      <c r="Y68" s="33">
        <f>SUMIFS(SIP[BO UNIT TRANSFER],SIP[Investor ID],INVESTORS_LIST[[#This Row],[INVESTOR CODE]],SIP[B/S],"B")</f>
        <v>0</v>
      </c>
      <c r="Z6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211806</v>
      </c>
      <c r="AA68" s="119">
        <f>INVESTORS_LIST[[#This Row],[TOTAL UNITS BUY]]-INVESTORS_LIST[[#This Row],[TOTAL UNITS SOLD]]</f>
        <v>211806</v>
      </c>
      <c r="AB68" s="119">
        <f>INVESTORS_LIST[[#This Row],[TOTAL CURRENT UNITS]]-INVESTORS_LIST[[#This Row],[BO UNITS HOLD]]</f>
        <v>0</v>
      </c>
      <c r="AC68" s="119" t="e">
        <f>INDEX([4]!Table_1[BO ID],MATCH(INVESTORS_LIST[[#This Row],[INVESTOR CODE]],[4]!Table_1[INVESTOR CODE],0))</f>
        <v>#REF!</v>
      </c>
      <c r="AD68" s="33">
        <f>INVESTORS_LIST[[#This Row],[LS_TOTAL COST VALUE OF CURRENT UNITS]]+INVESTORS_LIST[[#This Row],[SIP_TOTAL COST VALUE OF CURRENT UNITS]]</f>
        <v>2121624</v>
      </c>
      <c r="AE68" s="44">
        <f>IF(INVESTORS_LIST[[#This Row],[TOTAL CURRENT UNITS]]=0,0,INVESTORS_LIST[[#This Row],[LS_TOTAL CURRENT UNITS]]/INVESTORS_LIST[[#This Row],[TOTAL CURRENT UNITS]])</f>
        <v>1</v>
      </c>
      <c r="AF68" s="44">
        <f>IF(INVESTORS_LIST[[#This Row],[TOTAL CURRENT UNITS]]=0,0,INVESTORS_LIST[[#This Row],[SIP_TOTAL CURRENT UNITS]]/INVESTORS_LIST[[#This Row],[TOTAL CURRENT UNITS]])</f>
        <v>0</v>
      </c>
      <c r="AG68" s="4" cm="1">
        <f t="array" ref="AG68">IF(INVESTORS_LIST[[#This Row],[LS_TOTAL UNITS BUY]]&gt;0,INDEX(LS[NAV at Cost (Average)],MATCH(CONCATENATE(COUNTIFS(LS[Investor ID],INVESTORS_LIST[[#This Row],[INVESTOR CODE]]),INVESTORS_LIST[[#This Row],[INVESTOR CODE]]),LS[Unique Code],0),),0)</f>
        <v>10.016826718789837</v>
      </c>
      <c r="AH68" s="4" cm="1">
        <f t="array" ref="AH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8" s="178">
        <f>IF(INVESTORS_LIST[[#This Row],[TOTAL CURRENT UNITS]]=0,0,(INVESTORS_LIST[[#This Row],[LS_WEIGHT]]*INVESTORS_LIST[[#This Row],[LS_AVERAGE COST]])+(INVESTORS_LIST[[#This Row],[SIP_WEIGHT]]*INVESTORS_LIST[[#This Row],[SIP_AVERAGE COST]]))</f>
        <v>10.016826718789837</v>
      </c>
      <c r="AJ68" s="178">
        <f t="shared" si="1"/>
        <v>12.552</v>
      </c>
      <c r="AK68" s="118">
        <f>IF(INVESTORS_LIST[[#This Row],[TOTAL CURRENT UNITS]]=0,0,INVESTORS_LIST[[#This Row],[TOTAL CURRENT UNITS]]*INVESTORS_LIST[[#This Row],[NAV]])</f>
        <v>2658588.912</v>
      </c>
      <c r="AL68" s="4">
        <f>IF(INVESTORS_LIST[[#This Row],[LS_TOTAL CURRENT UNITS]]=0,0,INVESTORS_LIST[[#This Row],[LS_TOTAL CURRENT UNITS]]*INVESTORS_LIST[[#This Row],[NAV]])</f>
        <v>2658588.912</v>
      </c>
      <c r="AM68" s="6">
        <f>IF(INVESTORS_LIST[[#This Row],[SIP_TOTAL CURRENT UNITS]]=0,0,INVESTORS_LIST[[#This Row],[SIP_TOTAL CURRENT UNITS]]*INVESTORS_LIST[[#This Row],[NAV]])</f>
        <v>0</v>
      </c>
      <c r="AO68" s="6">
        <f>IF(INVESTORS_LIST[[#This Row],[TOTAL SELLABLE UNITS]]=0,0,INVESTORS_LIST[[#This Row],[TOTAL SELLABLE UNITS]]*INVESTORS_LIST[[#This Row],[NAV]])</f>
        <v>0</v>
      </c>
      <c r="AP68" s="6">
        <f>INVESTORS_LIST[[#This Row],[LS_TOTAL REALIZED GAIN]]+INVESTORS_LIST[[#This Row],[SIP_TOTAL REALIZED GAIN]]</f>
        <v>0</v>
      </c>
      <c r="AQ68" s="6">
        <f>INVESTORS_LIST[[#This Row],[TOTAL MARKET VALUE]]-INVESTORS_LIST[[#This Row],[TOTAL COST VALUE OF CURRENT INVESTMENT]]</f>
        <v>536964.91200000001</v>
      </c>
      <c r="AR68" s="6">
        <f>SUMIFS(DivAndTax[Tax Amount],DivAndTax[Investor ID],INVESTORS_LIST[[#This Row],[INVESTOR CODE]])</f>
        <v>45232.42</v>
      </c>
      <c r="AS68" s="6">
        <f>SUMIFS(DivAndTax[Gross Dividend],DivAndTax[Investor ID],INVESTORS_LIST[[#This Row],[INVESTOR CODE]])</f>
        <v>226162.09999999998</v>
      </c>
      <c r="AT68" s="5">
        <f>IFERROR(INVESTORS_LIST[[#This Row],[TOTAL CURRENT UNITS]]/SUM(INVESTORS_LIST[TOTAL CURRENT UNITS]),0)</f>
        <v>1.0155003733943754E-2</v>
      </c>
    </row>
    <row r="69" spans="1:46">
      <c r="A69" t="s">
        <v>768</v>
      </c>
      <c r="B69" t="s">
        <v>77</v>
      </c>
      <c r="C69" t="s">
        <v>537</v>
      </c>
      <c r="D69" s="8" t="s">
        <v>5</v>
      </c>
      <c r="E69" s="2">
        <f>SUMIFS(LS[Unit],LS[Investor ID],INVESTORS_LIST[[#This Row],[INVESTOR CODE]],LS[B/S],"B")</f>
        <v>105903</v>
      </c>
      <c r="F69" s="2">
        <f>-SUMIFS(LS[Unit],LS[Investor ID],INVESTORS_LIST[[#This Row],[INVESTOR CODE]],LS[B/S],"S")</f>
        <v>0</v>
      </c>
      <c r="G69" s="2">
        <f>IF(INVESTORS_LIST[[#This Row],[LS_TOTAL UNITS BUY]]=0,0,INVESTORS_LIST[[#This Row],[LS_TOTAL UNITS BUY]]-INVESTORS_LIST[[#This Row],[LS_TOTAL UNITS SOLD]])</f>
        <v>105903</v>
      </c>
      <c r="H69" s="4">
        <f>IF(INVESTORS_LIST[[#This Row],[LS_TOTAL UNITS BUY]]=0,0,SUMIFS(LS[Amount],LS[Investor ID],INVESTORS_LIST[[#This Row],[INVESTOR CODE]],LS[B/S],"B"))</f>
        <v>1060812</v>
      </c>
      <c r="I69" s="6">
        <f>IF(INVESTORS_LIST[[#This Row],[LS_TOTAL UNITS SOLD]]=0,0,SUMIFS(LS[Cost of Units Sold],LS[Investor ID],INVESTORS_LIST[[#This Row],[INVESTOR CODE]],LS[B/S],"S"))</f>
        <v>0</v>
      </c>
      <c r="J69" s="6">
        <f>IF(INVESTORS_LIST[[#This Row],[LS_TOTAL CURRENT UNITS]]=0,0,INVESTORS_LIST[[#This Row],[LS_TOTAL CURRENT UNITS]]*INVESTORS_LIST[[#This Row],[LS_AVERAGE COST]])</f>
        <v>1060812</v>
      </c>
      <c r="K69" s="4">
        <f>IF(INVESTORS_LIST[[#This Row],[LS_TOTAL UNITS SOLD]]=0,0,SUMIFS(LS[Realized Gain],LS[Investor ID],INVESTORS_LIST[[#This Row],[INVESTOR CODE]],LS[B/S],"S"))</f>
        <v>0</v>
      </c>
      <c r="L69" s="2">
        <f>SUMIFS(SIP[Unit],SIP[Investor ID],INVESTORS_LIST[[#This Row],[INVESTOR CODE]],SIP[B/S],"B")</f>
        <v>0</v>
      </c>
      <c r="M69" s="2">
        <f>-SUMIFS(SIP[Unit],SIP[Investor ID],INVESTORS_LIST[[#This Row],[INVESTOR CODE]],SIP[B/S],"S")</f>
        <v>0</v>
      </c>
      <c r="N69" s="33">
        <f>IF(INVESTORS_LIST[[#This Row],[SIP_TOTAL UNITS BUY]]=0,0,INVESTORS_LIST[[#This Row],[SIP_TOTAL UNITS BUY]]-INVESTORS_LIST[[#This Row],[SIP_TOTAL UNITS SOLD]])</f>
        <v>0</v>
      </c>
      <c r="O69" s="4">
        <f>IF(INVESTORS_LIST[[#This Row],[SIP_TOTAL UNITS BUY]]=0,0,SUMIFS(SIP[Amount],SIP[Investor ID],INVESTORS_LIST[[#This Row],[INVESTOR CODE]],SIP[B/S],"B"))</f>
        <v>0</v>
      </c>
      <c r="P69" s="4">
        <f>IF(INVESTORS_LIST[[#This Row],[SIP_TOTAL UNITS SOLD]]=0,0,SUMIFS(SIP[Cost of Units Sold],SIP[Investor ID],INVESTORS_LIST[[#This Row],[INVESTOR CODE]],SIP[B/S],"S"))</f>
        <v>0</v>
      </c>
      <c r="Q69" s="6">
        <f>IF(INVESTORS_LIST[[#This Row],[SIP_TOTAL CURRENT UNITS]]=0,0,INVESTORS_LIST[[#This Row],[SIP_TOTAL CURRENT UNITS]]*INVESTORS_LIST[[#This Row],[SIP_AVERAGE COST]])</f>
        <v>0</v>
      </c>
      <c r="R69" s="6">
        <f>IF(INVESTORS_LIST[[#This Row],[SIP_TOTAL UNITS SOLD]]=0,0,SUMIFS(SIP[Realized Gain],SIP[Investor ID],INVESTORS_LIST[[#This Row],[INVESTOR CODE]],SIP[B/S],"S"))</f>
        <v>0</v>
      </c>
      <c r="S69" s="33">
        <f>INVESTORS_LIST[[#This Row],[LS_TOTAL UNITS BUY]]+INVESTORS_LIST[[#This Row],[SIP_TOTAL UNITS BUY]]</f>
        <v>105903</v>
      </c>
      <c r="T69" s="33">
        <f>INVESTORS_LIST[[#This Row],[LS_TOTAL UNITS SOLD]]+INVESTORS_LIST[[#This Row],[SIP_TOTAL UNITS SOLD]]</f>
        <v>0</v>
      </c>
      <c r="U69" s="33">
        <v>102030</v>
      </c>
      <c r="V69" s="33">
        <f>SUMIFS(LS[BO UNIT TRANSFER],LS[Investor ID],INVESTORS_LIST[[#This Row],[INVESTOR CODE]],LS[B/S],"B")</f>
        <v>0</v>
      </c>
      <c r="W69" s="33">
        <f>SUMIFS(LS[BO UNIT TRANSFER],LS[Investor ID],INVESTORS_LIST[[#This Row],[INVESTOR CODE]],LS[B/S],"S")</f>
        <v>0</v>
      </c>
      <c r="X69" s="33">
        <f>SUMIFS(SIP[BO UNIT TRANSFER],SIP[Investor ID],INVESTORS_LIST[[#This Row],[INVESTOR CODE]],SIP[B/S],"S")</f>
        <v>0</v>
      </c>
      <c r="Y69" s="33">
        <f>SUMIFS(SIP[BO UNIT TRANSFER],SIP[Investor ID],INVESTORS_LIST[[#This Row],[INVESTOR CODE]],SIP[B/S],"B")</f>
        <v>0</v>
      </c>
      <c r="Z6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102030</v>
      </c>
      <c r="AA69" s="119">
        <f>INVESTORS_LIST[[#This Row],[TOTAL UNITS BUY]]-INVESTORS_LIST[[#This Row],[TOTAL UNITS SOLD]]</f>
        <v>105903</v>
      </c>
      <c r="AB69" s="119">
        <f>INVESTORS_LIST[[#This Row],[TOTAL CURRENT UNITS]]-INVESTORS_LIST[[#This Row],[BO UNITS HOLD]]</f>
        <v>3873</v>
      </c>
      <c r="AC69" s="119" t="e">
        <f>INDEX([4]!Table_1[BO ID],MATCH(INVESTORS_LIST[[#This Row],[INVESTOR CODE]],[4]!Table_1[INVESTOR CODE],0))</f>
        <v>#REF!</v>
      </c>
      <c r="AD69" s="33">
        <f>INVESTORS_LIST[[#This Row],[LS_TOTAL COST VALUE OF CURRENT UNITS]]+INVESTORS_LIST[[#This Row],[SIP_TOTAL COST VALUE OF CURRENT UNITS]]</f>
        <v>1060812</v>
      </c>
      <c r="AE69" s="44">
        <f>IF(INVESTORS_LIST[[#This Row],[TOTAL CURRENT UNITS]]=0,0,INVESTORS_LIST[[#This Row],[LS_TOTAL CURRENT UNITS]]/INVESTORS_LIST[[#This Row],[TOTAL CURRENT UNITS]])</f>
        <v>1</v>
      </c>
      <c r="AF69" s="44">
        <f>IF(INVESTORS_LIST[[#This Row],[TOTAL CURRENT UNITS]]=0,0,INVESTORS_LIST[[#This Row],[SIP_TOTAL CURRENT UNITS]]/INVESTORS_LIST[[#This Row],[TOTAL CURRENT UNITS]])</f>
        <v>0</v>
      </c>
      <c r="AG69" s="4" cm="1">
        <f t="array" ref="AG69">IF(INVESTORS_LIST[[#This Row],[LS_TOTAL UNITS BUY]]&gt;0,INDEX(LS[NAV at Cost (Average)],MATCH(CONCATENATE(COUNTIFS(LS[Investor ID],INVESTORS_LIST[[#This Row],[INVESTOR CODE]]),INVESTORS_LIST[[#This Row],[INVESTOR CODE]]),LS[Unique Code],0),),0)</f>
        <v>10.016826718789837</v>
      </c>
      <c r="AH69" s="4" cm="1">
        <f t="array" ref="AH6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9" s="178">
        <f>IF(INVESTORS_LIST[[#This Row],[TOTAL CURRENT UNITS]]=0,0,(INVESTORS_LIST[[#This Row],[LS_WEIGHT]]*INVESTORS_LIST[[#This Row],[LS_AVERAGE COST]])+(INVESTORS_LIST[[#This Row],[SIP_WEIGHT]]*INVESTORS_LIST[[#This Row],[SIP_AVERAGE COST]]))</f>
        <v>10.016826718789837</v>
      </c>
      <c r="AJ69" s="178">
        <f t="shared" si="1"/>
        <v>12.552</v>
      </c>
      <c r="AK69" s="118">
        <f>IF(INVESTORS_LIST[[#This Row],[TOTAL CURRENT UNITS]]=0,0,INVESTORS_LIST[[#This Row],[TOTAL CURRENT UNITS]]*INVESTORS_LIST[[#This Row],[NAV]])</f>
        <v>1329294.456</v>
      </c>
      <c r="AL69" s="4">
        <f>IF(INVESTORS_LIST[[#This Row],[LS_TOTAL CURRENT UNITS]]=0,0,INVESTORS_LIST[[#This Row],[LS_TOTAL CURRENT UNITS]]*INVESTORS_LIST[[#This Row],[NAV]])</f>
        <v>1329294.456</v>
      </c>
      <c r="AM69" s="6">
        <f>IF(INVESTORS_LIST[[#This Row],[SIP_TOTAL CURRENT UNITS]]=0,0,INVESTORS_LIST[[#This Row],[SIP_TOTAL CURRENT UNITS]]*INVESTORS_LIST[[#This Row],[NAV]])</f>
        <v>0</v>
      </c>
      <c r="AO69" s="6">
        <f>IF(INVESTORS_LIST[[#This Row],[TOTAL SELLABLE UNITS]]=0,0,INVESTORS_LIST[[#This Row],[TOTAL SELLABLE UNITS]]*INVESTORS_LIST[[#This Row],[NAV]])</f>
        <v>0</v>
      </c>
      <c r="AP69" s="6">
        <f>INVESTORS_LIST[[#This Row],[LS_TOTAL REALIZED GAIN]]+INVESTORS_LIST[[#This Row],[SIP_TOTAL REALIZED GAIN]]</f>
        <v>0</v>
      </c>
      <c r="AQ69" s="6">
        <f>INVESTORS_LIST[[#This Row],[TOTAL MARKET VALUE]]-INVESTORS_LIST[[#This Row],[TOTAL COST VALUE OF CURRENT INVESTMENT]]</f>
        <v>268482.45600000001</v>
      </c>
      <c r="AR69" s="6">
        <f>SUMIFS(DivAndTax[Tax Amount],DivAndTax[Investor ID],INVESTORS_LIST[[#This Row],[INVESTOR CODE]])</f>
        <v>22616.21</v>
      </c>
      <c r="AS69" s="6">
        <f>SUMIFS(DivAndTax[Gross Dividend],DivAndTax[Investor ID],INVESTORS_LIST[[#This Row],[INVESTOR CODE]])</f>
        <v>113081.04999999999</v>
      </c>
      <c r="AT69" s="5">
        <f>IFERROR(INVESTORS_LIST[[#This Row],[TOTAL CURRENT UNITS]]/SUM(INVESTORS_LIST[TOTAL CURRENT UNITS]),0)</f>
        <v>5.077501866971877E-3</v>
      </c>
    </row>
    <row r="70" spans="1:46" hidden="1">
      <c r="A70" t="s">
        <v>544</v>
      </c>
      <c r="B70" t="s">
        <v>78</v>
      </c>
      <c r="C70" t="s">
        <v>538</v>
      </c>
      <c r="D70" s="8" t="s">
        <v>2</v>
      </c>
      <c r="E70" s="2">
        <f>SUMIFS(LS[Unit],LS[Investor ID],INVESTORS_LIST[[#This Row],[INVESTOR CODE]],LS[B/S],"B")</f>
        <v>5108</v>
      </c>
      <c r="F70" s="2">
        <f>-SUMIFS(LS[Unit],LS[Investor ID],INVESTORS_LIST[[#This Row],[INVESTOR CODE]],LS[B/S],"S")</f>
        <v>5108</v>
      </c>
      <c r="G70" s="2">
        <f>IF(INVESTORS_LIST[[#This Row],[LS_TOTAL UNITS BUY]]=0,0,INVESTORS_LIST[[#This Row],[LS_TOTAL UNITS BUY]]-INVESTORS_LIST[[#This Row],[LS_TOTAL UNITS SOLD]])</f>
        <v>0</v>
      </c>
      <c r="H70" s="4">
        <f>IF(INVESTORS_LIST[[#This Row],[LS_TOTAL UNITS BUY]]=0,0,SUMIFS(LS[Amount],LS[Investor ID],INVESTORS_LIST[[#This Row],[INVESTOR CODE]],LS[B/S],"B"))</f>
        <v>51062.5</v>
      </c>
      <c r="I70" s="6">
        <f>IF(INVESTORS_LIST[[#This Row],[LS_TOTAL UNITS SOLD]]=0,0,SUMIFS(LS[Cost of Units Sold],LS[Investor ID],INVESTORS_LIST[[#This Row],[INVESTOR CODE]],LS[B/S],"S"))</f>
        <v>51062.500000000007</v>
      </c>
      <c r="J70" s="6">
        <f>IF(INVESTORS_LIST[[#This Row],[LS_TOTAL CURRENT UNITS]]=0,0,INVESTORS_LIST[[#This Row],[LS_TOTAL CURRENT UNITS]]*INVESTORS_LIST[[#This Row],[LS_AVERAGE COST]])</f>
        <v>0</v>
      </c>
      <c r="K70" s="4">
        <f>IF(INVESTORS_LIST[[#This Row],[LS_TOTAL UNITS SOLD]]=0,0,SUMIFS(LS[Realized Gain],LS[Investor ID],INVESTORS_LIST[[#This Row],[INVESTOR CODE]],LS[B/S],"S"))</f>
        <v>-1152.2300000000059</v>
      </c>
      <c r="L70" s="2">
        <f>SUMIFS(SIP[Unit],SIP[Investor ID],INVESTORS_LIST[[#This Row],[INVESTOR CODE]],SIP[B/S],"B")</f>
        <v>0</v>
      </c>
      <c r="M70" s="2">
        <f>-SUMIFS(SIP[Unit],SIP[Investor ID],INVESTORS_LIST[[#This Row],[INVESTOR CODE]],SIP[B/S],"S")</f>
        <v>0</v>
      </c>
      <c r="N70" s="33">
        <f>IF(INVESTORS_LIST[[#This Row],[SIP_TOTAL UNITS BUY]]=0,0,INVESTORS_LIST[[#This Row],[SIP_TOTAL UNITS BUY]]-INVESTORS_LIST[[#This Row],[SIP_TOTAL UNITS SOLD]])</f>
        <v>0</v>
      </c>
      <c r="O70" s="4">
        <f>IF(INVESTORS_LIST[[#This Row],[SIP_TOTAL UNITS BUY]]=0,0,SUMIFS(SIP[Amount],SIP[Investor ID],INVESTORS_LIST[[#This Row],[INVESTOR CODE]],SIP[B/S],"B"))</f>
        <v>0</v>
      </c>
      <c r="P70" s="4">
        <f>IF(INVESTORS_LIST[[#This Row],[SIP_TOTAL UNITS SOLD]]=0,0,SUMIFS(SIP[Cost of Units Sold],SIP[Investor ID],INVESTORS_LIST[[#This Row],[INVESTOR CODE]],SIP[B/S],"S"))</f>
        <v>0</v>
      </c>
      <c r="Q70" s="6">
        <f>IF(INVESTORS_LIST[[#This Row],[SIP_TOTAL CURRENT UNITS]]=0,0,INVESTORS_LIST[[#This Row],[SIP_TOTAL CURRENT UNITS]]*INVESTORS_LIST[[#This Row],[SIP_AVERAGE COST]])</f>
        <v>0</v>
      </c>
      <c r="R70" s="6">
        <f>IF(INVESTORS_LIST[[#This Row],[SIP_TOTAL UNITS SOLD]]=0,0,SUMIFS(SIP[Realized Gain],SIP[Investor ID],INVESTORS_LIST[[#This Row],[INVESTOR CODE]],SIP[B/S],"S"))</f>
        <v>0</v>
      </c>
      <c r="S70" s="33">
        <f>INVESTORS_LIST[[#This Row],[LS_TOTAL UNITS BUY]]+INVESTORS_LIST[[#This Row],[SIP_TOTAL UNITS BUY]]</f>
        <v>5108</v>
      </c>
      <c r="T70" s="33">
        <f>INVESTORS_LIST[[#This Row],[LS_TOTAL UNITS SOLD]]+INVESTORS_LIST[[#This Row],[SIP_TOTAL UNITS SOLD]]</f>
        <v>5108</v>
      </c>
      <c r="U70" s="33">
        <v>0</v>
      </c>
      <c r="V70" s="33">
        <f>SUMIFS(LS[BO UNIT TRANSFER],LS[Investor ID],INVESTORS_LIST[[#This Row],[INVESTOR CODE]],LS[B/S],"B")</f>
        <v>0</v>
      </c>
      <c r="W70" s="33">
        <f>SUMIFS(LS[BO UNIT TRANSFER],LS[Investor ID],INVESTORS_LIST[[#This Row],[INVESTOR CODE]],LS[B/S],"S")</f>
        <v>0</v>
      </c>
      <c r="X70" s="33">
        <f>SUMIFS(SIP[BO UNIT TRANSFER],SIP[Investor ID],INVESTORS_LIST[[#This Row],[INVESTOR CODE]],SIP[B/S],"S")</f>
        <v>0</v>
      </c>
      <c r="Y70" s="33">
        <f>SUMIFS(SIP[BO UNIT TRANSFER],SIP[Investor ID],INVESTORS_LIST[[#This Row],[INVESTOR CODE]],SIP[B/S],"B")</f>
        <v>0</v>
      </c>
      <c r="Z7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0" s="119">
        <f>INVESTORS_LIST[[#This Row],[TOTAL UNITS BUY]]-INVESTORS_LIST[[#This Row],[TOTAL UNITS SOLD]]</f>
        <v>0</v>
      </c>
      <c r="AB70" s="119">
        <f>INVESTORS_LIST[[#This Row],[TOTAL CURRENT UNITS]]-INVESTORS_LIST[[#This Row],[BO UNITS HOLD]]</f>
        <v>0</v>
      </c>
      <c r="AC70" s="119" t="e">
        <f>INDEX([4]!Table_1[BO ID],MATCH(INVESTORS_LIST[[#This Row],[INVESTOR CODE]],[4]!Table_1[INVESTOR CODE],0))</f>
        <v>#REF!</v>
      </c>
      <c r="AD70" s="33">
        <f>INVESTORS_LIST[[#This Row],[LS_TOTAL COST VALUE OF CURRENT UNITS]]+INVESTORS_LIST[[#This Row],[SIP_TOTAL COST VALUE OF CURRENT UNITS]]</f>
        <v>0</v>
      </c>
      <c r="AE70" s="44">
        <f>IF(INVESTORS_LIST[[#This Row],[TOTAL CURRENT UNITS]]=0,0,INVESTORS_LIST[[#This Row],[LS_TOTAL CURRENT UNITS]]/INVESTORS_LIST[[#This Row],[TOTAL CURRENT UNITS]])</f>
        <v>0</v>
      </c>
      <c r="AF70" s="44">
        <f>IF(INVESTORS_LIST[[#This Row],[TOTAL CURRENT UNITS]]=0,0,INVESTORS_LIST[[#This Row],[SIP_TOTAL CURRENT UNITS]]/INVESTORS_LIST[[#This Row],[TOTAL CURRENT UNITS]])</f>
        <v>0</v>
      </c>
      <c r="AG70" s="4" cm="1">
        <f t="array" ref="AG7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0" s="4" cm="1">
        <f t="array" ref="AH7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0" s="178">
        <f t="shared" si="1"/>
        <v>12.552</v>
      </c>
      <c r="AK70" s="118">
        <f>IF(INVESTORS_LIST[[#This Row],[TOTAL CURRENT UNITS]]=0,0,INVESTORS_LIST[[#This Row],[TOTAL CURRENT UNITS]]*INVESTORS_LIST[[#This Row],[NAV]])</f>
        <v>0</v>
      </c>
      <c r="AL70" s="4">
        <f>IF(INVESTORS_LIST[[#This Row],[LS_TOTAL CURRENT UNITS]]=0,0,INVESTORS_LIST[[#This Row],[LS_TOTAL CURRENT UNITS]]*INVESTORS_LIST[[#This Row],[NAV]])</f>
        <v>0</v>
      </c>
      <c r="AM70" s="6">
        <f>IF(INVESTORS_LIST[[#This Row],[SIP_TOTAL CURRENT UNITS]]=0,0,INVESTORS_LIST[[#This Row],[SIP_TOTAL CURRENT UNITS]]*INVESTORS_LIST[[#This Row],[NAV]])</f>
        <v>0</v>
      </c>
      <c r="AO70" s="6">
        <f>IF(INVESTORS_LIST[[#This Row],[TOTAL SELLABLE UNITS]]=0,0,INVESTORS_LIST[[#This Row],[TOTAL SELLABLE UNITS]]*INVESTORS_LIST[[#This Row],[NAV]])</f>
        <v>0</v>
      </c>
      <c r="AP70" s="6">
        <f>INVESTORS_LIST[[#This Row],[LS_TOTAL REALIZED GAIN]]+INVESTORS_LIST[[#This Row],[SIP_TOTAL REALIZED GAIN]]</f>
        <v>-1152.2300000000059</v>
      </c>
      <c r="AQ70" s="6">
        <f>INVESTORS_LIST[[#This Row],[TOTAL MARKET VALUE]]-INVESTORS_LIST[[#This Row],[TOTAL COST VALUE OF CURRENT INVESTMENT]]</f>
        <v>0</v>
      </c>
      <c r="AR70" s="6">
        <f>SUMIFS(DivAndTax[Tax Amount],DivAndTax[Investor ID],INVESTORS_LIST[[#This Row],[INVESTOR CODE]])</f>
        <v>187.5</v>
      </c>
      <c r="AS70" s="6">
        <f>SUMIFS(DivAndTax[Gross Dividend],DivAndTax[Investor ID],INVESTORS_LIST[[#This Row],[INVESTOR CODE]])</f>
        <v>1250</v>
      </c>
      <c r="AT70" s="5">
        <f>IFERROR(INVESTORS_LIST[[#This Row],[TOTAL CURRENT UNITS]]/SUM(INVESTORS_LIST[TOTAL CURRENT UNITS]),0)</f>
        <v>0</v>
      </c>
    </row>
    <row r="71" spans="1:46" hidden="1">
      <c r="A71" t="s">
        <v>769</v>
      </c>
      <c r="B71" t="s">
        <v>79</v>
      </c>
      <c r="C71" t="s">
        <v>536</v>
      </c>
      <c r="D71" s="8" t="s">
        <v>2</v>
      </c>
      <c r="E71" s="2">
        <f>SUMIFS(LS[Unit],LS[Investor ID],INVESTORS_LIST[[#This Row],[INVESTOR CODE]],LS[B/S],"B")</f>
        <v>0</v>
      </c>
      <c r="F71" s="2">
        <f>-SUMIFS(LS[Unit],LS[Investor ID],INVESTORS_LIST[[#This Row],[INVESTOR CODE]],LS[B/S],"S")</f>
        <v>0</v>
      </c>
      <c r="G71" s="2">
        <f>IF(INVESTORS_LIST[[#This Row],[LS_TOTAL UNITS BUY]]=0,0,INVESTORS_LIST[[#This Row],[LS_TOTAL UNITS BUY]]-INVESTORS_LIST[[#This Row],[LS_TOTAL UNITS SOLD]])</f>
        <v>0</v>
      </c>
      <c r="H71" s="4">
        <f>IF(INVESTORS_LIST[[#This Row],[LS_TOTAL UNITS BUY]]=0,0,SUMIFS(LS[Amount],LS[Investor ID],INVESTORS_LIST[[#This Row],[INVESTOR CODE]],LS[B/S],"B"))</f>
        <v>0</v>
      </c>
      <c r="I71" s="6">
        <f>IF(INVESTORS_LIST[[#This Row],[LS_TOTAL UNITS SOLD]]=0,0,SUMIFS(LS[Cost of Units Sold],LS[Investor ID],INVESTORS_LIST[[#This Row],[INVESTOR CODE]],LS[B/S],"S"))</f>
        <v>0</v>
      </c>
      <c r="J71" s="6">
        <f>IF(INVESTORS_LIST[[#This Row],[LS_TOTAL CURRENT UNITS]]=0,0,INVESTORS_LIST[[#This Row],[LS_TOTAL CURRENT UNITS]]*INVESTORS_LIST[[#This Row],[LS_AVERAGE COST]])</f>
        <v>0</v>
      </c>
      <c r="K71" s="4">
        <f>IF(INVESTORS_LIST[[#This Row],[LS_TOTAL UNITS SOLD]]=0,0,SUMIFS(LS[Realized Gain],LS[Investor ID],INVESTORS_LIST[[#This Row],[INVESTOR CODE]],LS[B/S],"S"))</f>
        <v>0</v>
      </c>
      <c r="L71" s="2">
        <f>SUMIFS(SIP[Unit],SIP[Investor ID],INVESTORS_LIST[[#This Row],[INVESTOR CODE]],SIP[B/S],"B")</f>
        <v>0</v>
      </c>
      <c r="M71" s="2">
        <f>-SUMIFS(SIP[Unit],SIP[Investor ID],INVESTORS_LIST[[#This Row],[INVESTOR CODE]],SIP[B/S],"S")</f>
        <v>0</v>
      </c>
      <c r="N71" s="33">
        <f>IF(INVESTORS_LIST[[#This Row],[SIP_TOTAL UNITS BUY]]=0,0,INVESTORS_LIST[[#This Row],[SIP_TOTAL UNITS BUY]]-INVESTORS_LIST[[#This Row],[SIP_TOTAL UNITS SOLD]])</f>
        <v>0</v>
      </c>
      <c r="O71" s="4">
        <f>IF(INVESTORS_LIST[[#This Row],[SIP_TOTAL UNITS BUY]]=0,0,SUMIFS(SIP[Amount],SIP[Investor ID],INVESTORS_LIST[[#This Row],[INVESTOR CODE]],SIP[B/S],"B"))</f>
        <v>0</v>
      </c>
      <c r="P71" s="4">
        <f>IF(INVESTORS_LIST[[#This Row],[SIP_TOTAL UNITS SOLD]]=0,0,SUMIFS(SIP[Cost of Units Sold],SIP[Investor ID],INVESTORS_LIST[[#This Row],[INVESTOR CODE]],SIP[B/S],"S"))</f>
        <v>0</v>
      </c>
      <c r="Q71" s="6">
        <f>IF(INVESTORS_LIST[[#This Row],[SIP_TOTAL CURRENT UNITS]]=0,0,INVESTORS_LIST[[#This Row],[SIP_TOTAL CURRENT UNITS]]*INVESTORS_LIST[[#This Row],[SIP_AVERAGE COST]])</f>
        <v>0</v>
      </c>
      <c r="R71" s="6">
        <f>IF(INVESTORS_LIST[[#This Row],[SIP_TOTAL UNITS SOLD]]=0,0,SUMIFS(SIP[Realized Gain],SIP[Investor ID],INVESTORS_LIST[[#This Row],[INVESTOR CODE]],SIP[B/S],"S"))</f>
        <v>0</v>
      </c>
      <c r="S71" s="33">
        <f>INVESTORS_LIST[[#This Row],[LS_TOTAL UNITS BUY]]+INVESTORS_LIST[[#This Row],[SIP_TOTAL UNITS BUY]]</f>
        <v>0</v>
      </c>
      <c r="T71" s="33">
        <f>INVESTORS_LIST[[#This Row],[LS_TOTAL UNITS SOLD]]+INVESTORS_LIST[[#This Row],[SIP_TOTAL UNITS SOLD]]</f>
        <v>0</v>
      </c>
      <c r="U71" s="33">
        <v>0</v>
      </c>
      <c r="V71" s="33">
        <f>SUMIFS(LS[BO UNIT TRANSFER],LS[Investor ID],INVESTORS_LIST[[#This Row],[INVESTOR CODE]],LS[B/S],"B")</f>
        <v>0</v>
      </c>
      <c r="W71" s="33">
        <f>SUMIFS(LS[BO UNIT TRANSFER],LS[Investor ID],INVESTORS_LIST[[#This Row],[INVESTOR CODE]],LS[B/S],"S")</f>
        <v>0</v>
      </c>
      <c r="X71" s="33">
        <f>SUMIFS(SIP[BO UNIT TRANSFER],SIP[Investor ID],INVESTORS_LIST[[#This Row],[INVESTOR CODE]],SIP[B/S],"S")</f>
        <v>0</v>
      </c>
      <c r="Y71" s="33">
        <f>SUMIFS(SIP[BO UNIT TRANSFER],SIP[Investor ID],INVESTORS_LIST[[#This Row],[INVESTOR CODE]],SIP[B/S],"B")</f>
        <v>0</v>
      </c>
      <c r="Z7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1" s="119">
        <f>INVESTORS_LIST[[#This Row],[TOTAL UNITS BUY]]-INVESTORS_LIST[[#This Row],[TOTAL UNITS SOLD]]</f>
        <v>0</v>
      </c>
      <c r="AB71" s="119">
        <f>INVESTORS_LIST[[#This Row],[TOTAL CURRENT UNITS]]-INVESTORS_LIST[[#This Row],[BO UNITS HOLD]]</f>
        <v>0</v>
      </c>
      <c r="AC71" s="119" t="e">
        <f>INDEX([4]!Table_1[BO ID],MATCH(INVESTORS_LIST[[#This Row],[INVESTOR CODE]],[4]!Table_1[INVESTOR CODE],0))</f>
        <v>#REF!</v>
      </c>
      <c r="AD71" s="33">
        <f>INVESTORS_LIST[[#This Row],[LS_TOTAL COST VALUE OF CURRENT UNITS]]+INVESTORS_LIST[[#This Row],[SIP_TOTAL COST VALUE OF CURRENT UNITS]]</f>
        <v>0</v>
      </c>
      <c r="AE71" s="44">
        <f>IF(INVESTORS_LIST[[#This Row],[TOTAL CURRENT UNITS]]=0,0,INVESTORS_LIST[[#This Row],[LS_TOTAL CURRENT UNITS]]/INVESTORS_LIST[[#This Row],[TOTAL CURRENT UNITS]])</f>
        <v>0</v>
      </c>
      <c r="AF71" s="44">
        <f>IF(INVESTORS_LIST[[#This Row],[TOTAL CURRENT UNITS]]=0,0,INVESTORS_LIST[[#This Row],[SIP_TOTAL CURRENT UNITS]]/INVESTORS_LIST[[#This Row],[TOTAL CURRENT UNITS]])</f>
        <v>0</v>
      </c>
      <c r="AG71" s="4" cm="1">
        <f t="array" ref="AG7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1" s="4" cm="1">
        <f t="array" ref="AH7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1" s="178">
        <f t="shared" si="1"/>
        <v>12.552</v>
      </c>
      <c r="AK71" s="118">
        <f>IF(INVESTORS_LIST[[#This Row],[TOTAL CURRENT UNITS]]=0,0,INVESTORS_LIST[[#This Row],[TOTAL CURRENT UNITS]]*INVESTORS_LIST[[#This Row],[NAV]])</f>
        <v>0</v>
      </c>
      <c r="AL71" s="4">
        <f>IF(INVESTORS_LIST[[#This Row],[LS_TOTAL CURRENT UNITS]]=0,0,INVESTORS_LIST[[#This Row],[LS_TOTAL CURRENT UNITS]]*INVESTORS_LIST[[#This Row],[NAV]])</f>
        <v>0</v>
      </c>
      <c r="AM71" s="6">
        <f>IF(INVESTORS_LIST[[#This Row],[SIP_TOTAL CURRENT UNITS]]=0,0,INVESTORS_LIST[[#This Row],[SIP_TOTAL CURRENT UNITS]]*INVESTORS_LIST[[#This Row],[NAV]])</f>
        <v>0</v>
      </c>
      <c r="AO71" s="6">
        <f>IF(INVESTORS_LIST[[#This Row],[TOTAL SELLABLE UNITS]]=0,0,INVESTORS_LIST[[#This Row],[TOTAL SELLABLE UNITS]]*INVESTORS_LIST[[#This Row],[NAV]])</f>
        <v>0</v>
      </c>
      <c r="AP71" s="6">
        <f>INVESTORS_LIST[[#This Row],[LS_TOTAL REALIZED GAIN]]+INVESTORS_LIST[[#This Row],[SIP_TOTAL REALIZED GAIN]]</f>
        <v>0</v>
      </c>
      <c r="AQ71" s="6">
        <f>INVESTORS_LIST[[#This Row],[TOTAL MARKET VALUE]]-INVESTORS_LIST[[#This Row],[TOTAL COST VALUE OF CURRENT INVESTMENT]]</f>
        <v>0</v>
      </c>
      <c r="AR71" s="6">
        <f>SUMIFS(DivAndTax[Tax Amount],DivAndTax[Investor ID],INVESTORS_LIST[[#This Row],[INVESTOR CODE]])</f>
        <v>0</v>
      </c>
      <c r="AS71" s="6">
        <f>SUMIFS(DivAndTax[Gross Dividend],DivAndTax[Investor ID],INVESTORS_LIST[[#This Row],[INVESTOR CODE]])</f>
        <v>0</v>
      </c>
      <c r="AT71" s="5">
        <f>IFERROR(INVESTORS_LIST[[#This Row],[TOTAL CURRENT UNITS]]/SUM(INVESTORS_LIST[TOTAL CURRENT UNITS]),0)</f>
        <v>0</v>
      </c>
    </row>
    <row r="72" spans="1:46" hidden="1">
      <c r="A72" t="s">
        <v>770</v>
      </c>
      <c r="B72" t="s">
        <v>80</v>
      </c>
      <c r="C72" t="s">
        <v>536</v>
      </c>
      <c r="D72" s="8" t="s">
        <v>2</v>
      </c>
      <c r="E72" s="2">
        <f>SUMIFS(LS[Unit],LS[Investor ID],INVESTORS_LIST[[#This Row],[INVESTOR CODE]],LS[B/S],"B")</f>
        <v>0</v>
      </c>
      <c r="F72" s="2">
        <f>-SUMIFS(LS[Unit],LS[Investor ID],INVESTORS_LIST[[#This Row],[INVESTOR CODE]],LS[B/S],"S")</f>
        <v>0</v>
      </c>
      <c r="G72" s="2">
        <f>IF(INVESTORS_LIST[[#This Row],[LS_TOTAL UNITS BUY]]=0,0,INVESTORS_LIST[[#This Row],[LS_TOTAL UNITS BUY]]-INVESTORS_LIST[[#This Row],[LS_TOTAL UNITS SOLD]])</f>
        <v>0</v>
      </c>
      <c r="H72" s="4">
        <f>IF(INVESTORS_LIST[[#This Row],[LS_TOTAL UNITS BUY]]=0,0,SUMIFS(LS[Amount],LS[Investor ID],INVESTORS_LIST[[#This Row],[INVESTOR CODE]],LS[B/S],"B"))</f>
        <v>0</v>
      </c>
      <c r="I72" s="6">
        <f>IF(INVESTORS_LIST[[#This Row],[LS_TOTAL UNITS SOLD]]=0,0,SUMIFS(LS[Cost of Units Sold],LS[Investor ID],INVESTORS_LIST[[#This Row],[INVESTOR CODE]],LS[B/S],"S"))</f>
        <v>0</v>
      </c>
      <c r="J72" s="6">
        <f>IF(INVESTORS_LIST[[#This Row],[LS_TOTAL CURRENT UNITS]]=0,0,INVESTORS_LIST[[#This Row],[LS_TOTAL CURRENT UNITS]]*INVESTORS_LIST[[#This Row],[LS_AVERAGE COST]])</f>
        <v>0</v>
      </c>
      <c r="K72" s="4">
        <f>IF(INVESTORS_LIST[[#This Row],[LS_TOTAL UNITS SOLD]]=0,0,SUMIFS(LS[Realized Gain],LS[Investor ID],INVESTORS_LIST[[#This Row],[INVESTOR CODE]],LS[B/S],"S"))</f>
        <v>0</v>
      </c>
      <c r="L72" s="2">
        <f>SUMIFS(SIP[Unit],SIP[Investor ID],INVESTORS_LIST[[#This Row],[INVESTOR CODE]],SIP[B/S],"B")</f>
        <v>0</v>
      </c>
      <c r="M72" s="2">
        <f>-SUMIFS(SIP[Unit],SIP[Investor ID],INVESTORS_LIST[[#This Row],[INVESTOR CODE]],SIP[B/S],"S")</f>
        <v>0</v>
      </c>
      <c r="N72" s="33">
        <f>IF(INVESTORS_LIST[[#This Row],[SIP_TOTAL UNITS BUY]]=0,0,INVESTORS_LIST[[#This Row],[SIP_TOTAL UNITS BUY]]-INVESTORS_LIST[[#This Row],[SIP_TOTAL UNITS SOLD]])</f>
        <v>0</v>
      </c>
      <c r="O72" s="4">
        <f>IF(INVESTORS_LIST[[#This Row],[SIP_TOTAL UNITS BUY]]=0,0,SUMIFS(SIP[Amount],SIP[Investor ID],INVESTORS_LIST[[#This Row],[INVESTOR CODE]],SIP[B/S],"B"))</f>
        <v>0</v>
      </c>
      <c r="P72" s="4">
        <f>IF(INVESTORS_LIST[[#This Row],[SIP_TOTAL UNITS SOLD]]=0,0,SUMIFS(SIP[Cost of Units Sold],SIP[Investor ID],INVESTORS_LIST[[#This Row],[INVESTOR CODE]],SIP[B/S],"S"))</f>
        <v>0</v>
      </c>
      <c r="Q72" s="6">
        <f>IF(INVESTORS_LIST[[#This Row],[SIP_TOTAL CURRENT UNITS]]=0,0,INVESTORS_LIST[[#This Row],[SIP_TOTAL CURRENT UNITS]]*INVESTORS_LIST[[#This Row],[SIP_AVERAGE COST]])</f>
        <v>0</v>
      </c>
      <c r="R72" s="6">
        <f>IF(INVESTORS_LIST[[#This Row],[SIP_TOTAL UNITS SOLD]]=0,0,SUMIFS(SIP[Realized Gain],SIP[Investor ID],INVESTORS_LIST[[#This Row],[INVESTOR CODE]],SIP[B/S],"S"))</f>
        <v>0</v>
      </c>
      <c r="S72" s="33">
        <f>INVESTORS_LIST[[#This Row],[LS_TOTAL UNITS BUY]]+INVESTORS_LIST[[#This Row],[SIP_TOTAL UNITS BUY]]</f>
        <v>0</v>
      </c>
      <c r="T72" s="33">
        <f>INVESTORS_LIST[[#This Row],[LS_TOTAL UNITS SOLD]]+INVESTORS_LIST[[#This Row],[SIP_TOTAL UNITS SOLD]]</f>
        <v>0</v>
      </c>
      <c r="U72" s="33">
        <v>0</v>
      </c>
      <c r="V72" s="33">
        <f>SUMIFS(LS[BO UNIT TRANSFER],LS[Investor ID],INVESTORS_LIST[[#This Row],[INVESTOR CODE]],LS[B/S],"B")</f>
        <v>0</v>
      </c>
      <c r="W72" s="33">
        <f>SUMIFS(LS[BO UNIT TRANSFER],LS[Investor ID],INVESTORS_LIST[[#This Row],[INVESTOR CODE]],LS[B/S],"S")</f>
        <v>0</v>
      </c>
      <c r="X72" s="33">
        <f>SUMIFS(SIP[BO UNIT TRANSFER],SIP[Investor ID],INVESTORS_LIST[[#This Row],[INVESTOR CODE]],SIP[B/S],"S")</f>
        <v>0</v>
      </c>
      <c r="Y72" s="33">
        <f>SUMIFS(SIP[BO UNIT TRANSFER],SIP[Investor ID],INVESTORS_LIST[[#This Row],[INVESTOR CODE]],SIP[B/S],"B")</f>
        <v>0</v>
      </c>
      <c r="Z7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2" s="119">
        <f>INVESTORS_LIST[[#This Row],[TOTAL UNITS BUY]]-INVESTORS_LIST[[#This Row],[TOTAL UNITS SOLD]]</f>
        <v>0</v>
      </c>
      <c r="AB72" s="119">
        <f>INVESTORS_LIST[[#This Row],[TOTAL CURRENT UNITS]]-INVESTORS_LIST[[#This Row],[BO UNITS HOLD]]</f>
        <v>0</v>
      </c>
      <c r="AC72" s="119" t="e">
        <f>INDEX([4]!Table_1[BO ID],MATCH(INVESTORS_LIST[[#This Row],[INVESTOR CODE]],[4]!Table_1[INVESTOR CODE],0))</f>
        <v>#REF!</v>
      </c>
      <c r="AD72" s="33">
        <f>INVESTORS_LIST[[#This Row],[LS_TOTAL COST VALUE OF CURRENT UNITS]]+INVESTORS_LIST[[#This Row],[SIP_TOTAL COST VALUE OF CURRENT UNITS]]</f>
        <v>0</v>
      </c>
      <c r="AE72" s="44">
        <f>IF(INVESTORS_LIST[[#This Row],[TOTAL CURRENT UNITS]]=0,0,INVESTORS_LIST[[#This Row],[LS_TOTAL CURRENT UNITS]]/INVESTORS_LIST[[#This Row],[TOTAL CURRENT UNITS]])</f>
        <v>0</v>
      </c>
      <c r="AF72" s="44">
        <f>IF(INVESTORS_LIST[[#This Row],[TOTAL CURRENT UNITS]]=0,0,INVESTORS_LIST[[#This Row],[SIP_TOTAL CURRENT UNITS]]/INVESTORS_LIST[[#This Row],[TOTAL CURRENT UNITS]])</f>
        <v>0</v>
      </c>
      <c r="AG72" s="4" cm="1">
        <f t="array" ref="AG7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2" s="4" cm="1">
        <f t="array" ref="AH7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2" s="178">
        <f t="shared" si="1"/>
        <v>12.552</v>
      </c>
      <c r="AK72" s="118">
        <f>IF(INVESTORS_LIST[[#This Row],[TOTAL CURRENT UNITS]]=0,0,INVESTORS_LIST[[#This Row],[TOTAL CURRENT UNITS]]*INVESTORS_LIST[[#This Row],[NAV]])</f>
        <v>0</v>
      </c>
      <c r="AL72" s="4">
        <f>IF(INVESTORS_LIST[[#This Row],[LS_TOTAL CURRENT UNITS]]=0,0,INVESTORS_LIST[[#This Row],[LS_TOTAL CURRENT UNITS]]*INVESTORS_LIST[[#This Row],[NAV]])</f>
        <v>0</v>
      </c>
      <c r="AM72" s="6">
        <f>IF(INVESTORS_LIST[[#This Row],[SIP_TOTAL CURRENT UNITS]]=0,0,INVESTORS_LIST[[#This Row],[SIP_TOTAL CURRENT UNITS]]*INVESTORS_LIST[[#This Row],[NAV]])</f>
        <v>0</v>
      </c>
      <c r="AO72" s="6">
        <f>IF(INVESTORS_LIST[[#This Row],[TOTAL SELLABLE UNITS]]=0,0,INVESTORS_LIST[[#This Row],[TOTAL SELLABLE UNITS]]*INVESTORS_LIST[[#This Row],[NAV]])</f>
        <v>0</v>
      </c>
      <c r="AP72" s="6">
        <f>INVESTORS_LIST[[#This Row],[LS_TOTAL REALIZED GAIN]]+INVESTORS_LIST[[#This Row],[SIP_TOTAL REALIZED GAIN]]</f>
        <v>0</v>
      </c>
      <c r="AQ72" s="6">
        <f>INVESTORS_LIST[[#This Row],[TOTAL MARKET VALUE]]-INVESTORS_LIST[[#This Row],[TOTAL COST VALUE OF CURRENT INVESTMENT]]</f>
        <v>0</v>
      </c>
      <c r="AR72" s="6">
        <f>SUMIFS(DivAndTax[Tax Amount],DivAndTax[Investor ID],INVESTORS_LIST[[#This Row],[INVESTOR CODE]])</f>
        <v>0</v>
      </c>
      <c r="AS72" s="6">
        <f>SUMIFS(DivAndTax[Gross Dividend],DivAndTax[Investor ID],INVESTORS_LIST[[#This Row],[INVESTOR CODE]])</f>
        <v>0</v>
      </c>
      <c r="AT72" s="5">
        <f>IFERROR(INVESTORS_LIST[[#This Row],[TOTAL CURRENT UNITS]]/SUM(INVESTORS_LIST[TOTAL CURRENT UNITS]),0)</f>
        <v>0</v>
      </c>
    </row>
    <row r="73" spans="1:46">
      <c r="A73" t="s">
        <v>771</v>
      </c>
      <c r="B73" t="s">
        <v>81</v>
      </c>
      <c r="C73" t="s">
        <v>538</v>
      </c>
      <c r="D73" s="8" t="s">
        <v>2</v>
      </c>
      <c r="E73" s="2">
        <f>SUMIFS(LS[Unit],LS[Investor ID],INVESTORS_LIST[[#This Row],[INVESTOR CODE]],LS[B/S],"B")</f>
        <v>168151</v>
      </c>
      <c r="F73" s="2">
        <f>-SUMIFS(LS[Unit],LS[Investor ID],INVESTORS_LIST[[#This Row],[INVESTOR CODE]],LS[B/S],"S")</f>
        <v>47364</v>
      </c>
      <c r="G73" s="2">
        <f>IF(INVESTORS_LIST[[#This Row],[LS_TOTAL UNITS BUY]]=0,0,INVESTORS_LIST[[#This Row],[LS_TOTAL UNITS BUY]]-INVESTORS_LIST[[#This Row],[LS_TOTAL UNITS SOLD]])</f>
        <v>120787</v>
      </c>
      <c r="H73" s="4">
        <f>IF(INVESTORS_LIST[[#This Row],[LS_TOTAL UNITS BUY]]=0,0,SUMIFS(LS[Amount],LS[Investor ID],INVESTORS_LIST[[#This Row],[INVESTOR CODE]],LS[B/S],"B"))</f>
        <v>1783485.9000000001</v>
      </c>
      <c r="I73" s="6">
        <f>IF(INVESTORS_LIST[[#This Row],[LS_TOTAL UNITS SOLD]]=0,0,SUMIFS(LS[Cost of Units Sold],LS[Investor ID],INVESTORS_LIST[[#This Row],[INVESTOR CODE]],LS[B/S],"S"))</f>
        <v>474936.54159979138</v>
      </c>
      <c r="J73" s="6">
        <f>IF(INVESTORS_LIST[[#This Row],[LS_TOTAL CURRENT UNITS]]=0,0,INVESTORS_LIST[[#This Row],[LS_TOTAL CURRENT UNITS]]*INVESTORS_LIST[[#This Row],[LS_AVERAGE COST]])</f>
        <v>1308549.3584002086</v>
      </c>
      <c r="K73" s="4">
        <f>IF(INVESTORS_LIST[[#This Row],[LS_TOTAL UNITS SOLD]]=0,0,SUMIFS(LS[Realized Gain],LS[Investor ID],INVESTORS_LIST[[#This Row],[INVESTOR CODE]],LS[B/S],"S"))</f>
        <v>-553.46159979143647</v>
      </c>
      <c r="L73" s="2">
        <f>SUMIFS(SIP[Unit],SIP[Investor ID],INVESTORS_LIST[[#This Row],[INVESTOR CODE]],SIP[B/S],"B")</f>
        <v>0</v>
      </c>
      <c r="M73" s="2">
        <f>-SUMIFS(SIP[Unit],SIP[Investor ID],INVESTORS_LIST[[#This Row],[INVESTOR CODE]],SIP[B/S],"S")</f>
        <v>0</v>
      </c>
      <c r="N73" s="33">
        <f>IF(INVESTORS_LIST[[#This Row],[SIP_TOTAL UNITS BUY]]=0,0,INVESTORS_LIST[[#This Row],[SIP_TOTAL UNITS BUY]]-INVESTORS_LIST[[#This Row],[SIP_TOTAL UNITS SOLD]])</f>
        <v>0</v>
      </c>
      <c r="O73" s="4">
        <f>IF(INVESTORS_LIST[[#This Row],[SIP_TOTAL UNITS BUY]]=0,0,SUMIFS(SIP[Amount],SIP[Investor ID],INVESTORS_LIST[[#This Row],[INVESTOR CODE]],SIP[B/S],"B"))</f>
        <v>0</v>
      </c>
      <c r="P73" s="4">
        <f>IF(INVESTORS_LIST[[#This Row],[SIP_TOTAL UNITS SOLD]]=0,0,SUMIFS(SIP[Cost of Units Sold],SIP[Investor ID],INVESTORS_LIST[[#This Row],[INVESTOR CODE]],SIP[B/S],"S"))</f>
        <v>0</v>
      </c>
      <c r="Q73" s="6">
        <f>IF(INVESTORS_LIST[[#This Row],[SIP_TOTAL CURRENT UNITS]]=0,0,INVESTORS_LIST[[#This Row],[SIP_TOTAL CURRENT UNITS]]*INVESTORS_LIST[[#This Row],[SIP_AVERAGE COST]])</f>
        <v>0</v>
      </c>
      <c r="R73" s="6">
        <f>IF(INVESTORS_LIST[[#This Row],[SIP_TOTAL UNITS SOLD]]=0,0,SUMIFS(SIP[Realized Gain],SIP[Investor ID],INVESTORS_LIST[[#This Row],[INVESTOR CODE]],SIP[B/S],"S"))</f>
        <v>0</v>
      </c>
      <c r="S73" s="33">
        <f>INVESTORS_LIST[[#This Row],[LS_TOTAL UNITS BUY]]+INVESTORS_LIST[[#This Row],[SIP_TOTAL UNITS BUY]]</f>
        <v>168151</v>
      </c>
      <c r="T73" s="33">
        <f>INVESTORS_LIST[[#This Row],[LS_TOTAL UNITS SOLD]]+INVESTORS_LIST[[#This Row],[SIP_TOTAL UNITS SOLD]]</f>
        <v>47364</v>
      </c>
      <c r="U73" s="33">
        <v>0</v>
      </c>
      <c r="V73" s="33">
        <f>SUMIFS(LS[BO UNIT TRANSFER],LS[Investor ID],INVESTORS_LIST[[#This Row],[INVESTOR CODE]],LS[B/S],"B")</f>
        <v>168151</v>
      </c>
      <c r="W73" s="33">
        <f>SUMIFS(LS[BO UNIT TRANSFER],LS[Investor ID],INVESTORS_LIST[[#This Row],[INVESTOR CODE]],LS[B/S],"S")</f>
        <v>-47364</v>
      </c>
      <c r="X73" s="33">
        <f>SUMIFS(SIP[BO UNIT TRANSFER],SIP[Investor ID],INVESTORS_LIST[[#This Row],[INVESTOR CODE]],SIP[B/S],"S")</f>
        <v>0</v>
      </c>
      <c r="Y73" s="33">
        <f>SUMIFS(SIP[BO UNIT TRANSFER],SIP[Investor ID],INVESTORS_LIST[[#This Row],[INVESTOR CODE]],SIP[B/S],"B")</f>
        <v>0</v>
      </c>
      <c r="Z7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120787</v>
      </c>
      <c r="AA73" s="119">
        <f>INVESTORS_LIST[[#This Row],[TOTAL UNITS BUY]]-INVESTORS_LIST[[#This Row],[TOTAL UNITS SOLD]]</f>
        <v>120787</v>
      </c>
      <c r="AB73" s="119">
        <f>INVESTORS_LIST[[#This Row],[TOTAL CURRENT UNITS]]-INVESTORS_LIST[[#This Row],[BO UNITS HOLD]]</f>
        <v>0</v>
      </c>
      <c r="AC73" s="119" t="e">
        <f>INDEX([4]!Table_1[BO ID],MATCH(INVESTORS_LIST[[#This Row],[INVESTOR CODE]],[4]!Table_1[INVESTOR CODE],0))</f>
        <v>#REF!</v>
      </c>
      <c r="AD73" s="33">
        <f>INVESTORS_LIST[[#This Row],[LS_TOTAL COST VALUE OF CURRENT UNITS]]+INVESTORS_LIST[[#This Row],[SIP_TOTAL COST VALUE OF CURRENT UNITS]]</f>
        <v>1308549.3584002086</v>
      </c>
      <c r="AE73" s="44">
        <f>IF(INVESTORS_LIST[[#This Row],[TOTAL CURRENT UNITS]]=0,0,INVESTORS_LIST[[#This Row],[LS_TOTAL CURRENT UNITS]]/INVESTORS_LIST[[#This Row],[TOTAL CURRENT UNITS]])</f>
        <v>1</v>
      </c>
      <c r="AF73" s="44">
        <f>IF(INVESTORS_LIST[[#This Row],[TOTAL CURRENT UNITS]]=0,0,INVESTORS_LIST[[#This Row],[SIP_TOTAL CURRENT UNITS]]/INVESTORS_LIST[[#This Row],[TOTAL CURRENT UNITS]])</f>
        <v>0</v>
      </c>
      <c r="AG73" s="4" cm="1">
        <f t="array" ref="AG73">IF(INVESTORS_LIST[[#This Row],[LS_TOTAL UNITS BUY]]&gt;0,INDEX(LS[NAV at Cost (Average)],MATCH(CONCATENATE(COUNTIFS(LS[Investor ID],INVESTORS_LIST[[#This Row],[INVESTOR CODE]]),INVESTORS_LIST[[#This Row],[INVESTOR CODE]]),LS[Unique Code],0),),0)</f>
        <v>10.833528098224217</v>
      </c>
      <c r="AH73" s="4" cm="1">
        <f t="array" ref="AH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3" s="178">
        <f>IF(INVESTORS_LIST[[#This Row],[TOTAL CURRENT UNITS]]=0,0,(INVESTORS_LIST[[#This Row],[LS_WEIGHT]]*INVESTORS_LIST[[#This Row],[LS_AVERAGE COST]])+(INVESTORS_LIST[[#This Row],[SIP_WEIGHT]]*INVESTORS_LIST[[#This Row],[SIP_AVERAGE COST]]))</f>
        <v>10.833528098224217</v>
      </c>
      <c r="AJ73" s="178">
        <f t="shared" si="1"/>
        <v>12.552</v>
      </c>
      <c r="AK73" s="118">
        <f>IF(INVESTORS_LIST[[#This Row],[TOTAL CURRENT UNITS]]=0,0,INVESTORS_LIST[[#This Row],[TOTAL CURRENT UNITS]]*INVESTORS_LIST[[#This Row],[NAV]])</f>
        <v>1516118.4239999999</v>
      </c>
      <c r="AL73" s="4">
        <f>IF(INVESTORS_LIST[[#This Row],[LS_TOTAL CURRENT UNITS]]=0,0,INVESTORS_LIST[[#This Row],[LS_TOTAL CURRENT UNITS]]*INVESTORS_LIST[[#This Row],[NAV]])</f>
        <v>1516118.4239999999</v>
      </c>
      <c r="AM73" s="6">
        <f>IF(INVESTORS_LIST[[#This Row],[SIP_TOTAL CURRENT UNITS]]=0,0,INVESTORS_LIST[[#This Row],[SIP_TOTAL CURRENT UNITS]]*INVESTORS_LIST[[#This Row],[NAV]])</f>
        <v>0</v>
      </c>
      <c r="AO73" s="6">
        <f>IF(INVESTORS_LIST[[#This Row],[TOTAL SELLABLE UNITS]]=0,0,INVESTORS_LIST[[#This Row],[TOTAL SELLABLE UNITS]]*INVESTORS_LIST[[#This Row],[NAV]])</f>
        <v>0</v>
      </c>
      <c r="AP73" s="6">
        <f>INVESTORS_LIST[[#This Row],[LS_TOTAL REALIZED GAIN]]+INVESTORS_LIST[[#This Row],[SIP_TOTAL REALIZED GAIN]]</f>
        <v>-553.46159979143647</v>
      </c>
      <c r="AQ73" s="6">
        <f>INVESTORS_LIST[[#This Row],[TOTAL MARKET VALUE]]-INVESTORS_LIST[[#This Row],[TOTAL COST VALUE OF CURRENT INVESTMENT]]</f>
        <v>207569.06559979124</v>
      </c>
      <c r="AR73" s="6">
        <f>SUMIFS(DivAndTax[Tax Amount],DivAndTax[Investor ID],INVESTORS_LIST[[#This Row],[INVESTOR CODE]])</f>
        <v>13642.67</v>
      </c>
      <c r="AS73" s="6">
        <f>SUMIFS(DivAndTax[Gross Dividend],DivAndTax[Investor ID],INVESTORS_LIST[[#This Row],[INVESTOR CODE]])</f>
        <v>90951.1</v>
      </c>
      <c r="AT73" s="5">
        <f>IFERROR(INVESTORS_LIST[[#This Row],[TOTAL CURRENT UNITS]]/SUM(INVESTORS_LIST[TOTAL CURRENT UNITS]),0)</f>
        <v>5.7911127919504845E-3</v>
      </c>
    </row>
    <row r="74" spans="1:46" hidden="1">
      <c r="A74" t="s">
        <v>624</v>
      </c>
      <c r="B74" t="s">
        <v>82</v>
      </c>
      <c r="C74" t="s">
        <v>536</v>
      </c>
      <c r="D74" s="8" t="s">
        <v>2</v>
      </c>
      <c r="E74" s="2">
        <f>SUMIFS(LS[Unit],LS[Investor ID],INVESTORS_LIST[[#This Row],[INVESTOR CODE]],LS[B/S],"B")</f>
        <v>992261</v>
      </c>
      <c r="F74" s="2">
        <f>-SUMIFS(LS[Unit],LS[Investor ID],INVESTORS_LIST[[#This Row],[INVESTOR CODE]],LS[B/S],"S")</f>
        <v>992261</v>
      </c>
      <c r="G74" s="2">
        <f>IF(INVESTORS_LIST[[#This Row],[LS_TOTAL UNITS BUY]]=0,0,INVESTORS_LIST[[#This Row],[LS_TOTAL UNITS BUY]]-INVESTORS_LIST[[#This Row],[LS_TOTAL UNITS SOLD]])</f>
        <v>0</v>
      </c>
      <c r="H74" s="4">
        <f>IF(INVESTORS_LIST[[#This Row],[LS_TOTAL UNITS BUY]]=0,0,SUMIFS(LS[Amount],LS[Investor ID],INVESTORS_LIST[[#This Row],[INVESTOR CODE]],LS[B/S],"B"))</f>
        <v>10000000</v>
      </c>
      <c r="I74" s="6">
        <f>IF(INVESTORS_LIST[[#This Row],[LS_TOTAL UNITS SOLD]]=0,0,SUMIFS(LS[Cost of Units Sold],LS[Investor ID],INVESTORS_LIST[[#This Row],[INVESTOR CODE]],LS[B/S],"S"))</f>
        <v>10000000</v>
      </c>
      <c r="J74" s="6">
        <f>IF(INVESTORS_LIST[[#This Row],[LS_TOTAL CURRENT UNITS]]=0,0,INVESTORS_LIST[[#This Row],[LS_TOTAL CURRENT UNITS]]*INVESTORS_LIST[[#This Row],[LS_AVERAGE COST]])</f>
        <v>0</v>
      </c>
      <c r="K74" s="4">
        <f>IF(INVESTORS_LIST[[#This Row],[LS_TOTAL UNITS SOLD]]=0,0,SUMIFS(LS[Realized Gain],LS[Investor ID],INVESTORS_LIST[[#This Row],[INVESTOR CODE]],LS[B/S],"S"))</f>
        <v>956545.95999999857</v>
      </c>
      <c r="L74" s="2">
        <f>SUMIFS(SIP[Unit],SIP[Investor ID],INVESTORS_LIST[[#This Row],[INVESTOR CODE]],SIP[B/S],"B")</f>
        <v>0</v>
      </c>
      <c r="M74" s="2">
        <f>-SUMIFS(SIP[Unit],SIP[Investor ID],INVESTORS_LIST[[#This Row],[INVESTOR CODE]],SIP[B/S],"S")</f>
        <v>0</v>
      </c>
      <c r="N74" s="33">
        <f>IF(INVESTORS_LIST[[#This Row],[SIP_TOTAL UNITS BUY]]=0,0,INVESTORS_LIST[[#This Row],[SIP_TOTAL UNITS BUY]]-INVESTORS_LIST[[#This Row],[SIP_TOTAL UNITS SOLD]])</f>
        <v>0</v>
      </c>
      <c r="O74" s="4">
        <f>IF(INVESTORS_LIST[[#This Row],[SIP_TOTAL UNITS BUY]]=0,0,SUMIFS(SIP[Amount],SIP[Investor ID],INVESTORS_LIST[[#This Row],[INVESTOR CODE]],SIP[B/S],"B"))</f>
        <v>0</v>
      </c>
      <c r="P74" s="4">
        <f>IF(INVESTORS_LIST[[#This Row],[SIP_TOTAL UNITS SOLD]]=0,0,SUMIFS(SIP[Cost of Units Sold],SIP[Investor ID],INVESTORS_LIST[[#This Row],[INVESTOR CODE]],SIP[B/S],"S"))</f>
        <v>0</v>
      </c>
      <c r="Q74" s="6">
        <f>IF(INVESTORS_LIST[[#This Row],[SIP_TOTAL CURRENT UNITS]]=0,0,INVESTORS_LIST[[#This Row],[SIP_TOTAL CURRENT UNITS]]*INVESTORS_LIST[[#This Row],[SIP_AVERAGE COST]])</f>
        <v>0</v>
      </c>
      <c r="R74" s="6">
        <f>IF(INVESTORS_LIST[[#This Row],[SIP_TOTAL UNITS SOLD]]=0,0,SUMIFS(SIP[Realized Gain],SIP[Investor ID],INVESTORS_LIST[[#This Row],[INVESTOR CODE]],SIP[B/S],"S"))</f>
        <v>0</v>
      </c>
      <c r="S74" s="33">
        <f>INVESTORS_LIST[[#This Row],[LS_TOTAL UNITS BUY]]+INVESTORS_LIST[[#This Row],[SIP_TOTAL UNITS BUY]]</f>
        <v>992261</v>
      </c>
      <c r="T74" s="33">
        <f>INVESTORS_LIST[[#This Row],[LS_TOTAL UNITS SOLD]]+INVESTORS_LIST[[#This Row],[SIP_TOTAL UNITS SOLD]]</f>
        <v>992261</v>
      </c>
      <c r="U74" s="33">
        <v>0</v>
      </c>
      <c r="V74" s="33">
        <f>SUMIFS(LS[BO UNIT TRANSFER],LS[Investor ID],INVESTORS_LIST[[#This Row],[INVESTOR CODE]],LS[B/S],"B")</f>
        <v>0</v>
      </c>
      <c r="W74" s="33">
        <f>SUMIFS(LS[BO UNIT TRANSFER],LS[Investor ID],INVESTORS_LIST[[#This Row],[INVESTOR CODE]],LS[B/S],"S")</f>
        <v>0</v>
      </c>
      <c r="X74" s="33">
        <f>SUMIFS(SIP[BO UNIT TRANSFER],SIP[Investor ID],INVESTORS_LIST[[#This Row],[INVESTOR CODE]],SIP[B/S],"S")</f>
        <v>0</v>
      </c>
      <c r="Y74" s="33">
        <f>SUMIFS(SIP[BO UNIT TRANSFER],SIP[Investor ID],INVESTORS_LIST[[#This Row],[INVESTOR CODE]],SIP[B/S],"B")</f>
        <v>0</v>
      </c>
      <c r="Z7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4" s="119">
        <f>INVESTORS_LIST[[#This Row],[TOTAL UNITS BUY]]-INVESTORS_LIST[[#This Row],[TOTAL UNITS SOLD]]</f>
        <v>0</v>
      </c>
      <c r="AB74" s="119">
        <f>INVESTORS_LIST[[#This Row],[TOTAL CURRENT UNITS]]-INVESTORS_LIST[[#This Row],[BO UNITS HOLD]]</f>
        <v>0</v>
      </c>
      <c r="AC74" s="119" t="e">
        <f>INDEX([4]!Table_1[BO ID],MATCH(INVESTORS_LIST[[#This Row],[INVESTOR CODE]],[4]!Table_1[INVESTOR CODE],0))</f>
        <v>#REF!</v>
      </c>
      <c r="AD74" s="33">
        <f>INVESTORS_LIST[[#This Row],[LS_TOTAL COST VALUE OF CURRENT UNITS]]+INVESTORS_LIST[[#This Row],[SIP_TOTAL COST VALUE OF CURRENT UNITS]]</f>
        <v>0</v>
      </c>
      <c r="AE74" s="44">
        <f>IF(INVESTORS_LIST[[#This Row],[TOTAL CURRENT UNITS]]=0,0,INVESTORS_LIST[[#This Row],[LS_TOTAL CURRENT UNITS]]/INVESTORS_LIST[[#This Row],[TOTAL CURRENT UNITS]])</f>
        <v>0</v>
      </c>
      <c r="AF74" s="44">
        <f>IF(INVESTORS_LIST[[#This Row],[TOTAL CURRENT UNITS]]=0,0,INVESTORS_LIST[[#This Row],[SIP_TOTAL CURRENT UNITS]]/INVESTORS_LIST[[#This Row],[TOTAL CURRENT UNITS]])</f>
        <v>0</v>
      </c>
      <c r="AG74" s="4" cm="1">
        <f t="array" ref="AG7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4" s="4" cm="1">
        <f t="array" ref="AH7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4" s="178">
        <f t="shared" si="1"/>
        <v>12.552</v>
      </c>
      <c r="AK74" s="118">
        <f>IF(INVESTORS_LIST[[#This Row],[TOTAL CURRENT UNITS]]=0,0,INVESTORS_LIST[[#This Row],[TOTAL CURRENT UNITS]]*INVESTORS_LIST[[#This Row],[NAV]])</f>
        <v>0</v>
      </c>
      <c r="AL74" s="4">
        <f>IF(INVESTORS_LIST[[#This Row],[LS_TOTAL CURRENT UNITS]]=0,0,INVESTORS_LIST[[#This Row],[LS_TOTAL CURRENT UNITS]]*INVESTORS_LIST[[#This Row],[NAV]])</f>
        <v>0</v>
      </c>
      <c r="AM74" s="6">
        <f>IF(INVESTORS_LIST[[#This Row],[SIP_TOTAL CURRENT UNITS]]=0,0,INVESTORS_LIST[[#This Row],[SIP_TOTAL CURRENT UNITS]]*INVESTORS_LIST[[#This Row],[NAV]])</f>
        <v>0</v>
      </c>
      <c r="AO74" s="6">
        <f>IF(INVESTORS_LIST[[#This Row],[TOTAL SELLABLE UNITS]]=0,0,INVESTORS_LIST[[#This Row],[TOTAL SELLABLE UNITS]]*INVESTORS_LIST[[#This Row],[NAV]])</f>
        <v>0</v>
      </c>
      <c r="AP74" s="6">
        <f>INVESTORS_LIST[[#This Row],[LS_TOTAL REALIZED GAIN]]+INVESTORS_LIST[[#This Row],[SIP_TOTAL REALIZED GAIN]]</f>
        <v>956545.95999999857</v>
      </c>
      <c r="AQ74" s="6">
        <f>INVESTORS_LIST[[#This Row],[TOTAL MARKET VALUE]]-INVESTORS_LIST[[#This Row],[TOTAL COST VALUE OF CURRENT INVESTMENT]]</f>
        <v>0</v>
      </c>
      <c r="AR74" s="6">
        <f>SUMIFS(DivAndTax[Tax Amount],DivAndTax[Investor ID],INVESTORS_LIST[[#This Row],[INVESTOR CODE]])</f>
        <v>0</v>
      </c>
      <c r="AS74" s="6">
        <f>SUMIFS(DivAndTax[Gross Dividend],DivAndTax[Investor ID],INVESTORS_LIST[[#This Row],[INVESTOR CODE]])</f>
        <v>0</v>
      </c>
      <c r="AT74" s="5">
        <f>IFERROR(INVESTORS_LIST[[#This Row],[TOTAL CURRENT UNITS]]/SUM(INVESTORS_LIST[TOTAL CURRENT UNITS]),0)</f>
        <v>0</v>
      </c>
    </row>
    <row r="75" spans="1:46">
      <c r="A75" t="s">
        <v>772</v>
      </c>
      <c r="B75" t="s">
        <v>83</v>
      </c>
      <c r="C75" t="s">
        <v>537</v>
      </c>
      <c r="D75" s="8" t="s">
        <v>5</v>
      </c>
      <c r="E75" s="2">
        <f>SUMIFS(LS[Unit],LS[Investor ID],INVESTORS_LIST[[#This Row],[INVESTOR CODE]],LS[B/S],"B")</f>
        <v>250000</v>
      </c>
      <c r="F75" s="2">
        <f>-SUMIFS(LS[Unit],LS[Investor ID],INVESTORS_LIST[[#This Row],[INVESTOR CODE]],LS[B/S],"S")</f>
        <v>0</v>
      </c>
      <c r="G75" s="2">
        <f>IF(INVESTORS_LIST[[#This Row],[LS_TOTAL UNITS BUY]]=0,0,INVESTORS_LIST[[#This Row],[LS_TOTAL UNITS BUY]]-INVESTORS_LIST[[#This Row],[LS_TOTAL UNITS SOLD]])</f>
        <v>250000</v>
      </c>
      <c r="H75" s="4">
        <f>IF(INVESTORS_LIST[[#This Row],[LS_TOTAL UNITS BUY]]=0,0,SUMIFS(LS[Amount],LS[Investor ID],INVESTORS_LIST[[#This Row],[INVESTOR CODE]],LS[B/S],"B"))</f>
        <v>2500000</v>
      </c>
      <c r="I75" s="6">
        <f>IF(INVESTORS_LIST[[#This Row],[LS_TOTAL UNITS SOLD]]=0,0,SUMIFS(LS[Cost of Units Sold],LS[Investor ID],INVESTORS_LIST[[#This Row],[INVESTOR CODE]],LS[B/S],"S"))</f>
        <v>0</v>
      </c>
      <c r="J75" s="6">
        <f>IF(INVESTORS_LIST[[#This Row],[LS_TOTAL CURRENT UNITS]]=0,0,INVESTORS_LIST[[#This Row],[LS_TOTAL CURRENT UNITS]]*INVESTORS_LIST[[#This Row],[LS_AVERAGE COST]])</f>
        <v>2500000</v>
      </c>
      <c r="K75" s="4">
        <f>IF(INVESTORS_LIST[[#This Row],[LS_TOTAL UNITS SOLD]]=0,0,SUMIFS(LS[Realized Gain],LS[Investor ID],INVESTORS_LIST[[#This Row],[INVESTOR CODE]],LS[B/S],"S"))</f>
        <v>0</v>
      </c>
      <c r="L75" s="2">
        <f>SUMIFS(SIP[Unit],SIP[Investor ID],INVESTORS_LIST[[#This Row],[INVESTOR CODE]],SIP[B/S],"B")</f>
        <v>0</v>
      </c>
      <c r="M75" s="2">
        <f>-SUMIFS(SIP[Unit],SIP[Investor ID],INVESTORS_LIST[[#This Row],[INVESTOR CODE]],SIP[B/S],"S")</f>
        <v>0</v>
      </c>
      <c r="N75" s="33">
        <f>IF(INVESTORS_LIST[[#This Row],[SIP_TOTAL UNITS BUY]]=0,0,INVESTORS_LIST[[#This Row],[SIP_TOTAL UNITS BUY]]-INVESTORS_LIST[[#This Row],[SIP_TOTAL UNITS SOLD]])</f>
        <v>0</v>
      </c>
      <c r="O75" s="4">
        <f>IF(INVESTORS_LIST[[#This Row],[SIP_TOTAL UNITS BUY]]=0,0,SUMIFS(SIP[Amount],SIP[Investor ID],INVESTORS_LIST[[#This Row],[INVESTOR CODE]],SIP[B/S],"B"))</f>
        <v>0</v>
      </c>
      <c r="P75" s="4">
        <f>IF(INVESTORS_LIST[[#This Row],[SIP_TOTAL UNITS SOLD]]=0,0,SUMIFS(SIP[Cost of Units Sold],SIP[Investor ID],INVESTORS_LIST[[#This Row],[INVESTOR CODE]],SIP[B/S],"S"))</f>
        <v>0</v>
      </c>
      <c r="Q75" s="6">
        <f>IF(INVESTORS_LIST[[#This Row],[SIP_TOTAL CURRENT UNITS]]=0,0,INVESTORS_LIST[[#This Row],[SIP_TOTAL CURRENT UNITS]]*INVESTORS_LIST[[#This Row],[SIP_AVERAGE COST]])</f>
        <v>0</v>
      </c>
      <c r="R75" s="6">
        <f>IF(INVESTORS_LIST[[#This Row],[SIP_TOTAL UNITS SOLD]]=0,0,SUMIFS(SIP[Realized Gain],SIP[Investor ID],INVESTORS_LIST[[#This Row],[INVESTOR CODE]],SIP[B/S],"S"))</f>
        <v>0</v>
      </c>
      <c r="S75" s="33">
        <f>INVESTORS_LIST[[#This Row],[LS_TOTAL UNITS BUY]]+INVESTORS_LIST[[#This Row],[SIP_TOTAL UNITS BUY]]</f>
        <v>250000</v>
      </c>
      <c r="T75" s="33">
        <f>INVESTORS_LIST[[#This Row],[LS_TOTAL UNITS SOLD]]+INVESTORS_LIST[[#This Row],[SIP_TOTAL UNITS SOLD]]</f>
        <v>0</v>
      </c>
      <c r="U75" s="33">
        <v>250000</v>
      </c>
      <c r="V75" s="33">
        <f>SUMIFS(LS[BO UNIT TRANSFER],LS[Investor ID],INVESTORS_LIST[[#This Row],[INVESTOR CODE]],LS[B/S],"B")</f>
        <v>0</v>
      </c>
      <c r="W75" s="33">
        <f>SUMIFS(LS[BO UNIT TRANSFER],LS[Investor ID],INVESTORS_LIST[[#This Row],[INVESTOR CODE]],LS[B/S],"S")</f>
        <v>0</v>
      </c>
      <c r="X75" s="33">
        <f>SUMIFS(SIP[BO UNIT TRANSFER],SIP[Investor ID],INVESTORS_LIST[[#This Row],[INVESTOR CODE]],SIP[B/S],"S")</f>
        <v>0</v>
      </c>
      <c r="Y75" s="33">
        <f>SUMIFS(SIP[BO UNIT TRANSFER],SIP[Investor ID],INVESTORS_LIST[[#This Row],[INVESTOR CODE]],SIP[B/S],"B")</f>
        <v>0</v>
      </c>
      <c r="Z7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250000</v>
      </c>
      <c r="AA75" s="119">
        <f>INVESTORS_LIST[[#This Row],[TOTAL UNITS BUY]]-INVESTORS_LIST[[#This Row],[TOTAL UNITS SOLD]]</f>
        <v>250000</v>
      </c>
      <c r="AB75" s="119">
        <f>INVESTORS_LIST[[#This Row],[TOTAL CURRENT UNITS]]-INVESTORS_LIST[[#This Row],[BO UNITS HOLD]]</f>
        <v>0</v>
      </c>
      <c r="AC75" s="119" t="e">
        <f>INDEX([4]!Table_1[BO ID],MATCH(INVESTORS_LIST[[#This Row],[INVESTOR CODE]],[4]!Table_1[INVESTOR CODE],0))</f>
        <v>#REF!</v>
      </c>
      <c r="AD75" s="33">
        <f>INVESTORS_LIST[[#This Row],[LS_TOTAL COST VALUE OF CURRENT UNITS]]+INVESTORS_LIST[[#This Row],[SIP_TOTAL COST VALUE OF CURRENT UNITS]]</f>
        <v>2500000</v>
      </c>
      <c r="AE75" s="44">
        <f>IF(INVESTORS_LIST[[#This Row],[TOTAL CURRENT UNITS]]=0,0,INVESTORS_LIST[[#This Row],[LS_TOTAL CURRENT UNITS]]/INVESTORS_LIST[[#This Row],[TOTAL CURRENT UNITS]])</f>
        <v>1</v>
      </c>
      <c r="AF75" s="44">
        <f>IF(INVESTORS_LIST[[#This Row],[TOTAL CURRENT UNITS]]=0,0,INVESTORS_LIST[[#This Row],[SIP_TOTAL CURRENT UNITS]]/INVESTORS_LIST[[#This Row],[TOTAL CURRENT UNITS]])</f>
        <v>0</v>
      </c>
      <c r="AG75" s="4" cm="1">
        <f t="array" ref="AG75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75" s="4" cm="1">
        <f t="array" ref="AH7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5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75" s="178">
        <f t="shared" si="1"/>
        <v>12.552</v>
      </c>
      <c r="AK75" s="118">
        <f>IF(INVESTORS_LIST[[#This Row],[TOTAL CURRENT UNITS]]=0,0,INVESTORS_LIST[[#This Row],[TOTAL CURRENT UNITS]]*INVESTORS_LIST[[#This Row],[NAV]])</f>
        <v>3138000</v>
      </c>
      <c r="AL75" s="4">
        <f>IF(INVESTORS_LIST[[#This Row],[LS_TOTAL CURRENT UNITS]]=0,0,INVESTORS_LIST[[#This Row],[LS_TOTAL CURRENT UNITS]]*INVESTORS_LIST[[#This Row],[NAV]])</f>
        <v>3138000</v>
      </c>
      <c r="AM75" s="6">
        <f>IF(INVESTORS_LIST[[#This Row],[SIP_TOTAL CURRENT UNITS]]=0,0,INVESTORS_LIST[[#This Row],[SIP_TOTAL CURRENT UNITS]]*INVESTORS_LIST[[#This Row],[NAV]])</f>
        <v>0</v>
      </c>
      <c r="AO75" s="6">
        <f>IF(INVESTORS_LIST[[#This Row],[TOTAL SELLABLE UNITS]]=0,0,INVESTORS_LIST[[#This Row],[TOTAL SELLABLE UNITS]]*INVESTORS_LIST[[#This Row],[NAV]])</f>
        <v>0</v>
      </c>
      <c r="AP75" s="6">
        <f>INVESTORS_LIST[[#This Row],[LS_TOTAL REALIZED GAIN]]+INVESTORS_LIST[[#This Row],[SIP_TOTAL REALIZED GAIN]]</f>
        <v>0</v>
      </c>
      <c r="AQ75" s="6">
        <f>INVESTORS_LIST[[#This Row],[TOTAL MARKET VALUE]]-INVESTORS_LIST[[#This Row],[TOTAL COST VALUE OF CURRENT INVESTMENT]]</f>
        <v>638000</v>
      </c>
      <c r="AR75" s="6">
        <f>SUMIFS(DivAndTax[Tax Amount],DivAndTax[Investor ID],INVESTORS_LIST[[#This Row],[INVESTOR CODE]])</f>
        <v>55000</v>
      </c>
      <c r="AS75" s="6">
        <f>SUMIFS(DivAndTax[Gross Dividend],DivAndTax[Investor ID],INVESTORS_LIST[[#This Row],[INVESTOR CODE]])</f>
        <v>275000</v>
      </c>
      <c r="AT75" s="5">
        <f>IFERROR(INVESTORS_LIST[[#This Row],[TOTAL CURRENT UNITS]]/SUM(INVESTORS_LIST[TOTAL CURRENT UNITS]),0)</f>
        <v>1.1986208764085713E-2</v>
      </c>
    </row>
    <row r="76" spans="1:46" hidden="1">
      <c r="A76" t="s">
        <v>625</v>
      </c>
      <c r="B76" t="s">
        <v>84</v>
      </c>
      <c r="C76" t="s">
        <v>536</v>
      </c>
      <c r="D76" s="8" t="s">
        <v>2</v>
      </c>
      <c r="E76" s="2">
        <f>SUMIFS(LS[Unit],LS[Investor ID],INVESTORS_LIST[[#This Row],[INVESTOR CODE]],LS[B/S],"B")</f>
        <v>32844</v>
      </c>
      <c r="F76" s="2">
        <f>-SUMIFS(LS[Unit],LS[Investor ID],INVESTORS_LIST[[#This Row],[INVESTOR CODE]],LS[B/S],"S")</f>
        <v>32844</v>
      </c>
      <c r="G76" s="2">
        <f>IF(INVESTORS_LIST[[#This Row],[LS_TOTAL UNITS BUY]]=0,0,INVESTORS_LIST[[#This Row],[LS_TOTAL UNITS BUY]]-INVESTORS_LIST[[#This Row],[LS_TOTAL UNITS SOLD]])</f>
        <v>0</v>
      </c>
      <c r="H76" s="4">
        <f>IF(INVESTORS_LIST[[#This Row],[LS_TOTAL UNITS BUY]]=0,0,SUMIFS(LS[Amount],LS[Investor ID],INVESTORS_LIST[[#This Row],[INVESTOR CODE]],LS[B/S],"B"))</f>
        <v>331756.5</v>
      </c>
      <c r="I76" s="6">
        <f>IF(INVESTORS_LIST[[#This Row],[LS_TOTAL UNITS SOLD]]=0,0,SUMIFS(LS[Cost of Units Sold],LS[Investor ID],INVESTORS_LIST[[#This Row],[INVESTOR CODE]],LS[B/S],"S"))</f>
        <v>331756.49999999994</v>
      </c>
      <c r="J76" s="6">
        <f>IF(INVESTORS_LIST[[#This Row],[LS_TOTAL CURRENT UNITS]]=0,0,INVESTORS_LIST[[#This Row],[LS_TOTAL CURRENT UNITS]]*INVESTORS_LIST[[#This Row],[LS_AVERAGE COST]])</f>
        <v>0</v>
      </c>
      <c r="K76" s="4">
        <f>IF(INVESTORS_LIST[[#This Row],[LS_TOTAL UNITS SOLD]]=0,0,SUMIFS(LS[Realized Gain],LS[Investor ID],INVESTORS_LIST[[#This Row],[INVESTOR CODE]],LS[B/S],"S"))</f>
        <v>89763.400000000096</v>
      </c>
      <c r="L76" s="2">
        <f>SUMIFS(SIP[Unit],SIP[Investor ID],INVESTORS_LIST[[#This Row],[INVESTOR CODE]],SIP[B/S],"B")</f>
        <v>0</v>
      </c>
      <c r="M76" s="2">
        <f>-SUMIFS(SIP[Unit],SIP[Investor ID],INVESTORS_LIST[[#This Row],[INVESTOR CODE]],SIP[B/S],"S")</f>
        <v>0</v>
      </c>
      <c r="N76" s="33">
        <f>IF(INVESTORS_LIST[[#This Row],[SIP_TOTAL UNITS BUY]]=0,0,INVESTORS_LIST[[#This Row],[SIP_TOTAL UNITS BUY]]-INVESTORS_LIST[[#This Row],[SIP_TOTAL UNITS SOLD]])</f>
        <v>0</v>
      </c>
      <c r="O76" s="4">
        <f>IF(INVESTORS_LIST[[#This Row],[SIP_TOTAL UNITS BUY]]=0,0,SUMIFS(SIP[Amount],SIP[Investor ID],INVESTORS_LIST[[#This Row],[INVESTOR CODE]],SIP[B/S],"B"))</f>
        <v>0</v>
      </c>
      <c r="P76" s="4">
        <f>IF(INVESTORS_LIST[[#This Row],[SIP_TOTAL UNITS SOLD]]=0,0,SUMIFS(SIP[Cost of Units Sold],SIP[Investor ID],INVESTORS_LIST[[#This Row],[INVESTOR CODE]],SIP[B/S],"S"))</f>
        <v>0</v>
      </c>
      <c r="Q76" s="6">
        <f>IF(INVESTORS_LIST[[#This Row],[SIP_TOTAL CURRENT UNITS]]=0,0,INVESTORS_LIST[[#This Row],[SIP_TOTAL CURRENT UNITS]]*INVESTORS_LIST[[#This Row],[SIP_AVERAGE COST]])</f>
        <v>0</v>
      </c>
      <c r="R76" s="6">
        <f>IF(INVESTORS_LIST[[#This Row],[SIP_TOTAL UNITS SOLD]]=0,0,SUMIFS(SIP[Realized Gain],SIP[Investor ID],INVESTORS_LIST[[#This Row],[INVESTOR CODE]],SIP[B/S],"S"))</f>
        <v>0</v>
      </c>
      <c r="S76" s="33">
        <f>INVESTORS_LIST[[#This Row],[LS_TOTAL UNITS BUY]]+INVESTORS_LIST[[#This Row],[SIP_TOTAL UNITS BUY]]</f>
        <v>32844</v>
      </c>
      <c r="T76" s="33">
        <f>INVESTORS_LIST[[#This Row],[LS_TOTAL UNITS SOLD]]+INVESTORS_LIST[[#This Row],[SIP_TOTAL UNITS SOLD]]</f>
        <v>32844</v>
      </c>
      <c r="U76" s="33">
        <v>30000</v>
      </c>
      <c r="V76" s="33">
        <f>SUMIFS(LS[BO UNIT TRANSFER],LS[Investor ID],INVESTORS_LIST[[#This Row],[INVESTOR CODE]],LS[B/S],"B")</f>
        <v>0</v>
      </c>
      <c r="W76" s="33">
        <f>SUMIFS(LS[BO UNIT TRANSFER],LS[Investor ID],INVESTORS_LIST[[#This Row],[INVESTOR CODE]],LS[B/S],"S")</f>
        <v>0</v>
      </c>
      <c r="X76" s="33">
        <f>SUMIFS(SIP[BO UNIT TRANSFER],SIP[Investor ID],INVESTORS_LIST[[#This Row],[INVESTOR CODE]],SIP[B/S],"S")</f>
        <v>0</v>
      </c>
      <c r="Y76" s="33">
        <f>SUMIFS(SIP[BO UNIT TRANSFER],SIP[Investor ID],INVESTORS_LIST[[#This Row],[INVESTOR CODE]],SIP[B/S],"B")</f>
        <v>0</v>
      </c>
      <c r="Z7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30000</v>
      </c>
      <c r="AA76" s="119">
        <f>INVESTORS_LIST[[#This Row],[TOTAL UNITS BUY]]-INVESTORS_LIST[[#This Row],[TOTAL UNITS SOLD]]</f>
        <v>0</v>
      </c>
      <c r="AB76" s="119">
        <f>INVESTORS_LIST[[#This Row],[TOTAL CURRENT UNITS]]-INVESTORS_LIST[[#This Row],[BO UNITS HOLD]]</f>
        <v>-30000</v>
      </c>
      <c r="AC76" s="119" t="e">
        <f>INDEX([4]!Table_1[BO ID],MATCH(INVESTORS_LIST[[#This Row],[INVESTOR CODE]],[4]!Table_1[INVESTOR CODE],0))</f>
        <v>#REF!</v>
      </c>
      <c r="AD76" s="33">
        <f>INVESTORS_LIST[[#This Row],[LS_TOTAL COST VALUE OF CURRENT UNITS]]+INVESTORS_LIST[[#This Row],[SIP_TOTAL COST VALUE OF CURRENT UNITS]]</f>
        <v>0</v>
      </c>
      <c r="AE76" s="44">
        <f>IF(INVESTORS_LIST[[#This Row],[TOTAL CURRENT UNITS]]=0,0,INVESTORS_LIST[[#This Row],[LS_TOTAL CURRENT UNITS]]/INVESTORS_LIST[[#This Row],[TOTAL CURRENT UNITS]])</f>
        <v>0</v>
      </c>
      <c r="AF76" s="44">
        <f>IF(INVESTORS_LIST[[#This Row],[TOTAL CURRENT UNITS]]=0,0,INVESTORS_LIST[[#This Row],[SIP_TOTAL CURRENT UNITS]]/INVESTORS_LIST[[#This Row],[TOTAL CURRENT UNITS]])</f>
        <v>0</v>
      </c>
      <c r="AG76" s="4" cm="1">
        <f t="array" ref="AG7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6" s="4" cm="1">
        <f t="array" ref="AH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6" s="178">
        <f t="shared" si="1"/>
        <v>12.552</v>
      </c>
      <c r="AK76" s="118">
        <f>IF(INVESTORS_LIST[[#This Row],[TOTAL CURRENT UNITS]]=0,0,INVESTORS_LIST[[#This Row],[TOTAL CURRENT UNITS]]*INVESTORS_LIST[[#This Row],[NAV]])</f>
        <v>0</v>
      </c>
      <c r="AL76" s="4">
        <f>IF(INVESTORS_LIST[[#This Row],[LS_TOTAL CURRENT UNITS]]=0,0,INVESTORS_LIST[[#This Row],[LS_TOTAL CURRENT UNITS]]*INVESTORS_LIST[[#This Row],[NAV]])</f>
        <v>0</v>
      </c>
      <c r="AM76" s="6">
        <f>IF(INVESTORS_LIST[[#This Row],[SIP_TOTAL CURRENT UNITS]]=0,0,INVESTORS_LIST[[#This Row],[SIP_TOTAL CURRENT UNITS]]*INVESTORS_LIST[[#This Row],[NAV]])</f>
        <v>0</v>
      </c>
      <c r="AO76" s="6">
        <f>IF(INVESTORS_LIST[[#This Row],[TOTAL SELLABLE UNITS]]=0,0,INVESTORS_LIST[[#This Row],[TOTAL SELLABLE UNITS]]*INVESTORS_LIST[[#This Row],[NAV]])</f>
        <v>0</v>
      </c>
      <c r="AP76" s="6">
        <f>INVESTORS_LIST[[#This Row],[LS_TOTAL REALIZED GAIN]]+INVESTORS_LIST[[#This Row],[SIP_TOTAL REALIZED GAIN]]</f>
        <v>89763.400000000096</v>
      </c>
      <c r="AQ76" s="6">
        <f>INVESTORS_LIST[[#This Row],[TOTAL MARKET VALUE]]-INVESTORS_LIST[[#This Row],[TOTAL COST VALUE OF CURRENT INVESTMENT]]</f>
        <v>0</v>
      </c>
      <c r="AR76" s="6">
        <f>SUMIFS(DivAndTax[Tax Amount],DivAndTax[Investor ID],INVESTORS_LIST[[#This Row],[INVESTOR CODE]])</f>
        <v>3404.08</v>
      </c>
      <c r="AS76" s="6">
        <f>SUMIFS(DivAndTax[Gross Dividend],DivAndTax[Investor ID],INVESTORS_LIST[[#This Row],[INVESTOR CODE]])</f>
        <v>34040.75</v>
      </c>
      <c r="AT76" s="5">
        <f>IFERROR(INVESTORS_LIST[[#This Row],[TOTAL CURRENT UNITS]]/SUM(INVESTORS_LIST[TOTAL CURRENT UNITS]),0)</f>
        <v>0</v>
      </c>
    </row>
    <row r="77" spans="1:46">
      <c r="A77" t="s">
        <v>773</v>
      </c>
      <c r="B77" t="s">
        <v>85</v>
      </c>
      <c r="C77" t="s">
        <v>538</v>
      </c>
      <c r="D77" s="8" t="s">
        <v>2</v>
      </c>
      <c r="E77" s="2">
        <f>SUMIFS(LS[Unit],LS[Investor ID],INVESTORS_LIST[[#This Row],[INVESTOR CODE]],LS[B/S],"B")</f>
        <v>16422</v>
      </c>
      <c r="F77" s="2">
        <f>-SUMIFS(LS[Unit],LS[Investor ID],INVESTORS_LIST[[#This Row],[INVESTOR CODE]],LS[B/S],"S")</f>
        <v>0</v>
      </c>
      <c r="G77" s="2">
        <f>IF(INVESTORS_LIST[[#This Row],[LS_TOTAL UNITS BUY]]=0,0,INVESTORS_LIST[[#This Row],[LS_TOTAL UNITS BUY]]-INVESTORS_LIST[[#This Row],[LS_TOTAL UNITS SOLD]])</f>
        <v>16422</v>
      </c>
      <c r="H77" s="4">
        <f>IF(INVESTORS_LIST[[#This Row],[LS_TOTAL UNITS BUY]]=0,0,SUMIFS(LS[Amount],LS[Investor ID],INVESTORS_LIST[[#This Row],[INVESTOR CODE]],LS[B/S],"B"))</f>
        <v>165878.65</v>
      </c>
      <c r="I77" s="6">
        <f>IF(INVESTORS_LIST[[#This Row],[LS_TOTAL UNITS SOLD]]=0,0,SUMIFS(LS[Cost of Units Sold],LS[Investor ID],INVESTORS_LIST[[#This Row],[INVESTOR CODE]],LS[B/S],"S"))</f>
        <v>0</v>
      </c>
      <c r="J77" s="6">
        <f>IF(INVESTORS_LIST[[#This Row],[LS_TOTAL CURRENT UNITS]]=0,0,INVESTORS_LIST[[#This Row],[LS_TOTAL CURRENT UNITS]]*INVESTORS_LIST[[#This Row],[LS_AVERAGE COST]])</f>
        <v>165878.65000000002</v>
      </c>
      <c r="K77" s="4">
        <f>IF(INVESTORS_LIST[[#This Row],[LS_TOTAL UNITS SOLD]]=0,0,SUMIFS(LS[Realized Gain],LS[Investor ID],INVESTORS_LIST[[#This Row],[INVESTOR CODE]],LS[B/S],"S"))</f>
        <v>0</v>
      </c>
      <c r="L77" s="2">
        <f>SUMIFS(SIP[Unit],SIP[Investor ID],INVESTORS_LIST[[#This Row],[INVESTOR CODE]],SIP[B/S],"B")</f>
        <v>0</v>
      </c>
      <c r="M77" s="2">
        <f>-SUMIFS(SIP[Unit],SIP[Investor ID],INVESTORS_LIST[[#This Row],[INVESTOR CODE]],SIP[B/S],"S")</f>
        <v>0</v>
      </c>
      <c r="N77" s="33">
        <f>IF(INVESTORS_LIST[[#This Row],[SIP_TOTAL UNITS BUY]]=0,0,INVESTORS_LIST[[#This Row],[SIP_TOTAL UNITS BUY]]-INVESTORS_LIST[[#This Row],[SIP_TOTAL UNITS SOLD]])</f>
        <v>0</v>
      </c>
      <c r="O77" s="4">
        <f>IF(INVESTORS_LIST[[#This Row],[SIP_TOTAL UNITS BUY]]=0,0,SUMIFS(SIP[Amount],SIP[Investor ID],INVESTORS_LIST[[#This Row],[INVESTOR CODE]],SIP[B/S],"B"))</f>
        <v>0</v>
      </c>
      <c r="P77" s="4">
        <f>IF(INVESTORS_LIST[[#This Row],[SIP_TOTAL UNITS SOLD]]=0,0,SUMIFS(SIP[Cost of Units Sold],SIP[Investor ID],INVESTORS_LIST[[#This Row],[INVESTOR CODE]],SIP[B/S],"S"))</f>
        <v>0</v>
      </c>
      <c r="Q77" s="6">
        <f>IF(INVESTORS_LIST[[#This Row],[SIP_TOTAL CURRENT UNITS]]=0,0,INVESTORS_LIST[[#This Row],[SIP_TOTAL CURRENT UNITS]]*INVESTORS_LIST[[#This Row],[SIP_AVERAGE COST]])</f>
        <v>0</v>
      </c>
      <c r="R77" s="6">
        <f>IF(INVESTORS_LIST[[#This Row],[SIP_TOTAL UNITS SOLD]]=0,0,SUMIFS(SIP[Realized Gain],SIP[Investor ID],INVESTORS_LIST[[#This Row],[INVESTOR CODE]],SIP[B/S],"S"))</f>
        <v>0</v>
      </c>
      <c r="S77" s="33">
        <f>INVESTORS_LIST[[#This Row],[LS_TOTAL UNITS BUY]]+INVESTORS_LIST[[#This Row],[SIP_TOTAL UNITS BUY]]</f>
        <v>16422</v>
      </c>
      <c r="T77" s="33">
        <f>INVESTORS_LIST[[#This Row],[LS_TOTAL UNITS SOLD]]+INVESTORS_LIST[[#This Row],[SIP_TOTAL UNITS SOLD]]</f>
        <v>0</v>
      </c>
      <c r="U77" s="33">
        <v>0</v>
      </c>
      <c r="V77" s="33">
        <f>SUMIFS(LS[BO UNIT TRANSFER],LS[Investor ID],INVESTORS_LIST[[#This Row],[INVESTOR CODE]],LS[B/S],"B")</f>
        <v>0</v>
      </c>
      <c r="W77" s="33">
        <f>SUMIFS(LS[BO UNIT TRANSFER],LS[Investor ID],INVESTORS_LIST[[#This Row],[INVESTOR CODE]],LS[B/S],"S")</f>
        <v>0</v>
      </c>
      <c r="X77" s="33">
        <f>SUMIFS(SIP[BO UNIT TRANSFER],SIP[Investor ID],INVESTORS_LIST[[#This Row],[INVESTOR CODE]],SIP[B/S],"S")</f>
        <v>0</v>
      </c>
      <c r="Y77" s="33">
        <f>SUMIFS(SIP[BO UNIT TRANSFER],SIP[Investor ID],INVESTORS_LIST[[#This Row],[INVESTOR CODE]],SIP[B/S],"B")</f>
        <v>0</v>
      </c>
      <c r="Z7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7" s="119">
        <f>INVESTORS_LIST[[#This Row],[TOTAL UNITS BUY]]-INVESTORS_LIST[[#This Row],[TOTAL UNITS SOLD]]</f>
        <v>16422</v>
      </c>
      <c r="AB77" s="119">
        <f>INVESTORS_LIST[[#This Row],[TOTAL CURRENT UNITS]]-INVESTORS_LIST[[#This Row],[BO UNITS HOLD]]</f>
        <v>16422</v>
      </c>
      <c r="AC77" s="119" t="e">
        <f>INDEX([4]!Table_1[BO ID],MATCH(INVESTORS_LIST[[#This Row],[INVESTOR CODE]],[4]!Table_1[INVESTOR CODE],0))</f>
        <v>#REF!</v>
      </c>
      <c r="AD77" s="33">
        <f>INVESTORS_LIST[[#This Row],[LS_TOTAL COST VALUE OF CURRENT UNITS]]+INVESTORS_LIST[[#This Row],[SIP_TOTAL COST VALUE OF CURRENT UNITS]]</f>
        <v>165878.65000000002</v>
      </c>
      <c r="AE77" s="44">
        <f>IF(INVESTORS_LIST[[#This Row],[TOTAL CURRENT UNITS]]=0,0,INVESTORS_LIST[[#This Row],[LS_TOTAL CURRENT UNITS]]/INVESTORS_LIST[[#This Row],[TOTAL CURRENT UNITS]])</f>
        <v>1</v>
      </c>
      <c r="AF77" s="44">
        <f>IF(INVESTORS_LIST[[#This Row],[TOTAL CURRENT UNITS]]=0,0,INVESTORS_LIST[[#This Row],[SIP_TOTAL CURRENT UNITS]]/INVESTORS_LIST[[#This Row],[TOTAL CURRENT UNITS]])</f>
        <v>0</v>
      </c>
      <c r="AG77" s="4" cm="1">
        <f t="array" ref="AG77">IF(INVESTORS_LIST[[#This Row],[LS_TOTAL UNITS BUY]]&gt;0,INDEX(LS[NAV at Cost (Average)],MATCH(CONCATENATE(COUNTIFS(LS[Investor ID],INVESTORS_LIST[[#This Row],[INVESTOR CODE]]),INVESTORS_LIST[[#This Row],[INVESTOR CODE]]),LS[Unique Code],0),),0)</f>
        <v>10.101001705029839</v>
      </c>
      <c r="AH77" s="4" cm="1">
        <f t="array" ref="AH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7" s="178">
        <f>IF(INVESTORS_LIST[[#This Row],[TOTAL CURRENT UNITS]]=0,0,(INVESTORS_LIST[[#This Row],[LS_WEIGHT]]*INVESTORS_LIST[[#This Row],[LS_AVERAGE COST]])+(INVESTORS_LIST[[#This Row],[SIP_WEIGHT]]*INVESTORS_LIST[[#This Row],[SIP_AVERAGE COST]]))</f>
        <v>10.101001705029839</v>
      </c>
      <c r="AJ77" s="178">
        <f t="shared" si="1"/>
        <v>12.552</v>
      </c>
      <c r="AK77" s="118">
        <f>IF(INVESTORS_LIST[[#This Row],[TOTAL CURRENT UNITS]]=0,0,INVESTORS_LIST[[#This Row],[TOTAL CURRENT UNITS]]*INVESTORS_LIST[[#This Row],[NAV]])</f>
        <v>206128.94399999999</v>
      </c>
      <c r="AL77" s="4">
        <f>IF(INVESTORS_LIST[[#This Row],[LS_TOTAL CURRENT UNITS]]=0,0,INVESTORS_LIST[[#This Row],[LS_TOTAL CURRENT UNITS]]*INVESTORS_LIST[[#This Row],[NAV]])</f>
        <v>206128.94399999999</v>
      </c>
      <c r="AM77" s="6">
        <f>IF(INVESTORS_LIST[[#This Row],[SIP_TOTAL CURRENT UNITS]]=0,0,INVESTORS_LIST[[#This Row],[SIP_TOTAL CURRENT UNITS]]*INVESTORS_LIST[[#This Row],[NAV]])</f>
        <v>0</v>
      </c>
      <c r="AO77" s="6">
        <f>IF(INVESTORS_LIST[[#This Row],[TOTAL SELLABLE UNITS]]=0,0,INVESTORS_LIST[[#This Row],[TOTAL SELLABLE UNITS]]*INVESTORS_LIST[[#This Row],[NAV]])</f>
        <v>0</v>
      </c>
      <c r="AP77" s="6">
        <f>INVESTORS_LIST[[#This Row],[LS_TOTAL REALIZED GAIN]]+INVESTORS_LIST[[#This Row],[SIP_TOTAL REALIZED GAIN]]</f>
        <v>0</v>
      </c>
      <c r="AQ77" s="6">
        <f>INVESTORS_LIST[[#This Row],[TOTAL MARKET VALUE]]-INVESTORS_LIST[[#This Row],[TOTAL COST VALUE OF CURRENT INVESTMENT]]</f>
        <v>40250.293999999965</v>
      </c>
      <c r="AR77" s="6">
        <f>SUMIFS(DivAndTax[Tax Amount],DivAndTax[Investor ID],INVESTORS_LIST[[#This Row],[INVESTOR CODE]])</f>
        <v>1702.08</v>
      </c>
      <c r="AS77" s="6">
        <f>SUMIFS(DivAndTax[Gross Dividend],DivAndTax[Investor ID],INVESTORS_LIST[[#This Row],[INVESTOR CODE]])</f>
        <v>17020.8</v>
      </c>
      <c r="AT77" s="5">
        <f>IFERROR(INVESTORS_LIST[[#This Row],[TOTAL CURRENT UNITS]]/SUM(INVESTORS_LIST[TOTAL CURRENT UNITS]),0)</f>
        <v>7.8735008129526233E-4</v>
      </c>
    </row>
    <row r="78" spans="1:46" hidden="1">
      <c r="A78" t="s">
        <v>626</v>
      </c>
      <c r="B78" t="s">
        <v>86</v>
      </c>
      <c r="C78" t="s">
        <v>538</v>
      </c>
      <c r="D78" s="8" t="s">
        <v>2</v>
      </c>
      <c r="E78" s="2">
        <f>SUMIFS(LS[Unit],LS[Investor ID],INVESTORS_LIST[[#This Row],[INVESTOR CODE]],LS[B/S],"B")</f>
        <v>30010</v>
      </c>
      <c r="F78" s="2">
        <f>-SUMIFS(LS[Unit],LS[Investor ID],INVESTORS_LIST[[#This Row],[INVESTOR CODE]],LS[B/S],"S")</f>
        <v>30010</v>
      </c>
      <c r="G78" s="2">
        <f>IF(INVESTORS_LIST[[#This Row],[LS_TOTAL UNITS BUY]]=0,0,INVESTORS_LIST[[#This Row],[LS_TOTAL UNITS BUY]]-INVESTORS_LIST[[#This Row],[LS_TOTAL UNITS SOLD]])</f>
        <v>0</v>
      </c>
      <c r="H78" s="4">
        <f>IF(INVESTORS_LIST[[#This Row],[LS_TOTAL UNITS BUY]]=0,0,SUMIFS(LS[Amount],LS[Investor ID],INVESTORS_LIST[[#This Row],[INVESTOR CODE]],LS[B/S],"B"))</f>
        <v>300000</v>
      </c>
      <c r="I78" s="6">
        <f>IF(INVESTORS_LIST[[#This Row],[LS_TOTAL UNITS SOLD]]=0,0,SUMIFS(LS[Cost of Units Sold],LS[Investor ID],INVESTORS_LIST[[#This Row],[INVESTOR CODE]],LS[B/S],"S"))</f>
        <v>300000</v>
      </c>
      <c r="J78" s="6">
        <f>IF(INVESTORS_LIST[[#This Row],[LS_TOTAL CURRENT UNITS]]=0,0,INVESTORS_LIST[[#This Row],[LS_TOTAL CURRENT UNITS]]*INVESTORS_LIST[[#This Row],[LS_AVERAGE COST]])</f>
        <v>0</v>
      </c>
      <c r="K78" s="4">
        <f>IF(INVESTORS_LIST[[#This Row],[LS_TOTAL UNITS SOLD]]=0,0,SUMIFS(LS[Realized Gain],LS[Investor ID],INVESTORS_LIST[[#This Row],[INVESTOR CODE]],LS[B/S],"S"))</f>
        <v>-4101.4000000000151</v>
      </c>
      <c r="L78" s="2">
        <f>SUMIFS(SIP[Unit],SIP[Investor ID],INVESTORS_LIST[[#This Row],[INVESTOR CODE]],SIP[B/S],"B")</f>
        <v>0</v>
      </c>
      <c r="M78" s="2">
        <f>-SUMIFS(SIP[Unit],SIP[Investor ID],INVESTORS_LIST[[#This Row],[INVESTOR CODE]],SIP[B/S],"S")</f>
        <v>0</v>
      </c>
      <c r="N78" s="33">
        <f>IF(INVESTORS_LIST[[#This Row],[SIP_TOTAL UNITS BUY]]=0,0,INVESTORS_LIST[[#This Row],[SIP_TOTAL UNITS BUY]]-INVESTORS_LIST[[#This Row],[SIP_TOTAL UNITS SOLD]])</f>
        <v>0</v>
      </c>
      <c r="O78" s="4">
        <f>IF(INVESTORS_LIST[[#This Row],[SIP_TOTAL UNITS BUY]]=0,0,SUMIFS(SIP[Amount],SIP[Investor ID],INVESTORS_LIST[[#This Row],[INVESTOR CODE]],SIP[B/S],"B"))</f>
        <v>0</v>
      </c>
      <c r="P78" s="4">
        <f>IF(INVESTORS_LIST[[#This Row],[SIP_TOTAL UNITS SOLD]]=0,0,SUMIFS(SIP[Cost of Units Sold],SIP[Investor ID],INVESTORS_LIST[[#This Row],[INVESTOR CODE]],SIP[B/S],"S"))</f>
        <v>0</v>
      </c>
      <c r="Q78" s="6">
        <f>IF(INVESTORS_LIST[[#This Row],[SIP_TOTAL CURRENT UNITS]]=0,0,INVESTORS_LIST[[#This Row],[SIP_TOTAL CURRENT UNITS]]*INVESTORS_LIST[[#This Row],[SIP_AVERAGE COST]])</f>
        <v>0</v>
      </c>
      <c r="R78" s="6">
        <f>IF(INVESTORS_LIST[[#This Row],[SIP_TOTAL UNITS SOLD]]=0,0,SUMIFS(SIP[Realized Gain],SIP[Investor ID],INVESTORS_LIST[[#This Row],[INVESTOR CODE]],SIP[B/S],"S"))</f>
        <v>0</v>
      </c>
      <c r="S78" s="33">
        <f>INVESTORS_LIST[[#This Row],[LS_TOTAL UNITS BUY]]+INVESTORS_LIST[[#This Row],[SIP_TOTAL UNITS BUY]]</f>
        <v>30010</v>
      </c>
      <c r="T78" s="33">
        <f>INVESTORS_LIST[[#This Row],[LS_TOTAL UNITS SOLD]]+INVESTORS_LIST[[#This Row],[SIP_TOTAL UNITS SOLD]]</f>
        <v>30010</v>
      </c>
      <c r="U78" s="33">
        <v>20000</v>
      </c>
      <c r="V78" s="33">
        <f>SUMIFS(LS[BO UNIT TRANSFER],LS[Investor ID],INVESTORS_LIST[[#This Row],[INVESTOR CODE]],LS[B/S],"B")</f>
        <v>0</v>
      </c>
      <c r="W78" s="33">
        <f>SUMIFS(LS[BO UNIT TRANSFER],LS[Investor ID],INVESTORS_LIST[[#This Row],[INVESTOR CODE]],LS[B/S],"S")</f>
        <v>0</v>
      </c>
      <c r="X78" s="33">
        <f>SUMIFS(SIP[BO UNIT TRANSFER],SIP[Investor ID],INVESTORS_LIST[[#This Row],[INVESTOR CODE]],SIP[B/S],"S")</f>
        <v>0</v>
      </c>
      <c r="Y78" s="33">
        <f>SUMIFS(SIP[BO UNIT TRANSFER],SIP[Investor ID],INVESTORS_LIST[[#This Row],[INVESTOR CODE]],SIP[B/S],"B")</f>
        <v>0</v>
      </c>
      <c r="Z7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20000</v>
      </c>
      <c r="AA78" s="119">
        <f>INVESTORS_LIST[[#This Row],[TOTAL UNITS BUY]]-INVESTORS_LIST[[#This Row],[TOTAL UNITS SOLD]]</f>
        <v>0</v>
      </c>
      <c r="AB78" s="119">
        <f>INVESTORS_LIST[[#This Row],[TOTAL CURRENT UNITS]]-INVESTORS_LIST[[#This Row],[BO UNITS HOLD]]</f>
        <v>-20000</v>
      </c>
      <c r="AC78" s="119" t="e">
        <f>INDEX([4]!Table_1[BO ID],MATCH(INVESTORS_LIST[[#This Row],[INVESTOR CODE]],[4]!Table_1[INVESTOR CODE],0))</f>
        <v>#REF!</v>
      </c>
      <c r="AD78" s="33">
        <f>INVESTORS_LIST[[#This Row],[LS_TOTAL COST VALUE OF CURRENT UNITS]]+INVESTORS_LIST[[#This Row],[SIP_TOTAL COST VALUE OF CURRENT UNITS]]</f>
        <v>0</v>
      </c>
      <c r="AE78" s="44">
        <f>IF(INVESTORS_LIST[[#This Row],[TOTAL CURRENT UNITS]]=0,0,INVESTORS_LIST[[#This Row],[LS_TOTAL CURRENT UNITS]]/INVESTORS_LIST[[#This Row],[TOTAL CURRENT UNITS]])</f>
        <v>0</v>
      </c>
      <c r="AF78" s="44">
        <f>IF(INVESTORS_LIST[[#This Row],[TOTAL CURRENT UNITS]]=0,0,INVESTORS_LIST[[#This Row],[SIP_TOTAL CURRENT UNITS]]/INVESTORS_LIST[[#This Row],[TOTAL CURRENT UNITS]])</f>
        <v>0</v>
      </c>
      <c r="AG78" s="4" cm="1">
        <f t="array" ref="AG7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8" s="4" cm="1">
        <f t="array" ref="AH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8" s="178">
        <f t="shared" si="1"/>
        <v>12.552</v>
      </c>
      <c r="AK78" s="118">
        <f>IF(INVESTORS_LIST[[#This Row],[TOTAL CURRENT UNITS]]=0,0,INVESTORS_LIST[[#This Row],[TOTAL CURRENT UNITS]]*INVESTORS_LIST[[#This Row],[NAV]])</f>
        <v>0</v>
      </c>
      <c r="AL78" s="4">
        <f>IF(INVESTORS_LIST[[#This Row],[LS_TOTAL CURRENT UNITS]]=0,0,INVESTORS_LIST[[#This Row],[LS_TOTAL CURRENT UNITS]]*INVESTORS_LIST[[#This Row],[NAV]])</f>
        <v>0</v>
      </c>
      <c r="AM78" s="6">
        <f>IF(INVESTORS_LIST[[#This Row],[SIP_TOTAL CURRENT UNITS]]=0,0,INVESTORS_LIST[[#This Row],[SIP_TOTAL CURRENT UNITS]]*INVESTORS_LIST[[#This Row],[NAV]])</f>
        <v>0</v>
      </c>
      <c r="AO78" s="6">
        <f>IF(INVESTORS_LIST[[#This Row],[TOTAL SELLABLE UNITS]]=0,0,INVESTORS_LIST[[#This Row],[TOTAL SELLABLE UNITS]]*INVESTORS_LIST[[#This Row],[NAV]])</f>
        <v>0</v>
      </c>
      <c r="AP78" s="6">
        <f>INVESTORS_LIST[[#This Row],[LS_TOTAL REALIZED GAIN]]+INVESTORS_LIST[[#This Row],[SIP_TOTAL REALIZED GAIN]]</f>
        <v>-4101.4000000000151</v>
      </c>
      <c r="AQ78" s="6">
        <f>INVESTORS_LIST[[#This Row],[TOTAL MARKET VALUE]]-INVESTORS_LIST[[#This Row],[TOTAL COST VALUE OF CURRENT INVESTMENT]]</f>
        <v>0</v>
      </c>
      <c r="AR78" s="6">
        <f>SUMIFS(DivAndTax[Tax Amount],DivAndTax[Investor ID],INVESTORS_LIST[[#This Row],[INVESTOR CODE]])</f>
        <v>0</v>
      </c>
      <c r="AS78" s="6">
        <f>SUMIFS(DivAndTax[Gross Dividend],DivAndTax[Investor ID],INVESTORS_LIST[[#This Row],[INVESTOR CODE]])</f>
        <v>0</v>
      </c>
      <c r="AT78" s="5">
        <f>IFERROR(INVESTORS_LIST[[#This Row],[TOTAL CURRENT UNITS]]/SUM(INVESTORS_LIST[TOTAL CURRENT UNITS]),0)</f>
        <v>0</v>
      </c>
    </row>
    <row r="79" spans="1:46" hidden="1">
      <c r="A79" t="s">
        <v>774</v>
      </c>
      <c r="B79" t="s">
        <v>87</v>
      </c>
      <c r="C79" t="s">
        <v>538</v>
      </c>
      <c r="D79" s="8" t="s">
        <v>2</v>
      </c>
      <c r="E79" s="2">
        <f>SUMIFS(LS[Unit],LS[Investor ID],INVESTORS_LIST[[#This Row],[INVESTOR CODE]],LS[B/S],"B")</f>
        <v>0</v>
      </c>
      <c r="F79" s="2">
        <f>-SUMIFS(LS[Unit],LS[Investor ID],INVESTORS_LIST[[#This Row],[INVESTOR CODE]],LS[B/S],"S")</f>
        <v>0</v>
      </c>
      <c r="G79" s="2">
        <f>IF(INVESTORS_LIST[[#This Row],[LS_TOTAL UNITS BUY]]=0,0,INVESTORS_LIST[[#This Row],[LS_TOTAL UNITS BUY]]-INVESTORS_LIST[[#This Row],[LS_TOTAL UNITS SOLD]])</f>
        <v>0</v>
      </c>
      <c r="H79" s="4">
        <f>IF(INVESTORS_LIST[[#This Row],[LS_TOTAL UNITS BUY]]=0,0,SUMIFS(LS[Amount],LS[Investor ID],INVESTORS_LIST[[#This Row],[INVESTOR CODE]],LS[B/S],"B"))</f>
        <v>0</v>
      </c>
      <c r="I79" s="6">
        <f>IF(INVESTORS_LIST[[#This Row],[LS_TOTAL UNITS SOLD]]=0,0,SUMIFS(LS[Cost of Units Sold],LS[Investor ID],INVESTORS_LIST[[#This Row],[INVESTOR CODE]],LS[B/S],"S"))</f>
        <v>0</v>
      </c>
      <c r="J79" s="6">
        <f>IF(INVESTORS_LIST[[#This Row],[LS_TOTAL CURRENT UNITS]]=0,0,INVESTORS_LIST[[#This Row],[LS_TOTAL CURRENT UNITS]]*INVESTORS_LIST[[#This Row],[LS_AVERAGE COST]])</f>
        <v>0</v>
      </c>
      <c r="K79" s="4">
        <f>IF(INVESTORS_LIST[[#This Row],[LS_TOTAL UNITS SOLD]]=0,0,SUMIFS(LS[Realized Gain],LS[Investor ID],INVESTORS_LIST[[#This Row],[INVESTOR CODE]],LS[B/S],"S"))</f>
        <v>0</v>
      </c>
      <c r="L79" s="2">
        <f>SUMIFS(SIP[Unit],SIP[Investor ID],INVESTORS_LIST[[#This Row],[INVESTOR CODE]],SIP[B/S],"B")</f>
        <v>0</v>
      </c>
      <c r="M79" s="2">
        <f>-SUMIFS(SIP[Unit],SIP[Investor ID],INVESTORS_LIST[[#This Row],[INVESTOR CODE]],SIP[B/S],"S")</f>
        <v>0</v>
      </c>
      <c r="N79" s="33">
        <f>IF(INVESTORS_LIST[[#This Row],[SIP_TOTAL UNITS BUY]]=0,0,INVESTORS_LIST[[#This Row],[SIP_TOTAL UNITS BUY]]-INVESTORS_LIST[[#This Row],[SIP_TOTAL UNITS SOLD]])</f>
        <v>0</v>
      </c>
      <c r="O79" s="4">
        <f>IF(INVESTORS_LIST[[#This Row],[SIP_TOTAL UNITS BUY]]=0,0,SUMIFS(SIP[Amount],SIP[Investor ID],INVESTORS_LIST[[#This Row],[INVESTOR CODE]],SIP[B/S],"B"))</f>
        <v>0</v>
      </c>
      <c r="P79" s="4">
        <f>IF(INVESTORS_LIST[[#This Row],[SIP_TOTAL UNITS SOLD]]=0,0,SUMIFS(SIP[Cost of Units Sold],SIP[Investor ID],INVESTORS_LIST[[#This Row],[INVESTOR CODE]],SIP[B/S],"S"))</f>
        <v>0</v>
      </c>
      <c r="Q79" s="6">
        <f>IF(INVESTORS_LIST[[#This Row],[SIP_TOTAL CURRENT UNITS]]=0,0,INVESTORS_LIST[[#This Row],[SIP_TOTAL CURRENT UNITS]]*INVESTORS_LIST[[#This Row],[SIP_AVERAGE COST]])</f>
        <v>0</v>
      </c>
      <c r="R79" s="6">
        <f>IF(INVESTORS_LIST[[#This Row],[SIP_TOTAL UNITS SOLD]]=0,0,SUMIFS(SIP[Realized Gain],SIP[Investor ID],INVESTORS_LIST[[#This Row],[INVESTOR CODE]],SIP[B/S],"S"))</f>
        <v>0</v>
      </c>
      <c r="S79" s="33">
        <f>INVESTORS_LIST[[#This Row],[LS_TOTAL UNITS BUY]]+INVESTORS_LIST[[#This Row],[SIP_TOTAL UNITS BUY]]</f>
        <v>0</v>
      </c>
      <c r="T79" s="33">
        <f>INVESTORS_LIST[[#This Row],[LS_TOTAL UNITS SOLD]]+INVESTORS_LIST[[#This Row],[SIP_TOTAL UNITS SOLD]]</f>
        <v>0</v>
      </c>
      <c r="U79" s="33">
        <v>0</v>
      </c>
      <c r="V79" s="33">
        <f>SUMIFS(LS[BO UNIT TRANSFER],LS[Investor ID],INVESTORS_LIST[[#This Row],[INVESTOR CODE]],LS[B/S],"B")</f>
        <v>0</v>
      </c>
      <c r="W79" s="33">
        <f>SUMIFS(LS[BO UNIT TRANSFER],LS[Investor ID],INVESTORS_LIST[[#This Row],[INVESTOR CODE]],LS[B/S],"S")</f>
        <v>0</v>
      </c>
      <c r="X79" s="33">
        <f>SUMIFS(SIP[BO UNIT TRANSFER],SIP[Investor ID],INVESTORS_LIST[[#This Row],[INVESTOR CODE]],SIP[B/S],"S")</f>
        <v>0</v>
      </c>
      <c r="Y79" s="33">
        <f>SUMIFS(SIP[BO UNIT TRANSFER],SIP[Investor ID],INVESTORS_LIST[[#This Row],[INVESTOR CODE]],SIP[B/S],"B")</f>
        <v>0</v>
      </c>
      <c r="Z7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9" s="119">
        <f>INVESTORS_LIST[[#This Row],[TOTAL UNITS BUY]]-INVESTORS_LIST[[#This Row],[TOTAL UNITS SOLD]]</f>
        <v>0</v>
      </c>
      <c r="AB79" s="119">
        <f>INVESTORS_LIST[[#This Row],[TOTAL CURRENT UNITS]]-INVESTORS_LIST[[#This Row],[BO UNITS HOLD]]</f>
        <v>0</v>
      </c>
      <c r="AC79" s="119" t="e">
        <f>INDEX([4]!Table_1[BO ID],MATCH(INVESTORS_LIST[[#This Row],[INVESTOR CODE]],[4]!Table_1[INVESTOR CODE],0))</f>
        <v>#REF!</v>
      </c>
      <c r="AD79" s="33">
        <f>INVESTORS_LIST[[#This Row],[LS_TOTAL COST VALUE OF CURRENT UNITS]]+INVESTORS_LIST[[#This Row],[SIP_TOTAL COST VALUE OF CURRENT UNITS]]</f>
        <v>0</v>
      </c>
      <c r="AE79" s="44">
        <f>IF(INVESTORS_LIST[[#This Row],[TOTAL CURRENT UNITS]]=0,0,INVESTORS_LIST[[#This Row],[LS_TOTAL CURRENT UNITS]]/INVESTORS_LIST[[#This Row],[TOTAL CURRENT UNITS]])</f>
        <v>0</v>
      </c>
      <c r="AF79" s="44">
        <f>IF(INVESTORS_LIST[[#This Row],[TOTAL CURRENT UNITS]]=0,0,INVESTORS_LIST[[#This Row],[SIP_TOTAL CURRENT UNITS]]/INVESTORS_LIST[[#This Row],[TOTAL CURRENT UNITS]])</f>
        <v>0</v>
      </c>
      <c r="AG79" s="4" cm="1">
        <f t="array" ref="AG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9" s="4" cm="1">
        <f t="array" ref="AH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9" s="178">
        <f t="shared" si="1"/>
        <v>12.552</v>
      </c>
      <c r="AK79" s="118">
        <f>IF(INVESTORS_LIST[[#This Row],[TOTAL CURRENT UNITS]]=0,0,INVESTORS_LIST[[#This Row],[TOTAL CURRENT UNITS]]*INVESTORS_LIST[[#This Row],[NAV]])</f>
        <v>0</v>
      </c>
      <c r="AL79" s="4">
        <f>IF(INVESTORS_LIST[[#This Row],[LS_TOTAL CURRENT UNITS]]=0,0,INVESTORS_LIST[[#This Row],[LS_TOTAL CURRENT UNITS]]*INVESTORS_LIST[[#This Row],[NAV]])</f>
        <v>0</v>
      </c>
      <c r="AM79" s="6">
        <f>IF(INVESTORS_LIST[[#This Row],[SIP_TOTAL CURRENT UNITS]]=0,0,INVESTORS_LIST[[#This Row],[SIP_TOTAL CURRENT UNITS]]*INVESTORS_LIST[[#This Row],[NAV]])</f>
        <v>0</v>
      </c>
      <c r="AO79" s="6">
        <f>IF(INVESTORS_LIST[[#This Row],[TOTAL SELLABLE UNITS]]=0,0,INVESTORS_LIST[[#This Row],[TOTAL SELLABLE UNITS]]*INVESTORS_LIST[[#This Row],[NAV]])</f>
        <v>0</v>
      </c>
      <c r="AP79" s="6">
        <f>INVESTORS_LIST[[#This Row],[LS_TOTAL REALIZED GAIN]]+INVESTORS_LIST[[#This Row],[SIP_TOTAL REALIZED GAIN]]</f>
        <v>0</v>
      </c>
      <c r="AQ79" s="6">
        <f>INVESTORS_LIST[[#This Row],[TOTAL MARKET VALUE]]-INVESTORS_LIST[[#This Row],[TOTAL COST VALUE OF CURRENT INVESTMENT]]</f>
        <v>0</v>
      </c>
      <c r="AR79" s="6">
        <f>SUMIFS(DivAndTax[Tax Amount],DivAndTax[Investor ID],INVESTORS_LIST[[#This Row],[INVESTOR CODE]])</f>
        <v>0</v>
      </c>
      <c r="AS79" s="6">
        <f>SUMIFS(DivAndTax[Gross Dividend],DivAndTax[Investor ID],INVESTORS_LIST[[#This Row],[INVESTOR CODE]])</f>
        <v>0</v>
      </c>
      <c r="AT79" s="5">
        <f>IFERROR(INVESTORS_LIST[[#This Row],[TOTAL CURRENT UNITS]]/SUM(INVESTORS_LIST[TOTAL CURRENT UNITS]),0)</f>
        <v>0</v>
      </c>
    </row>
    <row r="80" spans="1:46" hidden="1">
      <c r="A80" t="s">
        <v>775</v>
      </c>
      <c r="B80" t="s">
        <v>88</v>
      </c>
      <c r="C80" t="s">
        <v>536</v>
      </c>
      <c r="D80" s="8" t="s">
        <v>2</v>
      </c>
      <c r="E80" s="2">
        <f>SUMIFS(LS[Unit],LS[Investor ID],INVESTORS_LIST[[#This Row],[INVESTOR CODE]],LS[B/S],"B")</f>
        <v>0</v>
      </c>
      <c r="F80" s="2">
        <f>-SUMIFS(LS[Unit],LS[Investor ID],INVESTORS_LIST[[#This Row],[INVESTOR CODE]],LS[B/S],"S")</f>
        <v>0</v>
      </c>
      <c r="G80" s="2">
        <f>IF(INVESTORS_LIST[[#This Row],[LS_TOTAL UNITS BUY]]=0,0,INVESTORS_LIST[[#This Row],[LS_TOTAL UNITS BUY]]-INVESTORS_LIST[[#This Row],[LS_TOTAL UNITS SOLD]])</f>
        <v>0</v>
      </c>
      <c r="H80" s="4">
        <f>IF(INVESTORS_LIST[[#This Row],[LS_TOTAL UNITS BUY]]=0,0,SUMIFS(LS[Amount],LS[Investor ID],INVESTORS_LIST[[#This Row],[INVESTOR CODE]],LS[B/S],"B"))</f>
        <v>0</v>
      </c>
      <c r="I80" s="6">
        <f>IF(INVESTORS_LIST[[#This Row],[LS_TOTAL UNITS SOLD]]=0,0,SUMIFS(LS[Cost of Units Sold],LS[Investor ID],INVESTORS_LIST[[#This Row],[INVESTOR CODE]],LS[B/S],"S"))</f>
        <v>0</v>
      </c>
      <c r="J80" s="6">
        <f>IF(INVESTORS_LIST[[#This Row],[LS_TOTAL CURRENT UNITS]]=0,0,INVESTORS_LIST[[#This Row],[LS_TOTAL CURRENT UNITS]]*INVESTORS_LIST[[#This Row],[LS_AVERAGE COST]])</f>
        <v>0</v>
      </c>
      <c r="K80" s="4">
        <f>IF(INVESTORS_LIST[[#This Row],[LS_TOTAL UNITS SOLD]]=0,0,SUMIFS(LS[Realized Gain],LS[Investor ID],INVESTORS_LIST[[#This Row],[INVESTOR CODE]],LS[B/S],"S"))</f>
        <v>0</v>
      </c>
      <c r="L80" s="2">
        <f>SUMIFS(SIP[Unit],SIP[Investor ID],INVESTORS_LIST[[#This Row],[INVESTOR CODE]],SIP[B/S],"B")</f>
        <v>0</v>
      </c>
      <c r="M80" s="2">
        <f>-SUMIFS(SIP[Unit],SIP[Investor ID],INVESTORS_LIST[[#This Row],[INVESTOR CODE]],SIP[B/S],"S")</f>
        <v>0</v>
      </c>
      <c r="N80" s="33">
        <f>IF(INVESTORS_LIST[[#This Row],[SIP_TOTAL UNITS BUY]]=0,0,INVESTORS_LIST[[#This Row],[SIP_TOTAL UNITS BUY]]-INVESTORS_LIST[[#This Row],[SIP_TOTAL UNITS SOLD]])</f>
        <v>0</v>
      </c>
      <c r="O80" s="4">
        <f>IF(INVESTORS_LIST[[#This Row],[SIP_TOTAL UNITS BUY]]=0,0,SUMIFS(SIP[Amount],SIP[Investor ID],INVESTORS_LIST[[#This Row],[INVESTOR CODE]],SIP[B/S],"B"))</f>
        <v>0</v>
      </c>
      <c r="P80" s="4">
        <f>IF(INVESTORS_LIST[[#This Row],[SIP_TOTAL UNITS SOLD]]=0,0,SUMIFS(SIP[Cost of Units Sold],SIP[Investor ID],INVESTORS_LIST[[#This Row],[INVESTOR CODE]],SIP[B/S],"S"))</f>
        <v>0</v>
      </c>
      <c r="Q80" s="6">
        <f>IF(INVESTORS_LIST[[#This Row],[SIP_TOTAL CURRENT UNITS]]=0,0,INVESTORS_LIST[[#This Row],[SIP_TOTAL CURRENT UNITS]]*INVESTORS_LIST[[#This Row],[SIP_AVERAGE COST]])</f>
        <v>0</v>
      </c>
      <c r="R80" s="6">
        <f>IF(INVESTORS_LIST[[#This Row],[SIP_TOTAL UNITS SOLD]]=0,0,SUMIFS(SIP[Realized Gain],SIP[Investor ID],INVESTORS_LIST[[#This Row],[INVESTOR CODE]],SIP[B/S],"S"))</f>
        <v>0</v>
      </c>
      <c r="S80" s="33">
        <f>INVESTORS_LIST[[#This Row],[LS_TOTAL UNITS BUY]]+INVESTORS_LIST[[#This Row],[SIP_TOTAL UNITS BUY]]</f>
        <v>0</v>
      </c>
      <c r="T80" s="33">
        <f>INVESTORS_LIST[[#This Row],[LS_TOTAL UNITS SOLD]]+INVESTORS_LIST[[#This Row],[SIP_TOTAL UNITS SOLD]]</f>
        <v>0</v>
      </c>
      <c r="U80" s="33">
        <v>0</v>
      </c>
      <c r="V80" s="33">
        <f>SUMIFS(LS[BO UNIT TRANSFER],LS[Investor ID],INVESTORS_LIST[[#This Row],[INVESTOR CODE]],LS[B/S],"B")</f>
        <v>0</v>
      </c>
      <c r="W80" s="33">
        <f>SUMIFS(LS[BO UNIT TRANSFER],LS[Investor ID],INVESTORS_LIST[[#This Row],[INVESTOR CODE]],LS[B/S],"S")</f>
        <v>0</v>
      </c>
      <c r="X80" s="33">
        <f>SUMIFS(SIP[BO UNIT TRANSFER],SIP[Investor ID],INVESTORS_LIST[[#This Row],[INVESTOR CODE]],SIP[B/S],"S")</f>
        <v>0</v>
      </c>
      <c r="Y80" s="33">
        <f>SUMIFS(SIP[BO UNIT TRANSFER],SIP[Investor ID],INVESTORS_LIST[[#This Row],[INVESTOR CODE]],SIP[B/S],"B")</f>
        <v>0</v>
      </c>
      <c r="Z8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80" s="119">
        <f>INVESTORS_LIST[[#This Row],[TOTAL UNITS BUY]]-INVESTORS_LIST[[#This Row],[TOTAL UNITS SOLD]]</f>
        <v>0</v>
      </c>
      <c r="AB80" s="119">
        <f>INVESTORS_LIST[[#This Row],[TOTAL CURRENT UNITS]]-INVESTORS_LIST[[#This Row],[BO UNITS HOLD]]</f>
        <v>0</v>
      </c>
      <c r="AC80" s="119" t="e">
        <f>INDEX([4]!Table_1[BO ID],MATCH(INVESTORS_LIST[[#This Row],[INVESTOR CODE]],[4]!Table_1[INVESTOR CODE],0))</f>
        <v>#REF!</v>
      </c>
      <c r="AD80" s="33">
        <f>INVESTORS_LIST[[#This Row],[LS_TOTAL COST VALUE OF CURRENT UNITS]]+INVESTORS_LIST[[#This Row],[SIP_TOTAL COST VALUE OF CURRENT UNITS]]</f>
        <v>0</v>
      </c>
      <c r="AE80" s="44">
        <f>IF(INVESTORS_LIST[[#This Row],[TOTAL CURRENT UNITS]]=0,0,INVESTORS_LIST[[#This Row],[LS_TOTAL CURRENT UNITS]]/INVESTORS_LIST[[#This Row],[TOTAL CURRENT UNITS]])</f>
        <v>0</v>
      </c>
      <c r="AF80" s="44">
        <f>IF(INVESTORS_LIST[[#This Row],[TOTAL CURRENT UNITS]]=0,0,INVESTORS_LIST[[#This Row],[SIP_TOTAL CURRENT UNITS]]/INVESTORS_LIST[[#This Row],[TOTAL CURRENT UNITS]])</f>
        <v>0</v>
      </c>
      <c r="AG80" s="4" cm="1">
        <f t="array" ref="AG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80" s="4" cm="1">
        <f t="array" ref="AH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8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80" s="178">
        <f t="shared" si="1"/>
        <v>12.552</v>
      </c>
      <c r="AK80" s="118">
        <f>IF(INVESTORS_LIST[[#This Row],[TOTAL CURRENT UNITS]]=0,0,INVESTORS_LIST[[#This Row],[TOTAL CURRENT UNITS]]*INVESTORS_LIST[[#This Row],[NAV]])</f>
        <v>0</v>
      </c>
      <c r="AL80" s="4">
        <f>IF(INVESTORS_LIST[[#This Row],[LS_TOTAL CURRENT UNITS]]=0,0,INVESTORS_LIST[[#This Row],[LS_TOTAL CURRENT UNITS]]*INVESTORS_LIST[[#This Row],[NAV]])</f>
        <v>0</v>
      </c>
      <c r="AM80" s="6">
        <f>IF(INVESTORS_LIST[[#This Row],[SIP_TOTAL CURRENT UNITS]]=0,0,INVESTORS_LIST[[#This Row],[SIP_TOTAL CURRENT UNITS]]*INVESTORS_LIST[[#This Row],[NAV]])</f>
        <v>0</v>
      </c>
      <c r="AO80" s="6">
        <f>IF(INVESTORS_LIST[[#This Row],[TOTAL SELLABLE UNITS]]=0,0,INVESTORS_LIST[[#This Row],[TOTAL SELLABLE UNITS]]*INVESTORS_LIST[[#This Row],[NAV]])</f>
        <v>0</v>
      </c>
      <c r="AP80" s="6">
        <f>INVESTORS_LIST[[#This Row],[LS_TOTAL REALIZED GAIN]]+INVESTORS_LIST[[#This Row],[SIP_TOTAL REALIZED GAIN]]</f>
        <v>0</v>
      </c>
      <c r="AQ80" s="6">
        <f>INVESTORS_LIST[[#This Row],[TOTAL MARKET VALUE]]-INVESTORS_LIST[[#This Row],[TOTAL COST VALUE OF CURRENT INVESTMENT]]</f>
        <v>0</v>
      </c>
      <c r="AR80" s="6">
        <f>SUMIFS(DivAndTax[Tax Amount],DivAndTax[Investor ID],INVESTORS_LIST[[#This Row],[INVESTOR CODE]])</f>
        <v>0</v>
      </c>
      <c r="AS80" s="6">
        <f>SUMIFS(DivAndTax[Gross Dividend],DivAndTax[Investor ID],INVESTORS_LIST[[#This Row],[INVESTOR CODE]])</f>
        <v>0</v>
      </c>
      <c r="AT80" s="5">
        <f>IFERROR(INVESTORS_LIST[[#This Row],[TOTAL CURRENT UNITS]]/SUM(INVESTORS_LIST[TOTAL CURRENT UNITS]),0)</f>
        <v>0</v>
      </c>
    </row>
    <row r="81" spans="1:46">
      <c r="A81" t="s">
        <v>627</v>
      </c>
      <c r="B81" t="s">
        <v>89</v>
      </c>
      <c r="C81" t="s">
        <v>537</v>
      </c>
      <c r="D81" s="8" t="s">
        <v>5</v>
      </c>
      <c r="E81" s="2">
        <f>SUMIFS(LS[Unit],LS[Investor ID],INVESTORS_LIST[[#This Row],[INVESTOR CODE]],LS[B/S],"B")</f>
        <v>1000000</v>
      </c>
      <c r="F81" s="2">
        <f>-SUMIFS(LS[Unit],LS[Investor ID],INVESTORS_LIST[[#This Row],[INVESTOR CODE]],LS[B/S],"S")</f>
        <v>500000</v>
      </c>
      <c r="G81" s="2">
        <f>IF(INVESTORS_LIST[[#This Row],[LS_TOTAL UNITS BUY]]=0,0,INVESTORS_LIST[[#This Row],[LS_TOTAL UNITS BUY]]-INVESTORS_LIST[[#This Row],[LS_TOTAL UNITS SOLD]])</f>
        <v>500000</v>
      </c>
      <c r="H81" s="4">
        <f>IF(INVESTORS_LIST[[#This Row],[LS_TOTAL UNITS BUY]]=0,0,SUMIFS(LS[Amount],LS[Investor ID],INVESTORS_LIST[[#This Row],[INVESTOR CODE]],LS[B/S],"B"))</f>
        <v>10000000</v>
      </c>
      <c r="I81" s="6">
        <f>IF(INVESTORS_LIST[[#This Row],[LS_TOTAL UNITS SOLD]]=0,0,SUMIFS(LS[Cost of Units Sold],LS[Investor ID],INVESTORS_LIST[[#This Row],[INVESTOR CODE]],LS[B/S],"S"))</f>
        <v>5000000</v>
      </c>
      <c r="J81" s="6">
        <f>IF(INVESTORS_LIST[[#This Row],[LS_TOTAL CURRENT UNITS]]=0,0,INVESTORS_LIST[[#This Row],[LS_TOTAL CURRENT UNITS]]*INVESTORS_LIST[[#This Row],[LS_AVERAGE COST]])</f>
        <v>5000000</v>
      </c>
      <c r="K81" s="4">
        <f>IF(INVESTORS_LIST[[#This Row],[LS_TOTAL UNITS SOLD]]=0,0,SUMIFS(LS[Realized Gain],LS[Investor ID],INVESTORS_LIST[[#This Row],[INVESTOR CODE]],LS[B/S],"S"))</f>
        <v>25000.000000000357</v>
      </c>
      <c r="L81" s="2">
        <f>SUMIFS(SIP[Unit],SIP[Investor ID],INVESTORS_LIST[[#This Row],[INVESTOR CODE]],SIP[B/S],"B")</f>
        <v>0</v>
      </c>
      <c r="M81" s="2">
        <f>-SUMIFS(SIP[Unit],SIP[Investor ID],INVESTORS_LIST[[#This Row],[INVESTOR CODE]],SIP[B/S],"S")</f>
        <v>0</v>
      </c>
      <c r="N81" s="33">
        <f>IF(INVESTORS_LIST[[#This Row],[SIP_TOTAL UNITS BUY]]=0,0,INVESTORS_LIST[[#This Row],[SIP_TOTAL UNITS BUY]]-INVESTORS_LIST[[#This Row],[SIP_TOTAL UNITS SOLD]])</f>
        <v>0</v>
      </c>
      <c r="O81" s="4">
        <f>IF(INVESTORS_LIST[[#This Row],[SIP_TOTAL UNITS BUY]]=0,0,SUMIFS(SIP[Amount],SIP[Investor ID],INVESTORS_LIST[[#This Row],[INVESTOR CODE]],SIP[B/S],"B"))</f>
        <v>0</v>
      </c>
      <c r="P81" s="4">
        <f>IF(INVESTORS_LIST[[#This Row],[SIP_TOTAL UNITS SOLD]]=0,0,SUMIFS(SIP[Cost of Units Sold],SIP[Investor ID],INVESTORS_LIST[[#This Row],[INVESTOR CODE]],SIP[B/S],"S"))</f>
        <v>0</v>
      </c>
      <c r="Q81" s="6">
        <f>IF(INVESTORS_LIST[[#This Row],[SIP_TOTAL CURRENT UNITS]]=0,0,INVESTORS_LIST[[#This Row],[SIP_TOTAL CURRENT UNITS]]*INVESTORS_LIST[[#This Row],[SIP_AVERAGE COST]])</f>
        <v>0</v>
      </c>
      <c r="R81" s="6">
        <f>IF(INVESTORS_LIST[[#This Row],[SIP_TOTAL UNITS SOLD]]=0,0,SUMIFS(SIP[Realized Gain],SIP[Investor ID],INVESTORS_LIST[[#This Row],[INVESTOR CODE]],SIP[B/S],"S"))</f>
        <v>0</v>
      </c>
      <c r="S81" s="33">
        <f>INVESTORS_LIST[[#This Row],[LS_TOTAL UNITS BUY]]+INVESTORS_LIST[[#This Row],[SIP_TOTAL UNITS BUY]]</f>
        <v>1000000</v>
      </c>
      <c r="T81" s="33">
        <f>INVESTORS_LIST[[#This Row],[LS_TOTAL UNITS SOLD]]+INVESTORS_LIST[[#This Row],[SIP_TOTAL UNITS SOLD]]</f>
        <v>500000</v>
      </c>
      <c r="U81" s="33">
        <v>500000</v>
      </c>
      <c r="V81" s="33">
        <f>SUMIFS(LS[BO UNIT TRANSFER],LS[Investor ID],INVESTORS_LIST[[#This Row],[INVESTOR CODE]],LS[B/S],"B")</f>
        <v>0</v>
      </c>
      <c r="W81" s="33">
        <f>SUMIFS(LS[BO UNIT TRANSFER],LS[Investor ID],INVESTORS_LIST[[#This Row],[INVESTOR CODE]],LS[B/S],"S")</f>
        <v>0</v>
      </c>
      <c r="X81" s="33">
        <f>SUMIFS(SIP[BO UNIT TRANSFER],SIP[Investor ID],INVESTORS_LIST[[#This Row],[INVESTOR CODE]],SIP[B/S],"S")</f>
        <v>0</v>
      </c>
      <c r="Y81" s="33">
        <f>SUMIFS(SIP[BO UNIT TRANSFER],SIP[Investor ID],INVESTORS_LIST[[#This Row],[INVESTOR CODE]],SIP[B/S],"B")</f>
        <v>0</v>
      </c>
      <c r="Z8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500000</v>
      </c>
      <c r="AA81" s="119">
        <f>INVESTORS_LIST[[#This Row],[TOTAL UNITS BUY]]-INVESTORS_LIST[[#This Row],[TOTAL UNITS SOLD]]</f>
        <v>500000</v>
      </c>
      <c r="AB81" s="119">
        <f>INVESTORS_LIST[[#This Row],[TOTAL CURRENT UNITS]]-INVESTORS_LIST[[#This Row],[BO UNITS HOLD]]</f>
        <v>0</v>
      </c>
      <c r="AC81" s="119" t="e">
        <f>INDEX([4]!Table_1[BO ID],MATCH(INVESTORS_LIST[[#This Row],[INVESTOR CODE]],[4]!Table_1[INVESTOR CODE],0))</f>
        <v>#REF!</v>
      </c>
      <c r="AD81" s="33">
        <f>INVESTORS_LIST[[#This Row],[LS_TOTAL COST VALUE OF CURRENT UNITS]]+INVESTORS_LIST[[#This Row],[SIP_TOTAL COST VALUE OF CURRENT UNITS]]</f>
        <v>5000000</v>
      </c>
      <c r="AE81" s="44">
        <f>IF(INVESTORS_LIST[[#This Row],[TOTAL CURRENT UNITS]]=0,0,INVESTORS_LIST[[#This Row],[LS_TOTAL CURRENT UNITS]]/INVESTORS_LIST[[#This Row],[TOTAL CURRENT UNITS]])</f>
        <v>1</v>
      </c>
      <c r="AF81" s="44">
        <f>IF(INVESTORS_LIST[[#This Row],[TOTAL CURRENT UNITS]]=0,0,INVESTORS_LIST[[#This Row],[SIP_TOTAL CURRENT UNITS]]/INVESTORS_LIST[[#This Row],[TOTAL CURRENT UNITS]])</f>
        <v>0</v>
      </c>
      <c r="AG81" s="4" cm="1">
        <f t="array" ref="AG81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81" s="4" cm="1">
        <f t="array" ref="AH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81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81" s="178">
        <f t="shared" si="1"/>
        <v>12.552</v>
      </c>
      <c r="AK81" s="118">
        <f>IF(INVESTORS_LIST[[#This Row],[TOTAL CURRENT UNITS]]=0,0,INVESTORS_LIST[[#This Row],[TOTAL CURRENT UNITS]]*INVESTORS_LIST[[#This Row],[NAV]])</f>
        <v>6276000</v>
      </c>
      <c r="AL81" s="4">
        <f>IF(INVESTORS_LIST[[#This Row],[LS_TOTAL CURRENT UNITS]]=0,0,INVESTORS_LIST[[#This Row],[LS_TOTAL CURRENT UNITS]]*INVESTORS_LIST[[#This Row],[NAV]])</f>
        <v>6276000</v>
      </c>
      <c r="AM81" s="6">
        <f>IF(INVESTORS_LIST[[#This Row],[SIP_TOTAL CURRENT UNITS]]=0,0,INVESTORS_LIST[[#This Row],[SIP_TOTAL CURRENT UNITS]]*INVESTORS_LIST[[#This Row],[NAV]])</f>
        <v>0</v>
      </c>
      <c r="AO81" s="6">
        <f>IF(INVESTORS_LIST[[#This Row],[TOTAL SELLABLE UNITS]]=0,0,INVESTORS_LIST[[#This Row],[TOTAL SELLABLE UNITS]]*INVESTORS_LIST[[#This Row],[NAV]])</f>
        <v>0</v>
      </c>
      <c r="AP81" s="6">
        <f>INVESTORS_LIST[[#This Row],[LS_TOTAL REALIZED GAIN]]+INVESTORS_LIST[[#This Row],[SIP_TOTAL REALIZED GAIN]]</f>
        <v>25000.000000000357</v>
      </c>
      <c r="AQ81" s="6">
        <f>INVESTORS_LIST[[#This Row],[TOTAL MARKET VALUE]]-INVESTORS_LIST[[#This Row],[TOTAL COST VALUE OF CURRENT INVESTMENT]]</f>
        <v>1276000</v>
      </c>
      <c r="AR81" s="6">
        <f>SUMIFS(DivAndTax[Tax Amount],DivAndTax[Investor ID],INVESTORS_LIST[[#This Row],[INVESTOR CODE]])</f>
        <v>110000</v>
      </c>
      <c r="AS81" s="6">
        <f>SUMIFS(DivAndTax[Gross Dividend],DivAndTax[Investor ID],INVESTORS_LIST[[#This Row],[INVESTOR CODE]])</f>
        <v>550000</v>
      </c>
      <c r="AT81" s="5">
        <f>IFERROR(INVESTORS_LIST[[#This Row],[TOTAL CURRENT UNITS]]/SUM(INVESTORS_LIST[TOTAL CURRENT UNITS]),0)</f>
        <v>2.3972417528171426E-2</v>
      </c>
    </row>
    <row r="82" spans="1:46" hidden="1">
      <c r="A82" t="s">
        <v>776</v>
      </c>
      <c r="B82" t="s">
        <v>90</v>
      </c>
      <c r="C82" t="s">
        <v>536</v>
      </c>
      <c r="D82" s="8" t="s">
        <v>2</v>
      </c>
      <c r="E82" s="2">
        <f>SUMIFS(LS[Unit],LS[Investor ID],INVESTORS_LIST[[#This Row],[INVESTOR CODE]],LS[B/S],"B")</f>
        <v>0</v>
      </c>
      <c r="F82" s="2">
        <f>-SUMIFS(LS[Unit],LS[Investor ID],INVESTORS_LIST[[#This Row],[INVESTOR CODE]],LS[B/S],"S")</f>
        <v>0</v>
      </c>
      <c r="G82" s="2">
        <f>IF(INVESTORS_LIST[[#This Row],[LS_TOTAL UNITS BUY]]=0,0,INVESTORS_LIST[[#This Row],[LS_TOTAL UNITS BUY]]-INVESTORS_LIST[[#This Row],[LS_TOTAL UNITS SOLD]])</f>
        <v>0</v>
      </c>
      <c r="H82" s="4">
        <f>IF(INVESTORS_LIST[[#This Row],[LS_TOTAL UNITS BUY]]=0,0,SUMIFS(LS[Amount],LS[Investor ID],INVESTORS_LIST[[#This Row],[INVESTOR CODE]],LS[B/S],"B"))</f>
        <v>0</v>
      </c>
      <c r="I82" s="6">
        <f>IF(INVESTORS_LIST[[#This Row],[LS_TOTAL UNITS SOLD]]=0,0,SUMIFS(LS[Cost of Units Sold],LS[Investor ID],INVESTORS_LIST[[#This Row],[INVESTOR CODE]],LS[B/S],"S"))</f>
        <v>0</v>
      </c>
      <c r="J82" s="6">
        <f>IF(INVESTORS_LIST[[#This Row],[LS_TOTAL CURRENT UNITS]]=0,0,INVESTORS_LIST[[#This Row],[LS_TOTAL CURRENT UNITS]]*INVESTORS_LIST[[#This Row],[LS_AVERAGE COST]])</f>
        <v>0</v>
      </c>
      <c r="K82" s="4">
        <f>IF(INVESTORS_LIST[[#This Row],[LS_TOTAL UNITS SOLD]]=0,0,SUMIFS(LS[Realized Gain],LS[Investor ID],INVESTORS_LIST[[#This Row],[INVESTOR CODE]],LS[B/S],"S"))</f>
        <v>0</v>
      </c>
      <c r="L82" s="2">
        <f>SUMIFS(SIP[Unit],SIP[Investor ID],INVESTORS_LIST[[#This Row],[INVESTOR CODE]],SIP[B/S],"B")</f>
        <v>0</v>
      </c>
      <c r="M82" s="2">
        <f>-SUMIFS(SIP[Unit],SIP[Investor ID],INVESTORS_LIST[[#This Row],[INVESTOR CODE]],SIP[B/S],"S")</f>
        <v>0</v>
      </c>
      <c r="N82" s="33">
        <f>IF(INVESTORS_LIST[[#This Row],[SIP_TOTAL UNITS BUY]]=0,0,INVESTORS_LIST[[#This Row],[SIP_TOTAL UNITS BUY]]-INVESTORS_LIST[[#This Row],[SIP_TOTAL UNITS SOLD]])</f>
        <v>0</v>
      </c>
      <c r="O82" s="4">
        <f>IF(INVESTORS_LIST[[#This Row],[SIP_TOTAL UNITS BUY]]=0,0,SUMIFS(SIP[Amount],SIP[Investor ID],INVESTORS_LIST[[#This Row],[INVESTOR CODE]],SIP[B/S],"B"))</f>
        <v>0</v>
      </c>
      <c r="P82" s="4">
        <f>IF(INVESTORS_LIST[[#This Row],[SIP_TOTAL UNITS SOLD]]=0,0,SUMIFS(SIP[Cost of Units Sold],SIP[Investor ID],INVESTORS_LIST[[#This Row],[INVESTOR CODE]],SIP[B/S],"S"))</f>
        <v>0</v>
      </c>
      <c r="Q82" s="6">
        <f>IF(INVESTORS_LIST[[#This Row],[SIP_TOTAL CURRENT UNITS]]=0,0,INVESTORS_LIST[[#This Row],[SIP_TOTAL CURRENT UNITS]]*INVESTORS_LIST[[#This Row],[SIP_AVERAGE COST]])</f>
        <v>0</v>
      </c>
      <c r="R82" s="6">
        <f>IF(INVESTORS_LIST[[#This Row],[SIP_TOTAL UNITS SOLD]]=0,0,SUMIFS(SIP[Realized Gain],SIP[Investor ID],INVESTORS_LIST[[#This Row],[INVESTOR CODE]],SIP[B/S],"S"))</f>
        <v>0</v>
      </c>
      <c r="S82" s="33">
        <f>INVESTORS_LIST[[#This Row],[LS_TOTAL UNITS BUY]]+INVESTORS_LIST[[#This Row],[SIP_TOTAL UNITS BUY]]</f>
        <v>0</v>
      </c>
      <c r="T82" s="33">
        <f>INVESTORS_LIST[[#This Row],[LS_TOTAL UNITS SOLD]]+INVESTORS_LIST[[#This Row],[SIP_TOTAL UNITS SOLD]]</f>
        <v>0</v>
      </c>
      <c r="U82" s="33">
        <v>0</v>
      </c>
      <c r="V82" s="33">
        <f>SUMIFS(LS[BO UNIT TRANSFER],LS[Investor ID],INVESTORS_LIST[[#This Row],[INVESTOR CODE]],LS[B/S],"B")</f>
        <v>0</v>
      </c>
      <c r="W82" s="33">
        <f>SUMIFS(LS[BO UNIT TRANSFER],LS[Investor ID],INVESTORS_LIST[[#This Row],[INVESTOR CODE]],LS[B/S],"S")</f>
        <v>0</v>
      </c>
      <c r="X82" s="33">
        <f>SUMIFS(SIP[BO UNIT TRANSFER],SIP[Investor ID],INVESTORS_LIST[[#This Row],[INVESTOR CODE]],SIP[B/S],"S")</f>
        <v>0</v>
      </c>
      <c r="Y82" s="33">
        <f>SUMIFS(SIP[BO UNIT TRANSFER],SIP[Investor ID],INVESTORS_LIST[[#This Row],[INVESTOR CODE]],SIP[B/S],"B")</f>
        <v>0</v>
      </c>
      <c r="Z8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82" s="119">
        <f>INVESTORS_LIST[[#This Row],[TOTAL UNITS BUY]]-INVESTORS_LIST[[#This Row],[TOTAL UNITS SOLD]]</f>
        <v>0</v>
      </c>
      <c r="AB82" s="119">
        <f>INVESTORS_LIST[[#This Row],[TOTAL CURRENT UNITS]]-INVESTORS_LIST[[#This Row],[BO UNITS HOLD]]</f>
        <v>0</v>
      </c>
      <c r="AC82" s="119" t="e">
        <f>INDEX([4]!Table_1[BO ID],MATCH(INVESTORS_LIST[[#This Row],[INVESTOR CODE]],[4]!Table_1[INVESTOR CODE],0))</f>
        <v>#REF!</v>
      </c>
      <c r="AD82" s="33">
        <f>INVESTORS_LIST[[#This Row],[LS_TOTAL COST VALUE OF CURRENT UNITS]]+INVESTORS_LIST[[#This Row],[SIP_TOTAL COST VALUE OF CURRENT UNITS]]</f>
        <v>0</v>
      </c>
      <c r="AE82" s="44">
        <f>IF(INVESTORS_LIST[[#This Row],[TOTAL CURRENT UNITS]]=0,0,INVESTORS_LIST[[#This Row],[LS_TOTAL CURRENT UNITS]]/INVESTORS_LIST[[#This Row],[TOTAL CURRENT UNITS]])</f>
        <v>0</v>
      </c>
      <c r="AF82" s="44">
        <f>IF(INVESTORS_LIST[[#This Row],[TOTAL CURRENT UNITS]]=0,0,INVESTORS_LIST[[#This Row],[SIP_TOTAL CURRENT UNITS]]/INVESTORS_LIST[[#This Row],[TOTAL CURRENT UNITS]])</f>
        <v>0</v>
      </c>
      <c r="AG82" s="4" cm="1">
        <f t="array" ref="AG8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82" s="4" cm="1">
        <f t="array" ref="AH8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8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82" s="178">
        <f t="shared" si="1"/>
        <v>12.552</v>
      </c>
      <c r="AK82" s="118">
        <f>IF(INVESTORS_LIST[[#This Row],[TOTAL CURRENT UNITS]]=0,0,INVESTORS_LIST[[#This Row],[TOTAL CURRENT UNITS]]*INVESTORS_LIST[[#This Row],[NAV]])</f>
        <v>0</v>
      </c>
      <c r="AL82" s="4">
        <f>IF(INVESTORS_LIST[[#This Row],[LS_TOTAL CURRENT UNITS]]=0,0,INVESTORS_LIST[[#This Row],[LS_TOTAL CURRENT UNITS]]*INVESTORS_LIST[[#This Row],[NAV]])</f>
        <v>0</v>
      </c>
      <c r="AM82" s="6">
        <f>IF(INVESTORS_LIST[[#This Row],[SIP_TOTAL CURRENT UNITS]]=0,0,INVESTORS_LIST[[#This Row],[SIP_TOTAL CURRENT UNITS]]*INVESTORS_LIST[[#This Row],[NAV]])</f>
        <v>0</v>
      </c>
      <c r="AO82" s="6">
        <f>IF(INVESTORS_LIST[[#This Row],[TOTAL SELLABLE UNITS]]=0,0,INVESTORS_LIST[[#This Row],[TOTAL SELLABLE UNITS]]*INVESTORS_LIST[[#This Row],[NAV]])</f>
        <v>0</v>
      </c>
      <c r="AP82" s="6">
        <f>INVESTORS_LIST[[#This Row],[LS_TOTAL REALIZED GAIN]]+INVESTORS_LIST[[#This Row],[SIP_TOTAL REALIZED GAIN]]</f>
        <v>0</v>
      </c>
      <c r="AQ82" s="6">
        <f>INVESTORS_LIST[[#This Row],[TOTAL MARKET VALUE]]-INVESTORS_LIST[[#This Row],[TOTAL COST VALUE OF CURRENT INVESTMENT]]</f>
        <v>0</v>
      </c>
      <c r="AR82" s="6">
        <f>SUMIFS(DivAndTax[Tax Amount],DivAndTax[Investor ID],INVESTORS_LIST[[#This Row],[INVESTOR CODE]])</f>
        <v>0</v>
      </c>
      <c r="AS82" s="6">
        <f>SUMIFS(DivAndTax[Gross Dividend],DivAndTax[Investor ID],INVESTORS_LIST[[#This Row],[INVESTOR CODE]])</f>
        <v>0</v>
      </c>
      <c r="AT82" s="5">
        <f>IFERROR(INVESTORS_LIST[[#This Row],[TOTAL CURRENT UNITS]]/SUM(INVESTORS_LIST[TOTAL CURRENT UNITS]),0)</f>
        <v>0</v>
      </c>
    </row>
    <row r="83" spans="1:46" hidden="1">
      <c r="A83" t="s">
        <v>777</v>
      </c>
      <c r="B83" t="s">
        <v>91</v>
      </c>
      <c r="C83" t="s">
        <v>538</v>
      </c>
      <c r="D83" s="8" t="s">
        <v>2</v>
      </c>
      <c r="E83" s="2">
        <f>SUMIFS(LS[Unit],LS[Investor ID],INVESTORS_LIST[[#This Row],[INVESTOR CODE]],LS[B/S],"B")</f>
        <v>110000</v>
      </c>
      <c r="F83" s="2">
        <f>-SUMIFS(LS[Unit],LS[Investor ID],INVESTORS_LIST[[#This Row],[INVESTOR CODE]],LS[B/S],"S")</f>
        <v>110000</v>
      </c>
      <c r="G83" s="2">
        <f>IF(INVESTORS_LIST[[#This Row],[LS_TOTAL UNITS BUY]]=0,0,INVESTORS_LIST[[#This Row],[LS_TOTAL UNITS BUY]]-INVESTORS_LIST[[#This Row],[LS_TOTAL UNITS SOLD]])</f>
        <v>0</v>
      </c>
      <c r="H83" s="4">
        <f>IF(INVESTORS_LIST[[#This Row],[LS_TOTAL UNITS BUY]]=0,0,SUMIFS(LS[Amount],LS[Investor ID],INVESTORS_LIST[[#This Row],[INVESTOR CODE]],LS[B/S],"B"))</f>
        <v>1100000</v>
      </c>
      <c r="I83" s="6">
        <f>IF(INVESTORS_LIST[[#This Row],[LS_TOTAL UNITS SOLD]]=0,0,SUMIFS(LS[Cost of Units Sold],LS[Investor ID],INVESTORS_LIST[[#This Row],[INVESTOR CODE]],LS[B/S],"S"))</f>
        <v>1100000</v>
      </c>
      <c r="J83" s="6">
        <f>IF(INVESTORS_LIST[[#This Row],[LS_TOTAL CURRENT UNITS]]=0,0,INVESTORS_LIST[[#This Row],[LS_TOTAL CURRENT UNITS]]*INVESTORS_LIST[[#This Row],[LS_AVERAGE COST]])</f>
        <v>0</v>
      </c>
      <c r="K83" s="4">
        <f>IF(INVESTORS_LIST[[#This Row],[LS_TOTAL UNITS SOLD]]=0,0,SUMIFS(LS[Realized Gain],LS[Investor ID],INVESTORS_LIST[[#This Row],[INVESTOR CODE]],LS[B/S],"S"))</f>
        <v>-1099.9999999999766</v>
      </c>
      <c r="L83" s="2">
        <f>SUMIFS(SIP[Unit],SIP[Investor ID],INVESTORS_LIST[[#This Row],[INVESTOR CODE]],SIP[B/S],"B")</f>
        <v>0</v>
      </c>
      <c r="M83" s="2">
        <f>-SUMIFS(SIP[Unit],SIP[Investor ID],INVESTORS_LIST[[#This Row],[INVESTOR CODE]],SIP[B/S],"S")</f>
        <v>0</v>
      </c>
      <c r="N83" s="33">
        <f>IF(INVESTORS_LIST[[#This Row],[SIP_TOTAL UNITS BUY]]=0,0,INVESTORS_LIST[[#This Row],[SIP_TOTAL UNITS BUY]]-INVESTORS_LIST[[#This Row],[SIP_TOTAL UNITS SOLD]])</f>
        <v>0</v>
      </c>
      <c r="O83" s="4">
        <f>IF(INVESTORS_LIST[[#This Row],[SIP_TOTAL UNITS BUY]]=0,0,SUMIFS(SIP[Amount],SIP[Investor ID],INVESTORS_LIST[[#This Row],[INVESTOR CODE]],SIP[B/S],"B"))</f>
        <v>0</v>
      </c>
      <c r="P83" s="4">
        <f>IF(INVESTORS_LIST[[#This Row],[SIP_TOTAL UNITS SOLD]]=0,0,SUMIFS(SIP[Cost of Units Sold],SIP[Investor ID],INVESTORS_LIST[[#This Row],[INVESTOR CODE]],SIP[B/S],"S"))</f>
        <v>0</v>
      </c>
      <c r="Q83" s="6">
        <f>IF(INVESTORS_LIST[[#This Row],[SIP_TOTAL CURRENT UNITS]]=0,0,INVESTORS_LIST[[#This Row],[SIP_TOTAL CURRENT UNITS]]*INVESTORS_LIST[[#This Row],[SIP_AVERAGE COST]])</f>
        <v>0</v>
      </c>
      <c r="R83" s="6">
        <f>IF(INVESTORS_LIST[[#This Row],[SIP_TOTAL UNITS SOLD]]=0,0,SUMIFS(SIP[Realized Gain],SIP[Investor ID],INVESTORS_LIST[[#This Row],[INVESTOR CODE]],SIP[B/S],"S"))</f>
        <v>0</v>
      </c>
      <c r="S83" s="33">
        <f>INVESTORS_LIST[[#This Row],[LS_TOTAL UNITS BUY]]+INVESTORS_LIST[[#This Row],[SIP_TOTAL UNITS BUY]]</f>
        <v>110000</v>
      </c>
      <c r="T83" s="33">
        <f>INVESTORS_LIST[[#This Row],[LS_TOTAL UNITS SOLD]]+INVESTORS_LIST[[#This Row],[SIP_TOTAL UNITS SOLD]]</f>
        <v>110000</v>
      </c>
      <c r="U83" s="33">
        <v>0</v>
      </c>
      <c r="V83" s="33">
        <f>SUMIFS(LS[BO UNIT TRANSFER],LS[Investor ID],INVESTORS_LIST[[#This Row],[INVESTOR CODE]],LS[B/S],"B")</f>
        <v>0</v>
      </c>
      <c r="W83" s="33">
        <f>SUMIFS(LS[BO UNIT TRANSFER],LS[Investor ID],INVESTORS_LIST[[#This Row],[INVESTOR CODE]],LS[B/S],"S")</f>
        <v>0</v>
      </c>
      <c r="X83" s="33">
        <f>SUMIFS(SIP[BO UNIT TRANSFER],SIP[Investor ID],INVESTORS_LIST[[#This Row],[INVESTOR CODE]],SIP[B/S],"S")</f>
        <v>0</v>
      </c>
      <c r="Y83" s="33">
        <f>SUMIFS(SIP[BO UNIT TRANSFER],SIP[Investor ID],INVESTORS_LIST[[#This Row],[INVESTOR CODE]],SIP[B/S],"B")</f>
        <v>0</v>
      </c>
      <c r="Z8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83" s="119">
        <f>INVESTORS_LIST[[#This Row],[TOTAL UNITS BUY]]-INVESTORS_LIST[[#This Row],[TOTAL UNITS SOLD]]</f>
        <v>0</v>
      </c>
      <c r="AB83" s="119">
        <f>INVESTORS_LIST[[#This Row],[TOTAL CURRENT UNITS]]-INVESTORS_LIST[[#This Row],[BO UNITS HOLD]]</f>
        <v>0</v>
      </c>
      <c r="AC83" s="119" t="e">
        <f>INDEX([4]!Table_1[BO ID],MATCH(INVESTORS_LIST[[#This Row],[INVESTOR CODE]],[4]!Table_1[INVESTOR CODE],0))</f>
        <v>#REF!</v>
      </c>
      <c r="AD83" s="33">
        <f>INVESTORS_LIST[[#This Row],[LS_TOTAL COST VALUE OF CURRENT UNITS]]+INVESTORS_LIST[[#This Row],[SIP_TOTAL COST VALUE OF CURRENT UNITS]]</f>
        <v>0</v>
      </c>
      <c r="AE83" s="44">
        <f>IF(INVESTORS_LIST[[#This Row],[TOTAL CURRENT UNITS]]=0,0,INVESTORS_LIST[[#This Row],[LS_TOTAL CURRENT UNITS]]/INVESTORS_LIST[[#This Row],[TOTAL CURRENT UNITS]])</f>
        <v>0</v>
      </c>
      <c r="AF83" s="44">
        <f>IF(INVESTORS_LIST[[#This Row],[TOTAL CURRENT UNITS]]=0,0,INVESTORS_LIST[[#This Row],[SIP_TOTAL CURRENT UNITS]]/INVESTORS_LIST[[#This Row],[TOTAL CURRENT UNITS]])</f>
        <v>0</v>
      </c>
      <c r="AG83" s="4" cm="1">
        <f t="array" ref="AG8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83" s="4" cm="1">
        <f t="array" ref="AH8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8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83" s="178">
        <f t="shared" si="1"/>
        <v>12.552</v>
      </c>
      <c r="AK83" s="118">
        <f>IF(INVESTORS_LIST[[#This Row],[TOTAL CURRENT UNITS]]=0,0,INVESTORS_LIST[[#This Row],[TOTAL CURRENT UNITS]]*INVESTORS_LIST[[#This Row],[NAV]])</f>
        <v>0</v>
      </c>
      <c r="AL83" s="4">
        <f>IF(INVESTORS_LIST[[#This Row],[LS_TOTAL CURRENT UNITS]]=0,0,INVESTORS_LIST[[#This Row],[LS_TOTAL CURRENT UNITS]]*INVESTORS_LIST[[#This Row],[NAV]])</f>
        <v>0</v>
      </c>
      <c r="AM83" s="6">
        <f>IF(INVESTORS_LIST[[#This Row],[SIP_TOTAL CURRENT UNITS]]=0,0,INVESTORS_LIST[[#This Row],[SIP_TOTAL CURRENT UNITS]]*INVESTORS_LIST[[#This Row],[NAV]])</f>
        <v>0</v>
      </c>
      <c r="AO83" s="6">
        <f>IF(INVESTORS_LIST[[#This Row],[TOTAL SELLABLE UNITS]]=0,0,INVESTORS_LIST[[#This Row],[TOTAL SELLABLE UNITS]]*INVESTORS_LIST[[#This Row],[NAV]])</f>
        <v>0</v>
      </c>
      <c r="AP83" s="6">
        <f>INVESTORS_LIST[[#This Row],[LS_TOTAL REALIZED GAIN]]+INVESTORS_LIST[[#This Row],[SIP_TOTAL REALIZED GAIN]]</f>
        <v>-1099.9999999999766</v>
      </c>
      <c r="AQ83" s="6">
        <f>INVESTORS_LIST[[#This Row],[TOTAL MARKET VALUE]]-INVESTORS_LIST[[#This Row],[TOTAL COST VALUE OF CURRENT INVESTMENT]]</f>
        <v>0</v>
      </c>
      <c r="AR83" s="6">
        <f>SUMIFS(DivAndTax[Tax Amount],DivAndTax[Investor ID],INVESTORS_LIST[[#This Row],[INVESTOR CODE]])</f>
        <v>0</v>
      </c>
      <c r="AS83" s="6">
        <f>SUMIFS(DivAndTax[Gross Dividend],DivAndTax[Investor ID],INVESTORS_LIST[[#This Row],[INVESTOR CODE]])</f>
        <v>0</v>
      </c>
      <c r="AT83" s="5">
        <f>IFERROR(INVESTORS_LIST[[#This Row],[TOTAL CURRENT UNITS]]/SUM(INVESTORS_LIST[TOTAL CURRENT UNITS]),0)</f>
        <v>0</v>
      </c>
    </row>
    <row r="84" spans="1:46" hidden="1">
      <c r="A84" t="s">
        <v>778</v>
      </c>
      <c r="B84" t="s">
        <v>92</v>
      </c>
      <c r="C84" t="s">
        <v>536</v>
      </c>
      <c r="D84" s="8" t="s">
        <v>2</v>
      </c>
      <c r="E84" s="2">
        <f>SUMIFS(LS[Unit],LS[Investor ID],INVESTORS_LIST[[#This Row],[INVESTOR CODE]],LS[B/S],"B")</f>
        <v>0</v>
      </c>
      <c r="F84" s="2">
        <f>-SUMIFS(LS[Unit],LS[Investor ID],INVESTORS_LIST[[#This Row],[INVESTOR CODE]],LS[B/S],"S")</f>
        <v>0</v>
      </c>
      <c r="G84" s="2">
        <f>IF(INVESTORS_LIST[[#This Row],[LS_TOTAL UNITS BUY]]=0,0,INVESTORS_LIST[[#This Row],[LS_TOTAL UNITS BUY]]-INVESTORS_LIST[[#This Row],[LS_TOTAL UNITS SOLD]])</f>
        <v>0</v>
      </c>
      <c r="H84" s="4">
        <f>IF(INVESTORS_LIST[[#This Row],[LS_TOTAL UNITS BUY]]=0,0,SUMIFS(LS[Amount],LS[Investor ID],INVESTORS_LIST[[#This Row],[INVESTOR CODE]],LS[B/S],"B"))</f>
        <v>0</v>
      </c>
      <c r="I84" s="6">
        <f>IF(INVESTORS_LIST[[#This Row],[LS_TOTAL UNITS SOLD]]=0,0,SUMIFS(LS[Cost of Units Sold],LS[Investor ID],INVESTORS_LIST[[#This Row],[INVESTOR CODE]],LS[B/S],"S"))</f>
        <v>0</v>
      </c>
      <c r="J84" s="6">
        <f>IF(INVESTORS_LIST[[#This Row],[LS_TOTAL CURRENT UNITS]]=0,0,INVESTORS_LIST[[#This Row],[LS_TOTAL CURRENT UNITS]]*INVESTORS_LIST[[#This Row],[LS_AVERAGE COST]])</f>
        <v>0</v>
      </c>
      <c r="K84" s="4">
        <f>IF(INVESTORS_LIST[[#This Row],[LS_TOTAL UNITS SOLD]]=0,0,SUMIFS(LS[Realized Gain],LS[Investor ID],INVESTORS_LIST[[#This Row],[INVESTOR CODE]],LS[B/S],"S"))</f>
        <v>0</v>
      </c>
      <c r="L84" s="2">
        <f>SUMIFS(SIP[Unit],SIP[Investor ID],INVESTORS_LIST[[#This Row],[INVESTOR CODE]],SIP[B/S],"B")</f>
        <v>0</v>
      </c>
      <c r="M84" s="2">
        <f>-SUMIFS(SIP[Unit],SIP[Investor ID],INVESTORS_LIST[[#This Row],[INVESTOR CODE]],SIP[B/S],"S")</f>
        <v>0</v>
      </c>
      <c r="N84" s="33">
        <f>IF(INVESTORS_LIST[[#This Row],[SIP_TOTAL UNITS BUY]]=0,0,INVESTORS_LIST[[#This Row],[SIP_TOTAL UNITS BUY]]-INVESTORS_LIST[[#This Row],[SIP_TOTAL UNITS SOLD]])</f>
        <v>0</v>
      </c>
      <c r="O84" s="4">
        <f>IF(INVESTORS_LIST[[#This Row],[SIP_TOTAL UNITS BUY]]=0,0,SUMIFS(SIP[Amount],SIP[Investor ID],INVESTORS_LIST[[#This Row],[INVESTOR CODE]],SIP[B/S],"B"))</f>
        <v>0</v>
      </c>
      <c r="P84" s="4">
        <f>IF(INVESTORS_LIST[[#This Row],[SIP_TOTAL UNITS SOLD]]=0,0,SUMIFS(SIP[Cost of Units Sold],SIP[Investor ID],INVESTORS_LIST[[#This Row],[INVESTOR CODE]],SIP[B/S],"S"))</f>
        <v>0</v>
      </c>
      <c r="Q84" s="6">
        <f>IF(INVESTORS_LIST[[#This Row],[SIP_TOTAL CURRENT UNITS]]=0,0,INVESTORS_LIST[[#This Row],[SIP_TOTAL CURRENT UNITS]]*INVESTORS_LIST[[#This Row],[SIP_AVERAGE COST]])</f>
        <v>0</v>
      </c>
      <c r="R84" s="6">
        <f>IF(INVESTORS_LIST[[#This Row],[SIP_TOTAL UNITS SOLD]]=0,0,SUMIFS(SIP[Realized Gain],SIP[Investor ID],INVESTORS_LIST[[#This Row],[INVESTOR CODE]],SIP[B/S],"S"))</f>
        <v>0</v>
      </c>
      <c r="S84" s="33">
        <f>INVESTORS_LIST[[#This Row],[LS_TOTAL UNITS BUY]]+INVESTORS_LIST[[#This Row],[SIP_TOTAL UNITS BUY]]</f>
        <v>0</v>
      </c>
      <c r="T84" s="33">
        <f>INVESTORS_LIST[[#This Row],[LS_TOTAL UNITS SOLD]]+INVESTORS_LIST[[#This Row],[SIP_TOTAL UNITS SOLD]]</f>
        <v>0</v>
      </c>
      <c r="U84" s="33">
        <v>0</v>
      </c>
      <c r="V84" s="33">
        <f>SUMIFS(LS[BO UNIT TRANSFER],LS[Investor ID],INVESTORS_LIST[[#This Row],[INVESTOR CODE]],LS[B/S],"B")</f>
        <v>0</v>
      </c>
      <c r="W84" s="33">
        <f>SUMIFS(LS[BO UNIT TRANSFER],LS[Investor ID],INVESTORS_LIST[[#This Row],[INVESTOR CODE]],LS[B/S],"S")</f>
        <v>0</v>
      </c>
      <c r="X84" s="33">
        <f>SUMIFS(SIP[BO UNIT TRANSFER],SIP[Investor ID],INVESTORS_LIST[[#This Row],[INVESTOR CODE]],SIP[B/S],"S")</f>
        <v>0</v>
      </c>
      <c r="Y84" s="33">
        <f>SUMIFS(SIP[BO UNIT TRANSFER],SIP[Investor ID],INVESTORS_LIST[[#This Row],[INVESTOR CODE]],SIP[B/S],"B")</f>
        <v>0</v>
      </c>
      <c r="Z8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84" s="119">
        <f>INVESTORS_LIST[[#This Row],[TOTAL UNITS BUY]]-INVESTORS_LIST[[#This Row],[TOTAL UNITS SOLD]]</f>
        <v>0</v>
      </c>
      <c r="AB84" s="119">
        <f>INVESTORS_LIST[[#This Row],[TOTAL CURRENT UNITS]]-INVESTORS_LIST[[#This Row],[BO UNITS HOLD]]</f>
        <v>0</v>
      </c>
      <c r="AC84" s="119" t="e">
        <f>INDEX([4]!Table_1[BO ID],MATCH(INVESTORS_LIST[[#This Row],[INVESTOR CODE]],[4]!Table_1[INVESTOR CODE],0))</f>
        <v>#REF!</v>
      </c>
      <c r="AD84" s="33">
        <f>INVESTORS_LIST[[#This Row],[LS_TOTAL COST VALUE OF CURRENT UNITS]]+INVESTORS_LIST[[#This Row],[SIP_TOTAL COST VALUE OF CURRENT UNITS]]</f>
        <v>0</v>
      </c>
      <c r="AE84" s="44">
        <f>IF(INVESTORS_LIST[[#This Row],[TOTAL CURRENT UNITS]]=0,0,INVESTORS_LIST[[#This Row],[LS_TOTAL CURRENT UNITS]]/INVESTORS_LIST[[#This Row],[TOTAL CURRENT UNITS]])</f>
        <v>0</v>
      </c>
      <c r="AF84" s="44">
        <f>IF(INVESTORS_LIST[[#This Row],[TOTAL CURRENT UNITS]]=0,0,INVESTORS_LIST[[#This Row],[SIP_TOTAL CURRENT UNITS]]/INVESTORS_LIST[[#This Row],[TOTAL CURRENT UNITS]])</f>
        <v>0</v>
      </c>
      <c r="AG84" s="4" cm="1">
        <f t="array" ref="AG8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84" s="4" cm="1">
        <f t="array" ref="AH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8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84" s="178">
        <f t="shared" si="1"/>
        <v>12.552</v>
      </c>
      <c r="AK84" s="118">
        <f>IF(INVESTORS_LIST[[#This Row],[TOTAL CURRENT UNITS]]=0,0,INVESTORS_LIST[[#This Row],[TOTAL CURRENT UNITS]]*INVESTORS_LIST[[#This Row],[NAV]])</f>
        <v>0</v>
      </c>
      <c r="AL84" s="4">
        <f>IF(INVESTORS_LIST[[#This Row],[LS_TOTAL CURRENT UNITS]]=0,0,INVESTORS_LIST[[#This Row],[LS_TOTAL CURRENT UNITS]]*INVESTORS_LIST[[#This Row],[NAV]])</f>
        <v>0</v>
      </c>
      <c r="AM84" s="6">
        <f>IF(INVESTORS_LIST[[#This Row],[SIP_TOTAL CURRENT UNITS]]=0,0,INVESTORS_LIST[[#This Row],[SIP_TOTAL CURRENT UNITS]]*INVESTORS_LIST[[#This Row],[NAV]])</f>
        <v>0</v>
      </c>
      <c r="AO84" s="6">
        <f>IF(INVESTORS_LIST[[#This Row],[TOTAL SELLABLE UNITS]]=0,0,INVESTORS_LIST[[#This Row],[TOTAL SELLABLE UNITS]]*INVESTORS_LIST[[#This Row],[NAV]])</f>
        <v>0</v>
      </c>
      <c r="AP84" s="6">
        <f>INVESTORS_LIST[[#This Row],[LS_TOTAL REALIZED GAIN]]+INVESTORS_LIST[[#This Row],[SIP_TOTAL REALIZED GAIN]]</f>
        <v>0</v>
      </c>
      <c r="AQ84" s="6">
        <f>INVESTORS_LIST[[#This Row],[TOTAL MARKET VALUE]]-INVESTORS_LIST[[#This Row],[TOTAL COST VALUE OF CURRENT INVESTMENT]]</f>
        <v>0</v>
      </c>
      <c r="AR84" s="6">
        <f>SUMIFS(DivAndTax[Tax Amount],DivAndTax[Investor ID],INVESTORS_LIST[[#This Row],[INVESTOR CODE]])</f>
        <v>0</v>
      </c>
      <c r="AS84" s="6">
        <f>SUMIFS(DivAndTax[Gross Dividend],DivAndTax[Investor ID],INVESTORS_LIST[[#This Row],[INVESTOR CODE]])</f>
        <v>0</v>
      </c>
      <c r="AT84" s="5">
        <f>IFERROR(INVESTORS_LIST[[#This Row],[TOTAL CURRENT UNITS]]/SUM(INVESTORS_LIST[TOTAL CURRENT UNITS]),0)</f>
        <v>0</v>
      </c>
    </row>
    <row r="85" spans="1:46" hidden="1">
      <c r="A85" t="s">
        <v>779</v>
      </c>
      <c r="B85" t="s">
        <v>93</v>
      </c>
      <c r="C85" t="s">
        <v>536</v>
      </c>
      <c r="D85" s="8" t="s">
        <v>2</v>
      </c>
      <c r="E85" s="2">
        <f>SUMIFS(LS[Unit],LS[Investor ID],INVESTORS_LIST[[#This Row],[INVESTOR CODE]],LS[B/S],"B")</f>
        <v>0</v>
      </c>
      <c r="F85" s="2">
        <f>-SUMIFS(LS[Unit],LS[Investor ID],INVESTORS_LIST[[#This Row],[INVESTOR CODE]],LS[B/S],"S")</f>
        <v>0</v>
      </c>
      <c r="G85" s="2">
        <f>IF(INVESTORS_LIST[[#This Row],[LS_TOTAL UNITS BUY]]=0,0,INVESTORS_LIST[[#This Row],[LS_TOTAL UNITS BUY]]-INVESTORS_LIST[[#This Row],[LS_TOTAL UNITS SOLD]])</f>
        <v>0</v>
      </c>
      <c r="H85" s="4">
        <f>IF(INVESTORS_LIST[[#This Row],[LS_TOTAL UNITS BUY]]=0,0,SUMIFS(LS[Amount],LS[Investor ID],INVESTORS_LIST[[#This Row],[INVESTOR CODE]],LS[B/S],"B"))</f>
        <v>0</v>
      </c>
      <c r="I85" s="6">
        <f>IF(INVESTORS_LIST[[#This Row],[LS_TOTAL UNITS SOLD]]=0,0,SUMIFS(LS[Cost of Units Sold],LS[Investor ID],INVESTORS_LIST[[#This Row],[INVESTOR CODE]],LS[B/S],"S"))</f>
        <v>0</v>
      </c>
      <c r="J85" s="6">
        <f>IF(INVESTORS_LIST[[#This Row],[LS_TOTAL CURRENT UNITS]]=0,0,INVESTORS_LIST[[#This Row],[LS_TOTAL CURRENT UNITS]]*INVESTORS_LIST[[#This Row],[LS_AVERAGE COST]])</f>
        <v>0</v>
      </c>
      <c r="K85" s="4">
        <f>IF(INVESTORS_LIST[[#This Row],[LS_TOTAL UNITS SOLD]]=0,0,SUMIFS(LS[Realized Gain],LS[Investor ID],INVESTORS_LIST[[#This Row],[INVESTOR CODE]],LS[B/S],"S"))</f>
        <v>0</v>
      </c>
      <c r="L85" s="2">
        <f>SUMIFS(SIP[Unit],SIP[Investor ID],INVESTORS_LIST[[#This Row],[INVESTOR CODE]],SIP[B/S],"B")</f>
        <v>0</v>
      </c>
      <c r="M85" s="2">
        <f>-SUMIFS(SIP[Unit],SIP[Investor ID],INVESTORS_LIST[[#This Row],[INVESTOR CODE]],SIP[B/S],"S")</f>
        <v>0</v>
      </c>
      <c r="N85" s="33">
        <f>IF(INVESTORS_LIST[[#This Row],[SIP_TOTAL UNITS BUY]]=0,0,INVESTORS_LIST[[#This Row],[SIP_TOTAL UNITS BUY]]-INVESTORS_LIST[[#This Row],[SIP_TOTAL UNITS SOLD]])</f>
        <v>0</v>
      </c>
      <c r="O85" s="4">
        <f>IF(INVESTORS_LIST[[#This Row],[SIP_TOTAL UNITS BUY]]=0,0,SUMIFS(SIP[Amount],SIP[Investor ID],INVESTORS_LIST[[#This Row],[INVESTOR CODE]],SIP[B/S],"B"))</f>
        <v>0</v>
      </c>
      <c r="P85" s="4">
        <f>IF(INVESTORS_LIST[[#This Row],[SIP_TOTAL UNITS SOLD]]=0,0,SUMIFS(SIP[Cost of Units Sold],SIP[Investor ID],INVESTORS_LIST[[#This Row],[INVESTOR CODE]],SIP[B/S],"S"))</f>
        <v>0</v>
      </c>
      <c r="Q85" s="6">
        <f>IF(INVESTORS_LIST[[#This Row],[SIP_TOTAL CURRENT UNITS]]=0,0,INVESTORS_LIST[[#This Row],[SIP_TOTAL CURRENT UNITS]]*INVESTORS_LIST[[#This Row],[SIP_AVERAGE COST]])</f>
        <v>0</v>
      </c>
      <c r="R85" s="6">
        <f>IF(INVESTORS_LIST[[#This Row],[SIP_TOTAL UNITS SOLD]]=0,0,SUMIFS(SIP[Realized Gain],SIP[Investor ID],INVESTORS_LIST[[#This Row],[INVESTOR CODE]],SIP[B/S],"S"))</f>
        <v>0</v>
      </c>
      <c r="S85" s="33">
        <f>INVESTORS_LIST[[#This Row],[LS_TOTAL UNITS BUY]]+INVESTORS_LIST[[#This Row],[SIP_TOTAL UNITS BUY]]</f>
        <v>0</v>
      </c>
      <c r="T85" s="33">
        <f>INVESTORS_LIST[[#This Row],[LS_TOTAL UNITS SOLD]]+INVESTORS_LIST[[#This Row],[SIP_TOTAL UNITS SOLD]]</f>
        <v>0</v>
      </c>
      <c r="U85" s="33">
        <v>0</v>
      </c>
      <c r="V85" s="33">
        <f>SUMIFS(LS[BO UNIT TRANSFER],LS[Investor ID],INVESTORS_LIST[[#This Row],[INVESTOR CODE]],LS[B/S],"B")</f>
        <v>0</v>
      </c>
      <c r="W85" s="33">
        <f>SUMIFS(LS[BO UNIT TRANSFER],LS[Investor ID],INVESTORS_LIST[[#This Row],[INVESTOR CODE]],LS[B/S],"S")</f>
        <v>0</v>
      </c>
      <c r="X85" s="33">
        <f>SUMIFS(SIP[BO UNIT TRANSFER],SIP[Investor ID],INVESTORS_LIST[[#This Row],[INVESTOR CODE]],SIP[B/S],"S")</f>
        <v>0</v>
      </c>
      <c r="Y85" s="33">
        <f>SUMIFS(SIP[BO UNIT TRANSFER],SIP[Investor ID],INVESTORS_LIST[[#This Row],[INVESTOR CODE]],SIP[B/S],"B")</f>
        <v>0</v>
      </c>
      <c r="Z8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85" s="119">
        <f>INVESTORS_LIST[[#This Row],[TOTAL UNITS BUY]]-INVESTORS_LIST[[#This Row],[TOTAL UNITS SOLD]]</f>
        <v>0</v>
      </c>
      <c r="AB85" s="119">
        <f>INVESTORS_LIST[[#This Row],[TOTAL CURRENT UNITS]]-INVESTORS_LIST[[#This Row],[BO UNITS HOLD]]</f>
        <v>0</v>
      </c>
      <c r="AC85" s="119" t="e">
        <f>INDEX([4]!Table_1[BO ID],MATCH(INVESTORS_LIST[[#This Row],[INVESTOR CODE]],[4]!Table_1[INVESTOR CODE],0))</f>
        <v>#REF!</v>
      </c>
      <c r="AD85" s="33">
        <f>INVESTORS_LIST[[#This Row],[LS_TOTAL COST VALUE OF CURRENT UNITS]]+INVESTORS_LIST[[#This Row],[SIP_TOTAL COST VALUE OF CURRENT UNITS]]</f>
        <v>0</v>
      </c>
      <c r="AE85" s="44">
        <f>IF(INVESTORS_LIST[[#This Row],[TOTAL CURRENT UNITS]]=0,0,INVESTORS_LIST[[#This Row],[LS_TOTAL CURRENT UNITS]]/INVESTORS_LIST[[#This Row],[TOTAL CURRENT UNITS]])</f>
        <v>0</v>
      </c>
      <c r="AF85" s="44">
        <f>IF(INVESTORS_LIST[[#This Row],[TOTAL CURRENT UNITS]]=0,0,INVESTORS_LIST[[#This Row],[SIP_TOTAL CURRENT UNITS]]/INVESTORS_LIST[[#This Row],[TOTAL CURRENT UNITS]])</f>
        <v>0</v>
      </c>
      <c r="AG85" s="4" cm="1">
        <f t="array" ref="AG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85" s="4" cm="1">
        <f t="array" ref="AH8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8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85" s="178">
        <f t="shared" si="1"/>
        <v>12.552</v>
      </c>
      <c r="AK85" s="118">
        <f>IF(INVESTORS_LIST[[#This Row],[TOTAL CURRENT UNITS]]=0,0,INVESTORS_LIST[[#This Row],[TOTAL CURRENT UNITS]]*INVESTORS_LIST[[#This Row],[NAV]])</f>
        <v>0</v>
      </c>
      <c r="AL85" s="4">
        <f>IF(INVESTORS_LIST[[#This Row],[LS_TOTAL CURRENT UNITS]]=0,0,INVESTORS_LIST[[#This Row],[LS_TOTAL CURRENT UNITS]]*INVESTORS_LIST[[#This Row],[NAV]])</f>
        <v>0</v>
      </c>
      <c r="AM85" s="6">
        <f>IF(INVESTORS_LIST[[#This Row],[SIP_TOTAL CURRENT UNITS]]=0,0,INVESTORS_LIST[[#This Row],[SIP_TOTAL CURRENT UNITS]]*INVESTORS_LIST[[#This Row],[NAV]])</f>
        <v>0</v>
      </c>
      <c r="AO85" s="6">
        <f>IF(INVESTORS_LIST[[#This Row],[TOTAL SELLABLE UNITS]]=0,0,INVESTORS_LIST[[#This Row],[TOTAL SELLABLE UNITS]]*INVESTORS_LIST[[#This Row],[NAV]])</f>
        <v>0</v>
      </c>
      <c r="AP85" s="6">
        <f>INVESTORS_LIST[[#This Row],[LS_TOTAL REALIZED GAIN]]+INVESTORS_LIST[[#This Row],[SIP_TOTAL REALIZED GAIN]]</f>
        <v>0</v>
      </c>
      <c r="AQ85" s="6">
        <f>INVESTORS_LIST[[#This Row],[TOTAL MARKET VALUE]]-INVESTORS_LIST[[#This Row],[TOTAL COST VALUE OF CURRENT INVESTMENT]]</f>
        <v>0</v>
      </c>
      <c r="AR85" s="6">
        <f>SUMIFS(DivAndTax[Tax Amount],DivAndTax[Investor ID],INVESTORS_LIST[[#This Row],[INVESTOR CODE]])</f>
        <v>0</v>
      </c>
      <c r="AS85" s="6">
        <f>SUMIFS(DivAndTax[Gross Dividend],DivAndTax[Investor ID],INVESTORS_LIST[[#This Row],[INVESTOR CODE]])</f>
        <v>0</v>
      </c>
      <c r="AT85" s="5">
        <f>IFERROR(INVESTORS_LIST[[#This Row],[TOTAL CURRENT UNITS]]/SUM(INVESTORS_LIST[TOTAL CURRENT UNITS]),0)</f>
        <v>0</v>
      </c>
    </row>
    <row r="86" spans="1:46" hidden="1">
      <c r="A86" t="s">
        <v>780</v>
      </c>
      <c r="B86" t="s">
        <v>94</v>
      </c>
      <c r="C86" t="s">
        <v>536</v>
      </c>
      <c r="D86" s="8" t="s">
        <v>2</v>
      </c>
      <c r="E86" s="2">
        <f>SUMIFS(LS[Unit],LS[Investor ID],INVESTORS_LIST[[#This Row],[INVESTOR CODE]],LS[B/S],"B")</f>
        <v>0</v>
      </c>
      <c r="F86" s="2">
        <f>-SUMIFS(LS[Unit],LS[Investor ID],INVESTORS_LIST[[#This Row],[INVESTOR CODE]],LS[B/S],"S")</f>
        <v>0</v>
      </c>
      <c r="G86" s="2">
        <f>IF(INVESTORS_LIST[[#This Row],[LS_TOTAL UNITS BUY]]=0,0,INVESTORS_LIST[[#This Row],[LS_TOTAL UNITS BUY]]-INVESTORS_LIST[[#This Row],[LS_TOTAL UNITS SOLD]])</f>
        <v>0</v>
      </c>
      <c r="H86" s="4">
        <f>IF(INVESTORS_LIST[[#This Row],[LS_TOTAL UNITS BUY]]=0,0,SUMIFS(LS[Amount],LS[Investor ID],INVESTORS_LIST[[#This Row],[INVESTOR CODE]],LS[B/S],"B"))</f>
        <v>0</v>
      </c>
      <c r="I86" s="6">
        <f>IF(INVESTORS_LIST[[#This Row],[LS_TOTAL UNITS SOLD]]=0,0,SUMIFS(LS[Cost of Units Sold],LS[Investor ID],INVESTORS_LIST[[#This Row],[INVESTOR CODE]],LS[B/S],"S"))</f>
        <v>0</v>
      </c>
      <c r="J86" s="6">
        <f>IF(INVESTORS_LIST[[#This Row],[LS_TOTAL CURRENT UNITS]]=0,0,INVESTORS_LIST[[#This Row],[LS_TOTAL CURRENT UNITS]]*INVESTORS_LIST[[#This Row],[LS_AVERAGE COST]])</f>
        <v>0</v>
      </c>
      <c r="K86" s="4">
        <f>IF(INVESTORS_LIST[[#This Row],[LS_TOTAL UNITS SOLD]]=0,0,SUMIFS(LS[Realized Gain],LS[Investor ID],INVESTORS_LIST[[#This Row],[INVESTOR CODE]],LS[B/S],"S"))</f>
        <v>0</v>
      </c>
      <c r="L86" s="2">
        <f>SUMIFS(SIP[Unit],SIP[Investor ID],INVESTORS_LIST[[#This Row],[INVESTOR CODE]],SIP[B/S],"B")</f>
        <v>0</v>
      </c>
      <c r="M86" s="2">
        <f>-SUMIFS(SIP[Unit],SIP[Investor ID],INVESTORS_LIST[[#This Row],[INVESTOR CODE]],SIP[B/S],"S")</f>
        <v>0</v>
      </c>
      <c r="N86" s="33">
        <f>IF(INVESTORS_LIST[[#This Row],[SIP_TOTAL UNITS BUY]]=0,0,INVESTORS_LIST[[#This Row],[SIP_TOTAL UNITS BUY]]-INVESTORS_LIST[[#This Row],[SIP_TOTAL UNITS SOLD]])</f>
        <v>0</v>
      </c>
      <c r="O86" s="4">
        <f>IF(INVESTORS_LIST[[#This Row],[SIP_TOTAL UNITS BUY]]=0,0,SUMIFS(SIP[Amount],SIP[Investor ID],INVESTORS_LIST[[#This Row],[INVESTOR CODE]],SIP[B/S],"B"))</f>
        <v>0</v>
      </c>
      <c r="P86" s="4">
        <f>IF(INVESTORS_LIST[[#This Row],[SIP_TOTAL UNITS SOLD]]=0,0,SUMIFS(SIP[Cost of Units Sold],SIP[Investor ID],INVESTORS_LIST[[#This Row],[INVESTOR CODE]],SIP[B/S],"S"))</f>
        <v>0</v>
      </c>
      <c r="Q86" s="6">
        <f>IF(INVESTORS_LIST[[#This Row],[SIP_TOTAL CURRENT UNITS]]=0,0,INVESTORS_LIST[[#This Row],[SIP_TOTAL CURRENT UNITS]]*INVESTORS_LIST[[#This Row],[SIP_AVERAGE COST]])</f>
        <v>0</v>
      </c>
      <c r="R86" s="6">
        <f>IF(INVESTORS_LIST[[#This Row],[SIP_TOTAL UNITS SOLD]]=0,0,SUMIFS(SIP[Realized Gain],SIP[Investor ID],INVESTORS_LIST[[#This Row],[INVESTOR CODE]],SIP[B/S],"S"))</f>
        <v>0</v>
      </c>
      <c r="S86" s="33">
        <f>INVESTORS_LIST[[#This Row],[LS_TOTAL UNITS BUY]]+INVESTORS_LIST[[#This Row],[SIP_TOTAL UNITS BUY]]</f>
        <v>0</v>
      </c>
      <c r="T86" s="33">
        <f>INVESTORS_LIST[[#This Row],[LS_TOTAL UNITS SOLD]]+INVESTORS_LIST[[#This Row],[SIP_TOTAL UNITS SOLD]]</f>
        <v>0</v>
      </c>
      <c r="U86" s="33">
        <v>0</v>
      </c>
      <c r="V86" s="33">
        <f>SUMIFS(LS[BO UNIT TRANSFER],LS[Investor ID],INVESTORS_LIST[[#This Row],[INVESTOR CODE]],LS[B/S],"B")</f>
        <v>0</v>
      </c>
      <c r="W86" s="33">
        <f>SUMIFS(LS[BO UNIT TRANSFER],LS[Investor ID],INVESTORS_LIST[[#This Row],[INVESTOR CODE]],LS[B/S],"S")</f>
        <v>0</v>
      </c>
      <c r="X86" s="33">
        <f>SUMIFS(SIP[BO UNIT TRANSFER],SIP[Investor ID],INVESTORS_LIST[[#This Row],[INVESTOR CODE]],SIP[B/S],"S")</f>
        <v>0</v>
      </c>
      <c r="Y86" s="33">
        <f>SUMIFS(SIP[BO UNIT TRANSFER],SIP[Investor ID],INVESTORS_LIST[[#This Row],[INVESTOR CODE]],SIP[B/S],"B")</f>
        <v>0</v>
      </c>
      <c r="Z8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86" s="119">
        <f>INVESTORS_LIST[[#This Row],[TOTAL UNITS BUY]]-INVESTORS_LIST[[#This Row],[TOTAL UNITS SOLD]]</f>
        <v>0</v>
      </c>
      <c r="AB86" s="119">
        <f>INVESTORS_LIST[[#This Row],[TOTAL CURRENT UNITS]]-INVESTORS_LIST[[#This Row],[BO UNITS HOLD]]</f>
        <v>0</v>
      </c>
      <c r="AC86" s="119" t="e">
        <f>INDEX([4]!Table_1[BO ID],MATCH(INVESTORS_LIST[[#This Row],[INVESTOR CODE]],[4]!Table_1[INVESTOR CODE],0))</f>
        <v>#REF!</v>
      </c>
      <c r="AD86" s="33">
        <f>INVESTORS_LIST[[#This Row],[LS_TOTAL COST VALUE OF CURRENT UNITS]]+INVESTORS_LIST[[#This Row],[SIP_TOTAL COST VALUE OF CURRENT UNITS]]</f>
        <v>0</v>
      </c>
      <c r="AE86" s="44">
        <f>IF(INVESTORS_LIST[[#This Row],[TOTAL CURRENT UNITS]]=0,0,INVESTORS_LIST[[#This Row],[LS_TOTAL CURRENT UNITS]]/INVESTORS_LIST[[#This Row],[TOTAL CURRENT UNITS]])</f>
        <v>0</v>
      </c>
      <c r="AF86" s="44">
        <f>IF(INVESTORS_LIST[[#This Row],[TOTAL CURRENT UNITS]]=0,0,INVESTORS_LIST[[#This Row],[SIP_TOTAL CURRENT UNITS]]/INVESTORS_LIST[[#This Row],[TOTAL CURRENT UNITS]])</f>
        <v>0</v>
      </c>
      <c r="AG86" s="4" cm="1">
        <f t="array" ref="AG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86" s="4" cm="1">
        <f t="array" ref="AH8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8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86" s="178">
        <f t="shared" si="1"/>
        <v>12.552</v>
      </c>
      <c r="AK86" s="118">
        <f>IF(INVESTORS_LIST[[#This Row],[TOTAL CURRENT UNITS]]=0,0,INVESTORS_LIST[[#This Row],[TOTAL CURRENT UNITS]]*INVESTORS_LIST[[#This Row],[NAV]])</f>
        <v>0</v>
      </c>
      <c r="AL86" s="4">
        <f>IF(INVESTORS_LIST[[#This Row],[LS_TOTAL CURRENT UNITS]]=0,0,INVESTORS_LIST[[#This Row],[LS_TOTAL CURRENT UNITS]]*INVESTORS_LIST[[#This Row],[NAV]])</f>
        <v>0</v>
      </c>
      <c r="AM86" s="6">
        <f>IF(INVESTORS_LIST[[#This Row],[SIP_TOTAL CURRENT UNITS]]=0,0,INVESTORS_LIST[[#This Row],[SIP_TOTAL CURRENT UNITS]]*INVESTORS_LIST[[#This Row],[NAV]])</f>
        <v>0</v>
      </c>
      <c r="AO86" s="6">
        <f>IF(INVESTORS_LIST[[#This Row],[TOTAL SELLABLE UNITS]]=0,0,INVESTORS_LIST[[#This Row],[TOTAL SELLABLE UNITS]]*INVESTORS_LIST[[#This Row],[NAV]])</f>
        <v>0</v>
      </c>
      <c r="AP86" s="6">
        <f>INVESTORS_LIST[[#This Row],[LS_TOTAL REALIZED GAIN]]+INVESTORS_LIST[[#This Row],[SIP_TOTAL REALIZED GAIN]]</f>
        <v>0</v>
      </c>
      <c r="AQ86" s="6">
        <f>INVESTORS_LIST[[#This Row],[TOTAL MARKET VALUE]]-INVESTORS_LIST[[#This Row],[TOTAL COST VALUE OF CURRENT INVESTMENT]]</f>
        <v>0</v>
      </c>
      <c r="AR86" s="6">
        <f>SUMIFS(DivAndTax[Tax Amount],DivAndTax[Investor ID],INVESTORS_LIST[[#This Row],[INVESTOR CODE]])</f>
        <v>0</v>
      </c>
      <c r="AS86" s="6">
        <f>SUMIFS(DivAndTax[Gross Dividend],DivAndTax[Investor ID],INVESTORS_LIST[[#This Row],[INVESTOR CODE]])</f>
        <v>0</v>
      </c>
      <c r="AT86" s="5">
        <f>IFERROR(INVESTORS_LIST[[#This Row],[TOTAL CURRENT UNITS]]/SUM(INVESTORS_LIST[TOTAL CURRENT UNITS]),0)</f>
        <v>0</v>
      </c>
    </row>
    <row r="87" spans="1:46">
      <c r="A87" t="s">
        <v>409</v>
      </c>
      <c r="B87" t="s">
        <v>95</v>
      </c>
      <c r="C87" t="s">
        <v>536</v>
      </c>
      <c r="D87" s="8" t="s">
        <v>2</v>
      </c>
      <c r="E87" s="2">
        <f>SUMIFS(LS[Unit],LS[Investor ID],INVESTORS_LIST[[#This Row],[INVESTOR CODE]],LS[B/S],"B")</f>
        <v>544801</v>
      </c>
      <c r="F87" s="2">
        <f>-SUMIFS(LS[Unit],LS[Investor ID],INVESTORS_LIST[[#This Row],[INVESTOR CODE]],LS[B/S],"S")</f>
        <v>48704</v>
      </c>
      <c r="G87" s="2">
        <f>IF(INVESTORS_LIST[[#This Row],[LS_TOTAL UNITS BUY]]=0,0,INVESTORS_LIST[[#This Row],[LS_TOTAL UNITS BUY]]-INVESTORS_LIST[[#This Row],[LS_TOTAL UNITS SOLD]])</f>
        <v>496097</v>
      </c>
      <c r="H87" s="4">
        <f>IF(INVESTORS_LIST[[#This Row],[LS_TOTAL UNITS BUY]]=0,0,SUMIFS(LS[Amount],LS[Investor ID],INVESTORS_LIST[[#This Row],[INVESTOR CODE]],LS[B/S],"B"))</f>
        <v>5500213.8499999996</v>
      </c>
      <c r="I87" s="6">
        <f>IF(INVESTORS_LIST[[#This Row],[LS_TOTAL UNITS SOLD]]=0,0,SUMIFS(LS[Cost of Units Sold],LS[Investor ID],INVESTORS_LIST[[#This Row],[INVESTOR CODE]],LS[B/S],"S"))</f>
        <v>489183.88325946231</v>
      </c>
      <c r="J87" s="6">
        <f>IF(INVESTORS_LIST[[#This Row],[LS_TOTAL CURRENT UNITS]]=0,0,INVESTORS_LIST[[#This Row],[LS_TOTAL CURRENT UNITS]]*INVESTORS_LIST[[#This Row],[LS_AVERAGE COST]])</f>
        <v>5011029.9667405384</v>
      </c>
      <c r="K87" s="4">
        <f>IF(INVESTORS_LIST[[#This Row],[LS_TOTAL UNITS SOLD]]=0,0,SUMIFS(LS[Realized Gain],LS[Investor ID],INVESTORS_LIST[[#This Row],[INVESTOR CODE]],LS[B/S],"S"))</f>
        <v>63908.09674053765</v>
      </c>
      <c r="L87" s="2">
        <f>SUMIFS(SIP[Unit],SIP[Investor ID],INVESTORS_LIST[[#This Row],[INVESTOR CODE]],SIP[B/S],"B")</f>
        <v>1897</v>
      </c>
      <c r="M87" s="2">
        <f>-SUMIFS(SIP[Unit],SIP[Investor ID],INVESTORS_LIST[[#This Row],[INVESTOR CODE]],SIP[B/S],"S")</f>
        <v>0</v>
      </c>
      <c r="N87" s="33">
        <f>IF(INVESTORS_LIST[[#This Row],[SIP_TOTAL UNITS BUY]]=0,0,INVESTORS_LIST[[#This Row],[SIP_TOTAL UNITS BUY]]-INVESTORS_LIST[[#This Row],[SIP_TOTAL UNITS SOLD]])</f>
        <v>1897</v>
      </c>
      <c r="O87" s="4">
        <f>IF(INVESTORS_LIST[[#This Row],[SIP_TOTAL UNITS BUY]]=0,0,SUMIFS(SIP[Amount],SIP[Investor ID],INVESTORS_LIST[[#This Row],[INVESTOR CODE]],SIP[B/S],"B"))</f>
        <v>25000</v>
      </c>
      <c r="P87" s="4">
        <f>IF(INVESTORS_LIST[[#This Row],[SIP_TOTAL UNITS SOLD]]=0,0,SUMIFS(SIP[Cost of Units Sold],SIP[Investor ID],INVESTORS_LIST[[#This Row],[INVESTOR CODE]],SIP[B/S],"S"))</f>
        <v>0</v>
      </c>
      <c r="Q87" s="6">
        <f>IF(INVESTORS_LIST[[#This Row],[SIP_TOTAL CURRENT UNITS]]=0,0,INVESTORS_LIST[[#This Row],[SIP_TOTAL CURRENT UNITS]]*INVESTORS_LIST[[#This Row],[SIP_AVERAGE COST]])</f>
        <v>25000</v>
      </c>
      <c r="R87" s="6">
        <f>IF(INVESTORS_LIST[[#This Row],[SIP_TOTAL UNITS SOLD]]=0,0,SUMIFS(SIP[Realized Gain],SIP[Investor ID],INVESTORS_LIST[[#This Row],[INVESTOR CODE]],SIP[B/S],"S"))</f>
        <v>0</v>
      </c>
      <c r="S87" s="33">
        <f>INVESTORS_LIST[[#This Row],[LS_TOTAL UNITS BUY]]+INVESTORS_LIST[[#This Row],[SIP_TOTAL UNITS BUY]]</f>
        <v>546698</v>
      </c>
      <c r="T87" s="33">
        <f>INVESTORS_LIST[[#This Row],[LS_TOTAL UNITS SOLD]]+INVESTORS_LIST[[#This Row],[SIP_TOTAL UNITS SOLD]]</f>
        <v>48704</v>
      </c>
      <c r="U87" s="33">
        <v>500000</v>
      </c>
      <c r="V87" s="33">
        <f>SUMIFS(LS[BO UNIT TRANSFER],LS[Investor ID],INVESTORS_LIST[[#This Row],[INVESTOR CODE]],LS[B/S],"B")</f>
        <v>44801</v>
      </c>
      <c r="W87" s="33">
        <f>SUMIFS(LS[BO UNIT TRANSFER],LS[Investor ID],INVESTORS_LIST[[#This Row],[INVESTOR CODE]],LS[B/S],"S")</f>
        <v>-27458</v>
      </c>
      <c r="X87" s="33">
        <f>SUMIFS(SIP[BO UNIT TRANSFER],SIP[Investor ID],INVESTORS_LIST[[#This Row],[INVESTOR CODE]],SIP[B/S],"S")</f>
        <v>0</v>
      </c>
      <c r="Y87" s="33">
        <f>SUMIFS(SIP[BO UNIT TRANSFER],SIP[Investor ID],INVESTORS_LIST[[#This Row],[INVESTOR CODE]],SIP[B/S],"B")</f>
        <v>0</v>
      </c>
      <c r="Z8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517343</v>
      </c>
      <c r="AA87" s="119">
        <f>INVESTORS_LIST[[#This Row],[TOTAL UNITS BUY]]-INVESTORS_LIST[[#This Row],[TOTAL UNITS SOLD]]</f>
        <v>497994</v>
      </c>
      <c r="AB87" s="119">
        <f>INVESTORS_LIST[[#This Row],[TOTAL CURRENT UNITS]]-INVESTORS_LIST[[#This Row],[BO UNITS HOLD]]</f>
        <v>-19349</v>
      </c>
      <c r="AC87" s="119" t="e">
        <f>INDEX([4]!Table_1[BO ID],MATCH(INVESTORS_LIST[[#This Row],[INVESTOR CODE]],[4]!Table_1[INVESTOR CODE],0))</f>
        <v>#REF!</v>
      </c>
      <c r="AD87" s="33">
        <f>INVESTORS_LIST[[#This Row],[LS_TOTAL COST VALUE OF CURRENT UNITS]]+INVESTORS_LIST[[#This Row],[SIP_TOTAL COST VALUE OF CURRENT UNITS]]</f>
        <v>5036029.9667405384</v>
      </c>
      <c r="AE87" s="44">
        <f>IF(INVESTORS_LIST[[#This Row],[TOTAL CURRENT UNITS]]=0,0,INVESTORS_LIST[[#This Row],[LS_TOTAL CURRENT UNITS]]/INVESTORS_LIST[[#This Row],[TOTAL CURRENT UNITS]])</f>
        <v>0.99619071715723484</v>
      </c>
      <c r="AF87" s="44">
        <f>IF(INVESTORS_LIST[[#This Row],[TOTAL CURRENT UNITS]]=0,0,INVESTORS_LIST[[#This Row],[SIP_TOTAL CURRENT UNITS]]/INVESTORS_LIST[[#This Row],[TOTAL CURRENT UNITS]])</f>
        <v>3.8092828427651738E-3</v>
      </c>
      <c r="AG87" s="4" cm="1">
        <f t="array" ref="AG87">IF(INVESTORS_LIST[[#This Row],[LS_TOTAL UNITS BUY]]&gt;0,INDEX(LS[NAV at Cost (Average)],MATCH(CONCATENATE(COUNTIFS(LS[Investor ID],INVESTORS_LIST[[#This Row],[INVESTOR CODE]]),INVESTORS_LIST[[#This Row],[INVESTOR CODE]]),LS[Unique Code],0),),0)</f>
        <v>10.100907618349916</v>
      </c>
      <c r="AH87" s="4" cm="1">
        <f t="array" ref="AH87">IF(INVESTORS_LIST[[#This Row],[SIP_TOTAL UNITS BUY]]&gt;0,INDEX(SIP[NAV at Cost (Average)],MATCH(CONCATENATE(COUNTIFS(SIP[Investor ID],INVESTORS_LIST[[#This Row],[INVESTOR CODE]]),INVESTORS_LIST[[#This Row],[INVESTOR CODE]]),SIP[Unique Code],0),),0)</f>
        <v>13.178703215603585</v>
      </c>
      <c r="AI87" s="178">
        <f>IF(INVESTORS_LIST[[#This Row],[TOTAL CURRENT UNITS]]=0,0,(INVESTORS_LIST[[#This Row],[LS_WEIGHT]]*INVESTORS_LIST[[#This Row],[LS_AVERAGE COST]])+(INVESTORS_LIST[[#This Row],[SIP_WEIGHT]]*INVESTORS_LIST[[#This Row],[SIP_AVERAGE COST]]))</f>
        <v>10.112631812312072</v>
      </c>
      <c r="AJ87" s="178">
        <f t="shared" si="1"/>
        <v>12.552</v>
      </c>
      <c r="AK87" s="118">
        <f>IF(INVESTORS_LIST[[#This Row],[TOTAL CURRENT UNITS]]=0,0,INVESTORS_LIST[[#This Row],[TOTAL CURRENT UNITS]]*INVESTORS_LIST[[#This Row],[NAV]])</f>
        <v>6250820.6880000001</v>
      </c>
      <c r="AL87" s="4">
        <f>IF(INVESTORS_LIST[[#This Row],[LS_TOTAL CURRENT UNITS]]=0,0,INVESTORS_LIST[[#This Row],[LS_TOTAL CURRENT UNITS]]*INVESTORS_LIST[[#This Row],[NAV]])</f>
        <v>6227009.5439999998</v>
      </c>
      <c r="AM87" s="6">
        <f>IF(INVESTORS_LIST[[#This Row],[SIP_TOTAL CURRENT UNITS]]=0,0,INVESTORS_LIST[[#This Row],[SIP_TOTAL CURRENT UNITS]]*INVESTORS_LIST[[#This Row],[NAV]])</f>
        <v>23811.144</v>
      </c>
      <c r="AO87" s="6">
        <f>IF(INVESTORS_LIST[[#This Row],[TOTAL SELLABLE UNITS]]=0,0,INVESTORS_LIST[[#This Row],[TOTAL SELLABLE UNITS]]*INVESTORS_LIST[[#This Row],[NAV]])</f>
        <v>0</v>
      </c>
      <c r="AP87" s="6">
        <f>INVESTORS_LIST[[#This Row],[LS_TOTAL REALIZED GAIN]]+INVESTORS_LIST[[#This Row],[SIP_TOTAL REALIZED GAIN]]</f>
        <v>63908.09674053765</v>
      </c>
      <c r="AQ87" s="6">
        <f>INVESTORS_LIST[[#This Row],[TOTAL MARKET VALUE]]-INVESTORS_LIST[[#This Row],[TOTAL COST VALUE OF CURRENT INVESTMENT]]</f>
        <v>1214790.7212594617</v>
      </c>
      <c r="AR87" s="6">
        <f>SUMIFS(DivAndTax[Tax Amount],DivAndTax[Investor ID],INVESTORS_LIST[[#This Row],[INVESTOR CODE]])</f>
        <v>53619.41</v>
      </c>
      <c r="AS87" s="6">
        <f>SUMIFS(DivAndTax[Gross Dividend],DivAndTax[Investor ID],INVESTORS_LIST[[#This Row],[INVESTOR CODE]])</f>
        <v>536194.1</v>
      </c>
      <c r="AT87" s="5">
        <f>IFERROR(INVESTORS_LIST[[#This Row],[TOTAL CURRENT UNITS]]/SUM(INVESTORS_LIST[TOTAL CURRENT UNITS]),0)</f>
        <v>2.3876240189048402E-2</v>
      </c>
    </row>
    <row r="88" spans="1:46">
      <c r="A88" t="s">
        <v>628</v>
      </c>
      <c r="B88" t="s">
        <v>96</v>
      </c>
      <c r="C88" t="s">
        <v>538</v>
      </c>
      <c r="D88" s="8" t="s">
        <v>2</v>
      </c>
      <c r="E88" s="2">
        <f>SUMIFS(LS[Unit],LS[Investor ID],INVESTORS_LIST[[#This Row],[INVESTOR CODE]],LS[B/S],"B")</f>
        <v>209283</v>
      </c>
      <c r="F88" s="2">
        <f>-SUMIFS(LS[Unit],LS[Investor ID],INVESTORS_LIST[[#This Row],[INVESTOR CODE]],LS[B/S],"S")</f>
        <v>102090</v>
      </c>
      <c r="G88" s="2">
        <f>IF(INVESTORS_LIST[[#This Row],[LS_TOTAL UNITS BUY]]=0,0,INVESTORS_LIST[[#This Row],[LS_TOTAL UNITS BUY]]-INVESTORS_LIST[[#This Row],[LS_TOTAL UNITS SOLD]])</f>
        <v>107193</v>
      </c>
      <c r="H88" s="4">
        <f>IF(INVESTORS_LIST[[#This Row],[LS_TOTAL UNITS BUY]]=0,0,SUMIFS(LS[Amount],LS[Investor ID],INVESTORS_LIST[[#This Row],[INVESTOR CODE]],LS[B/S],"B"))</f>
        <v>2103643.5</v>
      </c>
      <c r="I88" s="6">
        <f>IF(INVESTORS_LIST[[#This Row],[LS_TOTAL UNITS SOLD]]=0,0,SUMIFS(LS[Cost of Units Sold],LS[Investor ID],INVESTORS_LIST[[#This Row],[INVESTOR CODE]],LS[B/S],"S"))</f>
        <v>1020900</v>
      </c>
      <c r="J88" s="6">
        <f>IF(INVESTORS_LIST[[#This Row],[LS_TOTAL CURRENT UNITS]]=0,0,INVESTORS_LIST[[#This Row],[LS_TOTAL CURRENT UNITS]]*INVESTORS_LIST[[#This Row],[LS_AVERAGE COST]])</f>
        <v>1082743.4999999998</v>
      </c>
      <c r="K88" s="4">
        <f>IF(INVESTORS_LIST[[#This Row],[LS_TOTAL UNITS SOLD]]=0,0,SUMIFS(LS[Realized Gain],LS[Investor ID],INVESTORS_LIST[[#This Row],[INVESTOR CODE]],LS[B/S],"S"))</f>
        <v>29100.00000000004</v>
      </c>
      <c r="L88" s="2">
        <f>SUMIFS(SIP[Unit],SIP[Investor ID],INVESTORS_LIST[[#This Row],[INVESTOR CODE]],SIP[B/S],"B")</f>
        <v>0</v>
      </c>
      <c r="M88" s="2">
        <f>-SUMIFS(SIP[Unit],SIP[Investor ID],INVESTORS_LIST[[#This Row],[INVESTOR CODE]],SIP[B/S],"S")</f>
        <v>0</v>
      </c>
      <c r="N88" s="33">
        <f>IF(INVESTORS_LIST[[#This Row],[SIP_TOTAL UNITS BUY]]=0,0,INVESTORS_LIST[[#This Row],[SIP_TOTAL UNITS BUY]]-INVESTORS_LIST[[#This Row],[SIP_TOTAL UNITS SOLD]])</f>
        <v>0</v>
      </c>
      <c r="O88" s="4">
        <f>IF(INVESTORS_LIST[[#This Row],[SIP_TOTAL UNITS BUY]]=0,0,SUMIFS(SIP[Amount],SIP[Investor ID],INVESTORS_LIST[[#This Row],[INVESTOR CODE]],SIP[B/S],"B"))</f>
        <v>0</v>
      </c>
      <c r="P88" s="4">
        <f>IF(INVESTORS_LIST[[#This Row],[SIP_TOTAL UNITS SOLD]]=0,0,SUMIFS(SIP[Cost of Units Sold],SIP[Investor ID],INVESTORS_LIST[[#This Row],[INVESTOR CODE]],SIP[B/S],"S"))</f>
        <v>0</v>
      </c>
      <c r="Q88" s="6">
        <f>IF(INVESTORS_LIST[[#This Row],[SIP_TOTAL CURRENT UNITS]]=0,0,INVESTORS_LIST[[#This Row],[SIP_TOTAL CURRENT UNITS]]*INVESTORS_LIST[[#This Row],[SIP_AVERAGE COST]])</f>
        <v>0</v>
      </c>
      <c r="R88" s="6">
        <f>IF(INVESTORS_LIST[[#This Row],[SIP_TOTAL UNITS SOLD]]=0,0,SUMIFS(SIP[Realized Gain],SIP[Investor ID],INVESTORS_LIST[[#This Row],[INVESTOR CODE]],SIP[B/S],"S"))</f>
        <v>0</v>
      </c>
      <c r="S88" s="33">
        <f>INVESTORS_LIST[[#This Row],[LS_TOTAL UNITS BUY]]+INVESTORS_LIST[[#This Row],[SIP_TOTAL UNITS BUY]]</f>
        <v>209283</v>
      </c>
      <c r="T88" s="33">
        <f>INVESTORS_LIST[[#This Row],[LS_TOTAL UNITS SOLD]]+INVESTORS_LIST[[#This Row],[SIP_TOTAL UNITS SOLD]]</f>
        <v>102090</v>
      </c>
      <c r="U88" s="33">
        <v>0</v>
      </c>
      <c r="V88" s="33">
        <f>SUMIFS(LS[BO UNIT TRANSFER],LS[Investor ID],INVESTORS_LIST[[#This Row],[INVESTOR CODE]],LS[B/S],"B")</f>
        <v>0</v>
      </c>
      <c r="W88" s="33">
        <f>SUMIFS(LS[BO UNIT TRANSFER],LS[Investor ID],INVESTORS_LIST[[#This Row],[INVESTOR CODE]],LS[B/S],"S")</f>
        <v>0</v>
      </c>
      <c r="X88" s="33">
        <f>SUMIFS(SIP[BO UNIT TRANSFER],SIP[Investor ID],INVESTORS_LIST[[#This Row],[INVESTOR CODE]],SIP[B/S],"S")</f>
        <v>0</v>
      </c>
      <c r="Y88" s="33">
        <f>SUMIFS(SIP[BO UNIT TRANSFER],SIP[Investor ID],INVESTORS_LIST[[#This Row],[INVESTOR CODE]],SIP[B/S],"B")</f>
        <v>0</v>
      </c>
      <c r="Z8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88" s="119">
        <f>INVESTORS_LIST[[#This Row],[TOTAL UNITS BUY]]-INVESTORS_LIST[[#This Row],[TOTAL UNITS SOLD]]</f>
        <v>107193</v>
      </c>
      <c r="AB88" s="119">
        <f>INVESTORS_LIST[[#This Row],[TOTAL CURRENT UNITS]]-INVESTORS_LIST[[#This Row],[BO UNITS HOLD]]</f>
        <v>107193</v>
      </c>
      <c r="AC88" s="119" t="e">
        <f>INDEX([4]!Table_1[BO ID],MATCH(INVESTORS_LIST[[#This Row],[INVESTOR CODE]],[4]!Table_1[INVESTOR CODE],0))</f>
        <v>#REF!</v>
      </c>
      <c r="AD88" s="33">
        <f>INVESTORS_LIST[[#This Row],[LS_TOTAL COST VALUE OF CURRENT UNITS]]+INVESTORS_LIST[[#This Row],[SIP_TOTAL COST VALUE OF CURRENT UNITS]]</f>
        <v>1082743.4999999998</v>
      </c>
      <c r="AE88" s="44">
        <f>IF(INVESTORS_LIST[[#This Row],[TOTAL CURRENT UNITS]]=0,0,INVESTORS_LIST[[#This Row],[LS_TOTAL CURRENT UNITS]]/INVESTORS_LIST[[#This Row],[TOTAL CURRENT UNITS]])</f>
        <v>1</v>
      </c>
      <c r="AF88" s="44">
        <f>IF(INVESTORS_LIST[[#This Row],[TOTAL CURRENT UNITS]]=0,0,INVESTORS_LIST[[#This Row],[SIP_TOTAL CURRENT UNITS]]/INVESTORS_LIST[[#This Row],[TOTAL CURRENT UNITS]])</f>
        <v>0</v>
      </c>
      <c r="AG88" s="4" cm="1">
        <f t="array" ref="AG88">IF(INVESTORS_LIST[[#This Row],[LS_TOTAL UNITS BUY]]&gt;0,INDEX(LS[NAV at Cost (Average)],MATCH(CONCATENATE(COUNTIFS(LS[Investor ID],INVESTORS_LIST[[#This Row],[INVESTOR CODE]]),INVESTORS_LIST[[#This Row],[INVESTOR CODE]]),LS[Unique Code],0),),0)</f>
        <v>10.100878788726874</v>
      </c>
      <c r="AH88" s="4" cm="1">
        <f t="array" ref="AH8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88" s="178">
        <f>IF(INVESTORS_LIST[[#This Row],[TOTAL CURRENT UNITS]]=0,0,(INVESTORS_LIST[[#This Row],[LS_WEIGHT]]*INVESTORS_LIST[[#This Row],[LS_AVERAGE COST]])+(INVESTORS_LIST[[#This Row],[SIP_WEIGHT]]*INVESTORS_LIST[[#This Row],[SIP_AVERAGE COST]]))</f>
        <v>10.100878788726874</v>
      </c>
      <c r="AJ88" s="178">
        <f t="shared" si="1"/>
        <v>12.552</v>
      </c>
      <c r="AK88" s="118">
        <f>IF(INVESTORS_LIST[[#This Row],[TOTAL CURRENT UNITS]]=0,0,INVESTORS_LIST[[#This Row],[TOTAL CURRENT UNITS]]*INVESTORS_LIST[[#This Row],[NAV]])</f>
        <v>1345486.5359999998</v>
      </c>
      <c r="AL88" s="4">
        <f>IF(INVESTORS_LIST[[#This Row],[LS_TOTAL CURRENT UNITS]]=0,0,INVESTORS_LIST[[#This Row],[LS_TOTAL CURRENT UNITS]]*INVESTORS_LIST[[#This Row],[NAV]])</f>
        <v>1345486.5359999998</v>
      </c>
      <c r="AM88" s="6">
        <f>IF(INVESTORS_LIST[[#This Row],[SIP_TOTAL CURRENT UNITS]]=0,0,INVESTORS_LIST[[#This Row],[SIP_TOTAL CURRENT UNITS]]*INVESTORS_LIST[[#This Row],[NAV]])</f>
        <v>0</v>
      </c>
      <c r="AO88" s="6">
        <f>IF(INVESTORS_LIST[[#This Row],[TOTAL SELLABLE UNITS]]=0,0,INVESTORS_LIST[[#This Row],[TOTAL SELLABLE UNITS]]*INVESTORS_LIST[[#This Row],[NAV]])</f>
        <v>0</v>
      </c>
      <c r="AP88" s="6">
        <f>INVESTORS_LIST[[#This Row],[LS_TOTAL REALIZED GAIN]]+INVESTORS_LIST[[#This Row],[SIP_TOTAL REALIZED GAIN]]</f>
        <v>29100.00000000004</v>
      </c>
      <c r="AQ88" s="6">
        <f>INVESTORS_LIST[[#This Row],[TOTAL MARKET VALUE]]-INVESTORS_LIST[[#This Row],[TOTAL COST VALUE OF CURRENT INVESTMENT]]</f>
        <v>262743.03600000008</v>
      </c>
      <c r="AR88" s="6">
        <f>SUMIFS(DivAndTax[Tax Amount],DivAndTax[Investor ID],INVESTORS_LIST[[#This Row],[INVESTOR CODE]])</f>
        <v>11109.86</v>
      </c>
      <c r="AS88" s="6">
        <f>SUMIFS(DivAndTax[Gross Dividend],DivAndTax[Investor ID],INVESTORS_LIST[[#This Row],[INVESTOR CODE]])</f>
        <v>111098.54999999999</v>
      </c>
      <c r="AT88" s="5">
        <f>IFERROR(INVESTORS_LIST[[#This Row],[TOTAL CURRENT UNITS]]/SUM(INVESTORS_LIST[TOTAL CURRENT UNITS]),0)</f>
        <v>5.1393507041945594E-3</v>
      </c>
    </row>
    <row r="89" spans="1:46" hidden="1">
      <c r="A89" t="s">
        <v>781</v>
      </c>
      <c r="B89" t="s">
        <v>97</v>
      </c>
      <c r="C89" t="s">
        <v>538</v>
      </c>
      <c r="D89" s="8" t="s">
        <v>2</v>
      </c>
      <c r="E89" s="2">
        <f>SUMIFS(LS[Unit],LS[Investor ID],INVESTORS_LIST[[#This Row],[INVESTOR CODE]],LS[B/S],"B")</f>
        <v>0</v>
      </c>
      <c r="F89" s="2">
        <f>-SUMIFS(LS[Unit],LS[Investor ID],INVESTORS_LIST[[#This Row],[INVESTOR CODE]],LS[B/S],"S")</f>
        <v>0</v>
      </c>
      <c r="G89" s="2">
        <f>IF(INVESTORS_LIST[[#This Row],[LS_TOTAL UNITS BUY]]=0,0,INVESTORS_LIST[[#This Row],[LS_TOTAL UNITS BUY]]-INVESTORS_LIST[[#This Row],[LS_TOTAL UNITS SOLD]])</f>
        <v>0</v>
      </c>
      <c r="H89" s="4">
        <f>IF(INVESTORS_LIST[[#This Row],[LS_TOTAL UNITS BUY]]=0,0,SUMIFS(LS[Amount],LS[Investor ID],INVESTORS_LIST[[#This Row],[INVESTOR CODE]],LS[B/S],"B"))</f>
        <v>0</v>
      </c>
      <c r="I89" s="6">
        <f>IF(INVESTORS_LIST[[#This Row],[LS_TOTAL UNITS SOLD]]=0,0,SUMIFS(LS[Cost of Units Sold],LS[Investor ID],INVESTORS_LIST[[#This Row],[INVESTOR CODE]],LS[B/S],"S"))</f>
        <v>0</v>
      </c>
      <c r="J89" s="6">
        <f>IF(INVESTORS_LIST[[#This Row],[LS_TOTAL CURRENT UNITS]]=0,0,INVESTORS_LIST[[#This Row],[LS_TOTAL CURRENT UNITS]]*INVESTORS_LIST[[#This Row],[LS_AVERAGE COST]])</f>
        <v>0</v>
      </c>
      <c r="K89" s="4">
        <f>IF(INVESTORS_LIST[[#This Row],[LS_TOTAL UNITS SOLD]]=0,0,SUMIFS(LS[Realized Gain],LS[Investor ID],INVESTORS_LIST[[#This Row],[INVESTOR CODE]],LS[B/S],"S"))</f>
        <v>0</v>
      </c>
      <c r="L89" s="2">
        <f>SUMIFS(SIP[Unit],SIP[Investor ID],INVESTORS_LIST[[#This Row],[INVESTOR CODE]],SIP[B/S],"B")</f>
        <v>0</v>
      </c>
      <c r="M89" s="2">
        <f>-SUMIFS(SIP[Unit],SIP[Investor ID],INVESTORS_LIST[[#This Row],[INVESTOR CODE]],SIP[B/S],"S")</f>
        <v>0</v>
      </c>
      <c r="N89" s="33">
        <f>IF(INVESTORS_LIST[[#This Row],[SIP_TOTAL UNITS BUY]]=0,0,INVESTORS_LIST[[#This Row],[SIP_TOTAL UNITS BUY]]-INVESTORS_LIST[[#This Row],[SIP_TOTAL UNITS SOLD]])</f>
        <v>0</v>
      </c>
      <c r="O89" s="4">
        <f>IF(INVESTORS_LIST[[#This Row],[SIP_TOTAL UNITS BUY]]=0,0,SUMIFS(SIP[Amount],SIP[Investor ID],INVESTORS_LIST[[#This Row],[INVESTOR CODE]],SIP[B/S],"B"))</f>
        <v>0</v>
      </c>
      <c r="P89" s="4">
        <f>IF(INVESTORS_LIST[[#This Row],[SIP_TOTAL UNITS SOLD]]=0,0,SUMIFS(SIP[Cost of Units Sold],SIP[Investor ID],INVESTORS_LIST[[#This Row],[INVESTOR CODE]],SIP[B/S],"S"))</f>
        <v>0</v>
      </c>
      <c r="Q89" s="6">
        <f>IF(INVESTORS_LIST[[#This Row],[SIP_TOTAL CURRENT UNITS]]=0,0,INVESTORS_LIST[[#This Row],[SIP_TOTAL CURRENT UNITS]]*INVESTORS_LIST[[#This Row],[SIP_AVERAGE COST]])</f>
        <v>0</v>
      </c>
      <c r="R89" s="6">
        <f>IF(INVESTORS_LIST[[#This Row],[SIP_TOTAL UNITS SOLD]]=0,0,SUMIFS(SIP[Realized Gain],SIP[Investor ID],INVESTORS_LIST[[#This Row],[INVESTOR CODE]],SIP[B/S],"S"))</f>
        <v>0</v>
      </c>
      <c r="S89" s="33">
        <f>INVESTORS_LIST[[#This Row],[LS_TOTAL UNITS BUY]]+INVESTORS_LIST[[#This Row],[SIP_TOTAL UNITS BUY]]</f>
        <v>0</v>
      </c>
      <c r="T89" s="33">
        <f>INVESTORS_LIST[[#This Row],[LS_TOTAL UNITS SOLD]]+INVESTORS_LIST[[#This Row],[SIP_TOTAL UNITS SOLD]]</f>
        <v>0</v>
      </c>
      <c r="U89" s="33">
        <v>0</v>
      </c>
      <c r="V89" s="33">
        <f>SUMIFS(LS[BO UNIT TRANSFER],LS[Investor ID],INVESTORS_LIST[[#This Row],[INVESTOR CODE]],LS[B/S],"B")</f>
        <v>0</v>
      </c>
      <c r="W89" s="33">
        <f>SUMIFS(LS[BO UNIT TRANSFER],LS[Investor ID],INVESTORS_LIST[[#This Row],[INVESTOR CODE]],LS[B/S],"S")</f>
        <v>0</v>
      </c>
      <c r="X89" s="33">
        <f>SUMIFS(SIP[BO UNIT TRANSFER],SIP[Investor ID],INVESTORS_LIST[[#This Row],[INVESTOR CODE]],SIP[B/S],"S")</f>
        <v>0</v>
      </c>
      <c r="Y89" s="33">
        <f>SUMIFS(SIP[BO UNIT TRANSFER],SIP[Investor ID],INVESTORS_LIST[[#This Row],[INVESTOR CODE]],SIP[B/S],"B")</f>
        <v>0</v>
      </c>
      <c r="Z8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89" s="119">
        <f>INVESTORS_LIST[[#This Row],[TOTAL UNITS BUY]]-INVESTORS_LIST[[#This Row],[TOTAL UNITS SOLD]]</f>
        <v>0</v>
      </c>
      <c r="AB89" s="119">
        <f>INVESTORS_LIST[[#This Row],[TOTAL CURRENT UNITS]]-INVESTORS_LIST[[#This Row],[BO UNITS HOLD]]</f>
        <v>0</v>
      </c>
      <c r="AC89" s="119" t="e">
        <f>INDEX([4]!Table_1[BO ID],MATCH(INVESTORS_LIST[[#This Row],[INVESTOR CODE]],[4]!Table_1[INVESTOR CODE],0))</f>
        <v>#REF!</v>
      </c>
      <c r="AD89" s="33">
        <f>INVESTORS_LIST[[#This Row],[LS_TOTAL COST VALUE OF CURRENT UNITS]]+INVESTORS_LIST[[#This Row],[SIP_TOTAL COST VALUE OF CURRENT UNITS]]</f>
        <v>0</v>
      </c>
      <c r="AE89" s="44">
        <f>IF(INVESTORS_LIST[[#This Row],[TOTAL CURRENT UNITS]]=0,0,INVESTORS_LIST[[#This Row],[LS_TOTAL CURRENT UNITS]]/INVESTORS_LIST[[#This Row],[TOTAL CURRENT UNITS]])</f>
        <v>0</v>
      </c>
      <c r="AF89" s="44">
        <f>IF(INVESTORS_LIST[[#This Row],[TOTAL CURRENT UNITS]]=0,0,INVESTORS_LIST[[#This Row],[SIP_TOTAL CURRENT UNITS]]/INVESTORS_LIST[[#This Row],[TOTAL CURRENT UNITS]])</f>
        <v>0</v>
      </c>
      <c r="AG89" s="4" cm="1">
        <f t="array" ref="AG8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89" s="4" cm="1">
        <f t="array" ref="AH8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8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89" s="178">
        <f t="shared" si="1"/>
        <v>12.552</v>
      </c>
      <c r="AK89" s="118">
        <f>IF(INVESTORS_LIST[[#This Row],[TOTAL CURRENT UNITS]]=0,0,INVESTORS_LIST[[#This Row],[TOTAL CURRENT UNITS]]*INVESTORS_LIST[[#This Row],[NAV]])</f>
        <v>0</v>
      </c>
      <c r="AL89" s="4">
        <f>IF(INVESTORS_LIST[[#This Row],[LS_TOTAL CURRENT UNITS]]=0,0,INVESTORS_LIST[[#This Row],[LS_TOTAL CURRENT UNITS]]*INVESTORS_LIST[[#This Row],[NAV]])</f>
        <v>0</v>
      </c>
      <c r="AM89" s="6">
        <f>IF(INVESTORS_LIST[[#This Row],[SIP_TOTAL CURRENT UNITS]]=0,0,INVESTORS_LIST[[#This Row],[SIP_TOTAL CURRENT UNITS]]*INVESTORS_LIST[[#This Row],[NAV]])</f>
        <v>0</v>
      </c>
      <c r="AO89" s="6">
        <f>IF(INVESTORS_LIST[[#This Row],[TOTAL SELLABLE UNITS]]=0,0,INVESTORS_LIST[[#This Row],[TOTAL SELLABLE UNITS]]*INVESTORS_LIST[[#This Row],[NAV]])</f>
        <v>0</v>
      </c>
      <c r="AP89" s="6">
        <f>INVESTORS_LIST[[#This Row],[LS_TOTAL REALIZED GAIN]]+INVESTORS_LIST[[#This Row],[SIP_TOTAL REALIZED GAIN]]</f>
        <v>0</v>
      </c>
      <c r="AQ89" s="6">
        <f>INVESTORS_LIST[[#This Row],[TOTAL MARKET VALUE]]-INVESTORS_LIST[[#This Row],[TOTAL COST VALUE OF CURRENT INVESTMENT]]</f>
        <v>0</v>
      </c>
      <c r="AR89" s="6">
        <f>SUMIFS(DivAndTax[Tax Amount],DivAndTax[Investor ID],INVESTORS_LIST[[#This Row],[INVESTOR CODE]])</f>
        <v>0</v>
      </c>
      <c r="AS89" s="6">
        <f>SUMIFS(DivAndTax[Gross Dividend],DivAndTax[Investor ID],INVESTORS_LIST[[#This Row],[INVESTOR CODE]])</f>
        <v>0</v>
      </c>
      <c r="AT89" s="5">
        <f>IFERROR(INVESTORS_LIST[[#This Row],[TOTAL CURRENT UNITS]]/SUM(INVESTORS_LIST[TOTAL CURRENT UNITS]),0)</f>
        <v>0</v>
      </c>
    </row>
    <row r="90" spans="1:46" hidden="1">
      <c r="A90" t="s">
        <v>782</v>
      </c>
      <c r="B90" t="s">
        <v>98</v>
      </c>
      <c r="C90" t="s">
        <v>536</v>
      </c>
      <c r="D90" s="8" t="s">
        <v>2</v>
      </c>
      <c r="E90" s="2">
        <f>SUMIFS(LS[Unit],LS[Investor ID],INVESTORS_LIST[[#This Row],[INVESTOR CODE]],LS[B/S],"B")</f>
        <v>100000</v>
      </c>
      <c r="F90" s="2">
        <f>-SUMIFS(LS[Unit],LS[Investor ID],INVESTORS_LIST[[#This Row],[INVESTOR CODE]],LS[B/S],"S")</f>
        <v>100000</v>
      </c>
      <c r="G90" s="2">
        <f>IF(INVESTORS_LIST[[#This Row],[LS_TOTAL UNITS BUY]]=0,0,INVESTORS_LIST[[#This Row],[LS_TOTAL UNITS BUY]]-INVESTORS_LIST[[#This Row],[LS_TOTAL UNITS SOLD]])</f>
        <v>0</v>
      </c>
      <c r="H90" s="4">
        <f>IF(INVESTORS_LIST[[#This Row],[LS_TOTAL UNITS BUY]]=0,0,SUMIFS(LS[Amount],LS[Investor ID],INVESTORS_LIST[[#This Row],[INVESTOR CODE]],LS[B/S],"B"))</f>
        <v>1000000</v>
      </c>
      <c r="I90" s="6">
        <f>IF(INVESTORS_LIST[[#This Row],[LS_TOTAL UNITS SOLD]]=0,0,SUMIFS(LS[Cost of Units Sold],LS[Investor ID],INVESTORS_LIST[[#This Row],[INVESTOR CODE]],LS[B/S],"S"))</f>
        <v>1000000</v>
      </c>
      <c r="J90" s="6">
        <f>IF(INVESTORS_LIST[[#This Row],[LS_TOTAL CURRENT UNITS]]=0,0,INVESTORS_LIST[[#This Row],[LS_TOTAL CURRENT UNITS]]*INVESTORS_LIST[[#This Row],[LS_AVERAGE COST]])</f>
        <v>0</v>
      </c>
      <c r="K90" s="4">
        <f>IF(INVESTORS_LIST[[#This Row],[LS_TOTAL UNITS SOLD]]=0,0,SUMIFS(LS[Realized Gain],LS[Investor ID],INVESTORS_LIST[[#This Row],[INVESTOR CODE]],LS[B/S],"S"))</f>
        <v>-8000.0000000000073</v>
      </c>
      <c r="L90" s="2">
        <f>SUMIFS(SIP[Unit],SIP[Investor ID],INVESTORS_LIST[[#This Row],[INVESTOR CODE]],SIP[B/S],"B")</f>
        <v>0</v>
      </c>
      <c r="M90" s="2">
        <f>-SUMIFS(SIP[Unit],SIP[Investor ID],INVESTORS_LIST[[#This Row],[INVESTOR CODE]],SIP[B/S],"S")</f>
        <v>0</v>
      </c>
      <c r="N90" s="33">
        <f>IF(INVESTORS_LIST[[#This Row],[SIP_TOTAL UNITS BUY]]=0,0,INVESTORS_LIST[[#This Row],[SIP_TOTAL UNITS BUY]]-INVESTORS_LIST[[#This Row],[SIP_TOTAL UNITS SOLD]])</f>
        <v>0</v>
      </c>
      <c r="O90" s="4">
        <f>IF(INVESTORS_LIST[[#This Row],[SIP_TOTAL UNITS BUY]]=0,0,SUMIFS(SIP[Amount],SIP[Investor ID],INVESTORS_LIST[[#This Row],[INVESTOR CODE]],SIP[B/S],"B"))</f>
        <v>0</v>
      </c>
      <c r="P90" s="4">
        <f>IF(INVESTORS_LIST[[#This Row],[SIP_TOTAL UNITS SOLD]]=0,0,SUMIFS(SIP[Cost of Units Sold],SIP[Investor ID],INVESTORS_LIST[[#This Row],[INVESTOR CODE]],SIP[B/S],"S"))</f>
        <v>0</v>
      </c>
      <c r="Q90" s="6">
        <f>IF(INVESTORS_LIST[[#This Row],[SIP_TOTAL CURRENT UNITS]]=0,0,INVESTORS_LIST[[#This Row],[SIP_TOTAL CURRENT UNITS]]*INVESTORS_LIST[[#This Row],[SIP_AVERAGE COST]])</f>
        <v>0</v>
      </c>
      <c r="R90" s="6">
        <f>IF(INVESTORS_LIST[[#This Row],[SIP_TOTAL UNITS SOLD]]=0,0,SUMIFS(SIP[Realized Gain],SIP[Investor ID],INVESTORS_LIST[[#This Row],[INVESTOR CODE]],SIP[B/S],"S"))</f>
        <v>0</v>
      </c>
      <c r="S90" s="33">
        <f>INVESTORS_LIST[[#This Row],[LS_TOTAL UNITS BUY]]+INVESTORS_LIST[[#This Row],[SIP_TOTAL UNITS BUY]]</f>
        <v>100000</v>
      </c>
      <c r="T90" s="33">
        <f>INVESTORS_LIST[[#This Row],[LS_TOTAL UNITS SOLD]]+INVESTORS_LIST[[#This Row],[SIP_TOTAL UNITS SOLD]]</f>
        <v>100000</v>
      </c>
      <c r="U90" s="33">
        <v>0</v>
      </c>
      <c r="V90" s="33">
        <f>SUMIFS(LS[BO UNIT TRANSFER],LS[Investor ID],INVESTORS_LIST[[#This Row],[INVESTOR CODE]],LS[B/S],"B")</f>
        <v>0</v>
      </c>
      <c r="W90" s="33">
        <f>SUMIFS(LS[BO UNIT TRANSFER],LS[Investor ID],INVESTORS_LIST[[#This Row],[INVESTOR CODE]],LS[B/S],"S")</f>
        <v>0</v>
      </c>
      <c r="X90" s="33">
        <f>SUMIFS(SIP[BO UNIT TRANSFER],SIP[Investor ID],INVESTORS_LIST[[#This Row],[INVESTOR CODE]],SIP[B/S],"S")</f>
        <v>0</v>
      </c>
      <c r="Y90" s="33">
        <f>SUMIFS(SIP[BO UNIT TRANSFER],SIP[Investor ID],INVESTORS_LIST[[#This Row],[INVESTOR CODE]],SIP[B/S],"B")</f>
        <v>0</v>
      </c>
      <c r="Z9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90" s="119">
        <f>INVESTORS_LIST[[#This Row],[TOTAL UNITS BUY]]-INVESTORS_LIST[[#This Row],[TOTAL UNITS SOLD]]</f>
        <v>0</v>
      </c>
      <c r="AB90" s="119">
        <f>INVESTORS_LIST[[#This Row],[TOTAL CURRENT UNITS]]-INVESTORS_LIST[[#This Row],[BO UNITS HOLD]]</f>
        <v>0</v>
      </c>
      <c r="AC90" s="119" t="e">
        <f>INDEX([4]!Table_1[BO ID],MATCH(INVESTORS_LIST[[#This Row],[INVESTOR CODE]],[4]!Table_1[INVESTOR CODE],0))</f>
        <v>#REF!</v>
      </c>
      <c r="AD90" s="33">
        <f>INVESTORS_LIST[[#This Row],[LS_TOTAL COST VALUE OF CURRENT UNITS]]+INVESTORS_LIST[[#This Row],[SIP_TOTAL COST VALUE OF CURRENT UNITS]]</f>
        <v>0</v>
      </c>
      <c r="AE90" s="44">
        <f>IF(INVESTORS_LIST[[#This Row],[TOTAL CURRENT UNITS]]=0,0,INVESTORS_LIST[[#This Row],[LS_TOTAL CURRENT UNITS]]/INVESTORS_LIST[[#This Row],[TOTAL CURRENT UNITS]])</f>
        <v>0</v>
      </c>
      <c r="AF90" s="44">
        <f>IF(INVESTORS_LIST[[#This Row],[TOTAL CURRENT UNITS]]=0,0,INVESTORS_LIST[[#This Row],[SIP_TOTAL CURRENT UNITS]]/INVESTORS_LIST[[#This Row],[TOTAL CURRENT UNITS]])</f>
        <v>0</v>
      </c>
      <c r="AG90" s="4" cm="1">
        <f t="array" ref="AG9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90" s="4" cm="1">
        <f t="array" ref="AH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9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90" s="178">
        <f t="shared" si="1"/>
        <v>12.552</v>
      </c>
      <c r="AK90" s="118">
        <f>IF(INVESTORS_LIST[[#This Row],[TOTAL CURRENT UNITS]]=0,0,INVESTORS_LIST[[#This Row],[TOTAL CURRENT UNITS]]*INVESTORS_LIST[[#This Row],[NAV]])</f>
        <v>0</v>
      </c>
      <c r="AL90" s="4">
        <f>IF(INVESTORS_LIST[[#This Row],[LS_TOTAL CURRENT UNITS]]=0,0,INVESTORS_LIST[[#This Row],[LS_TOTAL CURRENT UNITS]]*INVESTORS_LIST[[#This Row],[NAV]])</f>
        <v>0</v>
      </c>
      <c r="AM90" s="6">
        <f>IF(INVESTORS_LIST[[#This Row],[SIP_TOTAL CURRENT UNITS]]=0,0,INVESTORS_LIST[[#This Row],[SIP_TOTAL CURRENT UNITS]]*INVESTORS_LIST[[#This Row],[NAV]])</f>
        <v>0</v>
      </c>
      <c r="AO90" s="6">
        <f>IF(INVESTORS_LIST[[#This Row],[TOTAL SELLABLE UNITS]]=0,0,INVESTORS_LIST[[#This Row],[TOTAL SELLABLE UNITS]]*INVESTORS_LIST[[#This Row],[NAV]])</f>
        <v>0</v>
      </c>
      <c r="AP90" s="6">
        <f>INVESTORS_LIST[[#This Row],[LS_TOTAL REALIZED GAIN]]+INVESTORS_LIST[[#This Row],[SIP_TOTAL REALIZED GAIN]]</f>
        <v>-8000.0000000000073</v>
      </c>
      <c r="AQ90" s="6">
        <f>INVESTORS_LIST[[#This Row],[TOTAL MARKET VALUE]]-INVESTORS_LIST[[#This Row],[TOTAL COST VALUE OF CURRENT INVESTMENT]]</f>
        <v>0</v>
      </c>
      <c r="AR90" s="6">
        <f>SUMIFS(DivAndTax[Tax Amount],DivAndTax[Investor ID],INVESTORS_LIST[[#This Row],[INVESTOR CODE]])</f>
        <v>0</v>
      </c>
      <c r="AS90" s="6">
        <f>SUMIFS(DivAndTax[Gross Dividend],DivAndTax[Investor ID],INVESTORS_LIST[[#This Row],[INVESTOR CODE]])</f>
        <v>0</v>
      </c>
      <c r="AT90" s="5">
        <f>IFERROR(INVESTORS_LIST[[#This Row],[TOTAL CURRENT UNITS]]/SUM(INVESTORS_LIST[TOTAL CURRENT UNITS]),0)</f>
        <v>0</v>
      </c>
    </row>
    <row r="91" spans="1:46" hidden="1">
      <c r="A91" t="s">
        <v>99</v>
      </c>
      <c r="B91" t="s">
        <v>100</v>
      </c>
      <c r="C91" t="s">
        <v>536</v>
      </c>
      <c r="D91" s="8" t="s">
        <v>2</v>
      </c>
      <c r="E91" s="2">
        <f>SUMIFS(LS[Unit],LS[Investor ID],INVESTORS_LIST[[#This Row],[INVESTOR CODE]],LS[B/S],"B")</f>
        <v>0</v>
      </c>
      <c r="F91" s="2">
        <f>-SUMIFS(LS[Unit],LS[Investor ID],INVESTORS_LIST[[#This Row],[INVESTOR CODE]],LS[B/S],"S")</f>
        <v>0</v>
      </c>
      <c r="G91" s="2">
        <f>IF(INVESTORS_LIST[[#This Row],[LS_TOTAL UNITS BUY]]=0,0,INVESTORS_LIST[[#This Row],[LS_TOTAL UNITS BUY]]-INVESTORS_LIST[[#This Row],[LS_TOTAL UNITS SOLD]])</f>
        <v>0</v>
      </c>
      <c r="H91" s="4">
        <f>IF(INVESTORS_LIST[[#This Row],[LS_TOTAL UNITS BUY]]=0,0,SUMIFS(LS[Amount],LS[Investor ID],INVESTORS_LIST[[#This Row],[INVESTOR CODE]],LS[B/S],"B"))</f>
        <v>0</v>
      </c>
      <c r="I91" s="6">
        <f>IF(INVESTORS_LIST[[#This Row],[LS_TOTAL UNITS SOLD]]=0,0,SUMIFS(LS[Cost of Units Sold],LS[Investor ID],INVESTORS_LIST[[#This Row],[INVESTOR CODE]],LS[B/S],"S"))</f>
        <v>0</v>
      </c>
      <c r="J91" s="6">
        <f>IF(INVESTORS_LIST[[#This Row],[LS_TOTAL CURRENT UNITS]]=0,0,INVESTORS_LIST[[#This Row],[LS_TOTAL CURRENT UNITS]]*INVESTORS_LIST[[#This Row],[LS_AVERAGE COST]])</f>
        <v>0</v>
      </c>
      <c r="K91" s="4">
        <f>IF(INVESTORS_LIST[[#This Row],[LS_TOTAL UNITS SOLD]]=0,0,SUMIFS(LS[Realized Gain],LS[Investor ID],INVESTORS_LIST[[#This Row],[INVESTOR CODE]],LS[B/S],"S"))</f>
        <v>0</v>
      </c>
      <c r="L91" s="2">
        <f>SUMIFS(SIP[Unit],SIP[Investor ID],INVESTORS_LIST[[#This Row],[INVESTOR CODE]],SIP[B/S],"B")</f>
        <v>0</v>
      </c>
      <c r="M91" s="2">
        <f>-SUMIFS(SIP[Unit],SIP[Investor ID],INVESTORS_LIST[[#This Row],[INVESTOR CODE]],SIP[B/S],"S")</f>
        <v>0</v>
      </c>
      <c r="N91" s="33">
        <f>IF(INVESTORS_LIST[[#This Row],[SIP_TOTAL UNITS BUY]]=0,0,INVESTORS_LIST[[#This Row],[SIP_TOTAL UNITS BUY]]-INVESTORS_LIST[[#This Row],[SIP_TOTAL UNITS SOLD]])</f>
        <v>0</v>
      </c>
      <c r="O91" s="4">
        <f>IF(INVESTORS_LIST[[#This Row],[SIP_TOTAL UNITS BUY]]=0,0,SUMIFS(SIP[Amount],SIP[Investor ID],INVESTORS_LIST[[#This Row],[INVESTOR CODE]],SIP[B/S],"B"))</f>
        <v>0</v>
      </c>
      <c r="P91" s="4">
        <f>IF(INVESTORS_LIST[[#This Row],[SIP_TOTAL UNITS SOLD]]=0,0,SUMIFS(SIP[Cost of Units Sold],SIP[Investor ID],INVESTORS_LIST[[#This Row],[INVESTOR CODE]],SIP[B/S],"S"))</f>
        <v>0</v>
      </c>
      <c r="Q91" s="6">
        <f>IF(INVESTORS_LIST[[#This Row],[SIP_TOTAL CURRENT UNITS]]=0,0,INVESTORS_LIST[[#This Row],[SIP_TOTAL CURRENT UNITS]]*INVESTORS_LIST[[#This Row],[SIP_AVERAGE COST]])</f>
        <v>0</v>
      </c>
      <c r="R91" s="6">
        <f>IF(INVESTORS_LIST[[#This Row],[SIP_TOTAL UNITS SOLD]]=0,0,SUMIFS(SIP[Realized Gain],SIP[Investor ID],INVESTORS_LIST[[#This Row],[INVESTOR CODE]],SIP[B/S],"S"))</f>
        <v>0</v>
      </c>
      <c r="S91" s="33">
        <f>INVESTORS_LIST[[#This Row],[LS_TOTAL UNITS BUY]]+INVESTORS_LIST[[#This Row],[SIP_TOTAL UNITS BUY]]</f>
        <v>0</v>
      </c>
      <c r="T91" s="33">
        <f>INVESTORS_LIST[[#This Row],[LS_TOTAL UNITS SOLD]]+INVESTORS_LIST[[#This Row],[SIP_TOTAL UNITS SOLD]]</f>
        <v>0</v>
      </c>
      <c r="U91" s="33">
        <v>0</v>
      </c>
      <c r="V91" s="33">
        <f>SUMIFS(LS[BO UNIT TRANSFER],LS[Investor ID],INVESTORS_LIST[[#This Row],[INVESTOR CODE]],LS[B/S],"B")</f>
        <v>0</v>
      </c>
      <c r="W91" s="33">
        <f>SUMIFS(LS[BO UNIT TRANSFER],LS[Investor ID],INVESTORS_LIST[[#This Row],[INVESTOR CODE]],LS[B/S],"S")</f>
        <v>0</v>
      </c>
      <c r="X91" s="33">
        <f>SUMIFS(SIP[BO UNIT TRANSFER],SIP[Investor ID],INVESTORS_LIST[[#This Row],[INVESTOR CODE]],SIP[B/S],"S")</f>
        <v>0</v>
      </c>
      <c r="Y91" s="33">
        <f>SUMIFS(SIP[BO UNIT TRANSFER],SIP[Investor ID],INVESTORS_LIST[[#This Row],[INVESTOR CODE]],SIP[B/S],"B")</f>
        <v>0</v>
      </c>
      <c r="Z9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91" s="119">
        <f>INVESTORS_LIST[[#This Row],[TOTAL UNITS BUY]]-INVESTORS_LIST[[#This Row],[TOTAL UNITS SOLD]]</f>
        <v>0</v>
      </c>
      <c r="AB91" s="119">
        <f>INVESTORS_LIST[[#This Row],[TOTAL CURRENT UNITS]]-INVESTORS_LIST[[#This Row],[BO UNITS HOLD]]</f>
        <v>0</v>
      </c>
      <c r="AC91" s="119" t="e">
        <f>INDEX([4]!Table_1[BO ID],MATCH(INVESTORS_LIST[[#This Row],[INVESTOR CODE]],[4]!Table_1[INVESTOR CODE],0))</f>
        <v>#REF!</v>
      </c>
      <c r="AD91" s="33">
        <f>INVESTORS_LIST[[#This Row],[LS_TOTAL COST VALUE OF CURRENT UNITS]]+INVESTORS_LIST[[#This Row],[SIP_TOTAL COST VALUE OF CURRENT UNITS]]</f>
        <v>0</v>
      </c>
      <c r="AE91" s="44">
        <f>IF(INVESTORS_LIST[[#This Row],[TOTAL CURRENT UNITS]]=0,0,INVESTORS_LIST[[#This Row],[LS_TOTAL CURRENT UNITS]]/INVESTORS_LIST[[#This Row],[TOTAL CURRENT UNITS]])</f>
        <v>0</v>
      </c>
      <c r="AF91" s="44">
        <f>IF(INVESTORS_LIST[[#This Row],[TOTAL CURRENT UNITS]]=0,0,INVESTORS_LIST[[#This Row],[SIP_TOTAL CURRENT UNITS]]/INVESTORS_LIST[[#This Row],[TOTAL CURRENT UNITS]])</f>
        <v>0</v>
      </c>
      <c r="AG91" s="4" cm="1">
        <f t="array" ref="AG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91" s="4" cm="1">
        <f t="array" ref="AH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9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91" s="178">
        <f t="shared" si="1"/>
        <v>12.552</v>
      </c>
      <c r="AK91" s="118">
        <f>IF(INVESTORS_LIST[[#This Row],[TOTAL CURRENT UNITS]]=0,0,INVESTORS_LIST[[#This Row],[TOTAL CURRENT UNITS]]*INVESTORS_LIST[[#This Row],[NAV]])</f>
        <v>0</v>
      </c>
      <c r="AL91" s="4">
        <f>IF(INVESTORS_LIST[[#This Row],[LS_TOTAL CURRENT UNITS]]=0,0,INVESTORS_LIST[[#This Row],[LS_TOTAL CURRENT UNITS]]*INVESTORS_LIST[[#This Row],[NAV]])</f>
        <v>0</v>
      </c>
      <c r="AM91" s="6">
        <f>IF(INVESTORS_LIST[[#This Row],[SIP_TOTAL CURRENT UNITS]]=0,0,INVESTORS_LIST[[#This Row],[SIP_TOTAL CURRENT UNITS]]*INVESTORS_LIST[[#This Row],[NAV]])</f>
        <v>0</v>
      </c>
      <c r="AO91" s="6">
        <f>IF(INVESTORS_LIST[[#This Row],[TOTAL SELLABLE UNITS]]=0,0,INVESTORS_LIST[[#This Row],[TOTAL SELLABLE UNITS]]*INVESTORS_LIST[[#This Row],[NAV]])</f>
        <v>0</v>
      </c>
      <c r="AP91" s="6">
        <f>INVESTORS_LIST[[#This Row],[LS_TOTAL REALIZED GAIN]]+INVESTORS_LIST[[#This Row],[SIP_TOTAL REALIZED GAIN]]</f>
        <v>0</v>
      </c>
      <c r="AQ91" s="6">
        <f>INVESTORS_LIST[[#This Row],[TOTAL MARKET VALUE]]-INVESTORS_LIST[[#This Row],[TOTAL COST VALUE OF CURRENT INVESTMENT]]</f>
        <v>0</v>
      </c>
      <c r="AR91" s="6">
        <f>SUMIFS(DivAndTax[Tax Amount],DivAndTax[Investor ID],INVESTORS_LIST[[#This Row],[INVESTOR CODE]])</f>
        <v>0</v>
      </c>
      <c r="AS91" s="6">
        <f>SUMIFS(DivAndTax[Gross Dividend],DivAndTax[Investor ID],INVESTORS_LIST[[#This Row],[INVESTOR CODE]])</f>
        <v>0</v>
      </c>
      <c r="AT91" s="5">
        <f>IFERROR(INVESTORS_LIST[[#This Row],[TOTAL CURRENT UNITS]]/SUM(INVESTORS_LIST[TOTAL CURRENT UNITS]),0)</f>
        <v>0</v>
      </c>
    </row>
    <row r="92" spans="1:46" hidden="1">
      <c r="A92" t="s">
        <v>101</v>
      </c>
      <c r="B92" t="s">
        <v>102</v>
      </c>
      <c r="C92" t="s">
        <v>536</v>
      </c>
      <c r="D92" s="8" t="s">
        <v>2</v>
      </c>
      <c r="E92" s="2">
        <f>SUMIFS(LS[Unit],LS[Investor ID],INVESTORS_LIST[[#This Row],[INVESTOR CODE]],LS[B/S],"B")</f>
        <v>0</v>
      </c>
      <c r="F92" s="2">
        <f>-SUMIFS(LS[Unit],LS[Investor ID],INVESTORS_LIST[[#This Row],[INVESTOR CODE]],LS[B/S],"S")</f>
        <v>0</v>
      </c>
      <c r="G92" s="2">
        <f>IF(INVESTORS_LIST[[#This Row],[LS_TOTAL UNITS BUY]]=0,0,INVESTORS_LIST[[#This Row],[LS_TOTAL UNITS BUY]]-INVESTORS_LIST[[#This Row],[LS_TOTAL UNITS SOLD]])</f>
        <v>0</v>
      </c>
      <c r="H92" s="4">
        <f>IF(INVESTORS_LIST[[#This Row],[LS_TOTAL UNITS BUY]]=0,0,SUMIFS(LS[Amount],LS[Investor ID],INVESTORS_LIST[[#This Row],[INVESTOR CODE]],LS[B/S],"B"))</f>
        <v>0</v>
      </c>
      <c r="I92" s="6">
        <f>IF(INVESTORS_LIST[[#This Row],[LS_TOTAL UNITS SOLD]]=0,0,SUMIFS(LS[Cost of Units Sold],LS[Investor ID],INVESTORS_LIST[[#This Row],[INVESTOR CODE]],LS[B/S],"S"))</f>
        <v>0</v>
      </c>
      <c r="J92" s="6">
        <f>IF(INVESTORS_LIST[[#This Row],[LS_TOTAL CURRENT UNITS]]=0,0,INVESTORS_LIST[[#This Row],[LS_TOTAL CURRENT UNITS]]*INVESTORS_LIST[[#This Row],[LS_AVERAGE COST]])</f>
        <v>0</v>
      </c>
      <c r="K92" s="4">
        <f>IF(INVESTORS_LIST[[#This Row],[LS_TOTAL UNITS SOLD]]=0,0,SUMIFS(LS[Realized Gain],LS[Investor ID],INVESTORS_LIST[[#This Row],[INVESTOR CODE]],LS[B/S],"S"))</f>
        <v>0</v>
      </c>
      <c r="L92" s="2">
        <f>SUMIFS(SIP[Unit],SIP[Investor ID],INVESTORS_LIST[[#This Row],[INVESTOR CODE]],SIP[B/S],"B")</f>
        <v>0</v>
      </c>
      <c r="M92" s="2">
        <f>-SUMIFS(SIP[Unit],SIP[Investor ID],INVESTORS_LIST[[#This Row],[INVESTOR CODE]],SIP[B/S],"S")</f>
        <v>0</v>
      </c>
      <c r="N92" s="33">
        <f>IF(INVESTORS_LIST[[#This Row],[SIP_TOTAL UNITS BUY]]=0,0,INVESTORS_LIST[[#This Row],[SIP_TOTAL UNITS BUY]]-INVESTORS_LIST[[#This Row],[SIP_TOTAL UNITS SOLD]])</f>
        <v>0</v>
      </c>
      <c r="O92" s="4">
        <f>IF(INVESTORS_LIST[[#This Row],[SIP_TOTAL UNITS BUY]]=0,0,SUMIFS(SIP[Amount],SIP[Investor ID],INVESTORS_LIST[[#This Row],[INVESTOR CODE]],SIP[B/S],"B"))</f>
        <v>0</v>
      </c>
      <c r="P92" s="4">
        <f>IF(INVESTORS_LIST[[#This Row],[SIP_TOTAL UNITS SOLD]]=0,0,SUMIFS(SIP[Cost of Units Sold],SIP[Investor ID],INVESTORS_LIST[[#This Row],[INVESTOR CODE]],SIP[B/S],"S"))</f>
        <v>0</v>
      </c>
      <c r="Q92" s="6">
        <f>IF(INVESTORS_LIST[[#This Row],[SIP_TOTAL CURRENT UNITS]]=0,0,INVESTORS_LIST[[#This Row],[SIP_TOTAL CURRENT UNITS]]*INVESTORS_LIST[[#This Row],[SIP_AVERAGE COST]])</f>
        <v>0</v>
      </c>
      <c r="R92" s="6">
        <f>IF(INVESTORS_LIST[[#This Row],[SIP_TOTAL UNITS SOLD]]=0,0,SUMIFS(SIP[Realized Gain],SIP[Investor ID],INVESTORS_LIST[[#This Row],[INVESTOR CODE]],SIP[B/S],"S"))</f>
        <v>0</v>
      </c>
      <c r="S92" s="33">
        <f>INVESTORS_LIST[[#This Row],[LS_TOTAL UNITS BUY]]+INVESTORS_LIST[[#This Row],[SIP_TOTAL UNITS BUY]]</f>
        <v>0</v>
      </c>
      <c r="T92" s="33">
        <f>INVESTORS_LIST[[#This Row],[LS_TOTAL UNITS SOLD]]+INVESTORS_LIST[[#This Row],[SIP_TOTAL UNITS SOLD]]</f>
        <v>0</v>
      </c>
      <c r="U92" s="33">
        <v>0</v>
      </c>
      <c r="V92" s="33">
        <f>SUMIFS(LS[BO UNIT TRANSFER],LS[Investor ID],INVESTORS_LIST[[#This Row],[INVESTOR CODE]],LS[B/S],"B")</f>
        <v>0</v>
      </c>
      <c r="W92" s="33">
        <f>SUMIFS(LS[BO UNIT TRANSFER],LS[Investor ID],INVESTORS_LIST[[#This Row],[INVESTOR CODE]],LS[B/S],"S")</f>
        <v>0</v>
      </c>
      <c r="X92" s="33">
        <f>SUMIFS(SIP[BO UNIT TRANSFER],SIP[Investor ID],INVESTORS_LIST[[#This Row],[INVESTOR CODE]],SIP[B/S],"S")</f>
        <v>0</v>
      </c>
      <c r="Y92" s="33">
        <f>SUMIFS(SIP[BO UNIT TRANSFER],SIP[Investor ID],INVESTORS_LIST[[#This Row],[INVESTOR CODE]],SIP[B/S],"B")</f>
        <v>0</v>
      </c>
      <c r="Z9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92" s="119">
        <f>INVESTORS_LIST[[#This Row],[TOTAL UNITS BUY]]-INVESTORS_LIST[[#This Row],[TOTAL UNITS SOLD]]</f>
        <v>0</v>
      </c>
      <c r="AB92" s="119">
        <f>INVESTORS_LIST[[#This Row],[TOTAL CURRENT UNITS]]-INVESTORS_LIST[[#This Row],[BO UNITS HOLD]]</f>
        <v>0</v>
      </c>
      <c r="AC92" s="119" t="e">
        <f>INDEX([4]!Table_1[BO ID],MATCH(INVESTORS_LIST[[#This Row],[INVESTOR CODE]],[4]!Table_1[INVESTOR CODE],0))</f>
        <v>#REF!</v>
      </c>
      <c r="AD92" s="33">
        <f>INVESTORS_LIST[[#This Row],[LS_TOTAL COST VALUE OF CURRENT UNITS]]+INVESTORS_LIST[[#This Row],[SIP_TOTAL COST VALUE OF CURRENT UNITS]]</f>
        <v>0</v>
      </c>
      <c r="AE92" s="44">
        <f>IF(INVESTORS_LIST[[#This Row],[TOTAL CURRENT UNITS]]=0,0,INVESTORS_LIST[[#This Row],[LS_TOTAL CURRENT UNITS]]/INVESTORS_LIST[[#This Row],[TOTAL CURRENT UNITS]])</f>
        <v>0</v>
      </c>
      <c r="AF92" s="44">
        <f>IF(INVESTORS_LIST[[#This Row],[TOTAL CURRENT UNITS]]=0,0,INVESTORS_LIST[[#This Row],[SIP_TOTAL CURRENT UNITS]]/INVESTORS_LIST[[#This Row],[TOTAL CURRENT UNITS]])</f>
        <v>0</v>
      </c>
      <c r="AG92" s="4" cm="1">
        <f t="array" ref="AG9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92" s="4" cm="1">
        <f t="array" ref="AH9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9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92" s="178">
        <f t="shared" si="1"/>
        <v>12.552</v>
      </c>
      <c r="AK92" s="118">
        <f>IF(INVESTORS_LIST[[#This Row],[TOTAL CURRENT UNITS]]=0,0,INVESTORS_LIST[[#This Row],[TOTAL CURRENT UNITS]]*INVESTORS_LIST[[#This Row],[NAV]])</f>
        <v>0</v>
      </c>
      <c r="AL92" s="4">
        <f>IF(INVESTORS_LIST[[#This Row],[LS_TOTAL CURRENT UNITS]]=0,0,INVESTORS_LIST[[#This Row],[LS_TOTAL CURRENT UNITS]]*INVESTORS_LIST[[#This Row],[NAV]])</f>
        <v>0</v>
      </c>
      <c r="AM92" s="6">
        <f>IF(INVESTORS_LIST[[#This Row],[SIP_TOTAL CURRENT UNITS]]=0,0,INVESTORS_LIST[[#This Row],[SIP_TOTAL CURRENT UNITS]]*INVESTORS_LIST[[#This Row],[NAV]])</f>
        <v>0</v>
      </c>
      <c r="AO92" s="6">
        <f>IF(INVESTORS_LIST[[#This Row],[TOTAL SELLABLE UNITS]]=0,0,INVESTORS_LIST[[#This Row],[TOTAL SELLABLE UNITS]]*INVESTORS_LIST[[#This Row],[NAV]])</f>
        <v>0</v>
      </c>
      <c r="AP92" s="6">
        <f>INVESTORS_LIST[[#This Row],[LS_TOTAL REALIZED GAIN]]+INVESTORS_LIST[[#This Row],[SIP_TOTAL REALIZED GAIN]]</f>
        <v>0</v>
      </c>
      <c r="AQ92" s="6">
        <f>INVESTORS_LIST[[#This Row],[TOTAL MARKET VALUE]]-INVESTORS_LIST[[#This Row],[TOTAL COST VALUE OF CURRENT INVESTMENT]]</f>
        <v>0</v>
      </c>
      <c r="AR92" s="6">
        <f>SUMIFS(DivAndTax[Tax Amount],DivAndTax[Investor ID],INVESTORS_LIST[[#This Row],[INVESTOR CODE]])</f>
        <v>0</v>
      </c>
      <c r="AS92" s="6">
        <f>SUMIFS(DivAndTax[Gross Dividend],DivAndTax[Investor ID],INVESTORS_LIST[[#This Row],[INVESTOR CODE]])</f>
        <v>0</v>
      </c>
      <c r="AT92" s="5">
        <f>IFERROR(INVESTORS_LIST[[#This Row],[TOTAL CURRENT UNITS]]/SUM(INVESTORS_LIST[TOTAL CURRENT UNITS]),0)</f>
        <v>0</v>
      </c>
    </row>
    <row r="93" spans="1:46">
      <c r="A93" t="s">
        <v>103</v>
      </c>
      <c r="B93" t="s">
        <v>104</v>
      </c>
      <c r="C93" t="s">
        <v>536</v>
      </c>
      <c r="D93" s="8" t="s">
        <v>2</v>
      </c>
      <c r="E93" s="2">
        <f>SUMIFS(LS[Unit],LS[Investor ID],INVESTORS_LIST[[#This Row],[INVESTOR CODE]],LS[B/S],"B")</f>
        <v>175352</v>
      </c>
      <c r="F93" s="2">
        <f>-SUMIFS(LS[Unit],LS[Investor ID],INVESTORS_LIST[[#This Row],[INVESTOR CODE]],LS[B/S],"S")</f>
        <v>20000</v>
      </c>
      <c r="G93" s="2">
        <f>IF(INVESTORS_LIST[[#This Row],[LS_TOTAL UNITS BUY]]=0,0,INVESTORS_LIST[[#This Row],[LS_TOTAL UNITS BUY]]-INVESTORS_LIST[[#This Row],[LS_TOTAL UNITS SOLD]])</f>
        <v>155352</v>
      </c>
      <c r="H93" s="4">
        <f>IF(INVESTORS_LIST[[#This Row],[LS_TOTAL UNITS BUY]]=0,0,SUMIFS(LS[Amount],LS[Investor ID],INVESTORS_LIST[[#This Row],[INVESTOR CODE]],LS[B/S],"B"))</f>
        <v>2200000</v>
      </c>
      <c r="I93" s="6">
        <f>IF(INVESTORS_LIST[[#This Row],[LS_TOTAL UNITS SOLD]]=0,0,SUMIFS(LS[Cost of Units Sold],LS[Investor ID],INVESTORS_LIST[[#This Row],[INVESTOR CODE]],LS[B/S],"S"))</f>
        <v>200000</v>
      </c>
      <c r="J93" s="6">
        <f>IF(INVESTORS_LIST[[#This Row],[LS_TOTAL CURRENT UNITS]]=0,0,INVESTORS_LIST[[#This Row],[LS_TOTAL CURRENT UNITS]]*INVESTORS_LIST[[#This Row],[LS_AVERAGE COST]])</f>
        <v>2000000</v>
      </c>
      <c r="K93" s="4">
        <f>IF(INVESTORS_LIST[[#This Row],[LS_TOTAL UNITS SOLD]]=0,0,SUMIFS(LS[Realized Gain],LS[Investor ID],INVESTORS_LIST[[#This Row],[INVESTOR CODE]],LS[B/S],"S"))</f>
        <v>2600.0000000000155</v>
      </c>
      <c r="L93" s="2">
        <f>SUMIFS(SIP[Unit],SIP[Investor ID],INVESTORS_LIST[[#This Row],[INVESTOR CODE]],SIP[B/S],"B")</f>
        <v>0</v>
      </c>
      <c r="M93" s="2">
        <f>-SUMIFS(SIP[Unit],SIP[Investor ID],INVESTORS_LIST[[#This Row],[INVESTOR CODE]],SIP[B/S],"S")</f>
        <v>0</v>
      </c>
      <c r="N93" s="33">
        <f>IF(INVESTORS_LIST[[#This Row],[SIP_TOTAL UNITS BUY]]=0,0,INVESTORS_LIST[[#This Row],[SIP_TOTAL UNITS BUY]]-INVESTORS_LIST[[#This Row],[SIP_TOTAL UNITS SOLD]])</f>
        <v>0</v>
      </c>
      <c r="O93" s="4">
        <f>IF(INVESTORS_LIST[[#This Row],[SIP_TOTAL UNITS BUY]]=0,0,SUMIFS(SIP[Amount],SIP[Investor ID],INVESTORS_LIST[[#This Row],[INVESTOR CODE]],SIP[B/S],"B"))</f>
        <v>0</v>
      </c>
      <c r="P93" s="4">
        <f>IF(INVESTORS_LIST[[#This Row],[SIP_TOTAL UNITS SOLD]]=0,0,SUMIFS(SIP[Cost of Units Sold],SIP[Investor ID],INVESTORS_LIST[[#This Row],[INVESTOR CODE]],SIP[B/S],"S"))</f>
        <v>0</v>
      </c>
      <c r="Q93" s="6">
        <f>IF(INVESTORS_LIST[[#This Row],[SIP_TOTAL CURRENT UNITS]]=0,0,INVESTORS_LIST[[#This Row],[SIP_TOTAL CURRENT UNITS]]*INVESTORS_LIST[[#This Row],[SIP_AVERAGE COST]])</f>
        <v>0</v>
      </c>
      <c r="R93" s="6">
        <f>IF(INVESTORS_LIST[[#This Row],[SIP_TOTAL UNITS SOLD]]=0,0,SUMIFS(SIP[Realized Gain],SIP[Investor ID],INVESTORS_LIST[[#This Row],[INVESTOR CODE]],SIP[B/S],"S"))</f>
        <v>0</v>
      </c>
      <c r="S93" s="33">
        <f>INVESTORS_LIST[[#This Row],[LS_TOTAL UNITS BUY]]+INVESTORS_LIST[[#This Row],[SIP_TOTAL UNITS BUY]]</f>
        <v>175352</v>
      </c>
      <c r="T93" s="33">
        <f>INVESTORS_LIST[[#This Row],[LS_TOTAL UNITS SOLD]]+INVESTORS_LIST[[#This Row],[SIP_TOTAL UNITS SOLD]]</f>
        <v>20000</v>
      </c>
      <c r="U93" s="33">
        <v>0</v>
      </c>
      <c r="V93" s="33">
        <f>SUMIFS(LS[BO UNIT TRANSFER],LS[Investor ID],INVESTORS_LIST[[#This Row],[INVESTOR CODE]],LS[B/S],"B")</f>
        <v>0</v>
      </c>
      <c r="W93" s="33">
        <f>SUMIFS(LS[BO UNIT TRANSFER],LS[Investor ID],INVESTORS_LIST[[#This Row],[INVESTOR CODE]],LS[B/S],"S")</f>
        <v>0</v>
      </c>
      <c r="X93" s="33">
        <f>SUMIFS(SIP[BO UNIT TRANSFER],SIP[Investor ID],INVESTORS_LIST[[#This Row],[INVESTOR CODE]],SIP[B/S],"S")</f>
        <v>0</v>
      </c>
      <c r="Y93" s="33">
        <f>SUMIFS(SIP[BO UNIT TRANSFER],SIP[Investor ID],INVESTORS_LIST[[#This Row],[INVESTOR CODE]],SIP[B/S],"B")</f>
        <v>0</v>
      </c>
      <c r="Z9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93" s="119">
        <f>INVESTORS_LIST[[#This Row],[TOTAL UNITS BUY]]-INVESTORS_LIST[[#This Row],[TOTAL UNITS SOLD]]</f>
        <v>155352</v>
      </c>
      <c r="AB93" s="119">
        <f>INVESTORS_LIST[[#This Row],[TOTAL CURRENT UNITS]]-INVESTORS_LIST[[#This Row],[BO UNITS HOLD]]</f>
        <v>155352</v>
      </c>
      <c r="AC93" s="119" t="e">
        <f>INDEX([4]!Table_1[BO ID],MATCH(INVESTORS_LIST[[#This Row],[INVESTOR CODE]],[4]!Table_1[INVESTOR CODE],0))</f>
        <v>#REF!</v>
      </c>
      <c r="AD93" s="33">
        <f>INVESTORS_LIST[[#This Row],[LS_TOTAL COST VALUE OF CURRENT UNITS]]+INVESTORS_LIST[[#This Row],[SIP_TOTAL COST VALUE OF CURRENT UNITS]]</f>
        <v>2000000</v>
      </c>
      <c r="AE93" s="44">
        <f>IF(INVESTORS_LIST[[#This Row],[TOTAL CURRENT UNITS]]=0,0,INVESTORS_LIST[[#This Row],[LS_TOTAL CURRENT UNITS]]/INVESTORS_LIST[[#This Row],[TOTAL CURRENT UNITS]])</f>
        <v>1</v>
      </c>
      <c r="AF93" s="44">
        <f>IF(INVESTORS_LIST[[#This Row],[TOTAL CURRENT UNITS]]=0,0,INVESTORS_LIST[[#This Row],[SIP_TOTAL CURRENT UNITS]]/INVESTORS_LIST[[#This Row],[TOTAL CURRENT UNITS]])</f>
        <v>0</v>
      </c>
      <c r="AG93" s="4" cm="1">
        <f t="array" ref="AG93">IF(INVESTORS_LIST[[#This Row],[LS_TOTAL UNITS BUY]]&gt;0,INDEX(LS[NAV at Cost (Average)],MATCH(CONCATENATE(COUNTIFS(LS[Investor ID],INVESTORS_LIST[[#This Row],[INVESTOR CODE]]),INVESTORS_LIST[[#This Row],[INVESTOR CODE]]),LS[Unique Code],0),),0)</f>
        <v>12.87398939183274</v>
      </c>
      <c r="AH93" s="4" cm="1">
        <f t="array" ref="AH9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93" s="178">
        <f>IF(INVESTORS_LIST[[#This Row],[TOTAL CURRENT UNITS]]=0,0,(INVESTORS_LIST[[#This Row],[LS_WEIGHT]]*INVESTORS_LIST[[#This Row],[LS_AVERAGE COST]])+(INVESTORS_LIST[[#This Row],[SIP_WEIGHT]]*INVESTORS_LIST[[#This Row],[SIP_AVERAGE COST]]))</f>
        <v>12.87398939183274</v>
      </c>
      <c r="AJ93" s="178">
        <f t="shared" si="1"/>
        <v>12.552</v>
      </c>
      <c r="AK93" s="118">
        <f>IF(INVESTORS_LIST[[#This Row],[TOTAL CURRENT UNITS]]=0,0,INVESTORS_LIST[[#This Row],[TOTAL CURRENT UNITS]]*INVESTORS_LIST[[#This Row],[NAV]])</f>
        <v>1949978.304</v>
      </c>
      <c r="AL93" s="4">
        <f>IF(INVESTORS_LIST[[#This Row],[LS_TOTAL CURRENT UNITS]]=0,0,INVESTORS_LIST[[#This Row],[LS_TOTAL CURRENT UNITS]]*INVESTORS_LIST[[#This Row],[NAV]])</f>
        <v>1949978.304</v>
      </c>
      <c r="AM93" s="6">
        <f>IF(INVESTORS_LIST[[#This Row],[SIP_TOTAL CURRENT UNITS]]=0,0,INVESTORS_LIST[[#This Row],[SIP_TOTAL CURRENT UNITS]]*INVESTORS_LIST[[#This Row],[NAV]])</f>
        <v>0</v>
      </c>
      <c r="AO93" s="6">
        <f>IF(INVESTORS_LIST[[#This Row],[TOTAL SELLABLE UNITS]]=0,0,INVESTORS_LIST[[#This Row],[TOTAL SELLABLE UNITS]]*INVESTORS_LIST[[#This Row],[NAV]])</f>
        <v>0</v>
      </c>
      <c r="AP93" s="6">
        <f>INVESTORS_LIST[[#This Row],[LS_TOTAL REALIZED GAIN]]+INVESTORS_LIST[[#This Row],[SIP_TOTAL REALIZED GAIN]]</f>
        <v>2600.0000000000155</v>
      </c>
      <c r="AQ93" s="6">
        <f>INVESTORS_LIST[[#This Row],[TOTAL MARKET VALUE]]-INVESTORS_LIST[[#This Row],[TOTAL COST VALUE OF CURRENT INVESTMENT]]</f>
        <v>-50021.695999999996</v>
      </c>
      <c r="AR93" s="6">
        <f>SUMIFS(DivAndTax[Tax Amount],DivAndTax[Investor ID],INVESTORS_LIST[[#This Row],[INVESTOR CODE]])</f>
        <v>0</v>
      </c>
      <c r="AS93" s="6">
        <f>SUMIFS(DivAndTax[Gross Dividend],DivAndTax[Investor ID],INVESTORS_LIST[[#This Row],[INVESTOR CODE]])</f>
        <v>0</v>
      </c>
      <c r="AT93" s="5">
        <f>IFERROR(INVESTORS_LIST[[#This Row],[TOTAL CURRENT UNITS]]/SUM(INVESTORS_LIST[TOTAL CURRENT UNITS]),0)</f>
        <v>7.448326015672975E-3</v>
      </c>
    </row>
    <row r="94" spans="1:46">
      <c r="A94" t="s">
        <v>105</v>
      </c>
      <c r="B94" t="s">
        <v>106</v>
      </c>
      <c r="C94" t="s">
        <v>536</v>
      </c>
      <c r="D94" s="8" t="s">
        <v>2</v>
      </c>
      <c r="E94" s="2">
        <f>SUMIFS(LS[Unit],LS[Investor ID],INVESTORS_LIST[[#This Row],[INVESTOR CODE]],LS[B/S],"B")</f>
        <v>328442</v>
      </c>
      <c r="F94" s="2">
        <f>-SUMIFS(LS[Unit],LS[Investor ID],INVESTORS_LIST[[#This Row],[INVESTOR CODE]],LS[B/S],"S")</f>
        <v>0</v>
      </c>
      <c r="G94" s="2">
        <f>IF(INVESTORS_LIST[[#This Row],[LS_TOTAL UNITS BUY]]=0,0,INVESTORS_LIST[[#This Row],[LS_TOTAL UNITS BUY]]-INVESTORS_LIST[[#This Row],[LS_TOTAL UNITS SOLD]])</f>
        <v>328442</v>
      </c>
      <c r="H94" s="4">
        <f>IF(INVESTORS_LIST[[#This Row],[LS_TOTAL UNITS BUY]]=0,0,SUMIFS(LS[Amount],LS[Investor ID],INVESTORS_LIST[[#This Row],[INVESTOR CODE]],LS[B/S],"B"))</f>
        <v>3317567.5500000003</v>
      </c>
      <c r="I94" s="6">
        <f>IF(INVESTORS_LIST[[#This Row],[LS_TOTAL UNITS SOLD]]=0,0,SUMIFS(LS[Cost of Units Sold],LS[Investor ID],INVESTORS_LIST[[#This Row],[INVESTOR CODE]],LS[B/S],"S"))</f>
        <v>0</v>
      </c>
      <c r="J94" s="6">
        <f>IF(INVESTORS_LIST[[#This Row],[LS_TOTAL CURRENT UNITS]]=0,0,INVESTORS_LIST[[#This Row],[LS_TOTAL CURRENT UNITS]]*INVESTORS_LIST[[#This Row],[LS_AVERAGE COST]])</f>
        <v>3317567.55</v>
      </c>
      <c r="K94" s="4">
        <f>IF(INVESTORS_LIST[[#This Row],[LS_TOTAL UNITS SOLD]]=0,0,SUMIFS(LS[Realized Gain],LS[Investor ID],INVESTORS_LIST[[#This Row],[INVESTOR CODE]],LS[B/S],"S"))</f>
        <v>0</v>
      </c>
      <c r="L94" s="2">
        <f>SUMIFS(SIP[Unit],SIP[Investor ID],INVESTORS_LIST[[#This Row],[INVESTOR CODE]],SIP[B/S],"B")</f>
        <v>0</v>
      </c>
      <c r="M94" s="2">
        <f>-SUMIFS(SIP[Unit],SIP[Investor ID],INVESTORS_LIST[[#This Row],[INVESTOR CODE]],SIP[B/S],"S")</f>
        <v>0</v>
      </c>
      <c r="N94" s="33">
        <f>IF(INVESTORS_LIST[[#This Row],[SIP_TOTAL UNITS BUY]]=0,0,INVESTORS_LIST[[#This Row],[SIP_TOTAL UNITS BUY]]-INVESTORS_LIST[[#This Row],[SIP_TOTAL UNITS SOLD]])</f>
        <v>0</v>
      </c>
      <c r="O94" s="4">
        <f>IF(INVESTORS_LIST[[#This Row],[SIP_TOTAL UNITS BUY]]=0,0,SUMIFS(SIP[Amount],SIP[Investor ID],INVESTORS_LIST[[#This Row],[INVESTOR CODE]],SIP[B/S],"B"))</f>
        <v>0</v>
      </c>
      <c r="P94" s="4">
        <f>IF(INVESTORS_LIST[[#This Row],[SIP_TOTAL UNITS SOLD]]=0,0,SUMIFS(SIP[Cost of Units Sold],SIP[Investor ID],INVESTORS_LIST[[#This Row],[INVESTOR CODE]],SIP[B/S],"S"))</f>
        <v>0</v>
      </c>
      <c r="Q94" s="6">
        <f>IF(INVESTORS_LIST[[#This Row],[SIP_TOTAL CURRENT UNITS]]=0,0,INVESTORS_LIST[[#This Row],[SIP_TOTAL CURRENT UNITS]]*INVESTORS_LIST[[#This Row],[SIP_AVERAGE COST]])</f>
        <v>0</v>
      </c>
      <c r="R94" s="6">
        <f>IF(INVESTORS_LIST[[#This Row],[SIP_TOTAL UNITS SOLD]]=0,0,SUMIFS(SIP[Realized Gain],SIP[Investor ID],INVESTORS_LIST[[#This Row],[INVESTOR CODE]],SIP[B/S],"S"))</f>
        <v>0</v>
      </c>
      <c r="S94" s="33">
        <f>INVESTORS_LIST[[#This Row],[LS_TOTAL UNITS BUY]]+INVESTORS_LIST[[#This Row],[SIP_TOTAL UNITS BUY]]</f>
        <v>328442</v>
      </c>
      <c r="T94" s="33">
        <f>INVESTORS_LIST[[#This Row],[LS_TOTAL UNITS SOLD]]+INVESTORS_LIST[[#This Row],[SIP_TOTAL UNITS SOLD]]</f>
        <v>0</v>
      </c>
      <c r="U94" s="33">
        <v>319956</v>
      </c>
      <c r="V94" s="33">
        <f>SUMIFS(LS[BO UNIT TRANSFER],LS[Investor ID],INVESTORS_LIST[[#This Row],[INVESTOR CODE]],LS[B/S],"B")</f>
        <v>8486</v>
      </c>
      <c r="W94" s="33">
        <f>SUMIFS(LS[BO UNIT TRANSFER],LS[Investor ID],INVESTORS_LIST[[#This Row],[INVESTOR CODE]],LS[B/S],"S")</f>
        <v>0</v>
      </c>
      <c r="X94" s="33">
        <f>SUMIFS(SIP[BO UNIT TRANSFER],SIP[Investor ID],INVESTORS_LIST[[#This Row],[INVESTOR CODE]],SIP[B/S],"S")</f>
        <v>0</v>
      </c>
      <c r="Y94" s="33">
        <f>SUMIFS(SIP[BO UNIT TRANSFER],SIP[Investor ID],INVESTORS_LIST[[#This Row],[INVESTOR CODE]],SIP[B/S],"B")</f>
        <v>0</v>
      </c>
      <c r="Z9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328442</v>
      </c>
      <c r="AA94" s="119">
        <f>INVESTORS_LIST[[#This Row],[TOTAL UNITS BUY]]-INVESTORS_LIST[[#This Row],[TOTAL UNITS SOLD]]</f>
        <v>328442</v>
      </c>
      <c r="AB94" s="119">
        <f>INVESTORS_LIST[[#This Row],[TOTAL CURRENT UNITS]]-INVESTORS_LIST[[#This Row],[BO UNITS HOLD]]</f>
        <v>0</v>
      </c>
      <c r="AC94" s="119" t="e">
        <f>INDEX([4]!Table_1[BO ID],MATCH(INVESTORS_LIST[[#This Row],[INVESTOR CODE]],[4]!Table_1[INVESTOR CODE],0))</f>
        <v>#REF!</v>
      </c>
      <c r="AD94" s="33">
        <f>INVESTORS_LIST[[#This Row],[LS_TOTAL COST VALUE OF CURRENT UNITS]]+INVESTORS_LIST[[#This Row],[SIP_TOTAL COST VALUE OF CURRENT UNITS]]</f>
        <v>3317567.55</v>
      </c>
      <c r="AE94" s="44">
        <f>IF(INVESTORS_LIST[[#This Row],[TOTAL CURRENT UNITS]]=0,0,INVESTORS_LIST[[#This Row],[LS_TOTAL CURRENT UNITS]]/INVESTORS_LIST[[#This Row],[TOTAL CURRENT UNITS]])</f>
        <v>1</v>
      </c>
      <c r="AF94" s="44">
        <f>IF(INVESTORS_LIST[[#This Row],[TOTAL CURRENT UNITS]]=0,0,INVESTORS_LIST[[#This Row],[SIP_TOTAL CURRENT UNITS]]/INVESTORS_LIST[[#This Row],[TOTAL CURRENT UNITS]])</f>
        <v>0</v>
      </c>
      <c r="AG94" s="4" cm="1">
        <f t="array" ref="AG94">IF(INVESTORS_LIST[[#This Row],[LS_TOTAL UNITS BUY]]&gt;0,INDEX(LS[NAV at Cost (Average)],MATCH(CONCATENATE(COUNTIFS(LS[Investor ID],INVESTORS_LIST[[#This Row],[INVESTOR CODE]]),INVESTORS_LIST[[#This Row],[INVESTOR CODE]]),LS[Unique Code],0),),0)</f>
        <v>10.100923602949683</v>
      </c>
      <c r="AH94" s="4" cm="1">
        <f t="array" ref="AH9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94" s="178">
        <f>IF(INVESTORS_LIST[[#This Row],[TOTAL CURRENT UNITS]]=0,0,(INVESTORS_LIST[[#This Row],[LS_WEIGHT]]*INVESTORS_LIST[[#This Row],[LS_AVERAGE COST]])+(INVESTORS_LIST[[#This Row],[SIP_WEIGHT]]*INVESTORS_LIST[[#This Row],[SIP_AVERAGE COST]]))</f>
        <v>10.100923602949683</v>
      </c>
      <c r="AJ94" s="178">
        <f t="shared" si="1"/>
        <v>12.552</v>
      </c>
      <c r="AK94" s="118">
        <f>IF(INVESTORS_LIST[[#This Row],[TOTAL CURRENT UNITS]]=0,0,INVESTORS_LIST[[#This Row],[TOTAL CURRENT UNITS]]*INVESTORS_LIST[[#This Row],[NAV]])</f>
        <v>4122603.9839999997</v>
      </c>
      <c r="AL94" s="4">
        <f>IF(INVESTORS_LIST[[#This Row],[LS_TOTAL CURRENT UNITS]]=0,0,INVESTORS_LIST[[#This Row],[LS_TOTAL CURRENT UNITS]]*INVESTORS_LIST[[#This Row],[NAV]])</f>
        <v>4122603.9839999997</v>
      </c>
      <c r="AM94" s="6">
        <f>IF(INVESTORS_LIST[[#This Row],[SIP_TOTAL CURRENT UNITS]]=0,0,INVESTORS_LIST[[#This Row],[SIP_TOTAL CURRENT UNITS]]*INVESTORS_LIST[[#This Row],[NAV]])</f>
        <v>0</v>
      </c>
      <c r="AO94" s="6">
        <f>IF(INVESTORS_LIST[[#This Row],[TOTAL SELLABLE UNITS]]=0,0,INVESTORS_LIST[[#This Row],[TOTAL SELLABLE UNITS]]*INVESTORS_LIST[[#This Row],[NAV]])</f>
        <v>0</v>
      </c>
      <c r="AP94" s="6">
        <f>INVESTORS_LIST[[#This Row],[LS_TOTAL REALIZED GAIN]]+INVESTORS_LIST[[#This Row],[SIP_TOTAL REALIZED GAIN]]</f>
        <v>0</v>
      </c>
      <c r="AQ94" s="6">
        <f>INVESTORS_LIST[[#This Row],[TOTAL MARKET VALUE]]-INVESTORS_LIST[[#This Row],[TOTAL COST VALUE OF CURRENT INVESTMENT]]</f>
        <v>805036.43399999989</v>
      </c>
      <c r="AR94" s="6">
        <f>SUMIFS(DivAndTax[Tax Amount],DivAndTax[Investor ID],INVESTORS_LIST[[#This Row],[INVESTOR CODE]])</f>
        <v>34041.009999999995</v>
      </c>
      <c r="AS94" s="6">
        <f>SUMIFS(DivAndTax[Gross Dividend],DivAndTax[Investor ID],INVESTORS_LIST[[#This Row],[INVESTOR CODE]])</f>
        <v>340410.1</v>
      </c>
      <c r="AT94" s="5">
        <f>IFERROR(INVESTORS_LIST[[#This Row],[TOTAL CURRENT UNITS]]/SUM(INVESTORS_LIST[TOTAL CURRENT UNITS]),0)</f>
        <v>1.5747097515575358E-2</v>
      </c>
    </row>
    <row r="95" spans="1:46" hidden="1">
      <c r="A95" t="s">
        <v>107</v>
      </c>
      <c r="B95" t="s">
        <v>108</v>
      </c>
      <c r="C95" t="s">
        <v>538</v>
      </c>
      <c r="D95" s="8" t="s">
        <v>2</v>
      </c>
      <c r="E95" s="2">
        <f>SUMIFS(LS[Unit],LS[Investor ID],INVESTORS_LIST[[#This Row],[INVESTOR CODE]],LS[B/S],"B")</f>
        <v>13575</v>
      </c>
      <c r="F95" s="2">
        <f>-SUMIFS(LS[Unit],LS[Investor ID],INVESTORS_LIST[[#This Row],[INVESTOR CODE]],LS[B/S],"S")</f>
        <v>13575</v>
      </c>
      <c r="G95" s="2">
        <f>IF(INVESTORS_LIST[[#This Row],[LS_TOTAL UNITS BUY]]=0,0,INVESTORS_LIST[[#This Row],[LS_TOTAL UNITS BUY]]-INVESTORS_LIST[[#This Row],[LS_TOTAL UNITS SOLD]])</f>
        <v>0</v>
      </c>
      <c r="H95" s="4">
        <f>IF(INVESTORS_LIST[[#This Row],[LS_TOTAL UNITS BUY]]=0,0,SUMIFS(LS[Amount],LS[Investor ID],INVESTORS_LIST[[#This Row],[INVESTOR CODE]],LS[B/S],"B"))</f>
        <v>160225</v>
      </c>
      <c r="I95" s="6">
        <f>IF(INVESTORS_LIST[[#This Row],[LS_TOTAL UNITS SOLD]]=0,0,SUMIFS(LS[Cost of Units Sold],LS[Investor ID],INVESTORS_LIST[[#This Row],[INVESTOR CODE]],LS[B/S],"S"))</f>
        <v>160225</v>
      </c>
      <c r="J95" s="6">
        <f>IF(INVESTORS_LIST[[#This Row],[LS_TOTAL CURRENT UNITS]]=0,0,INVESTORS_LIST[[#This Row],[LS_TOTAL CURRENT UNITS]]*INVESTORS_LIST[[#This Row],[LS_AVERAGE COST]])</f>
        <v>0</v>
      </c>
      <c r="K95" s="4">
        <f>IF(INVESTORS_LIST[[#This Row],[LS_TOTAL UNITS SOLD]]=0,0,SUMIFS(LS[Realized Gain],LS[Investor ID],INVESTORS_LIST[[#This Row],[INVESTOR CODE]],LS[B/S],"S"))</f>
        <v>20566.849999999991</v>
      </c>
      <c r="L95" s="2">
        <f>SUMIFS(SIP[Unit],SIP[Investor ID],INVESTORS_LIST[[#This Row],[INVESTOR CODE]],SIP[B/S],"B")</f>
        <v>0</v>
      </c>
      <c r="M95" s="2">
        <f>-SUMIFS(SIP[Unit],SIP[Investor ID],INVESTORS_LIST[[#This Row],[INVESTOR CODE]],SIP[B/S],"S")</f>
        <v>0</v>
      </c>
      <c r="N95" s="33">
        <f>IF(INVESTORS_LIST[[#This Row],[SIP_TOTAL UNITS BUY]]=0,0,INVESTORS_LIST[[#This Row],[SIP_TOTAL UNITS BUY]]-INVESTORS_LIST[[#This Row],[SIP_TOTAL UNITS SOLD]])</f>
        <v>0</v>
      </c>
      <c r="O95" s="4">
        <f>IF(INVESTORS_LIST[[#This Row],[SIP_TOTAL UNITS BUY]]=0,0,SUMIFS(SIP[Amount],SIP[Investor ID],INVESTORS_LIST[[#This Row],[INVESTOR CODE]],SIP[B/S],"B"))</f>
        <v>0</v>
      </c>
      <c r="P95" s="4">
        <f>IF(INVESTORS_LIST[[#This Row],[SIP_TOTAL UNITS SOLD]]=0,0,SUMIFS(SIP[Cost of Units Sold],SIP[Investor ID],INVESTORS_LIST[[#This Row],[INVESTOR CODE]],SIP[B/S],"S"))</f>
        <v>0</v>
      </c>
      <c r="Q95" s="6">
        <f>IF(INVESTORS_LIST[[#This Row],[SIP_TOTAL CURRENT UNITS]]=0,0,INVESTORS_LIST[[#This Row],[SIP_TOTAL CURRENT UNITS]]*INVESTORS_LIST[[#This Row],[SIP_AVERAGE COST]])</f>
        <v>0</v>
      </c>
      <c r="R95" s="6">
        <f>IF(INVESTORS_LIST[[#This Row],[SIP_TOTAL UNITS SOLD]]=0,0,SUMIFS(SIP[Realized Gain],SIP[Investor ID],INVESTORS_LIST[[#This Row],[INVESTOR CODE]],SIP[B/S],"S"))</f>
        <v>0</v>
      </c>
      <c r="S95" s="33">
        <f>INVESTORS_LIST[[#This Row],[LS_TOTAL UNITS BUY]]+INVESTORS_LIST[[#This Row],[SIP_TOTAL UNITS BUY]]</f>
        <v>13575</v>
      </c>
      <c r="T95" s="33">
        <f>INVESTORS_LIST[[#This Row],[LS_TOTAL UNITS SOLD]]+INVESTORS_LIST[[#This Row],[SIP_TOTAL UNITS SOLD]]</f>
        <v>13575</v>
      </c>
      <c r="U95" s="33">
        <v>0</v>
      </c>
      <c r="V95" s="33">
        <f>SUMIFS(LS[BO UNIT TRANSFER],LS[Investor ID],INVESTORS_LIST[[#This Row],[INVESTOR CODE]],LS[B/S],"B")</f>
        <v>0</v>
      </c>
      <c r="W95" s="33">
        <f>SUMIFS(LS[BO UNIT TRANSFER],LS[Investor ID],INVESTORS_LIST[[#This Row],[INVESTOR CODE]],LS[B/S],"S")</f>
        <v>0</v>
      </c>
      <c r="X95" s="33">
        <f>SUMIFS(SIP[BO UNIT TRANSFER],SIP[Investor ID],INVESTORS_LIST[[#This Row],[INVESTOR CODE]],SIP[B/S],"S")</f>
        <v>0</v>
      </c>
      <c r="Y95" s="33">
        <f>SUMIFS(SIP[BO UNIT TRANSFER],SIP[Investor ID],INVESTORS_LIST[[#This Row],[INVESTOR CODE]],SIP[B/S],"B")</f>
        <v>0</v>
      </c>
      <c r="Z9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95" s="119">
        <f>INVESTORS_LIST[[#This Row],[TOTAL UNITS BUY]]-INVESTORS_LIST[[#This Row],[TOTAL UNITS SOLD]]</f>
        <v>0</v>
      </c>
      <c r="AB95" s="119">
        <f>INVESTORS_LIST[[#This Row],[TOTAL CURRENT UNITS]]-INVESTORS_LIST[[#This Row],[BO UNITS HOLD]]</f>
        <v>0</v>
      </c>
      <c r="AC95" s="119" t="e">
        <f>INDEX([4]!Table_1[BO ID],MATCH(INVESTORS_LIST[[#This Row],[INVESTOR CODE]],[4]!Table_1[INVESTOR CODE],0))</f>
        <v>#REF!</v>
      </c>
      <c r="AD95" s="33">
        <f>INVESTORS_LIST[[#This Row],[LS_TOTAL COST VALUE OF CURRENT UNITS]]+INVESTORS_LIST[[#This Row],[SIP_TOTAL COST VALUE OF CURRENT UNITS]]</f>
        <v>0</v>
      </c>
      <c r="AE95" s="44">
        <f>IF(INVESTORS_LIST[[#This Row],[TOTAL CURRENT UNITS]]=0,0,INVESTORS_LIST[[#This Row],[LS_TOTAL CURRENT UNITS]]/INVESTORS_LIST[[#This Row],[TOTAL CURRENT UNITS]])</f>
        <v>0</v>
      </c>
      <c r="AF95" s="44">
        <f>IF(INVESTORS_LIST[[#This Row],[TOTAL CURRENT UNITS]]=0,0,INVESTORS_LIST[[#This Row],[SIP_TOTAL CURRENT UNITS]]/INVESTORS_LIST[[#This Row],[TOTAL CURRENT UNITS]])</f>
        <v>0</v>
      </c>
      <c r="AG95" s="4" cm="1">
        <f t="array" ref="AG9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95" s="4" cm="1">
        <f t="array" ref="AH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9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95" s="178">
        <f t="shared" si="1"/>
        <v>12.552</v>
      </c>
      <c r="AK95" s="118">
        <f>IF(INVESTORS_LIST[[#This Row],[TOTAL CURRENT UNITS]]=0,0,INVESTORS_LIST[[#This Row],[TOTAL CURRENT UNITS]]*INVESTORS_LIST[[#This Row],[NAV]])</f>
        <v>0</v>
      </c>
      <c r="AL95" s="4">
        <f>IF(INVESTORS_LIST[[#This Row],[LS_TOTAL CURRENT UNITS]]=0,0,INVESTORS_LIST[[#This Row],[LS_TOTAL CURRENT UNITS]]*INVESTORS_LIST[[#This Row],[NAV]])</f>
        <v>0</v>
      </c>
      <c r="AM95" s="6">
        <f>IF(INVESTORS_LIST[[#This Row],[SIP_TOTAL CURRENT UNITS]]=0,0,INVESTORS_LIST[[#This Row],[SIP_TOTAL CURRENT UNITS]]*INVESTORS_LIST[[#This Row],[NAV]])</f>
        <v>0</v>
      </c>
      <c r="AO95" s="6">
        <f>IF(INVESTORS_LIST[[#This Row],[TOTAL SELLABLE UNITS]]=0,0,INVESTORS_LIST[[#This Row],[TOTAL SELLABLE UNITS]]*INVESTORS_LIST[[#This Row],[NAV]])</f>
        <v>0</v>
      </c>
      <c r="AP95" s="6">
        <f>INVESTORS_LIST[[#This Row],[LS_TOTAL REALIZED GAIN]]+INVESTORS_LIST[[#This Row],[SIP_TOTAL REALIZED GAIN]]</f>
        <v>20566.849999999991</v>
      </c>
      <c r="AQ95" s="6">
        <f>INVESTORS_LIST[[#This Row],[TOTAL MARKET VALUE]]-INVESTORS_LIST[[#This Row],[TOTAL COST VALUE OF CURRENT INVESTMENT]]</f>
        <v>0</v>
      </c>
      <c r="AR95" s="6">
        <f>SUMIFS(DivAndTax[Tax Amount],DivAndTax[Investor ID],INVESTORS_LIST[[#This Row],[INVESTOR CODE]])</f>
        <v>712.69</v>
      </c>
      <c r="AS95" s="6">
        <f>SUMIFS(DivAndTax[Gross Dividend],DivAndTax[Investor ID],INVESTORS_LIST[[#This Row],[INVESTOR CODE]])</f>
        <v>4751.25</v>
      </c>
      <c r="AT95" s="5">
        <f>IFERROR(INVESTORS_LIST[[#This Row],[TOTAL CURRENT UNITS]]/SUM(INVESTORS_LIST[TOTAL CURRENT UNITS]),0)</f>
        <v>0</v>
      </c>
    </row>
    <row r="96" spans="1:46">
      <c r="A96" t="s">
        <v>109</v>
      </c>
      <c r="B96" t="s">
        <v>110</v>
      </c>
      <c r="C96" t="s">
        <v>536</v>
      </c>
      <c r="D96" s="8" t="s">
        <v>2</v>
      </c>
      <c r="E96" s="2">
        <f>SUMIFS(LS[Unit],LS[Investor ID],INVESTORS_LIST[[#This Row],[INVESTOR CODE]],LS[B/S],"B")</f>
        <v>30000</v>
      </c>
      <c r="F96" s="2">
        <f>-SUMIFS(LS[Unit],LS[Investor ID],INVESTORS_LIST[[#This Row],[INVESTOR CODE]],LS[B/S],"S")</f>
        <v>30000</v>
      </c>
      <c r="G96" s="2">
        <f>IF(INVESTORS_LIST[[#This Row],[LS_TOTAL UNITS BUY]]=0,0,INVESTORS_LIST[[#This Row],[LS_TOTAL UNITS BUY]]-INVESTORS_LIST[[#This Row],[LS_TOTAL UNITS SOLD]])</f>
        <v>0</v>
      </c>
      <c r="H96" s="4">
        <f>IF(INVESTORS_LIST[[#This Row],[LS_TOTAL UNITS BUY]]=0,0,SUMIFS(LS[Amount],LS[Investor ID],INVESTORS_LIST[[#This Row],[INVESTOR CODE]],LS[B/S],"B"))</f>
        <v>300000</v>
      </c>
      <c r="I96" s="6">
        <f>IF(INVESTORS_LIST[[#This Row],[LS_TOTAL UNITS SOLD]]=0,0,SUMIFS(LS[Cost of Units Sold],LS[Investor ID],INVESTORS_LIST[[#This Row],[INVESTOR CODE]],LS[B/S],"S"))</f>
        <v>300000</v>
      </c>
      <c r="J96" s="6">
        <f>IF(INVESTORS_LIST[[#This Row],[LS_TOTAL CURRENT UNITS]]=0,0,INVESTORS_LIST[[#This Row],[LS_TOTAL CURRENT UNITS]]*INVESTORS_LIST[[#This Row],[LS_AVERAGE COST]])</f>
        <v>0</v>
      </c>
      <c r="K96" s="4">
        <f>IF(INVESTORS_LIST[[#This Row],[LS_TOTAL UNITS SOLD]]=0,0,SUMIFS(LS[Realized Gain],LS[Investor ID],INVESTORS_LIST[[#This Row],[INVESTOR CODE]],LS[B/S],"S"))</f>
        <v>2400.0000000000023</v>
      </c>
      <c r="L96" s="2">
        <f>SUMIFS(SIP[Unit],SIP[Investor ID],INVESTORS_LIST[[#This Row],[INVESTOR CODE]],SIP[B/S],"B")</f>
        <v>648</v>
      </c>
      <c r="M96" s="2">
        <f>-SUMIFS(SIP[Unit],SIP[Investor ID],INVESTORS_LIST[[#This Row],[INVESTOR CODE]],SIP[B/S],"S")</f>
        <v>0</v>
      </c>
      <c r="N96" s="33">
        <f>IF(INVESTORS_LIST[[#This Row],[SIP_TOTAL UNITS BUY]]=0,0,INVESTORS_LIST[[#This Row],[SIP_TOTAL UNITS BUY]]-INVESTORS_LIST[[#This Row],[SIP_TOTAL UNITS SOLD]])</f>
        <v>648</v>
      </c>
      <c r="O96" s="4">
        <f>IF(INVESTORS_LIST[[#This Row],[SIP_TOTAL UNITS BUY]]=0,0,SUMIFS(SIP[Amount],SIP[Investor ID],INVESTORS_LIST[[#This Row],[INVESTOR CODE]],SIP[B/S],"B"))</f>
        <v>8000</v>
      </c>
      <c r="P96" s="4">
        <f>IF(INVESTORS_LIST[[#This Row],[SIP_TOTAL UNITS SOLD]]=0,0,SUMIFS(SIP[Cost of Units Sold],SIP[Investor ID],INVESTORS_LIST[[#This Row],[INVESTOR CODE]],SIP[B/S],"S"))</f>
        <v>0</v>
      </c>
      <c r="Q96" s="6">
        <f>IF(INVESTORS_LIST[[#This Row],[SIP_TOTAL CURRENT UNITS]]=0,0,INVESTORS_LIST[[#This Row],[SIP_TOTAL CURRENT UNITS]]*INVESTORS_LIST[[#This Row],[SIP_AVERAGE COST]])</f>
        <v>8000.0000000000009</v>
      </c>
      <c r="R96" s="6">
        <f>IF(INVESTORS_LIST[[#This Row],[SIP_TOTAL UNITS SOLD]]=0,0,SUMIFS(SIP[Realized Gain],SIP[Investor ID],INVESTORS_LIST[[#This Row],[INVESTOR CODE]],SIP[B/S],"S"))</f>
        <v>0</v>
      </c>
      <c r="S96" s="33">
        <f>INVESTORS_LIST[[#This Row],[LS_TOTAL UNITS BUY]]+INVESTORS_LIST[[#This Row],[SIP_TOTAL UNITS BUY]]</f>
        <v>30648</v>
      </c>
      <c r="T96" s="33">
        <f>INVESTORS_LIST[[#This Row],[LS_TOTAL UNITS SOLD]]+INVESTORS_LIST[[#This Row],[SIP_TOTAL UNITS SOLD]]</f>
        <v>30000</v>
      </c>
      <c r="U96" s="33">
        <v>0</v>
      </c>
      <c r="V96" s="33">
        <f>SUMIFS(LS[BO UNIT TRANSFER],LS[Investor ID],INVESTORS_LIST[[#This Row],[INVESTOR CODE]],LS[B/S],"B")</f>
        <v>0</v>
      </c>
      <c r="W96" s="33">
        <f>SUMIFS(LS[BO UNIT TRANSFER],LS[Investor ID],INVESTORS_LIST[[#This Row],[INVESTOR CODE]],LS[B/S],"S")</f>
        <v>0</v>
      </c>
      <c r="X96" s="33">
        <f>SUMIFS(SIP[BO UNIT TRANSFER],SIP[Investor ID],INVESTORS_LIST[[#This Row],[INVESTOR CODE]],SIP[B/S],"S")</f>
        <v>0</v>
      </c>
      <c r="Y96" s="33">
        <f>SUMIFS(SIP[BO UNIT TRANSFER],SIP[Investor ID],INVESTORS_LIST[[#This Row],[INVESTOR CODE]],SIP[B/S],"B")</f>
        <v>0</v>
      </c>
      <c r="Z9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96" s="119">
        <f>INVESTORS_LIST[[#This Row],[TOTAL UNITS BUY]]-INVESTORS_LIST[[#This Row],[TOTAL UNITS SOLD]]</f>
        <v>648</v>
      </c>
      <c r="AB96" s="119">
        <f>INVESTORS_LIST[[#This Row],[TOTAL CURRENT UNITS]]-INVESTORS_LIST[[#This Row],[BO UNITS HOLD]]</f>
        <v>648</v>
      </c>
      <c r="AC96" s="119" t="e">
        <f>INDEX([4]!Table_1[BO ID],MATCH(INVESTORS_LIST[[#This Row],[INVESTOR CODE]],[4]!Table_1[INVESTOR CODE],0))</f>
        <v>#REF!</v>
      </c>
      <c r="AD96" s="33">
        <f>INVESTORS_LIST[[#This Row],[LS_TOTAL COST VALUE OF CURRENT UNITS]]+INVESTORS_LIST[[#This Row],[SIP_TOTAL COST VALUE OF CURRENT UNITS]]</f>
        <v>8000.0000000000009</v>
      </c>
      <c r="AE96" s="44">
        <f>IF(INVESTORS_LIST[[#This Row],[TOTAL CURRENT UNITS]]=0,0,INVESTORS_LIST[[#This Row],[LS_TOTAL CURRENT UNITS]]/INVESTORS_LIST[[#This Row],[TOTAL CURRENT UNITS]])</f>
        <v>0</v>
      </c>
      <c r="AF96" s="44">
        <f>IF(INVESTORS_LIST[[#This Row],[TOTAL CURRENT UNITS]]=0,0,INVESTORS_LIST[[#This Row],[SIP_TOTAL CURRENT UNITS]]/INVESTORS_LIST[[#This Row],[TOTAL CURRENT UNITS]])</f>
        <v>1</v>
      </c>
      <c r="AG96" s="4" cm="1">
        <f t="array" ref="AG9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96" s="4" cm="1">
        <f t="array" ref="AH96">IF(INVESTORS_LIST[[#This Row],[SIP_TOTAL UNITS BUY]]&gt;0,INDEX(SIP[NAV at Cost (Average)],MATCH(CONCATENATE(COUNTIFS(SIP[Investor ID],INVESTORS_LIST[[#This Row],[INVESTOR CODE]]),INVESTORS_LIST[[#This Row],[INVESTOR CODE]]),SIP[Unique Code],0),),0)</f>
        <v>12.345679012345681</v>
      </c>
      <c r="AI96" s="178">
        <f>IF(INVESTORS_LIST[[#This Row],[TOTAL CURRENT UNITS]]=0,0,(INVESTORS_LIST[[#This Row],[LS_WEIGHT]]*INVESTORS_LIST[[#This Row],[LS_AVERAGE COST]])+(INVESTORS_LIST[[#This Row],[SIP_WEIGHT]]*INVESTORS_LIST[[#This Row],[SIP_AVERAGE COST]]))</f>
        <v>12.345679012345681</v>
      </c>
      <c r="AJ96" s="178">
        <f t="shared" si="1"/>
        <v>12.552</v>
      </c>
      <c r="AK96" s="118">
        <f>IF(INVESTORS_LIST[[#This Row],[TOTAL CURRENT UNITS]]=0,0,INVESTORS_LIST[[#This Row],[TOTAL CURRENT UNITS]]*INVESTORS_LIST[[#This Row],[NAV]])</f>
        <v>8133.6959999999999</v>
      </c>
      <c r="AL96" s="4">
        <f>IF(INVESTORS_LIST[[#This Row],[LS_TOTAL CURRENT UNITS]]=0,0,INVESTORS_LIST[[#This Row],[LS_TOTAL CURRENT UNITS]]*INVESTORS_LIST[[#This Row],[NAV]])</f>
        <v>0</v>
      </c>
      <c r="AM96" s="6">
        <f>IF(INVESTORS_LIST[[#This Row],[SIP_TOTAL CURRENT UNITS]]=0,0,INVESTORS_LIST[[#This Row],[SIP_TOTAL CURRENT UNITS]]*INVESTORS_LIST[[#This Row],[NAV]])</f>
        <v>8133.6959999999999</v>
      </c>
      <c r="AO96" s="6">
        <f>IF(INVESTORS_LIST[[#This Row],[TOTAL SELLABLE UNITS]]=0,0,INVESTORS_LIST[[#This Row],[TOTAL SELLABLE UNITS]]*INVESTORS_LIST[[#This Row],[NAV]])</f>
        <v>0</v>
      </c>
      <c r="AP96" s="6">
        <f>INVESTORS_LIST[[#This Row],[LS_TOTAL REALIZED GAIN]]+INVESTORS_LIST[[#This Row],[SIP_TOTAL REALIZED GAIN]]</f>
        <v>2400.0000000000023</v>
      </c>
      <c r="AQ96" s="6">
        <f>INVESTORS_LIST[[#This Row],[TOTAL MARKET VALUE]]-INVESTORS_LIST[[#This Row],[TOTAL COST VALUE OF CURRENT INVESTMENT]]</f>
        <v>133.695999999999</v>
      </c>
      <c r="AR96" s="6">
        <f>SUMIFS(DivAndTax[Tax Amount],DivAndTax[Investor ID],INVESTORS_LIST[[#This Row],[INVESTOR CODE]])</f>
        <v>14.46</v>
      </c>
      <c r="AS96" s="6">
        <f>SUMIFS(DivAndTax[Gross Dividend],DivAndTax[Investor ID],INVESTORS_LIST[[#This Row],[INVESTOR CODE]])</f>
        <v>144.54999999999998</v>
      </c>
      <c r="AT96" s="5">
        <f>IFERROR(INVESTORS_LIST[[#This Row],[TOTAL CURRENT UNITS]]/SUM(INVESTORS_LIST[TOTAL CURRENT UNITS]),0)</f>
        <v>3.1068253116510168E-5</v>
      </c>
    </row>
    <row r="97" spans="1:46">
      <c r="A97" t="s">
        <v>783</v>
      </c>
      <c r="B97" t="s">
        <v>111</v>
      </c>
      <c r="C97" t="s">
        <v>538</v>
      </c>
      <c r="D97" s="8" t="s">
        <v>2</v>
      </c>
      <c r="E97" s="2">
        <f>SUMIFS(LS[Unit],LS[Investor ID],INVESTORS_LIST[[#This Row],[INVESTOR CODE]],LS[B/S],"B")</f>
        <v>278923</v>
      </c>
      <c r="F97" s="2">
        <f>-SUMIFS(LS[Unit],LS[Investor ID],INVESTORS_LIST[[#This Row],[INVESTOR CODE]],LS[B/S],"S")</f>
        <v>102877</v>
      </c>
      <c r="G97" s="2">
        <f>IF(INVESTORS_LIST[[#This Row],[LS_TOTAL UNITS BUY]]=0,0,INVESTORS_LIST[[#This Row],[LS_TOTAL UNITS BUY]]-INVESTORS_LIST[[#This Row],[LS_TOTAL UNITS SOLD]])</f>
        <v>176046</v>
      </c>
      <c r="H97" s="4">
        <f>IF(INVESTORS_LIST[[#This Row],[LS_TOTAL UNITS BUY]]=0,0,SUMIFS(LS[Amount],LS[Investor ID],INVESTORS_LIST[[#This Row],[INVESTOR CODE]],LS[B/S],"B"))</f>
        <v>3081423.7600000002</v>
      </c>
      <c r="I97" s="6">
        <f>IF(INVESTORS_LIST[[#This Row],[LS_TOTAL UNITS SOLD]]=0,0,SUMIFS(LS[Cost of Units Sold],LS[Investor ID],INVESTORS_LIST[[#This Row],[INVESTOR CODE]],LS[B/S],"S"))</f>
        <v>1021399.8100000002</v>
      </c>
      <c r="J97" s="6">
        <f>IF(INVESTORS_LIST[[#This Row],[LS_TOTAL CURRENT UNITS]]=0,0,INVESTORS_LIST[[#This Row],[LS_TOTAL CURRENT UNITS]]*INVESTORS_LIST[[#This Row],[LS_AVERAGE COST]])</f>
        <v>2060023.95</v>
      </c>
      <c r="K97" s="4">
        <f>IF(INVESTORS_LIST[[#This Row],[LS_TOTAL UNITS SOLD]]=0,0,SUMIFS(LS[Realized Gain],LS[Investor ID],INVESTORS_LIST[[#This Row],[INVESTOR CODE]],LS[B/S],"S"))</f>
        <v>5312.649999999916</v>
      </c>
      <c r="L97" s="2">
        <f>SUMIFS(SIP[Unit],SIP[Investor ID],INVESTORS_LIST[[#This Row],[INVESTOR CODE]],SIP[B/S],"B")</f>
        <v>0</v>
      </c>
      <c r="M97" s="2">
        <f>-SUMIFS(SIP[Unit],SIP[Investor ID],INVESTORS_LIST[[#This Row],[INVESTOR CODE]],SIP[B/S],"S")</f>
        <v>0</v>
      </c>
      <c r="N97" s="33">
        <f>IF(INVESTORS_LIST[[#This Row],[SIP_TOTAL UNITS BUY]]=0,0,INVESTORS_LIST[[#This Row],[SIP_TOTAL UNITS BUY]]-INVESTORS_LIST[[#This Row],[SIP_TOTAL UNITS SOLD]])</f>
        <v>0</v>
      </c>
      <c r="O97" s="4">
        <f>IF(INVESTORS_LIST[[#This Row],[SIP_TOTAL UNITS BUY]]=0,0,SUMIFS(SIP[Amount],SIP[Investor ID],INVESTORS_LIST[[#This Row],[INVESTOR CODE]],SIP[B/S],"B"))</f>
        <v>0</v>
      </c>
      <c r="P97" s="4">
        <f>IF(INVESTORS_LIST[[#This Row],[SIP_TOTAL UNITS SOLD]]=0,0,SUMIFS(SIP[Cost of Units Sold],SIP[Investor ID],INVESTORS_LIST[[#This Row],[INVESTOR CODE]],SIP[B/S],"S"))</f>
        <v>0</v>
      </c>
      <c r="Q97" s="6">
        <f>IF(INVESTORS_LIST[[#This Row],[SIP_TOTAL CURRENT UNITS]]=0,0,INVESTORS_LIST[[#This Row],[SIP_TOTAL CURRENT UNITS]]*INVESTORS_LIST[[#This Row],[SIP_AVERAGE COST]])</f>
        <v>0</v>
      </c>
      <c r="R97" s="6">
        <f>IF(INVESTORS_LIST[[#This Row],[SIP_TOTAL UNITS SOLD]]=0,0,SUMIFS(SIP[Realized Gain],SIP[Investor ID],INVESTORS_LIST[[#This Row],[INVESTOR CODE]],SIP[B/S],"S"))</f>
        <v>0</v>
      </c>
      <c r="S97" s="33">
        <f>INVESTORS_LIST[[#This Row],[LS_TOTAL UNITS BUY]]+INVESTORS_LIST[[#This Row],[SIP_TOTAL UNITS BUY]]</f>
        <v>278923</v>
      </c>
      <c r="T97" s="33">
        <f>INVESTORS_LIST[[#This Row],[LS_TOTAL UNITS SOLD]]+INVESTORS_LIST[[#This Row],[SIP_TOTAL UNITS SOLD]]</f>
        <v>102877</v>
      </c>
      <c r="U97" s="33">
        <v>0</v>
      </c>
      <c r="V97" s="33">
        <f>SUMIFS(LS[BO UNIT TRANSFER],LS[Investor ID],INVESTORS_LIST[[#This Row],[INVESTOR CODE]],LS[B/S],"B")</f>
        <v>0</v>
      </c>
      <c r="W97" s="33">
        <f>SUMIFS(LS[BO UNIT TRANSFER],LS[Investor ID],INVESTORS_LIST[[#This Row],[INVESTOR CODE]],LS[B/S],"S")</f>
        <v>0</v>
      </c>
      <c r="X97" s="33">
        <f>SUMIFS(SIP[BO UNIT TRANSFER],SIP[Investor ID],INVESTORS_LIST[[#This Row],[INVESTOR CODE]],SIP[B/S],"S")</f>
        <v>0</v>
      </c>
      <c r="Y97" s="33">
        <f>SUMIFS(SIP[BO UNIT TRANSFER],SIP[Investor ID],INVESTORS_LIST[[#This Row],[INVESTOR CODE]],SIP[B/S],"B")</f>
        <v>0</v>
      </c>
      <c r="Z9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97" s="119">
        <f>INVESTORS_LIST[[#This Row],[TOTAL UNITS BUY]]-INVESTORS_LIST[[#This Row],[TOTAL UNITS SOLD]]</f>
        <v>176046</v>
      </c>
      <c r="AB97" s="119">
        <f>INVESTORS_LIST[[#This Row],[TOTAL CURRENT UNITS]]-INVESTORS_LIST[[#This Row],[BO UNITS HOLD]]</f>
        <v>176046</v>
      </c>
      <c r="AC97" s="119" t="e">
        <f>INDEX([4]!Table_1[BO ID],MATCH(INVESTORS_LIST[[#This Row],[INVESTOR CODE]],[4]!Table_1[INVESTOR CODE],0))</f>
        <v>#REF!</v>
      </c>
      <c r="AD97" s="33">
        <f>INVESTORS_LIST[[#This Row],[LS_TOTAL COST VALUE OF CURRENT UNITS]]+INVESTORS_LIST[[#This Row],[SIP_TOTAL COST VALUE OF CURRENT UNITS]]</f>
        <v>2060023.95</v>
      </c>
      <c r="AE97" s="44">
        <f>IF(INVESTORS_LIST[[#This Row],[TOTAL CURRENT UNITS]]=0,0,INVESTORS_LIST[[#This Row],[LS_TOTAL CURRENT UNITS]]/INVESTORS_LIST[[#This Row],[TOTAL CURRENT UNITS]])</f>
        <v>1</v>
      </c>
      <c r="AF97" s="44">
        <f>IF(INVESTORS_LIST[[#This Row],[TOTAL CURRENT UNITS]]=0,0,INVESTORS_LIST[[#This Row],[SIP_TOTAL CURRENT UNITS]]/INVESTORS_LIST[[#This Row],[TOTAL CURRENT UNITS]])</f>
        <v>0</v>
      </c>
      <c r="AG97" s="4" cm="1">
        <f t="array" ref="AG97">IF(INVESTORS_LIST[[#This Row],[LS_TOTAL UNITS BUY]]&gt;0,INDEX(LS[NAV at Cost (Average)],MATCH(CONCATENATE(COUNTIFS(LS[Investor ID],INVESTORS_LIST[[#This Row],[INVESTOR CODE]]),INVESTORS_LIST[[#This Row],[INVESTOR CODE]]),LS[Unique Code],0),),0)</f>
        <v>11.70162315531168</v>
      </c>
      <c r="AH97" s="4" cm="1">
        <f t="array" ref="AH9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97" s="178">
        <f>IF(INVESTORS_LIST[[#This Row],[TOTAL CURRENT UNITS]]=0,0,(INVESTORS_LIST[[#This Row],[LS_WEIGHT]]*INVESTORS_LIST[[#This Row],[LS_AVERAGE COST]])+(INVESTORS_LIST[[#This Row],[SIP_WEIGHT]]*INVESTORS_LIST[[#This Row],[SIP_AVERAGE COST]]))</f>
        <v>11.70162315531168</v>
      </c>
      <c r="AJ97" s="178">
        <f t="shared" si="1"/>
        <v>12.552</v>
      </c>
      <c r="AK97" s="118">
        <f>IF(INVESTORS_LIST[[#This Row],[TOTAL CURRENT UNITS]]=0,0,INVESTORS_LIST[[#This Row],[TOTAL CURRENT UNITS]]*INVESTORS_LIST[[#This Row],[NAV]])</f>
        <v>2209729.392</v>
      </c>
      <c r="AL97" s="4">
        <f>IF(INVESTORS_LIST[[#This Row],[LS_TOTAL CURRENT UNITS]]=0,0,INVESTORS_LIST[[#This Row],[LS_TOTAL CURRENT UNITS]]*INVESTORS_LIST[[#This Row],[NAV]])</f>
        <v>2209729.392</v>
      </c>
      <c r="AM97" s="6">
        <f>IF(INVESTORS_LIST[[#This Row],[SIP_TOTAL CURRENT UNITS]]=0,0,INVESTORS_LIST[[#This Row],[SIP_TOTAL CURRENT UNITS]]*INVESTORS_LIST[[#This Row],[NAV]])</f>
        <v>0</v>
      </c>
      <c r="AO97" s="6">
        <f>IF(INVESTORS_LIST[[#This Row],[TOTAL SELLABLE UNITS]]=0,0,INVESTORS_LIST[[#This Row],[TOTAL SELLABLE UNITS]]*INVESTORS_LIST[[#This Row],[NAV]])</f>
        <v>0</v>
      </c>
      <c r="AP97" s="6">
        <f>INVESTORS_LIST[[#This Row],[LS_TOTAL REALIZED GAIN]]+INVESTORS_LIST[[#This Row],[SIP_TOTAL REALIZED GAIN]]</f>
        <v>5312.649999999916</v>
      </c>
      <c r="AQ97" s="6">
        <f>INVESTORS_LIST[[#This Row],[TOTAL MARKET VALUE]]-INVESTORS_LIST[[#This Row],[TOTAL COST VALUE OF CURRENT INVESTMENT]]</f>
        <v>149705.44200000004</v>
      </c>
      <c r="AR97" s="6">
        <f>SUMIFS(DivAndTax[Tax Amount],DivAndTax[Investor ID],INVESTORS_LIST[[#This Row],[INVESTOR CODE]])</f>
        <v>12780.03</v>
      </c>
      <c r="AS97" s="6">
        <f>SUMIFS(DivAndTax[Gross Dividend],DivAndTax[Investor ID],INVESTORS_LIST[[#This Row],[INVESTOR CODE]])</f>
        <v>85200.2</v>
      </c>
      <c r="AT97" s="5">
        <f>IFERROR(INVESTORS_LIST[[#This Row],[TOTAL CURRENT UNITS]]/SUM(INVESTORS_LIST[TOTAL CURRENT UNITS]),0)</f>
        <v>8.4404964323289335E-3</v>
      </c>
    </row>
    <row r="98" spans="1:46" hidden="1">
      <c r="A98" t="s">
        <v>784</v>
      </c>
      <c r="B98" t="s">
        <v>112</v>
      </c>
      <c r="C98" t="s">
        <v>538</v>
      </c>
      <c r="D98" s="8" t="s">
        <v>2</v>
      </c>
      <c r="E98" s="2">
        <f>SUMIFS(LS[Unit],LS[Investor ID],INVESTORS_LIST[[#This Row],[INVESTOR CODE]],LS[B/S],"B")</f>
        <v>0</v>
      </c>
      <c r="F98" s="2">
        <f>-SUMIFS(LS[Unit],LS[Investor ID],INVESTORS_LIST[[#This Row],[INVESTOR CODE]],LS[B/S],"S")</f>
        <v>0</v>
      </c>
      <c r="G98" s="2">
        <f>IF(INVESTORS_LIST[[#This Row],[LS_TOTAL UNITS BUY]]=0,0,INVESTORS_LIST[[#This Row],[LS_TOTAL UNITS BUY]]-INVESTORS_LIST[[#This Row],[LS_TOTAL UNITS SOLD]])</f>
        <v>0</v>
      </c>
      <c r="H98" s="4">
        <f>IF(INVESTORS_LIST[[#This Row],[LS_TOTAL UNITS BUY]]=0,0,SUMIFS(LS[Amount],LS[Investor ID],INVESTORS_LIST[[#This Row],[INVESTOR CODE]],LS[B/S],"B"))</f>
        <v>0</v>
      </c>
      <c r="I98" s="6">
        <f>IF(INVESTORS_LIST[[#This Row],[LS_TOTAL UNITS SOLD]]=0,0,SUMIFS(LS[Cost of Units Sold],LS[Investor ID],INVESTORS_LIST[[#This Row],[INVESTOR CODE]],LS[B/S],"S"))</f>
        <v>0</v>
      </c>
      <c r="J98" s="6">
        <f>IF(INVESTORS_LIST[[#This Row],[LS_TOTAL CURRENT UNITS]]=0,0,INVESTORS_LIST[[#This Row],[LS_TOTAL CURRENT UNITS]]*INVESTORS_LIST[[#This Row],[LS_AVERAGE COST]])</f>
        <v>0</v>
      </c>
      <c r="K98" s="4">
        <f>IF(INVESTORS_LIST[[#This Row],[LS_TOTAL UNITS SOLD]]=0,0,SUMIFS(LS[Realized Gain],LS[Investor ID],INVESTORS_LIST[[#This Row],[INVESTOR CODE]],LS[B/S],"S"))</f>
        <v>0</v>
      </c>
      <c r="L98" s="2">
        <f>SUMIFS(SIP[Unit],SIP[Investor ID],INVESTORS_LIST[[#This Row],[INVESTOR CODE]],SIP[B/S],"B")</f>
        <v>0</v>
      </c>
      <c r="M98" s="2">
        <f>-SUMIFS(SIP[Unit],SIP[Investor ID],INVESTORS_LIST[[#This Row],[INVESTOR CODE]],SIP[B/S],"S")</f>
        <v>0</v>
      </c>
      <c r="N98" s="33">
        <f>IF(INVESTORS_LIST[[#This Row],[SIP_TOTAL UNITS BUY]]=0,0,INVESTORS_LIST[[#This Row],[SIP_TOTAL UNITS BUY]]-INVESTORS_LIST[[#This Row],[SIP_TOTAL UNITS SOLD]])</f>
        <v>0</v>
      </c>
      <c r="O98" s="4">
        <f>IF(INVESTORS_LIST[[#This Row],[SIP_TOTAL UNITS BUY]]=0,0,SUMIFS(SIP[Amount],SIP[Investor ID],INVESTORS_LIST[[#This Row],[INVESTOR CODE]],SIP[B/S],"B"))</f>
        <v>0</v>
      </c>
      <c r="P98" s="4">
        <f>IF(INVESTORS_LIST[[#This Row],[SIP_TOTAL UNITS SOLD]]=0,0,SUMIFS(SIP[Cost of Units Sold],SIP[Investor ID],INVESTORS_LIST[[#This Row],[INVESTOR CODE]],SIP[B/S],"S"))</f>
        <v>0</v>
      </c>
      <c r="Q98" s="6">
        <f>IF(INVESTORS_LIST[[#This Row],[SIP_TOTAL CURRENT UNITS]]=0,0,INVESTORS_LIST[[#This Row],[SIP_TOTAL CURRENT UNITS]]*INVESTORS_LIST[[#This Row],[SIP_AVERAGE COST]])</f>
        <v>0</v>
      </c>
      <c r="R98" s="6">
        <f>IF(INVESTORS_LIST[[#This Row],[SIP_TOTAL UNITS SOLD]]=0,0,SUMIFS(SIP[Realized Gain],SIP[Investor ID],INVESTORS_LIST[[#This Row],[INVESTOR CODE]],SIP[B/S],"S"))</f>
        <v>0</v>
      </c>
      <c r="S98" s="33">
        <f>INVESTORS_LIST[[#This Row],[LS_TOTAL UNITS BUY]]+INVESTORS_LIST[[#This Row],[SIP_TOTAL UNITS BUY]]</f>
        <v>0</v>
      </c>
      <c r="T98" s="33">
        <f>INVESTORS_LIST[[#This Row],[LS_TOTAL UNITS SOLD]]+INVESTORS_LIST[[#This Row],[SIP_TOTAL UNITS SOLD]]</f>
        <v>0</v>
      </c>
      <c r="U98" s="33">
        <v>0</v>
      </c>
      <c r="V98" s="33">
        <f>SUMIFS(LS[BO UNIT TRANSFER],LS[Investor ID],INVESTORS_LIST[[#This Row],[INVESTOR CODE]],LS[B/S],"B")</f>
        <v>0</v>
      </c>
      <c r="W98" s="33">
        <f>SUMIFS(LS[BO UNIT TRANSFER],LS[Investor ID],INVESTORS_LIST[[#This Row],[INVESTOR CODE]],LS[B/S],"S")</f>
        <v>0</v>
      </c>
      <c r="X98" s="33">
        <f>SUMIFS(SIP[BO UNIT TRANSFER],SIP[Investor ID],INVESTORS_LIST[[#This Row],[INVESTOR CODE]],SIP[B/S],"S")</f>
        <v>0</v>
      </c>
      <c r="Y98" s="33">
        <f>SUMIFS(SIP[BO UNIT TRANSFER],SIP[Investor ID],INVESTORS_LIST[[#This Row],[INVESTOR CODE]],SIP[B/S],"B")</f>
        <v>0</v>
      </c>
      <c r="Z9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98" s="119">
        <f>INVESTORS_LIST[[#This Row],[TOTAL UNITS BUY]]-INVESTORS_LIST[[#This Row],[TOTAL UNITS SOLD]]</f>
        <v>0</v>
      </c>
      <c r="AB98" s="119">
        <f>INVESTORS_LIST[[#This Row],[TOTAL CURRENT UNITS]]-INVESTORS_LIST[[#This Row],[BO UNITS HOLD]]</f>
        <v>0</v>
      </c>
      <c r="AC98" s="119" t="e">
        <f>INDEX([4]!Table_1[BO ID],MATCH(INVESTORS_LIST[[#This Row],[INVESTOR CODE]],[4]!Table_1[INVESTOR CODE],0))</f>
        <v>#REF!</v>
      </c>
      <c r="AD98" s="33">
        <f>INVESTORS_LIST[[#This Row],[LS_TOTAL COST VALUE OF CURRENT UNITS]]+INVESTORS_LIST[[#This Row],[SIP_TOTAL COST VALUE OF CURRENT UNITS]]</f>
        <v>0</v>
      </c>
      <c r="AE98" s="44">
        <f>IF(INVESTORS_LIST[[#This Row],[TOTAL CURRENT UNITS]]=0,0,INVESTORS_LIST[[#This Row],[LS_TOTAL CURRENT UNITS]]/INVESTORS_LIST[[#This Row],[TOTAL CURRENT UNITS]])</f>
        <v>0</v>
      </c>
      <c r="AF98" s="44">
        <f>IF(INVESTORS_LIST[[#This Row],[TOTAL CURRENT UNITS]]=0,0,INVESTORS_LIST[[#This Row],[SIP_TOTAL CURRENT UNITS]]/INVESTORS_LIST[[#This Row],[TOTAL CURRENT UNITS]])</f>
        <v>0</v>
      </c>
      <c r="AG98" s="4" cm="1">
        <f t="array" ref="AG9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98" s="4" cm="1">
        <f t="array" ref="AH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9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98" s="178">
        <f t="shared" si="1"/>
        <v>12.552</v>
      </c>
      <c r="AK98" s="118">
        <f>IF(INVESTORS_LIST[[#This Row],[TOTAL CURRENT UNITS]]=0,0,INVESTORS_LIST[[#This Row],[TOTAL CURRENT UNITS]]*INVESTORS_LIST[[#This Row],[NAV]])</f>
        <v>0</v>
      </c>
      <c r="AL98" s="4">
        <f>IF(INVESTORS_LIST[[#This Row],[LS_TOTAL CURRENT UNITS]]=0,0,INVESTORS_LIST[[#This Row],[LS_TOTAL CURRENT UNITS]]*INVESTORS_LIST[[#This Row],[NAV]])</f>
        <v>0</v>
      </c>
      <c r="AM98" s="6">
        <f>IF(INVESTORS_LIST[[#This Row],[SIP_TOTAL CURRENT UNITS]]=0,0,INVESTORS_LIST[[#This Row],[SIP_TOTAL CURRENT UNITS]]*INVESTORS_LIST[[#This Row],[NAV]])</f>
        <v>0</v>
      </c>
      <c r="AO98" s="6">
        <f>IF(INVESTORS_LIST[[#This Row],[TOTAL SELLABLE UNITS]]=0,0,INVESTORS_LIST[[#This Row],[TOTAL SELLABLE UNITS]]*INVESTORS_LIST[[#This Row],[NAV]])</f>
        <v>0</v>
      </c>
      <c r="AP98" s="6">
        <f>INVESTORS_LIST[[#This Row],[LS_TOTAL REALIZED GAIN]]+INVESTORS_LIST[[#This Row],[SIP_TOTAL REALIZED GAIN]]</f>
        <v>0</v>
      </c>
      <c r="AQ98" s="6">
        <f>INVESTORS_LIST[[#This Row],[TOTAL MARKET VALUE]]-INVESTORS_LIST[[#This Row],[TOTAL COST VALUE OF CURRENT INVESTMENT]]</f>
        <v>0</v>
      </c>
      <c r="AR98" s="6">
        <f>SUMIFS(DivAndTax[Tax Amount],DivAndTax[Investor ID],INVESTORS_LIST[[#This Row],[INVESTOR CODE]])</f>
        <v>0</v>
      </c>
      <c r="AS98" s="6">
        <f>SUMIFS(DivAndTax[Gross Dividend],DivAndTax[Investor ID],INVESTORS_LIST[[#This Row],[INVESTOR CODE]])</f>
        <v>0</v>
      </c>
      <c r="AT98" s="5">
        <f>IFERROR(INVESTORS_LIST[[#This Row],[TOTAL CURRENT UNITS]]/SUM(INVESTORS_LIST[TOTAL CURRENT UNITS]),0)</f>
        <v>0</v>
      </c>
    </row>
    <row r="99" spans="1:46" hidden="1">
      <c r="A99" t="s">
        <v>113</v>
      </c>
      <c r="B99" t="s">
        <v>114</v>
      </c>
      <c r="C99" t="s">
        <v>536</v>
      </c>
      <c r="D99" s="8" t="s">
        <v>2</v>
      </c>
      <c r="E99" s="2">
        <f>SUMIFS(LS[Unit],LS[Investor ID],INVESTORS_LIST[[#This Row],[INVESTOR CODE]],LS[B/S],"B")</f>
        <v>0</v>
      </c>
      <c r="F99" s="2">
        <f>-SUMIFS(LS[Unit],LS[Investor ID],INVESTORS_LIST[[#This Row],[INVESTOR CODE]],LS[B/S],"S")</f>
        <v>0</v>
      </c>
      <c r="G99" s="2">
        <f>IF(INVESTORS_LIST[[#This Row],[LS_TOTAL UNITS BUY]]=0,0,INVESTORS_LIST[[#This Row],[LS_TOTAL UNITS BUY]]-INVESTORS_LIST[[#This Row],[LS_TOTAL UNITS SOLD]])</f>
        <v>0</v>
      </c>
      <c r="H99" s="4">
        <f>IF(INVESTORS_LIST[[#This Row],[LS_TOTAL UNITS BUY]]=0,0,SUMIFS(LS[Amount],LS[Investor ID],INVESTORS_LIST[[#This Row],[INVESTOR CODE]],LS[B/S],"B"))</f>
        <v>0</v>
      </c>
      <c r="I99" s="6">
        <f>IF(INVESTORS_LIST[[#This Row],[LS_TOTAL UNITS SOLD]]=0,0,SUMIFS(LS[Cost of Units Sold],LS[Investor ID],INVESTORS_LIST[[#This Row],[INVESTOR CODE]],LS[B/S],"S"))</f>
        <v>0</v>
      </c>
      <c r="J99" s="6">
        <f>IF(INVESTORS_LIST[[#This Row],[LS_TOTAL CURRENT UNITS]]=0,0,INVESTORS_LIST[[#This Row],[LS_TOTAL CURRENT UNITS]]*INVESTORS_LIST[[#This Row],[LS_AVERAGE COST]])</f>
        <v>0</v>
      </c>
      <c r="K99" s="4">
        <f>IF(INVESTORS_LIST[[#This Row],[LS_TOTAL UNITS SOLD]]=0,0,SUMIFS(LS[Realized Gain],LS[Investor ID],INVESTORS_LIST[[#This Row],[INVESTOR CODE]],LS[B/S],"S"))</f>
        <v>0</v>
      </c>
      <c r="L99" s="2">
        <f>SUMIFS(SIP[Unit],SIP[Investor ID],INVESTORS_LIST[[#This Row],[INVESTOR CODE]],SIP[B/S],"B")</f>
        <v>0</v>
      </c>
      <c r="M99" s="2">
        <f>-SUMIFS(SIP[Unit],SIP[Investor ID],INVESTORS_LIST[[#This Row],[INVESTOR CODE]],SIP[B/S],"S")</f>
        <v>0</v>
      </c>
      <c r="N99" s="33">
        <f>IF(INVESTORS_LIST[[#This Row],[SIP_TOTAL UNITS BUY]]=0,0,INVESTORS_LIST[[#This Row],[SIP_TOTAL UNITS BUY]]-INVESTORS_LIST[[#This Row],[SIP_TOTAL UNITS SOLD]])</f>
        <v>0</v>
      </c>
      <c r="O99" s="4">
        <f>IF(INVESTORS_LIST[[#This Row],[SIP_TOTAL UNITS BUY]]=0,0,SUMIFS(SIP[Amount],SIP[Investor ID],INVESTORS_LIST[[#This Row],[INVESTOR CODE]],SIP[B/S],"B"))</f>
        <v>0</v>
      </c>
      <c r="P99" s="4">
        <f>IF(INVESTORS_LIST[[#This Row],[SIP_TOTAL UNITS SOLD]]=0,0,SUMIFS(SIP[Cost of Units Sold],SIP[Investor ID],INVESTORS_LIST[[#This Row],[INVESTOR CODE]],SIP[B/S],"S"))</f>
        <v>0</v>
      </c>
      <c r="Q99" s="6">
        <f>IF(INVESTORS_LIST[[#This Row],[SIP_TOTAL CURRENT UNITS]]=0,0,INVESTORS_LIST[[#This Row],[SIP_TOTAL CURRENT UNITS]]*INVESTORS_LIST[[#This Row],[SIP_AVERAGE COST]])</f>
        <v>0</v>
      </c>
      <c r="R99" s="6">
        <f>IF(INVESTORS_LIST[[#This Row],[SIP_TOTAL UNITS SOLD]]=0,0,SUMIFS(SIP[Realized Gain],SIP[Investor ID],INVESTORS_LIST[[#This Row],[INVESTOR CODE]],SIP[B/S],"S"))</f>
        <v>0</v>
      </c>
      <c r="S99" s="33">
        <f>INVESTORS_LIST[[#This Row],[LS_TOTAL UNITS BUY]]+INVESTORS_LIST[[#This Row],[SIP_TOTAL UNITS BUY]]</f>
        <v>0</v>
      </c>
      <c r="T99" s="33">
        <f>INVESTORS_LIST[[#This Row],[LS_TOTAL UNITS SOLD]]+INVESTORS_LIST[[#This Row],[SIP_TOTAL UNITS SOLD]]</f>
        <v>0</v>
      </c>
      <c r="U99" s="33">
        <v>0</v>
      </c>
      <c r="V99" s="33">
        <f>SUMIFS(LS[BO UNIT TRANSFER],LS[Investor ID],INVESTORS_LIST[[#This Row],[INVESTOR CODE]],LS[B/S],"B")</f>
        <v>0</v>
      </c>
      <c r="W99" s="33">
        <f>SUMIFS(LS[BO UNIT TRANSFER],LS[Investor ID],INVESTORS_LIST[[#This Row],[INVESTOR CODE]],LS[B/S],"S")</f>
        <v>0</v>
      </c>
      <c r="X99" s="33">
        <f>SUMIFS(SIP[BO UNIT TRANSFER],SIP[Investor ID],INVESTORS_LIST[[#This Row],[INVESTOR CODE]],SIP[B/S],"S")</f>
        <v>0</v>
      </c>
      <c r="Y99" s="33">
        <f>SUMIFS(SIP[BO UNIT TRANSFER],SIP[Investor ID],INVESTORS_LIST[[#This Row],[INVESTOR CODE]],SIP[B/S],"B")</f>
        <v>0</v>
      </c>
      <c r="Z9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99" s="119">
        <f>INVESTORS_LIST[[#This Row],[TOTAL UNITS BUY]]-INVESTORS_LIST[[#This Row],[TOTAL UNITS SOLD]]</f>
        <v>0</v>
      </c>
      <c r="AB99" s="119">
        <f>INVESTORS_LIST[[#This Row],[TOTAL CURRENT UNITS]]-INVESTORS_LIST[[#This Row],[BO UNITS HOLD]]</f>
        <v>0</v>
      </c>
      <c r="AC99" s="119" t="e">
        <f>INDEX([4]!Table_1[BO ID],MATCH(INVESTORS_LIST[[#This Row],[INVESTOR CODE]],[4]!Table_1[INVESTOR CODE],0))</f>
        <v>#REF!</v>
      </c>
      <c r="AD99" s="33">
        <f>INVESTORS_LIST[[#This Row],[LS_TOTAL COST VALUE OF CURRENT UNITS]]+INVESTORS_LIST[[#This Row],[SIP_TOTAL COST VALUE OF CURRENT UNITS]]</f>
        <v>0</v>
      </c>
      <c r="AE99" s="44">
        <f>IF(INVESTORS_LIST[[#This Row],[TOTAL CURRENT UNITS]]=0,0,INVESTORS_LIST[[#This Row],[LS_TOTAL CURRENT UNITS]]/INVESTORS_LIST[[#This Row],[TOTAL CURRENT UNITS]])</f>
        <v>0</v>
      </c>
      <c r="AF99" s="44">
        <f>IF(INVESTORS_LIST[[#This Row],[TOTAL CURRENT UNITS]]=0,0,INVESTORS_LIST[[#This Row],[SIP_TOTAL CURRENT UNITS]]/INVESTORS_LIST[[#This Row],[TOTAL CURRENT UNITS]])</f>
        <v>0</v>
      </c>
      <c r="AG99" s="4" cm="1">
        <f t="array" ref="AG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99" s="4" cm="1">
        <f t="array" ref="AH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9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99" s="178">
        <f t="shared" si="1"/>
        <v>12.552</v>
      </c>
      <c r="AK99" s="118">
        <f>IF(INVESTORS_LIST[[#This Row],[TOTAL CURRENT UNITS]]=0,0,INVESTORS_LIST[[#This Row],[TOTAL CURRENT UNITS]]*INVESTORS_LIST[[#This Row],[NAV]])</f>
        <v>0</v>
      </c>
      <c r="AL99" s="4">
        <f>IF(INVESTORS_LIST[[#This Row],[LS_TOTAL CURRENT UNITS]]=0,0,INVESTORS_LIST[[#This Row],[LS_TOTAL CURRENT UNITS]]*INVESTORS_LIST[[#This Row],[NAV]])</f>
        <v>0</v>
      </c>
      <c r="AM99" s="6">
        <f>IF(INVESTORS_LIST[[#This Row],[SIP_TOTAL CURRENT UNITS]]=0,0,INVESTORS_LIST[[#This Row],[SIP_TOTAL CURRENT UNITS]]*INVESTORS_LIST[[#This Row],[NAV]])</f>
        <v>0</v>
      </c>
      <c r="AO99" s="6">
        <f>IF(INVESTORS_LIST[[#This Row],[TOTAL SELLABLE UNITS]]=0,0,INVESTORS_LIST[[#This Row],[TOTAL SELLABLE UNITS]]*INVESTORS_LIST[[#This Row],[NAV]])</f>
        <v>0</v>
      </c>
      <c r="AP99" s="6">
        <f>INVESTORS_LIST[[#This Row],[LS_TOTAL REALIZED GAIN]]+INVESTORS_LIST[[#This Row],[SIP_TOTAL REALIZED GAIN]]</f>
        <v>0</v>
      </c>
      <c r="AQ99" s="6">
        <f>INVESTORS_LIST[[#This Row],[TOTAL MARKET VALUE]]-INVESTORS_LIST[[#This Row],[TOTAL COST VALUE OF CURRENT INVESTMENT]]</f>
        <v>0</v>
      </c>
      <c r="AR99" s="6">
        <f>SUMIFS(DivAndTax[Tax Amount],DivAndTax[Investor ID],INVESTORS_LIST[[#This Row],[INVESTOR CODE]])</f>
        <v>0</v>
      </c>
      <c r="AS99" s="6">
        <f>SUMIFS(DivAndTax[Gross Dividend],DivAndTax[Investor ID],INVESTORS_LIST[[#This Row],[INVESTOR CODE]])</f>
        <v>0</v>
      </c>
      <c r="AT99" s="5">
        <f>IFERROR(INVESTORS_LIST[[#This Row],[TOTAL CURRENT UNITS]]/SUM(INVESTORS_LIST[TOTAL CURRENT UNITS]),0)</f>
        <v>0</v>
      </c>
    </row>
    <row r="100" spans="1:46" hidden="1">
      <c r="A100" t="s">
        <v>115</v>
      </c>
      <c r="B100" t="s">
        <v>116</v>
      </c>
      <c r="C100" t="s">
        <v>536</v>
      </c>
      <c r="D100" s="8" t="s">
        <v>2</v>
      </c>
      <c r="E100" s="2">
        <f>SUMIFS(LS[Unit],LS[Investor ID],INVESTORS_LIST[[#This Row],[INVESTOR CODE]],LS[B/S],"B")</f>
        <v>0</v>
      </c>
      <c r="F100" s="2">
        <f>-SUMIFS(LS[Unit],LS[Investor ID],INVESTORS_LIST[[#This Row],[INVESTOR CODE]],LS[B/S],"S")</f>
        <v>0</v>
      </c>
      <c r="G100" s="2">
        <f>IF(INVESTORS_LIST[[#This Row],[LS_TOTAL UNITS BUY]]=0,0,INVESTORS_LIST[[#This Row],[LS_TOTAL UNITS BUY]]-INVESTORS_LIST[[#This Row],[LS_TOTAL UNITS SOLD]])</f>
        <v>0</v>
      </c>
      <c r="H100" s="4">
        <f>IF(INVESTORS_LIST[[#This Row],[LS_TOTAL UNITS BUY]]=0,0,SUMIFS(LS[Amount],LS[Investor ID],INVESTORS_LIST[[#This Row],[INVESTOR CODE]],LS[B/S],"B"))</f>
        <v>0</v>
      </c>
      <c r="I100" s="6">
        <f>IF(INVESTORS_LIST[[#This Row],[LS_TOTAL UNITS SOLD]]=0,0,SUMIFS(LS[Cost of Units Sold],LS[Investor ID],INVESTORS_LIST[[#This Row],[INVESTOR CODE]],LS[B/S],"S"))</f>
        <v>0</v>
      </c>
      <c r="J100" s="6">
        <f>IF(INVESTORS_LIST[[#This Row],[LS_TOTAL CURRENT UNITS]]=0,0,INVESTORS_LIST[[#This Row],[LS_TOTAL CURRENT UNITS]]*INVESTORS_LIST[[#This Row],[LS_AVERAGE COST]])</f>
        <v>0</v>
      </c>
      <c r="K100" s="4">
        <f>IF(INVESTORS_LIST[[#This Row],[LS_TOTAL UNITS SOLD]]=0,0,SUMIFS(LS[Realized Gain],LS[Investor ID],INVESTORS_LIST[[#This Row],[INVESTOR CODE]],LS[B/S],"S"))</f>
        <v>0</v>
      </c>
      <c r="L100" s="2">
        <f>SUMIFS(SIP[Unit],SIP[Investor ID],INVESTORS_LIST[[#This Row],[INVESTOR CODE]],SIP[B/S],"B")</f>
        <v>0</v>
      </c>
      <c r="M100" s="2">
        <f>-SUMIFS(SIP[Unit],SIP[Investor ID],INVESTORS_LIST[[#This Row],[INVESTOR CODE]],SIP[B/S],"S")</f>
        <v>0</v>
      </c>
      <c r="N100" s="33">
        <f>IF(INVESTORS_LIST[[#This Row],[SIP_TOTAL UNITS BUY]]=0,0,INVESTORS_LIST[[#This Row],[SIP_TOTAL UNITS BUY]]-INVESTORS_LIST[[#This Row],[SIP_TOTAL UNITS SOLD]])</f>
        <v>0</v>
      </c>
      <c r="O100" s="4">
        <f>IF(INVESTORS_LIST[[#This Row],[SIP_TOTAL UNITS BUY]]=0,0,SUMIFS(SIP[Amount],SIP[Investor ID],INVESTORS_LIST[[#This Row],[INVESTOR CODE]],SIP[B/S],"B"))</f>
        <v>0</v>
      </c>
      <c r="P100" s="4">
        <f>IF(INVESTORS_LIST[[#This Row],[SIP_TOTAL UNITS SOLD]]=0,0,SUMIFS(SIP[Cost of Units Sold],SIP[Investor ID],INVESTORS_LIST[[#This Row],[INVESTOR CODE]],SIP[B/S],"S"))</f>
        <v>0</v>
      </c>
      <c r="Q100" s="6">
        <f>IF(INVESTORS_LIST[[#This Row],[SIP_TOTAL CURRENT UNITS]]=0,0,INVESTORS_LIST[[#This Row],[SIP_TOTAL CURRENT UNITS]]*INVESTORS_LIST[[#This Row],[SIP_AVERAGE COST]])</f>
        <v>0</v>
      </c>
      <c r="R100" s="6">
        <f>IF(INVESTORS_LIST[[#This Row],[SIP_TOTAL UNITS SOLD]]=0,0,SUMIFS(SIP[Realized Gain],SIP[Investor ID],INVESTORS_LIST[[#This Row],[INVESTOR CODE]],SIP[B/S],"S"))</f>
        <v>0</v>
      </c>
      <c r="S100" s="33">
        <f>INVESTORS_LIST[[#This Row],[LS_TOTAL UNITS BUY]]+INVESTORS_LIST[[#This Row],[SIP_TOTAL UNITS BUY]]</f>
        <v>0</v>
      </c>
      <c r="T100" s="33">
        <f>INVESTORS_LIST[[#This Row],[LS_TOTAL UNITS SOLD]]+INVESTORS_LIST[[#This Row],[SIP_TOTAL UNITS SOLD]]</f>
        <v>0</v>
      </c>
      <c r="U100" s="33">
        <v>0</v>
      </c>
      <c r="V100" s="33">
        <f>SUMIFS(LS[BO UNIT TRANSFER],LS[Investor ID],INVESTORS_LIST[[#This Row],[INVESTOR CODE]],LS[B/S],"B")</f>
        <v>0</v>
      </c>
      <c r="W100" s="33">
        <f>SUMIFS(LS[BO UNIT TRANSFER],LS[Investor ID],INVESTORS_LIST[[#This Row],[INVESTOR CODE]],LS[B/S],"S")</f>
        <v>0</v>
      </c>
      <c r="X100" s="33">
        <f>SUMIFS(SIP[BO UNIT TRANSFER],SIP[Investor ID],INVESTORS_LIST[[#This Row],[INVESTOR CODE]],SIP[B/S],"S")</f>
        <v>0</v>
      </c>
      <c r="Y100" s="33">
        <f>SUMIFS(SIP[BO UNIT TRANSFER],SIP[Investor ID],INVESTORS_LIST[[#This Row],[INVESTOR CODE]],SIP[B/S],"B")</f>
        <v>0</v>
      </c>
      <c r="Z10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00" s="119">
        <f>INVESTORS_LIST[[#This Row],[TOTAL UNITS BUY]]-INVESTORS_LIST[[#This Row],[TOTAL UNITS SOLD]]</f>
        <v>0</v>
      </c>
      <c r="AB100" s="119">
        <f>INVESTORS_LIST[[#This Row],[TOTAL CURRENT UNITS]]-INVESTORS_LIST[[#This Row],[BO UNITS HOLD]]</f>
        <v>0</v>
      </c>
      <c r="AC100" s="119" t="e">
        <f>INDEX([4]!Table_1[BO ID],MATCH(INVESTORS_LIST[[#This Row],[INVESTOR CODE]],[4]!Table_1[INVESTOR CODE],0))</f>
        <v>#REF!</v>
      </c>
      <c r="AD100" s="33">
        <f>INVESTORS_LIST[[#This Row],[LS_TOTAL COST VALUE OF CURRENT UNITS]]+INVESTORS_LIST[[#This Row],[SIP_TOTAL COST VALUE OF CURRENT UNITS]]</f>
        <v>0</v>
      </c>
      <c r="AE100" s="44">
        <f>IF(INVESTORS_LIST[[#This Row],[TOTAL CURRENT UNITS]]=0,0,INVESTORS_LIST[[#This Row],[LS_TOTAL CURRENT UNITS]]/INVESTORS_LIST[[#This Row],[TOTAL CURRENT UNITS]])</f>
        <v>0</v>
      </c>
      <c r="AF100" s="44">
        <f>IF(INVESTORS_LIST[[#This Row],[TOTAL CURRENT UNITS]]=0,0,INVESTORS_LIST[[#This Row],[SIP_TOTAL CURRENT UNITS]]/INVESTORS_LIST[[#This Row],[TOTAL CURRENT UNITS]])</f>
        <v>0</v>
      </c>
      <c r="AG100" s="4" cm="1">
        <f t="array" ref="AG1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00" s="4" cm="1">
        <f t="array" ref="AH1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0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00" s="178">
        <f t="shared" si="1"/>
        <v>12.552</v>
      </c>
      <c r="AK100" s="118">
        <f>IF(INVESTORS_LIST[[#This Row],[TOTAL CURRENT UNITS]]=0,0,INVESTORS_LIST[[#This Row],[TOTAL CURRENT UNITS]]*INVESTORS_LIST[[#This Row],[NAV]])</f>
        <v>0</v>
      </c>
      <c r="AL100" s="4">
        <f>IF(INVESTORS_LIST[[#This Row],[LS_TOTAL CURRENT UNITS]]=0,0,INVESTORS_LIST[[#This Row],[LS_TOTAL CURRENT UNITS]]*INVESTORS_LIST[[#This Row],[NAV]])</f>
        <v>0</v>
      </c>
      <c r="AM100" s="6">
        <f>IF(INVESTORS_LIST[[#This Row],[SIP_TOTAL CURRENT UNITS]]=0,0,INVESTORS_LIST[[#This Row],[SIP_TOTAL CURRENT UNITS]]*INVESTORS_LIST[[#This Row],[NAV]])</f>
        <v>0</v>
      </c>
      <c r="AO100" s="6">
        <f>IF(INVESTORS_LIST[[#This Row],[TOTAL SELLABLE UNITS]]=0,0,INVESTORS_LIST[[#This Row],[TOTAL SELLABLE UNITS]]*INVESTORS_LIST[[#This Row],[NAV]])</f>
        <v>0</v>
      </c>
      <c r="AP100" s="6">
        <f>INVESTORS_LIST[[#This Row],[LS_TOTAL REALIZED GAIN]]+INVESTORS_LIST[[#This Row],[SIP_TOTAL REALIZED GAIN]]</f>
        <v>0</v>
      </c>
      <c r="AQ100" s="6">
        <f>INVESTORS_LIST[[#This Row],[TOTAL MARKET VALUE]]-INVESTORS_LIST[[#This Row],[TOTAL COST VALUE OF CURRENT INVESTMENT]]</f>
        <v>0</v>
      </c>
      <c r="AR100" s="6">
        <f>SUMIFS(DivAndTax[Tax Amount],DivAndTax[Investor ID],INVESTORS_LIST[[#This Row],[INVESTOR CODE]])</f>
        <v>0</v>
      </c>
      <c r="AS100" s="6">
        <f>SUMIFS(DivAndTax[Gross Dividend],DivAndTax[Investor ID],INVESTORS_LIST[[#This Row],[INVESTOR CODE]])</f>
        <v>0</v>
      </c>
      <c r="AT100" s="5">
        <f>IFERROR(INVESTORS_LIST[[#This Row],[TOTAL CURRENT UNITS]]/SUM(INVESTORS_LIST[TOTAL CURRENT UNITS]),0)</f>
        <v>0</v>
      </c>
    </row>
    <row r="101" spans="1:46" hidden="1">
      <c r="A101" t="s">
        <v>117</v>
      </c>
      <c r="B101" t="s">
        <v>118</v>
      </c>
      <c r="C101" t="s">
        <v>536</v>
      </c>
      <c r="D101" s="8" t="s">
        <v>2</v>
      </c>
      <c r="E101" s="2">
        <f>SUMIFS(LS[Unit],LS[Investor ID],INVESTORS_LIST[[#This Row],[INVESTOR CODE]],LS[B/S],"B")</f>
        <v>0</v>
      </c>
      <c r="F101" s="2">
        <f>-SUMIFS(LS[Unit],LS[Investor ID],INVESTORS_LIST[[#This Row],[INVESTOR CODE]],LS[B/S],"S")</f>
        <v>0</v>
      </c>
      <c r="G101" s="2">
        <f>IF(INVESTORS_LIST[[#This Row],[LS_TOTAL UNITS BUY]]=0,0,INVESTORS_LIST[[#This Row],[LS_TOTAL UNITS BUY]]-INVESTORS_LIST[[#This Row],[LS_TOTAL UNITS SOLD]])</f>
        <v>0</v>
      </c>
      <c r="H101" s="4">
        <f>IF(INVESTORS_LIST[[#This Row],[LS_TOTAL UNITS BUY]]=0,0,SUMIFS(LS[Amount],LS[Investor ID],INVESTORS_LIST[[#This Row],[INVESTOR CODE]],LS[B/S],"B"))</f>
        <v>0</v>
      </c>
      <c r="I101" s="6">
        <f>IF(INVESTORS_LIST[[#This Row],[LS_TOTAL UNITS SOLD]]=0,0,SUMIFS(LS[Cost of Units Sold],LS[Investor ID],INVESTORS_LIST[[#This Row],[INVESTOR CODE]],LS[B/S],"S"))</f>
        <v>0</v>
      </c>
      <c r="J101" s="6">
        <f>IF(INVESTORS_LIST[[#This Row],[LS_TOTAL CURRENT UNITS]]=0,0,INVESTORS_LIST[[#This Row],[LS_TOTAL CURRENT UNITS]]*INVESTORS_LIST[[#This Row],[LS_AVERAGE COST]])</f>
        <v>0</v>
      </c>
      <c r="K101" s="4">
        <f>IF(INVESTORS_LIST[[#This Row],[LS_TOTAL UNITS SOLD]]=0,0,SUMIFS(LS[Realized Gain],LS[Investor ID],INVESTORS_LIST[[#This Row],[INVESTOR CODE]],LS[B/S],"S"))</f>
        <v>0</v>
      </c>
      <c r="L101" s="2">
        <f>SUMIFS(SIP[Unit],SIP[Investor ID],INVESTORS_LIST[[#This Row],[INVESTOR CODE]],SIP[B/S],"B")</f>
        <v>0</v>
      </c>
      <c r="M101" s="2">
        <f>-SUMIFS(SIP[Unit],SIP[Investor ID],INVESTORS_LIST[[#This Row],[INVESTOR CODE]],SIP[B/S],"S")</f>
        <v>0</v>
      </c>
      <c r="N101" s="33">
        <f>IF(INVESTORS_LIST[[#This Row],[SIP_TOTAL UNITS BUY]]=0,0,INVESTORS_LIST[[#This Row],[SIP_TOTAL UNITS BUY]]-INVESTORS_LIST[[#This Row],[SIP_TOTAL UNITS SOLD]])</f>
        <v>0</v>
      </c>
      <c r="O101" s="4">
        <f>IF(INVESTORS_LIST[[#This Row],[SIP_TOTAL UNITS BUY]]=0,0,SUMIFS(SIP[Amount],SIP[Investor ID],INVESTORS_LIST[[#This Row],[INVESTOR CODE]],SIP[B/S],"B"))</f>
        <v>0</v>
      </c>
      <c r="P101" s="4">
        <f>IF(INVESTORS_LIST[[#This Row],[SIP_TOTAL UNITS SOLD]]=0,0,SUMIFS(SIP[Cost of Units Sold],SIP[Investor ID],INVESTORS_LIST[[#This Row],[INVESTOR CODE]],SIP[B/S],"S"))</f>
        <v>0</v>
      </c>
      <c r="Q101" s="6">
        <f>IF(INVESTORS_LIST[[#This Row],[SIP_TOTAL CURRENT UNITS]]=0,0,INVESTORS_LIST[[#This Row],[SIP_TOTAL CURRENT UNITS]]*INVESTORS_LIST[[#This Row],[SIP_AVERAGE COST]])</f>
        <v>0</v>
      </c>
      <c r="R101" s="6">
        <f>IF(INVESTORS_LIST[[#This Row],[SIP_TOTAL UNITS SOLD]]=0,0,SUMIFS(SIP[Realized Gain],SIP[Investor ID],INVESTORS_LIST[[#This Row],[INVESTOR CODE]],SIP[B/S],"S"))</f>
        <v>0</v>
      </c>
      <c r="S101" s="33">
        <f>INVESTORS_LIST[[#This Row],[LS_TOTAL UNITS BUY]]+INVESTORS_LIST[[#This Row],[SIP_TOTAL UNITS BUY]]</f>
        <v>0</v>
      </c>
      <c r="T101" s="33">
        <f>INVESTORS_LIST[[#This Row],[LS_TOTAL UNITS SOLD]]+INVESTORS_LIST[[#This Row],[SIP_TOTAL UNITS SOLD]]</f>
        <v>0</v>
      </c>
      <c r="U101" s="33">
        <v>0</v>
      </c>
      <c r="V101" s="33">
        <f>SUMIFS(LS[BO UNIT TRANSFER],LS[Investor ID],INVESTORS_LIST[[#This Row],[INVESTOR CODE]],LS[B/S],"B")</f>
        <v>0</v>
      </c>
      <c r="W101" s="33">
        <f>SUMIFS(LS[BO UNIT TRANSFER],LS[Investor ID],INVESTORS_LIST[[#This Row],[INVESTOR CODE]],LS[B/S],"S")</f>
        <v>0</v>
      </c>
      <c r="X101" s="33">
        <f>SUMIFS(SIP[BO UNIT TRANSFER],SIP[Investor ID],INVESTORS_LIST[[#This Row],[INVESTOR CODE]],SIP[B/S],"S")</f>
        <v>0</v>
      </c>
      <c r="Y101" s="33">
        <f>SUMIFS(SIP[BO UNIT TRANSFER],SIP[Investor ID],INVESTORS_LIST[[#This Row],[INVESTOR CODE]],SIP[B/S],"B")</f>
        <v>0</v>
      </c>
      <c r="Z10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01" s="119">
        <f>INVESTORS_LIST[[#This Row],[TOTAL UNITS BUY]]-INVESTORS_LIST[[#This Row],[TOTAL UNITS SOLD]]</f>
        <v>0</v>
      </c>
      <c r="AB101" s="119">
        <f>INVESTORS_LIST[[#This Row],[TOTAL CURRENT UNITS]]-INVESTORS_LIST[[#This Row],[BO UNITS HOLD]]</f>
        <v>0</v>
      </c>
      <c r="AC101" s="119" t="e">
        <f>INDEX([4]!Table_1[BO ID],MATCH(INVESTORS_LIST[[#This Row],[INVESTOR CODE]],[4]!Table_1[INVESTOR CODE],0))</f>
        <v>#REF!</v>
      </c>
      <c r="AD101" s="33">
        <f>INVESTORS_LIST[[#This Row],[LS_TOTAL COST VALUE OF CURRENT UNITS]]+INVESTORS_LIST[[#This Row],[SIP_TOTAL COST VALUE OF CURRENT UNITS]]</f>
        <v>0</v>
      </c>
      <c r="AE101" s="44">
        <f>IF(INVESTORS_LIST[[#This Row],[TOTAL CURRENT UNITS]]=0,0,INVESTORS_LIST[[#This Row],[LS_TOTAL CURRENT UNITS]]/INVESTORS_LIST[[#This Row],[TOTAL CURRENT UNITS]])</f>
        <v>0</v>
      </c>
      <c r="AF101" s="44">
        <f>IF(INVESTORS_LIST[[#This Row],[TOTAL CURRENT UNITS]]=0,0,INVESTORS_LIST[[#This Row],[SIP_TOTAL CURRENT UNITS]]/INVESTORS_LIST[[#This Row],[TOTAL CURRENT UNITS]])</f>
        <v>0</v>
      </c>
      <c r="AG101" s="4" cm="1">
        <f t="array" ref="AG10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01" s="4" cm="1">
        <f t="array" ref="AH1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0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01" s="178">
        <f t="shared" si="1"/>
        <v>12.552</v>
      </c>
      <c r="AK101" s="118">
        <f>IF(INVESTORS_LIST[[#This Row],[TOTAL CURRENT UNITS]]=0,0,INVESTORS_LIST[[#This Row],[TOTAL CURRENT UNITS]]*INVESTORS_LIST[[#This Row],[NAV]])</f>
        <v>0</v>
      </c>
      <c r="AL101" s="4">
        <f>IF(INVESTORS_LIST[[#This Row],[LS_TOTAL CURRENT UNITS]]=0,0,INVESTORS_LIST[[#This Row],[LS_TOTAL CURRENT UNITS]]*INVESTORS_LIST[[#This Row],[NAV]])</f>
        <v>0</v>
      </c>
      <c r="AM101" s="6">
        <f>IF(INVESTORS_LIST[[#This Row],[SIP_TOTAL CURRENT UNITS]]=0,0,INVESTORS_LIST[[#This Row],[SIP_TOTAL CURRENT UNITS]]*INVESTORS_LIST[[#This Row],[NAV]])</f>
        <v>0</v>
      </c>
      <c r="AO101" s="6">
        <f>IF(INVESTORS_LIST[[#This Row],[TOTAL SELLABLE UNITS]]=0,0,INVESTORS_LIST[[#This Row],[TOTAL SELLABLE UNITS]]*INVESTORS_LIST[[#This Row],[NAV]])</f>
        <v>0</v>
      </c>
      <c r="AP101" s="6">
        <f>INVESTORS_LIST[[#This Row],[LS_TOTAL REALIZED GAIN]]+INVESTORS_LIST[[#This Row],[SIP_TOTAL REALIZED GAIN]]</f>
        <v>0</v>
      </c>
      <c r="AQ101" s="6">
        <f>INVESTORS_LIST[[#This Row],[TOTAL MARKET VALUE]]-INVESTORS_LIST[[#This Row],[TOTAL COST VALUE OF CURRENT INVESTMENT]]</f>
        <v>0</v>
      </c>
      <c r="AR101" s="6">
        <f>SUMIFS(DivAndTax[Tax Amount],DivAndTax[Investor ID],INVESTORS_LIST[[#This Row],[INVESTOR CODE]])</f>
        <v>0</v>
      </c>
      <c r="AS101" s="6">
        <f>SUMIFS(DivAndTax[Gross Dividend],DivAndTax[Investor ID],INVESTORS_LIST[[#This Row],[INVESTOR CODE]])</f>
        <v>0</v>
      </c>
      <c r="AT101" s="5">
        <f>IFERROR(INVESTORS_LIST[[#This Row],[TOTAL CURRENT UNITS]]/SUM(INVESTORS_LIST[TOTAL CURRENT UNITS]),0)</f>
        <v>0</v>
      </c>
    </row>
    <row r="102" spans="1:46" hidden="1">
      <c r="A102" t="s">
        <v>119</v>
      </c>
      <c r="B102" t="s">
        <v>120</v>
      </c>
      <c r="C102" t="s">
        <v>536</v>
      </c>
      <c r="D102" s="8" t="s">
        <v>2</v>
      </c>
      <c r="E102" s="2">
        <f>SUMIFS(LS[Unit],LS[Investor ID],INVESTORS_LIST[[#This Row],[INVESTOR CODE]],LS[B/S],"B")</f>
        <v>0</v>
      </c>
      <c r="F102" s="2">
        <f>-SUMIFS(LS[Unit],LS[Investor ID],INVESTORS_LIST[[#This Row],[INVESTOR CODE]],LS[B/S],"S")</f>
        <v>0</v>
      </c>
      <c r="G102" s="2">
        <f>IF(INVESTORS_LIST[[#This Row],[LS_TOTAL UNITS BUY]]=0,0,INVESTORS_LIST[[#This Row],[LS_TOTAL UNITS BUY]]-INVESTORS_LIST[[#This Row],[LS_TOTAL UNITS SOLD]])</f>
        <v>0</v>
      </c>
      <c r="H102" s="4">
        <f>IF(INVESTORS_LIST[[#This Row],[LS_TOTAL UNITS BUY]]=0,0,SUMIFS(LS[Amount],LS[Investor ID],INVESTORS_LIST[[#This Row],[INVESTOR CODE]],LS[B/S],"B"))</f>
        <v>0</v>
      </c>
      <c r="I102" s="6">
        <f>IF(INVESTORS_LIST[[#This Row],[LS_TOTAL UNITS SOLD]]=0,0,SUMIFS(LS[Cost of Units Sold],LS[Investor ID],INVESTORS_LIST[[#This Row],[INVESTOR CODE]],LS[B/S],"S"))</f>
        <v>0</v>
      </c>
      <c r="J102" s="6">
        <f>IF(INVESTORS_LIST[[#This Row],[LS_TOTAL CURRENT UNITS]]=0,0,INVESTORS_LIST[[#This Row],[LS_TOTAL CURRENT UNITS]]*INVESTORS_LIST[[#This Row],[LS_AVERAGE COST]])</f>
        <v>0</v>
      </c>
      <c r="K102" s="4">
        <f>IF(INVESTORS_LIST[[#This Row],[LS_TOTAL UNITS SOLD]]=0,0,SUMIFS(LS[Realized Gain],LS[Investor ID],INVESTORS_LIST[[#This Row],[INVESTOR CODE]],LS[B/S],"S"))</f>
        <v>0</v>
      </c>
      <c r="L102" s="2">
        <f>SUMIFS(SIP[Unit],SIP[Investor ID],INVESTORS_LIST[[#This Row],[INVESTOR CODE]],SIP[B/S],"B")</f>
        <v>0</v>
      </c>
      <c r="M102" s="2">
        <f>-SUMIFS(SIP[Unit],SIP[Investor ID],INVESTORS_LIST[[#This Row],[INVESTOR CODE]],SIP[B/S],"S")</f>
        <v>0</v>
      </c>
      <c r="N102" s="33">
        <f>IF(INVESTORS_LIST[[#This Row],[SIP_TOTAL UNITS BUY]]=0,0,INVESTORS_LIST[[#This Row],[SIP_TOTAL UNITS BUY]]-INVESTORS_LIST[[#This Row],[SIP_TOTAL UNITS SOLD]])</f>
        <v>0</v>
      </c>
      <c r="O102" s="4">
        <f>IF(INVESTORS_LIST[[#This Row],[SIP_TOTAL UNITS BUY]]=0,0,SUMIFS(SIP[Amount],SIP[Investor ID],INVESTORS_LIST[[#This Row],[INVESTOR CODE]],SIP[B/S],"B"))</f>
        <v>0</v>
      </c>
      <c r="P102" s="4">
        <f>IF(INVESTORS_LIST[[#This Row],[SIP_TOTAL UNITS SOLD]]=0,0,SUMIFS(SIP[Cost of Units Sold],SIP[Investor ID],INVESTORS_LIST[[#This Row],[INVESTOR CODE]],SIP[B/S],"S"))</f>
        <v>0</v>
      </c>
      <c r="Q102" s="6">
        <f>IF(INVESTORS_LIST[[#This Row],[SIP_TOTAL CURRENT UNITS]]=0,0,INVESTORS_LIST[[#This Row],[SIP_TOTAL CURRENT UNITS]]*INVESTORS_LIST[[#This Row],[SIP_AVERAGE COST]])</f>
        <v>0</v>
      </c>
      <c r="R102" s="6">
        <f>IF(INVESTORS_LIST[[#This Row],[SIP_TOTAL UNITS SOLD]]=0,0,SUMIFS(SIP[Realized Gain],SIP[Investor ID],INVESTORS_LIST[[#This Row],[INVESTOR CODE]],SIP[B/S],"S"))</f>
        <v>0</v>
      </c>
      <c r="S102" s="33">
        <f>INVESTORS_LIST[[#This Row],[LS_TOTAL UNITS BUY]]+INVESTORS_LIST[[#This Row],[SIP_TOTAL UNITS BUY]]</f>
        <v>0</v>
      </c>
      <c r="T102" s="33">
        <f>INVESTORS_LIST[[#This Row],[LS_TOTAL UNITS SOLD]]+INVESTORS_LIST[[#This Row],[SIP_TOTAL UNITS SOLD]]</f>
        <v>0</v>
      </c>
      <c r="U102" s="33">
        <v>0</v>
      </c>
      <c r="V102" s="33">
        <f>SUMIFS(LS[BO UNIT TRANSFER],LS[Investor ID],INVESTORS_LIST[[#This Row],[INVESTOR CODE]],LS[B/S],"B")</f>
        <v>0</v>
      </c>
      <c r="W102" s="33">
        <f>SUMIFS(LS[BO UNIT TRANSFER],LS[Investor ID],INVESTORS_LIST[[#This Row],[INVESTOR CODE]],LS[B/S],"S")</f>
        <v>0</v>
      </c>
      <c r="X102" s="33">
        <f>SUMIFS(SIP[BO UNIT TRANSFER],SIP[Investor ID],INVESTORS_LIST[[#This Row],[INVESTOR CODE]],SIP[B/S],"S")</f>
        <v>0</v>
      </c>
      <c r="Y102" s="33">
        <f>SUMIFS(SIP[BO UNIT TRANSFER],SIP[Investor ID],INVESTORS_LIST[[#This Row],[INVESTOR CODE]],SIP[B/S],"B")</f>
        <v>0</v>
      </c>
      <c r="Z10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02" s="119">
        <f>INVESTORS_LIST[[#This Row],[TOTAL UNITS BUY]]-INVESTORS_LIST[[#This Row],[TOTAL UNITS SOLD]]</f>
        <v>0</v>
      </c>
      <c r="AB102" s="119">
        <f>INVESTORS_LIST[[#This Row],[TOTAL CURRENT UNITS]]-INVESTORS_LIST[[#This Row],[BO UNITS HOLD]]</f>
        <v>0</v>
      </c>
      <c r="AC102" s="119" t="e">
        <f>INDEX([4]!Table_1[BO ID],MATCH(INVESTORS_LIST[[#This Row],[INVESTOR CODE]],[4]!Table_1[INVESTOR CODE],0))</f>
        <v>#REF!</v>
      </c>
      <c r="AD102" s="33">
        <f>INVESTORS_LIST[[#This Row],[LS_TOTAL COST VALUE OF CURRENT UNITS]]+INVESTORS_LIST[[#This Row],[SIP_TOTAL COST VALUE OF CURRENT UNITS]]</f>
        <v>0</v>
      </c>
      <c r="AE102" s="44">
        <f>IF(INVESTORS_LIST[[#This Row],[TOTAL CURRENT UNITS]]=0,0,INVESTORS_LIST[[#This Row],[LS_TOTAL CURRENT UNITS]]/INVESTORS_LIST[[#This Row],[TOTAL CURRENT UNITS]])</f>
        <v>0</v>
      </c>
      <c r="AF102" s="44">
        <f>IF(INVESTORS_LIST[[#This Row],[TOTAL CURRENT UNITS]]=0,0,INVESTORS_LIST[[#This Row],[SIP_TOTAL CURRENT UNITS]]/INVESTORS_LIST[[#This Row],[TOTAL CURRENT UNITS]])</f>
        <v>0</v>
      </c>
      <c r="AG102" s="4" cm="1">
        <f t="array" ref="AG10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02" s="4" cm="1">
        <f t="array" ref="AH1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0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02" s="178">
        <f t="shared" si="1"/>
        <v>12.552</v>
      </c>
      <c r="AK102" s="118">
        <f>IF(INVESTORS_LIST[[#This Row],[TOTAL CURRENT UNITS]]=0,0,INVESTORS_LIST[[#This Row],[TOTAL CURRENT UNITS]]*INVESTORS_LIST[[#This Row],[NAV]])</f>
        <v>0</v>
      </c>
      <c r="AL102" s="4">
        <f>IF(INVESTORS_LIST[[#This Row],[LS_TOTAL CURRENT UNITS]]=0,0,INVESTORS_LIST[[#This Row],[LS_TOTAL CURRENT UNITS]]*INVESTORS_LIST[[#This Row],[NAV]])</f>
        <v>0</v>
      </c>
      <c r="AM102" s="6">
        <f>IF(INVESTORS_LIST[[#This Row],[SIP_TOTAL CURRENT UNITS]]=0,0,INVESTORS_LIST[[#This Row],[SIP_TOTAL CURRENT UNITS]]*INVESTORS_LIST[[#This Row],[NAV]])</f>
        <v>0</v>
      </c>
      <c r="AO102" s="6">
        <f>IF(INVESTORS_LIST[[#This Row],[TOTAL SELLABLE UNITS]]=0,0,INVESTORS_LIST[[#This Row],[TOTAL SELLABLE UNITS]]*INVESTORS_LIST[[#This Row],[NAV]])</f>
        <v>0</v>
      </c>
      <c r="AP102" s="6">
        <f>INVESTORS_LIST[[#This Row],[LS_TOTAL REALIZED GAIN]]+INVESTORS_LIST[[#This Row],[SIP_TOTAL REALIZED GAIN]]</f>
        <v>0</v>
      </c>
      <c r="AQ102" s="6">
        <f>INVESTORS_LIST[[#This Row],[TOTAL MARKET VALUE]]-INVESTORS_LIST[[#This Row],[TOTAL COST VALUE OF CURRENT INVESTMENT]]</f>
        <v>0</v>
      </c>
      <c r="AR102" s="6">
        <f>SUMIFS(DivAndTax[Tax Amount],DivAndTax[Investor ID],INVESTORS_LIST[[#This Row],[INVESTOR CODE]])</f>
        <v>0</v>
      </c>
      <c r="AS102" s="6">
        <f>SUMIFS(DivAndTax[Gross Dividend],DivAndTax[Investor ID],INVESTORS_LIST[[#This Row],[INVESTOR CODE]])</f>
        <v>0</v>
      </c>
      <c r="AT102" s="5">
        <f>IFERROR(INVESTORS_LIST[[#This Row],[TOTAL CURRENT UNITS]]/SUM(INVESTORS_LIST[TOTAL CURRENT UNITS]),0)</f>
        <v>0</v>
      </c>
    </row>
    <row r="103" spans="1:46" hidden="1">
      <c r="A103" t="s">
        <v>121</v>
      </c>
      <c r="B103" t="s">
        <v>122</v>
      </c>
      <c r="C103" t="s">
        <v>536</v>
      </c>
      <c r="D103" s="8" t="s">
        <v>2</v>
      </c>
      <c r="E103" s="2">
        <f>SUMIFS(LS[Unit],LS[Investor ID],INVESTORS_LIST[[#This Row],[INVESTOR CODE]],LS[B/S],"B")</f>
        <v>0</v>
      </c>
      <c r="F103" s="2">
        <f>-SUMIFS(LS[Unit],LS[Investor ID],INVESTORS_LIST[[#This Row],[INVESTOR CODE]],LS[B/S],"S")</f>
        <v>0</v>
      </c>
      <c r="G103" s="2">
        <f>IF(INVESTORS_LIST[[#This Row],[LS_TOTAL UNITS BUY]]=0,0,INVESTORS_LIST[[#This Row],[LS_TOTAL UNITS BUY]]-INVESTORS_LIST[[#This Row],[LS_TOTAL UNITS SOLD]])</f>
        <v>0</v>
      </c>
      <c r="H103" s="4">
        <f>IF(INVESTORS_LIST[[#This Row],[LS_TOTAL UNITS BUY]]=0,0,SUMIFS(LS[Amount],LS[Investor ID],INVESTORS_LIST[[#This Row],[INVESTOR CODE]],LS[B/S],"B"))</f>
        <v>0</v>
      </c>
      <c r="I103" s="6">
        <f>IF(INVESTORS_LIST[[#This Row],[LS_TOTAL UNITS SOLD]]=0,0,SUMIFS(LS[Cost of Units Sold],LS[Investor ID],INVESTORS_LIST[[#This Row],[INVESTOR CODE]],LS[B/S],"S"))</f>
        <v>0</v>
      </c>
      <c r="J103" s="6">
        <f>IF(INVESTORS_LIST[[#This Row],[LS_TOTAL CURRENT UNITS]]=0,0,INVESTORS_LIST[[#This Row],[LS_TOTAL CURRENT UNITS]]*INVESTORS_LIST[[#This Row],[LS_AVERAGE COST]])</f>
        <v>0</v>
      </c>
      <c r="K103" s="4">
        <f>IF(INVESTORS_LIST[[#This Row],[LS_TOTAL UNITS SOLD]]=0,0,SUMIFS(LS[Realized Gain],LS[Investor ID],INVESTORS_LIST[[#This Row],[INVESTOR CODE]],LS[B/S],"S"))</f>
        <v>0</v>
      </c>
      <c r="L103" s="2">
        <f>SUMIFS(SIP[Unit],SIP[Investor ID],INVESTORS_LIST[[#This Row],[INVESTOR CODE]],SIP[B/S],"B")</f>
        <v>0</v>
      </c>
      <c r="M103" s="2">
        <f>-SUMIFS(SIP[Unit],SIP[Investor ID],INVESTORS_LIST[[#This Row],[INVESTOR CODE]],SIP[B/S],"S")</f>
        <v>0</v>
      </c>
      <c r="N103" s="33">
        <f>IF(INVESTORS_LIST[[#This Row],[SIP_TOTAL UNITS BUY]]=0,0,INVESTORS_LIST[[#This Row],[SIP_TOTAL UNITS BUY]]-INVESTORS_LIST[[#This Row],[SIP_TOTAL UNITS SOLD]])</f>
        <v>0</v>
      </c>
      <c r="O103" s="4">
        <f>IF(INVESTORS_LIST[[#This Row],[SIP_TOTAL UNITS BUY]]=0,0,SUMIFS(SIP[Amount],SIP[Investor ID],INVESTORS_LIST[[#This Row],[INVESTOR CODE]],SIP[B/S],"B"))</f>
        <v>0</v>
      </c>
      <c r="P103" s="4">
        <f>IF(INVESTORS_LIST[[#This Row],[SIP_TOTAL UNITS SOLD]]=0,0,SUMIFS(SIP[Cost of Units Sold],SIP[Investor ID],INVESTORS_LIST[[#This Row],[INVESTOR CODE]],SIP[B/S],"S"))</f>
        <v>0</v>
      </c>
      <c r="Q103" s="6">
        <f>IF(INVESTORS_LIST[[#This Row],[SIP_TOTAL CURRENT UNITS]]=0,0,INVESTORS_LIST[[#This Row],[SIP_TOTAL CURRENT UNITS]]*INVESTORS_LIST[[#This Row],[SIP_AVERAGE COST]])</f>
        <v>0</v>
      </c>
      <c r="R103" s="6">
        <f>IF(INVESTORS_LIST[[#This Row],[SIP_TOTAL UNITS SOLD]]=0,0,SUMIFS(SIP[Realized Gain],SIP[Investor ID],INVESTORS_LIST[[#This Row],[INVESTOR CODE]],SIP[B/S],"S"))</f>
        <v>0</v>
      </c>
      <c r="S103" s="33">
        <f>INVESTORS_LIST[[#This Row],[LS_TOTAL UNITS BUY]]+INVESTORS_LIST[[#This Row],[SIP_TOTAL UNITS BUY]]</f>
        <v>0</v>
      </c>
      <c r="T103" s="33">
        <f>INVESTORS_LIST[[#This Row],[LS_TOTAL UNITS SOLD]]+INVESTORS_LIST[[#This Row],[SIP_TOTAL UNITS SOLD]]</f>
        <v>0</v>
      </c>
      <c r="U103" s="33">
        <v>0</v>
      </c>
      <c r="V103" s="33">
        <f>SUMIFS(LS[BO UNIT TRANSFER],LS[Investor ID],INVESTORS_LIST[[#This Row],[INVESTOR CODE]],LS[B/S],"B")</f>
        <v>0</v>
      </c>
      <c r="W103" s="33">
        <f>SUMIFS(LS[BO UNIT TRANSFER],LS[Investor ID],INVESTORS_LIST[[#This Row],[INVESTOR CODE]],LS[B/S],"S")</f>
        <v>0</v>
      </c>
      <c r="X103" s="33">
        <f>SUMIFS(SIP[BO UNIT TRANSFER],SIP[Investor ID],INVESTORS_LIST[[#This Row],[INVESTOR CODE]],SIP[B/S],"S")</f>
        <v>0</v>
      </c>
      <c r="Y103" s="33">
        <f>SUMIFS(SIP[BO UNIT TRANSFER],SIP[Investor ID],INVESTORS_LIST[[#This Row],[INVESTOR CODE]],SIP[B/S],"B")</f>
        <v>0</v>
      </c>
      <c r="Z10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03" s="119">
        <f>INVESTORS_LIST[[#This Row],[TOTAL UNITS BUY]]-INVESTORS_LIST[[#This Row],[TOTAL UNITS SOLD]]</f>
        <v>0</v>
      </c>
      <c r="AB103" s="119">
        <f>INVESTORS_LIST[[#This Row],[TOTAL CURRENT UNITS]]-INVESTORS_LIST[[#This Row],[BO UNITS HOLD]]</f>
        <v>0</v>
      </c>
      <c r="AC103" s="119" t="e">
        <f>INDEX([4]!Table_1[BO ID],MATCH(INVESTORS_LIST[[#This Row],[INVESTOR CODE]],[4]!Table_1[INVESTOR CODE],0))</f>
        <v>#REF!</v>
      </c>
      <c r="AD103" s="33">
        <f>INVESTORS_LIST[[#This Row],[LS_TOTAL COST VALUE OF CURRENT UNITS]]+INVESTORS_LIST[[#This Row],[SIP_TOTAL COST VALUE OF CURRENT UNITS]]</f>
        <v>0</v>
      </c>
      <c r="AE103" s="44">
        <f>IF(INVESTORS_LIST[[#This Row],[TOTAL CURRENT UNITS]]=0,0,INVESTORS_LIST[[#This Row],[LS_TOTAL CURRENT UNITS]]/INVESTORS_LIST[[#This Row],[TOTAL CURRENT UNITS]])</f>
        <v>0</v>
      </c>
      <c r="AF103" s="44">
        <f>IF(INVESTORS_LIST[[#This Row],[TOTAL CURRENT UNITS]]=0,0,INVESTORS_LIST[[#This Row],[SIP_TOTAL CURRENT UNITS]]/INVESTORS_LIST[[#This Row],[TOTAL CURRENT UNITS]])</f>
        <v>0</v>
      </c>
      <c r="AG103" s="4" cm="1">
        <f t="array" ref="AG1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03" s="4" cm="1">
        <f t="array" ref="AH10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0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03" s="178">
        <f t="shared" si="1"/>
        <v>12.552</v>
      </c>
      <c r="AK103" s="118">
        <f>IF(INVESTORS_LIST[[#This Row],[TOTAL CURRENT UNITS]]=0,0,INVESTORS_LIST[[#This Row],[TOTAL CURRENT UNITS]]*INVESTORS_LIST[[#This Row],[NAV]])</f>
        <v>0</v>
      </c>
      <c r="AL103" s="4">
        <f>IF(INVESTORS_LIST[[#This Row],[LS_TOTAL CURRENT UNITS]]=0,0,INVESTORS_LIST[[#This Row],[LS_TOTAL CURRENT UNITS]]*INVESTORS_LIST[[#This Row],[NAV]])</f>
        <v>0</v>
      </c>
      <c r="AM103" s="6">
        <f>IF(INVESTORS_LIST[[#This Row],[SIP_TOTAL CURRENT UNITS]]=0,0,INVESTORS_LIST[[#This Row],[SIP_TOTAL CURRENT UNITS]]*INVESTORS_LIST[[#This Row],[NAV]])</f>
        <v>0</v>
      </c>
      <c r="AO103" s="6">
        <f>IF(INVESTORS_LIST[[#This Row],[TOTAL SELLABLE UNITS]]=0,0,INVESTORS_LIST[[#This Row],[TOTAL SELLABLE UNITS]]*INVESTORS_LIST[[#This Row],[NAV]])</f>
        <v>0</v>
      </c>
      <c r="AP103" s="6">
        <f>INVESTORS_LIST[[#This Row],[LS_TOTAL REALIZED GAIN]]+INVESTORS_LIST[[#This Row],[SIP_TOTAL REALIZED GAIN]]</f>
        <v>0</v>
      </c>
      <c r="AQ103" s="6">
        <f>INVESTORS_LIST[[#This Row],[TOTAL MARKET VALUE]]-INVESTORS_LIST[[#This Row],[TOTAL COST VALUE OF CURRENT INVESTMENT]]</f>
        <v>0</v>
      </c>
      <c r="AR103" s="6">
        <f>SUMIFS(DivAndTax[Tax Amount],DivAndTax[Investor ID],INVESTORS_LIST[[#This Row],[INVESTOR CODE]])</f>
        <v>0</v>
      </c>
      <c r="AS103" s="6">
        <f>SUMIFS(DivAndTax[Gross Dividend],DivAndTax[Investor ID],INVESTORS_LIST[[#This Row],[INVESTOR CODE]])</f>
        <v>0</v>
      </c>
      <c r="AT103" s="5">
        <f>IFERROR(INVESTORS_LIST[[#This Row],[TOTAL CURRENT UNITS]]/SUM(INVESTORS_LIST[TOTAL CURRENT UNITS]),0)</f>
        <v>0</v>
      </c>
    </row>
    <row r="104" spans="1:46" hidden="1">
      <c r="A104" t="s">
        <v>123</v>
      </c>
      <c r="B104" t="s">
        <v>124</v>
      </c>
      <c r="C104" t="s">
        <v>536</v>
      </c>
      <c r="D104" s="8" t="s">
        <v>2</v>
      </c>
      <c r="E104" s="2">
        <f>SUMIFS(LS[Unit],LS[Investor ID],INVESTORS_LIST[[#This Row],[INVESTOR CODE]],LS[B/S],"B")</f>
        <v>0</v>
      </c>
      <c r="F104" s="2">
        <f>-SUMIFS(LS[Unit],LS[Investor ID],INVESTORS_LIST[[#This Row],[INVESTOR CODE]],LS[B/S],"S")</f>
        <v>0</v>
      </c>
      <c r="G104" s="2">
        <f>IF(INVESTORS_LIST[[#This Row],[LS_TOTAL UNITS BUY]]=0,0,INVESTORS_LIST[[#This Row],[LS_TOTAL UNITS BUY]]-INVESTORS_LIST[[#This Row],[LS_TOTAL UNITS SOLD]])</f>
        <v>0</v>
      </c>
      <c r="H104" s="4">
        <f>IF(INVESTORS_LIST[[#This Row],[LS_TOTAL UNITS BUY]]=0,0,SUMIFS(LS[Amount],LS[Investor ID],INVESTORS_LIST[[#This Row],[INVESTOR CODE]],LS[B/S],"B"))</f>
        <v>0</v>
      </c>
      <c r="I104" s="6">
        <f>IF(INVESTORS_LIST[[#This Row],[LS_TOTAL UNITS SOLD]]=0,0,SUMIFS(LS[Cost of Units Sold],LS[Investor ID],INVESTORS_LIST[[#This Row],[INVESTOR CODE]],LS[B/S],"S"))</f>
        <v>0</v>
      </c>
      <c r="J104" s="6">
        <f>IF(INVESTORS_LIST[[#This Row],[LS_TOTAL CURRENT UNITS]]=0,0,INVESTORS_LIST[[#This Row],[LS_TOTAL CURRENT UNITS]]*INVESTORS_LIST[[#This Row],[LS_AVERAGE COST]])</f>
        <v>0</v>
      </c>
      <c r="K104" s="4">
        <f>IF(INVESTORS_LIST[[#This Row],[LS_TOTAL UNITS SOLD]]=0,0,SUMIFS(LS[Realized Gain],LS[Investor ID],INVESTORS_LIST[[#This Row],[INVESTOR CODE]],LS[B/S],"S"))</f>
        <v>0</v>
      </c>
      <c r="L104" s="2">
        <f>SUMIFS(SIP[Unit],SIP[Investor ID],INVESTORS_LIST[[#This Row],[INVESTOR CODE]],SIP[B/S],"B")</f>
        <v>0</v>
      </c>
      <c r="M104" s="2">
        <f>-SUMIFS(SIP[Unit],SIP[Investor ID],INVESTORS_LIST[[#This Row],[INVESTOR CODE]],SIP[B/S],"S")</f>
        <v>0</v>
      </c>
      <c r="N104" s="33">
        <f>IF(INVESTORS_LIST[[#This Row],[SIP_TOTAL UNITS BUY]]=0,0,INVESTORS_LIST[[#This Row],[SIP_TOTAL UNITS BUY]]-INVESTORS_LIST[[#This Row],[SIP_TOTAL UNITS SOLD]])</f>
        <v>0</v>
      </c>
      <c r="O104" s="4">
        <f>IF(INVESTORS_LIST[[#This Row],[SIP_TOTAL UNITS BUY]]=0,0,SUMIFS(SIP[Amount],SIP[Investor ID],INVESTORS_LIST[[#This Row],[INVESTOR CODE]],SIP[B/S],"B"))</f>
        <v>0</v>
      </c>
      <c r="P104" s="4">
        <f>IF(INVESTORS_LIST[[#This Row],[SIP_TOTAL UNITS SOLD]]=0,0,SUMIFS(SIP[Cost of Units Sold],SIP[Investor ID],INVESTORS_LIST[[#This Row],[INVESTOR CODE]],SIP[B/S],"S"))</f>
        <v>0</v>
      </c>
      <c r="Q104" s="6">
        <f>IF(INVESTORS_LIST[[#This Row],[SIP_TOTAL CURRENT UNITS]]=0,0,INVESTORS_LIST[[#This Row],[SIP_TOTAL CURRENT UNITS]]*INVESTORS_LIST[[#This Row],[SIP_AVERAGE COST]])</f>
        <v>0</v>
      </c>
      <c r="R104" s="6">
        <f>IF(INVESTORS_LIST[[#This Row],[SIP_TOTAL UNITS SOLD]]=0,0,SUMIFS(SIP[Realized Gain],SIP[Investor ID],INVESTORS_LIST[[#This Row],[INVESTOR CODE]],SIP[B/S],"S"))</f>
        <v>0</v>
      </c>
      <c r="S104" s="33">
        <f>INVESTORS_LIST[[#This Row],[LS_TOTAL UNITS BUY]]+INVESTORS_LIST[[#This Row],[SIP_TOTAL UNITS BUY]]</f>
        <v>0</v>
      </c>
      <c r="T104" s="33">
        <f>INVESTORS_LIST[[#This Row],[LS_TOTAL UNITS SOLD]]+INVESTORS_LIST[[#This Row],[SIP_TOTAL UNITS SOLD]]</f>
        <v>0</v>
      </c>
      <c r="U104" s="33">
        <v>0</v>
      </c>
      <c r="V104" s="33">
        <f>SUMIFS(LS[BO UNIT TRANSFER],LS[Investor ID],INVESTORS_LIST[[#This Row],[INVESTOR CODE]],LS[B/S],"B")</f>
        <v>0</v>
      </c>
      <c r="W104" s="33">
        <f>SUMIFS(LS[BO UNIT TRANSFER],LS[Investor ID],INVESTORS_LIST[[#This Row],[INVESTOR CODE]],LS[B/S],"S")</f>
        <v>0</v>
      </c>
      <c r="X104" s="33">
        <f>SUMIFS(SIP[BO UNIT TRANSFER],SIP[Investor ID],INVESTORS_LIST[[#This Row],[INVESTOR CODE]],SIP[B/S],"S")</f>
        <v>0</v>
      </c>
      <c r="Y104" s="33">
        <f>SUMIFS(SIP[BO UNIT TRANSFER],SIP[Investor ID],INVESTORS_LIST[[#This Row],[INVESTOR CODE]],SIP[B/S],"B")</f>
        <v>0</v>
      </c>
      <c r="Z10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04" s="119">
        <f>INVESTORS_LIST[[#This Row],[TOTAL UNITS BUY]]-INVESTORS_LIST[[#This Row],[TOTAL UNITS SOLD]]</f>
        <v>0</v>
      </c>
      <c r="AB104" s="119">
        <f>INVESTORS_LIST[[#This Row],[TOTAL CURRENT UNITS]]-INVESTORS_LIST[[#This Row],[BO UNITS HOLD]]</f>
        <v>0</v>
      </c>
      <c r="AC104" s="119" t="e">
        <f>INDEX([4]!Table_1[BO ID],MATCH(INVESTORS_LIST[[#This Row],[INVESTOR CODE]],[4]!Table_1[INVESTOR CODE],0))</f>
        <v>#REF!</v>
      </c>
      <c r="AD104" s="33">
        <f>INVESTORS_LIST[[#This Row],[LS_TOTAL COST VALUE OF CURRENT UNITS]]+INVESTORS_LIST[[#This Row],[SIP_TOTAL COST VALUE OF CURRENT UNITS]]</f>
        <v>0</v>
      </c>
      <c r="AE104" s="44">
        <f>IF(INVESTORS_LIST[[#This Row],[TOTAL CURRENT UNITS]]=0,0,INVESTORS_LIST[[#This Row],[LS_TOTAL CURRENT UNITS]]/INVESTORS_LIST[[#This Row],[TOTAL CURRENT UNITS]])</f>
        <v>0</v>
      </c>
      <c r="AF104" s="44">
        <f>IF(INVESTORS_LIST[[#This Row],[TOTAL CURRENT UNITS]]=0,0,INVESTORS_LIST[[#This Row],[SIP_TOTAL CURRENT UNITS]]/INVESTORS_LIST[[#This Row],[TOTAL CURRENT UNITS]])</f>
        <v>0</v>
      </c>
      <c r="AG104" s="4" cm="1">
        <f t="array" ref="AG10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04" s="4" cm="1">
        <f t="array" ref="AH1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0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04" s="178">
        <f t="shared" si="1"/>
        <v>12.552</v>
      </c>
      <c r="AK104" s="118">
        <f>IF(INVESTORS_LIST[[#This Row],[TOTAL CURRENT UNITS]]=0,0,INVESTORS_LIST[[#This Row],[TOTAL CURRENT UNITS]]*INVESTORS_LIST[[#This Row],[NAV]])</f>
        <v>0</v>
      </c>
      <c r="AL104" s="4">
        <f>IF(INVESTORS_LIST[[#This Row],[LS_TOTAL CURRENT UNITS]]=0,0,INVESTORS_LIST[[#This Row],[LS_TOTAL CURRENT UNITS]]*INVESTORS_LIST[[#This Row],[NAV]])</f>
        <v>0</v>
      </c>
      <c r="AM104" s="6">
        <f>IF(INVESTORS_LIST[[#This Row],[SIP_TOTAL CURRENT UNITS]]=0,0,INVESTORS_LIST[[#This Row],[SIP_TOTAL CURRENT UNITS]]*INVESTORS_LIST[[#This Row],[NAV]])</f>
        <v>0</v>
      </c>
      <c r="AO104" s="6">
        <f>IF(INVESTORS_LIST[[#This Row],[TOTAL SELLABLE UNITS]]=0,0,INVESTORS_LIST[[#This Row],[TOTAL SELLABLE UNITS]]*INVESTORS_LIST[[#This Row],[NAV]])</f>
        <v>0</v>
      </c>
      <c r="AP104" s="6">
        <f>INVESTORS_LIST[[#This Row],[LS_TOTAL REALIZED GAIN]]+INVESTORS_LIST[[#This Row],[SIP_TOTAL REALIZED GAIN]]</f>
        <v>0</v>
      </c>
      <c r="AQ104" s="6">
        <f>INVESTORS_LIST[[#This Row],[TOTAL MARKET VALUE]]-INVESTORS_LIST[[#This Row],[TOTAL COST VALUE OF CURRENT INVESTMENT]]</f>
        <v>0</v>
      </c>
      <c r="AR104" s="6">
        <f>SUMIFS(DivAndTax[Tax Amount],DivAndTax[Investor ID],INVESTORS_LIST[[#This Row],[INVESTOR CODE]])</f>
        <v>0</v>
      </c>
      <c r="AS104" s="6">
        <f>SUMIFS(DivAndTax[Gross Dividend],DivAndTax[Investor ID],INVESTORS_LIST[[#This Row],[INVESTOR CODE]])</f>
        <v>0</v>
      </c>
      <c r="AT104" s="5">
        <f>IFERROR(INVESTORS_LIST[[#This Row],[TOTAL CURRENT UNITS]]/SUM(INVESTORS_LIST[TOTAL CURRENT UNITS]),0)</f>
        <v>0</v>
      </c>
    </row>
    <row r="105" spans="1:46" hidden="1">
      <c r="A105" t="s">
        <v>125</v>
      </c>
      <c r="B105" t="s">
        <v>126</v>
      </c>
      <c r="C105" t="s">
        <v>537</v>
      </c>
      <c r="D105" s="8" t="s">
        <v>2</v>
      </c>
      <c r="E105" s="2">
        <f>SUMIFS(LS[Unit],LS[Investor ID],INVESTORS_LIST[[#This Row],[INVESTOR CODE]],LS[B/S],"B")</f>
        <v>0</v>
      </c>
      <c r="F105" s="2">
        <f>-SUMIFS(LS[Unit],LS[Investor ID],INVESTORS_LIST[[#This Row],[INVESTOR CODE]],LS[B/S],"S")</f>
        <v>0</v>
      </c>
      <c r="G105" s="2">
        <f>IF(INVESTORS_LIST[[#This Row],[LS_TOTAL UNITS BUY]]=0,0,INVESTORS_LIST[[#This Row],[LS_TOTAL UNITS BUY]]-INVESTORS_LIST[[#This Row],[LS_TOTAL UNITS SOLD]])</f>
        <v>0</v>
      </c>
      <c r="H105" s="4">
        <f>IF(INVESTORS_LIST[[#This Row],[LS_TOTAL UNITS BUY]]=0,0,SUMIFS(LS[Amount],LS[Investor ID],INVESTORS_LIST[[#This Row],[INVESTOR CODE]],LS[B/S],"B"))</f>
        <v>0</v>
      </c>
      <c r="I105" s="6">
        <f>IF(INVESTORS_LIST[[#This Row],[LS_TOTAL UNITS SOLD]]=0,0,SUMIFS(LS[Cost of Units Sold],LS[Investor ID],INVESTORS_LIST[[#This Row],[INVESTOR CODE]],LS[B/S],"S"))</f>
        <v>0</v>
      </c>
      <c r="J105" s="6">
        <f>IF(INVESTORS_LIST[[#This Row],[LS_TOTAL CURRENT UNITS]]=0,0,INVESTORS_LIST[[#This Row],[LS_TOTAL CURRENT UNITS]]*INVESTORS_LIST[[#This Row],[LS_AVERAGE COST]])</f>
        <v>0</v>
      </c>
      <c r="K105" s="4">
        <f>IF(INVESTORS_LIST[[#This Row],[LS_TOTAL UNITS SOLD]]=0,0,SUMIFS(LS[Realized Gain],LS[Investor ID],INVESTORS_LIST[[#This Row],[INVESTOR CODE]],LS[B/S],"S"))</f>
        <v>0</v>
      </c>
      <c r="L105" s="2">
        <f>SUMIFS(SIP[Unit],SIP[Investor ID],INVESTORS_LIST[[#This Row],[INVESTOR CODE]],SIP[B/S],"B")</f>
        <v>0</v>
      </c>
      <c r="M105" s="2">
        <f>-SUMIFS(SIP[Unit],SIP[Investor ID],INVESTORS_LIST[[#This Row],[INVESTOR CODE]],SIP[B/S],"S")</f>
        <v>0</v>
      </c>
      <c r="N105" s="33">
        <f>IF(INVESTORS_LIST[[#This Row],[SIP_TOTAL UNITS BUY]]=0,0,INVESTORS_LIST[[#This Row],[SIP_TOTAL UNITS BUY]]-INVESTORS_LIST[[#This Row],[SIP_TOTAL UNITS SOLD]])</f>
        <v>0</v>
      </c>
      <c r="O105" s="4">
        <f>IF(INVESTORS_LIST[[#This Row],[SIP_TOTAL UNITS BUY]]=0,0,SUMIFS(SIP[Amount],SIP[Investor ID],INVESTORS_LIST[[#This Row],[INVESTOR CODE]],SIP[B/S],"B"))</f>
        <v>0</v>
      </c>
      <c r="P105" s="4">
        <f>IF(INVESTORS_LIST[[#This Row],[SIP_TOTAL UNITS SOLD]]=0,0,SUMIFS(SIP[Cost of Units Sold],SIP[Investor ID],INVESTORS_LIST[[#This Row],[INVESTOR CODE]],SIP[B/S],"S"))</f>
        <v>0</v>
      </c>
      <c r="Q105" s="6">
        <f>IF(INVESTORS_LIST[[#This Row],[SIP_TOTAL CURRENT UNITS]]=0,0,INVESTORS_LIST[[#This Row],[SIP_TOTAL CURRENT UNITS]]*INVESTORS_LIST[[#This Row],[SIP_AVERAGE COST]])</f>
        <v>0</v>
      </c>
      <c r="R105" s="6">
        <f>IF(INVESTORS_LIST[[#This Row],[SIP_TOTAL UNITS SOLD]]=0,0,SUMIFS(SIP[Realized Gain],SIP[Investor ID],INVESTORS_LIST[[#This Row],[INVESTOR CODE]],SIP[B/S],"S"))</f>
        <v>0</v>
      </c>
      <c r="S105" s="33">
        <f>INVESTORS_LIST[[#This Row],[LS_TOTAL UNITS BUY]]+INVESTORS_LIST[[#This Row],[SIP_TOTAL UNITS BUY]]</f>
        <v>0</v>
      </c>
      <c r="T105" s="33">
        <f>INVESTORS_LIST[[#This Row],[LS_TOTAL UNITS SOLD]]+INVESTORS_LIST[[#This Row],[SIP_TOTAL UNITS SOLD]]</f>
        <v>0</v>
      </c>
      <c r="U105" s="33">
        <v>0</v>
      </c>
      <c r="V105" s="33">
        <f>SUMIFS(LS[BO UNIT TRANSFER],LS[Investor ID],INVESTORS_LIST[[#This Row],[INVESTOR CODE]],LS[B/S],"B")</f>
        <v>0</v>
      </c>
      <c r="W105" s="33">
        <f>SUMIFS(LS[BO UNIT TRANSFER],LS[Investor ID],INVESTORS_LIST[[#This Row],[INVESTOR CODE]],LS[B/S],"S")</f>
        <v>0</v>
      </c>
      <c r="X105" s="33">
        <f>SUMIFS(SIP[BO UNIT TRANSFER],SIP[Investor ID],INVESTORS_LIST[[#This Row],[INVESTOR CODE]],SIP[B/S],"S")</f>
        <v>0</v>
      </c>
      <c r="Y105" s="33">
        <f>SUMIFS(SIP[BO UNIT TRANSFER],SIP[Investor ID],INVESTORS_LIST[[#This Row],[INVESTOR CODE]],SIP[B/S],"B")</f>
        <v>0</v>
      </c>
      <c r="Z10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05" s="119">
        <f>INVESTORS_LIST[[#This Row],[TOTAL UNITS BUY]]-INVESTORS_LIST[[#This Row],[TOTAL UNITS SOLD]]</f>
        <v>0</v>
      </c>
      <c r="AB105" s="119">
        <f>INVESTORS_LIST[[#This Row],[TOTAL CURRENT UNITS]]-INVESTORS_LIST[[#This Row],[BO UNITS HOLD]]</f>
        <v>0</v>
      </c>
      <c r="AC105" s="119" t="e">
        <f>INDEX([4]!Table_1[BO ID],MATCH(INVESTORS_LIST[[#This Row],[INVESTOR CODE]],[4]!Table_1[INVESTOR CODE],0))</f>
        <v>#REF!</v>
      </c>
      <c r="AD105" s="33">
        <f>INVESTORS_LIST[[#This Row],[LS_TOTAL COST VALUE OF CURRENT UNITS]]+INVESTORS_LIST[[#This Row],[SIP_TOTAL COST VALUE OF CURRENT UNITS]]</f>
        <v>0</v>
      </c>
      <c r="AE105" s="44">
        <f>IF(INVESTORS_LIST[[#This Row],[TOTAL CURRENT UNITS]]=0,0,INVESTORS_LIST[[#This Row],[LS_TOTAL CURRENT UNITS]]/INVESTORS_LIST[[#This Row],[TOTAL CURRENT UNITS]])</f>
        <v>0</v>
      </c>
      <c r="AF105" s="44">
        <f>IF(INVESTORS_LIST[[#This Row],[TOTAL CURRENT UNITS]]=0,0,INVESTORS_LIST[[#This Row],[SIP_TOTAL CURRENT UNITS]]/INVESTORS_LIST[[#This Row],[TOTAL CURRENT UNITS]])</f>
        <v>0</v>
      </c>
      <c r="AG105" s="4" cm="1">
        <f t="array" ref="AG10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05" s="4" cm="1">
        <f t="array" ref="AH10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0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05" s="178">
        <f t="shared" si="1"/>
        <v>12.552</v>
      </c>
      <c r="AK105" s="118">
        <f>IF(INVESTORS_LIST[[#This Row],[TOTAL CURRENT UNITS]]=0,0,INVESTORS_LIST[[#This Row],[TOTAL CURRENT UNITS]]*INVESTORS_LIST[[#This Row],[NAV]])</f>
        <v>0</v>
      </c>
      <c r="AL105" s="4">
        <f>IF(INVESTORS_LIST[[#This Row],[LS_TOTAL CURRENT UNITS]]=0,0,INVESTORS_LIST[[#This Row],[LS_TOTAL CURRENT UNITS]]*INVESTORS_LIST[[#This Row],[NAV]])</f>
        <v>0</v>
      </c>
      <c r="AM105" s="6">
        <f>IF(INVESTORS_LIST[[#This Row],[SIP_TOTAL CURRENT UNITS]]=0,0,INVESTORS_LIST[[#This Row],[SIP_TOTAL CURRENT UNITS]]*INVESTORS_LIST[[#This Row],[NAV]])</f>
        <v>0</v>
      </c>
      <c r="AO105" s="6">
        <f>IF(INVESTORS_LIST[[#This Row],[TOTAL SELLABLE UNITS]]=0,0,INVESTORS_LIST[[#This Row],[TOTAL SELLABLE UNITS]]*INVESTORS_LIST[[#This Row],[NAV]])</f>
        <v>0</v>
      </c>
      <c r="AP105" s="6">
        <f>INVESTORS_LIST[[#This Row],[LS_TOTAL REALIZED GAIN]]+INVESTORS_LIST[[#This Row],[SIP_TOTAL REALIZED GAIN]]</f>
        <v>0</v>
      </c>
      <c r="AQ105" s="6">
        <f>INVESTORS_LIST[[#This Row],[TOTAL MARKET VALUE]]-INVESTORS_LIST[[#This Row],[TOTAL COST VALUE OF CURRENT INVESTMENT]]</f>
        <v>0</v>
      </c>
      <c r="AR105" s="6">
        <f>SUMIFS(DivAndTax[Tax Amount],DivAndTax[Investor ID],INVESTORS_LIST[[#This Row],[INVESTOR CODE]])</f>
        <v>0</v>
      </c>
      <c r="AS105" s="6">
        <f>SUMIFS(DivAndTax[Gross Dividend],DivAndTax[Investor ID],INVESTORS_LIST[[#This Row],[INVESTOR CODE]])</f>
        <v>0</v>
      </c>
      <c r="AT105" s="5">
        <f>IFERROR(INVESTORS_LIST[[#This Row],[TOTAL CURRENT UNITS]]/SUM(INVESTORS_LIST[TOTAL CURRENT UNITS]),0)</f>
        <v>0</v>
      </c>
    </row>
    <row r="106" spans="1:46" hidden="1">
      <c r="A106" t="s">
        <v>127</v>
      </c>
      <c r="B106" t="s">
        <v>128</v>
      </c>
      <c r="C106" t="s">
        <v>536</v>
      </c>
      <c r="D106" s="8" t="s">
        <v>2</v>
      </c>
      <c r="E106" s="2">
        <f>SUMIFS(LS[Unit],LS[Investor ID],INVESTORS_LIST[[#This Row],[INVESTOR CODE]],LS[B/S],"B")</f>
        <v>0</v>
      </c>
      <c r="F106" s="2">
        <f>-SUMIFS(LS[Unit],LS[Investor ID],INVESTORS_LIST[[#This Row],[INVESTOR CODE]],LS[B/S],"S")</f>
        <v>0</v>
      </c>
      <c r="G106" s="2">
        <f>IF(INVESTORS_LIST[[#This Row],[LS_TOTAL UNITS BUY]]=0,0,INVESTORS_LIST[[#This Row],[LS_TOTAL UNITS BUY]]-INVESTORS_LIST[[#This Row],[LS_TOTAL UNITS SOLD]])</f>
        <v>0</v>
      </c>
      <c r="H106" s="4">
        <f>IF(INVESTORS_LIST[[#This Row],[LS_TOTAL UNITS BUY]]=0,0,SUMIFS(LS[Amount],LS[Investor ID],INVESTORS_LIST[[#This Row],[INVESTOR CODE]],LS[B/S],"B"))</f>
        <v>0</v>
      </c>
      <c r="I106" s="6">
        <f>IF(INVESTORS_LIST[[#This Row],[LS_TOTAL UNITS SOLD]]=0,0,SUMIFS(LS[Cost of Units Sold],LS[Investor ID],INVESTORS_LIST[[#This Row],[INVESTOR CODE]],LS[B/S],"S"))</f>
        <v>0</v>
      </c>
      <c r="J106" s="6">
        <f>IF(INVESTORS_LIST[[#This Row],[LS_TOTAL CURRENT UNITS]]=0,0,INVESTORS_LIST[[#This Row],[LS_TOTAL CURRENT UNITS]]*INVESTORS_LIST[[#This Row],[LS_AVERAGE COST]])</f>
        <v>0</v>
      </c>
      <c r="K106" s="4">
        <f>IF(INVESTORS_LIST[[#This Row],[LS_TOTAL UNITS SOLD]]=0,0,SUMIFS(LS[Realized Gain],LS[Investor ID],INVESTORS_LIST[[#This Row],[INVESTOR CODE]],LS[B/S],"S"))</f>
        <v>0</v>
      </c>
      <c r="L106" s="2">
        <f>SUMIFS(SIP[Unit],SIP[Investor ID],INVESTORS_LIST[[#This Row],[INVESTOR CODE]],SIP[B/S],"B")</f>
        <v>0</v>
      </c>
      <c r="M106" s="2">
        <f>-SUMIFS(SIP[Unit],SIP[Investor ID],INVESTORS_LIST[[#This Row],[INVESTOR CODE]],SIP[B/S],"S")</f>
        <v>0</v>
      </c>
      <c r="N106" s="33">
        <f>IF(INVESTORS_LIST[[#This Row],[SIP_TOTAL UNITS BUY]]=0,0,INVESTORS_LIST[[#This Row],[SIP_TOTAL UNITS BUY]]-INVESTORS_LIST[[#This Row],[SIP_TOTAL UNITS SOLD]])</f>
        <v>0</v>
      </c>
      <c r="O106" s="4">
        <f>IF(INVESTORS_LIST[[#This Row],[SIP_TOTAL UNITS BUY]]=0,0,SUMIFS(SIP[Amount],SIP[Investor ID],INVESTORS_LIST[[#This Row],[INVESTOR CODE]],SIP[B/S],"B"))</f>
        <v>0</v>
      </c>
      <c r="P106" s="4">
        <f>IF(INVESTORS_LIST[[#This Row],[SIP_TOTAL UNITS SOLD]]=0,0,SUMIFS(SIP[Cost of Units Sold],SIP[Investor ID],INVESTORS_LIST[[#This Row],[INVESTOR CODE]],SIP[B/S],"S"))</f>
        <v>0</v>
      </c>
      <c r="Q106" s="6">
        <f>IF(INVESTORS_LIST[[#This Row],[SIP_TOTAL CURRENT UNITS]]=0,0,INVESTORS_LIST[[#This Row],[SIP_TOTAL CURRENT UNITS]]*INVESTORS_LIST[[#This Row],[SIP_AVERAGE COST]])</f>
        <v>0</v>
      </c>
      <c r="R106" s="6">
        <f>IF(INVESTORS_LIST[[#This Row],[SIP_TOTAL UNITS SOLD]]=0,0,SUMIFS(SIP[Realized Gain],SIP[Investor ID],INVESTORS_LIST[[#This Row],[INVESTOR CODE]],SIP[B/S],"S"))</f>
        <v>0</v>
      </c>
      <c r="S106" s="33">
        <f>INVESTORS_LIST[[#This Row],[LS_TOTAL UNITS BUY]]+INVESTORS_LIST[[#This Row],[SIP_TOTAL UNITS BUY]]</f>
        <v>0</v>
      </c>
      <c r="T106" s="33">
        <f>INVESTORS_LIST[[#This Row],[LS_TOTAL UNITS SOLD]]+INVESTORS_LIST[[#This Row],[SIP_TOTAL UNITS SOLD]]</f>
        <v>0</v>
      </c>
      <c r="U106" s="33">
        <v>0</v>
      </c>
      <c r="V106" s="33">
        <f>SUMIFS(LS[BO UNIT TRANSFER],LS[Investor ID],INVESTORS_LIST[[#This Row],[INVESTOR CODE]],LS[B/S],"B")</f>
        <v>0</v>
      </c>
      <c r="W106" s="33">
        <f>SUMIFS(LS[BO UNIT TRANSFER],LS[Investor ID],INVESTORS_LIST[[#This Row],[INVESTOR CODE]],LS[B/S],"S")</f>
        <v>0</v>
      </c>
      <c r="X106" s="33">
        <f>SUMIFS(SIP[BO UNIT TRANSFER],SIP[Investor ID],INVESTORS_LIST[[#This Row],[INVESTOR CODE]],SIP[B/S],"S")</f>
        <v>0</v>
      </c>
      <c r="Y106" s="33">
        <f>SUMIFS(SIP[BO UNIT TRANSFER],SIP[Investor ID],INVESTORS_LIST[[#This Row],[INVESTOR CODE]],SIP[B/S],"B")</f>
        <v>0</v>
      </c>
      <c r="Z10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06" s="119">
        <f>INVESTORS_LIST[[#This Row],[TOTAL UNITS BUY]]-INVESTORS_LIST[[#This Row],[TOTAL UNITS SOLD]]</f>
        <v>0</v>
      </c>
      <c r="AB106" s="119">
        <f>INVESTORS_LIST[[#This Row],[TOTAL CURRENT UNITS]]-INVESTORS_LIST[[#This Row],[BO UNITS HOLD]]</f>
        <v>0</v>
      </c>
      <c r="AC106" s="119" t="e">
        <f>INDEX([4]!Table_1[BO ID],MATCH(INVESTORS_LIST[[#This Row],[INVESTOR CODE]],[4]!Table_1[INVESTOR CODE],0))</f>
        <v>#REF!</v>
      </c>
      <c r="AD106" s="33">
        <f>INVESTORS_LIST[[#This Row],[LS_TOTAL COST VALUE OF CURRENT UNITS]]+INVESTORS_LIST[[#This Row],[SIP_TOTAL COST VALUE OF CURRENT UNITS]]</f>
        <v>0</v>
      </c>
      <c r="AE106" s="44">
        <f>IF(INVESTORS_LIST[[#This Row],[TOTAL CURRENT UNITS]]=0,0,INVESTORS_LIST[[#This Row],[LS_TOTAL CURRENT UNITS]]/INVESTORS_LIST[[#This Row],[TOTAL CURRENT UNITS]])</f>
        <v>0</v>
      </c>
      <c r="AF106" s="44">
        <f>IF(INVESTORS_LIST[[#This Row],[TOTAL CURRENT UNITS]]=0,0,INVESTORS_LIST[[#This Row],[SIP_TOTAL CURRENT UNITS]]/INVESTORS_LIST[[#This Row],[TOTAL CURRENT UNITS]])</f>
        <v>0</v>
      </c>
      <c r="AG106" s="4" cm="1">
        <f t="array" ref="AG1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06" s="4" cm="1">
        <f t="array" ref="AH1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0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06" s="178">
        <f t="shared" si="1"/>
        <v>12.552</v>
      </c>
      <c r="AK106" s="118">
        <f>IF(INVESTORS_LIST[[#This Row],[TOTAL CURRENT UNITS]]=0,0,INVESTORS_LIST[[#This Row],[TOTAL CURRENT UNITS]]*INVESTORS_LIST[[#This Row],[NAV]])</f>
        <v>0</v>
      </c>
      <c r="AL106" s="4">
        <f>IF(INVESTORS_LIST[[#This Row],[LS_TOTAL CURRENT UNITS]]=0,0,INVESTORS_LIST[[#This Row],[LS_TOTAL CURRENT UNITS]]*INVESTORS_LIST[[#This Row],[NAV]])</f>
        <v>0</v>
      </c>
      <c r="AM106" s="6">
        <f>IF(INVESTORS_LIST[[#This Row],[SIP_TOTAL CURRENT UNITS]]=0,0,INVESTORS_LIST[[#This Row],[SIP_TOTAL CURRENT UNITS]]*INVESTORS_LIST[[#This Row],[NAV]])</f>
        <v>0</v>
      </c>
      <c r="AO106" s="6">
        <f>IF(INVESTORS_LIST[[#This Row],[TOTAL SELLABLE UNITS]]=0,0,INVESTORS_LIST[[#This Row],[TOTAL SELLABLE UNITS]]*INVESTORS_LIST[[#This Row],[NAV]])</f>
        <v>0</v>
      </c>
      <c r="AP106" s="6">
        <f>INVESTORS_LIST[[#This Row],[LS_TOTAL REALIZED GAIN]]+INVESTORS_LIST[[#This Row],[SIP_TOTAL REALIZED GAIN]]</f>
        <v>0</v>
      </c>
      <c r="AQ106" s="6">
        <f>INVESTORS_LIST[[#This Row],[TOTAL MARKET VALUE]]-INVESTORS_LIST[[#This Row],[TOTAL COST VALUE OF CURRENT INVESTMENT]]</f>
        <v>0</v>
      </c>
      <c r="AR106" s="6">
        <f>SUMIFS(DivAndTax[Tax Amount],DivAndTax[Investor ID],INVESTORS_LIST[[#This Row],[INVESTOR CODE]])</f>
        <v>0</v>
      </c>
      <c r="AS106" s="6">
        <f>SUMIFS(DivAndTax[Gross Dividend],DivAndTax[Investor ID],INVESTORS_LIST[[#This Row],[INVESTOR CODE]])</f>
        <v>0</v>
      </c>
      <c r="AT106" s="5">
        <f>IFERROR(INVESTORS_LIST[[#This Row],[TOTAL CURRENT UNITS]]/SUM(INVESTORS_LIST[TOTAL CURRENT UNITS]),0)</f>
        <v>0</v>
      </c>
    </row>
    <row r="107" spans="1:46" hidden="1">
      <c r="A107" t="s">
        <v>129</v>
      </c>
      <c r="B107" t="s">
        <v>130</v>
      </c>
      <c r="C107" t="s">
        <v>536</v>
      </c>
      <c r="D107" s="8" t="s">
        <v>2</v>
      </c>
      <c r="E107" s="2">
        <f>SUMIFS(LS[Unit],LS[Investor ID],INVESTORS_LIST[[#This Row],[INVESTOR CODE]],LS[B/S],"B")</f>
        <v>0</v>
      </c>
      <c r="F107" s="2">
        <f>-SUMIFS(LS[Unit],LS[Investor ID],INVESTORS_LIST[[#This Row],[INVESTOR CODE]],LS[B/S],"S")</f>
        <v>0</v>
      </c>
      <c r="G107" s="2">
        <f>IF(INVESTORS_LIST[[#This Row],[LS_TOTAL UNITS BUY]]=0,0,INVESTORS_LIST[[#This Row],[LS_TOTAL UNITS BUY]]-INVESTORS_LIST[[#This Row],[LS_TOTAL UNITS SOLD]])</f>
        <v>0</v>
      </c>
      <c r="H107" s="4">
        <f>IF(INVESTORS_LIST[[#This Row],[LS_TOTAL UNITS BUY]]=0,0,SUMIFS(LS[Amount],LS[Investor ID],INVESTORS_LIST[[#This Row],[INVESTOR CODE]],LS[B/S],"B"))</f>
        <v>0</v>
      </c>
      <c r="I107" s="6">
        <f>IF(INVESTORS_LIST[[#This Row],[LS_TOTAL UNITS SOLD]]=0,0,SUMIFS(LS[Cost of Units Sold],LS[Investor ID],INVESTORS_LIST[[#This Row],[INVESTOR CODE]],LS[B/S],"S"))</f>
        <v>0</v>
      </c>
      <c r="J107" s="6">
        <f>IF(INVESTORS_LIST[[#This Row],[LS_TOTAL CURRENT UNITS]]=0,0,INVESTORS_LIST[[#This Row],[LS_TOTAL CURRENT UNITS]]*INVESTORS_LIST[[#This Row],[LS_AVERAGE COST]])</f>
        <v>0</v>
      </c>
      <c r="K107" s="4">
        <f>IF(INVESTORS_LIST[[#This Row],[LS_TOTAL UNITS SOLD]]=0,0,SUMIFS(LS[Realized Gain],LS[Investor ID],INVESTORS_LIST[[#This Row],[INVESTOR CODE]],LS[B/S],"S"))</f>
        <v>0</v>
      </c>
      <c r="L107" s="2">
        <f>SUMIFS(SIP[Unit],SIP[Investor ID],INVESTORS_LIST[[#This Row],[INVESTOR CODE]],SIP[B/S],"B")</f>
        <v>0</v>
      </c>
      <c r="M107" s="2">
        <f>-SUMIFS(SIP[Unit],SIP[Investor ID],INVESTORS_LIST[[#This Row],[INVESTOR CODE]],SIP[B/S],"S")</f>
        <v>0</v>
      </c>
      <c r="N107" s="33">
        <f>IF(INVESTORS_LIST[[#This Row],[SIP_TOTAL UNITS BUY]]=0,0,INVESTORS_LIST[[#This Row],[SIP_TOTAL UNITS BUY]]-INVESTORS_LIST[[#This Row],[SIP_TOTAL UNITS SOLD]])</f>
        <v>0</v>
      </c>
      <c r="O107" s="4">
        <f>IF(INVESTORS_LIST[[#This Row],[SIP_TOTAL UNITS BUY]]=0,0,SUMIFS(SIP[Amount],SIP[Investor ID],INVESTORS_LIST[[#This Row],[INVESTOR CODE]],SIP[B/S],"B"))</f>
        <v>0</v>
      </c>
      <c r="P107" s="4">
        <f>IF(INVESTORS_LIST[[#This Row],[SIP_TOTAL UNITS SOLD]]=0,0,SUMIFS(SIP[Cost of Units Sold],SIP[Investor ID],INVESTORS_LIST[[#This Row],[INVESTOR CODE]],SIP[B/S],"S"))</f>
        <v>0</v>
      </c>
      <c r="Q107" s="6">
        <f>IF(INVESTORS_LIST[[#This Row],[SIP_TOTAL CURRENT UNITS]]=0,0,INVESTORS_LIST[[#This Row],[SIP_TOTAL CURRENT UNITS]]*INVESTORS_LIST[[#This Row],[SIP_AVERAGE COST]])</f>
        <v>0</v>
      </c>
      <c r="R107" s="6">
        <f>IF(INVESTORS_LIST[[#This Row],[SIP_TOTAL UNITS SOLD]]=0,0,SUMIFS(SIP[Realized Gain],SIP[Investor ID],INVESTORS_LIST[[#This Row],[INVESTOR CODE]],SIP[B/S],"S"))</f>
        <v>0</v>
      </c>
      <c r="S107" s="33">
        <f>INVESTORS_LIST[[#This Row],[LS_TOTAL UNITS BUY]]+INVESTORS_LIST[[#This Row],[SIP_TOTAL UNITS BUY]]</f>
        <v>0</v>
      </c>
      <c r="T107" s="33">
        <f>INVESTORS_LIST[[#This Row],[LS_TOTAL UNITS SOLD]]+INVESTORS_LIST[[#This Row],[SIP_TOTAL UNITS SOLD]]</f>
        <v>0</v>
      </c>
      <c r="U107" s="33">
        <v>0</v>
      </c>
      <c r="V107" s="33">
        <f>SUMIFS(LS[BO UNIT TRANSFER],LS[Investor ID],INVESTORS_LIST[[#This Row],[INVESTOR CODE]],LS[B/S],"B")</f>
        <v>0</v>
      </c>
      <c r="W107" s="33">
        <f>SUMIFS(LS[BO UNIT TRANSFER],LS[Investor ID],INVESTORS_LIST[[#This Row],[INVESTOR CODE]],LS[B/S],"S")</f>
        <v>0</v>
      </c>
      <c r="X107" s="33">
        <f>SUMIFS(SIP[BO UNIT TRANSFER],SIP[Investor ID],INVESTORS_LIST[[#This Row],[INVESTOR CODE]],SIP[B/S],"S")</f>
        <v>0</v>
      </c>
      <c r="Y107" s="33">
        <f>SUMIFS(SIP[BO UNIT TRANSFER],SIP[Investor ID],INVESTORS_LIST[[#This Row],[INVESTOR CODE]],SIP[B/S],"B")</f>
        <v>0</v>
      </c>
      <c r="Z10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07" s="119">
        <f>INVESTORS_LIST[[#This Row],[TOTAL UNITS BUY]]-INVESTORS_LIST[[#This Row],[TOTAL UNITS SOLD]]</f>
        <v>0</v>
      </c>
      <c r="AB107" s="119">
        <f>INVESTORS_LIST[[#This Row],[TOTAL CURRENT UNITS]]-INVESTORS_LIST[[#This Row],[BO UNITS HOLD]]</f>
        <v>0</v>
      </c>
      <c r="AC107" s="119" t="e">
        <f>INDEX([4]!Table_1[BO ID],MATCH(INVESTORS_LIST[[#This Row],[INVESTOR CODE]],[4]!Table_1[INVESTOR CODE],0))</f>
        <v>#REF!</v>
      </c>
      <c r="AD107" s="33">
        <f>INVESTORS_LIST[[#This Row],[LS_TOTAL COST VALUE OF CURRENT UNITS]]+INVESTORS_LIST[[#This Row],[SIP_TOTAL COST VALUE OF CURRENT UNITS]]</f>
        <v>0</v>
      </c>
      <c r="AE107" s="44">
        <f>IF(INVESTORS_LIST[[#This Row],[TOTAL CURRENT UNITS]]=0,0,INVESTORS_LIST[[#This Row],[LS_TOTAL CURRENT UNITS]]/INVESTORS_LIST[[#This Row],[TOTAL CURRENT UNITS]])</f>
        <v>0</v>
      </c>
      <c r="AF107" s="44">
        <f>IF(INVESTORS_LIST[[#This Row],[TOTAL CURRENT UNITS]]=0,0,INVESTORS_LIST[[#This Row],[SIP_TOTAL CURRENT UNITS]]/INVESTORS_LIST[[#This Row],[TOTAL CURRENT UNITS]])</f>
        <v>0</v>
      </c>
      <c r="AG107" s="4" cm="1">
        <f t="array" ref="AG10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07" s="4" cm="1">
        <f t="array" ref="AH10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0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07" s="178">
        <f t="shared" si="1"/>
        <v>12.552</v>
      </c>
      <c r="AK107" s="118">
        <f>IF(INVESTORS_LIST[[#This Row],[TOTAL CURRENT UNITS]]=0,0,INVESTORS_LIST[[#This Row],[TOTAL CURRENT UNITS]]*INVESTORS_LIST[[#This Row],[NAV]])</f>
        <v>0</v>
      </c>
      <c r="AL107" s="4">
        <f>IF(INVESTORS_LIST[[#This Row],[LS_TOTAL CURRENT UNITS]]=0,0,INVESTORS_LIST[[#This Row],[LS_TOTAL CURRENT UNITS]]*INVESTORS_LIST[[#This Row],[NAV]])</f>
        <v>0</v>
      </c>
      <c r="AM107" s="6">
        <f>IF(INVESTORS_LIST[[#This Row],[SIP_TOTAL CURRENT UNITS]]=0,0,INVESTORS_LIST[[#This Row],[SIP_TOTAL CURRENT UNITS]]*INVESTORS_LIST[[#This Row],[NAV]])</f>
        <v>0</v>
      </c>
      <c r="AO107" s="6">
        <f>IF(INVESTORS_LIST[[#This Row],[TOTAL SELLABLE UNITS]]=0,0,INVESTORS_LIST[[#This Row],[TOTAL SELLABLE UNITS]]*INVESTORS_LIST[[#This Row],[NAV]])</f>
        <v>0</v>
      </c>
      <c r="AP107" s="6">
        <f>INVESTORS_LIST[[#This Row],[LS_TOTAL REALIZED GAIN]]+INVESTORS_LIST[[#This Row],[SIP_TOTAL REALIZED GAIN]]</f>
        <v>0</v>
      </c>
      <c r="AQ107" s="6">
        <f>INVESTORS_LIST[[#This Row],[TOTAL MARKET VALUE]]-INVESTORS_LIST[[#This Row],[TOTAL COST VALUE OF CURRENT INVESTMENT]]</f>
        <v>0</v>
      </c>
      <c r="AR107" s="6">
        <f>SUMIFS(DivAndTax[Tax Amount],DivAndTax[Investor ID],INVESTORS_LIST[[#This Row],[INVESTOR CODE]])</f>
        <v>0</v>
      </c>
      <c r="AS107" s="6">
        <f>SUMIFS(DivAndTax[Gross Dividend],DivAndTax[Investor ID],INVESTORS_LIST[[#This Row],[INVESTOR CODE]])</f>
        <v>0</v>
      </c>
      <c r="AT107" s="5">
        <f>IFERROR(INVESTORS_LIST[[#This Row],[TOTAL CURRENT UNITS]]/SUM(INVESTORS_LIST[TOTAL CURRENT UNITS]),0)</f>
        <v>0</v>
      </c>
    </row>
    <row r="108" spans="1:46" hidden="1">
      <c r="A108" t="s">
        <v>131</v>
      </c>
      <c r="B108" t="s">
        <v>132</v>
      </c>
      <c r="C108" t="s">
        <v>536</v>
      </c>
      <c r="D108" s="8" t="s">
        <v>2</v>
      </c>
      <c r="E108" s="2">
        <f>SUMIFS(LS[Unit],LS[Investor ID],INVESTORS_LIST[[#This Row],[INVESTOR CODE]],LS[B/S],"B")</f>
        <v>0</v>
      </c>
      <c r="F108" s="2">
        <f>-SUMIFS(LS[Unit],LS[Investor ID],INVESTORS_LIST[[#This Row],[INVESTOR CODE]],LS[B/S],"S")</f>
        <v>0</v>
      </c>
      <c r="G108" s="2">
        <f>IF(INVESTORS_LIST[[#This Row],[LS_TOTAL UNITS BUY]]=0,0,INVESTORS_LIST[[#This Row],[LS_TOTAL UNITS BUY]]-INVESTORS_LIST[[#This Row],[LS_TOTAL UNITS SOLD]])</f>
        <v>0</v>
      </c>
      <c r="H108" s="4">
        <f>IF(INVESTORS_LIST[[#This Row],[LS_TOTAL UNITS BUY]]=0,0,SUMIFS(LS[Amount],LS[Investor ID],INVESTORS_LIST[[#This Row],[INVESTOR CODE]],LS[B/S],"B"))</f>
        <v>0</v>
      </c>
      <c r="I108" s="6">
        <f>IF(INVESTORS_LIST[[#This Row],[LS_TOTAL UNITS SOLD]]=0,0,SUMIFS(LS[Cost of Units Sold],LS[Investor ID],INVESTORS_LIST[[#This Row],[INVESTOR CODE]],LS[B/S],"S"))</f>
        <v>0</v>
      </c>
      <c r="J108" s="6">
        <f>IF(INVESTORS_LIST[[#This Row],[LS_TOTAL CURRENT UNITS]]=0,0,INVESTORS_LIST[[#This Row],[LS_TOTAL CURRENT UNITS]]*INVESTORS_LIST[[#This Row],[LS_AVERAGE COST]])</f>
        <v>0</v>
      </c>
      <c r="K108" s="4">
        <f>IF(INVESTORS_LIST[[#This Row],[LS_TOTAL UNITS SOLD]]=0,0,SUMIFS(LS[Realized Gain],LS[Investor ID],INVESTORS_LIST[[#This Row],[INVESTOR CODE]],LS[B/S],"S"))</f>
        <v>0</v>
      </c>
      <c r="L108" s="2">
        <f>SUMIFS(SIP[Unit],SIP[Investor ID],INVESTORS_LIST[[#This Row],[INVESTOR CODE]],SIP[B/S],"B")</f>
        <v>0</v>
      </c>
      <c r="M108" s="2">
        <f>-SUMIFS(SIP[Unit],SIP[Investor ID],INVESTORS_LIST[[#This Row],[INVESTOR CODE]],SIP[B/S],"S")</f>
        <v>0</v>
      </c>
      <c r="N108" s="33">
        <f>IF(INVESTORS_LIST[[#This Row],[SIP_TOTAL UNITS BUY]]=0,0,INVESTORS_LIST[[#This Row],[SIP_TOTAL UNITS BUY]]-INVESTORS_LIST[[#This Row],[SIP_TOTAL UNITS SOLD]])</f>
        <v>0</v>
      </c>
      <c r="O108" s="4">
        <f>IF(INVESTORS_LIST[[#This Row],[SIP_TOTAL UNITS BUY]]=0,0,SUMIFS(SIP[Amount],SIP[Investor ID],INVESTORS_LIST[[#This Row],[INVESTOR CODE]],SIP[B/S],"B"))</f>
        <v>0</v>
      </c>
      <c r="P108" s="4">
        <f>IF(INVESTORS_LIST[[#This Row],[SIP_TOTAL UNITS SOLD]]=0,0,SUMIFS(SIP[Cost of Units Sold],SIP[Investor ID],INVESTORS_LIST[[#This Row],[INVESTOR CODE]],SIP[B/S],"S"))</f>
        <v>0</v>
      </c>
      <c r="Q108" s="6">
        <f>IF(INVESTORS_LIST[[#This Row],[SIP_TOTAL CURRENT UNITS]]=0,0,INVESTORS_LIST[[#This Row],[SIP_TOTAL CURRENT UNITS]]*INVESTORS_LIST[[#This Row],[SIP_AVERAGE COST]])</f>
        <v>0</v>
      </c>
      <c r="R108" s="6">
        <f>IF(INVESTORS_LIST[[#This Row],[SIP_TOTAL UNITS SOLD]]=0,0,SUMIFS(SIP[Realized Gain],SIP[Investor ID],INVESTORS_LIST[[#This Row],[INVESTOR CODE]],SIP[B/S],"S"))</f>
        <v>0</v>
      </c>
      <c r="S108" s="33">
        <f>INVESTORS_LIST[[#This Row],[LS_TOTAL UNITS BUY]]+INVESTORS_LIST[[#This Row],[SIP_TOTAL UNITS BUY]]</f>
        <v>0</v>
      </c>
      <c r="T108" s="33">
        <f>INVESTORS_LIST[[#This Row],[LS_TOTAL UNITS SOLD]]+INVESTORS_LIST[[#This Row],[SIP_TOTAL UNITS SOLD]]</f>
        <v>0</v>
      </c>
      <c r="U108" s="33">
        <v>0</v>
      </c>
      <c r="V108" s="33">
        <f>SUMIFS(LS[BO UNIT TRANSFER],LS[Investor ID],INVESTORS_LIST[[#This Row],[INVESTOR CODE]],LS[B/S],"B")</f>
        <v>0</v>
      </c>
      <c r="W108" s="33">
        <f>SUMIFS(LS[BO UNIT TRANSFER],LS[Investor ID],INVESTORS_LIST[[#This Row],[INVESTOR CODE]],LS[B/S],"S")</f>
        <v>0</v>
      </c>
      <c r="X108" s="33">
        <f>SUMIFS(SIP[BO UNIT TRANSFER],SIP[Investor ID],INVESTORS_LIST[[#This Row],[INVESTOR CODE]],SIP[B/S],"S")</f>
        <v>0</v>
      </c>
      <c r="Y108" s="33">
        <f>SUMIFS(SIP[BO UNIT TRANSFER],SIP[Investor ID],INVESTORS_LIST[[#This Row],[INVESTOR CODE]],SIP[B/S],"B")</f>
        <v>0</v>
      </c>
      <c r="Z10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08" s="119">
        <f>INVESTORS_LIST[[#This Row],[TOTAL UNITS BUY]]-INVESTORS_LIST[[#This Row],[TOTAL UNITS SOLD]]</f>
        <v>0</v>
      </c>
      <c r="AB108" s="119">
        <f>INVESTORS_LIST[[#This Row],[TOTAL CURRENT UNITS]]-INVESTORS_LIST[[#This Row],[BO UNITS HOLD]]</f>
        <v>0</v>
      </c>
      <c r="AC108" s="119" t="e">
        <f>INDEX([4]!Table_1[BO ID],MATCH(INVESTORS_LIST[[#This Row],[INVESTOR CODE]],[4]!Table_1[INVESTOR CODE],0))</f>
        <v>#REF!</v>
      </c>
      <c r="AD108" s="33">
        <f>INVESTORS_LIST[[#This Row],[LS_TOTAL COST VALUE OF CURRENT UNITS]]+INVESTORS_LIST[[#This Row],[SIP_TOTAL COST VALUE OF CURRENT UNITS]]</f>
        <v>0</v>
      </c>
      <c r="AE108" s="44">
        <f>IF(INVESTORS_LIST[[#This Row],[TOTAL CURRENT UNITS]]=0,0,INVESTORS_LIST[[#This Row],[LS_TOTAL CURRENT UNITS]]/INVESTORS_LIST[[#This Row],[TOTAL CURRENT UNITS]])</f>
        <v>0</v>
      </c>
      <c r="AF108" s="44">
        <f>IF(INVESTORS_LIST[[#This Row],[TOTAL CURRENT UNITS]]=0,0,INVESTORS_LIST[[#This Row],[SIP_TOTAL CURRENT UNITS]]/INVESTORS_LIST[[#This Row],[TOTAL CURRENT UNITS]])</f>
        <v>0</v>
      </c>
      <c r="AG108" s="4" cm="1">
        <f t="array" ref="AG1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08" s="4" cm="1">
        <f t="array" ref="AH10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0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08" s="178">
        <f t="shared" si="1"/>
        <v>12.552</v>
      </c>
      <c r="AK108" s="118">
        <f>IF(INVESTORS_LIST[[#This Row],[TOTAL CURRENT UNITS]]=0,0,INVESTORS_LIST[[#This Row],[TOTAL CURRENT UNITS]]*INVESTORS_LIST[[#This Row],[NAV]])</f>
        <v>0</v>
      </c>
      <c r="AL108" s="4">
        <f>IF(INVESTORS_LIST[[#This Row],[LS_TOTAL CURRENT UNITS]]=0,0,INVESTORS_LIST[[#This Row],[LS_TOTAL CURRENT UNITS]]*INVESTORS_LIST[[#This Row],[NAV]])</f>
        <v>0</v>
      </c>
      <c r="AM108" s="6">
        <f>IF(INVESTORS_LIST[[#This Row],[SIP_TOTAL CURRENT UNITS]]=0,0,INVESTORS_LIST[[#This Row],[SIP_TOTAL CURRENT UNITS]]*INVESTORS_LIST[[#This Row],[NAV]])</f>
        <v>0</v>
      </c>
      <c r="AO108" s="6">
        <f>IF(INVESTORS_LIST[[#This Row],[TOTAL SELLABLE UNITS]]=0,0,INVESTORS_LIST[[#This Row],[TOTAL SELLABLE UNITS]]*INVESTORS_LIST[[#This Row],[NAV]])</f>
        <v>0</v>
      </c>
      <c r="AP108" s="6">
        <f>INVESTORS_LIST[[#This Row],[LS_TOTAL REALIZED GAIN]]+INVESTORS_LIST[[#This Row],[SIP_TOTAL REALIZED GAIN]]</f>
        <v>0</v>
      </c>
      <c r="AQ108" s="6">
        <f>INVESTORS_LIST[[#This Row],[TOTAL MARKET VALUE]]-INVESTORS_LIST[[#This Row],[TOTAL COST VALUE OF CURRENT INVESTMENT]]</f>
        <v>0</v>
      </c>
      <c r="AR108" s="6">
        <f>SUMIFS(DivAndTax[Tax Amount],DivAndTax[Investor ID],INVESTORS_LIST[[#This Row],[INVESTOR CODE]])</f>
        <v>0</v>
      </c>
      <c r="AS108" s="6">
        <f>SUMIFS(DivAndTax[Gross Dividend],DivAndTax[Investor ID],INVESTORS_LIST[[#This Row],[INVESTOR CODE]])</f>
        <v>0</v>
      </c>
      <c r="AT108" s="5">
        <f>IFERROR(INVESTORS_LIST[[#This Row],[TOTAL CURRENT UNITS]]/SUM(INVESTORS_LIST[TOTAL CURRENT UNITS]),0)</f>
        <v>0</v>
      </c>
    </row>
    <row r="109" spans="1:46" hidden="1">
      <c r="A109" t="s">
        <v>133</v>
      </c>
      <c r="B109" t="s">
        <v>134</v>
      </c>
      <c r="C109" t="s">
        <v>538</v>
      </c>
      <c r="D109" s="8" t="s">
        <v>2</v>
      </c>
      <c r="E109" s="2">
        <f>SUMIFS(LS[Unit],LS[Investor ID],INVESTORS_LIST[[#This Row],[INVESTOR CODE]],LS[B/S],"B")</f>
        <v>0</v>
      </c>
      <c r="F109" s="2">
        <f>-SUMIFS(LS[Unit],LS[Investor ID],INVESTORS_LIST[[#This Row],[INVESTOR CODE]],LS[B/S],"S")</f>
        <v>0</v>
      </c>
      <c r="G109" s="2">
        <f>IF(INVESTORS_LIST[[#This Row],[LS_TOTAL UNITS BUY]]=0,0,INVESTORS_LIST[[#This Row],[LS_TOTAL UNITS BUY]]-INVESTORS_LIST[[#This Row],[LS_TOTAL UNITS SOLD]])</f>
        <v>0</v>
      </c>
      <c r="H109" s="4">
        <f>IF(INVESTORS_LIST[[#This Row],[LS_TOTAL UNITS BUY]]=0,0,SUMIFS(LS[Amount],LS[Investor ID],INVESTORS_LIST[[#This Row],[INVESTOR CODE]],LS[B/S],"B"))</f>
        <v>0</v>
      </c>
      <c r="I109" s="6">
        <f>IF(INVESTORS_LIST[[#This Row],[LS_TOTAL UNITS SOLD]]=0,0,SUMIFS(LS[Cost of Units Sold],LS[Investor ID],INVESTORS_LIST[[#This Row],[INVESTOR CODE]],LS[B/S],"S"))</f>
        <v>0</v>
      </c>
      <c r="J109" s="6">
        <f>IF(INVESTORS_LIST[[#This Row],[LS_TOTAL CURRENT UNITS]]=0,0,INVESTORS_LIST[[#This Row],[LS_TOTAL CURRENT UNITS]]*INVESTORS_LIST[[#This Row],[LS_AVERAGE COST]])</f>
        <v>0</v>
      </c>
      <c r="K109" s="4">
        <f>IF(INVESTORS_LIST[[#This Row],[LS_TOTAL UNITS SOLD]]=0,0,SUMIFS(LS[Realized Gain],LS[Investor ID],INVESTORS_LIST[[#This Row],[INVESTOR CODE]],LS[B/S],"S"))</f>
        <v>0</v>
      </c>
      <c r="L109" s="2">
        <f>SUMIFS(SIP[Unit],SIP[Investor ID],INVESTORS_LIST[[#This Row],[INVESTOR CODE]],SIP[B/S],"B")</f>
        <v>0</v>
      </c>
      <c r="M109" s="2">
        <f>-SUMIFS(SIP[Unit],SIP[Investor ID],INVESTORS_LIST[[#This Row],[INVESTOR CODE]],SIP[B/S],"S")</f>
        <v>0</v>
      </c>
      <c r="N109" s="33">
        <f>IF(INVESTORS_LIST[[#This Row],[SIP_TOTAL UNITS BUY]]=0,0,INVESTORS_LIST[[#This Row],[SIP_TOTAL UNITS BUY]]-INVESTORS_LIST[[#This Row],[SIP_TOTAL UNITS SOLD]])</f>
        <v>0</v>
      </c>
      <c r="O109" s="4">
        <f>IF(INVESTORS_LIST[[#This Row],[SIP_TOTAL UNITS BUY]]=0,0,SUMIFS(SIP[Amount],SIP[Investor ID],INVESTORS_LIST[[#This Row],[INVESTOR CODE]],SIP[B/S],"B"))</f>
        <v>0</v>
      </c>
      <c r="P109" s="4">
        <f>IF(INVESTORS_LIST[[#This Row],[SIP_TOTAL UNITS SOLD]]=0,0,SUMIFS(SIP[Cost of Units Sold],SIP[Investor ID],INVESTORS_LIST[[#This Row],[INVESTOR CODE]],SIP[B/S],"S"))</f>
        <v>0</v>
      </c>
      <c r="Q109" s="6">
        <f>IF(INVESTORS_LIST[[#This Row],[SIP_TOTAL CURRENT UNITS]]=0,0,INVESTORS_LIST[[#This Row],[SIP_TOTAL CURRENT UNITS]]*INVESTORS_LIST[[#This Row],[SIP_AVERAGE COST]])</f>
        <v>0</v>
      </c>
      <c r="R109" s="6">
        <f>IF(INVESTORS_LIST[[#This Row],[SIP_TOTAL UNITS SOLD]]=0,0,SUMIFS(SIP[Realized Gain],SIP[Investor ID],INVESTORS_LIST[[#This Row],[INVESTOR CODE]],SIP[B/S],"S"))</f>
        <v>0</v>
      </c>
      <c r="S109" s="33">
        <f>INVESTORS_LIST[[#This Row],[LS_TOTAL UNITS BUY]]+INVESTORS_LIST[[#This Row],[SIP_TOTAL UNITS BUY]]</f>
        <v>0</v>
      </c>
      <c r="T109" s="33">
        <f>INVESTORS_LIST[[#This Row],[LS_TOTAL UNITS SOLD]]+INVESTORS_LIST[[#This Row],[SIP_TOTAL UNITS SOLD]]</f>
        <v>0</v>
      </c>
      <c r="U109" s="33">
        <v>0</v>
      </c>
      <c r="V109" s="33">
        <f>SUMIFS(LS[BO UNIT TRANSFER],LS[Investor ID],INVESTORS_LIST[[#This Row],[INVESTOR CODE]],LS[B/S],"B")</f>
        <v>0</v>
      </c>
      <c r="W109" s="33">
        <f>SUMIFS(LS[BO UNIT TRANSFER],LS[Investor ID],INVESTORS_LIST[[#This Row],[INVESTOR CODE]],LS[B/S],"S")</f>
        <v>0</v>
      </c>
      <c r="X109" s="33">
        <f>SUMIFS(SIP[BO UNIT TRANSFER],SIP[Investor ID],INVESTORS_LIST[[#This Row],[INVESTOR CODE]],SIP[B/S],"S")</f>
        <v>0</v>
      </c>
      <c r="Y109" s="33">
        <f>SUMIFS(SIP[BO UNIT TRANSFER],SIP[Investor ID],INVESTORS_LIST[[#This Row],[INVESTOR CODE]],SIP[B/S],"B")</f>
        <v>0</v>
      </c>
      <c r="Z10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09" s="119">
        <f>INVESTORS_LIST[[#This Row],[TOTAL UNITS BUY]]-INVESTORS_LIST[[#This Row],[TOTAL UNITS SOLD]]</f>
        <v>0</v>
      </c>
      <c r="AB109" s="119">
        <f>INVESTORS_LIST[[#This Row],[TOTAL CURRENT UNITS]]-INVESTORS_LIST[[#This Row],[BO UNITS HOLD]]</f>
        <v>0</v>
      </c>
      <c r="AC109" s="119" t="e">
        <f>INDEX([4]!Table_1[BO ID],MATCH(INVESTORS_LIST[[#This Row],[INVESTOR CODE]],[4]!Table_1[INVESTOR CODE],0))</f>
        <v>#REF!</v>
      </c>
      <c r="AD109" s="33">
        <f>INVESTORS_LIST[[#This Row],[LS_TOTAL COST VALUE OF CURRENT UNITS]]+INVESTORS_LIST[[#This Row],[SIP_TOTAL COST VALUE OF CURRENT UNITS]]</f>
        <v>0</v>
      </c>
      <c r="AE109" s="44">
        <f>IF(INVESTORS_LIST[[#This Row],[TOTAL CURRENT UNITS]]=0,0,INVESTORS_LIST[[#This Row],[LS_TOTAL CURRENT UNITS]]/INVESTORS_LIST[[#This Row],[TOTAL CURRENT UNITS]])</f>
        <v>0</v>
      </c>
      <c r="AF109" s="44">
        <f>IF(INVESTORS_LIST[[#This Row],[TOTAL CURRENT UNITS]]=0,0,INVESTORS_LIST[[#This Row],[SIP_TOTAL CURRENT UNITS]]/INVESTORS_LIST[[#This Row],[TOTAL CURRENT UNITS]])</f>
        <v>0</v>
      </c>
      <c r="AG109" s="4" cm="1">
        <f t="array" ref="AG10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09" s="4" cm="1">
        <f t="array" ref="AH1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0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09" s="178">
        <f t="shared" si="1"/>
        <v>12.552</v>
      </c>
      <c r="AK109" s="118">
        <f>IF(INVESTORS_LIST[[#This Row],[TOTAL CURRENT UNITS]]=0,0,INVESTORS_LIST[[#This Row],[TOTAL CURRENT UNITS]]*INVESTORS_LIST[[#This Row],[NAV]])</f>
        <v>0</v>
      </c>
      <c r="AL109" s="4">
        <f>IF(INVESTORS_LIST[[#This Row],[LS_TOTAL CURRENT UNITS]]=0,0,INVESTORS_LIST[[#This Row],[LS_TOTAL CURRENT UNITS]]*INVESTORS_LIST[[#This Row],[NAV]])</f>
        <v>0</v>
      </c>
      <c r="AM109" s="6">
        <f>IF(INVESTORS_LIST[[#This Row],[SIP_TOTAL CURRENT UNITS]]=0,0,INVESTORS_LIST[[#This Row],[SIP_TOTAL CURRENT UNITS]]*INVESTORS_LIST[[#This Row],[NAV]])</f>
        <v>0</v>
      </c>
      <c r="AO109" s="6">
        <f>IF(INVESTORS_LIST[[#This Row],[TOTAL SELLABLE UNITS]]=0,0,INVESTORS_LIST[[#This Row],[TOTAL SELLABLE UNITS]]*INVESTORS_LIST[[#This Row],[NAV]])</f>
        <v>0</v>
      </c>
      <c r="AP109" s="6">
        <f>INVESTORS_LIST[[#This Row],[LS_TOTAL REALIZED GAIN]]+INVESTORS_LIST[[#This Row],[SIP_TOTAL REALIZED GAIN]]</f>
        <v>0</v>
      </c>
      <c r="AQ109" s="6">
        <f>INVESTORS_LIST[[#This Row],[TOTAL MARKET VALUE]]-INVESTORS_LIST[[#This Row],[TOTAL COST VALUE OF CURRENT INVESTMENT]]</f>
        <v>0</v>
      </c>
      <c r="AR109" s="6">
        <f>SUMIFS(DivAndTax[Tax Amount],DivAndTax[Investor ID],INVESTORS_LIST[[#This Row],[INVESTOR CODE]])</f>
        <v>0</v>
      </c>
      <c r="AS109" s="6">
        <f>SUMIFS(DivAndTax[Gross Dividend],DivAndTax[Investor ID],INVESTORS_LIST[[#This Row],[INVESTOR CODE]])</f>
        <v>0</v>
      </c>
      <c r="AT109" s="5">
        <f>IFERROR(INVESTORS_LIST[[#This Row],[TOTAL CURRENT UNITS]]/SUM(INVESTORS_LIST[TOTAL CURRENT UNITS]),0)</f>
        <v>0</v>
      </c>
    </row>
    <row r="110" spans="1:46" hidden="1">
      <c r="A110" t="s">
        <v>135</v>
      </c>
      <c r="B110" t="s">
        <v>136</v>
      </c>
      <c r="C110" t="s">
        <v>536</v>
      </c>
      <c r="D110" s="8" t="s">
        <v>2</v>
      </c>
      <c r="E110" s="2">
        <f>SUMIFS(LS[Unit],LS[Investor ID],INVESTORS_LIST[[#This Row],[INVESTOR CODE]],LS[B/S],"B")</f>
        <v>0</v>
      </c>
      <c r="F110" s="2">
        <f>-SUMIFS(LS[Unit],LS[Investor ID],INVESTORS_LIST[[#This Row],[INVESTOR CODE]],LS[B/S],"S")</f>
        <v>0</v>
      </c>
      <c r="G110" s="2">
        <f>IF(INVESTORS_LIST[[#This Row],[LS_TOTAL UNITS BUY]]=0,0,INVESTORS_LIST[[#This Row],[LS_TOTAL UNITS BUY]]-INVESTORS_LIST[[#This Row],[LS_TOTAL UNITS SOLD]])</f>
        <v>0</v>
      </c>
      <c r="H110" s="4">
        <f>IF(INVESTORS_LIST[[#This Row],[LS_TOTAL UNITS BUY]]=0,0,SUMIFS(LS[Amount],LS[Investor ID],INVESTORS_LIST[[#This Row],[INVESTOR CODE]],LS[B/S],"B"))</f>
        <v>0</v>
      </c>
      <c r="I110" s="6">
        <f>IF(INVESTORS_LIST[[#This Row],[LS_TOTAL UNITS SOLD]]=0,0,SUMIFS(LS[Cost of Units Sold],LS[Investor ID],INVESTORS_LIST[[#This Row],[INVESTOR CODE]],LS[B/S],"S"))</f>
        <v>0</v>
      </c>
      <c r="J110" s="6">
        <f>IF(INVESTORS_LIST[[#This Row],[LS_TOTAL CURRENT UNITS]]=0,0,INVESTORS_LIST[[#This Row],[LS_TOTAL CURRENT UNITS]]*INVESTORS_LIST[[#This Row],[LS_AVERAGE COST]])</f>
        <v>0</v>
      </c>
      <c r="K110" s="4">
        <f>IF(INVESTORS_LIST[[#This Row],[LS_TOTAL UNITS SOLD]]=0,0,SUMIFS(LS[Realized Gain],LS[Investor ID],INVESTORS_LIST[[#This Row],[INVESTOR CODE]],LS[B/S],"S"))</f>
        <v>0</v>
      </c>
      <c r="L110" s="2">
        <f>SUMIFS(SIP[Unit],SIP[Investor ID],INVESTORS_LIST[[#This Row],[INVESTOR CODE]],SIP[B/S],"B")</f>
        <v>0</v>
      </c>
      <c r="M110" s="2">
        <f>-SUMIFS(SIP[Unit],SIP[Investor ID],INVESTORS_LIST[[#This Row],[INVESTOR CODE]],SIP[B/S],"S")</f>
        <v>0</v>
      </c>
      <c r="N110" s="33">
        <f>IF(INVESTORS_LIST[[#This Row],[SIP_TOTAL UNITS BUY]]=0,0,INVESTORS_LIST[[#This Row],[SIP_TOTAL UNITS BUY]]-INVESTORS_LIST[[#This Row],[SIP_TOTAL UNITS SOLD]])</f>
        <v>0</v>
      </c>
      <c r="O110" s="4">
        <f>IF(INVESTORS_LIST[[#This Row],[SIP_TOTAL UNITS BUY]]=0,0,SUMIFS(SIP[Amount],SIP[Investor ID],INVESTORS_LIST[[#This Row],[INVESTOR CODE]],SIP[B/S],"B"))</f>
        <v>0</v>
      </c>
      <c r="P110" s="4">
        <f>IF(INVESTORS_LIST[[#This Row],[SIP_TOTAL UNITS SOLD]]=0,0,SUMIFS(SIP[Cost of Units Sold],SIP[Investor ID],INVESTORS_LIST[[#This Row],[INVESTOR CODE]],SIP[B/S],"S"))</f>
        <v>0</v>
      </c>
      <c r="Q110" s="6">
        <f>IF(INVESTORS_LIST[[#This Row],[SIP_TOTAL CURRENT UNITS]]=0,0,INVESTORS_LIST[[#This Row],[SIP_TOTAL CURRENT UNITS]]*INVESTORS_LIST[[#This Row],[SIP_AVERAGE COST]])</f>
        <v>0</v>
      </c>
      <c r="R110" s="6">
        <f>IF(INVESTORS_LIST[[#This Row],[SIP_TOTAL UNITS SOLD]]=0,0,SUMIFS(SIP[Realized Gain],SIP[Investor ID],INVESTORS_LIST[[#This Row],[INVESTOR CODE]],SIP[B/S],"S"))</f>
        <v>0</v>
      </c>
      <c r="S110" s="33">
        <f>INVESTORS_LIST[[#This Row],[LS_TOTAL UNITS BUY]]+INVESTORS_LIST[[#This Row],[SIP_TOTAL UNITS BUY]]</f>
        <v>0</v>
      </c>
      <c r="T110" s="33">
        <f>INVESTORS_LIST[[#This Row],[LS_TOTAL UNITS SOLD]]+INVESTORS_LIST[[#This Row],[SIP_TOTAL UNITS SOLD]]</f>
        <v>0</v>
      </c>
      <c r="U110" s="33">
        <v>0</v>
      </c>
      <c r="V110" s="33">
        <f>SUMIFS(LS[BO UNIT TRANSFER],LS[Investor ID],INVESTORS_LIST[[#This Row],[INVESTOR CODE]],LS[B/S],"B")</f>
        <v>0</v>
      </c>
      <c r="W110" s="33">
        <f>SUMIFS(LS[BO UNIT TRANSFER],LS[Investor ID],INVESTORS_LIST[[#This Row],[INVESTOR CODE]],LS[B/S],"S")</f>
        <v>0</v>
      </c>
      <c r="X110" s="33">
        <f>SUMIFS(SIP[BO UNIT TRANSFER],SIP[Investor ID],INVESTORS_LIST[[#This Row],[INVESTOR CODE]],SIP[B/S],"S")</f>
        <v>0</v>
      </c>
      <c r="Y110" s="33">
        <f>SUMIFS(SIP[BO UNIT TRANSFER],SIP[Investor ID],INVESTORS_LIST[[#This Row],[INVESTOR CODE]],SIP[B/S],"B")</f>
        <v>0</v>
      </c>
      <c r="Z11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10" s="119">
        <f>INVESTORS_LIST[[#This Row],[TOTAL UNITS BUY]]-INVESTORS_LIST[[#This Row],[TOTAL UNITS SOLD]]</f>
        <v>0</v>
      </c>
      <c r="AB110" s="119">
        <f>INVESTORS_LIST[[#This Row],[TOTAL CURRENT UNITS]]-INVESTORS_LIST[[#This Row],[BO UNITS HOLD]]</f>
        <v>0</v>
      </c>
      <c r="AC110" s="119" t="e">
        <f>INDEX([4]!Table_1[BO ID],MATCH(INVESTORS_LIST[[#This Row],[INVESTOR CODE]],[4]!Table_1[INVESTOR CODE],0))</f>
        <v>#REF!</v>
      </c>
      <c r="AD110" s="33">
        <f>INVESTORS_LIST[[#This Row],[LS_TOTAL COST VALUE OF CURRENT UNITS]]+INVESTORS_LIST[[#This Row],[SIP_TOTAL COST VALUE OF CURRENT UNITS]]</f>
        <v>0</v>
      </c>
      <c r="AE110" s="44">
        <f>IF(INVESTORS_LIST[[#This Row],[TOTAL CURRENT UNITS]]=0,0,INVESTORS_LIST[[#This Row],[LS_TOTAL CURRENT UNITS]]/INVESTORS_LIST[[#This Row],[TOTAL CURRENT UNITS]])</f>
        <v>0</v>
      </c>
      <c r="AF110" s="44">
        <f>IF(INVESTORS_LIST[[#This Row],[TOTAL CURRENT UNITS]]=0,0,INVESTORS_LIST[[#This Row],[SIP_TOTAL CURRENT UNITS]]/INVESTORS_LIST[[#This Row],[TOTAL CURRENT UNITS]])</f>
        <v>0</v>
      </c>
      <c r="AG110" s="4" cm="1">
        <f t="array" ref="AG1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10" s="4" cm="1">
        <f t="array" ref="AH1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1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10" s="178">
        <f t="shared" si="1"/>
        <v>12.552</v>
      </c>
      <c r="AK110" s="118">
        <f>IF(INVESTORS_LIST[[#This Row],[TOTAL CURRENT UNITS]]=0,0,INVESTORS_LIST[[#This Row],[TOTAL CURRENT UNITS]]*INVESTORS_LIST[[#This Row],[NAV]])</f>
        <v>0</v>
      </c>
      <c r="AL110" s="4">
        <f>IF(INVESTORS_LIST[[#This Row],[LS_TOTAL CURRENT UNITS]]=0,0,INVESTORS_LIST[[#This Row],[LS_TOTAL CURRENT UNITS]]*INVESTORS_LIST[[#This Row],[NAV]])</f>
        <v>0</v>
      </c>
      <c r="AM110" s="6">
        <f>IF(INVESTORS_LIST[[#This Row],[SIP_TOTAL CURRENT UNITS]]=0,0,INVESTORS_LIST[[#This Row],[SIP_TOTAL CURRENT UNITS]]*INVESTORS_LIST[[#This Row],[NAV]])</f>
        <v>0</v>
      </c>
      <c r="AO110" s="6">
        <f>IF(INVESTORS_LIST[[#This Row],[TOTAL SELLABLE UNITS]]=0,0,INVESTORS_LIST[[#This Row],[TOTAL SELLABLE UNITS]]*INVESTORS_LIST[[#This Row],[NAV]])</f>
        <v>0</v>
      </c>
      <c r="AP110" s="6">
        <f>INVESTORS_LIST[[#This Row],[LS_TOTAL REALIZED GAIN]]+INVESTORS_LIST[[#This Row],[SIP_TOTAL REALIZED GAIN]]</f>
        <v>0</v>
      </c>
      <c r="AQ110" s="6">
        <f>INVESTORS_LIST[[#This Row],[TOTAL MARKET VALUE]]-INVESTORS_LIST[[#This Row],[TOTAL COST VALUE OF CURRENT INVESTMENT]]</f>
        <v>0</v>
      </c>
      <c r="AR110" s="6">
        <f>SUMIFS(DivAndTax[Tax Amount],DivAndTax[Investor ID],INVESTORS_LIST[[#This Row],[INVESTOR CODE]])</f>
        <v>0</v>
      </c>
      <c r="AS110" s="6">
        <f>SUMIFS(DivAndTax[Gross Dividend],DivAndTax[Investor ID],INVESTORS_LIST[[#This Row],[INVESTOR CODE]])</f>
        <v>0</v>
      </c>
      <c r="AT110" s="5">
        <f>IFERROR(INVESTORS_LIST[[#This Row],[TOTAL CURRENT UNITS]]/SUM(INVESTORS_LIST[TOTAL CURRENT UNITS]),0)</f>
        <v>0</v>
      </c>
    </row>
    <row r="111" spans="1:46" hidden="1">
      <c r="A111" t="s">
        <v>137</v>
      </c>
      <c r="B111" t="s">
        <v>138</v>
      </c>
      <c r="C111" t="s">
        <v>536</v>
      </c>
      <c r="D111" s="8" t="s">
        <v>2</v>
      </c>
      <c r="E111" s="2">
        <f>SUMIFS(LS[Unit],LS[Investor ID],INVESTORS_LIST[[#This Row],[INVESTOR CODE]],LS[B/S],"B")</f>
        <v>0</v>
      </c>
      <c r="F111" s="2">
        <f>-SUMIFS(LS[Unit],LS[Investor ID],INVESTORS_LIST[[#This Row],[INVESTOR CODE]],LS[B/S],"S")</f>
        <v>0</v>
      </c>
      <c r="G111" s="2">
        <f>IF(INVESTORS_LIST[[#This Row],[LS_TOTAL UNITS BUY]]=0,0,INVESTORS_LIST[[#This Row],[LS_TOTAL UNITS BUY]]-INVESTORS_LIST[[#This Row],[LS_TOTAL UNITS SOLD]])</f>
        <v>0</v>
      </c>
      <c r="H111" s="4">
        <f>IF(INVESTORS_LIST[[#This Row],[LS_TOTAL UNITS BUY]]=0,0,SUMIFS(LS[Amount],LS[Investor ID],INVESTORS_LIST[[#This Row],[INVESTOR CODE]],LS[B/S],"B"))</f>
        <v>0</v>
      </c>
      <c r="I111" s="6">
        <f>IF(INVESTORS_LIST[[#This Row],[LS_TOTAL UNITS SOLD]]=0,0,SUMIFS(LS[Cost of Units Sold],LS[Investor ID],INVESTORS_LIST[[#This Row],[INVESTOR CODE]],LS[B/S],"S"))</f>
        <v>0</v>
      </c>
      <c r="J111" s="6">
        <f>IF(INVESTORS_LIST[[#This Row],[LS_TOTAL CURRENT UNITS]]=0,0,INVESTORS_LIST[[#This Row],[LS_TOTAL CURRENT UNITS]]*INVESTORS_LIST[[#This Row],[LS_AVERAGE COST]])</f>
        <v>0</v>
      </c>
      <c r="K111" s="4">
        <f>IF(INVESTORS_LIST[[#This Row],[LS_TOTAL UNITS SOLD]]=0,0,SUMIFS(LS[Realized Gain],LS[Investor ID],INVESTORS_LIST[[#This Row],[INVESTOR CODE]],LS[B/S],"S"))</f>
        <v>0</v>
      </c>
      <c r="L111" s="2">
        <f>SUMIFS(SIP[Unit],SIP[Investor ID],INVESTORS_LIST[[#This Row],[INVESTOR CODE]],SIP[B/S],"B")</f>
        <v>0</v>
      </c>
      <c r="M111" s="2">
        <f>-SUMIFS(SIP[Unit],SIP[Investor ID],INVESTORS_LIST[[#This Row],[INVESTOR CODE]],SIP[B/S],"S")</f>
        <v>0</v>
      </c>
      <c r="N111" s="33">
        <f>IF(INVESTORS_LIST[[#This Row],[SIP_TOTAL UNITS BUY]]=0,0,INVESTORS_LIST[[#This Row],[SIP_TOTAL UNITS BUY]]-INVESTORS_LIST[[#This Row],[SIP_TOTAL UNITS SOLD]])</f>
        <v>0</v>
      </c>
      <c r="O111" s="4">
        <f>IF(INVESTORS_LIST[[#This Row],[SIP_TOTAL UNITS BUY]]=0,0,SUMIFS(SIP[Amount],SIP[Investor ID],INVESTORS_LIST[[#This Row],[INVESTOR CODE]],SIP[B/S],"B"))</f>
        <v>0</v>
      </c>
      <c r="P111" s="4">
        <f>IF(INVESTORS_LIST[[#This Row],[SIP_TOTAL UNITS SOLD]]=0,0,SUMIFS(SIP[Cost of Units Sold],SIP[Investor ID],INVESTORS_LIST[[#This Row],[INVESTOR CODE]],SIP[B/S],"S"))</f>
        <v>0</v>
      </c>
      <c r="Q111" s="6">
        <f>IF(INVESTORS_LIST[[#This Row],[SIP_TOTAL CURRENT UNITS]]=0,0,INVESTORS_LIST[[#This Row],[SIP_TOTAL CURRENT UNITS]]*INVESTORS_LIST[[#This Row],[SIP_AVERAGE COST]])</f>
        <v>0</v>
      </c>
      <c r="R111" s="6">
        <f>IF(INVESTORS_LIST[[#This Row],[SIP_TOTAL UNITS SOLD]]=0,0,SUMIFS(SIP[Realized Gain],SIP[Investor ID],INVESTORS_LIST[[#This Row],[INVESTOR CODE]],SIP[B/S],"S"))</f>
        <v>0</v>
      </c>
      <c r="S111" s="33">
        <f>INVESTORS_LIST[[#This Row],[LS_TOTAL UNITS BUY]]+INVESTORS_LIST[[#This Row],[SIP_TOTAL UNITS BUY]]</f>
        <v>0</v>
      </c>
      <c r="T111" s="33">
        <f>INVESTORS_LIST[[#This Row],[LS_TOTAL UNITS SOLD]]+INVESTORS_LIST[[#This Row],[SIP_TOTAL UNITS SOLD]]</f>
        <v>0</v>
      </c>
      <c r="U111" s="33">
        <v>0</v>
      </c>
      <c r="V111" s="33">
        <f>SUMIFS(LS[BO UNIT TRANSFER],LS[Investor ID],INVESTORS_LIST[[#This Row],[INVESTOR CODE]],LS[B/S],"B")</f>
        <v>0</v>
      </c>
      <c r="W111" s="33">
        <f>SUMIFS(LS[BO UNIT TRANSFER],LS[Investor ID],INVESTORS_LIST[[#This Row],[INVESTOR CODE]],LS[B/S],"S")</f>
        <v>0</v>
      </c>
      <c r="X111" s="33">
        <f>SUMIFS(SIP[BO UNIT TRANSFER],SIP[Investor ID],INVESTORS_LIST[[#This Row],[INVESTOR CODE]],SIP[B/S],"S")</f>
        <v>0</v>
      </c>
      <c r="Y111" s="33">
        <f>SUMIFS(SIP[BO UNIT TRANSFER],SIP[Investor ID],INVESTORS_LIST[[#This Row],[INVESTOR CODE]],SIP[B/S],"B")</f>
        <v>0</v>
      </c>
      <c r="Z11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11" s="119">
        <f>INVESTORS_LIST[[#This Row],[TOTAL UNITS BUY]]-INVESTORS_LIST[[#This Row],[TOTAL UNITS SOLD]]</f>
        <v>0</v>
      </c>
      <c r="AB111" s="119">
        <f>INVESTORS_LIST[[#This Row],[TOTAL CURRENT UNITS]]-INVESTORS_LIST[[#This Row],[BO UNITS HOLD]]</f>
        <v>0</v>
      </c>
      <c r="AC111" s="119" t="e">
        <f>INDEX([4]!Table_1[BO ID],MATCH(INVESTORS_LIST[[#This Row],[INVESTOR CODE]],[4]!Table_1[INVESTOR CODE],0))</f>
        <v>#REF!</v>
      </c>
      <c r="AD111" s="33">
        <f>INVESTORS_LIST[[#This Row],[LS_TOTAL COST VALUE OF CURRENT UNITS]]+INVESTORS_LIST[[#This Row],[SIP_TOTAL COST VALUE OF CURRENT UNITS]]</f>
        <v>0</v>
      </c>
      <c r="AE111" s="44">
        <f>IF(INVESTORS_LIST[[#This Row],[TOTAL CURRENT UNITS]]=0,0,INVESTORS_LIST[[#This Row],[LS_TOTAL CURRENT UNITS]]/INVESTORS_LIST[[#This Row],[TOTAL CURRENT UNITS]])</f>
        <v>0</v>
      </c>
      <c r="AF111" s="44">
        <f>IF(INVESTORS_LIST[[#This Row],[TOTAL CURRENT UNITS]]=0,0,INVESTORS_LIST[[#This Row],[SIP_TOTAL CURRENT UNITS]]/INVESTORS_LIST[[#This Row],[TOTAL CURRENT UNITS]])</f>
        <v>0</v>
      </c>
      <c r="AG111" s="4" cm="1">
        <f t="array" ref="AG1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11" s="4" cm="1">
        <f t="array" ref="AH1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1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11" s="178">
        <f t="shared" si="1"/>
        <v>12.552</v>
      </c>
      <c r="AK111" s="118">
        <f>IF(INVESTORS_LIST[[#This Row],[TOTAL CURRENT UNITS]]=0,0,INVESTORS_LIST[[#This Row],[TOTAL CURRENT UNITS]]*INVESTORS_LIST[[#This Row],[NAV]])</f>
        <v>0</v>
      </c>
      <c r="AL111" s="4">
        <f>IF(INVESTORS_LIST[[#This Row],[LS_TOTAL CURRENT UNITS]]=0,0,INVESTORS_LIST[[#This Row],[LS_TOTAL CURRENT UNITS]]*INVESTORS_LIST[[#This Row],[NAV]])</f>
        <v>0</v>
      </c>
      <c r="AM111" s="6">
        <f>IF(INVESTORS_LIST[[#This Row],[SIP_TOTAL CURRENT UNITS]]=0,0,INVESTORS_LIST[[#This Row],[SIP_TOTAL CURRENT UNITS]]*INVESTORS_LIST[[#This Row],[NAV]])</f>
        <v>0</v>
      </c>
      <c r="AO111" s="6">
        <f>IF(INVESTORS_LIST[[#This Row],[TOTAL SELLABLE UNITS]]=0,0,INVESTORS_LIST[[#This Row],[TOTAL SELLABLE UNITS]]*INVESTORS_LIST[[#This Row],[NAV]])</f>
        <v>0</v>
      </c>
      <c r="AP111" s="6">
        <f>INVESTORS_LIST[[#This Row],[LS_TOTAL REALIZED GAIN]]+INVESTORS_LIST[[#This Row],[SIP_TOTAL REALIZED GAIN]]</f>
        <v>0</v>
      </c>
      <c r="AQ111" s="6">
        <f>INVESTORS_LIST[[#This Row],[TOTAL MARKET VALUE]]-INVESTORS_LIST[[#This Row],[TOTAL COST VALUE OF CURRENT INVESTMENT]]</f>
        <v>0</v>
      </c>
      <c r="AR111" s="6">
        <f>SUMIFS(DivAndTax[Tax Amount],DivAndTax[Investor ID],INVESTORS_LIST[[#This Row],[INVESTOR CODE]])</f>
        <v>0</v>
      </c>
      <c r="AS111" s="6">
        <f>SUMIFS(DivAndTax[Gross Dividend],DivAndTax[Investor ID],INVESTORS_LIST[[#This Row],[INVESTOR CODE]])</f>
        <v>0</v>
      </c>
      <c r="AT111" s="5">
        <f>IFERROR(INVESTORS_LIST[[#This Row],[TOTAL CURRENT UNITS]]/SUM(INVESTORS_LIST[TOTAL CURRENT UNITS]),0)</f>
        <v>0</v>
      </c>
    </row>
    <row r="112" spans="1:46" hidden="1">
      <c r="A112" t="s">
        <v>139</v>
      </c>
      <c r="B112" t="s">
        <v>140</v>
      </c>
      <c r="C112" t="s">
        <v>536</v>
      </c>
      <c r="D112" s="8" t="s">
        <v>2</v>
      </c>
      <c r="E112" s="2">
        <f>SUMIFS(LS[Unit],LS[Investor ID],INVESTORS_LIST[[#This Row],[INVESTOR CODE]],LS[B/S],"B")</f>
        <v>0</v>
      </c>
      <c r="F112" s="2">
        <f>-SUMIFS(LS[Unit],LS[Investor ID],INVESTORS_LIST[[#This Row],[INVESTOR CODE]],LS[B/S],"S")</f>
        <v>0</v>
      </c>
      <c r="G112" s="2">
        <f>IF(INVESTORS_LIST[[#This Row],[LS_TOTAL UNITS BUY]]=0,0,INVESTORS_LIST[[#This Row],[LS_TOTAL UNITS BUY]]-INVESTORS_LIST[[#This Row],[LS_TOTAL UNITS SOLD]])</f>
        <v>0</v>
      </c>
      <c r="H112" s="4">
        <f>IF(INVESTORS_LIST[[#This Row],[LS_TOTAL UNITS BUY]]=0,0,SUMIFS(LS[Amount],LS[Investor ID],INVESTORS_LIST[[#This Row],[INVESTOR CODE]],LS[B/S],"B"))</f>
        <v>0</v>
      </c>
      <c r="I112" s="6">
        <f>IF(INVESTORS_LIST[[#This Row],[LS_TOTAL UNITS SOLD]]=0,0,SUMIFS(LS[Cost of Units Sold],LS[Investor ID],INVESTORS_LIST[[#This Row],[INVESTOR CODE]],LS[B/S],"S"))</f>
        <v>0</v>
      </c>
      <c r="J112" s="6">
        <f>IF(INVESTORS_LIST[[#This Row],[LS_TOTAL CURRENT UNITS]]=0,0,INVESTORS_LIST[[#This Row],[LS_TOTAL CURRENT UNITS]]*INVESTORS_LIST[[#This Row],[LS_AVERAGE COST]])</f>
        <v>0</v>
      </c>
      <c r="K112" s="4">
        <f>IF(INVESTORS_LIST[[#This Row],[LS_TOTAL UNITS SOLD]]=0,0,SUMIFS(LS[Realized Gain],LS[Investor ID],INVESTORS_LIST[[#This Row],[INVESTOR CODE]],LS[B/S],"S"))</f>
        <v>0</v>
      </c>
      <c r="L112" s="2">
        <f>SUMIFS(SIP[Unit],SIP[Investor ID],INVESTORS_LIST[[#This Row],[INVESTOR CODE]],SIP[B/S],"B")</f>
        <v>0</v>
      </c>
      <c r="M112" s="2">
        <f>-SUMIFS(SIP[Unit],SIP[Investor ID],INVESTORS_LIST[[#This Row],[INVESTOR CODE]],SIP[B/S],"S")</f>
        <v>0</v>
      </c>
      <c r="N112" s="33">
        <f>IF(INVESTORS_LIST[[#This Row],[SIP_TOTAL UNITS BUY]]=0,0,INVESTORS_LIST[[#This Row],[SIP_TOTAL UNITS BUY]]-INVESTORS_LIST[[#This Row],[SIP_TOTAL UNITS SOLD]])</f>
        <v>0</v>
      </c>
      <c r="O112" s="4">
        <f>IF(INVESTORS_LIST[[#This Row],[SIP_TOTAL UNITS BUY]]=0,0,SUMIFS(SIP[Amount],SIP[Investor ID],INVESTORS_LIST[[#This Row],[INVESTOR CODE]],SIP[B/S],"B"))</f>
        <v>0</v>
      </c>
      <c r="P112" s="4">
        <f>IF(INVESTORS_LIST[[#This Row],[SIP_TOTAL UNITS SOLD]]=0,0,SUMIFS(SIP[Cost of Units Sold],SIP[Investor ID],INVESTORS_LIST[[#This Row],[INVESTOR CODE]],SIP[B/S],"S"))</f>
        <v>0</v>
      </c>
      <c r="Q112" s="6">
        <f>IF(INVESTORS_LIST[[#This Row],[SIP_TOTAL CURRENT UNITS]]=0,0,INVESTORS_LIST[[#This Row],[SIP_TOTAL CURRENT UNITS]]*INVESTORS_LIST[[#This Row],[SIP_AVERAGE COST]])</f>
        <v>0</v>
      </c>
      <c r="R112" s="6">
        <f>IF(INVESTORS_LIST[[#This Row],[SIP_TOTAL UNITS SOLD]]=0,0,SUMIFS(SIP[Realized Gain],SIP[Investor ID],INVESTORS_LIST[[#This Row],[INVESTOR CODE]],SIP[B/S],"S"))</f>
        <v>0</v>
      </c>
      <c r="S112" s="33">
        <f>INVESTORS_LIST[[#This Row],[LS_TOTAL UNITS BUY]]+INVESTORS_LIST[[#This Row],[SIP_TOTAL UNITS BUY]]</f>
        <v>0</v>
      </c>
      <c r="T112" s="33">
        <f>INVESTORS_LIST[[#This Row],[LS_TOTAL UNITS SOLD]]+INVESTORS_LIST[[#This Row],[SIP_TOTAL UNITS SOLD]]</f>
        <v>0</v>
      </c>
      <c r="U112" s="33">
        <v>0</v>
      </c>
      <c r="V112" s="33">
        <f>SUMIFS(LS[BO UNIT TRANSFER],LS[Investor ID],INVESTORS_LIST[[#This Row],[INVESTOR CODE]],LS[B/S],"B")</f>
        <v>0</v>
      </c>
      <c r="W112" s="33">
        <f>SUMIFS(LS[BO UNIT TRANSFER],LS[Investor ID],INVESTORS_LIST[[#This Row],[INVESTOR CODE]],LS[B/S],"S")</f>
        <v>0</v>
      </c>
      <c r="X112" s="33">
        <f>SUMIFS(SIP[BO UNIT TRANSFER],SIP[Investor ID],INVESTORS_LIST[[#This Row],[INVESTOR CODE]],SIP[B/S],"S")</f>
        <v>0</v>
      </c>
      <c r="Y112" s="33">
        <f>SUMIFS(SIP[BO UNIT TRANSFER],SIP[Investor ID],INVESTORS_LIST[[#This Row],[INVESTOR CODE]],SIP[B/S],"B")</f>
        <v>0</v>
      </c>
      <c r="Z11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12" s="119">
        <f>INVESTORS_LIST[[#This Row],[TOTAL UNITS BUY]]-INVESTORS_LIST[[#This Row],[TOTAL UNITS SOLD]]</f>
        <v>0</v>
      </c>
      <c r="AB112" s="119">
        <f>INVESTORS_LIST[[#This Row],[TOTAL CURRENT UNITS]]-INVESTORS_LIST[[#This Row],[BO UNITS HOLD]]</f>
        <v>0</v>
      </c>
      <c r="AC112" s="119" t="e">
        <f>INDEX([4]!Table_1[BO ID],MATCH(INVESTORS_LIST[[#This Row],[INVESTOR CODE]],[4]!Table_1[INVESTOR CODE],0))</f>
        <v>#REF!</v>
      </c>
      <c r="AD112" s="33">
        <f>INVESTORS_LIST[[#This Row],[LS_TOTAL COST VALUE OF CURRENT UNITS]]+INVESTORS_LIST[[#This Row],[SIP_TOTAL COST VALUE OF CURRENT UNITS]]</f>
        <v>0</v>
      </c>
      <c r="AE112" s="44">
        <f>IF(INVESTORS_LIST[[#This Row],[TOTAL CURRENT UNITS]]=0,0,INVESTORS_LIST[[#This Row],[LS_TOTAL CURRENT UNITS]]/INVESTORS_LIST[[#This Row],[TOTAL CURRENT UNITS]])</f>
        <v>0</v>
      </c>
      <c r="AF112" s="44">
        <f>IF(INVESTORS_LIST[[#This Row],[TOTAL CURRENT UNITS]]=0,0,INVESTORS_LIST[[#This Row],[SIP_TOTAL CURRENT UNITS]]/INVESTORS_LIST[[#This Row],[TOTAL CURRENT UNITS]])</f>
        <v>0</v>
      </c>
      <c r="AG112" s="4" cm="1">
        <f t="array" ref="AG1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12" s="4" cm="1">
        <f t="array" ref="AH1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1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12" s="178">
        <f t="shared" si="1"/>
        <v>12.552</v>
      </c>
      <c r="AK112" s="118">
        <f>IF(INVESTORS_LIST[[#This Row],[TOTAL CURRENT UNITS]]=0,0,INVESTORS_LIST[[#This Row],[TOTAL CURRENT UNITS]]*INVESTORS_LIST[[#This Row],[NAV]])</f>
        <v>0</v>
      </c>
      <c r="AL112" s="4">
        <f>IF(INVESTORS_LIST[[#This Row],[LS_TOTAL CURRENT UNITS]]=0,0,INVESTORS_LIST[[#This Row],[LS_TOTAL CURRENT UNITS]]*INVESTORS_LIST[[#This Row],[NAV]])</f>
        <v>0</v>
      </c>
      <c r="AM112" s="6">
        <f>IF(INVESTORS_LIST[[#This Row],[SIP_TOTAL CURRENT UNITS]]=0,0,INVESTORS_LIST[[#This Row],[SIP_TOTAL CURRENT UNITS]]*INVESTORS_LIST[[#This Row],[NAV]])</f>
        <v>0</v>
      </c>
      <c r="AO112" s="6">
        <f>IF(INVESTORS_LIST[[#This Row],[TOTAL SELLABLE UNITS]]=0,0,INVESTORS_LIST[[#This Row],[TOTAL SELLABLE UNITS]]*INVESTORS_LIST[[#This Row],[NAV]])</f>
        <v>0</v>
      </c>
      <c r="AP112" s="6">
        <f>INVESTORS_LIST[[#This Row],[LS_TOTAL REALIZED GAIN]]+INVESTORS_LIST[[#This Row],[SIP_TOTAL REALIZED GAIN]]</f>
        <v>0</v>
      </c>
      <c r="AQ112" s="6">
        <f>INVESTORS_LIST[[#This Row],[TOTAL MARKET VALUE]]-INVESTORS_LIST[[#This Row],[TOTAL COST VALUE OF CURRENT INVESTMENT]]</f>
        <v>0</v>
      </c>
      <c r="AR112" s="6">
        <f>SUMIFS(DivAndTax[Tax Amount],DivAndTax[Investor ID],INVESTORS_LIST[[#This Row],[INVESTOR CODE]])</f>
        <v>0</v>
      </c>
      <c r="AS112" s="6">
        <f>SUMIFS(DivAndTax[Gross Dividend],DivAndTax[Investor ID],INVESTORS_LIST[[#This Row],[INVESTOR CODE]])</f>
        <v>0</v>
      </c>
      <c r="AT112" s="5">
        <f>IFERROR(INVESTORS_LIST[[#This Row],[TOTAL CURRENT UNITS]]/SUM(INVESTORS_LIST[TOTAL CURRENT UNITS]),0)</f>
        <v>0</v>
      </c>
    </row>
    <row r="113" spans="1:46">
      <c r="A113" t="s">
        <v>141</v>
      </c>
      <c r="B113" t="s">
        <v>142</v>
      </c>
      <c r="C113" t="s">
        <v>536</v>
      </c>
      <c r="D113" s="8" t="s">
        <v>2</v>
      </c>
      <c r="E113" s="2">
        <f>SUMIFS(LS[Unit],LS[Investor ID],INVESTORS_LIST[[#This Row],[INVESTOR CODE]],LS[B/S],"B")</f>
        <v>21819</v>
      </c>
      <c r="F113" s="2">
        <f>-SUMIFS(LS[Unit],LS[Investor ID],INVESTORS_LIST[[#This Row],[INVESTOR CODE]],LS[B/S],"S")</f>
        <v>0</v>
      </c>
      <c r="G113" s="2">
        <f>IF(INVESTORS_LIST[[#This Row],[LS_TOTAL UNITS BUY]]=0,0,INVESTORS_LIST[[#This Row],[LS_TOTAL UNITS BUY]]-INVESTORS_LIST[[#This Row],[LS_TOTAL UNITS SOLD]])</f>
        <v>21819</v>
      </c>
      <c r="H113" s="4">
        <f>IF(INVESTORS_LIST[[#This Row],[LS_TOTAL UNITS BUY]]=0,0,SUMIFS(LS[Amount],LS[Investor ID],INVESTORS_LIST[[#This Row],[INVESTOR CODE]],LS[B/S],"B"))</f>
        <v>220372.42</v>
      </c>
      <c r="I113" s="6">
        <f>IF(INVESTORS_LIST[[#This Row],[LS_TOTAL UNITS SOLD]]=0,0,SUMIFS(LS[Cost of Units Sold],LS[Investor ID],INVESTORS_LIST[[#This Row],[INVESTOR CODE]],LS[B/S],"S"))</f>
        <v>0</v>
      </c>
      <c r="J113" s="6">
        <f>IF(INVESTORS_LIST[[#This Row],[LS_TOTAL CURRENT UNITS]]=0,0,INVESTORS_LIST[[#This Row],[LS_TOTAL CURRENT UNITS]]*INVESTORS_LIST[[#This Row],[LS_AVERAGE COST]])</f>
        <v>220372.42</v>
      </c>
      <c r="K113" s="4">
        <f>IF(INVESTORS_LIST[[#This Row],[LS_TOTAL UNITS SOLD]]=0,0,SUMIFS(LS[Realized Gain],LS[Investor ID],INVESTORS_LIST[[#This Row],[INVESTOR CODE]],LS[B/S],"S"))</f>
        <v>0</v>
      </c>
      <c r="L113" s="2">
        <f>SUMIFS(SIP[Unit],SIP[Investor ID],INVESTORS_LIST[[#This Row],[INVESTOR CODE]],SIP[B/S],"B")</f>
        <v>0</v>
      </c>
      <c r="M113" s="2">
        <f>-SUMIFS(SIP[Unit],SIP[Investor ID],INVESTORS_LIST[[#This Row],[INVESTOR CODE]],SIP[B/S],"S")</f>
        <v>0</v>
      </c>
      <c r="N113" s="33">
        <f>IF(INVESTORS_LIST[[#This Row],[SIP_TOTAL UNITS BUY]]=0,0,INVESTORS_LIST[[#This Row],[SIP_TOTAL UNITS BUY]]-INVESTORS_LIST[[#This Row],[SIP_TOTAL UNITS SOLD]])</f>
        <v>0</v>
      </c>
      <c r="O113" s="4">
        <f>IF(INVESTORS_LIST[[#This Row],[SIP_TOTAL UNITS BUY]]=0,0,SUMIFS(SIP[Amount],SIP[Investor ID],INVESTORS_LIST[[#This Row],[INVESTOR CODE]],SIP[B/S],"B"))</f>
        <v>0</v>
      </c>
      <c r="P113" s="4">
        <f>IF(INVESTORS_LIST[[#This Row],[SIP_TOTAL UNITS SOLD]]=0,0,SUMIFS(SIP[Cost of Units Sold],SIP[Investor ID],INVESTORS_LIST[[#This Row],[INVESTOR CODE]],SIP[B/S],"S"))</f>
        <v>0</v>
      </c>
      <c r="Q113" s="6">
        <f>IF(INVESTORS_LIST[[#This Row],[SIP_TOTAL CURRENT UNITS]]=0,0,INVESTORS_LIST[[#This Row],[SIP_TOTAL CURRENT UNITS]]*INVESTORS_LIST[[#This Row],[SIP_AVERAGE COST]])</f>
        <v>0</v>
      </c>
      <c r="R113" s="6">
        <f>IF(INVESTORS_LIST[[#This Row],[SIP_TOTAL UNITS SOLD]]=0,0,SUMIFS(SIP[Realized Gain],SIP[Investor ID],INVESTORS_LIST[[#This Row],[INVESTOR CODE]],SIP[B/S],"S"))</f>
        <v>0</v>
      </c>
      <c r="S113" s="33">
        <f>INVESTORS_LIST[[#This Row],[LS_TOTAL UNITS BUY]]+INVESTORS_LIST[[#This Row],[SIP_TOTAL UNITS BUY]]</f>
        <v>21819</v>
      </c>
      <c r="T113" s="33">
        <f>INVESTORS_LIST[[#This Row],[LS_TOTAL UNITS SOLD]]+INVESTORS_LIST[[#This Row],[SIP_TOTAL UNITS SOLD]]</f>
        <v>0</v>
      </c>
      <c r="U113" s="33">
        <v>0</v>
      </c>
      <c r="V113" s="33">
        <f>SUMIFS(LS[BO UNIT TRANSFER],LS[Investor ID],INVESTORS_LIST[[#This Row],[INVESTOR CODE]],LS[B/S],"B")</f>
        <v>0</v>
      </c>
      <c r="W113" s="33">
        <f>SUMIFS(LS[BO UNIT TRANSFER],LS[Investor ID],INVESTORS_LIST[[#This Row],[INVESTOR CODE]],LS[B/S],"S")</f>
        <v>0</v>
      </c>
      <c r="X113" s="33">
        <f>SUMIFS(SIP[BO UNIT TRANSFER],SIP[Investor ID],INVESTORS_LIST[[#This Row],[INVESTOR CODE]],SIP[B/S],"S")</f>
        <v>0</v>
      </c>
      <c r="Y113" s="33">
        <f>SUMIFS(SIP[BO UNIT TRANSFER],SIP[Investor ID],INVESTORS_LIST[[#This Row],[INVESTOR CODE]],SIP[B/S],"B")</f>
        <v>0</v>
      </c>
      <c r="Z11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13" s="119">
        <f>INVESTORS_LIST[[#This Row],[TOTAL UNITS BUY]]-INVESTORS_LIST[[#This Row],[TOTAL UNITS SOLD]]</f>
        <v>21819</v>
      </c>
      <c r="AB113" s="119">
        <f>INVESTORS_LIST[[#This Row],[TOTAL CURRENT UNITS]]-INVESTORS_LIST[[#This Row],[BO UNITS HOLD]]</f>
        <v>21819</v>
      </c>
      <c r="AC113" s="119" t="e">
        <f>INDEX([4]!Table_1[BO ID],MATCH(INVESTORS_LIST[[#This Row],[INVESTOR CODE]],[4]!Table_1[INVESTOR CODE],0))</f>
        <v>#REF!</v>
      </c>
      <c r="AD113" s="33">
        <f>INVESTORS_LIST[[#This Row],[LS_TOTAL COST VALUE OF CURRENT UNITS]]+INVESTORS_LIST[[#This Row],[SIP_TOTAL COST VALUE OF CURRENT UNITS]]</f>
        <v>220372.42</v>
      </c>
      <c r="AE113" s="44">
        <f>IF(INVESTORS_LIST[[#This Row],[TOTAL CURRENT UNITS]]=0,0,INVESTORS_LIST[[#This Row],[LS_TOTAL CURRENT UNITS]]/INVESTORS_LIST[[#This Row],[TOTAL CURRENT UNITS]])</f>
        <v>1</v>
      </c>
      <c r="AF113" s="44">
        <f>IF(INVESTORS_LIST[[#This Row],[TOTAL CURRENT UNITS]]=0,0,INVESTORS_LIST[[#This Row],[SIP_TOTAL CURRENT UNITS]]/INVESTORS_LIST[[#This Row],[TOTAL CURRENT UNITS]])</f>
        <v>0</v>
      </c>
      <c r="AG113" s="4" cm="1">
        <f t="array" ref="AG113">IF(INVESTORS_LIST[[#This Row],[LS_TOTAL UNITS BUY]]&gt;0,INDEX(LS[NAV at Cost (Average)],MATCH(CONCATENATE(COUNTIFS(LS[Investor ID],INVESTORS_LIST[[#This Row],[INVESTOR CODE]]),INVESTORS_LIST[[#This Row],[INVESTOR CODE]]),LS[Unique Code],0),),0)</f>
        <v>10.100023832439618</v>
      </c>
      <c r="AH113" s="4" cm="1">
        <f t="array" ref="AH1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13" s="178">
        <f>IF(INVESTORS_LIST[[#This Row],[TOTAL CURRENT UNITS]]=0,0,(INVESTORS_LIST[[#This Row],[LS_WEIGHT]]*INVESTORS_LIST[[#This Row],[LS_AVERAGE COST]])+(INVESTORS_LIST[[#This Row],[SIP_WEIGHT]]*INVESTORS_LIST[[#This Row],[SIP_AVERAGE COST]]))</f>
        <v>10.100023832439618</v>
      </c>
      <c r="AJ113" s="178">
        <f t="shared" si="1"/>
        <v>12.552</v>
      </c>
      <c r="AK113" s="118">
        <f>IF(INVESTORS_LIST[[#This Row],[TOTAL CURRENT UNITS]]=0,0,INVESTORS_LIST[[#This Row],[TOTAL CURRENT UNITS]]*INVESTORS_LIST[[#This Row],[NAV]])</f>
        <v>273872.08799999999</v>
      </c>
      <c r="AL113" s="4">
        <f>IF(INVESTORS_LIST[[#This Row],[LS_TOTAL CURRENT UNITS]]=0,0,INVESTORS_LIST[[#This Row],[LS_TOTAL CURRENT UNITS]]*INVESTORS_LIST[[#This Row],[NAV]])</f>
        <v>273872.08799999999</v>
      </c>
      <c r="AM113" s="6">
        <f>IF(INVESTORS_LIST[[#This Row],[SIP_TOTAL CURRENT UNITS]]=0,0,INVESTORS_LIST[[#This Row],[SIP_TOTAL CURRENT UNITS]]*INVESTORS_LIST[[#This Row],[NAV]])</f>
        <v>0</v>
      </c>
      <c r="AO113" s="6">
        <f>IF(INVESTORS_LIST[[#This Row],[TOTAL SELLABLE UNITS]]=0,0,INVESTORS_LIST[[#This Row],[TOTAL SELLABLE UNITS]]*INVESTORS_LIST[[#This Row],[NAV]])</f>
        <v>0</v>
      </c>
      <c r="AP113" s="6">
        <f>INVESTORS_LIST[[#This Row],[LS_TOTAL REALIZED GAIN]]+INVESTORS_LIST[[#This Row],[SIP_TOTAL REALIZED GAIN]]</f>
        <v>0</v>
      </c>
      <c r="AQ113" s="6">
        <f>INVESTORS_LIST[[#This Row],[TOTAL MARKET VALUE]]-INVESTORS_LIST[[#This Row],[TOTAL COST VALUE OF CURRENT INVESTMENT]]</f>
        <v>53499.667999999976</v>
      </c>
      <c r="AR113" s="6">
        <f>SUMIFS(DivAndTax[Tax Amount],DivAndTax[Investor ID],INVESTORS_LIST[[#This Row],[INVESTOR CODE]])</f>
        <v>3398.2200000000003</v>
      </c>
      <c r="AS113" s="6">
        <f>SUMIFS(DivAndTax[Gross Dividend],DivAndTax[Investor ID],INVESTORS_LIST[[#This Row],[INVESTOR CODE]])</f>
        <v>22654.75</v>
      </c>
      <c r="AT113" s="5">
        <f>IFERROR(INVESTORS_LIST[[#This Row],[TOTAL CURRENT UNITS]]/SUM(INVESTORS_LIST[TOTAL CURRENT UNITS]),0)</f>
        <v>1.0461083560943448E-3</v>
      </c>
    </row>
    <row r="114" spans="1:46" hidden="1">
      <c r="A114" t="s">
        <v>143</v>
      </c>
      <c r="B114" t="s">
        <v>144</v>
      </c>
      <c r="C114" t="s">
        <v>536</v>
      </c>
      <c r="D114" s="8" t="s">
        <v>2</v>
      </c>
      <c r="E114" s="2">
        <f>SUMIFS(LS[Unit],LS[Investor ID],INVESTORS_LIST[[#This Row],[INVESTOR CODE]],LS[B/S],"B")</f>
        <v>0</v>
      </c>
      <c r="F114" s="2">
        <f>-SUMIFS(LS[Unit],LS[Investor ID],INVESTORS_LIST[[#This Row],[INVESTOR CODE]],LS[B/S],"S")</f>
        <v>0</v>
      </c>
      <c r="G114" s="2">
        <f>IF(INVESTORS_LIST[[#This Row],[LS_TOTAL UNITS BUY]]=0,0,INVESTORS_LIST[[#This Row],[LS_TOTAL UNITS BUY]]-INVESTORS_LIST[[#This Row],[LS_TOTAL UNITS SOLD]])</f>
        <v>0</v>
      </c>
      <c r="H114" s="4">
        <f>IF(INVESTORS_LIST[[#This Row],[LS_TOTAL UNITS BUY]]=0,0,SUMIFS(LS[Amount],LS[Investor ID],INVESTORS_LIST[[#This Row],[INVESTOR CODE]],LS[B/S],"B"))</f>
        <v>0</v>
      </c>
      <c r="I114" s="6">
        <f>IF(INVESTORS_LIST[[#This Row],[LS_TOTAL UNITS SOLD]]=0,0,SUMIFS(LS[Cost of Units Sold],LS[Investor ID],INVESTORS_LIST[[#This Row],[INVESTOR CODE]],LS[B/S],"S"))</f>
        <v>0</v>
      </c>
      <c r="J114" s="6">
        <f>IF(INVESTORS_LIST[[#This Row],[LS_TOTAL CURRENT UNITS]]=0,0,INVESTORS_LIST[[#This Row],[LS_TOTAL CURRENT UNITS]]*INVESTORS_LIST[[#This Row],[LS_AVERAGE COST]])</f>
        <v>0</v>
      </c>
      <c r="K114" s="4">
        <f>IF(INVESTORS_LIST[[#This Row],[LS_TOTAL UNITS SOLD]]=0,0,SUMIFS(LS[Realized Gain],LS[Investor ID],INVESTORS_LIST[[#This Row],[INVESTOR CODE]],LS[B/S],"S"))</f>
        <v>0</v>
      </c>
      <c r="L114" s="2">
        <f>SUMIFS(SIP[Unit],SIP[Investor ID],INVESTORS_LIST[[#This Row],[INVESTOR CODE]],SIP[B/S],"B")</f>
        <v>0</v>
      </c>
      <c r="M114" s="2">
        <f>-SUMIFS(SIP[Unit],SIP[Investor ID],INVESTORS_LIST[[#This Row],[INVESTOR CODE]],SIP[B/S],"S")</f>
        <v>0</v>
      </c>
      <c r="N114" s="33">
        <f>IF(INVESTORS_LIST[[#This Row],[SIP_TOTAL UNITS BUY]]=0,0,INVESTORS_LIST[[#This Row],[SIP_TOTAL UNITS BUY]]-INVESTORS_LIST[[#This Row],[SIP_TOTAL UNITS SOLD]])</f>
        <v>0</v>
      </c>
      <c r="O114" s="4">
        <f>IF(INVESTORS_LIST[[#This Row],[SIP_TOTAL UNITS BUY]]=0,0,SUMIFS(SIP[Amount],SIP[Investor ID],INVESTORS_LIST[[#This Row],[INVESTOR CODE]],SIP[B/S],"B"))</f>
        <v>0</v>
      </c>
      <c r="P114" s="4">
        <f>IF(INVESTORS_LIST[[#This Row],[SIP_TOTAL UNITS SOLD]]=0,0,SUMIFS(SIP[Cost of Units Sold],SIP[Investor ID],INVESTORS_LIST[[#This Row],[INVESTOR CODE]],SIP[B/S],"S"))</f>
        <v>0</v>
      </c>
      <c r="Q114" s="6">
        <f>IF(INVESTORS_LIST[[#This Row],[SIP_TOTAL CURRENT UNITS]]=0,0,INVESTORS_LIST[[#This Row],[SIP_TOTAL CURRENT UNITS]]*INVESTORS_LIST[[#This Row],[SIP_AVERAGE COST]])</f>
        <v>0</v>
      </c>
      <c r="R114" s="6">
        <f>IF(INVESTORS_LIST[[#This Row],[SIP_TOTAL UNITS SOLD]]=0,0,SUMIFS(SIP[Realized Gain],SIP[Investor ID],INVESTORS_LIST[[#This Row],[INVESTOR CODE]],SIP[B/S],"S"))</f>
        <v>0</v>
      </c>
      <c r="S114" s="33">
        <f>INVESTORS_LIST[[#This Row],[LS_TOTAL UNITS BUY]]+INVESTORS_LIST[[#This Row],[SIP_TOTAL UNITS BUY]]</f>
        <v>0</v>
      </c>
      <c r="T114" s="33">
        <f>INVESTORS_LIST[[#This Row],[LS_TOTAL UNITS SOLD]]+INVESTORS_LIST[[#This Row],[SIP_TOTAL UNITS SOLD]]</f>
        <v>0</v>
      </c>
      <c r="U114" s="33">
        <v>0</v>
      </c>
      <c r="V114" s="33">
        <f>SUMIFS(LS[BO UNIT TRANSFER],LS[Investor ID],INVESTORS_LIST[[#This Row],[INVESTOR CODE]],LS[B/S],"B")</f>
        <v>0</v>
      </c>
      <c r="W114" s="33">
        <f>SUMIFS(LS[BO UNIT TRANSFER],LS[Investor ID],INVESTORS_LIST[[#This Row],[INVESTOR CODE]],LS[B/S],"S")</f>
        <v>0</v>
      </c>
      <c r="X114" s="33">
        <f>SUMIFS(SIP[BO UNIT TRANSFER],SIP[Investor ID],INVESTORS_LIST[[#This Row],[INVESTOR CODE]],SIP[B/S],"S")</f>
        <v>0</v>
      </c>
      <c r="Y114" s="33">
        <f>SUMIFS(SIP[BO UNIT TRANSFER],SIP[Investor ID],INVESTORS_LIST[[#This Row],[INVESTOR CODE]],SIP[B/S],"B")</f>
        <v>0</v>
      </c>
      <c r="Z11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14" s="119">
        <f>INVESTORS_LIST[[#This Row],[TOTAL UNITS BUY]]-INVESTORS_LIST[[#This Row],[TOTAL UNITS SOLD]]</f>
        <v>0</v>
      </c>
      <c r="AB114" s="119">
        <f>INVESTORS_LIST[[#This Row],[TOTAL CURRENT UNITS]]-INVESTORS_LIST[[#This Row],[BO UNITS HOLD]]</f>
        <v>0</v>
      </c>
      <c r="AC114" s="119" t="e">
        <f>INDEX([4]!Table_1[BO ID],MATCH(INVESTORS_LIST[[#This Row],[INVESTOR CODE]],[4]!Table_1[INVESTOR CODE],0))</f>
        <v>#REF!</v>
      </c>
      <c r="AD114" s="33">
        <f>INVESTORS_LIST[[#This Row],[LS_TOTAL COST VALUE OF CURRENT UNITS]]+INVESTORS_LIST[[#This Row],[SIP_TOTAL COST VALUE OF CURRENT UNITS]]</f>
        <v>0</v>
      </c>
      <c r="AE114" s="44">
        <f>IF(INVESTORS_LIST[[#This Row],[TOTAL CURRENT UNITS]]=0,0,INVESTORS_LIST[[#This Row],[LS_TOTAL CURRENT UNITS]]/INVESTORS_LIST[[#This Row],[TOTAL CURRENT UNITS]])</f>
        <v>0</v>
      </c>
      <c r="AF114" s="44">
        <f>IF(INVESTORS_LIST[[#This Row],[TOTAL CURRENT UNITS]]=0,0,INVESTORS_LIST[[#This Row],[SIP_TOTAL CURRENT UNITS]]/INVESTORS_LIST[[#This Row],[TOTAL CURRENT UNITS]])</f>
        <v>0</v>
      </c>
      <c r="AG114" s="4" cm="1">
        <f t="array" ref="AG1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14" s="4" cm="1">
        <f t="array" ref="AH1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1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14" s="178">
        <f t="shared" si="1"/>
        <v>12.552</v>
      </c>
      <c r="AK114" s="118">
        <f>IF(INVESTORS_LIST[[#This Row],[TOTAL CURRENT UNITS]]=0,0,INVESTORS_LIST[[#This Row],[TOTAL CURRENT UNITS]]*INVESTORS_LIST[[#This Row],[NAV]])</f>
        <v>0</v>
      </c>
      <c r="AL114" s="4">
        <f>IF(INVESTORS_LIST[[#This Row],[LS_TOTAL CURRENT UNITS]]=0,0,INVESTORS_LIST[[#This Row],[LS_TOTAL CURRENT UNITS]]*INVESTORS_LIST[[#This Row],[NAV]])</f>
        <v>0</v>
      </c>
      <c r="AM114" s="6">
        <f>IF(INVESTORS_LIST[[#This Row],[SIP_TOTAL CURRENT UNITS]]=0,0,INVESTORS_LIST[[#This Row],[SIP_TOTAL CURRENT UNITS]]*INVESTORS_LIST[[#This Row],[NAV]])</f>
        <v>0</v>
      </c>
      <c r="AO114" s="6">
        <f>IF(INVESTORS_LIST[[#This Row],[TOTAL SELLABLE UNITS]]=0,0,INVESTORS_LIST[[#This Row],[TOTAL SELLABLE UNITS]]*INVESTORS_LIST[[#This Row],[NAV]])</f>
        <v>0</v>
      </c>
      <c r="AP114" s="6">
        <f>INVESTORS_LIST[[#This Row],[LS_TOTAL REALIZED GAIN]]+INVESTORS_LIST[[#This Row],[SIP_TOTAL REALIZED GAIN]]</f>
        <v>0</v>
      </c>
      <c r="AQ114" s="6">
        <f>INVESTORS_LIST[[#This Row],[TOTAL MARKET VALUE]]-INVESTORS_LIST[[#This Row],[TOTAL COST VALUE OF CURRENT INVESTMENT]]</f>
        <v>0</v>
      </c>
      <c r="AR114" s="6">
        <f>SUMIFS(DivAndTax[Tax Amount],DivAndTax[Investor ID],INVESTORS_LIST[[#This Row],[INVESTOR CODE]])</f>
        <v>0</v>
      </c>
      <c r="AS114" s="6">
        <f>SUMIFS(DivAndTax[Gross Dividend],DivAndTax[Investor ID],INVESTORS_LIST[[#This Row],[INVESTOR CODE]])</f>
        <v>0</v>
      </c>
      <c r="AT114" s="5">
        <f>IFERROR(INVESTORS_LIST[[#This Row],[TOTAL CURRENT UNITS]]/SUM(INVESTORS_LIST[TOTAL CURRENT UNITS]),0)</f>
        <v>0</v>
      </c>
    </row>
    <row r="115" spans="1:46">
      <c r="A115" t="s">
        <v>785</v>
      </c>
      <c r="B115" t="s">
        <v>145</v>
      </c>
      <c r="C115" t="s">
        <v>536</v>
      </c>
      <c r="D115" s="8" t="s">
        <v>2</v>
      </c>
      <c r="E115" s="2">
        <f>SUMIFS(LS[Unit],LS[Investor ID],INVESTORS_LIST[[#This Row],[INVESTOR CODE]],LS[B/S],"B")</f>
        <v>20931</v>
      </c>
      <c r="F115" s="2">
        <f>-SUMIFS(LS[Unit],LS[Investor ID],INVESTORS_LIST[[#This Row],[INVESTOR CODE]],LS[B/S],"S")</f>
        <v>0</v>
      </c>
      <c r="G115" s="2">
        <f>IF(INVESTORS_LIST[[#This Row],[LS_TOTAL UNITS BUY]]=0,0,INVESTORS_LIST[[#This Row],[LS_TOTAL UNITS BUY]]-INVESTORS_LIST[[#This Row],[LS_TOTAL UNITS SOLD]])</f>
        <v>20931</v>
      </c>
      <c r="H115" s="4">
        <f>IF(INVESTORS_LIST[[#This Row],[LS_TOTAL UNITS BUY]]=0,0,SUMIFS(LS[Amount],LS[Investor ID],INVESTORS_LIST[[#This Row],[INVESTOR CODE]],LS[B/S],"B"))</f>
        <v>218438.25</v>
      </c>
      <c r="I115" s="6">
        <f>IF(INVESTORS_LIST[[#This Row],[LS_TOTAL UNITS SOLD]]=0,0,SUMIFS(LS[Cost of Units Sold],LS[Investor ID],INVESTORS_LIST[[#This Row],[INVESTOR CODE]],LS[B/S],"S"))</f>
        <v>0</v>
      </c>
      <c r="J115" s="6">
        <f>IF(INVESTORS_LIST[[#This Row],[LS_TOTAL CURRENT UNITS]]=0,0,INVESTORS_LIST[[#This Row],[LS_TOTAL CURRENT UNITS]]*INVESTORS_LIST[[#This Row],[LS_AVERAGE COST]])</f>
        <v>218438.25000000003</v>
      </c>
      <c r="K115" s="4">
        <f>IF(INVESTORS_LIST[[#This Row],[LS_TOTAL UNITS SOLD]]=0,0,SUMIFS(LS[Realized Gain],LS[Investor ID],INVESTORS_LIST[[#This Row],[INVESTOR CODE]],LS[B/S],"S"))</f>
        <v>0</v>
      </c>
      <c r="L115" s="2">
        <f>SUMIFS(SIP[Unit],SIP[Investor ID],INVESTORS_LIST[[#This Row],[INVESTOR CODE]],SIP[B/S],"B")</f>
        <v>0</v>
      </c>
      <c r="M115" s="2">
        <f>-SUMIFS(SIP[Unit],SIP[Investor ID],INVESTORS_LIST[[#This Row],[INVESTOR CODE]],SIP[B/S],"S")</f>
        <v>0</v>
      </c>
      <c r="N115" s="33">
        <f>IF(INVESTORS_LIST[[#This Row],[SIP_TOTAL UNITS BUY]]=0,0,INVESTORS_LIST[[#This Row],[SIP_TOTAL UNITS BUY]]-INVESTORS_LIST[[#This Row],[SIP_TOTAL UNITS SOLD]])</f>
        <v>0</v>
      </c>
      <c r="O115" s="4">
        <f>IF(INVESTORS_LIST[[#This Row],[SIP_TOTAL UNITS BUY]]=0,0,SUMIFS(SIP[Amount],SIP[Investor ID],INVESTORS_LIST[[#This Row],[INVESTOR CODE]],SIP[B/S],"B"))</f>
        <v>0</v>
      </c>
      <c r="P115" s="4">
        <f>IF(INVESTORS_LIST[[#This Row],[SIP_TOTAL UNITS SOLD]]=0,0,SUMIFS(SIP[Cost of Units Sold],SIP[Investor ID],INVESTORS_LIST[[#This Row],[INVESTOR CODE]],SIP[B/S],"S"))</f>
        <v>0</v>
      </c>
      <c r="Q115" s="6">
        <f>IF(INVESTORS_LIST[[#This Row],[SIP_TOTAL CURRENT UNITS]]=0,0,INVESTORS_LIST[[#This Row],[SIP_TOTAL CURRENT UNITS]]*INVESTORS_LIST[[#This Row],[SIP_AVERAGE COST]])</f>
        <v>0</v>
      </c>
      <c r="R115" s="6">
        <f>IF(INVESTORS_LIST[[#This Row],[SIP_TOTAL UNITS SOLD]]=0,0,SUMIFS(SIP[Realized Gain],SIP[Investor ID],INVESTORS_LIST[[#This Row],[INVESTOR CODE]],SIP[B/S],"S"))</f>
        <v>0</v>
      </c>
      <c r="S115" s="33">
        <f>INVESTORS_LIST[[#This Row],[LS_TOTAL UNITS BUY]]+INVESTORS_LIST[[#This Row],[SIP_TOTAL UNITS BUY]]</f>
        <v>20931</v>
      </c>
      <c r="T115" s="33">
        <f>INVESTORS_LIST[[#This Row],[LS_TOTAL UNITS SOLD]]+INVESTORS_LIST[[#This Row],[SIP_TOTAL UNITS SOLD]]</f>
        <v>0</v>
      </c>
      <c r="U115" s="33">
        <v>0</v>
      </c>
      <c r="V115" s="33">
        <f>SUMIFS(LS[BO UNIT TRANSFER],LS[Investor ID],INVESTORS_LIST[[#This Row],[INVESTOR CODE]],LS[B/S],"B")</f>
        <v>0</v>
      </c>
      <c r="W115" s="33">
        <f>SUMIFS(LS[BO UNIT TRANSFER],LS[Investor ID],INVESTORS_LIST[[#This Row],[INVESTOR CODE]],LS[B/S],"S")</f>
        <v>0</v>
      </c>
      <c r="X115" s="33">
        <f>SUMIFS(SIP[BO UNIT TRANSFER],SIP[Investor ID],INVESTORS_LIST[[#This Row],[INVESTOR CODE]],SIP[B/S],"S")</f>
        <v>0</v>
      </c>
      <c r="Y115" s="33">
        <f>SUMIFS(SIP[BO UNIT TRANSFER],SIP[Investor ID],INVESTORS_LIST[[#This Row],[INVESTOR CODE]],SIP[B/S],"B")</f>
        <v>0</v>
      </c>
      <c r="Z11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15" s="119">
        <f>INVESTORS_LIST[[#This Row],[TOTAL UNITS BUY]]-INVESTORS_LIST[[#This Row],[TOTAL UNITS SOLD]]</f>
        <v>20931</v>
      </c>
      <c r="AB115" s="119">
        <f>INVESTORS_LIST[[#This Row],[TOTAL CURRENT UNITS]]-INVESTORS_LIST[[#This Row],[BO UNITS HOLD]]</f>
        <v>20931</v>
      </c>
      <c r="AC115" s="119" t="e">
        <f>INDEX([4]!Table_1[BO ID],MATCH(INVESTORS_LIST[[#This Row],[INVESTOR CODE]],[4]!Table_1[INVESTOR CODE],0))</f>
        <v>#REF!</v>
      </c>
      <c r="AD115" s="33">
        <f>INVESTORS_LIST[[#This Row],[LS_TOTAL COST VALUE OF CURRENT UNITS]]+INVESTORS_LIST[[#This Row],[SIP_TOTAL COST VALUE OF CURRENT UNITS]]</f>
        <v>218438.25000000003</v>
      </c>
      <c r="AE115" s="44">
        <f>IF(INVESTORS_LIST[[#This Row],[TOTAL CURRENT UNITS]]=0,0,INVESTORS_LIST[[#This Row],[LS_TOTAL CURRENT UNITS]]/INVESTORS_LIST[[#This Row],[TOTAL CURRENT UNITS]])</f>
        <v>1</v>
      </c>
      <c r="AF115" s="44">
        <f>IF(INVESTORS_LIST[[#This Row],[TOTAL CURRENT UNITS]]=0,0,INVESTORS_LIST[[#This Row],[SIP_TOTAL CURRENT UNITS]]/INVESTORS_LIST[[#This Row],[TOTAL CURRENT UNITS]])</f>
        <v>0</v>
      </c>
      <c r="AG115" s="4" cm="1">
        <f t="array" ref="AG115">IF(INVESTORS_LIST[[#This Row],[LS_TOTAL UNITS BUY]]&gt;0,INDEX(LS[NAV at Cost (Average)],MATCH(CONCATENATE(COUNTIFS(LS[Investor ID],INVESTORS_LIST[[#This Row],[INVESTOR CODE]]),INVESTORS_LIST[[#This Row],[INVESTOR CODE]]),LS[Unique Code],0),),0)</f>
        <v>10.436111509244663</v>
      </c>
      <c r="AH115" s="4" cm="1">
        <f t="array" ref="AH1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15" s="178">
        <f>IF(INVESTORS_LIST[[#This Row],[TOTAL CURRENT UNITS]]=0,0,(INVESTORS_LIST[[#This Row],[LS_WEIGHT]]*INVESTORS_LIST[[#This Row],[LS_AVERAGE COST]])+(INVESTORS_LIST[[#This Row],[SIP_WEIGHT]]*INVESTORS_LIST[[#This Row],[SIP_AVERAGE COST]]))</f>
        <v>10.436111509244663</v>
      </c>
      <c r="AJ115" s="178">
        <f t="shared" si="1"/>
        <v>12.552</v>
      </c>
      <c r="AK115" s="118">
        <f>IF(INVESTORS_LIST[[#This Row],[TOTAL CURRENT UNITS]]=0,0,INVESTORS_LIST[[#This Row],[TOTAL CURRENT UNITS]]*INVESTORS_LIST[[#This Row],[NAV]])</f>
        <v>262725.91200000001</v>
      </c>
      <c r="AL115" s="4">
        <f>IF(INVESTORS_LIST[[#This Row],[LS_TOTAL CURRENT UNITS]]=0,0,INVESTORS_LIST[[#This Row],[LS_TOTAL CURRENT UNITS]]*INVESTORS_LIST[[#This Row],[NAV]])</f>
        <v>262725.91200000001</v>
      </c>
      <c r="AM115" s="6">
        <f>IF(INVESTORS_LIST[[#This Row],[SIP_TOTAL CURRENT UNITS]]=0,0,INVESTORS_LIST[[#This Row],[SIP_TOTAL CURRENT UNITS]]*INVESTORS_LIST[[#This Row],[NAV]])</f>
        <v>0</v>
      </c>
      <c r="AO115" s="6">
        <f>IF(INVESTORS_LIST[[#This Row],[TOTAL SELLABLE UNITS]]=0,0,INVESTORS_LIST[[#This Row],[TOTAL SELLABLE UNITS]]*INVESTORS_LIST[[#This Row],[NAV]])</f>
        <v>0</v>
      </c>
      <c r="AP115" s="6">
        <f>INVESTORS_LIST[[#This Row],[LS_TOTAL REALIZED GAIN]]+INVESTORS_LIST[[#This Row],[SIP_TOTAL REALIZED GAIN]]</f>
        <v>0</v>
      </c>
      <c r="AQ115" s="6">
        <f>INVESTORS_LIST[[#This Row],[TOTAL MARKET VALUE]]-INVESTORS_LIST[[#This Row],[TOTAL COST VALUE OF CURRENT INVESTMENT]]</f>
        <v>44287.661999999982</v>
      </c>
      <c r="AR115" s="6">
        <f>SUMIFS(DivAndTax[Tax Amount],DivAndTax[Investor ID],INVESTORS_LIST[[#This Row],[INVESTOR CODE]])</f>
        <v>1420.2</v>
      </c>
      <c r="AS115" s="6">
        <f>SUMIFS(DivAndTax[Gross Dividend],DivAndTax[Investor ID],INVESTORS_LIST[[#This Row],[INVESTOR CODE]])</f>
        <v>14201.95</v>
      </c>
      <c r="AT115" s="5">
        <f>IFERROR(INVESTORS_LIST[[#This Row],[TOTAL CURRENT UNITS]]/SUM(INVESTORS_LIST[TOTAL CURRENT UNITS]),0)</f>
        <v>1.0035333425643122E-3</v>
      </c>
    </row>
    <row r="116" spans="1:46" hidden="1">
      <c r="A116" t="s">
        <v>146</v>
      </c>
      <c r="B116" t="s">
        <v>147</v>
      </c>
      <c r="C116" t="s">
        <v>536</v>
      </c>
      <c r="D116" s="8" t="s">
        <v>2</v>
      </c>
      <c r="E116" s="2">
        <f>SUMIFS(LS[Unit],LS[Investor ID],INVESTORS_LIST[[#This Row],[INVESTOR CODE]],LS[B/S],"B")</f>
        <v>0</v>
      </c>
      <c r="F116" s="2">
        <f>-SUMIFS(LS[Unit],LS[Investor ID],INVESTORS_LIST[[#This Row],[INVESTOR CODE]],LS[B/S],"S")</f>
        <v>0</v>
      </c>
      <c r="G116" s="2">
        <f>IF(INVESTORS_LIST[[#This Row],[LS_TOTAL UNITS BUY]]=0,0,INVESTORS_LIST[[#This Row],[LS_TOTAL UNITS BUY]]-INVESTORS_LIST[[#This Row],[LS_TOTAL UNITS SOLD]])</f>
        <v>0</v>
      </c>
      <c r="H116" s="4">
        <f>IF(INVESTORS_LIST[[#This Row],[LS_TOTAL UNITS BUY]]=0,0,SUMIFS(LS[Amount],LS[Investor ID],INVESTORS_LIST[[#This Row],[INVESTOR CODE]],LS[B/S],"B"))</f>
        <v>0</v>
      </c>
      <c r="I116" s="6">
        <f>IF(INVESTORS_LIST[[#This Row],[LS_TOTAL UNITS SOLD]]=0,0,SUMIFS(LS[Cost of Units Sold],LS[Investor ID],INVESTORS_LIST[[#This Row],[INVESTOR CODE]],LS[B/S],"S"))</f>
        <v>0</v>
      </c>
      <c r="J116" s="6">
        <f>IF(INVESTORS_LIST[[#This Row],[LS_TOTAL CURRENT UNITS]]=0,0,INVESTORS_LIST[[#This Row],[LS_TOTAL CURRENT UNITS]]*INVESTORS_LIST[[#This Row],[LS_AVERAGE COST]])</f>
        <v>0</v>
      </c>
      <c r="K116" s="4">
        <f>IF(INVESTORS_LIST[[#This Row],[LS_TOTAL UNITS SOLD]]=0,0,SUMIFS(LS[Realized Gain],LS[Investor ID],INVESTORS_LIST[[#This Row],[INVESTOR CODE]],LS[B/S],"S"))</f>
        <v>0</v>
      </c>
      <c r="L116" s="2">
        <f>SUMIFS(SIP[Unit],SIP[Investor ID],INVESTORS_LIST[[#This Row],[INVESTOR CODE]],SIP[B/S],"B")</f>
        <v>0</v>
      </c>
      <c r="M116" s="2">
        <f>-SUMIFS(SIP[Unit],SIP[Investor ID],INVESTORS_LIST[[#This Row],[INVESTOR CODE]],SIP[B/S],"S")</f>
        <v>0</v>
      </c>
      <c r="N116" s="33">
        <f>IF(INVESTORS_LIST[[#This Row],[SIP_TOTAL UNITS BUY]]=0,0,INVESTORS_LIST[[#This Row],[SIP_TOTAL UNITS BUY]]-INVESTORS_LIST[[#This Row],[SIP_TOTAL UNITS SOLD]])</f>
        <v>0</v>
      </c>
      <c r="O116" s="4">
        <f>IF(INVESTORS_LIST[[#This Row],[SIP_TOTAL UNITS BUY]]=0,0,SUMIFS(SIP[Amount],SIP[Investor ID],INVESTORS_LIST[[#This Row],[INVESTOR CODE]],SIP[B/S],"B"))</f>
        <v>0</v>
      </c>
      <c r="P116" s="4">
        <f>IF(INVESTORS_LIST[[#This Row],[SIP_TOTAL UNITS SOLD]]=0,0,SUMIFS(SIP[Cost of Units Sold],SIP[Investor ID],INVESTORS_LIST[[#This Row],[INVESTOR CODE]],SIP[B/S],"S"))</f>
        <v>0</v>
      </c>
      <c r="Q116" s="6">
        <f>IF(INVESTORS_LIST[[#This Row],[SIP_TOTAL CURRENT UNITS]]=0,0,INVESTORS_LIST[[#This Row],[SIP_TOTAL CURRENT UNITS]]*INVESTORS_LIST[[#This Row],[SIP_AVERAGE COST]])</f>
        <v>0</v>
      </c>
      <c r="R116" s="6">
        <f>IF(INVESTORS_LIST[[#This Row],[SIP_TOTAL UNITS SOLD]]=0,0,SUMIFS(SIP[Realized Gain],SIP[Investor ID],INVESTORS_LIST[[#This Row],[INVESTOR CODE]],SIP[B/S],"S"))</f>
        <v>0</v>
      </c>
      <c r="S116" s="33">
        <f>INVESTORS_LIST[[#This Row],[LS_TOTAL UNITS BUY]]+INVESTORS_LIST[[#This Row],[SIP_TOTAL UNITS BUY]]</f>
        <v>0</v>
      </c>
      <c r="T116" s="33">
        <f>INVESTORS_LIST[[#This Row],[LS_TOTAL UNITS SOLD]]+INVESTORS_LIST[[#This Row],[SIP_TOTAL UNITS SOLD]]</f>
        <v>0</v>
      </c>
      <c r="U116" s="33">
        <v>0</v>
      </c>
      <c r="V116" s="33">
        <f>SUMIFS(LS[BO UNIT TRANSFER],LS[Investor ID],INVESTORS_LIST[[#This Row],[INVESTOR CODE]],LS[B/S],"B")</f>
        <v>0</v>
      </c>
      <c r="W116" s="33">
        <f>SUMIFS(LS[BO UNIT TRANSFER],LS[Investor ID],INVESTORS_LIST[[#This Row],[INVESTOR CODE]],LS[B/S],"S")</f>
        <v>0</v>
      </c>
      <c r="X116" s="33">
        <f>SUMIFS(SIP[BO UNIT TRANSFER],SIP[Investor ID],INVESTORS_LIST[[#This Row],[INVESTOR CODE]],SIP[B/S],"S")</f>
        <v>0</v>
      </c>
      <c r="Y116" s="33">
        <f>SUMIFS(SIP[BO UNIT TRANSFER],SIP[Investor ID],INVESTORS_LIST[[#This Row],[INVESTOR CODE]],SIP[B/S],"B")</f>
        <v>0</v>
      </c>
      <c r="Z11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16" s="119">
        <f>INVESTORS_LIST[[#This Row],[TOTAL UNITS BUY]]-INVESTORS_LIST[[#This Row],[TOTAL UNITS SOLD]]</f>
        <v>0</v>
      </c>
      <c r="AB116" s="119">
        <f>INVESTORS_LIST[[#This Row],[TOTAL CURRENT UNITS]]-INVESTORS_LIST[[#This Row],[BO UNITS HOLD]]</f>
        <v>0</v>
      </c>
      <c r="AC116" s="119" t="e">
        <f>INDEX([4]!Table_1[BO ID],MATCH(INVESTORS_LIST[[#This Row],[INVESTOR CODE]],[4]!Table_1[INVESTOR CODE],0))</f>
        <v>#REF!</v>
      </c>
      <c r="AD116" s="33">
        <f>INVESTORS_LIST[[#This Row],[LS_TOTAL COST VALUE OF CURRENT UNITS]]+INVESTORS_LIST[[#This Row],[SIP_TOTAL COST VALUE OF CURRENT UNITS]]</f>
        <v>0</v>
      </c>
      <c r="AE116" s="44">
        <f>IF(INVESTORS_LIST[[#This Row],[TOTAL CURRENT UNITS]]=0,0,INVESTORS_LIST[[#This Row],[LS_TOTAL CURRENT UNITS]]/INVESTORS_LIST[[#This Row],[TOTAL CURRENT UNITS]])</f>
        <v>0</v>
      </c>
      <c r="AF116" s="44">
        <f>IF(INVESTORS_LIST[[#This Row],[TOTAL CURRENT UNITS]]=0,0,INVESTORS_LIST[[#This Row],[SIP_TOTAL CURRENT UNITS]]/INVESTORS_LIST[[#This Row],[TOTAL CURRENT UNITS]])</f>
        <v>0</v>
      </c>
      <c r="AG116" s="4" cm="1">
        <f t="array" ref="AG1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16" s="4" cm="1">
        <f t="array" ref="AH1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1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16" s="178">
        <f t="shared" si="1"/>
        <v>12.552</v>
      </c>
      <c r="AK116" s="118">
        <f>IF(INVESTORS_LIST[[#This Row],[TOTAL CURRENT UNITS]]=0,0,INVESTORS_LIST[[#This Row],[TOTAL CURRENT UNITS]]*INVESTORS_LIST[[#This Row],[NAV]])</f>
        <v>0</v>
      </c>
      <c r="AL116" s="4">
        <f>IF(INVESTORS_LIST[[#This Row],[LS_TOTAL CURRENT UNITS]]=0,0,INVESTORS_LIST[[#This Row],[LS_TOTAL CURRENT UNITS]]*INVESTORS_LIST[[#This Row],[NAV]])</f>
        <v>0</v>
      </c>
      <c r="AM116" s="6">
        <f>IF(INVESTORS_LIST[[#This Row],[SIP_TOTAL CURRENT UNITS]]=0,0,INVESTORS_LIST[[#This Row],[SIP_TOTAL CURRENT UNITS]]*INVESTORS_LIST[[#This Row],[NAV]])</f>
        <v>0</v>
      </c>
      <c r="AO116" s="6">
        <f>IF(INVESTORS_LIST[[#This Row],[TOTAL SELLABLE UNITS]]=0,0,INVESTORS_LIST[[#This Row],[TOTAL SELLABLE UNITS]]*INVESTORS_LIST[[#This Row],[NAV]])</f>
        <v>0</v>
      </c>
      <c r="AP116" s="6">
        <f>INVESTORS_LIST[[#This Row],[LS_TOTAL REALIZED GAIN]]+INVESTORS_LIST[[#This Row],[SIP_TOTAL REALIZED GAIN]]</f>
        <v>0</v>
      </c>
      <c r="AQ116" s="6">
        <f>INVESTORS_LIST[[#This Row],[TOTAL MARKET VALUE]]-INVESTORS_LIST[[#This Row],[TOTAL COST VALUE OF CURRENT INVESTMENT]]</f>
        <v>0</v>
      </c>
      <c r="AR116" s="6">
        <f>SUMIFS(DivAndTax[Tax Amount],DivAndTax[Investor ID],INVESTORS_LIST[[#This Row],[INVESTOR CODE]])</f>
        <v>0</v>
      </c>
      <c r="AS116" s="6">
        <f>SUMIFS(DivAndTax[Gross Dividend],DivAndTax[Investor ID],INVESTORS_LIST[[#This Row],[INVESTOR CODE]])</f>
        <v>0</v>
      </c>
      <c r="AT116" s="5">
        <f>IFERROR(INVESTORS_LIST[[#This Row],[TOTAL CURRENT UNITS]]/SUM(INVESTORS_LIST[TOTAL CURRENT UNITS]),0)</f>
        <v>0</v>
      </c>
    </row>
    <row r="117" spans="1:46" hidden="1">
      <c r="A117" t="s">
        <v>148</v>
      </c>
      <c r="B117" t="s">
        <v>149</v>
      </c>
      <c r="C117" t="s">
        <v>536</v>
      </c>
      <c r="D117" s="8" t="s">
        <v>2</v>
      </c>
      <c r="E117" s="2">
        <f>SUMIFS(LS[Unit],LS[Investor ID],INVESTORS_LIST[[#This Row],[INVESTOR CODE]],LS[B/S],"B")</f>
        <v>0</v>
      </c>
      <c r="F117" s="2">
        <f>-SUMIFS(LS[Unit],LS[Investor ID],INVESTORS_LIST[[#This Row],[INVESTOR CODE]],LS[B/S],"S")</f>
        <v>0</v>
      </c>
      <c r="G117" s="2">
        <f>IF(INVESTORS_LIST[[#This Row],[LS_TOTAL UNITS BUY]]=0,0,INVESTORS_LIST[[#This Row],[LS_TOTAL UNITS BUY]]-INVESTORS_LIST[[#This Row],[LS_TOTAL UNITS SOLD]])</f>
        <v>0</v>
      </c>
      <c r="H117" s="4">
        <f>IF(INVESTORS_LIST[[#This Row],[LS_TOTAL UNITS BUY]]=0,0,SUMIFS(LS[Amount],LS[Investor ID],INVESTORS_LIST[[#This Row],[INVESTOR CODE]],LS[B/S],"B"))</f>
        <v>0</v>
      </c>
      <c r="I117" s="6">
        <f>IF(INVESTORS_LIST[[#This Row],[LS_TOTAL UNITS SOLD]]=0,0,SUMIFS(LS[Cost of Units Sold],LS[Investor ID],INVESTORS_LIST[[#This Row],[INVESTOR CODE]],LS[B/S],"S"))</f>
        <v>0</v>
      </c>
      <c r="J117" s="6">
        <f>IF(INVESTORS_LIST[[#This Row],[LS_TOTAL CURRENT UNITS]]=0,0,INVESTORS_LIST[[#This Row],[LS_TOTAL CURRENT UNITS]]*INVESTORS_LIST[[#This Row],[LS_AVERAGE COST]])</f>
        <v>0</v>
      </c>
      <c r="K117" s="4">
        <f>IF(INVESTORS_LIST[[#This Row],[LS_TOTAL UNITS SOLD]]=0,0,SUMIFS(LS[Realized Gain],LS[Investor ID],INVESTORS_LIST[[#This Row],[INVESTOR CODE]],LS[B/S],"S"))</f>
        <v>0</v>
      </c>
      <c r="L117" s="2">
        <f>SUMIFS(SIP[Unit],SIP[Investor ID],INVESTORS_LIST[[#This Row],[INVESTOR CODE]],SIP[B/S],"B")</f>
        <v>0</v>
      </c>
      <c r="M117" s="2">
        <f>-SUMIFS(SIP[Unit],SIP[Investor ID],INVESTORS_LIST[[#This Row],[INVESTOR CODE]],SIP[B/S],"S")</f>
        <v>0</v>
      </c>
      <c r="N117" s="33">
        <f>IF(INVESTORS_LIST[[#This Row],[SIP_TOTAL UNITS BUY]]=0,0,INVESTORS_LIST[[#This Row],[SIP_TOTAL UNITS BUY]]-INVESTORS_LIST[[#This Row],[SIP_TOTAL UNITS SOLD]])</f>
        <v>0</v>
      </c>
      <c r="O117" s="4">
        <f>IF(INVESTORS_LIST[[#This Row],[SIP_TOTAL UNITS BUY]]=0,0,SUMIFS(SIP[Amount],SIP[Investor ID],INVESTORS_LIST[[#This Row],[INVESTOR CODE]],SIP[B/S],"B"))</f>
        <v>0</v>
      </c>
      <c r="P117" s="4">
        <f>IF(INVESTORS_LIST[[#This Row],[SIP_TOTAL UNITS SOLD]]=0,0,SUMIFS(SIP[Cost of Units Sold],SIP[Investor ID],INVESTORS_LIST[[#This Row],[INVESTOR CODE]],SIP[B/S],"S"))</f>
        <v>0</v>
      </c>
      <c r="Q117" s="6">
        <f>IF(INVESTORS_LIST[[#This Row],[SIP_TOTAL CURRENT UNITS]]=0,0,INVESTORS_LIST[[#This Row],[SIP_TOTAL CURRENT UNITS]]*INVESTORS_LIST[[#This Row],[SIP_AVERAGE COST]])</f>
        <v>0</v>
      </c>
      <c r="R117" s="6">
        <f>IF(INVESTORS_LIST[[#This Row],[SIP_TOTAL UNITS SOLD]]=0,0,SUMIFS(SIP[Realized Gain],SIP[Investor ID],INVESTORS_LIST[[#This Row],[INVESTOR CODE]],SIP[B/S],"S"))</f>
        <v>0</v>
      </c>
      <c r="S117" s="33">
        <f>INVESTORS_LIST[[#This Row],[LS_TOTAL UNITS BUY]]+INVESTORS_LIST[[#This Row],[SIP_TOTAL UNITS BUY]]</f>
        <v>0</v>
      </c>
      <c r="T117" s="33">
        <f>INVESTORS_LIST[[#This Row],[LS_TOTAL UNITS SOLD]]+INVESTORS_LIST[[#This Row],[SIP_TOTAL UNITS SOLD]]</f>
        <v>0</v>
      </c>
      <c r="U117" s="33">
        <v>0</v>
      </c>
      <c r="V117" s="33">
        <f>SUMIFS(LS[BO UNIT TRANSFER],LS[Investor ID],INVESTORS_LIST[[#This Row],[INVESTOR CODE]],LS[B/S],"B")</f>
        <v>0</v>
      </c>
      <c r="W117" s="33">
        <f>SUMIFS(LS[BO UNIT TRANSFER],LS[Investor ID],INVESTORS_LIST[[#This Row],[INVESTOR CODE]],LS[B/S],"S")</f>
        <v>0</v>
      </c>
      <c r="X117" s="33">
        <f>SUMIFS(SIP[BO UNIT TRANSFER],SIP[Investor ID],INVESTORS_LIST[[#This Row],[INVESTOR CODE]],SIP[B/S],"S")</f>
        <v>0</v>
      </c>
      <c r="Y117" s="33">
        <f>SUMIFS(SIP[BO UNIT TRANSFER],SIP[Investor ID],INVESTORS_LIST[[#This Row],[INVESTOR CODE]],SIP[B/S],"B")</f>
        <v>0</v>
      </c>
      <c r="Z11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17" s="119">
        <f>INVESTORS_LIST[[#This Row],[TOTAL UNITS BUY]]-INVESTORS_LIST[[#This Row],[TOTAL UNITS SOLD]]</f>
        <v>0</v>
      </c>
      <c r="AB117" s="119">
        <f>INVESTORS_LIST[[#This Row],[TOTAL CURRENT UNITS]]-INVESTORS_LIST[[#This Row],[BO UNITS HOLD]]</f>
        <v>0</v>
      </c>
      <c r="AC117" s="119" t="e">
        <f>INDEX([4]!Table_1[BO ID],MATCH(INVESTORS_LIST[[#This Row],[INVESTOR CODE]],[4]!Table_1[INVESTOR CODE],0))</f>
        <v>#REF!</v>
      </c>
      <c r="AD117" s="33">
        <f>INVESTORS_LIST[[#This Row],[LS_TOTAL COST VALUE OF CURRENT UNITS]]+INVESTORS_LIST[[#This Row],[SIP_TOTAL COST VALUE OF CURRENT UNITS]]</f>
        <v>0</v>
      </c>
      <c r="AE117" s="44">
        <f>IF(INVESTORS_LIST[[#This Row],[TOTAL CURRENT UNITS]]=0,0,INVESTORS_LIST[[#This Row],[LS_TOTAL CURRENT UNITS]]/INVESTORS_LIST[[#This Row],[TOTAL CURRENT UNITS]])</f>
        <v>0</v>
      </c>
      <c r="AF117" s="44">
        <f>IF(INVESTORS_LIST[[#This Row],[TOTAL CURRENT UNITS]]=0,0,INVESTORS_LIST[[#This Row],[SIP_TOTAL CURRENT UNITS]]/INVESTORS_LIST[[#This Row],[TOTAL CURRENT UNITS]])</f>
        <v>0</v>
      </c>
      <c r="AG117" s="4" cm="1">
        <f t="array" ref="AG1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17" s="4" cm="1">
        <f t="array" ref="AH1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1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17" s="178">
        <f t="shared" si="1"/>
        <v>12.552</v>
      </c>
      <c r="AK117" s="118">
        <f>IF(INVESTORS_LIST[[#This Row],[TOTAL CURRENT UNITS]]=0,0,INVESTORS_LIST[[#This Row],[TOTAL CURRENT UNITS]]*INVESTORS_LIST[[#This Row],[NAV]])</f>
        <v>0</v>
      </c>
      <c r="AL117" s="4">
        <f>IF(INVESTORS_LIST[[#This Row],[LS_TOTAL CURRENT UNITS]]=0,0,INVESTORS_LIST[[#This Row],[LS_TOTAL CURRENT UNITS]]*INVESTORS_LIST[[#This Row],[NAV]])</f>
        <v>0</v>
      </c>
      <c r="AM117" s="6">
        <f>IF(INVESTORS_LIST[[#This Row],[SIP_TOTAL CURRENT UNITS]]=0,0,INVESTORS_LIST[[#This Row],[SIP_TOTAL CURRENT UNITS]]*INVESTORS_LIST[[#This Row],[NAV]])</f>
        <v>0</v>
      </c>
      <c r="AO117" s="6">
        <f>IF(INVESTORS_LIST[[#This Row],[TOTAL SELLABLE UNITS]]=0,0,INVESTORS_LIST[[#This Row],[TOTAL SELLABLE UNITS]]*INVESTORS_LIST[[#This Row],[NAV]])</f>
        <v>0</v>
      </c>
      <c r="AP117" s="6">
        <f>INVESTORS_LIST[[#This Row],[LS_TOTAL REALIZED GAIN]]+INVESTORS_LIST[[#This Row],[SIP_TOTAL REALIZED GAIN]]</f>
        <v>0</v>
      </c>
      <c r="AQ117" s="6">
        <f>INVESTORS_LIST[[#This Row],[TOTAL MARKET VALUE]]-INVESTORS_LIST[[#This Row],[TOTAL COST VALUE OF CURRENT INVESTMENT]]</f>
        <v>0</v>
      </c>
      <c r="AR117" s="6">
        <f>SUMIFS(DivAndTax[Tax Amount],DivAndTax[Investor ID],INVESTORS_LIST[[#This Row],[INVESTOR CODE]])</f>
        <v>0</v>
      </c>
      <c r="AS117" s="6">
        <f>SUMIFS(DivAndTax[Gross Dividend],DivAndTax[Investor ID],INVESTORS_LIST[[#This Row],[INVESTOR CODE]])</f>
        <v>0</v>
      </c>
      <c r="AT117" s="5">
        <f>IFERROR(INVESTORS_LIST[[#This Row],[TOTAL CURRENT UNITS]]/SUM(INVESTORS_LIST[TOTAL CURRENT UNITS]),0)</f>
        <v>0</v>
      </c>
    </row>
    <row r="118" spans="1:46" hidden="1">
      <c r="A118" t="s">
        <v>150</v>
      </c>
      <c r="B118" t="s">
        <v>151</v>
      </c>
      <c r="C118" t="s">
        <v>536</v>
      </c>
      <c r="D118" s="8" t="s">
        <v>2</v>
      </c>
      <c r="E118" s="2">
        <f>SUMIFS(LS[Unit],LS[Investor ID],INVESTORS_LIST[[#This Row],[INVESTOR CODE]],LS[B/S],"B")</f>
        <v>0</v>
      </c>
      <c r="F118" s="2">
        <f>-SUMIFS(LS[Unit],LS[Investor ID],INVESTORS_LIST[[#This Row],[INVESTOR CODE]],LS[B/S],"S")</f>
        <v>0</v>
      </c>
      <c r="G118" s="2">
        <f>IF(INVESTORS_LIST[[#This Row],[LS_TOTAL UNITS BUY]]=0,0,INVESTORS_LIST[[#This Row],[LS_TOTAL UNITS BUY]]-INVESTORS_LIST[[#This Row],[LS_TOTAL UNITS SOLD]])</f>
        <v>0</v>
      </c>
      <c r="H118" s="4">
        <f>IF(INVESTORS_LIST[[#This Row],[LS_TOTAL UNITS BUY]]=0,0,SUMIFS(LS[Amount],LS[Investor ID],INVESTORS_LIST[[#This Row],[INVESTOR CODE]],LS[B/S],"B"))</f>
        <v>0</v>
      </c>
      <c r="I118" s="6">
        <f>IF(INVESTORS_LIST[[#This Row],[LS_TOTAL UNITS SOLD]]=0,0,SUMIFS(LS[Cost of Units Sold],LS[Investor ID],INVESTORS_LIST[[#This Row],[INVESTOR CODE]],LS[B/S],"S"))</f>
        <v>0</v>
      </c>
      <c r="J118" s="6">
        <f>IF(INVESTORS_LIST[[#This Row],[LS_TOTAL CURRENT UNITS]]=0,0,INVESTORS_LIST[[#This Row],[LS_TOTAL CURRENT UNITS]]*INVESTORS_LIST[[#This Row],[LS_AVERAGE COST]])</f>
        <v>0</v>
      </c>
      <c r="K118" s="4">
        <f>IF(INVESTORS_LIST[[#This Row],[LS_TOTAL UNITS SOLD]]=0,0,SUMIFS(LS[Realized Gain],LS[Investor ID],INVESTORS_LIST[[#This Row],[INVESTOR CODE]],LS[B/S],"S"))</f>
        <v>0</v>
      </c>
      <c r="L118" s="2">
        <f>SUMIFS(SIP[Unit],SIP[Investor ID],INVESTORS_LIST[[#This Row],[INVESTOR CODE]],SIP[B/S],"B")</f>
        <v>0</v>
      </c>
      <c r="M118" s="2">
        <f>-SUMIFS(SIP[Unit],SIP[Investor ID],INVESTORS_LIST[[#This Row],[INVESTOR CODE]],SIP[B/S],"S")</f>
        <v>0</v>
      </c>
      <c r="N118" s="33">
        <f>IF(INVESTORS_LIST[[#This Row],[SIP_TOTAL UNITS BUY]]=0,0,INVESTORS_LIST[[#This Row],[SIP_TOTAL UNITS BUY]]-INVESTORS_LIST[[#This Row],[SIP_TOTAL UNITS SOLD]])</f>
        <v>0</v>
      </c>
      <c r="O118" s="4">
        <f>IF(INVESTORS_LIST[[#This Row],[SIP_TOTAL UNITS BUY]]=0,0,SUMIFS(SIP[Amount],SIP[Investor ID],INVESTORS_LIST[[#This Row],[INVESTOR CODE]],SIP[B/S],"B"))</f>
        <v>0</v>
      </c>
      <c r="P118" s="4">
        <f>IF(INVESTORS_LIST[[#This Row],[SIP_TOTAL UNITS SOLD]]=0,0,SUMIFS(SIP[Cost of Units Sold],SIP[Investor ID],INVESTORS_LIST[[#This Row],[INVESTOR CODE]],SIP[B/S],"S"))</f>
        <v>0</v>
      </c>
      <c r="Q118" s="6">
        <f>IF(INVESTORS_LIST[[#This Row],[SIP_TOTAL CURRENT UNITS]]=0,0,INVESTORS_LIST[[#This Row],[SIP_TOTAL CURRENT UNITS]]*INVESTORS_LIST[[#This Row],[SIP_AVERAGE COST]])</f>
        <v>0</v>
      </c>
      <c r="R118" s="6">
        <f>IF(INVESTORS_LIST[[#This Row],[SIP_TOTAL UNITS SOLD]]=0,0,SUMIFS(SIP[Realized Gain],SIP[Investor ID],INVESTORS_LIST[[#This Row],[INVESTOR CODE]],SIP[B/S],"S"))</f>
        <v>0</v>
      </c>
      <c r="S118" s="33">
        <f>INVESTORS_LIST[[#This Row],[LS_TOTAL UNITS BUY]]+INVESTORS_LIST[[#This Row],[SIP_TOTAL UNITS BUY]]</f>
        <v>0</v>
      </c>
      <c r="T118" s="33">
        <f>INVESTORS_LIST[[#This Row],[LS_TOTAL UNITS SOLD]]+INVESTORS_LIST[[#This Row],[SIP_TOTAL UNITS SOLD]]</f>
        <v>0</v>
      </c>
      <c r="U118" s="33">
        <v>0</v>
      </c>
      <c r="V118" s="33">
        <f>SUMIFS(LS[BO UNIT TRANSFER],LS[Investor ID],INVESTORS_LIST[[#This Row],[INVESTOR CODE]],LS[B/S],"B")</f>
        <v>0</v>
      </c>
      <c r="W118" s="33">
        <f>SUMIFS(LS[BO UNIT TRANSFER],LS[Investor ID],INVESTORS_LIST[[#This Row],[INVESTOR CODE]],LS[B/S],"S")</f>
        <v>0</v>
      </c>
      <c r="X118" s="33">
        <f>SUMIFS(SIP[BO UNIT TRANSFER],SIP[Investor ID],INVESTORS_LIST[[#This Row],[INVESTOR CODE]],SIP[B/S],"S")</f>
        <v>0</v>
      </c>
      <c r="Y118" s="33">
        <f>SUMIFS(SIP[BO UNIT TRANSFER],SIP[Investor ID],INVESTORS_LIST[[#This Row],[INVESTOR CODE]],SIP[B/S],"B")</f>
        <v>0</v>
      </c>
      <c r="Z11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18" s="119">
        <f>INVESTORS_LIST[[#This Row],[TOTAL UNITS BUY]]-INVESTORS_LIST[[#This Row],[TOTAL UNITS SOLD]]</f>
        <v>0</v>
      </c>
      <c r="AB118" s="119">
        <f>INVESTORS_LIST[[#This Row],[TOTAL CURRENT UNITS]]-INVESTORS_LIST[[#This Row],[BO UNITS HOLD]]</f>
        <v>0</v>
      </c>
      <c r="AC118" s="119" t="e">
        <f>INDEX([4]!Table_1[BO ID],MATCH(INVESTORS_LIST[[#This Row],[INVESTOR CODE]],[4]!Table_1[INVESTOR CODE],0))</f>
        <v>#REF!</v>
      </c>
      <c r="AD118" s="33">
        <f>INVESTORS_LIST[[#This Row],[LS_TOTAL COST VALUE OF CURRENT UNITS]]+INVESTORS_LIST[[#This Row],[SIP_TOTAL COST VALUE OF CURRENT UNITS]]</f>
        <v>0</v>
      </c>
      <c r="AE118" s="44">
        <f>IF(INVESTORS_LIST[[#This Row],[TOTAL CURRENT UNITS]]=0,0,INVESTORS_LIST[[#This Row],[LS_TOTAL CURRENT UNITS]]/INVESTORS_LIST[[#This Row],[TOTAL CURRENT UNITS]])</f>
        <v>0</v>
      </c>
      <c r="AF118" s="44">
        <f>IF(INVESTORS_LIST[[#This Row],[TOTAL CURRENT UNITS]]=0,0,INVESTORS_LIST[[#This Row],[SIP_TOTAL CURRENT UNITS]]/INVESTORS_LIST[[#This Row],[TOTAL CURRENT UNITS]])</f>
        <v>0</v>
      </c>
      <c r="AG118" s="4" cm="1">
        <f t="array" ref="AG1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18" s="4" cm="1">
        <f t="array" ref="AH1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1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18" s="178">
        <f t="shared" si="1"/>
        <v>12.552</v>
      </c>
      <c r="AK118" s="118">
        <f>IF(INVESTORS_LIST[[#This Row],[TOTAL CURRENT UNITS]]=0,0,INVESTORS_LIST[[#This Row],[TOTAL CURRENT UNITS]]*INVESTORS_LIST[[#This Row],[NAV]])</f>
        <v>0</v>
      </c>
      <c r="AL118" s="4">
        <f>IF(INVESTORS_LIST[[#This Row],[LS_TOTAL CURRENT UNITS]]=0,0,INVESTORS_LIST[[#This Row],[LS_TOTAL CURRENT UNITS]]*INVESTORS_LIST[[#This Row],[NAV]])</f>
        <v>0</v>
      </c>
      <c r="AM118" s="6">
        <f>IF(INVESTORS_LIST[[#This Row],[SIP_TOTAL CURRENT UNITS]]=0,0,INVESTORS_LIST[[#This Row],[SIP_TOTAL CURRENT UNITS]]*INVESTORS_LIST[[#This Row],[NAV]])</f>
        <v>0</v>
      </c>
      <c r="AO118" s="6">
        <f>IF(INVESTORS_LIST[[#This Row],[TOTAL SELLABLE UNITS]]=0,0,INVESTORS_LIST[[#This Row],[TOTAL SELLABLE UNITS]]*INVESTORS_LIST[[#This Row],[NAV]])</f>
        <v>0</v>
      </c>
      <c r="AP118" s="6">
        <f>INVESTORS_LIST[[#This Row],[LS_TOTAL REALIZED GAIN]]+INVESTORS_LIST[[#This Row],[SIP_TOTAL REALIZED GAIN]]</f>
        <v>0</v>
      </c>
      <c r="AQ118" s="6">
        <f>INVESTORS_LIST[[#This Row],[TOTAL MARKET VALUE]]-INVESTORS_LIST[[#This Row],[TOTAL COST VALUE OF CURRENT INVESTMENT]]</f>
        <v>0</v>
      </c>
      <c r="AR118" s="6">
        <f>SUMIFS(DivAndTax[Tax Amount],DivAndTax[Investor ID],INVESTORS_LIST[[#This Row],[INVESTOR CODE]])</f>
        <v>0</v>
      </c>
      <c r="AS118" s="6">
        <f>SUMIFS(DivAndTax[Gross Dividend],DivAndTax[Investor ID],INVESTORS_LIST[[#This Row],[INVESTOR CODE]])</f>
        <v>0</v>
      </c>
      <c r="AT118" s="5">
        <f>IFERROR(INVESTORS_LIST[[#This Row],[TOTAL CURRENT UNITS]]/SUM(INVESTORS_LIST[TOTAL CURRENT UNITS]),0)</f>
        <v>0</v>
      </c>
    </row>
    <row r="119" spans="1:46" hidden="1">
      <c r="A119" t="s">
        <v>786</v>
      </c>
      <c r="B119" t="s">
        <v>152</v>
      </c>
      <c r="C119" t="s">
        <v>536</v>
      </c>
      <c r="D119" s="8" t="s">
        <v>2</v>
      </c>
      <c r="E119" s="2">
        <f>SUMIFS(LS[Unit],LS[Investor ID],INVESTORS_LIST[[#This Row],[INVESTOR CODE]],LS[B/S],"B")</f>
        <v>0</v>
      </c>
      <c r="F119" s="2">
        <f>-SUMIFS(LS[Unit],LS[Investor ID],INVESTORS_LIST[[#This Row],[INVESTOR CODE]],LS[B/S],"S")</f>
        <v>0</v>
      </c>
      <c r="G119" s="2">
        <f>IF(INVESTORS_LIST[[#This Row],[LS_TOTAL UNITS BUY]]=0,0,INVESTORS_LIST[[#This Row],[LS_TOTAL UNITS BUY]]-INVESTORS_LIST[[#This Row],[LS_TOTAL UNITS SOLD]])</f>
        <v>0</v>
      </c>
      <c r="H119" s="4">
        <f>IF(INVESTORS_LIST[[#This Row],[LS_TOTAL UNITS BUY]]=0,0,SUMIFS(LS[Amount],LS[Investor ID],INVESTORS_LIST[[#This Row],[INVESTOR CODE]],LS[B/S],"B"))</f>
        <v>0</v>
      </c>
      <c r="I119" s="6">
        <f>IF(INVESTORS_LIST[[#This Row],[LS_TOTAL UNITS SOLD]]=0,0,SUMIFS(LS[Cost of Units Sold],LS[Investor ID],INVESTORS_LIST[[#This Row],[INVESTOR CODE]],LS[B/S],"S"))</f>
        <v>0</v>
      </c>
      <c r="J119" s="6">
        <f>IF(INVESTORS_LIST[[#This Row],[LS_TOTAL CURRENT UNITS]]=0,0,INVESTORS_LIST[[#This Row],[LS_TOTAL CURRENT UNITS]]*INVESTORS_LIST[[#This Row],[LS_AVERAGE COST]])</f>
        <v>0</v>
      </c>
      <c r="K119" s="4">
        <f>IF(INVESTORS_LIST[[#This Row],[LS_TOTAL UNITS SOLD]]=0,0,SUMIFS(LS[Realized Gain],LS[Investor ID],INVESTORS_LIST[[#This Row],[INVESTOR CODE]],LS[B/S],"S"))</f>
        <v>0</v>
      </c>
      <c r="L119" s="2">
        <f>SUMIFS(SIP[Unit],SIP[Investor ID],INVESTORS_LIST[[#This Row],[INVESTOR CODE]],SIP[B/S],"B")</f>
        <v>0</v>
      </c>
      <c r="M119" s="2">
        <f>-SUMIFS(SIP[Unit],SIP[Investor ID],INVESTORS_LIST[[#This Row],[INVESTOR CODE]],SIP[B/S],"S")</f>
        <v>0</v>
      </c>
      <c r="N119" s="33">
        <f>IF(INVESTORS_LIST[[#This Row],[SIP_TOTAL UNITS BUY]]=0,0,INVESTORS_LIST[[#This Row],[SIP_TOTAL UNITS BUY]]-INVESTORS_LIST[[#This Row],[SIP_TOTAL UNITS SOLD]])</f>
        <v>0</v>
      </c>
      <c r="O119" s="4">
        <f>IF(INVESTORS_LIST[[#This Row],[SIP_TOTAL UNITS BUY]]=0,0,SUMIFS(SIP[Amount],SIP[Investor ID],INVESTORS_LIST[[#This Row],[INVESTOR CODE]],SIP[B/S],"B"))</f>
        <v>0</v>
      </c>
      <c r="P119" s="4">
        <f>IF(INVESTORS_LIST[[#This Row],[SIP_TOTAL UNITS SOLD]]=0,0,SUMIFS(SIP[Cost of Units Sold],SIP[Investor ID],INVESTORS_LIST[[#This Row],[INVESTOR CODE]],SIP[B/S],"S"))</f>
        <v>0</v>
      </c>
      <c r="Q119" s="6">
        <f>IF(INVESTORS_LIST[[#This Row],[SIP_TOTAL CURRENT UNITS]]=0,0,INVESTORS_LIST[[#This Row],[SIP_TOTAL CURRENT UNITS]]*INVESTORS_LIST[[#This Row],[SIP_AVERAGE COST]])</f>
        <v>0</v>
      </c>
      <c r="R119" s="6">
        <f>IF(INVESTORS_LIST[[#This Row],[SIP_TOTAL UNITS SOLD]]=0,0,SUMIFS(SIP[Realized Gain],SIP[Investor ID],INVESTORS_LIST[[#This Row],[INVESTOR CODE]],SIP[B/S],"S"))</f>
        <v>0</v>
      </c>
      <c r="S119" s="33">
        <f>INVESTORS_LIST[[#This Row],[LS_TOTAL UNITS BUY]]+INVESTORS_LIST[[#This Row],[SIP_TOTAL UNITS BUY]]</f>
        <v>0</v>
      </c>
      <c r="T119" s="33">
        <f>INVESTORS_LIST[[#This Row],[LS_TOTAL UNITS SOLD]]+INVESTORS_LIST[[#This Row],[SIP_TOTAL UNITS SOLD]]</f>
        <v>0</v>
      </c>
      <c r="U119" s="33">
        <v>0</v>
      </c>
      <c r="V119" s="33">
        <f>SUMIFS(LS[BO UNIT TRANSFER],LS[Investor ID],INVESTORS_LIST[[#This Row],[INVESTOR CODE]],LS[B/S],"B")</f>
        <v>0</v>
      </c>
      <c r="W119" s="33">
        <f>SUMIFS(LS[BO UNIT TRANSFER],LS[Investor ID],INVESTORS_LIST[[#This Row],[INVESTOR CODE]],LS[B/S],"S")</f>
        <v>0</v>
      </c>
      <c r="X119" s="33">
        <f>SUMIFS(SIP[BO UNIT TRANSFER],SIP[Investor ID],INVESTORS_LIST[[#This Row],[INVESTOR CODE]],SIP[B/S],"S")</f>
        <v>0</v>
      </c>
      <c r="Y119" s="33">
        <f>SUMIFS(SIP[BO UNIT TRANSFER],SIP[Investor ID],INVESTORS_LIST[[#This Row],[INVESTOR CODE]],SIP[B/S],"B")</f>
        <v>0</v>
      </c>
      <c r="Z11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19" s="119">
        <f>INVESTORS_LIST[[#This Row],[TOTAL UNITS BUY]]-INVESTORS_LIST[[#This Row],[TOTAL UNITS SOLD]]</f>
        <v>0</v>
      </c>
      <c r="AB119" s="119">
        <f>INVESTORS_LIST[[#This Row],[TOTAL CURRENT UNITS]]-INVESTORS_LIST[[#This Row],[BO UNITS HOLD]]</f>
        <v>0</v>
      </c>
      <c r="AC119" s="119" t="e">
        <f>INDEX([4]!Table_1[BO ID],MATCH(INVESTORS_LIST[[#This Row],[INVESTOR CODE]],[4]!Table_1[INVESTOR CODE],0))</f>
        <v>#REF!</v>
      </c>
      <c r="AD119" s="33">
        <f>INVESTORS_LIST[[#This Row],[LS_TOTAL COST VALUE OF CURRENT UNITS]]+INVESTORS_LIST[[#This Row],[SIP_TOTAL COST VALUE OF CURRENT UNITS]]</f>
        <v>0</v>
      </c>
      <c r="AE119" s="44">
        <f>IF(INVESTORS_LIST[[#This Row],[TOTAL CURRENT UNITS]]=0,0,INVESTORS_LIST[[#This Row],[LS_TOTAL CURRENT UNITS]]/INVESTORS_LIST[[#This Row],[TOTAL CURRENT UNITS]])</f>
        <v>0</v>
      </c>
      <c r="AF119" s="44">
        <f>IF(INVESTORS_LIST[[#This Row],[TOTAL CURRENT UNITS]]=0,0,INVESTORS_LIST[[#This Row],[SIP_TOTAL CURRENT UNITS]]/INVESTORS_LIST[[#This Row],[TOTAL CURRENT UNITS]])</f>
        <v>0</v>
      </c>
      <c r="AG119" s="4" cm="1">
        <f t="array" ref="AG1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19" s="4" cm="1">
        <f t="array" ref="AH1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1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19" s="178">
        <f t="shared" si="1"/>
        <v>12.552</v>
      </c>
      <c r="AK119" s="118">
        <f>IF(INVESTORS_LIST[[#This Row],[TOTAL CURRENT UNITS]]=0,0,INVESTORS_LIST[[#This Row],[TOTAL CURRENT UNITS]]*INVESTORS_LIST[[#This Row],[NAV]])</f>
        <v>0</v>
      </c>
      <c r="AL119" s="4">
        <f>IF(INVESTORS_LIST[[#This Row],[LS_TOTAL CURRENT UNITS]]=0,0,INVESTORS_LIST[[#This Row],[LS_TOTAL CURRENT UNITS]]*INVESTORS_LIST[[#This Row],[NAV]])</f>
        <v>0</v>
      </c>
      <c r="AM119" s="6">
        <f>IF(INVESTORS_LIST[[#This Row],[SIP_TOTAL CURRENT UNITS]]=0,0,INVESTORS_LIST[[#This Row],[SIP_TOTAL CURRENT UNITS]]*INVESTORS_LIST[[#This Row],[NAV]])</f>
        <v>0</v>
      </c>
      <c r="AO119" s="6">
        <f>IF(INVESTORS_LIST[[#This Row],[TOTAL SELLABLE UNITS]]=0,0,INVESTORS_LIST[[#This Row],[TOTAL SELLABLE UNITS]]*INVESTORS_LIST[[#This Row],[NAV]])</f>
        <v>0</v>
      </c>
      <c r="AP119" s="6">
        <f>INVESTORS_LIST[[#This Row],[LS_TOTAL REALIZED GAIN]]+INVESTORS_LIST[[#This Row],[SIP_TOTAL REALIZED GAIN]]</f>
        <v>0</v>
      </c>
      <c r="AQ119" s="6">
        <f>INVESTORS_LIST[[#This Row],[TOTAL MARKET VALUE]]-INVESTORS_LIST[[#This Row],[TOTAL COST VALUE OF CURRENT INVESTMENT]]</f>
        <v>0</v>
      </c>
      <c r="AR119" s="6">
        <f>SUMIFS(DivAndTax[Tax Amount],DivAndTax[Investor ID],INVESTORS_LIST[[#This Row],[INVESTOR CODE]])</f>
        <v>0</v>
      </c>
      <c r="AS119" s="6">
        <f>SUMIFS(DivAndTax[Gross Dividend],DivAndTax[Investor ID],INVESTORS_LIST[[#This Row],[INVESTOR CODE]])</f>
        <v>0</v>
      </c>
      <c r="AT119" s="5">
        <f>IFERROR(INVESTORS_LIST[[#This Row],[TOTAL CURRENT UNITS]]/SUM(INVESTORS_LIST[TOTAL CURRENT UNITS]),0)</f>
        <v>0</v>
      </c>
    </row>
    <row r="120" spans="1:46">
      <c r="A120" t="s">
        <v>629</v>
      </c>
      <c r="B120" t="s">
        <v>153</v>
      </c>
      <c r="C120" t="s">
        <v>536</v>
      </c>
      <c r="D120" s="8" t="s">
        <v>2</v>
      </c>
      <c r="E120" s="2">
        <f>SUMIFS(LS[Unit],LS[Investor ID],INVESTORS_LIST[[#This Row],[INVESTOR CODE]],LS[B/S],"B")</f>
        <v>319957</v>
      </c>
      <c r="F120" s="2">
        <f>-SUMIFS(LS[Unit],LS[Investor ID],INVESTORS_LIST[[#This Row],[INVESTOR CODE]],LS[B/S],"S")</f>
        <v>12000</v>
      </c>
      <c r="G120" s="2">
        <f>IF(INVESTORS_LIST[[#This Row],[LS_TOTAL UNITS BUY]]=0,0,INVESTORS_LIST[[#This Row],[LS_TOTAL UNITS BUY]]-INVESTORS_LIST[[#This Row],[LS_TOTAL UNITS SOLD]])</f>
        <v>307957</v>
      </c>
      <c r="H120" s="4">
        <f>IF(INVESTORS_LIST[[#This Row],[LS_TOTAL UNITS BUY]]=0,0,SUMIFS(LS[Amount],LS[Investor ID],INVESTORS_LIST[[#This Row],[INVESTOR CODE]],LS[B/S],"B"))</f>
        <v>3723600</v>
      </c>
      <c r="I120" s="6">
        <f>IF(INVESTORS_LIST[[#This Row],[LS_TOTAL UNITS SOLD]]=0,0,SUMIFS(LS[Cost of Units Sold],LS[Investor ID],INVESTORS_LIST[[#This Row],[INVESTOR CODE]],LS[B/S],"S"))</f>
        <v>120000</v>
      </c>
      <c r="J120" s="6">
        <f>IF(INVESTORS_LIST[[#This Row],[LS_TOTAL CURRENT UNITS]]=0,0,INVESTORS_LIST[[#This Row],[LS_TOTAL CURRENT UNITS]]*INVESTORS_LIST[[#This Row],[LS_AVERAGE COST]])</f>
        <v>3603600.0000000005</v>
      </c>
      <c r="K120" s="4">
        <f>IF(INVESTORS_LIST[[#This Row],[LS_TOTAL UNITS SOLD]]=0,0,SUMIFS(LS[Realized Gain],LS[Investor ID],INVESTORS_LIST[[#This Row],[INVESTOR CODE]],LS[B/S],"S"))</f>
        <v>-119.99999999999744</v>
      </c>
      <c r="L120" s="2">
        <f>SUMIFS(SIP[Unit],SIP[Investor ID],INVESTORS_LIST[[#This Row],[INVESTOR CODE]],SIP[B/S],"B")</f>
        <v>0</v>
      </c>
      <c r="M120" s="2">
        <f>-SUMIFS(SIP[Unit],SIP[Investor ID],INVESTORS_LIST[[#This Row],[INVESTOR CODE]],SIP[B/S],"S")</f>
        <v>0</v>
      </c>
      <c r="N120" s="33">
        <f>IF(INVESTORS_LIST[[#This Row],[SIP_TOTAL UNITS BUY]]=0,0,INVESTORS_LIST[[#This Row],[SIP_TOTAL UNITS BUY]]-INVESTORS_LIST[[#This Row],[SIP_TOTAL UNITS SOLD]])</f>
        <v>0</v>
      </c>
      <c r="O120" s="4">
        <f>IF(INVESTORS_LIST[[#This Row],[SIP_TOTAL UNITS BUY]]=0,0,SUMIFS(SIP[Amount],SIP[Investor ID],INVESTORS_LIST[[#This Row],[INVESTOR CODE]],SIP[B/S],"B"))</f>
        <v>0</v>
      </c>
      <c r="P120" s="4">
        <f>IF(INVESTORS_LIST[[#This Row],[SIP_TOTAL UNITS SOLD]]=0,0,SUMIFS(SIP[Cost of Units Sold],SIP[Investor ID],INVESTORS_LIST[[#This Row],[INVESTOR CODE]],SIP[B/S],"S"))</f>
        <v>0</v>
      </c>
      <c r="Q120" s="6">
        <f>IF(INVESTORS_LIST[[#This Row],[SIP_TOTAL CURRENT UNITS]]=0,0,INVESTORS_LIST[[#This Row],[SIP_TOTAL CURRENT UNITS]]*INVESTORS_LIST[[#This Row],[SIP_AVERAGE COST]])</f>
        <v>0</v>
      </c>
      <c r="R120" s="6">
        <f>IF(INVESTORS_LIST[[#This Row],[SIP_TOTAL UNITS SOLD]]=0,0,SUMIFS(SIP[Realized Gain],SIP[Investor ID],INVESTORS_LIST[[#This Row],[INVESTOR CODE]],SIP[B/S],"S"))</f>
        <v>0</v>
      </c>
      <c r="S120" s="33">
        <f>INVESTORS_LIST[[#This Row],[LS_TOTAL UNITS BUY]]+INVESTORS_LIST[[#This Row],[SIP_TOTAL UNITS BUY]]</f>
        <v>319957</v>
      </c>
      <c r="T120" s="33">
        <f>INVESTORS_LIST[[#This Row],[LS_TOTAL UNITS SOLD]]+INVESTORS_LIST[[#This Row],[SIP_TOTAL UNITS SOLD]]</f>
        <v>12000</v>
      </c>
      <c r="U120" s="33">
        <v>300000</v>
      </c>
      <c r="V120" s="33">
        <f>SUMIFS(LS[BO UNIT TRANSFER],LS[Investor ID],INVESTORS_LIST[[#This Row],[INVESTOR CODE]],LS[B/S],"B")</f>
        <v>7957</v>
      </c>
      <c r="W120" s="33">
        <f>SUMIFS(LS[BO UNIT TRANSFER],LS[Investor ID],INVESTORS_LIST[[#This Row],[INVESTOR CODE]],LS[B/S],"S")</f>
        <v>0</v>
      </c>
      <c r="X120" s="33">
        <f>SUMIFS(SIP[BO UNIT TRANSFER],SIP[Investor ID],INVESTORS_LIST[[#This Row],[INVESTOR CODE]],SIP[B/S],"S")</f>
        <v>0</v>
      </c>
      <c r="Y120" s="33">
        <f>SUMIFS(SIP[BO UNIT TRANSFER],SIP[Investor ID],INVESTORS_LIST[[#This Row],[INVESTOR CODE]],SIP[B/S],"B")</f>
        <v>0</v>
      </c>
      <c r="Z12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307957</v>
      </c>
      <c r="AA120" s="119">
        <f>INVESTORS_LIST[[#This Row],[TOTAL UNITS BUY]]-INVESTORS_LIST[[#This Row],[TOTAL UNITS SOLD]]</f>
        <v>307957</v>
      </c>
      <c r="AB120" s="119">
        <f>INVESTORS_LIST[[#This Row],[TOTAL CURRENT UNITS]]-INVESTORS_LIST[[#This Row],[BO UNITS HOLD]]</f>
        <v>0</v>
      </c>
      <c r="AC120" s="119" t="e">
        <f>INDEX([4]!Table_1[BO ID],MATCH(INVESTORS_LIST[[#This Row],[INVESTOR CODE]],[4]!Table_1[INVESTOR CODE],0))</f>
        <v>#REF!</v>
      </c>
      <c r="AD120" s="33">
        <f>INVESTORS_LIST[[#This Row],[LS_TOTAL COST VALUE OF CURRENT UNITS]]+INVESTORS_LIST[[#This Row],[SIP_TOTAL COST VALUE OF CURRENT UNITS]]</f>
        <v>3603600.0000000005</v>
      </c>
      <c r="AE120" s="44">
        <f>IF(INVESTORS_LIST[[#This Row],[TOTAL CURRENT UNITS]]=0,0,INVESTORS_LIST[[#This Row],[LS_TOTAL CURRENT UNITS]]/INVESTORS_LIST[[#This Row],[TOTAL CURRENT UNITS]])</f>
        <v>1</v>
      </c>
      <c r="AF120" s="44">
        <f>IF(INVESTORS_LIST[[#This Row],[TOTAL CURRENT UNITS]]=0,0,INVESTORS_LIST[[#This Row],[SIP_TOTAL CURRENT UNITS]]/INVESTORS_LIST[[#This Row],[TOTAL CURRENT UNITS]])</f>
        <v>0</v>
      </c>
      <c r="AG120" s="4" cm="1">
        <f t="array" ref="AG120">IF(INVESTORS_LIST[[#This Row],[LS_TOTAL UNITS BUY]]&gt;0,INDEX(LS[NAV at Cost (Average)],MATCH(CONCATENATE(COUNTIFS(LS[Investor ID],INVESTORS_LIST[[#This Row],[INVESTOR CODE]]),INVESTORS_LIST[[#This Row],[INVESTOR CODE]]),LS[Unique Code],0),),0)</f>
        <v>11.701633669635697</v>
      </c>
      <c r="AH120" s="4" cm="1">
        <f t="array" ref="AH1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20" s="178">
        <f>IF(INVESTORS_LIST[[#This Row],[TOTAL CURRENT UNITS]]=0,0,(INVESTORS_LIST[[#This Row],[LS_WEIGHT]]*INVESTORS_LIST[[#This Row],[LS_AVERAGE COST]])+(INVESTORS_LIST[[#This Row],[SIP_WEIGHT]]*INVESTORS_LIST[[#This Row],[SIP_AVERAGE COST]]))</f>
        <v>11.701633669635697</v>
      </c>
      <c r="AJ120" s="178">
        <f t="shared" si="1"/>
        <v>12.552</v>
      </c>
      <c r="AK120" s="118">
        <f>IF(INVESTORS_LIST[[#This Row],[TOTAL CURRENT UNITS]]=0,0,INVESTORS_LIST[[#This Row],[TOTAL CURRENT UNITS]]*INVESTORS_LIST[[#This Row],[NAV]])</f>
        <v>3865476.264</v>
      </c>
      <c r="AL120" s="4">
        <f>IF(INVESTORS_LIST[[#This Row],[LS_TOTAL CURRENT UNITS]]=0,0,INVESTORS_LIST[[#This Row],[LS_TOTAL CURRENT UNITS]]*INVESTORS_LIST[[#This Row],[NAV]])</f>
        <v>3865476.264</v>
      </c>
      <c r="AM120" s="6">
        <f>IF(INVESTORS_LIST[[#This Row],[SIP_TOTAL CURRENT UNITS]]=0,0,INVESTORS_LIST[[#This Row],[SIP_TOTAL CURRENT UNITS]]*INVESTORS_LIST[[#This Row],[NAV]])</f>
        <v>0</v>
      </c>
      <c r="AO120" s="6">
        <f>IF(INVESTORS_LIST[[#This Row],[TOTAL SELLABLE UNITS]]=0,0,INVESTORS_LIST[[#This Row],[TOTAL SELLABLE UNITS]]*INVESTORS_LIST[[#This Row],[NAV]])</f>
        <v>0</v>
      </c>
      <c r="AP120" s="6">
        <f>INVESTORS_LIST[[#This Row],[LS_TOTAL REALIZED GAIN]]+INVESTORS_LIST[[#This Row],[SIP_TOTAL REALIZED GAIN]]</f>
        <v>-119.99999999999744</v>
      </c>
      <c r="AQ120" s="6">
        <f>INVESTORS_LIST[[#This Row],[TOTAL MARKET VALUE]]-INVESTORS_LIST[[#This Row],[TOTAL COST VALUE OF CURRENT INVESTMENT]]</f>
        <v>261876.2639999995</v>
      </c>
      <c r="AR120" s="6">
        <f>SUMIFS(DivAndTax[Tax Amount],DivAndTax[Investor ID],INVESTORS_LIST[[#This Row],[INVESTOR CODE]])</f>
        <v>10500</v>
      </c>
      <c r="AS120" s="6">
        <f>SUMIFS(DivAndTax[Gross Dividend],DivAndTax[Investor ID],INVESTORS_LIST[[#This Row],[INVESTOR CODE]])</f>
        <v>105000</v>
      </c>
      <c r="AT120" s="5">
        <f>IFERROR(INVESTORS_LIST[[#This Row],[TOTAL CURRENT UNITS]]/SUM(INVESTORS_LIST[TOTAL CURRENT UNITS]),0)</f>
        <v>1.4764947569446176E-2</v>
      </c>
    </row>
    <row r="121" spans="1:46" hidden="1">
      <c r="A121" t="s">
        <v>787</v>
      </c>
      <c r="B121" t="s">
        <v>154</v>
      </c>
      <c r="C121" t="s">
        <v>536</v>
      </c>
      <c r="D121" s="8" t="s">
        <v>2</v>
      </c>
      <c r="E121" s="2">
        <f>SUMIFS(LS[Unit],LS[Investor ID],INVESTORS_LIST[[#This Row],[INVESTOR CODE]],LS[B/S],"B")</f>
        <v>60000</v>
      </c>
      <c r="F121" s="2">
        <f>-SUMIFS(LS[Unit],LS[Investor ID],INVESTORS_LIST[[#This Row],[INVESTOR CODE]],LS[B/S],"S")</f>
        <v>60000</v>
      </c>
      <c r="G121" s="2">
        <f>IF(INVESTORS_LIST[[#This Row],[LS_TOTAL UNITS BUY]]=0,0,INVESTORS_LIST[[#This Row],[LS_TOTAL UNITS BUY]]-INVESTORS_LIST[[#This Row],[LS_TOTAL UNITS SOLD]])</f>
        <v>0</v>
      </c>
      <c r="H121" s="4">
        <f>IF(INVESTORS_LIST[[#This Row],[LS_TOTAL UNITS BUY]]=0,0,SUMIFS(LS[Amount],LS[Investor ID],INVESTORS_LIST[[#This Row],[INVESTOR CODE]],LS[B/S],"B"))</f>
        <v>600000</v>
      </c>
      <c r="I121" s="6">
        <f>IF(INVESTORS_LIST[[#This Row],[LS_TOTAL UNITS SOLD]]=0,0,SUMIFS(LS[Cost of Units Sold],LS[Investor ID],INVESTORS_LIST[[#This Row],[INVESTOR CODE]],LS[B/S],"S"))</f>
        <v>600000</v>
      </c>
      <c r="J121" s="6">
        <f>IF(INVESTORS_LIST[[#This Row],[LS_TOTAL CURRENT UNITS]]=0,0,INVESTORS_LIST[[#This Row],[LS_TOTAL CURRENT UNITS]]*INVESTORS_LIST[[#This Row],[LS_AVERAGE COST]])</f>
        <v>0</v>
      </c>
      <c r="K121" s="4">
        <f>IF(INVESTORS_LIST[[#This Row],[LS_TOTAL UNITS SOLD]]=0,0,SUMIFS(LS[Realized Gain],LS[Investor ID],INVESTORS_LIST[[#This Row],[INVESTOR CODE]],LS[B/S],"S"))</f>
        <v>-1199.9999999999745</v>
      </c>
      <c r="L121" s="2">
        <f>SUMIFS(SIP[Unit],SIP[Investor ID],INVESTORS_LIST[[#This Row],[INVESTOR CODE]],SIP[B/S],"B")</f>
        <v>0</v>
      </c>
      <c r="M121" s="2">
        <f>-SUMIFS(SIP[Unit],SIP[Investor ID],INVESTORS_LIST[[#This Row],[INVESTOR CODE]],SIP[B/S],"S")</f>
        <v>0</v>
      </c>
      <c r="N121" s="33">
        <f>IF(INVESTORS_LIST[[#This Row],[SIP_TOTAL UNITS BUY]]=0,0,INVESTORS_LIST[[#This Row],[SIP_TOTAL UNITS BUY]]-INVESTORS_LIST[[#This Row],[SIP_TOTAL UNITS SOLD]])</f>
        <v>0</v>
      </c>
      <c r="O121" s="4">
        <f>IF(INVESTORS_LIST[[#This Row],[SIP_TOTAL UNITS BUY]]=0,0,SUMIFS(SIP[Amount],SIP[Investor ID],INVESTORS_LIST[[#This Row],[INVESTOR CODE]],SIP[B/S],"B"))</f>
        <v>0</v>
      </c>
      <c r="P121" s="4">
        <f>IF(INVESTORS_LIST[[#This Row],[SIP_TOTAL UNITS SOLD]]=0,0,SUMIFS(SIP[Cost of Units Sold],SIP[Investor ID],INVESTORS_LIST[[#This Row],[INVESTOR CODE]],SIP[B/S],"S"))</f>
        <v>0</v>
      </c>
      <c r="Q121" s="6">
        <f>IF(INVESTORS_LIST[[#This Row],[SIP_TOTAL CURRENT UNITS]]=0,0,INVESTORS_LIST[[#This Row],[SIP_TOTAL CURRENT UNITS]]*INVESTORS_LIST[[#This Row],[SIP_AVERAGE COST]])</f>
        <v>0</v>
      </c>
      <c r="R121" s="6">
        <f>IF(INVESTORS_LIST[[#This Row],[SIP_TOTAL UNITS SOLD]]=0,0,SUMIFS(SIP[Realized Gain],SIP[Investor ID],INVESTORS_LIST[[#This Row],[INVESTOR CODE]],SIP[B/S],"S"))</f>
        <v>0</v>
      </c>
      <c r="S121" s="33">
        <f>INVESTORS_LIST[[#This Row],[LS_TOTAL UNITS BUY]]+INVESTORS_LIST[[#This Row],[SIP_TOTAL UNITS BUY]]</f>
        <v>60000</v>
      </c>
      <c r="T121" s="33">
        <f>INVESTORS_LIST[[#This Row],[LS_TOTAL UNITS SOLD]]+INVESTORS_LIST[[#This Row],[SIP_TOTAL UNITS SOLD]]</f>
        <v>60000</v>
      </c>
      <c r="U121" s="33">
        <v>0</v>
      </c>
      <c r="V121" s="33">
        <f>SUMIFS(LS[BO UNIT TRANSFER],LS[Investor ID],INVESTORS_LIST[[#This Row],[INVESTOR CODE]],LS[B/S],"B")</f>
        <v>0</v>
      </c>
      <c r="W121" s="33">
        <f>SUMIFS(LS[BO UNIT TRANSFER],LS[Investor ID],INVESTORS_LIST[[#This Row],[INVESTOR CODE]],LS[B/S],"S")</f>
        <v>0</v>
      </c>
      <c r="X121" s="33">
        <f>SUMIFS(SIP[BO UNIT TRANSFER],SIP[Investor ID],INVESTORS_LIST[[#This Row],[INVESTOR CODE]],SIP[B/S],"S")</f>
        <v>0</v>
      </c>
      <c r="Y121" s="33">
        <f>SUMIFS(SIP[BO UNIT TRANSFER],SIP[Investor ID],INVESTORS_LIST[[#This Row],[INVESTOR CODE]],SIP[B/S],"B")</f>
        <v>0</v>
      </c>
      <c r="Z12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21" s="119">
        <f>INVESTORS_LIST[[#This Row],[TOTAL UNITS BUY]]-INVESTORS_LIST[[#This Row],[TOTAL UNITS SOLD]]</f>
        <v>0</v>
      </c>
      <c r="AB121" s="119">
        <f>INVESTORS_LIST[[#This Row],[TOTAL CURRENT UNITS]]-INVESTORS_LIST[[#This Row],[BO UNITS HOLD]]</f>
        <v>0</v>
      </c>
      <c r="AC121" s="119" t="e">
        <f>INDEX([4]!Table_1[BO ID],MATCH(INVESTORS_LIST[[#This Row],[INVESTOR CODE]],[4]!Table_1[INVESTOR CODE],0))</f>
        <v>#REF!</v>
      </c>
      <c r="AD121" s="33">
        <f>INVESTORS_LIST[[#This Row],[LS_TOTAL COST VALUE OF CURRENT UNITS]]+INVESTORS_LIST[[#This Row],[SIP_TOTAL COST VALUE OF CURRENT UNITS]]</f>
        <v>0</v>
      </c>
      <c r="AE121" s="44">
        <f>IF(INVESTORS_LIST[[#This Row],[TOTAL CURRENT UNITS]]=0,0,INVESTORS_LIST[[#This Row],[LS_TOTAL CURRENT UNITS]]/INVESTORS_LIST[[#This Row],[TOTAL CURRENT UNITS]])</f>
        <v>0</v>
      </c>
      <c r="AF121" s="44">
        <f>IF(INVESTORS_LIST[[#This Row],[TOTAL CURRENT UNITS]]=0,0,INVESTORS_LIST[[#This Row],[SIP_TOTAL CURRENT UNITS]]/INVESTORS_LIST[[#This Row],[TOTAL CURRENT UNITS]])</f>
        <v>0</v>
      </c>
      <c r="AG121" s="4" cm="1">
        <f t="array" ref="AG1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21" s="4" cm="1">
        <f t="array" ref="AH1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2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21" s="178">
        <f t="shared" si="1"/>
        <v>12.552</v>
      </c>
      <c r="AK121" s="118">
        <f>IF(INVESTORS_LIST[[#This Row],[TOTAL CURRENT UNITS]]=0,0,INVESTORS_LIST[[#This Row],[TOTAL CURRENT UNITS]]*INVESTORS_LIST[[#This Row],[NAV]])</f>
        <v>0</v>
      </c>
      <c r="AL121" s="4">
        <f>IF(INVESTORS_LIST[[#This Row],[LS_TOTAL CURRENT UNITS]]=0,0,INVESTORS_LIST[[#This Row],[LS_TOTAL CURRENT UNITS]]*INVESTORS_LIST[[#This Row],[NAV]])</f>
        <v>0</v>
      </c>
      <c r="AM121" s="6">
        <f>IF(INVESTORS_LIST[[#This Row],[SIP_TOTAL CURRENT UNITS]]=0,0,INVESTORS_LIST[[#This Row],[SIP_TOTAL CURRENT UNITS]]*INVESTORS_LIST[[#This Row],[NAV]])</f>
        <v>0</v>
      </c>
      <c r="AO121" s="6">
        <f>IF(INVESTORS_LIST[[#This Row],[TOTAL SELLABLE UNITS]]=0,0,INVESTORS_LIST[[#This Row],[TOTAL SELLABLE UNITS]]*INVESTORS_LIST[[#This Row],[NAV]])</f>
        <v>0</v>
      </c>
      <c r="AP121" s="6">
        <f>INVESTORS_LIST[[#This Row],[LS_TOTAL REALIZED GAIN]]+INVESTORS_LIST[[#This Row],[SIP_TOTAL REALIZED GAIN]]</f>
        <v>-1199.9999999999745</v>
      </c>
      <c r="AQ121" s="6">
        <f>INVESTORS_LIST[[#This Row],[TOTAL MARKET VALUE]]-INVESTORS_LIST[[#This Row],[TOTAL COST VALUE OF CURRENT INVESTMENT]]</f>
        <v>0</v>
      </c>
      <c r="AR121" s="6">
        <f>SUMIFS(DivAndTax[Tax Amount],DivAndTax[Investor ID],INVESTORS_LIST[[#This Row],[INVESTOR CODE]])</f>
        <v>0</v>
      </c>
      <c r="AS121" s="6">
        <f>SUMIFS(DivAndTax[Gross Dividend],DivAndTax[Investor ID],INVESTORS_LIST[[#This Row],[INVESTOR CODE]])</f>
        <v>0</v>
      </c>
      <c r="AT121" s="5">
        <f>IFERROR(INVESTORS_LIST[[#This Row],[TOTAL CURRENT UNITS]]/SUM(INVESTORS_LIST[TOTAL CURRENT UNITS]),0)</f>
        <v>0</v>
      </c>
    </row>
    <row r="122" spans="1:46" hidden="1">
      <c r="A122" t="s">
        <v>788</v>
      </c>
      <c r="B122" t="s">
        <v>155</v>
      </c>
      <c r="C122" t="s">
        <v>536</v>
      </c>
      <c r="D122" s="8" t="s">
        <v>2</v>
      </c>
      <c r="E122" s="2">
        <f>SUMIFS(LS[Unit],LS[Investor ID],INVESTORS_LIST[[#This Row],[INVESTOR CODE]],LS[B/S],"B")</f>
        <v>0</v>
      </c>
      <c r="F122" s="2">
        <f>-SUMIFS(LS[Unit],LS[Investor ID],INVESTORS_LIST[[#This Row],[INVESTOR CODE]],LS[B/S],"S")</f>
        <v>0</v>
      </c>
      <c r="G122" s="2">
        <f>IF(INVESTORS_LIST[[#This Row],[LS_TOTAL UNITS BUY]]=0,0,INVESTORS_LIST[[#This Row],[LS_TOTAL UNITS BUY]]-INVESTORS_LIST[[#This Row],[LS_TOTAL UNITS SOLD]])</f>
        <v>0</v>
      </c>
      <c r="H122" s="4">
        <f>IF(INVESTORS_LIST[[#This Row],[LS_TOTAL UNITS BUY]]=0,0,SUMIFS(LS[Amount],LS[Investor ID],INVESTORS_LIST[[#This Row],[INVESTOR CODE]],LS[B/S],"B"))</f>
        <v>0</v>
      </c>
      <c r="I122" s="6">
        <f>IF(INVESTORS_LIST[[#This Row],[LS_TOTAL UNITS SOLD]]=0,0,SUMIFS(LS[Cost of Units Sold],LS[Investor ID],INVESTORS_LIST[[#This Row],[INVESTOR CODE]],LS[B/S],"S"))</f>
        <v>0</v>
      </c>
      <c r="J122" s="6">
        <f>IF(INVESTORS_LIST[[#This Row],[LS_TOTAL CURRENT UNITS]]=0,0,INVESTORS_LIST[[#This Row],[LS_TOTAL CURRENT UNITS]]*INVESTORS_LIST[[#This Row],[LS_AVERAGE COST]])</f>
        <v>0</v>
      </c>
      <c r="K122" s="4">
        <f>IF(INVESTORS_LIST[[#This Row],[LS_TOTAL UNITS SOLD]]=0,0,SUMIFS(LS[Realized Gain],LS[Investor ID],INVESTORS_LIST[[#This Row],[INVESTOR CODE]],LS[B/S],"S"))</f>
        <v>0</v>
      </c>
      <c r="L122" s="2">
        <f>SUMIFS(SIP[Unit],SIP[Investor ID],INVESTORS_LIST[[#This Row],[INVESTOR CODE]],SIP[B/S],"B")</f>
        <v>0</v>
      </c>
      <c r="M122" s="2">
        <f>-SUMIFS(SIP[Unit],SIP[Investor ID],INVESTORS_LIST[[#This Row],[INVESTOR CODE]],SIP[B/S],"S")</f>
        <v>0</v>
      </c>
      <c r="N122" s="33">
        <f>IF(INVESTORS_LIST[[#This Row],[SIP_TOTAL UNITS BUY]]=0,0,INVESTORS_LIST[[#This Row],[SIP_TOTAL UNITS BUY]]-INVESTORS_LIST[[#This Row],[SIP_TOTAL UNITS SOLD]])</f>
        <v>0</v>
      </c>
      <c r="O122" s="4">
        <f>IF(INVESTORS_LIST[[#This Row],[SIP_TOTAL UNITS BUY]]=0,0,SUMIFS(SIP[Amount],SIP[Investor ID],INVESTORS_LIST[[#This Row],[INVESTOR CODE]],SIP[B/S],"B"))</f>
        <v>0</v>
      </c>
      <c r="P122" s="4">
        <f>IF(INVESTORS_LIST[[#This Row],[SIP_TOTAL UNITS SOLD]]=0,0,SUMIFS(SIP[Cost of Units Sold],SIP[Investor ID],INVESTORS_LIST[[#This Row],[INVESTOR CODE]],SIP[B/S],"S"))</f>
        <v>0</v>
      </c>
      <c r="Q122" s="6">
        <f>IF(INVESTORS_LIST[[#This Row],[SIP_TOTAL CURRENT UNITS]]=0,0,INVESTORS_LIST[[#This Row],[SIP_TOTAL CURRENT UNITS]]*INVESTORS_LIST[[#This Row],[SIP_AVERAGE COST]])</f>
        <v>0</v>
      </c>
      <c r="R122" s="6">
        <f>IF(INVESTORS_LIST[[#This Row],[SIP_TOTAL UNITS SOLD]]=0,0,SUMIFS(SIP[Realized Gain],SIP[Investor ID],INVESTORS_LIST[[#This Row],[INVESTOR CODE]],SIP[B/S],"S"))</f>
        <v>0</v>
      </c>
      <c r="S122" s="33">
        <f>INVESTORS_LIST[[#This Row],[LS_TOTAL UNITS BUY]]+INVESTORS_LIST[[#This Row],[SIP_TOTAL UNITS BUY]]</f>
        <v>0</v>
      </c>
      <c r="T122" s="33">
        <f>INVESTORS_LIST[[#This Row],[LS_TOTAL UNITS SOLD]]+INVESTORS_LIST[[#This Row],[SIP_TOTAL UNITS SOLD]]</f>
        <v>0</v>
      </c>
      <c r="U122" s="33">
        <v>0</v>
      </c>
      <c r="V122" s="33">
        <f>SUMIFS(LS[BO UNIT TRANSFER],LS[Investor ID],INVESTORS_LIST[[#This Row],[INVESTOR CODE]],LS[B/S],"B")</f>
        <v>0</v>
      </c>
      <c r="W122" s="33">
        <f>SUMIFS(LS[BO UNIT TRANSFER],LS[Investor ID],INVESTORS_LIST[[#This Row],[INVESTOR CODE]],LS[B/S],"S")</f>
        <v>0</v>
      </c>
      <c r="X122" s="33">
        <f>SUMIFS(SIP[BO UNIT TRANSFER],SIP[Investor ID],INVESTORS_LIST[[#This Row],[INVESTOR CODE]],SIP[B/S],"S")</f>
        <v>0</v>
      </c>
      <c r="Y122" s="33">
        <f>SUMIFS(SIP[BO UNIT TRANSFER],SIP[Investor ID],INVESTORS_LIST[[#This Row],[INVESTOR CODE]],SIP[B/S],"B")</f>
        <v>0</v>
      </c>
      <c r="Z12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22" s="119">
        <f>INVESTORS_LIST[[#This Row],[TOTAL UNITS BUY]]-INVESTORS_LIST[[#This Row],[TOTAL UNITS SOLD]]</f>
        <v>0</v>
      </c>
      <c r="AB122" s="119">
        <f>INVESTORS_LIST[[#This Row],[TOTAL CURRENT UNITS]]-INVESTORS_LIST[[#This Row],[BO UNITS HOLD]]</f>
        <v>0</v>
      </c>
      <c r="AC122" s="119" t="e">
        <f>INDEX([4]!Table_1[BO ID],MATCH(INVESTORS_LIST[[#This Row],[INVESTOR CODE]],[4]!Table_1[INVESTOR CODE],0))</f>
        <v>#REF!</v>
      </c>
      <c r="AD122" s="33">
        <f>INVESTORS_LIST[[#This Row],[LS_TOTAL COST VALUE OF CURRENT UNITS]]+INVESTORS_LIST[[#This Row],[SIP_TOTAL COST VALUE OF CURRENT UNITS]]</f>
        <v>0</v>
      </c>
      <c r="AE122" s="44">
        <f>IF(INVESTORS_LIST[[#This Row],[TOTAL CURRENT UNITS]]=0,0,INVESTORS_LIST[[#This Row],[LS_TOTAL CURRENT UNITS]]/INVESTORS_LIST[[#This Row],[TOTAL CURRENT UNITS]])</f>
        <v>0</v>
      </c>
      <c r="AF122" s="44">
        <f>IF(INVESTORS_LIST[[#This Row],[TOTAL CURRENT UNITS]]=0,0,INVESTORS_LIST[[#This Row],[SIP_TOTAL CURRENT UNITS]]/INVESTORS_LIST[[#This Row],[TOTAL CURRENT UNITS]])</f>
        <v>0</v>
      </c>
      <c r="AG122" s="4" cm="1">
        <f t="array" ref="AG1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22" s="4" cm="1">
        <f t="array" ref="AH1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2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22" s="178">
        <f t="shared" si="1"/>
        <v>12.552</v>
      </c>
      <c r="AK122" s="118">
        <f>IF(INVESTORS_LIST[[#This Row],[TOTAL CURRENT UNITS]]=0,0,INVESTORS_LIST[[#This Row],[TOTAL CURRENT UNITS]]*INVESTORS_LIST[[#This Row],[NAV]])</f>
        <v>0</v>
      </c>
      <c r="AL122" s="4">
        <f>IF(INVESTORS_LIST[[#This Row],[LS_TOTAL CURRENT UNITS]]=0,0,INVESTORS_LIST[[#This Row],[LS_TOTAL CURRENT UNITS]]*INVESTORS_LIST[[#This Row],[NAV]])</f>
        <v>0</v>
      </c>
      <c r="AM122" s="6">
        <f>IF(INVESTORS_LIST[[#This Row],[SIP_TOTAL CURRENT UNITS]]=0,0,INVESTORS_LIST[[#This Row],[SIP_TOTAL CURRENT UNITS]]*INVESTORS_LIST[[#This Row],[NAV]])</f>
        <v>0</v>
      </c>
      <c r="AO122" s="6">
        <f>IF(INVESTORS_LIST[[#This Row],[TOTAL SELLABLE UNITS]]=0,0,INVESTORS_LIST[[#This Row],[TOTAL SELLABLE UNITS]]*INVESTORS_LIST[[#This Row],[NAV]])</f>
        <v>0</v>
      </c>
      <c r="AP122" s="6">
        <f>INVESTORS_LIST[[#This Row],[LS_TOTAL REALIZED GAIN]]+INVESTORS_LIST[[#This Row],[SIP_TOTAL REALIZED GAIN]]</f>
        <v>0</v>
      </c>
      <c r="AQ122" s="6">
        <f>INVESTORS_LIST[[#This Row],[TOTAL MARKET VALUE]]-INVESTORS_LIST[[#This Row],[TOTAL COST VALUE OF CURRENT INVESTMENT]]</f>
        <v>0</v>
      </c>
      <c r="AR122" s="6">
        <f>SUMIFS(DivAndTax[Tax Amount],DivAndTax[Investor ID],INVESTORS_LIST[[#This Row],[INVESTOR CODE]])</f>
        <v>0</v>
      </c>
      <c r="AS122" s="6">
        <f>SUMIFS(DivAndTax[Gross Dividend],DivAndTax[Investor ID],INVESTORS_LIST[[#This Row],[INVESTOR CODE]])</f>
        <v>0</v>
      </c>
      <c r="AT122" s="5">
        <f>IFERROR(INVESTORS_LIST[[#This Row],[TOTAL CURRENT UNITS]]/SUM(INVESTORS_LIST[TOTAL CURRENT UNITS]),0)</f>
        <v>0</v>
      </c>
    </row>
    <row r="123" spans="1:46" hidden="1">
      <c r="A123" t="s">
        <v>789</v>
      </c>
      <c r="B123" t="s">
        <v>156</v>
      </c>
      <c r="C123" t="s">
        <v>536</v>
      </c>
      <c r="D123" s="8" t="s">
        <v>2</v>
      </c>
      <c r="E123" s="2">
        <f>SUMIFS(LS[Unit],LS[Investor ID],INVESTORS_LIST[[#This Row],[INVESTOR CODE]],LS[B/S],"B")</f>
        <v>100000</v>
      </c>
      <c r="F123" s="2">
        <f>-SUMIFS(LS[Unit],LS[Investor ID],INVESTORS_LIST[[#This Row],[INVESTOR CODE]],LS[B/S],"S")</f>
        <v>100000</v>
      </c>
      <c r="G123" s="2">
        <f>IF(INVESTORS_LIST[[#This Row],[LS_TOTAL UNITS BUY]]=0,0,INVESTORS_LIST[[#This Row],[LS_TOTAL UNITS BUY]]-INVESTORS_LIST[[#This Row],[LS_TOTAL UNITS SOLD]])</f>
        <v>0</v>
      </c>
      <c r="H123" s="4">
        <f>IF(INVESTORS_LIST[[#This Row],[LS_TOTAL UNITS BUY]]=0,0,SUMIFS(LS[Amount],LS[Investor ID],INVESTORS_LIST[[#This Row],[INVESTOR CODE]],LS[B/S],"B"))</f>
        <v>1000000</v>
      </c>
      <c r="I123" s="6">
        <f>IF(INVESTORS_LIST[[#This Row],[LS_TOTAL UNITS SOLD]]=0,0,SUMIFS(LS[Cost of Units Sold],LS[Investor ID],INVESTORS_LIST[[#This Row],[INVESTOR CODE]],LS[B/S],"S"))</f>
        <v>1000000</v>
      </c>
      <c r="J123" s="6">
        <f>IF(INVESTORS_LIST[[#This Row],[LS_TOTAL CURRENT UNITS]]=0,0,INVESTORS_LIST[[#This Row],[LS_TOTAL CURRENT UNITS]]*INVESTORS_LIST[[#This Row],[LS_AVERAGE COST]])</f>
        <v>0</v>
      </c>
      <c r="K123" s="4">
        <f>IF(INVESTORS_LIST[[#This Row],[LS_TOTAL UNITS SOLD]]=0,0,SUMIFS(LS[Realized Gain],LS[Investor ID],INVESTORS_LIST[[#This Row],[INVESTOR CODE]],LS[B/S],"S"))</f>
        <v>9800.0000000000746</v>
      </c>
      <c r="L123" s="2">
        <f>SUMIFS(SIP[Unit],SIP[Investor ID],INVESTORS_LIST[[#This Row],[INVESTOR CODE]],SIP[B/S],"B")</f>
        <v>0</v>
      </c>
      <c r="M123" s="2">
        <f>-SUMIFS(SIP[Unit],SIP[Investor ID],INVESTORS_LIST[[#This Row],[INVESTOR CODE]],SIP[B/S],"S")</f>
        <v>0</v>
      </c>
      <c r="N123" s="33">
        <f>IF(INVESTORS_LIST[[#This Row],[SIP_TOTAL UNITS BUY]]=0,0,INVESTORS_LIST[[#This Row],[SIP_TOTAL UNITS BUY]]-INVESTORS_LIST[[#This Row],[SIP_TOTAL UNITS SOLD]])</f>
        <v>0</v>
      </c>
      <c r="O123" s="4">
        <f>IF(INVESTORS_LIST[[#This Row],[SIP_TOTAL UNITS BUY]]=0,0,SUMIFS(SIP[Amount],SIP[Investor ID],INVESTORS_LIST[[#This Row],[INVESTOR CODE]],SIP[B/S],"B"))</f>
        <v>0</v>
      </c>
      <c r="P123" s="4">
        <f>IF(INVESTORS_LIST[[#This Row],[SIP_TOTAL UNITS SOLD]]=0,0,SUMIFS(SIP[Cost of Units Sold],SIP[Investor ID],INVESTORS_LIST[[#This Row],[INVESTOR CODE]],SIP[B/S],"S"))</f>
        <v>0</v>
      </c>
      <c r="Q123" s="6">
        <f>IF(INVESTORS_LIST[[#This Row],[SIP_TOTAL CURRENT UNITS]]=0,0,INVESTORS_LIST[[#This Row],[SIP_TOTAL CURRENT UNITS]]*INVESTORS_LIST[[#This Row],[SIP_AVERAGE COST]])</f>
        <v>0</v>
      </c>
      <c r="R123" s="6">
        <f>IF(INVESTORS_LIST[[#This Row],[SIP_TOTAL UNITS SOLD]]=0,0,SUMIFS(SIP[Realized Gain],SIP[Investor ID],INVESTORS_LIST[[#This Row],[INVESTOR CODE]],SIP[B/S],"S"))</f>
        <v>0</v>
      </c>
      <c r="S123" s="33">
        <f>INVESTORS_LIST[[#This Row],[LS_TOTAL UNITS BUY]]+INVESTORS_LIST[[#This Row],[SIP_TOTAL UNITS BUY]]</f>
        <v>100000</v>
      </c>
      <c r="T123" s="33">
        <f>INVESTORS_LIST[[#This Row],[LS_TOTAL UNITS SOLD]]+INVESTORS_LIST[[#This Row],[SIP_TOTAL UNITS SOLD]]</f>
        <v>100000</v>
      </c>
      <c r="U123" s="33">
        <v>0</v>
      </c>
      <c r="V123" s="33">
        <f>SUMIFS(LS[BO UNIT TRANSFER],LS[Investor ID],INVESTORS_LIST[[#This Row],[INVESTOR CODE]],LS[B/S],"B")</f>
        <v>0</v>
      </c>
      <c r="W123" s="33">
        <f>SUMIFS(LS[BO UNIT TRANSFER],LS[Investor ID],INVESTORS_LIST[[#This Row],[INVESTOR CODE]],LS[B/S],"S")</f>
        <v>0</v>
      </c>
      <c r="X123" s="33">
        <f>SUMIFS(SIP[BO UNIT TRANSFER],SIP[Investor ID],INVESTORS_LIST[[#This Row],[INVESTOR CODE]],SIP[B/S],"S")</f>
        <v>0</v>
      </c>
      <c r="Y123" s="33">
        <f>SUMIFS(SIP[BO UNIT TRANSFER],SIP[Investor ID],INVESTORS_LIST[[#This Row],[INVESTOR CODE]],SIP[B/S],"B")</f>
        <v>0</v>
      </c>
      <c r="Z12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23" s="119">
        <f>INVESTORS_LIST[[#This Row],[TOTAL UNITS BUY]]-INVESTORS_LIST[[#This Row],[TOTAL UNITS SOLD]]</f>
        <v>0</v>
      </c>
      <c r="AB123" s="119">
        <f>INVESTORS_LIST[[#This Row],[TOTAL CURRENT UNITS]]-INVESTORS_LIST[[#This Row],[BO UNITS HOLD]]</f>
        <v>0</v>
      </c>
      <c r="AC123" s="119" t="e">
        <f>INDEX([4]!Table_1[BO ID],MATCH(INVESTORS_LIST[[#This Row],[INVESTOR CODE]],[4]!Table_1[INVESTOR CODE],0))</f>
        <v>#REF!</v>
      </c>
      <c r="AD123" s="33">
        <f>INVESTORS_LIST[[#This Row],[LS_TOTAL COST VALUE OF CURRENT UNITS]]+INVESTORS_LIST[[#This Row],[SIP_TOTAL COST VALUE OF CURRENT UNITS]]</f>
        <v>0</v>
      </c>
      <c r="AE123" s="44">
        <f>IF(INVESTORS_LIST[[#This Row],[TOTAL CURRENT UNITS]]=0,0,INVESTORS_LIST[[#This Row],[LS_TOTAL CURRENT UNITS]]/INVESTORS_LIST[[#This Row],[TOTAL CURRENT UNITS]])</f>
        <v>0</v>
      </c>
      <c r="AF123" s="44">
        <f>IF(INVESTORS_LIST[[#This Row],[TOTAL CURRENT UNITS]]=0,0,INVESTORS_LIST[[#This Row],[SIP_TOTAL CURRENT UNITS]]/INVESTORS_LIST[[#This Row],[TOTAL CURRENT UNITS]])</f>
        <v>0</v>
      </c>
      <c r="AG123" s="4" cm="1">
        <f t="array" ref="AG1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23" s="4" cm="1">
        <f t="array" ref="AH1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2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23" s="178">
        <f t="shared" si="1"/>
        <v>12.552</v>
      </c>
      <c r="AK123" s="118">
        <f>IF(INVESTORS_LIST[[#This Row],[TOTAL CURRENT UNITS]]=0,0,INVESTORS_LIST[[#This Row],[TOTAL CURRENT UNITS]]*INVESTORS_LIST[[#This Row],[NAV]])</f>
        <v>0</v>
      </c>
      <c r="AL123" s="4">
        <f>IF(INVESTORS_LIST[[#This Row],[LS_TOTAL CURRENT UNITS]]=0,0,INVESTORS_LIST[[#This Row],[LS_TOTAL CURRENT UNITS]]*INVESTORS_LIST[[#This Row],[NAV]])</f>
        <v>0</v>
      </c>
      <c r="AM123" s="6">
        <f>IF(INVESTORS_LIST[[#This Row],[SIP_TOTAL CURRENT UNITS]]=0,0,INVESTORS_LIST[[#This Row],[SIP_TOTAL CURRENT UNITS]]*INVESTORS_LIST[[#This Row],[NAV]])</f>
        <v>0</v>
      </c>
      <c r="AO123" s="6">
        <f>IF(INVESTORS_LIST[[#This Row],[TOTAL SELLABLE UNITS]]=0,0,INVESTORS_LIST[[#This Row],[TOTAL SELLABLE UNITS]]*INVESTORS_LIST[[#This Row],[NAV]])</f>
        <v>0</v>
      </c>
      <c r="AP123" s="6">
        <f>INVESTORS_LIST[[#This Row],[LS_TOTAL REALIZED GAIN]]+INVESTORS_LIST[[#This Row],[SIP_TOTAL REALIZED GAIN]]</f>
        <v>9800.0000000000746</v>
      </c>
      <c r="AQ123" s="6">
        <f>INVESTORS_LIST[[#This Row],[TOTAL MARKET VALUE]]-INVESTORS_LIST[[#This Row],[TOTAL COST VALUE OF CURRENT INVESTMENT]]</f>
        <v>0</v>
      </c>
      <c r="AR123" s="6">
        <f>SUMIFS(DivAndTax[Tax Amount],DivAndTax[Investor ID],INVESTORS_LIST[[#This Row],[INVESTOR CODE]])</f>
        <v>0</v>
      </c>
      <c r="AS123" s="6">
        <f>SUMIFS(DivAndTax[Gross Dividend],DivAndTax[Investor ID],INVESTORS_LIST[[#This Row],[INVESTOR CODE]])</f>
        <v>0</v>
      </c>
      <c r="AT123" s="5">
        <f>IFERROR(INVESTORS_LIST[[#This Row],[TOTAL CURRENT UNITS]]/SUM(INVESTORS_LIST[TOTAL CURRENT UNITS]),0)</f>
        <v>0</v>
      </c>
    </row>
    <row r="124" spans="1:46" hidden="1">
      <c r="A124" t="s">
        <v>790</v>
      </c>
      <c r="B124" t="s">
        <v>157</v>
      </c>
      <c r="C124" t="s">
        <v>536</v>
      </c>
      <c r="D124" s="8" t="s">
        <v>2</v>
      </c>
      <c r="E124" s="2">
        <f>SUMIFS(LS[Unit],LS[Investor ID],INVESTORS_LIST[[#This Row],[INVESTOR CODE]],LS[B/S],"B")</f>
        <v>0</v>
      </c>
      <c r="F124" s="2">
        <f>-SUMIFS(LS[Unit],LS[Investor ID],INVESTORS_LIST[[#This Row],[INVESTOR CODE]],LS[B/S],"S")</f>
        <v>0</v>
      </c>
      <c r="G124" s="2">
        <f>IF(INVESTORS_LIST[[#This Row],[LS_TOTAL UNITS BUY]]=0,0,INVESTORS_LIST[[#This Row],[LS_TOTAL UNITS BUY]]-INVESTORS_LIST[[#This Row],[LS_TOTAL UNITS SOLD]])</f>
        <v>0</v>
      </c>
      <c r="H124" s="4">
        <f>IF(INVESTORS_LIST[[#This Row],[LS_TOTAL UNITS BUY]]=0,0,SUMIFS(LS[Amount],LS[Investor ID],INVESTORS_LIST[[#This Row],[INVESTOR CODE]],LS[B/S],"B"))</f>
        <v>0</v>
      </c>
      <c r="I124" s="6">
        <f>IF(INVESTORS_LIST[[#This Row],[LS_TOTAL UNITS SOLD]]=0,0,SUMIFS(LS[Cost of Units Sold],LS[Investor ID],INVESTORS_LIST[[#This Row],[INVESTOR CODE]],LS[B/S],"S"))</f>
        <v>0</v>
      </c>
      <c r="J124" s="6">
        <f>IF(INVESTORS_LIST[[#This Row],[LS_TOTAL CURRENT UNITS]]=0,0,INVESTORS_LIST[[#This Row],[LS_TOTAL CURRENT UNITS]]*INVESTORS_LIST[[#This Row],[LS_AVERAGE COST]])</f>
        <v>0</v>
      </c>
      <c r="K124" s="4">
        <f>IF(INVESTORS_LIST[[#This Row],[LS_TOTAL UNITS SOLD]]=0,0,SUMIFS(LS[Realized Gain],LS[Investor ID],INVESTORS_LIST[[#This Row],[INVESTOR CODE]],LS[B/S],"S"))</f>
        <v>0</v>
      </c>
      <c r="L124" s="2">
        <f>SUMIFS(SIP[Unit],SIP[Investor ID],INVESTORS_LIST[[#This Row],[INVESTOR CODE]],SIP[B/S],"B")</f>
        <v>0</v>
      </c>
      <c r="M124" s="2">
        <f>-SUMIFS(SIP[Unit],SIP[Investor ID],INVESTORS_LIST[[#This Row],[INVESTOR CODE]],SIP[B/S],"S")</f>
        <v>0</v>
      </c>
      <c r="N124" s="33">
        <f>IF(INVESTORS_LIST[[#This Row],[SIP_TOTAL UNITS BUY]]=0,0,INVESTORS_LIST[[#This Row],[SIP_TOTAL UNITS BUY]]-INVESTORS_LIST[[#This Row],[SIP_TOTAL UNITS SOLD]])</f>
        <v>0</v>
      </c>
      <c r="O124" s="4">
        <f>IF(INVESTORS_LIST[[#This Row],[SIP_TOTAL UNITS BUY]]=0,0,SUMIFS(SIP[Amount],SIP[Investor ID],INVESTORS_LIST[[#This Row],[INVESTOR CODE]],SIP[B/S],"B"))</f>
        <v>0</v>
      </c>
      <c r="P124" s="4">
        <f>IF(INVESTORS_LIST[[#This Row],[SIP_TOTAL UNITS SOLD]]=0,0,SUMIFS(SIP[Cost of Units Sold],SIP[Investor ID],INVESTORS_LIST[[#This Row],[INVESTOR CODE]],SIP[B/S],"S"))</f>
        <v>0</v>
      </c>
      <c r="Q124" s="6">
        <f>IF(INVESTORS_LIST[[#This Row],[SIP_TOTAL CURRENT UNITS]]=0,0,INVESTORS_LIST[[#This Row],[SIP_TOTAL CURRENT UNITS]]*INVESTORS_LIST[[#This Row],[SIP_AVERAGE COST]])</f>
        <v>0</v>
      </c>
      <c r="R124" s="6">
        <f>IF(INVESTORS_LIST[[#This Row],[SIP_TOTAL UNITS SOLD]]=0,0,SUMIFS(SIP[Realized Gain],SIP[Investor ID],INVESTORS_LIST[[#This Row],[INVESTOR CODE]],SIP[B/S],"S"))</f>
        <v>0</v>
      </c>
      <c r="S124" s="33">
        <f>INVESTORS_LIST[[#This Row],[LS_TOTAL UNITS BUY]]+INVESTORS_LIST[[#This Row],[SIP_TOTAL UNITS BUY]]</f>
        <v>0</v>
      </c>
      <c r="T124" s="33">
        <f>INVESTORS_LIST[[#This Row],[LS_TOTAL UNITS SOLD]]+INVESTORS_LIST[[#This Row],[SIP_TOTAL UNITS SOLD]]</f>
        <v>0</v>
      </c>
      <c r="U124" s="33">
        <v>0</v>
      </c>
      <c r="V124" s="33">
        <f>SUMIFS(LS[BO UNIT TRANSFER],LS[Investor ID],INVESTORS_LIST[[#This Row],[INVESTOR CODE]],LS[B/S],"B")</f>
        <v>0</v>
      </c>
      <c r="W124" s="33">
        <f>SUMIFS(LS[BO UNIT TRANSFER],LS[Investor ID],INVESTORS_LIST[[#This Row],[INVESTOR CODE]],LS[B/S],"S")</f>
        <v>0</v>
      </c>
      <c r="X124" s="33">
        <f>SUMIFS(SIP[BO UNIT TRANSFER],SIP[Investor ID],INVESTORS_LIST[[#This Row],[INVESTOR CODE]],SIP[B/S],"S")</f>
        <v>0</v>
      </c>
      <c r="Y124" s="33">
        <f>SUMIFS(SIP[BO UNIT TRANSFER],SIP[Investor ID],INVESTORS_LIST[[#This Row],[INVESTOR CODE]],SIP[B/S],"B")</f>
        <v>0</v>
      </c>
      <c r="Z12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24" s="119">
        <f>INVESTORS_LIST[[#This Row],[TOTAL UNITS BUY]]-INVESTORS_LIST[[#This Row],[TOTAL UNITS SOLD]]</f>
        <v>0</v>
      </c>
      <c r="AB124" s="119">
        <f>INVESTORS_LIST[[#This Row],[TOTAL CURRENT UNITS]]-INVESTORS_LIST[[#This Row],[BO UNITS HOLD]]</f>
        <v>0</v>
      </c>
      <c r="AC124" s="119" t="e">
        <f>INDEX([4]!Table_1[BO ID],MATCH(INVESTORS_LIST[[#This Row],[INVESTOR CODE]],[4]!Table_1[INVESTOR CODE],0))</f>
        <v>#REF!</v>
      </c>
      <c r="AD124" s="33">
        <f>INVESTORS_LIST[[#This Row],[LS_TOTAL COST VALUE OF CURRENT UNITS]]+INVESTORS_LIST[[#This Row],[SIP_TOTAL COST VALUE OF CURRENT UNITS]]</f>
        <v>0</v>
      </c>
      <c r="AE124" s="44">
        <f>IF(INVESTORS_LIST[[#This Row],[TOTAL CURRENT UNITS]]=0,0,INVESTORS_LIST[[#This Row],[LS_TOTAL CURRENT UNITS]]/INVESTORS_LIST[[#This Row],[TOTAL CURRENT UNITS]])</f>
        <v>0</v>
      </c>
      <c r="AF124" s="44">
        <f>IF(INVESTORS_LIST[[#This Row],[TOTAL CURRENT UNITS]]=0,0,INVESTORS_LIST[[#This Row],[SIP_TOTAL CURRENT UNITS]]/INVESTORS_LIST[[#This Row],[TOTAL CURRENT UNITS]])</f>
        <v>0</v>
      </c>
      <c r="AG124" s="4" cm="1">
        <f t="array" ref="AG12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24" s="4" cm="1">
        <f t="array" ref="AH1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2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24" s="178">
        <f t="shared" si="1"/>
        <v>12.552</v>
      </c>
      <c r="AK124" s="118">
        <f>IF(INVESTORS_LIST[[#This Row],[TOTAL CURRENT UNITS]]=0,0,INVESTORS_LIST[[#This Row],[TOTAL CURRENT UNITS]]*INVESTORS_LIST[[#This Row],[NAV]])</f>
        <v>0</v>
      </c>
      <c r="AL124" s="4">
        <f>IF(INVESTORS_LIST[[#This Row],[LS_TOTAL CURRENT UNITS]]=0,0,INVESTORS_LIST[[#This Row],[LS_TOTAL CURRENT UNITS]]*INVESTORS_LIST[[#This Row],[NAV]])</f>
        <v>0</v>
      </c>
      <c r="AM124" s="6">
        <f>IF(INVESTORS_LIST[[#This Row],[SIP_TOTAL CURRENT UNITS]]=0,0,INVESTORS_LIST[[#This Row],[SIP_TOTAL CURRENT UNITS]]*INVESTORS_LIST[[#This Row],[NAV]])</f>
        <v>0</v>
      </c>
      <c r="AO124" s="6">
        <f>IF(INVESTORS_LIST[[#This Row],[TOTAL SELLABLE UNITS]]=0,0,INVESTORS_LIST[[#This Row],[TOTAL SELLABLE UNITS]]*INVESTORS_LIST[[#This Row],[NAV]])</f>
        <v>0</v>
      </c>
      <c r="AP124" s="6">
        <f>INVESTORS_LIST[[#This Row],[LS_TOTAL REALIZED GAIN]]+INVESTORS_LIST[[#This Row],[SIP_TOTAL REALIZED GAIN]]</f>
        <v>0</v>
      </c>
      <c r="AQ124" s="6">
        <f>INVESTORS_LIST[[#This Row],[TOTAL MARKET VALUE]]-INVESTORS_LIST[[#This Row],[TOTAL COST VALUE OF CURRENT INVESTMENT]]</f>
        <v>0</v>
      </c>
      <c r="AR124" s="6">
        <f>SUMIFS(DivAndTax[Tax Amount],DivAndTax[Investor ID],INVESTORS_LIST[[#This Row],[INVESTOR CODE]])</f>
        <v>0</v>
      </c>
      <c r="AS124" s="6">
        <f>SUMIFS(DivAndTax[Gross Dividend],DivAndTax[Investor ID],INVESTORS_LIST[[#This Row],[INVESTOR CODE]])</f>
        <v>0</v>
      </c>
      <c r="AT124" s="5">
        <f>IFERROR(INVESTORS_LIST[[#This Row],[TOTAL CURRENT UNITS]]/SUM(INVESTORS_LIST[TOTAL CURRENT UNITS]),0)</f>
        <v>0</v>
      </c>
    </row>
    <row r="125" spans="1:46" hidden="1">
      <c r="A125" t="s">
        <v>630</v>
      </c>
      <c r="B125" t="s">
        <v>158</v>
      </c>
      <c r="C125" t="s">
        <v>536</v>
      </c>
      <c r="D125" s="8" t="s">
        <v>2</v>
      </c>
      <c r="E125" s="2">
        <f>SUMIFS(LS[Unit],LS[Investor ID],INVESTORS_LIST[[#This Row],[INVESTOR CODE]],LS[B/S],"B")</f>
        <v>15343</v>
      </c>
      <c r="F125" s="2">
        <f>-SUMIFS(LS[Unit],LS[Investor ID],INVESTORS_LIST[[#This Row],[INVESTOR CODE]],LS[B/S],"S")</f>
        <v>15343</v>
      </c>
      <c r="G125" s="2">
        <f>IF(INVESTORS_LIST[[#This Row],[LS_TOTAL UNITS BUY]]=0,0,INVESTORS_LIST[[#This Row],[LS_TOTAL UNITS BUY]]-INVESTORS_LIST[[#This Row],[LS_TOTAL UNITS SOLD]])</f>
        <v>0</v>
      </c>
      <c r="H125" s="4">
        <f>IF(INVESTORS_LIST[[#This Row],[LS_TOTAL UNITS BUY]]=0,0,SUMIFS(LS[Amount],LS[Investor ID],INVESTORS_LIST[[#This Row],[INVESTOR CODE]],LS[B/S],"B"))</f>
        <v>153375</v>
      </c>
      <c r="I125" s="6">
        <f>IF(INVESTORS_LIST[[#This Row],[LS_TOTAL UNITS SOLD]]=0,0,SUMIFS(LS[Cost of Units Sold],LS[Investor ID],INVESTORS_LIST[[#This Row],[INVESTOR CODE]],LS[B/S],"S"))</f>
        <v>153375</v>
      </c>
      <c r="J125" s="6">
        <f>IF(INVESTORS_LIST[[#This Row],[LS_TOTAL CURRENT UNITS]]=0,0,INVESTORS_LIST[[#This Row],[LS_TOTAL CURRENT UNITS]]*INVESTORS_LIST[[#This Row],[LS_AVERAGE COST]])</f>
        <v>0</v>
      </c>
      <c r="K125" s="4">
        <f>IF(INVESTORS_LIST[[#This Row],[LS_TOTAL UNITS SOLD]]=0,0,SUMIFS(LS[Realized Gain],LS[Investor ID],INVESTORS_LIST[[#This Row],[INVESTOR CODE]],LS[B/S],"S"))</f>
        <v>15566.769999999984</v>
      </c>
      <c r="L125" s="2">
        <f>SUMIFS(SIP[Unit],SIP[Investor ID],INVESTORS_LIST[[#This Row],[INVESTOR CODE]],SIP[B/S],"B")</f>
        <v>0</v>
      </c>
      <c r="M125" s="2">
        <f>-SUMIFS(SIP[Unit],SIP[Investor ID],INVESTORS_LIST[[#This Row],[INVESTOR CODE]],SIP[B/S],"S")</f>
        <v>0</v>
      </c>
      <c r="N125" s="33">
        <f>IF(INVESTORS_LIST[[#This Row],[SIP_TOTAL UNITS BUY]]=0,0,INVESTORS_LIST[[#This Row],[SIP_TOTAL UNITS BUY]]-INVESTORS_LIST[[#This Row],[SIP_TOTAL UNITS SOLD]])</f>
        <v>0</v>
      </c>
      <c r="O125" s="4">
        <f>IF(INVESTORS_LIST[[#This Row],[SIP_TOTAL UNITS BUY]]=0,0,SUMIFS(SIP[Amount],SIP[Investor ID],INVESTORS_LIST[[#This Row],[INVESTOR CODE]],SIP[B/S],"B"))</f>
        <v>0</v>
      </c>
      <c r="P125" s="4">
        <f>IF(INVESTORS_LIST[[#This Row],[SIP_TOTAL UNITS SOLD]]=0,0,SUMIFS(SIP[Cost of Units Sold],SIP[Investor ID],INVESTORS_LIST[[#This Row],[INVESTOR CODE]],SIP[B/S],"S"))</f>
        <v>0</v>
      </c>
      <c r="Q125" s="6">
        <f>IF(INVESTORS_LIST[[#This Row],[SIP_TOTAL CURRENT UNITS]]=0,0,INVESTORS_LIST[[#This Row],[SIP_TOTAL CURRENT UNITS]]*INVESTORS_LIST[[#This Row],[SIP_AVERAGE COST]])</f>
        <v>0</v>
      </c>
      <c r="R125" s="6">
        <f>IF(INVESTORS_LIST[[#This Row],[SIP_TOTAL UNITS SOLD]]=0,0,SUMIFS(SIP[Realized Gain],SIP[Investor ID],INVESTORS_LIST[[#This Row],[INVESTOR CODE]],SIP[B/S],"S"))</f>
        <v>0</v>
      </c>
      <c r="S125" s="33">
        <f>INVESTORS_LIST[[#This Row],[LS_TOTAL UNITS BUY]]+INVESTORS_LIST[[#This Row],[SIP_TOTAL UNITS BUY]]</f>
        <v>15343</v>
      </c>
      <c r="T125" s="33">
        <f>INVESTORS_LIST[[#This Row],[LS_TOTAL UNITS SOLD]]+INVESTORS_LIST[[#This Row],[SIP_TOTAL UNITS SOLD]]</f>
        <v>15343</v>
      </c>
      <c r="U125" s="33">
        <v>0</v>
      </c>
      <c r="V125" s="33">
        <f>SUMIFS(LS[BO UNIT TRANSFER],LS[Investor ID],INVESTORS_LIST[[#This Row],[INVESTOR CODE]],LS[B/S],"B")</f>
        <v>0</v>
      </c>
      <c r="W125" s="33">
        <f>SUMIFS(LS[BO UNIT TRANSFER],LS[Investor ID],INVESTORS_LIST[[#This Row],[INVESTOR CODE]],LS[B/S],"S")</f>
        <v>0</v>
      </c>
      <c r="X125" s="33">
        <f>SUMIFS(SIP[BO UNIT TRANSFER],SIP[Investor ID],INVESTORS_LIST[[#This Row],[INVESTOR CODE]],SIP[B/S],"S")</f>
        <v>0</v>
      </c>
      <c r="Y125" s="33">
        <f>SUMIFS(SIP[BO UNIT TRANSFER],SIP[Investor ID],INVESTORS_LIST[[#This Row],[INVESTOR CODE]],SIP[B/S],"B")</f>
        <v>0</v>
      </c>
      <c r="Z12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25" s="119">
        <f>INVESTORS_LIST[[#This Row],[TOTAL UNITS BUY]]-INVESTORS_LIST[[#This Row],[TOTAL UNITS SOLD]]</f>
        <v>0</v>
      </c>
      <c r="AB125" s="119">
        <f>INVESTORS_LIST[[#This Row],[TOTAL CURRENT UNITS]]-INVESTORS_LIST[[#This Row],[BO UNITS HOLD]]</f>
        <v>0</v>
      </c>
      <c r="AC125" s="119" t="e">
        <f>INDEX([4]!Table_1[BO ID],MATCH(INVESTORS_LIST[[#This Row],[INVESTOR CODE]],[4]!Table_1[INVESTOR CODE],0))</f>
        <v>#REF!</v>
      </c>
      <c r="AD125" s="33">
        <f>INVESTORS_LIST[[#This Row],[LS_TOTAL COST VALUE OF CURRENT UNITS]]+INVESTORS_LIST[[#This Row],[SIP_TOTAL COST VALUE OF CURRENT UNITS]]</f>
        <v>0</v>
      </c>
      <c r="AE125" s="44">
        <f>IF(INVESTORS_LIST[[#This Row],[TOTAL CURRENT UNITS]]=0,0,INVESTORS_LIST[[#This Row],[LS_TOTAL CURRENT UNITS]]/INVESTORS_LIST[[#This Row],[TOTAL CURRENT UNITS]])</f>
        <v>0</v>
      </c>
      <c r="AF125" s="44">
        <f>IF(INVESTORS_LIST[[#This Row],[TOTAL CURRENT UNITS]]=0,0,INVESTORS_LIST[[#This Row],[SIP_TOTAL CURRENT UNITS]]/INVESTORS_LIST[[#This Row],[TOTAL CURRENT UNITS]])</f>
        <v>0</v>
      </c>
      <c r="AG125" s="4" cm="1">
        <f t="array" ref="AG1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25" s="4" cm="1">
        <f t="array" ref="AH1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2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25" s="178">
        <f t="shared" si="1"/>
        <v>12.552</v>
      </c>
      <c r="AK125" s="118">
        <f>IF(INVESTORS_LIST[[#This Row],[TOTAL CURRENT UNITS]]=0,0,INVESTORS_LIST[[#This Row],[TOTAL CURRENT UNITS]]*INVESTORS_LIST[[#This Row],[NAV]])</f>
        <v>0</v>
      </c>
      <c r="AL125" s="4">
        <f>IF(INVESTORS_LIST[[#This Row],[LS_TOTAL CURRENT UNITS]]=0,0,INVESTORS_LIST[[#This Row],[LS_TOTAL CURRENT UNITS]]*INVESTORS_LIST[[#This Row],[NAV]])</f>
        <v>0</v>
      </c>
      <c r="AM125" s="6">
        <f>IF(INVESTORS_LIST[[#This Row],[SIP_TOTAL CURRENT UNITS]]=0,0,INVESTORS_LIST[[#This Row],[SIP_TOTAL CURRENT UNITS]]*INVESTORS_LIST[[#This Row],[NAV]])</f>
        <v>0</v>
      </c>
      <c r="AO125" s="6">
        <f>IF(INVESTORS_LIST[[#This Row],[TOTAL SELLABLE UNITS]]=0,0,INVESTORS_LIST[[#This Row],[TOTAL SELLABLE UNITS]]*INVESTORS_LIST[[#This Row],[NAV]])</f>
        <v>0</v>
      </c>
      <c r="AP125" s="6">
        <f>INVESTORS_LIST[[#This Row],[LS_TOTAL REALIZED GAIN]]+INVESTORS_LIST[[#This Row],[SIP_TOTAL REALIZED GAIN]]</f>
        <v>15566.769999999984</v>
      </c>
      <c r="AQ125" s="6">
        <f>INVESTORS_LIST[[#This Row],[TOTAL MARKET VALUE]]-INVESTORS_LIST[[#This Row],[TOTAL COST VALUE OF CURRENT INVESTMENT]]</f>
        <v>0</v>
      </c>
      <c r="AR125" s="6">
        <f>SUMIFS(DivAndTax[Tax Amount],DivAndTax[Investor ID],INVESTORS_LIST[[#This Row],[INVESTOR CODE]])</f>
        <v>375</v>
      </c>
      <c r="AS125" s="6">
        <f>SUMIFS(DivAndTax[Gross Dividend],DivAndTax[Investor ID],INVESTORS_LIST[[#This Row],[INVESTOR CODE]])</f>
        <v>3750</v>
      </c>
      <c r="AT125" s="5">
        <f>IFERROR(INVESTORS_LIST[[#This Row],[TOTAL CURRENT UNITS]]/SUM(INVESTORS_LIST[TOTAL CURRENT UNITS]),0)</f>
        <v>0</v>
      </c>
    </row>
    <row r="126" spans="1:46" hidden="1">
      <c r="A126" t="s">
        <v>791</v>
      </c>
      <c r="B126" t="s">
        <v>159</v>
      </c>
      <c r="C126" t="s">
        <v>538</v>
      </c>
      <c r="D126" s="8" t="s">
        <v>2</v>
      </c>
      <c r="E126" s="2">
        <f>SUMIFS(LS[Unit],LS[Investor ID],INVESTORS_LIST[[#This Row],[INVESTOR CODE]],LS[B/S],"B")</f>
        <v>0</v>
      </c>
      <c r="F126" s="2">
        <f>-SUMIFS(LS[Unit],LS[Investor ID],INVESTORS_LIST[[#This Row],[INVESTOR CODE]],LS[B/S],"S")</f>
        <v>0</v>
      </c>
      <c r="G126" s="2">
        <f>IF(INVESTORS_LIST[[#This Row],[LS_TOTAL UNITS BUY]]=0,0,INVESTORS_LIST[[#This Row],[LS_TOTAL UNITS BUY]]-INVESTORS_LIST[[#This Row],[LS_TOTAL UNITS SOLD]])</f>
        <v>0</v>
      </c>
      <c r="H126" s="4">
        <f>IF(INVESTORS_LIST[[#This Row],[LS_TOTAL UNITS BUY]]=0,0,SUMIFS(LS[Amount],LS[Investor ID],INVESTORS_LIST[[#This Row],[INVESTOR CODE]],LS[B/S],"B"))</f>
        <v>0</v>
      </c>
      <c r="I126" s="6">
        <f>IF(INVESTORS_LIST[[#This Row],[LS_TOTAL UNITS SOLD]]=0,0,SUMIFS(LS[Cost of Units Sold],LS[Investor ID],INVESTORS_LIST[[#This Row],[INVESTOR CODE]],LS[B/S],"S"))</f>
        <v>0</v>
      </c>
      <c r="J126" s="6">
        <f>IF(INVESTORS_LIST[[#This Row],[LS_TOTAL CURRENT UNITS]]=0,0,INVESTORS_LIST[[#This Row],[LS_TOTAL CURRENT UNITS]]*INVESTORS_LIST[[#This Row],[LS_AVERAGE COST]])</f>
        <v>0</v>
      </c>
      <c r="K126" s="4">
        <f>IF(INVESTORS_LIST[[#This Row],[LS_TOTAL UNITS SOLD]]=0,0,SUMIFS(LS[Realized Gain],LS[Investor ID],INVESTORS_LIST[[#This Row],[INVESTOR CODE]],LS[B/S],"S"))</f>
        <v>0</v>
      </c>
      <c r="L126" s="2">
        <f>SUMIFS(SIP[Unit],SIP[Investor ID],INVESTORS_LIST[[#This Row],[INVESTOR CODE]],SIP[B/S],"B")</f>
        <v>0</v>
      </c>
      <c r="M126" s="2">
        <f>-SUMIFS(SIP[Unit],SIP[Investor ID],INVESTORS_LIST[[#This Row],[INVESTOR CODE]],SIP[B/S],"S")</f>
        <v>0</v>
      </c>
      <c r="N126" s="33">
        <f>IF(INVESTORS_LIST[[#This Row],[SIP_TOTAL UNITS BUY]]=0,0,INVESTORS_LIST[[#This Row],[SIP_TOTAL UNITS BUY]]-INVESTORS_LIST[[#This Row],[SIP_TOTAL UNITS SOLD]])</f>
        <v>0</v>
      </c>
      <c r="O126" s="4">
        <f>IF(INVESTORS_LIST[[#This Row],[SIP_TOTAL UNITS BUY]]=0,0,SUMIFS(SIP[Amount],SIP[Investor ID],INVESTORS_LIST[[#This Row],[INVESTOR CODE]],SIP[B/S],"B"))</f>
        <v>0</v>
      </c>
      <c r="P126" s="4">
        <f>IF(INVESTORS_LIST[[#This Row],[SIP_TOTAL UNITS SOLD]]=0,0,SUMIFS(SIP[Cost of Units Sold],SIP[Investor ID],INVESTORS_LIST[[#This Row],[INVESTOR CODE]],SIP[B/S],"S"))</f>
        <v>0</v>
      </c>
      <c r="Q126" s="6">
        <f>IF(INVESTORS_LIST[[#This Row],[SIP_TOTAL CURRENT UNITS]]=0,0,INVESTORS_LIST[[#This Row],[SIP_TOTAL CURRENT UNITS]]*INVESTORS_LIST[[#This Row],[SIP_AVERAGE COST]])</f>
        <v>0</v>
      </c>
      <c r="R126" s="6">
        <f>IF(INVESTORS_LIST[[#This Row],[SIP_TOTAL UNITS SOLD]]=0,0,SUMIFS(SIP[Realized Gain],SIP[Investor ID],INVESTORS_LIST[[#This Row],[INVESTOR CODE]],SIP[B/S],"S"))</f>
        <v>0</v>
      </c>
      <c r="S126" s="33">
        <f>INVESTORS_LIST[[#This Row],[LS_TOTAL UNITS BUY]]+INVESTORS_LIST[[#This Row],[SIP_TOTAL UNITS BUY]]</f>
        <v>0</v>
      </c>
      <c r="T126" s="33">
        <f>INVESTORS_LIST[[#This Row],[LS_TOTAL UNITS SOLD]]+INVESTORS_LIST[[#This Row],[SIP_TOTAL UNITS SOLD]]</f>
        <v>0</v>
      </c>
      <c r="U126" s="33">
        <v>0</v>
      </c>
      <c r="V126" s="33">
        <f>SUMIFS(LS[BO UNIT TRANSFER],LS[Investor ID],INVESTORS_LIST[[#This Row],[INVESTOR CODE]],LS[B/S],"B")</f>
        <v>0</v>
      </c>
      <c r="W126" s="33">
        <f>SUMIFS(LS[BO UNIT TRANSFER],LS[Investor ID],INVESTORS_LIST[[#This Row],[INVESTOR CODE]],LS[B/S],"S")</f>
        <v>0</v>
      </c>
      <c r="X126" s="33">
        <f>SUMIFS(SIP[BO UNIT TRANSFER],SIP[Investor ID],INVESTORS_LIST[[#This Row],[INVESTOR CODE]],SIP[B/S],"S")</f>
        <v>0</v>
      </c>
      <c r="Y126" s="33">
        <f>SUMIFS(SIP[BO UNIT TRANSFER],SIP[Investor ID],INVESTORS_LIST[[#This Row],[INVESTOR CODE]],SIP[B/S],"B")</f>
        <v>0</v>
      </c>
      <c r="Z12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26" s="119">
        <f>INVESTORS_LIST[[#This Row],[TOTAL UNITS BUY]]-INVESTORS_LIST[[#This Row],[TOTAL UNITS SOLD]]</f>
        <v>0</v>
      </c>
      <c r="AB126" s="119">
        <f>INVESTORS_LIST[[#This Row],[TOTAL CURRENT UNITS]]-INVESTORS_LIST[[#This Row],[BO UNITS HOLD]]</f>
        <v>0</v>
      </c>
      <c r="AC126" s="119" t="e">
        <f>INDEX([4]!Table_1[BO ID],MATCH(INVESTORS_LIST[[#This Row],[INVESTOR CODE]],[4]!Table_1[INVESTOR CODE],0))</f>
        <v>#REF!</v>
      </c>
      <c r="AD126" s="33">
        <f>INVESTORS_LIST[[#This Row],[LS_TOTAL COST VALUE OF CURRENT UNITS]]+INVESTORS_LIST[[#This Row],[SIP_TOTAL COST VALUE OF CURRENT UNITS]]</f>
        <v>0</v>
      </c>
      <c r="AE126" s="44">
        <f>IF(INVESTORS_LIST[[#This Row],[TOTAL CURRENT UNITS]]=0,0,INVESTORS_LIST[[#This Row],[LS_TOTAL CURRENT UNITS]]/INVESTORS_LIST[[#This Row],[TOTAL CURRENT UNITS]])</f>
        <v>0</v>
      </c>
      <c r="AF126" s="44">
        <f>IF(INVESTORS_LIST[[#This Row],[TOTAL CURRENT UNITS]]=0,0,INVESTORS_LIST[[#This Row],[SIP_TOTAL CURRENT UNITS]]/INVESTORS_LIST[[#This Row],[TOTAL CURRENT UNITS]])</f>
        <v>0</v>
      </c>
      <c r="AG126" s="4" cm="1">
        <f t="array" ref="AG12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26" s="4" cm="1">
        <f t="array" ref="AH1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2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26" s="178">
        <f t="shared" si="1"/>
        <v>12.552</v>
      </c>
      <c r="AK126" s="118">
        <f>IF(INVESTORS_LIST[[#This Row],[TOTAL CURRENT UNITS]]=0,0,INVESTORS_LIST[[#This Row],[TOTAL CURRENT UNITS]]*INVESTORS_LIST[[#This Row],[NAV]])</f>
        <v>0</v>
      </c>
      <c r="AL126" s="4">
        <f>IF(INVESTORS_LIST[[#This Row],[LS_TOTAL CURRENT UNITS]]=0,0,INVESTORS_LIST[[#This Row],[LS_TOTAL CURRENT UNITS]]*INVESTORS_LIST[[#This Row],[NAV]])</f>
        <v>0</v>
      </c>
      <c r="AM126" s="6">
        <f>IF(INVESTORS_LIST[[#This Row],[SIP_TOTAL CURRENT UNITS]]=0,0,INVESTORS_LIST[[#This Row],[SIP_TOTAL CURRENT UNITS]]*INVESTORS_LIST[[#This Row],[NAV]])</f>
        <v>0</v>
      </c>
      <c r="AO126" s="6">
        <f>IF(INVESTORS_LIST[[#This Row],[TOTAL SELLABLE UNITS]]=0,0,INVESTORS_LIST[[#This Row],[TOTAL SELLABLE UNITS]]*INVESTORS_LIST[[#This Row],[NAV]])</f>
        <v>0</v>
      </c>
      <c r="AP126" s="6">
        <f>INVESTORS_LIST[[#This Row],[LS_TOTAL REALIZED GAIN]]+INVESTORS_LIST[[#This Row],[SIP_TOTAL REALIZED GAIN]]</f>
        <v>0</v>
      </c>
      <c r="AQ126" s="6">
        <f>INVESTORS_LIST[[#This Row],[TOTAL MARKET VALUE]]-INVESTORS_LIST[[#This Row],[TOTAL COST VALUE OF CURRENT INVESTMENT]]</f>
        <v>0</v>
      </c>
      <c r="AR126" s="6">
        <f>SUMIFS(DivAndTax[Tax Amount],DivAndTax[Investor ID],INVESTORS_LIST[[#This Row],[INVESTOR CODE]])</f>
        <v>0</v>
      </c>
      <c r="AS126" s="6">
        <f>SUMIFS(DivAndTax[Gross Dividend],DivAndTax[Investor ID],INVESTORS_LIST[[#This Row],[INVESTOR CODE]])</f>
        <v>0</v>
      </c>
      <c r="AT126" s="5">
        <f>IFERROR(INVESTORS_LIST[[#This Row],[TOTAL CURRENT UNITS]]/SUM(INVESTORS_LIST[TOTAL CURRENT UNITS]),0)</f>
        <v>0</v>
      </c>
    </row>
    <row r="127" spans="1:46" hidden="1">
      <c r="A127" t="s">
        <v>792</v>
      </c>
      <c r="B127" t="s">
        <v>160</v>
      </c>
      <c r="C127" t="s">
        <v>536</v>
      </c>
      <c r="D127" s="8" t="s">
        <v>2</v>
      </c>
      <c r="E127" s="2">
        <f>SUMIFS(LS[Unit],LS[Investor ID],INVESTORS_LIST[[#This Row],[INVESTOR CODE]],LS[B/S],"B")</f>
        <v>50000</v>
      </c>
      <c r="F127" s="2">
        <f>-SUMIFS(LS[Unit],LS[Investor ID],INVESTORS_LIST[[#This Row],[INVESTOR CODE]],LS[B/S],"S")</f>
        <v>50000</v>
      </c>
      <c r="G127" s="2">
        <f>IF(INVESTORS_LIST[[#This Row],[LS_TOTAL UNITS BUY]]=0,0,INVESTORS_LIST[[#This Row],[LS_TOTAL UNITS BUY]]-INVESTORS_LIST[[#This Row],[LS_TOTAL UNITS SOLD]])</f>
        <v>0</v>
      </c>
      <c r="H127" s="4">
        <f>IF(INVESTORS_LIST[[#This Row],[LS_TOTAL UNITS BUY]]=0,0,SUMIFS(LS[Amount],LS[Investor ID],INVESTORS_LIST[[#This Row],[INVESTOR CODE]],LS[B/S],"B"))</f>
        <v>500000</v>
      </c>
      <c r="I127" s="6">
        <f>IF(INVESTORS_LIST[[#This Row],[LS_TOTAL UNITS SOLD]]=0,0,SUMIFS(LS[Cost of Units Sold],LS[Investor ID],INVESTORS_LIST[[#This Row],[INVESTOR CODE]],LS[B/S],"S"))</f>
        <v>500000</v>
      </c>
      <c r="J127" s="6">
        <f>IF(INVESTORS_LIST[[#This Row],[LS_TOTAL CURRENT UNITS]]=0,0,INVESTORS_LIST[[#This Row],[LS_TOTAL CURRENT UNITS]]*INVESTORS_LIST[[#This Row],[LS_AVERAGE COST]])</f>
        <v>0</v>
      </c>
      <c r="K127" s="4">
        <f>IF(INVESTORS_LIST[[#This Row],[LS_TOTAL UNITS SOLD]]=0,0,SUMIFS(LS[Realized Gain],LS[Investor ID],INVESTORS_LIST[[#This Row],[INVESTOR CODE]],LS[B/S],"S"))</f>
        <v>-499.99999999998931</v>
      </c>
      <c r="L127" s="2">
        <f>SUMIFS(SIP[Unit],SIP[Investor ID],INVESTORS_LIST[[#This Row],[INVESTOR CODE]],SIP[B/S],"B")</f>
        <v>0</v>
      </c>
      <c r="M127" s="2">
        <f>-SUMIFS(SIP[Unit],SIP[Investor ID],INVESTORS_LIST[[#This Row],[INVESTOR CODE]],SIP[B/S],"S")</f>
        <v>0</v>
      </c>
      <c r="N127" s="33">
        <f>IF(INVESTORS_LIST[[#This Row],[SIP_TOTAL UNITS BUY]]=0,0,INVESTORS_LIST[[#This Row],[SIP_TOTAL UNITS BUY]]-INVESTORS_LIST[[#This Row],[SIP_TOTAL UNITS SOLD]])</f>
        <v>0</v>
      </c>
      <c r="O127" s="4">
        <f>IF(INVESTORS_LIST[[#This Row],[SIP_TOTAL UNITS BUY]]=0,0,SUMIFS(SIP[Amount],SIP[Investor ID],INVESTORS_LIST[[#This Row],[INVESTOR CODE]],SIP[B/S],"B"))</f>
        <v>0</v>
      </c>
      <c r="P127" s="4">
        <f>IF(INVESTORS_LIST[[#This Row],[SIP_TOTAL UNITS SOLD]]=0,0,SUMIFS(SIP[Cost of Units Sold],SIP[Investor ID],INVESTORS_LIST[[#This Row],[INVESTOR CODE]],SIP[B/S],"S"))</f>
        <v>0</v>
      </c>
      <c r="Q127" s="6">
        <f>IF(INVESTORS_LIST[[#This Row],[SIP_TOTAL CURRENT UNITS]]=0,0,INVESTORS_LIST[[#This Row],[SIP_TOTAL CURRENT UNITS]]*INVESTORS_LIST[[#This Row],[SIP_AVERAGE COST]])</f>
        <v>0</v>
      </c>
      <c r="R127" s="6">
        <f>IF(INVESTORS_LIST[[#This Row],[SIP_TOTAL UNITS SOLD]]=0,0,SUMIFS(SIP[Realized Gain],SIP[Investor ID],INVESTORS_LIST[[#This Row],[INVESTOR CODE]],SIP[B/S],"S"))</f>
        <v>0</v>
      </c>
      <c r="S127" s="33">
        <f>INVESTORS_LIST[[#This Row],[LS_TOTAL UNITS BUY]]+INVESTORS_LIST[[#This Row],[SIP_TOTAL UNITS BUY]]</f>
        <v>50000</v>
      </c>
      <c r="T127" s="33">
        <f>INVESTORS_LIST[[#This Row],[LS_TOTAL UNITS SOLD]]+INVESTORS_LIST[[#This Row],[SIP_TOTAL UNITS SOLD]]</f>
        <v>50000</v>
      </c>
      <c r="U127" s="33">
        <v>0</v>
      </c>
      <c r="V127" s="33">
        <f>SUMIFS(LS[BO UNIT TRANSFER],LS[Investor ID],INVESTORS_LIST[[#This Row],[INVESTOR CODE]],LS[B/S],"B")</f>
        <v>0</v>
      </c>
      <c r="W127" s="33">
        <f>SUMIFS(LS[BO UNIT TRANSFER],LS[Investor ID],INVESTORS_LIST[[#This Row],[INVESTOR CODE]],LS[B/S],"S")</f>
        <v>0</v>
      </c>
      <c r="X127" s="33">
        <f>SUMIFS(SIP[BO UNIT TRANSFER],SIP[Investor ID],INVESTORS_LIST[[#This Row],[INVESTOR CODE]],SIP[B/S],"S")</f>
        <v>0</v>
      </c>
      <c r="Y127" s="33">
        <f>SUMIFS(SIP[BO UNIT TRANSFER],SIP[Investor ID],INVESTORS_LIST[[#This Row],[INVESTOR CODE]],SIP[B/S],"B")</f>
        <v>0</v>
      </c>
      <c r="Z12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27" s="119">
        <f>INVESTORS_LIST[[#This Row],[TOTAL UNITS BUY]]-INVESTORS_LIST[[#This Row],[TOTAL UNITS SOLD]]</f>
        <v>0</v>
      </c>
      <c r="AB127" s="119">
        <f>INVESTORS_LIST[[#This Row],[TOTAL CURRENT UNITS]]-INVESTORS_LIST[[#This Row],[BO UNITS HOLD]]</f>
        <v>0</v>
      </c>
      <c r="AC127" s="119" t="e">
        <f>INDEX([4]!Table_1[BO ID],MATCH(INVESTORS_LIST[[#This Row],[INVESTOR CODE]],[4]!Table_1[INVESTOR CODE],0))</f>
        <v>#REF!</v>
      </c>
      <c r="AD127" s="33">
        <f>INVESTORS_LIST[[#This Row],[LS_TOTAL COST VALUE OF CURRENT UNITS]]+INVESTORS_LIST[[#This Row],[SIP_TOTAL COST VALUE OF CURRENT UNITS]]</f>
        <v>0</v>
      </c>
      <c r="AE127" s="44">
        <f>IF(INVESTORS_LIST[[#This Row],[TOTAL CURRENT UNITS]]=0,0,INVESTORS_LIST[[#This Row],[LS_TOTAL CURRENT UNITS]]/INVESTORS_LIST[[#This Row],[TOTAL CURRENT UNITS]])</f>
        <v>0</v>
      </c>
      <c r="AF127" s="44">
        <f>IF(INVESTORS_LIST[[#This Row],[TOTAL CURRENT UNITS]]=0,0,INVESTORS_LIST[[#This Row],[SIP_TOTAL CURRENT UNITS]]/INVESTORS_LIST[[#This Row],[TOTAL CURRENT UNITS]])</f>
        <v>0</v>
      </c>
      <c r="AG127" s="4" cm="1">
        <f t="array" ref="AG12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27" s="4" cm="1">
        <f t="array" ref="AH12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2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27" s="178">
        <f t="shared" si="1"/>
        <v>12.552</v>
      </c>
      <c r="AK127" s="118">
        <f>IF(INVESTORS_LIST[[#This Row],[TOTAL CURRENT UNITS]]=0,0,INVESTORS_LIST[[#This Row],[TOTAL CURRENT UNITS]]*INVESTORS_LIST[[#This Row],[NAV]])</f>
        <v>0</v>
      </c>
      <c r="AL127" s="4">
        <f>IF(INVESTORS_LIST[[#This Row],[LS_TOTAL CURRENT UNITS]]=0,0,INVESTORS_LIST[[#This Row],[LS_TOTAL CURRENT UNITS]]*INVESTORS_LIST[[#This Row],[NAV]])</f>
        <v>0</v>
      </c>
      <c r="AM127" s="6">
        <f>IF(INVESTORS_LIST[[#This Row],[SIP_TOTAL CURRENT UNITS]]=0,0,INVESTORS_LIST[[#This Row],[SIP_TOTAL CURRENT UNITS]]*INVESTORS_LIST[[#This Row],[NAV]])</f>
        <v>0</v>
      </c>
      <c r="AO127" s="6">
        <f>IF(INVESTORS_LIST[[#This Row],[TOTAL SELLABLE UNITS]]=0,0,INVESTORS_LIST[[#This Row],[TOTAL SELLABLE UNITS]]*INVESTORS_LIST[[#This Row],[NAV]])</f>
        <v>0</v>
      </c>
      <c r="AP127" s="6">
        <f>INVESTORS_LIST[[#This Row],[LS_TOTAL REALIZED GAIN]]+INVESTORS_LIST[[#This Row],[SIP_TOTAL REALIZED GAIN]]</f>
        <v>-499.99999999998931</v>
      </c>
      <c r="AQ127" s="6">
        <f>INVESTORS_LIST[[#This Row],[TOTAL MARKET VALUE]]-INVESTORS_LIST[[#This Row],[TOTAL COST VALUE OF CURRENT INVESTMENT]]</f>
        <v>0</v>
      </c>
      <c r="AR127" s="6">
        <f>SUMIFS(DivAndTax[Tax Amount],DivAndTax[Investor ID],INVESTORS_LIST[[#This Row],[INVESTOR CODE]])</f>
        <v>0</v>
      </c>
      <c r="AS127" s="6">
        <f>SUMIFS(DivAndTax[Gross Dividend],DivAndTax[Investor ID],INVESTORS_LIST[[#This Row],[INVESTOR CODE]])</f>
        <v>0</v>
      </c>
      <c r="AT127" s="5">
        <f>IFERROR(INVESTORS_LIST[[#This Row],[TOTAL CURRENT UNITS]]/SUM(INVESTORS_LIST[TOTAL CURRENT UNITS]),0)</f>
        <v>0</v>
      </c>
    </row>
    <row r="128" spans="1:46" hidden="1">
      <c r="A128" t="s">
        <v>312</v>
      </c>
      <c r="B128" t="s">
        <v>161</v>
      </c>
      <c r="C128" t="s">
        <v>536</v>
      </c>
      <c r="D128" s="8" t="s">
        <v>2</v>
      </c>
      <c r="E128" s="2">
        <f>SUMIFS(LS[Unit],LS[Investor ID],INVESTORS_LIST[[#This Row],[INVESTOR CODE]],LS[B/S],"B")</f>
        <v>0</v>
      </c>
      <c r="F128" s="2">
        <f>-SUMIFS(LS[Unit],LS[Investor ID],INVESTORS_LIST[[#This Row],[INVESTOR CODE]],LS[B/S],"S")</f>
        <v>0</v>
      </c>
      <c r="G128" s="2">
        <f>IF(INVESTORS_LIST[[#This Row],[LS_TOTAL UNITS BUY]]=0,0,INVESTORS_LIST[[#This Row],[LS_TOTAL UNITS BUY]]-INVESTORS_LIST[[#This Row],[LS_TOTAL UNITS SOLD]])</f>
        <v>0</v>
      </c>
      <c r="H128" s="4">
        <f>IF(INVESTORS_LIST[[#This Row],[LS_TOTAL UNITS BUY]]=0,0,SUMIFS(LS[Amount],LS[Investor ID],INVESTORS_LIST[[#This Row],[INVESTOR CODE]],LS[B/S],"B"))</f>
        <v>0</v>
      </c>
      <c r="I128" s="6">
        <f>IF(INVESTORS_LIST[[#This Row],[LS_TOTAL UNITS SOLD]]=0,0,SUMIFS(LS[Cost of Units Sold],LS[Investor ID],INVESTORS_LIST[[#This Row],[INVESTOR CODE]],LS[B/S],"S"))</f>
        <v>0</v>
      </c>
      <c r="J128" s="6">
        <f>IF(INVESTORS_LIST[[#This Row],[LS_TOTAL CURRENT UNITS]]=0,0,INVESTORS_LIST[[#This Row],[LS_TOTAL CURRENT UNITS]]*INVESTORS_LIST[[#This Row],[LS_AVERAGE COST]])</f>
        <v>0</v>
      </c>
      <c r="K128" s="4">
        <f>IF(INVESTORS_LIST[[#This Row],[LS_TOTAL UNITS SOLD]]=0,0,SUMIFS(LS[Realized Gain],LS[Investor ID],INVESTORS_LIST[[#This Row],[INVESTOR CODE]],LS[B/S],"S"))</f>
        <v>0</v>
      </c>
      <c r="L128" s="2">
        <f>SUMIFS(SIP[Unit],SIP[Investor ID],INVESTORS_LIST[[#This Row],[INVESTOR CODE]],SIP[B/S],"B")</f>
        <v>0</v>
      </c>
      <c r="M128" s="2">
        <f>-SUMIFS(SIP[Unit],SIP[Investor ID],INVESTORS_LIST[[#This Row],[INVESTOR CODE]],SIP[B/S],"S")</f>
        <v>0</v>
      </c>
      <c r="N128" s="33">
        <f>IF(INVESTORS_LIST[[#This Row],[SIP_TOTAL UNITS BUY]]=0,0,INVESTORS_LIST[[#This Row],[SIP_TOTAL UNITS BUY]]-INVESTORS_LIST[[#This Row],[SIP_TOTAL UNITS SOLD]])</f>
        <v>0</v>
      </c>
      <c r="O128" s="4">
        <f>IF(INVESTORS_LIST[[#This Row],[SIP_TOTAL UNITS BUY]]=0,0,SUMIFS(SIP[Amount],SIP[Investor ID],INVESTORS_LIST[[#This Row],[INVESTOR CODE]],SIP[B/S],"B"))</f>
        <v>0</v>
      </c>
      <c r="P128" s="4">
        <f>IF(INVESTORS_LIST[[#This Row],[SIP_TOTAL UNITS SOLD]]=0,0,SUMIFS(SIP[Cost of Units Sold],SIP[Investor ID],INVESTORS_LIST[[#This Row],[INVESTOR CODE]],SIP[B/S],"S"))</f>
        <v>0</v>
      </c>
      <c r="Q128" s="6">
        <f>IF(INVESTORS_LIST[[#This Row],[SIP_TOTAL CURRENT UNITS]]=0,0,INVESTORS_LIST[[#This Row],[SIP_TOTAL CURRENT UNITS]]*INVESTORS_LIST[[#This Row],[SIP_AVERAGE COST]])</f>
        <v>0</v>
      </c>
      <c r="R128" s="6">
        <f>IF(INVESTORS_LIST[[#This Row],[SIP_TOTAL UNITS SOLD]]=0,0,SUMIFS(SIP[Realized Gain],SIP[Investor ID],INVESTORS_LIST[[#This Row],[INVESTOR CODE]],SIP[B/S],"S"))</f>
        <v>0</v>
      </c>
      <c r="S128" s="33">
        <f>INVESTORS_LIST[[#This Row],[LS_TOTAL UNITS BUY]]+INVESTORS_LIST[[#This Row],[SIP_TOTAL UNITS BUY]]</f>
        <v>0</v>
      </c>
      <c r="T128" s="33">
        <f>INVESTORS_LIST[[#This Row],[LS_TOTAL UNITS SOLD]]+INVESTORS_LIST[[#This Row],[SIP_TOTAL UNITS SOLD]]</f>
        <v>0</v>
      </c>
      <c r="U128" s="33">
        <v>0</v>
      </c>
      <c r="V128" s="33">
        <f>SUMIFS(LS[BO UNIT TRANSFER],LS[Investor ID],INVESTORS_LIST[[#This Row],[INVESTOR CODE]],LS[B/S],"B")</f>
        <v>0</v>
      </c>
      <c r="W128" s="33">
        <f>SUMIFS(LS[BO UNIT TRANSFER],LS[Investor ID],INVESTORS_LIST[[#This Row],[INVESTOR CODE]],LS[B/S],"S")</f>
        <v>0</v>
      </c>
      <c r="X128" s="33">
        <f>SUMIFS(SIP[BO UNIT TRANSFER],SIP[Investor ID],INVESTORS_LIST[[#This Row],[INVESTOR CODE]],SIP[B/S],"S")</f>
        <v>0</v>
      </c>
      <c r="Y128" s="33">
        <f>SUMIFS(SIP[BO UNIT TRANSFER],SIP[Investor ID],INVESTORS_LIST[[#This Row],[INVESTOR CODE]],SIP[B/S],"B")</f>
        <v>0</v>
      </c>
      <c r="Z12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28" s="119">
        <f>INVESTORS_LIST[[#This Row],[TOTAL UNITS BUY]]-INVESTORS_LIST[[#This Row],[TOTAL UNITS SOLD]]</f>
        <v>0</v>
      </c>
      <c r="AB128" s="119">
        <f>INVESTORS_LIST[[#This Row],[TOTAL CURRENT UNITS]]-INVESTORS_LIST[[#This Row],[BO UNITS HOLD]]</f>
        <v>0</v>
      </c>
      <c r="AC128" s="119" t="e">
        <f>INDEX([4]!Table_1[BO ID],MATCH(INVESTORS_LIST[[#This Row],[INVESTOR CODE]],[4]!Table_1[INVESTOR CODE],0))</f>
        <v>#REF!</v>
      </c>
      <c r="AD128" s="33">
        <f>INVESTORS_LIST[[#This Row],[LS_TOTAL COST VALUE OF CURRENT UNITS]]+INVESTORS_LIST[[#This Row],[SIP_TOTAL COST VALUE OF CURRENT UNITS]]</f>
        <v>0</v>
      </c>
      <c r="AE128" s="44">
        <f>IF(INVESTORS_LIST[[#This Row],[TOTAL CURRENT UNITS]]=0,0,INVESTORS_LIST[[#This Row],[LS_TOTAL CURRENT UNITS]]/INVESTORS_LIST[[#This Row],[TOTAL CURRENT UNITS]])</f>
        <v>0</v>
      </c>
      <c r="AF128" s="44">
        <f>IF(INVESTORS_LIST[[#This Row],[TOTAL CURRENT UNITS]]=0,0,INVESTORS_LIST[[#This Row],[SIP_TOTAL CURRENT UNITS]]/INVESTORS_LIST[[#This Row],[TOTAL CURRENT UNITS]])</f>
        <v>0</v>
      </c>
      <c r="AG128" s="4" cm="1">
        <f t="array" ref="AG12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28" s="4" cm="1">
        <f t="array" ref="AH1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2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28" s="178">
        <f t="shared" si="1"/>
        <v>12.552</v>
      </c>
      <c r="AK128" s="118">
        <f>IF(INVESTORS_LIST[[#This Row],[TOTAL CURRENT UNITS]]=0,0,INVESTORS_LIST[[#This Row],[TOTAL CURRENT UNITS]]*INVESTORS_LIST[[#This Row],[NAV]])</f>
        <v>0</v>
      </c>
      <c r="AL128" s="4">
        <f>IF(INVESTORS_LIST[[#This Row],[LS_TOTAL CURRENT UNITS]]=0,0,INVESTORS_LIST[[#This Row],[LS_TOTAL CURRENT UNITS]]*INVESTORS_LIST[[#This Row],[NAV]])</f>
        <v>0</v>
      </c>
      <c r="AM128" s="6">
        <f>IF(INVESTORS_LIST[[#This Row],[SIP_TOTAL CURRENT UNITS]]=0,0,INVESTORS_LIST[[#This Row],[SIP_TOTAL CURRENT UNITS]]*INVESTORS_LIST[[#This Row],[NAV]])</f>
        <v>0</v>
      </c>
      <c r="AO128" s="6">
        <f>IF(INVESTORS_LIST[[#This Row],[TOTAL SELLABLE UNITS]]=0,0,INVESTORS_LIST[[#This Row],[TOTAL SELLABLE UNITS]]*INVESTORS_LIST[[#This Row],[NAV]])</f>
        <v>0</v>
      </c>
      <c r="AP128" s="6">
        <f>INVESTORS_LIST[[#This Row],[LS_TOTAL REALIZED GAIN]]+INVESTORS_LIST[[#This Row],[SIP_TOTAL REALIZED GAIN]]</f>
        <v>0</v>
      </c>
      <c r="AQ128" s="6">
        <f>INVESTORS_LIST[[#This Row],[TOTAL MARKET VALUE]]-INVESTORS_LIST[[#This Row],[TOTAL COST VALUE OF CURRENT INVESTMENT]]</f>
        <v>0</v>
      </c>
      <c r="AR128" s="6">
        <f>SUMIFS(DivAndTax[Tax Amount],DivAndTax[Investor ID],INVESTORS_LIST[[#This Row],[INVESTOR CODE]])</f>
        <v>0</v>
      </c>
      <c r="AS128" s="6">
        <f>SUMIFS(DivAndTax[Gross Dividend],DivAndTax[Investor ID],INVESTORS_LIST[[#This Row],[INVESTOR CODE]])</f>
        <v>0</v>
      </c>
      <c r="AT128" s="5">
        <f>IFERROR(INVESTORS_LIST[[#This Row],[TOTAL CURRENT UNITS]]/SUM(INVESTORS_LIST[TOTAL CURRENT UNITS]),0)</f>
        <v>0</v>
      </c>
    </row>
    <row r="129" spans="1:46" hidden="1">
      <c r="A129" t="s">
        <v>793</v>
      </c>
      <c r="B129" t="s">
        <v>162</v>
      </c>
      <c r="C129" t="s">
        <v>536</v>
      </c>
      <c r="D129" s="8" t="s">
        <v>2</v>
      </c>
      <c r="E129" s="2">
        <f>SUMIFS(LS[Unit],LS[Investor ID],INVESTORS_LIST[[#This Row],[INVESTOR CODE]],LS[B/S],"B")</f>
        <v>0</v>
      </c>
      <c r="F129" s="2">
        <f>-SUMIFS(LS[Unit],LS[Investor ID],INVESTORS_LIST[[#This Row],[INVESTOR CODE]],LS[B/S],"S")</f>
        <v>0</v>
      </c>
      <c r="G129" s="2">
        <f>IF(INVESTORS_LIST[[#This Row],[LS_TOTAL UNITS BUY]]=0,0,INVESTORS_LIST[[#This Row],[LS_TOTAL UNITS BUY]]-INVESTORS_LIST[[#This Row],[LS_TOTAL UNITS SOLD]])</f>
        <v>0</v>
      </c>
      <c r="H129" s="4">
        <f>IF(INVESTORS_LIST[[#This Row],[LS_TOTAL UNITS BUY]]=0,0,SUMIFS(LS[Amount],LS[Investor ID],INVESTORS_LIST[[#This Row],[INVESTOR CODE]],LS[B/S],"B"))</f>
        <v>0</v>
      </c>
      <c r="I129" s="6">
        <f>IF(INVESTORS_LIST[[#This Row],[LS_TOTAL UNITS SOLD]]=0,0,SUMIFS(LS[Cost of Units Sold],LS[Investor ID],INVESTORS_LIST[[#This Row],[INVESTOR CODE]],LS[B/S],"S"))</f>
        <v>0</v>
      </c>
      <c r="J129" s="6">
        <f>IF(INVESTORS_LIST[[#This Row],[LS_TOTAL CURRENT UNITS]]=0,0,INVESTORS_LIST[[#This Row],[LS_TOTAL CURRENT UNITS]]*INVESTORS_LIST[[#This Row],[LS_AVERAGE COST]])</f>
        <v>0</v>
      </c>
      <c r="K129" s="4">
        <f>IF(INVESTORS_LIST[[#This Row],[LS_TOTAL UNITS SOLD]]=0,0,SUMIFS(LS[Realized Gain],LS[Investor ID],INVESTORS_LIST[[#This Row],[INVESTOR CODE]],LS[B/S],"S"))</f>
        <v>0</v>
      </c>
      <c r="L129" s="2">
        <f>SUMIFS(SIP[Unit],SIP[Investor ID],INVESTORS_LIST[[#This Row],[INVESTOR CODE]],SIP[B/S],"B")</f>
        <v>0</v>
      </c>
      <c r="M129" s="2">
        <f>-SUMIFS(SIP[Unit],SIP[Investor ID],INVESTORS_LIST[[#This Row],[INVESTOR CODE]],SIP[B/S],"S")</f>
        <v>0</v>
      </c>
      <c r="N129" s="33">
        <f>IF(INVESTORS_LIST[[#This Row],[SIP_TOTAL UNITS BUY]]=0,0,INVESTORS_LIST[[#This Row],[SIP_TOTAL UNITS BUY]]-INVESTORS_LIST[[#This Row],[SIP_TOTAL UNITS SOLD]])</f>
        <v>0</v>
      </c>
      <c r="O129" s="4">
        <f>IF(INVESTORS_LIST[[#This Row],[SIP_TOTAL UNITS BUY]]=0,0,SUMIFS(SIP[Amount],SIP[Investor ID],INVESTORS_LIST[[#This Row],[INVESTOR CODE]],SIP[B/S],"B"))</f>
        <v>0</v>
      </c>
      <c r="P129" s="4">
        <f>IF(INVESTORS_LIST[[#This Row],[SIP_TOTAL UNITS SOLD]]=0,0,SUMIFS(SIP[Cost of Units Sold],SIP[Investor ID],INVESTORS_LIST[[#This Row],[INVESTOR CODE]],SIP[B/S],"S"))</f>
        <v>0</v>
      </c>
      <c r="Q129" s="6">
        <f>IF(INVESTORS_LIST[[#This Row],[SIP_TOTAL CURRENT UNITS]]=0,0,INVESTORS_LIST[[#This Row],[SIP_TOTAL CURRENT UNITS]]*INVESTORS_LIST[[#This Row],[SIP_AVERAGE COST]])</f>
        <v>0</v>
      </c>
      <c r="R129" s="6">
        <f>IF(INVESTORS_LIST[[#This Row],[SIP_TOTAL UNITS SOLD]]=0,0,SUMIFS(SIP[Realized Gain],SIP[Investor ID],INVESTORS_LIST[[#This Row],[INVESTOR CODE]],SIP[B/S],"S"))</f>
        <v>0</v>
      </c>
      <c r="S129" s="33">
        <f>INVESTORS_LIST[[#This Row],[LS_TOTAL UNITS BUY]]+INVESTORS_LIST[[#This Row],[SIP_TOTAL UNITS BUY]]</f>
        <v>0</v>
      </c>
      <c r="T129" s="33">
        <f>INVESTORS_LIST[[#This Row],[LS_TOTAL UNITS SOLD]]+INVESTORS_LIST[[#This Row],[SIP_TOTAL UNITS SOLD]]</f>
        <v>0</v>
      </c>
      <c r="U129" s="33">
        <v>0</v>
      </c>
      <c r="V129" s="33">
        <f>SUMIFS(LS[BO UNIT TRANSFER],LS[Investor ID],INVESTORS_LIST[[#This Row],[INVESTOR CODE]],LS[B/S],"B")</f>
        <v>0</v>
      </c>
      <c r="W129" s="33">
        <f>SUMIFS(LS[BO UNIT TRANSFER],LS[Investor ID],INVESTORS_LIST[[#This Row],[INVESTOR CODE]],LS[B/S],"S")</f>
        <v>0</v>
      </c>
      <c r="X129" s="33">
        <f>SUMIFS(SIP[BO UNIT TRANSFER],SIP[Investor ID],INVESTORS_LIST[[#This Row],[INVESTOR CODE]],SIP[B/S],"S")</f>
        <v>0</v>
      </c>
      <c r="Y129" s="33">
        <f>SUMIFS(SIP[BO UNIT TRANSFER],SIP[Investor ID],INVESTORS_LIST[[#This Row],[INVESTOR CODE]],SIP[B/S],"B")</f>
        <v>0</v>
      </c>
      <c r="Z12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29" s="119">
        <f>INVESTORS_LIST[[#This Row],[TOTAL UNITS BUY]]-INVESTORS_LIST[[#This Row],[TOTAL UNITS SOLD]]</f>
        <v>0</v>
      </c>
      <c r="AB129" s="119">
        <f>INVESTORS_LIST[[#This Row],[TOTAL CURRENT UNITS]]-INVESTORS_LIST[[#This Row],[BO UNITS HOLD]]</f>
        <v>0</v>
      </c>
      <c r="AC129" s="119" t="e">
        <f>INDEX([4]!Table_1[BO ID],MATCH(INVESTORS_LIST[[#This Row],[INVESTOR CODE]],[4]!Table_1[INVESTOR CODE],0))</f>
        <v>#REF!</v>
      </c>
      <c r="AD129" s="33">
        <f>INVESTORS_LIST[[#This Row],[LS_TOTAL COST VALUE OF CURRENT UNITS]]+INVESTORS_LIST[[#This Row],[SIP_TOTAL COST VALUE OF CURRENT UNITS]]</f>
        <v>0</v>
      </c>
      <c r="AE129" s="44">
        <f>IF(INVESTORS_LIST[[#This Row],[TOTAL CURRENT UNITS]]=0,0,INVESTORS_LIST[[#This Row],[LS_TOTAL CURRENT UNITS]]/INVESTORS_LIST[[#This Row],[TOTAL CURRENT UNITS]])</f>
        <v>0</v>
      </c>
      <c r="AF129" s="44">
        <f>IF(INVESTORS_LIST[[#This Row],[TOTAL CURRENT UNITS]]=0,0,INVESTORS_LIST[[#This Row],[SIP_TOTAL CURRENT UNITS]]/INVESTORS_LIST[[#This Row],[TOTAL CURRENT UNITS]])</f>
        <v>0</v>
      </c>
      <c r="AG129" s="4" cm="1">
        <f t="array" ref="AG12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29" s="4" cm="1">
        <f t="array" ref="AH1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2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29" s="178">
        <f t="shared" si="1"/>
        <v>12.552</v>
      </c>
      <c r="AK129" s="118">
        <f>IF(INVESTORS_LIST[[#This Row],[TOTAL CURRENT UNITS]]=0,0,INVESTORS_LIST[[#This Row],[TOTAL CURRENT UNITS]]*INVESTORS_LIST[[#This Row],[NAV]])</f>
        <v>0</v>
      </c>
      <c r="AL129" s="4">
        <f>IF(INVESTORS_LIST[[#This Row],[LS_TOTAL CURRENT UNITS]]=0,0,INVESTORS_LIST[[#This Row],[LS_TOTAL CURRENT UNITS]]*INVESTORS_LIST[[#This Row],[NAV]])</f>
        <v>0</v>
      </c>
      <c r="AM129" s="6">
        <f>IF(INVESTORS_LIST[[#This Row],[SIP_TOTAL CURRENT UNITS]]=0,0,INVESTORS_LIST[[#This Row],[SIP_TOTAL CURRENT UNITS]]*INVESTORS_LIST[[#This Row],[NAV]])</f>
        <v>0</v>
      </c>
      <c r="AO129" s="6">
        <f>IF(INVESTORS_LIST[[#This Row],[TOTAL SELLABLE UNITS]]=0,0,INVESTORS_LIST[[#This Row],[TOTAL SELLABLE UNITS]]*INVESTORS_LIST[[#This Row],[NAV]])</f>
        <v>0</v>
      </c>
      <c r="AP129" s="6">
        <f>INVESTORS_LIST[[#This Row],[LS_TOTAL REALIZED GAIN]]+INVESTORS_LIST[[#This Row],[SIP_TOTAL REALIZED GAIN]]</f>
        <v>0</v>
      </c>
      <c r="AQ129" s="6">
        <f>INVESTORS_LIST[[#This Row],[TOTAL MARKET VALUE]]-INVESTORS_LIST[[#This Row],[TOTAL COST VALUE OF CURRENT INVESTMENT]]</f>
        <v>0</v>
      </c>
      <c r="AR129" s="6">
        <f>SUMIFS(DivAndTax[Tax Amount],DivAndTax[Investor ID],INVESTORS_LIST[[#This Row],[INVESTOR CODE]])</f>
        <v>0</v>
      </c>
      <c r="AS129" s="6">
        <f>SUMIFS(DivAndTax[Gross Dividend],DivAndTax[Investor ID],INVESTORS_LIST[[#This Row],[INVESTOR CODE]])</f>
        <v>0</v>
      </c>
      <c r="AT129" s="5">
        <f>IFERROR(INVESTORS_LIST[[#This Row],[TOTAL CURRENT UNITS]]/SUM(INVESTORS_LIST[TOTAL CURRENT UNITS]),0)</f>
        <v>0</v>
      </c>
    </row>
    <row r="130" spans="1:46" hidden="1">
      <c r="A130" t="s">
        <v>794</v>
      </c>
      <c r="B130" t="s">
        <v>163</v>
      </c>
      <c r="C130" t="s">
        <v>536</v>
      </c>
      <c r="D130" s="8" t="s">
        <v>2</v>
      </c>
      <c r="E130" s="2">
        <f>SUMIFS(LS[Unit],LS[Investor ID],INVESTORS_LIST[[#This Row],[INVESTOR CODE]],LS[B/S],"B")</f>
        <v>0</v>
      </c>
      <c r="F130" s="2">
        <f>-SUMIFS(LS[Unit],LS[Investor ID],INVESTORS_LIST[[#This Row],[INVESTOR CODE]],LS[B/S],"S")</f>
        <v>0</v>
      </c>
      <c r="G130" s="2">
        <f>IF(INVESTORS_LIST[[#This Row],[LS_TOTAL UNITS BUY]]=0,0,INVESTORS_LIST[[#This Row],[LS_TOTAL UNITS BUY]]-INVESTORS_LIST[[#This Row],[LS_TOTAL UNITS SOLD]])</f>
        <v>0</v>
      </c>
      <c r="H130" s="4">
        <f>IF(INVESTORS_LIST[[#This Row],[LS_TOTAL UNITS BUY]]=0,0,SUMIFS(LS[Amount],LS[Investor ID],INVESTORS_LIST[[#This Row],[INVESTOR CODE]],LS[B/S],"B"))</f>
        <v>0</v>
      </c>
      <c r="I130" s="6">
        <f>IF(INVESTORS_LIST[[#This Row],[LS_TOTAL UNITS SOLD]]=0,0,SUMIFS(LS[Cost of Units Sold],LS[Investor ID],INVESTORS_LIST[[#This Row],[INVESTOR CODE]],LS[B/S],"S"))</f>
        <v>0</v>
      </c>
      <c r="J130" s="6">
        <f>IF(INVESTORS_LIST[[#This Row],[LS_TOTAL CURRENT UNITS]]=0,0,INVESTORS_LIST[[#This Row],[LS_TOTAL CURRENT UNITS]]*INVESTORS_LIST[[#This Row],[LS_AVERAGE COST]])</f>
        <v>0</v>
      </c>
      <c r="K130" s="4">
        <f>IF(INVESTORS_LIST[[#This Row],[LS_TOTAL UNITS SOLD]]=0,0,SUMIFS(LS[Realized Gain],LS[Investor ID],INVESTORS_LIST[[#This Row],[INVESTOR CODE]],LS[B/S],"S"))</f>
        <v>0</v>
      </c>
      <c r="L130" s="2">
        <f>SUMIFS(SIP[Unit],SIP[Investor ID],INVESTORS_LIST[[#This Row],[INVESTOR CODE]],SIP[B/S],"B")</f>
        <v>0</v>
      </c>
      <c r="M130" s="2">
        <f>-SUMIFS(SIP[Unit],SIP[Investor ID],INVESTORS_LIST[[#This Row],[INVESTOR CODE]],SIP[B/S],"S")</f>
        <v>0</v>
      </c>
      <c r="N130" s="33">
        <f>IF(INVESTORS_LIST[[#This Row],[SIP_TOTAL UNITS BUY]]=0,0,INVESTORS_LIST[[#This Row],[SIP_TOTAL UNITS BUY]]-INVESTORS_LIST[[#This Row],[SIP_TOTAL UNITS SOLD]])</f>
        <v>0</v>
      </c>
      <c r="O130" s="4">
        <f>IF(INVESTORS_LIST[[#This Row],[SIP_TOTAL UNITS BUY]]=0,0,SUMIFS(SIP[Amount],SIP[Investor ID],INVESTORS_LIST[[#This Row],[INVESTOR CODE]],SIP[B/S],"B"))</f>
        <v>0</v>
      </c>
      <c r="P130" s="4">
        <f>IF(INVESTORS_LIST[[#This Row],[SIP_TOTAL UNITS SOLD]]=0,0,SUMIFS(SIP[Cost of Units Sold],SIP[Investor ID],INVESTORS_LIST[[#This Row],[INVESTOR CODE]],SIP[B/S],"S"))</f>
        <v>0</v>
      </c>
      <c r="Q130" s="6">
        <f>IF(INVESTORS_LIST[[#This Row],[SIP_TOTAL CURRENT UNITS]]=0,0,INVESTORS_LIST[[#This Row],[SIP_TOTAL CURRENT UNITS]]*INVESTORS_LIST[[#This Row],[SIP_AVERAGE COST]])</f>
        <v>0</v>
      </c>
      <c r="R130" s="6">
        <f>IF(INVESTORS_LIST[[#This Row],[SIP_TOTAL UNITS SOLD]]=0,0,SUMIFS(SIP[Realized Gain],SIP[Investor ID],INVESTORS_LIST[[#This Row],[INVESTOR CODE]],SIP[B/S],"S"))</f>
        <v>0</v>
      </c>
      <c r="S130" s="33">
        <f>INVESTORS_LIST[[#This Row],[LS_TOTAL UNITS BUY]]+INVESTORS_LIST[[#This Row],[SIP_TOTAL UNITS BUY]]</f>
        <v>0</v>
      </c>
      <c r="T130" s="33">
        <f>INVESTORS_LIST[[#This Row],[LS_TOTAL UNITS SOLD]]+INVESTORS_LIST[[#This Row],[SIP_TOTAL UNITS SOLD]]</f>
        <v>0</v>
      </c>
      <c r="U130" s="33">
        <v>0</v>
      </c>
      <c r="V130" s="33">
        <f>SUMIFS(LS[BO UNIT TRANSFER],LS[Investor ID],INVESTORS_LIST[[#This Row],[INVESTOR CODE]],LS[B/S],"B")</f>
        <v>0</v>
      </c>
      <c r="W130" s="33">
        <f>SUMIFS(LS[BO UNIT TRANSFER],LS[Investor ID],INVESTORS_LIST[[#This Row],[INVESTOR CODE]],LS[B/S],"S")</f>
        <v>0</v>
      </c>
      <c r="X130" s="33">
        <f>SUMIFS(SIP[BO UNIT TRANSFER],SIP[Investor ID],INVESTORS_LIST[[#This Row],[INVESTOR CODE]],SIP[B/S],"S")</f>
        <v>0</v>
      </c>
      <c r="Y130" s="33">
        <f>SUMIFS(SIP[BO UNIT TRANSFER],SIP[Investor ID],INVESTORS_LIST[[#This Row],[INVESTOR CODE]],SIP[B/S],"B")</f>
        <v>0</v>
      </c>
      <c r="Z13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30" s="119">
        <f>INVESTORS_LIST[[#This Row],[TOTAL UNITS BUY]]-INVESTORS_LIST[[#This Row],[TOTAL UNITS SOLD]]</f>
        <v>0</v>
      </c>
      <c r="AB130" s="119">
        <f>INVESTORS_LIST[[#This Row],[TOTAL CURRENT UNITS]]-INVESTORS_LIST[[#This Row],[BO UNITS HOLD]]</f>
        <v>0</v>
      </c>
      <c r="AC130" s="119" t="e">
        <f>INDEX([4]!Table_1[BO ID],MATCH(INVESTORS_LIST[[#This Row],[INVESTOR CODE]],[4]!Table_1[INVESTOR CODE],0))</f>
        <v>#REF!</v>
      </c>
      <c r="AD130" s="33">
        <f>INVESTORS_LIST[[#This Row],[LS_TOTAL COST VALUE OF CURRENT UNITS]]+INVESTORS_LIST[[#This Row],[SIP_TOTAL COST VALUE OF CURRENT UNITS]]</f>
        <v>0</v>
      </c>
      <c r="AE130" s="44">
        <f>IF(INVESTORS_LIST[[#This Row],[TOTAL CURRENT UNITS]]=0,0,INVESTORS_LIST[[#This Row],[LS_TOTAL CURRENT UNITS]]/INVESTORS_LIST[[#This Row],[TOTAL CURRENT UNITS]])</f>
        <v>0</v>
      </c>
      <c r="AF130" s="44">
        <f>IF(INVESTORS_LIST[[#This Row],[TOTAL CURRENT UNITS]]=0,0,INVESTORS_LIST[[#This Row],[SIP_TOTAL CURRENT UNITS]]/INVESTORS_LIST[[#This Row],[TOTAL CURRENT UNITS]])</f>
        <v>0</v>
      </c>
      <c r="AG130" s="4" cm="1">
        <f t="array" ref="AG1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30" s="4" cm="1">
        <f t="array" ref="AH1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3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30" s="178">
        <f t="shared" ref="AJ130:AJ193" si="2">NAV_MKT</f>
        <v>12.552</v>
      </c>
      <c r="AK130" s="118">
        <f>IF(INVESTORS_LIST[[#This Row],[TOTAL CURRENT UNITS]]=0,0,INVESTORS_LIST[[#This Row],[TOTAL CURRENT UNITS]]*INVESTORS_LIST[[#This Row],[NAV]])</f>
        <v>0</v>
      </c>
      <c r="AL130" s="4">
        <f>IF(INVESTORS_LIST[[#This Row],[LS_TOTAL CURRENT UNITS]]=0,0,INVESTORS_LIST[[#This Row],[LS_TOTAL CURRENT UNITS]]*INVESTORS_LIST[[#This Row],[NAV]])</f>
        <v>0</v>
      </c>
      <c r="AM130" s="6">
        <f>IF(INVESTORS_LIST[[#This Row],[SIP_TOTAL CURRENT UNITS]]=0,0,INVESTORS_LIST[[#This Row],[SIP_TOTAL CURRENT UNITS]]*INVESTORS_LIST[[#This Row],[NAV]])</f>
        <v>0</v>
      </c>
      <c r="AO130" s="6">
        <f>IF(INVESTORS_LIST[[#This Row],[TOTAL SELLABLE UNITS]]=0,0,INVESTORS_LIST[[#This Row],[TOTAL SELLABLE UNITS]]*INVESTORS_LIST[[#This Row],[NAV]])</f>
        <v>0</v>
      </c>
      <c r="AP130" s="6">
        <f>INVESTORS_LIST[[#This Row],[LS_TOTAL REALIZED GAIN]]+INVESTORS_LIST[[#This Row],[SIP_TOTAL REALIZED GAIN]]</f>
        <v>0</v>
      </c>
      <c r="AQ130" s="6">
        <f>INVESTORS_LIST[[#This Row],[TOTAL MARKET VALUE]]-INVESTORS_LIST[[#This Row],[TOTAL COST VALUE OF CURRENT INVESTMENT]]</f>
        <v>0</v>
      </c>
      <c r="AR130" s="6">
        <f>SUMIFS(DivAndTax[Tax Amount],DivAndTax[Investor ID],INVESTORS_LIST[[#This Row],[INVESTOR CODE]])</f>
        <v>0</v>
      </c>
      <c r="AS130" s="6">
        <f>SUMIFS(DivAndTax[Gross Dividend],DivAndTax[Investor ID],INVESTORS_LIST[[#This Row],[INVESTOR CODE]])</f>
        <v>0</v>
      </c>
      <c r="AT130" s="5">
        <f>IFERROR(INVESTORS_LIST[[#This Row],[TOTAL CURRENT UNITS]]/SUM(INVESTORS_LIST[TOTAL CURRENT UNITS]),0)</f>
        <v>0</v>
      </c>
    </row>
    <row r="131" spans="1:46" hidden="1">
      <c r="A131" t="s">
        <v>795</v>
      </c>
      <c r="B131" t="s">
        <v>164</v>
      </c>
      <c r="C131" t="s">
        <v>536</v>
      </c>
      <c r="D131" s="8" t="s">
        <v>2</v>
      </c>
      <c r="E131" s="2">
        <f>SUMIFS(LS[Unit],LS[Investor ID],INVESTORS_LIST[[#This Row],[INVESTOR CODE]],LS[B/S],"B")</f>
        <v>0</v>
      </c>
      <c r="F131" s="2">
        <f>-SUMIFS(LS[Unit],LS[Investor ID],INVESTORS_LIST[[#This Row],[INVESTOR CODE]],LS[B/S],"S")</f>
        <v>0</v>
      </c>
      <c r="G131" s="2">
        <f>IF(INVESTORS_LIST[[#This Row],[LS_TOTAL UNITS BUY]]=0,0,INVESTORS_LIST[[#This Row],[LS_TOTAL UNITS BUY]]-INVESTORS_LIST[[#This Row],[LS_TOTAL UNITS SOLD]])</f>
        <v>0</v>
      </c>
      <c r="H131" s="4">
        <f>IF(INVESTORS_LIST[[#This Row],[LS_TOTAL UNITS BUY]]=0,0,SUMIFS(LS[Amount],LS[Investor ID],INVESTORS_LIST[[#This Row],[INVESTOR CODE]],LS[B/S],"B"))</f>
        <v>0</v>
      </c>
      <c r="I131" s="6">
        <f>IF(INVESTORS_LIST[[#This Row],[LS_TOTAL UNITS SOLD]]=0,0,SUMIFS(LS[Cost of Units Sold],LS[Investor ID],INVESTORS_LIST[[#This Row],[INVESTOR CODE]],LS[B/S],"S"))</f>
        <v>0</v>
      </c>
      <c r="J131" s="6">
        <f>IF(INVESTORS_LIST[[#This Row],[LS_TOTAL CURRENT UNITS]]=0,0,INVESTORS_LIST[[#This Row],[LS_TOTAL CURRENT UNITS]]*INVESTORS_LIST[[#This Row],[LS_AVERAGE COST]])</f>
        <v>0</v>
      </c>
      <c r="K131" s="4">
        <f>IF(INVESTORS_LIST[[#This Row],[LS_TOTAL UNITS SOLD]]=0,0,SUMIFS(LS[Realized Gain],LS[Investor ID],INVESTORS_LIST[[#This Row],[INVESTOR CODE]],LS[B/S],"S"))</f>
        <v>0</v>
      </c>
      <c r="L131" s="2">
        <f>SUMIFS(SIP[Unit],SIP[Investor ID],INVESTORS_LIST[[#This Row],[INVESTOR CODE]],SIP[B/S],"B")</f>
        <v>0</v>
      </c>
      <c r="M131" s="2">
        <f>-SUMIFS(SIP[Unit],SIP[Investor ID],INVESTORS_LIST[[#This Row],[INVESTOR CODE]],SIP[B/S],"S")</f>
        <v>0</v>
      </c>
      <c r="N131" s="33">
        <f>IF(INVESTORS_LIST[[#This Row],[SIP_TOTAL UNITS BUY]]=0,0,INVESTORS_LIST[[#This Row],[SIP_TOTAL UNITS BUY]]-INVESTORS_LIST[[#This Row],[SIP_TOTAL UNITS SOLD]])</f>
        <v>0</v>
      </c>
      <c r="O131" s="4">
        <f>IF(INVESTORS_LIST[[#This Row],[SIP_TOTAL UNITS BUY]]=0,0,SUMIFS(SIP[Amount],SIP[Investor ID],INVESTORS_LIST[[#This Row],[INVESTOR CODE]],SIP[B/S],"B"))</f>
        <v>0</v>
      </c>
      <c r="P131" s="4">
        <f>IF(INVESTORS_LIST[[#This Row],[SIP_TOTAL UNITS SOLD]]=0,0,SUMIFS(SIP[Cost of Units Sold],SIP[Investor ID],INVESTORS_LIST[[#This Row],[INVESTOR CODE]],SIP[B/S],"S"))</f>
        <v>0</v>
      </c>
      <c r="Q131" s="6">
        <f>IF(INVESTORS_LIST[[#This Row],[SIP_TOTAL CURRENT UNITS]]=0,0,INVESTORS_LIST[[#This Row],[SIP_TOTAL CURRENT UNITS]]*INVESTORS_LIST[[#This Row],[SIP_AVERAGE COST]])</f>
        <v>0</v>
      </c>
      <c r="R131" s="6">
        <f>IF(INVESTORS_LIST[[#This Row],[SIP_TOTAL UNITS SOLD]]=0,0,SUMIFS(SIP[Realized Gain],SIP[Investor ID],INVESTORS_LIST[[#This Row],[INVESTOR CODE]],SIP[B/S],"S"))</f>
        <v>0</v>
      </c>
      <c r="S131" s="33">
        <f>INVESTORS_LIST[[#This Row],[LS_TOTAL UNITS BUY]]+INVESTORS_LIST[[#This Row],[SIP_TOTAL UNITS BUY]]</f>
        <v>0</v>
      </c>
      <c r="T131" s="33">
        <f>INVESTORS_LIST[[#This Row],[LS_TOTAL UNITS SOLD]]+INVESTORS_LIST[[#This Row],[SIP_TOTAL UNITS SOLD]]</f>
        <v>0</v>
      </c>
      <c r="U131" s="33">
        <v>0</v>
      </c>
      <c r="V131" s="33">
        <f>SUMIFS(LS[BO UNIT TRANSFER],LS[Investor ID],INVESTORS_LIST[[#This Row],[INVESTOR CODE]],LS[B/S],"B")</f>
        <v>0</v>
      </c>
      <c r="W131" s="33">
        <f>SUMIFS(LS[BO UNIT TRANSFER],LS[Investor ID],INVESTORS_LIST[[#This Row],[INVESTOR CODE]],LS[B/S],"S")</f>
        <v>0</v>
      </c>
      <c r="X131" s="33">
        <f>SUMIFS(SIP[BO UNIT TRANSFER],SIP[Investor ID],INVESTORS_LIST[[#This Row],[INVESTOR CODE]],SIP[B/S],"S")</f>
        <v>0</v>
      </c>
      <c r="Y131" s="33">
        <f>SUMIFS(SIP[BO UNIT TRANSFER],SIP[Investor ID],INVESTORS_LIST[[#This Row],[INVESTOR CODE]],SIP[B/S],"B")</f>
        <v>0</v>
      </c>
      <c r="Z13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31" s="119">
        <f>INVESTORS_LIST[[#This Row],[TOTAL UNITS BUY]]-INVESTORS_LIST[[#This Row],[TOTAL UNITS SOLD]]</f>
        <v>0</v>
      </c>
      <c r="AB131" s="119">
        <f>INVESTORS_LIST[[#This Row],[TOTAL CURRENT UNITS]]-INVESTORS_LIST[[#This Row],[BO UNITS HOLD]]</f>
        <v>0</v>
      </c>
      <c r="AC131" s="119" t="e">
        <f>INDEX([4]!Table_1[BO ID],MATCH(INVESTORS_LIST[[#This Row],[INVESTOR CODE]],[4]!Table_1[INVESTOR CODE],0))</f>
        <v>#REF!</v>
      </c>
      <c r="AD131" s="33">
        <f>INVESTORS_LIST[[#This Row],[LS_TOTAL COST VALUE OF CURRENT UNITS]]+INVESTORS_LIST[[#This Row],[SIP_TOTAL COST VALUE OF CURRENT UNITS]]</f>
        <v>0</v>
      </c>
      <c r="AE131" s="44">
        <f>IF(INVESTORS_LIST[[#This Row],[TOTAL CURRENT UNITS]]=0,0,INVESTORS_LIST[[#This Row],[LS_TOTAL CURRENT UNITS]]/INVESTORS_LIST[[#This Row],[TOTAL CURRENT UNITS]])</f>
        <v>0</v>
      </c>
      <c r="AF131" s="44">
        <f>IF(INVESTORS_LIST[[#This Row],[TOTAL CURRENT UNITS]]=0,0,INVESTORS_LIST[[#This Row],[SIP_TOTAL CURRENT UNITS]]/INVESTORS_LIST[[#This Row],[TOTAL CURRENT UNITS]])</f>
        <v>0</v>
      </c>
      <c r="AG131" s="4" cm="1">
        <f t="array" ref="AG13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31" s="4" cm="1">
        <f t="array" ref="AH1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3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31" s="178">
        <f t="shared" si="2"/>
        <v>12.552</v>
      </c>
      <c r="AK131" s="118">
        <f>IF(INVESTORS_LIST[[#This Row],[TOTAL CURRENT UNITS]]=0,0,INVESTORS_LIST[[#This Row],[TOTAL CURRENT UNITS]]*INVESTORS_LIST[[#This Row],[NAV]])</f>
        <v>0</v>
      </c>
      <c r="AL131" s="4">
        <f>IF(INVESTORS_LIST[[#This Row],[LS_TOTAL CURRENT UNITS]]=0,0,INVESTORS_LIST[[#This Row],[LS_TOTAL CURRENT UNITS]]*INVESTORS_LIST[[#This Row],[NAV]])</f>
        <v>0</v>
      </c>
      <c r="AM131" s="6">
        <f>IF(INVESTORS_LIST[[#This Row],[SIP_TOTAL CURRENT UNITS]]=0,0,INVESTORS_LIST[[#This Row],[SIP_TOTAL CURRENT UNITS]]*INVESTORS_LIST[[#This Row],[NAV]])</f>
        <v>0</v>
      </c>
      <c r="AO131" s="6">
        <f>IF(INVESTORS_LIST[[#This Row],[TOTAL SELLABLE UNITS]]=0,0,INVESTORS_LIST[[#This Row],[TOTAL SELLABLE UNITS]]*INVESTORS_LIST[[#This Row],[NAV]])</f>
        <v>0</v>
      </c>
      <c r="AP131" s="6">
        <f>INVESTORS_LIST[[#This Row],[LS_TOTAL REALIZED GAIN]]+INVESTORS_LIST[[#This Row],[SIP_TOTAL REALIZED GAIN]]</f>
        <v>0</v>
      </c>
      <c r="AQ131" s="6">
        <f>INVESTORS_LIST[[#This Row],[TOTAL MARKET VALUE]]-INVESTORS_LIST[[#This Row],[TOTAL COST VALUE OF CURRENT INVESTMENT]]</f>
        <v>0</v>
      </c>
      <c r="AR131" s="6">
        <f>SUMIFS(DivAndTax[Tax Amount],DivAndTax[Investor ID],INVESTORS_LIST[[#This Row],[INVESTOR CODE]])</f>
        <v>0</v>
      </c>
      <c r="AS131" s="6">
        <f>SUMIFS(DivAndTax[Gross Dividend],DivAndTax[Investor ID],INVESTORS_LIST[[#This Row],[INVESTOR CODE]])</f>
        <v>0</v>
      </c>
      <c r="AT131" s="5">
        <f>IFERROR(INVESTORS_LIST[[#This Row],[TOTAL CURRENT UNITS]]/SUM(INVESTORS_LIST[TOTAL CURRENT UNITS]),0)</f>
        <v>0</v>
      </c>
    </row>
    <row r="132" spans="1:46" hidden="1">
      <c r="A132" t="s">
        <v>796</v>
      </c>
      <c r="B132" t="s">
        <v>165</v>
      </c>
      <c r="C132" t="s">
        <v>536</v>
      </c>
      <c r="D132" s="8" t="s">
        <v>2</v>
      </c>
      <c r="E132" s="2">
        <f>SUMIFS(LS[Unit],LS[Investor ID],INVESTORS_LIST[[#This Row],[INVESTOR CODE]],LS[B/S],"B")</f>
        <v>509386</v>
      </c>
      <c r="F132" s="2">
        <f>-SUMIFS(LS[Unit],LS[Investor ID],INVESTORS_LIST[[#This Row],[INVESTOR CODE]],LS[B/S],"S")</f>
        <v>509386</v>
      </c>
      <c r="G132" s="2">
        <f>IF(INVESTORS_LIST[[#This Row],[LS_TOTAL UNITS BUY]]=0,0,INVESTORS_LIST[[#This Row],[LS_TOTAL UNITS BUY]]-INVESTORS_LIST[[#This Row],[LS_TOTAL UNITS SOLD]])</f>
        <v>0</v>
      </c>
      <c r="H132" s="4">
        <f>IF(INVESTORS_LIST[[#This Row],[LS_TOTAL UNITS BUY]]=0,0,SUMIFS(LS[Amount],LS[Investor ID],INVESTORS_LIST[[#This Row],[INVESTOR CODE]],LS[B/S],"B"))</f>
        <v>5075000</v>
      </c>
      <c r="I132" s="6">
        <f>IF(INVESTORS_LIST[[#This Row],[LS_TOTAL UNITS SOLD]]=0,0,SUMIFS(LS[Cost of Units Sold],LS[Investor ID],INVESTORS_LIST[[#This Row],[INVESTOR CODE]],LS[B/S],"S"))</f>
        <v>5075000</v>
      </c>
      <c r="J132" s="6">
        <f>IF(INVESTORS_LIST[[#This Row],[LS_TOTAL CURRENT UNITS]]=0,0,INVESTORS_LIST[[#This Row],[LS_TOTAL CURRENT UNITS]]*INVESTORS_LIST[[#This Row],[LS_AVERAGE COST]])</f>
        <v>0</v>
      </c>
      <c r="K132" s="4">
        <f>IF(INVESTORS_LIST[[#This Row],[LS_TOTAL UNITS SOLD]]=0,0,SUMIFS(LS[Realized Gain],LS[Investor ID],INVESTORS_LIST[[#This Row],[INVESTOR CODE]],LS[B/S],"S"))</f>
        <v>32909.640000000443</v>
      </c>
      <c r="L132" s="2">
        <f>SUMIFS(SIP[Unit],SIP[Investor ID],INVESTORS_LIST[[#This Row],[INVESTOR CODE]],SIP[B/S],"B")</f>
        <v>0</v>
      </c>
      <c r="M132" s="2">
        <f>-SUMIFS(SIP[Unit],SIP[Investor ID],INVESTORS_LIST[[#This Row],[INVESTOR CODE]],SIP[B/S],"S")</f>
        <v>0</v>
      </c>
      <c r="N132" s="33">
        <f>IF(INVESTORS_LIST[[#This Row],[SIP_TOTAL UNITS BUY]]=0,0,INVESTORS_LIST[[#This Row],[SIP_TOTAL UNITS BUY]]-INVESTORS_LIST[[#This Row],[SIP_TOTAL UNITS SOLD]])</f>
        <v>0</v>
      </c>
      <c r="O132" s="4">
        <f>IF(INVESTORS_LIST[[#This Row],[SIP_TOTAL UNITS BUY]]=0,0,SUMIFS(SIP[Amount],SIP[Investor ID],INVESTORS_LIST[[#This Row],[INVESTOR CODE]],SIP[B/S],"B"))</f>
        <v>0</v>
      </c>
      <c r="P132" s="4">
        <f>IF(INVESTORS_LIST[[#This Row],[SIP_TOTAL UNITS SOLD]]=0,0,SUMIFS(SIP[Cost of Units Sold],SIP[Investor ID],INVESTORS_LIST[[#This Row],[INVESTOR CODE]],SIP[B/S],"S"))</f>
        <v>0</v>
      </c>
      <c r="Q132" s="6">
        <f>IF(INVESTORS_LIST[[#This Row],[SIP_TOTAL CURRENT UNITS]]=0,0,INVESTORS_LIST[[#This Row],[SIP_TOTAL CURRENT UNITS]]*INVESTORS_LIST[[#This Row],[SIP_AVERAGE COST]])</f>
        <v>0</v>
      </c>
      <c r="R132" s="6">
        <f>IF(INVESTORS_LIST[[#This Row],[SIP_TOTAL UNITS SOLD]]=0,0,SUMIFS(SIP[Realized Gain],SIP[Investor ID],INVESTORS_LIST[[#This Row],[INVESTOR CODE]],SIP[B/S],"S"))</f>
        <v>0</v>
      </c>
      <c r="S132" s="33">
        <f>INVESTORS_LIST[[#This Row],[LS_TOTAL UNITS BUY]]+INVESTORS_LIST[[#This Row],[SIP_TOTAL UNITS BUY]]</f>
        <v>509386</v>
      </c>
      <c r="T132" s="33">
        <f>INVESTORS_LIST[[#This Row],[LS_TOTAL UNITS SOLD]]+INVESTORS_LIST[[#This Row],[SIP_TOTAL UNITS SOLD]]</f>
        <v>509386</v>
      </c>
      <c r="U132" s="33">
        <v>240000</v>
      </c>
      <c r="V132" s="33">
        <f>SUMIFS(LS[BO UNIT TRANSFER],LS[Investor ID],INVESTORS_LIST[[#This Row],[INVESTOR CODE]],LS[B/S],"B")</f>
        <v>0</v>
      </c>
      <c r="W132" s="33">
        <f>SUMIFS(LS[BO UNIT TRANSFER],LS[Investor ID],INVESTORS_LIST[[#This Row],[INVESTOR CODE]],LS[B/S],"S")</f>
        <v>0</v>
      </c>
      <c r="X132" s="33">
        <f>SUMIFS(SIP[BO UNIT TRANSFER],SIP[Investor ID],INVESTORS_LIST[[#This Row],[INVESTOR CODE]],SIP[B/S],"S")</f>
        <v>0</v>
      </c>
      <c r="Y132" s="33">
        <f>SUMIFS(SIP[BO UNIT TRANSFER],SIP[Investor ID],INVESTORS_LIST[[#This Row],[INVESTOR CODE]],SIP[B/S],"B")</f>
        <v>0</v>
      </c>
      <c r="Z13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240000</v>
      </c>
      <c r="AA132" s="119">
        <f>INVESTORS_LIST[[#This Row],[TOTAL UNITS BUY]]-INVESTORS_LIST[[#This Row],[TOTAL UNITS SOLD]]</f>
        <v>0</v>
      </c>
      <c r="AB132" s="119">
        <f>INVESTORS_LIST[[#This Row],[TOTAL CURRENT UNITS]]-INVESTORS_LIST[[#This Row],[BO UNITS HOLD]]</f>
        <v>-240000</v>
      </c>
      <c r="AC132" s="119" t="e">
        <f>INDEX([4]!Table_1[BO ID],MATCH(INVESTORS_LIST[[#This Row],[INVESTOR CODE]],[4]!Table_1[INVESTOR CODE],0))</f>
        <v>#REF!</v>
      </c>
      <c r="AD132" s="33">
        <f>INVESTORS_LIST[[#This Row],[LS_TOTAL COST VALUE OF CURRENT UNITS]]+INVESTORS_LIST[[#This Row],[SIP_TOTAL COST VALUE OF CURRENT UNITS]]</f>
        <v>0</v>
      </c>
      <c r="AE132" s="44">
        <f>IF(INVESTORS_LIST[[#This Row],[TOTAL CURRENT UNITS]]=0,0,INVESTORS_LIST[[#This Row],[LS_TOTAL CURRENT UNITS]]/INVESTORS_LIST[[#This Row],[TOTAL CURRENT UNITS]])</f>
        <v>0</v>
      </c>
      <c r="AF132" s="44">
        <f>IF(INVESTORS_LIST[[#This Row],[TOTAL CURRENT UNITS]]=0,0,INVESTORS_LIST[[#This Row],[SIP_TOTAL CURRENT UNITS]]/INVESTORS_LIST[[#This Row],[TOTAL CURRENT UNITS]])</f>
        <v>0</v>
      </c>
      <c r="AG132" s="4" cm="1">
        <f t="array" ref="AG1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32" s="4" cm="1">
        <f t="array" ref="AH1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3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32" s="178">
        <f t="shared" si="2"/>
        <v>12.552</v>
      </c>
      <c r="AK132" s="118">
        <f>IF(INVESTORS_LIST[[#This Row],[TOTAL CURRENT UNITS]]=0,0,INVESTORS_LIST[[#This Row],[TOTAL CURRENT UNITS]]*INVESTORS_LIST[[#This Row],[NAV]])</f>
        <v>0</v>
      </c>
      <c r="AL132" s="4">
        <f>IF(INVESTORS_LIST[[#This Row],[LS_TOTAL CURRENT UNITS]]=0,0,INVESTORS_LIST[[#This Row],[LS_TOTAL CURRENT UNITS]]*INVESTORS_LIST[[#This Row],[NAV]])</f>
        <v>0</v>
      </c>
      <c r="AM132" s="6">
        <f>IF(INVESTORS_LIST[[#This Row],[SIP_TOTAL CURRENT UNITS]]=0,0,INVESTORS_LIST[[#This Row],[SIP_TOTAL CURRENT UNITS]]*INVESTORS_LIST[[#This Row],[NAV]])</f>
        <v>0</v>
      </c>
      <c r="AO132" s="6">
        <f>IF(INVESTORS_LIST[[#This Row],[TOTAL SELLABLE UNITS]]=0,0,INVESTORS_LIST[[#This Row],[TOTAL SELLABLE UNITS]]*INVESTORS_LIST[[#This Row],[NAV]])</f>
        <v>0</v>
      </c>
      <c r="AP132" s="6">
        <f>INVESTORS_LIST[[#This Row],[LS_TOTAL REALIZED GAIN]]+INVESTORS_LIST[[#This Row],[SIP_TOTAL REALIZED GAIN]]</f>
        <v>32909.640000000443</v>
      </c>
      <c r="AQ132" s="6">
        <f>INVESTORS_LIST[[#This Row],[TOTAL MARKET VALUE]]-INVESTORS_LIST[[#This Row],[TOTAL COST VALUE OF CURRENT INVESTMENT]]</f>
        <v>0</v>
      </c>
      <c r="AR132" s="6">
        <f>SUMIFS(DivAndTax[Tax Amount],DivAndTax[Investor ID],INVESTORS_LIST[[#This Row],[INVESTOR CODE]])</f>
        <v>0</v>
      </c>
      <c r="AS132" s="6">
        <f>SUMIFS(DivAndTax[Gross Dividend],DivAndTax[Investor ID],INVESTORS_LIST[[#This Row],[INVESTOR CODE]])</f>
        <v>0</v>
      </c>
      <c r="AT132" s="5">
        <f>IFERROR(INVESTORS_LIST[[#This Row],[TOTAL CURRENT UNITS]]/SUM(INVESTORS_LIST[TOTAL CURRENT UNITS]),0)</f>
        <v>0</v>
      </c>
    </row>
    <row r="133" spans="1:46" hidden="1">
      <c r="A133" t="s">
        <v>797</v>
      </c>
      <c r="B133" t="s">
        <v>166</v>
      </c>
      <c r="C133" t="s">
        <v>538</v>
      </c>
      <c r="D133" s="8" t="s">
        <v>2</v>
      </c>
      <c r="E133" s="2">
        <f>SUMIFS(LS[Unit],LS[Investor ID],INVESTORS_LIST[[#This Row],[INVESTOR CODE]],LS[B/S],"B")</f>
        <v>0</v>
      </c>
      <c r="F133" s="2">
        <f>-SUMIFS(LS[Unit],LS[Investor ID],INVESTORS_LIST[[#This Row],[INVESTOR CODE]],LS[B/S],"S")</f>
        <v>0</v>
      </c>
      <c r="G133" s="2">
        <f>IF(INVESTORS_LIST[[#This Row],[LS_TOTAL UNITS BUY]]=0,0,INVESTORS_LIST[[#This Row],[LS_TOTAL UNITS BUY]]-INVESTORS_LIST[[#This Row],[LS_TOTAL UNITS SOLD]])</f>
        <v>0</v>
      </c>
      <c r="H133" s="4">
        <f>IF(INVESTORS_LIST[[#This Row],[LS_TOTAL UNITS BUY]]=0,0,SUMIFS(LS[Amount],LS[Investor ID],INVESTORS_LIST[[#This Row],[INVESTOR CODE]],LS[B/S],"B"))</f>
        <v>0</v>
      </c>
      <c r="I133" s="6">
        <f>IF(INVESTORS_LIST[[#This Row],[LS_TOTAL UNITS SOLD]]=0,0,SUMIFS(LS[Cost of Units Sold],LS[Investor ID],INVESTORS_LIST[[#This Row],[INVESTOR CODE]],LS[B/S],"S"))</f>
        <v>0</v>
      </c>
      <c r="J133" s="6">
        <f>IF(INVESTORS_LIST[[#This Row],[LS_TOTAL CURRENT UNITS]]=0,0,INVESTORS_LIST[[#This Row],[LS_TOTAL CURRENT UNITS]]*INVESTORS_LIST[[#This Row],[LS_AVERAGE COST]])</f>
        <v>0</v>
      </c>
      <c r="K133" s="4">
        <f>IF(INVESTORS_LIST[[#This Row],[LS_TOTAL UNITS SOLD]]=0,0,SUMIFS(LS[Realized Gain],LS[Investor ID],INVESTORS_LIST[[#This Row],[INVESTOR CODE]],LS[B/S],"S"))</f>
        <v>0</v>
      </c>
      <c r="L133" s="2">
        <f>SUMIFS(SIP[Unit],SIP[Investor ID],INVESTORS_LIST[[#This Row],[INVESTOR CODE]],SIP[B/S],"B")</f>
        <v>0</v>
      </c>
      <c r="M133" s="2">
        <f>-SUMIFS(SIP[Unit],SIP[Investor ID],INVESTORS_LIST[[#This Row],[INVESTOR CODE]],SIP[B/S],"S")</f>
        <v>0</v>
      </c>
      <c r="N133" s="33">
        <f>IF(INVESTORS_LIST[[#This Row],[SIP_TOTAL UNITS BUY]]=0,0,INVESTORS_LIST[[#This Row],[SIP_TOTAL UNITS BUY]]-INVESTORS_LIST[[#This Row],[SIP_TOTAL UNITS SOLD]])</f>
        <v>0</v>
      </c>
      <c r="O133" s="4">
        <f>IF(INVESTORS_LIST[[#This Row],[SIP_TOTAL UNITS BUY]]=0,0,SUMIFS(SIP[Amount],SIP[Investor ID],INVESTORS_LIST[[#This Row],[INVESTOR CODE]],SIP[B/S],"B"))</f>
        <v>0</v>
      </c>
      <c r="P133" s="4">
        <f>IF(INVESTORS_LIST[[#This Row],[SIP_TOTAL UNITS SOLD]]=0,0,SUMIFS(SIP[Cost of Units Sold],SIP[Investor ID],INVESTORS_LIST[[#This Row],[INVESTOR CODE]],SIP[B/S],"S"))</f>
        <v>0</v>
      </c>
      <c r="Q133" s="6">
        <f>IF(INVESTORS_LIST[[#This Row],[SIP_TOTAL CURRENT UNITS]]=0,0,INVESTORS_LIST[[#This Row],[SIP_TOTAL CURRENT UNITS]]*INVESTORS_LIST[[#This Row],[SIP_AVERAGE COST]])</f>
        <v>0</v>
      </c>
      <c r="R133" s="6">
        <f>IF(INVESTORS_LIST[[#This Row],[SIP_TOTAL UNITS SOLD]]=0,0,SUMIFS(SIP[Realized Gain],SIP[Investor ID],INVESTORS_LIST[[#This Row],[INVESTOR CODE]],SIP[B/S],"S"))</f>
        <v>0</v>
      </c>
      <c r="S133" s="33">
        <f>INVESTORS_LIST[[#This Row],[LS_TOTAL UNITS BUY]]+INVESTORS_LIST[[#This Row],[SIP_TOTAL UNITS BUY]]</f>
        <v>0</v>
      </c>
      <c r="T133" s="33">
        <f>INVESTORS_LIST[[#This Row],[LS_TOTAL UNITS SOLD]]+INVESTORS_LIST[[#This Row],[SIP_TOTAL UNITS SOLD]]</f>
        <v>0</v>
      </c>
      <c r="U133" s="33">
        <v>0</v>
      </c>
      <c r="V133" s="33">
        <f>SUMIFS(LS[BO UNIT TRANSFER],LS[Investor ID],INVESTORS_LIST[[#This Row],[INVESTOR CODE]],LS[B/S],"B")</f>
        <v>0</v>
      </c>
      <c r="W133" s="33">
        <f>SUMIFS(LS[BO UNIT TRANSFER],LS[Investor ID],INVESTORS_LIST[[#This Row],[INVESTOR CODE]],LS[B/S],"S")</f>
        <v>0</v>
      </c>
      <c r="X133" s="33">
        <f>SUMIFS(SIP[BO UNIT TRANSFER],SIP[Investor ID],INVESTORS_LIST[[#This Row],[INVESTOR CODE]],SIP[B/S],"S")</f>
        <v>0</v>
      </c>
      <c r="Y133" s="33">
        <f>SUMIFS(SIP[BO UNIT TRANSFER],SIP[Investor ID],INVESTORS_LIST[[#This Row],[INVESTOR CODE]],SIP[B/S],"B")</f>
        <v>0</v>
      </c>
      <c r="Z13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33" s="119">
        <f>INVESTORS_LIST[[#This Row],[TOTAL UNITS BUY]]-INVESTORS_LIST[[#This Row],[TOTAL UNITS SOLD]]</f>
        <v>0</v>
      </c>
      <c r="AB133" s="119">
        <f>INVESTORS_LIST[[#This Row],[TOTAL CURRENT UNITS]]-INVESTORS_LIST[[#This Row],[BO UNITS HOLD]]</f>
        <v>0</v>
      </c>
      <c r="AC133" s="119" t="e">
        <f>INDEX([4]!Table_1[BO ID],MATCH(INVESTORS_LIST[[#This Row],[INVESTOR CODE]],[4]!Table_1[INVESTOR CODE],0))</f>
        <v>#REF!</v>
      </c>
      <c r="AD133" s="33">
        <f>INVESTORS_LIST[[#This Row],[LS_TOTAL COST VALUE OF CURRENT UNITS]]+INVESTORS_LIST[[#This Row],[SIP_TOTAL COST VALUE OF CURRENT UNITS]]</f>
        <v>0</v>
      </c>
      <c r="AE133" s="44">
        <f>IF(INVESTORS_LIST[[#This Row],[TOTAL CURRENT UNITS]]=0,0,INVESTORS_LIST[[#This Row],[LS_TOTAL CURRENT UNITS]]/INVESTORS_LIST[[#This Row],[TOTAL CURRENT UNITS]])</f>
        <v>0</v>
      </c>
      <c r="AF133" s="44">
        <f>IF(INVESTORS_LIST[[#This Row],[TOTAL CURRENT UNITS]]=0,0,INVESTORS_LIST[[#This Row],[SIP_TOTAL CURRENT UNITS]]/INVESTORS_LIST[[#This Row],[TOTAL CURRENT UNITS]])</f>
        <v>0</v>
      </c>
      <c r="AG133" s="4" cm="1">
        <f t="array" ref="AG1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33" s="4" cm="1">
        <f t="array" ref="AH1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3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33" s="178">
        <f t="shared" si="2"/>
        <v>12.552</v>
      </c>
      <c r="AK133" s="118">
        <f>IF(INVESTORS_LIST[[#This Row],[TOTAL CURRENT UNITS]]=0,0,INVESTORS_LIST[[#This Row],[TOTAL CURRENT UNITS]]*INVESTORS_LIST[[#This Row],[NAV]])</f>
        <v>0</v>
      </c>
      <c r="AL133" s="4">
        <f>IF(INVESTORS_LIST[[#This Row],[LS_TOTAL CURRENT UNITS]]=0,0,INVESTORS_LIST[[#This Row],[LS_TOTAL CURRENT UNITS]]*INVESTORS_LIST[[#This Row],[NAV]])</f>
        <v>0</v>
      </c>
      <c r="AM133" s="6">
        <f>IF(INVESTORS_LIST[[#This Row],[SIP_TOTAL CURRENT UNITS]]=0,0,INVESTORS_LIST[[#This Row],[SIP_TOTAL CURRENT UNITS]]*INVESTORS_LIST[[#This Row],[NAV]])</f>
        <v>0</v>
      </c>
      <c r="AO133" s="6">
        <f>IF(INVESTORS_LIST[[#This Row],[TOTAL SELLABLE UNITS]]=0,0,INVESTORS_LIST[[#This Row],[TOTAL SELLABLE UNITS]]*INVESTORS_LIST[[#This Row],[NAV]])</f>
        <v>0</v>
      </c>
      <c r="AP133" s="6">
        <f>INVESTORS_LIST[[#This Row],[LS_TOTAL REALIZED GAIN]]+INVESTORS_LIST[[#This Row],[SIP_TOTAL REALIZED GAIN]]</f>
        <v>0</v>
      </c>
      <c r="AQ133" s="6">
        <f>INVESTORS_LIST[[#This Row],[TOTAL MARKET VALUE]]-INVESTORS_LIST[[#This Row],[TOTAL COST VALUE OF CURRENT INVESTMENT]]</f>
        <v>0</v>
      </c>
      <c r="AR133" s="6">
        <f>SUMIFS(DivAndTax[Tax Amount],DivAndTax[Investor ID],INVESTORS_LIST[[#This Row],[INVESTOR CODE]])</f>
        <v>0</v>
      </c>
      <c r="AS133" s="6">
        <f>SUMIFS(DivAndTax[Gross Dividend],DivAndTax[Investor ID],INVESTORS_LIST[[#This Row],[INVESTOR CODE]])</f>
        <v>0</v>
      </c>
      <c r="AT133" s="5">
        <f>IFERROR(INVESTORS_LIST[[#This Row],[TOTAL CURRENT UNITS]]/SUM(INVESTORS_LIST[TOTAL CURRENT UNITS]),0)</f>
        <v>0</v>
      </c>
    </row>
    <row r="134" spans="1:46" hidden="1">
      <c r="A134" t="s">
        <v>798</v>
      </c>
      <c r="B134" t="s">
        <v>167</v>
      </c>
      <c r="C134" t="s">
        <v>536</v>
      </c>
      <c r="D134" s="8" t="s">
        <v>2</v>
      </c>
      <c r="E134" s="2">
        <f>SUMIFS(LS[Unit],LS[Investor ID],INVESTORS_LIST[[#This Row],[INVESTOR CODE]],LS[B/S],"B")</f>
        <v>0</v>
      </c>
      <c r="F134" s="2">
        <f>-SUMIFS(LS[Unit],LS[Investor ID],INVESTORS_LIST[[#This Row],[INVESTOR CODE]],LS[B/S],"S")</f>
        <v>0</v>
      </c>
      <c r="G134" s="2">
        <f>IF(INVESTORS_LIST[[#This Row],[LS_TOTAL UNITS BUY]]=0,0,INVESTORS_LIST[[#This Row],[LS_TOTAL UNITS BUY]]-INVESTORS_LIST[[#This Row],[LS_TOTAL UNITS SOLD]])</f>
        <v>0</v>
      </c>
      <c r="H134" s="4">
        <f>IF(INVESTORS_LIST[[#This Row],[LS_TOTAL UNITS BUY]]=0,0,SUMIFS(LS[Amount],LS[Investor ID],INVESTORS_LIST[[#This Row],[INVESTOR CODE]],LS[B/S],"B"))</f>
        <v>0</v>
      </c>
      <c r="I134" s="6">
        <f>IF(INVESTORS_LIST[[#This Row],[LS_TOTAL UNITS SOLD]]=0,0,SUMIFS(LS[Cost of Units Sold],LS[Investor ID],INVESTORS_LIST[[#This Row],[INVESTOR CODE]],LS[B/S],"S"))</f>
        <v>0</v>
      </c>
      <c r="J134" s="6">
        <f>IF(INVESTORS_LIST[[#This Row],[LS_TOTAL CURRENT UNITS]]=0,0,INVESTORS_LIST[[#This Row],[LS_TOTAL CURRENT UNITS]]*INVESTORS_LIST[[#This Row],[LS_AVERAGE COST]])</f>
        <v>0</v>
      </c>
      <c r="K134" s="4">
        <f>IF(INVESTORS_LIST[[#This Row],[LS_TOTAL UNITS SOLD]]=0,0,SUMIFS(LS[Realized Gain],LS[Investor ID],INVESTORS_LIST[[#This Row],[INVESTOR CODE]],LS[B/S],"S"))</f>
        <v>0</v>
      </c>
      <c r="L134" s="2">
        <f>SUMIFS(SIP[Unit],SIP[Investor ID],INVESTORS_LIST[[#This Row],[INVESTOR CODE]],SIP[B/S],"B")</f>
        <v>0</v>
      </c>
      <c r="M134" s="2">
        <f>-SUMIFS(SIP[Unit],SIP[Investor ID],INVESTORS_LIST[[#This Row],[INVESTOR CODE]],SIP[B/S],"S")</f>
        <v>0</v>
      </c>
      <c r="N134" s="33">
        <f>IF(INVESTORS_LIST[[#This Row],[SIP_TOTAL UNITS BUY]]=0,0,INVESTORS_LIST[[#This Row],[SIP_TOTAL UNITS BUY]]-INVESTORS_LIST[[#This Row],[SIP_TOTAL UNITS SOLD]])</f>
        <v>0</v>
      </c>
      <c r="O134" s="4">
        <f>IF(INVESTORS_LIST[[#This Row],[SIP_TOTAL UNITS BUY]]=0,0,SUMIFS(SIP[Amount],SIP[Investor ID],INVESTORS_LIST[[#This Row],[INVESTOR CODE]],SIP[B/S],"B"))</f>
        <v>0</v>
      </c>
      <c r="P134" s="4">
        <f>IF(INVESTORS_LIST[[#This Row],[SIP_TOTAL UNITS SOLD]]=0,0,SUMIFS(SIP[Cost of Units Sold],SIP[Investor ID],INVESTORS_LIST[[#This Row],[INVESTOR CODE]],SIP[B/S],"S"))</f>
        <v>0</v>
      </c>
      <c r="Q134" s="6">
        <f>IF(INVESTORS_LIST[[#This Row],[SIP_TOTAL CURRENT UNITS]]=0,0,INVESTORS_LIST[[#This Row],[SIP_TOTAL CURRENT UNITS]]*INVESTORS_LIST[[#This Row],[SIP_AVERAGE COST]])</f>
        <v>0</v>
      </c>
      <c r="R134" s="6">
        <f>IF(INVESTORS_LIST[[#This Row],[SIP_TOTAL UNITS SOLD]]=0,0,SUMIFS(SIP[Realized Gain],SIP[Investor ID],INVESTORS_LIST[[#This Row],[INVESTOR CODE]],SIP[B/S],"S"))</f>
        <v>0</v>
      </c>
      <c r="S134" s="33">
        <f>INVESTORS_LIST[[#This Row],[LS_TOTAL UNITS BUY]]+INVESTORS_LIST[[#This Row],[SIP_TOTAL UNITS BUY]]</f>
        <v>0</v>
      </c>
      <c r="T134" s="33">
        <f>INVESTORS_LIST[[#This Row],[LS_TOTAL UNITS SOLD]]+INVESTORS_LIST[[#This Row],[SIP_TOTAL UNITS SOLD]]</f>
        <v>0</v>
      </c>
      <c r="U134" s="33">
        <v>0</v>
      </c>
      <c r="V134" s="33">
        <f>SUMIFS(LS[BO UNIT TRANSFER],LS[Investor ID],INVESTORS_LIST[[#This Row],[INVESTOR CODE]],LS[B/S],"B")</f>
        <v>0</v>
      </c>
      <c r="W134" s="33">
        <f>SUMIFS(LS[BO UNIT TRANSFER],LS[Investor ID],INVESTORS_LIST[[#This Row],[INVESTOR CODE]],LS[B/S],"S")</f>
        <v>0</v>
      </c>
      <c r="X134" s="33">
        <f>SUMIFS(SIP[BO UNIT TRANSFER],SIP[Investor ID],INVESTORS_LIST[[#This Row],[INVESTOR CODE]],SIP[B/S],"S")</f>
        <v>0</v>
      </c>
      <c r="Y134" s="33">
        <f>SUMIFS(SIP[BO UNIT TRANSFER],SIP[Investor ID],INVESTORS_LIST[[#This Row],[INVESTOR CODE]],SIP[B/S],"B")</f>
        <v>0</v>
      </c>
      <c r="Z13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34" s="119">
        <f>INVESTORS_LIST[[#This Row],[TOTAL UNITS BUY]]-INVESTORS_LIST[[#This Row],[TOTAL UNITS SOLD]]</f>
        <v>0</v>
      </c>
      <c r="AB134" s="119">
        <f>INVESTORS_LIST[[#This Row],[TOTAL CURRENT UNITS]]-INVESTORS_LIST[[#This Row],[BO UNITS HOLD]]</f>
        <v>0</v>
      </c>
      <c r="AC134" s="119" t="e">
        <f>INDEX([4]!Table_1[BO ID],MATCH(INVESTORS_LIST[[#This Row],[INVESTOR CODE]],[4]!Table_1[INVESTOR CODE],0))</f>
        <v>#REF!</v>
      </c>
      <c r="AD134" s="33">
        <f>INVESTORS_LIST[[#This Row],[LS_TOTAL COST VALUE OF CURRENT UNITS]]+INVESTORS_LIST[[#This Row],[SIP_TOTAL COST VALUE OF CURRENT UNITS]]</f>
        <v>0</v>
      </c>
      <c r="AE134" s="44">
        <f>IF(INVESTORS_LIST[[#This Row],[TOTAL CURRENT UNITS]]=0,0,INVESTORS_LIST[[#This Row],[LS_TOTAL CURRENT UNITS]]/INVESTORS_LIST[[#This Row],[TOTAL CURRENT UNITS]])</f>
        <v>0</v>
      </c>
      <c r="AF134" s="44">
        <f>IF(INVESTORS_LIST[[#This Row],[TOTAL CURRENT UNITS]]=0,0,INVESTORS_LIST[[#This Row],[SIP_TOTAL CURRENT UNITS]]/INVESTORS_LIST[[#This Row],[TOTAL CURRENT UNITS]])</f>
        <v>0</v>
      </c>
      <c r="AG134" s="4" cm="1">
        <f t="array" ref="AG13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34" s="4" cm="1">
        <f t="array" ref="AH1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3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34" s="178">
        <f t="shared" si="2"/>
        <v>12.552</v>
      </c>
      <c r="AK134" s="118">
        <f>IF(INVESTORS_LIST[[#This Row],[TOTAL CURRENT UNITS]]=0,0,INVESTORS_LIST[[#This Row],[TOTAL CURRENT UNITS]]*INVESTORS_LIST[[#This Row],[NAV]])</f>
        <v>0</v>
      </c>
      <c r="AL134" s="4">
        <f>IF(INVESTORS_LIST[[#This Row],[LS_TOTAL CURRENT UNITS]]=0,0,INVESTORS_LIST[[#This Row],[LS_TOTAL CURRENT UNITS]]*INVESTORS_LIST[[#This Row],[NAV]])</f>
        <v>0</v>
      </c>
      <c r="AM134" s="6">
        <f>IF(INVESTORS_LIST[[#This Row],[SIP_TOTAL CURRENT UNITS]]=0,0,INVESTORS_LIST[[#This Row],[SIP_TOTAL CURRENT UNITS]]*INVESTORS_LIST[[#This Row],[NAV]])</f>
        <v>0</v>
      </c>
      <c r="AO134" s="6">
        <f>IF(INVESTORS_LIST[[#This Row],[TOTAL SELLABLE UNITS]]=0,0,INVESTORS_LIST[[#This Row],[TOTAL SELLABLE UNITS]]*INVESTORS_LIST[[#This Row],[NAV]])</f>
        <v>0</v>
      </c>
      <c r="AP134" s="6">
        <f>INVESTORS_LIST[[#This Row],[LS_TOTAL REALIZED GAIN]]+INVESTORS_LIST[[#This Row],[SIP_TOTAL REALIZED GAIN]]</f>
        <v>0</v>
      </c>
      <c r="AQ134" s="6">
        <f>INVESTORS_LIST[[#This Row],[TOTAL MARKET VALUE]]-INVESTORS_LIST[[#This Row],[TOTAL COST VALUE OF CURRENT INVESTMENT]]</f>
        <v>0</v>
      </c>
      <c r="AR134" s="6">
        <f>SUMIFS(DivAndTax[Tax Amount],DivAndTax[Investor ID],INVESTORS_LIST[[#This Row],[INVESTOR CODE]])</f>
        <v>0</v>
      </c>
      <c r="AS134" s="6">
        <f>SUMIFS(DivAndTax[Gross Dividend],DivAndTax[Investor ID],INVESTORS_LIST[[#This Row],[INVESTOR CODE]])</f>
        <v>0</v>
      </c>
      <c r="AT134" s="5">
        <f>IFERROR(INVESTORS_LIST[[#This Row],[TOTAL CURRENT UNITS]]/SUM(INVESTORS_LIST[TOTAL CURRENT UNITS]),0)</f>
        <v>0</v>
      </c>
    </row>
    <row r="135" spans="1:46" hidden="1">
      <c r="A135" t="s">
        <v>799</v>
      </c>
      <c r="B135" t="s">
        <v>168</v>
      </c>
      <c r="C135" t="s">
        <v>536</v>
      </c>
      <c r="D135" s="8" t="s">
        <v>2</v>
      </c>
      <c r="E135" s="2">
        <f>SUMIFS(LS[Unit],LS[Investor ID],INVESTORS_LIST[[#This Row],[INVESTOR CODE]],LS[B/S],"B")</f>
        <v>0</v>
      </c>
      <c r="F135" s="2">
        <f>-SUMIFS(LS[Unit],LS[Investor ID],INVESTORS_LIST[[#This Row],[INVESTOR CODE]],LS[B/S],"S")</f>
        <v>0</v>
      </c>
      <c r="G135" s="2">
        <f>IF(INVESTORS_LIST[[#This Row],[LS_TOTAL UNITS BUY]]=0,0,INVESTORS_LIST[[#This Row],[LS_TOTAL UNITS BUY]]-INVESTORS_LIST[[#This Row],[LS_TOTAL UNITS SOLD]])</f>
        <v>0</v>
      </c>
      <c r="H135" s="4">
        <f>IF(INVESTORS_LIST[[#This Row],[LS_TOTAL UNITS BUY]]=0,0,SUMIFS(LS[Amount],LS[Investor ID],INVESTORS_LIST[[#This Row],[INVESTOR CODE]],LS[B/S],"B"))</f>
        <v>0</v>
      </c>
      <c r="I135" s="6">
        <f>IF(INVESTORS_LIST[[#This Row],[LS_TOTAL UNITS SOLD]]=0,0,SUMIFS(LS[Cost of Units Sold],LS[Investor ID],INVESTORS_LIST[[#This Row],[INVESTOR CODE]],LS[B/S],"S"))</f>
        <v>0</v>
      </c>
      <c r="J135" s="6">
        <f>IF(INVESTORS_LIST[[#This Row],[LS_TOTAL CURRENT UNITS]]=0,0,INVESTORS_LIST[[#This Row],[LS_TOTAL CURRENT UNITS]]*INVESTORS_LIST[[#This Row],[LS_AVERAGE COST]])</f>
        <v>0</v>
      </c>
      <c r="K135" s="4">
        <f>IF(INVESTORS_LIST[[#This Row],[LS_TOTAL UNITS SOLD]]=0,0,SUMIFS(LS[Realized Gain],LS[Investor ID],INVESTORS_LIST[[#This Row],[INVESTOR CODE]],LS[B/S],"S"))</f>
        <v>0</v>
      </c>
      <c r="L135" s="2">
        <f>SUMIFS(SIP[Unit],SIP[Investor ID],INVESTORS_LIST[[#This Row],[INVESTOR CODE]],SIP[B/S],"B")</f>
        <v>0</v>
      </c>
      <c r="M135" s="2">
        <f>-SUMIFS(SIP[Unit],SIP[Investor ID],INVESTORS_LIST[[#This Row],[INVESTOR CODE]],SIP[B/S],"S")</f>
        <v>0</v>
      </c>
      <c r="N135" s="33">
        <f>IF(INVESTORS_LIST[[#This Row],[SIP_TOTAL UNITS BUY]]=0,0,INVESTORS_LIST[[#This Row],[SIP_TOTAL UNITS BUY]]-INVESTORS_LIST[[#This Row],[SIP_TOTAL UNITS SOLD]])</f>
        <v>0</v>
      </c>
      <c r="O135" s="4">
        <f>IF(INVESTORS_LIST[[#This Row],[SIP_TOTAL UNITS BUY]]=0,0,SUMIFS(SIP[Amount],SIP[Investor ID],INVESTORS_LIST[[#This Row],[INVESTOR CODE]],SIP[B/S],"B"))</f>
        <v>0</v>
      </c>
      <c r="P135" s="4">
        <f>IF(INVESTORS_LIST[[#This Row],[SIP_TOTAL UNITS SOLD]]=0,0,SUMIFS(SIP[Cost of Units Sold],SIP[Investor ID],INVESTORS_LIST[[#This Row],[INVESTOR CODE]],SIP[B/S],"S"))</f>
        <v>0</v>
      </c>
      <c r="Q135" s="6">
        <f>IF(INVESTORS_LIST[[#This Row],[SIP_TOTAL CURRENT UNITS]]=0,0,INVESTORS_LIST[[#This Row],[SIP_TOTAL CURRENT UNITS]]*INVESTORS_LIST[[#This Row],[SIP_AVERAGE COST]])</f>
        <v>0</v>
      </c>
      <c r="R135" s="6">
        <f>IF(INVESTORS_LIST[[#This Row],[SIP_TOTAL UNITS SOLD]]=0,0,SUMIFS(SIP[Realized Gain],SIP[Investor ID],INVESTORS_LIST[[#This Row],[INVESTOR CODE]],SIP[B/S],"S"))</f>
        <v>0</v>
      </c>
      <c r="S135" s="33">
        <f>INVESTORS_LIST[[#This Row],[LS_TOTAL UNITS BUY]]+INVESTORS_LIST[[#This Row],[SIP_TOTAL UNITS BUY]]</f>
        <v>0</v>
      </c>
      <c r="T135" s="33">
        <f>INVESTORS_LIST[[#This Row],[LS_TOTAL UNITS SOLD]]+INVESTORS_LIST[[#This Row],[SIP_TOTAL UNITS SOLD]]</f>
        <v>0</v>
      </c>
      <c r="U135" s="33">
        <v>0</v>
      </c>
      <c r="V135" s="33">
        <f>SUMIFS(LS[BO UNIT TRANSFER],LS[Investor ID],INVESTORS_LIST[[#This Row],[INVESTOR CODE]],LS[B/S],"B")</f>
        <v>0</v>
      </c>
      <c r="W135" s="33">
        <f>SUMIFS(LS[BO UNIT TRANSFER],LS[Investor ID],INVESTORS_LIST[[#This Row],[INVESTOR CODE]],LS[B/S],"S")</f>
        <v>0</v>
      </c>
      <c r="X135" s="33">
        <f>SUMIFS(SIP[BO UNIT TRANSFER],SIP[Investor ID],INVESTORS_LIST[[#This Row],[INVESTOR CODE]],SIP[B/S],"S")</f>
        <v>0</v>
      </c>
      <c r="Y135" s="33">
        <f>SUMIFS(SIP[BO UNIT TRANSFER],SIP[Investor ID],INVESTORS_LIST[[#This Row],[INVESTOR CODE]],SIP[B/S],"B")</f>
        <v>0</v>
      </c>
      <c r="Z13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35" s="119">
        <f>INVESTORS_LIST[[#This Row],[TOTAL UNITS BUY]]-INVESTORS_LIST[[#This Row],[TOTAL UNITS SOLD]]</f>
        <v>0</v>
      </c>
      <c r="AB135" s="119">
        <f>INVESTORS_LIST[[#This Row],[TOTAL CURRENT UNITS]]-INVESTORS_LIST[[#This Row],[BO UNITS HOLD]]</f>
        <v>0</v>
      </c>
      <c r="AC135" s="119" t="e">
        <f>INDEX([4]!Table_1[BO ID],MATCH(INVESTORS_LIST[[#This Row],[INVESTOR CODE]],[4]!Table_1[INVESTOR CODE],0))</f>
        <v>#REF!</v>
      </c>
      <c r="AD135" s="33">
        <f>INVESTORS_LIST[[#This Row],[LS_TOTAL COST VALUE OF CURRENT UNITS]]+INVESTORS_LIST[[#This Row],[SIP_TOTAL COST VALUE OF CURRENT UNITS]]</f>
        <v>0</v>
      </c>
      <c r="AE135" s="44">
        <f>IF(INVESTORS_LIST[[#This Row],[TOTAL CURRENT UNITS]]=0,0,INVESTORS_LIST[[#This Row],[LS_TOTAL CURRENT UNITS]]/INVESTORS_LIST[[#This Row],[TOTAL CURRENT UNITS]])</f>
        <v>0</v>
      </c>
      <c r="AF135" s="44">
        <f>IF(INVESTORS_LIST[[#This Row],[TOTAL CURRENT UNITS]]=0,0,INVESTORS_LIST[[#This Row],[SIP_TOTAL CURRENT UNITS]]/INVESTORS_LIST[[#This Row],[TOTAL CURRENT UNITS]])</f>
        <v>0</v>
      </c>
      <c r="AG135" s="4" cm="1">
        <f t="array" ref="AG1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35" s="4" cm="1">
        <f t="array" ref="AH1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3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35" s="178">
        <f t="shared" si="2"/>
        <v>12.552</v>
      </c>
      <c r="AK135" s="118">
        <f>IF(INVESTORS_LIST[[#This Row],[TOTAL CURRENT UNITS]]=0,0,INVESTORS_LIST[[#This Row],[TOTAL CURRENT UNITS]]*INVESTORS_LIST[[#This Row],[NAV]])</f>
        <v>0</v>
      </c>
      <c r="AL135" s="4">
        <f>IF(INVESTORS_LIST[[#This Row],[LS_TOTAL CURRENT UNITS]]=0,0,INVESTORS_LIST[[#This Row],[LS_TOTAL CURRENT UNITS]]*INVESTORS_LIST[[#This Row],[NAV]])</f>
        <v>0</v>
      </c>
      <c r="AM135" s="6">
        <f>IF(INVESTORS_LIST[[#This Row],[SIP_TOTAL CURRENT UNITS]]=0,0,INVESTORS_LIST[[#This Row],[SIP_TOTAL CURRENT UNITS]]*INVESTORS_LIST[[#This Row],[NAV]])</f>
        <v>0</v>
      </c>
      <c r="AO135" s="6">
        <f>IF(INVESTORS_LIST[[#This Row],[TOTAL SELLABLE UNITS]]=0,0,INVESTORS_LIST[[#This Row],[TOTAL SELLABLE UNITS]]*INVESTORS_LIST[[#This Row],[NAV]])</f>
        <v>0</v>
      </c>
      <c r="AP135" s="6">
        <f>INVESTORS_LIST[[#This Row],[LS_TOTAL REALIZED GAIN]]+INVESTORS_LIST[[#This Row],[SIP_TOTAL REALIZED GAIN]]</f>
        <v>0</v>
      </c>
      <c r="AQ135" s="6">
        <f>INVESTORS_LIST[[#This Row],[TOTAL MARKET VALUE]]-INVESTORS_LIST[[#This Row],[TOTAL COST VALUE OF CURRENT INVESTMENT]]</f>
        <v>0</v>
      </c>
      <c r="AR135" s="6">
        <f>SUMIFS(DivAndTax[Tax Amount],DivAndTax[Investor ID],INVESTORS_LIST[[#This Row],[INVESTOR CODE]])</f>
        <v>0</v>
      </c>
      <c r="AS135" s="6">
        <f>SUMIFS(DivAndTax[Gross Dividend],DivAndTax[Investor ID],INVESTORS_LIST[[#This Row],[INVESTOR CODE]])</f>
        <v>0</v>
      </c>
      <c r="AT135" s="5">
        <f>IFERROR(INVESTORS_LIST[[#This Row],[TOTAL CURRENT UNITS]]/SUM(INVESTORS_LIST[TOTAL CURRENT UNITS]),0)</f>
        <v>0</v>
      </c>
    </row>
    <row r="136" spans="1:46" hidden="1">
      <c r="A136" t="s">
        <v>800</v>
      </c>
      <c r="B136" t="s">
        <v>169</v>
      </c>
      <c r="C136" t="s">
        <v>536</v>
      </c>
      <c r="D136" s="8" t="s">
        <v>2</v>
      </c>
      <c r="E136" s="2">
        <f>SUMIFS(LS[Unit],LS[Investor ID],INVESTORS_LIST[[#This Row],[INVESTOR CODE]],LS[B/S],"B")</f>
        <v>6110</v>
      </c>
      <c r="F136" s="2">
        <f>-SUMIFS(LS[Unit],LS[Investor ID],INVESTORS_LIST[[#This Row],[INVESTOR CODE]],LS[B/S],"S")</f>
        <v>6110</v>
      </c>
      <c r="G136" s="2">
        <f>IF(INVESTORS_LIST[[#This Row],[LS_TOTAL UNITS BUY]]=0,0,INVESTORS_LIST[[#This Row],[LS_TOTAL UNITS BUY]]-INVESTORS_LIST[[#This Row],[LS_TOTAL UNITS SOLD]])</f>
        <v>0</v>
      </c>
      <c r="H136" s="4">
        <f>IF(INVESTORS_LIST[[#This Row],[LS_TOTAL UNITS BUY]]=0,0,SUMIFS(LS[Amount],LS[Investor ID],INVESTORS_LIST[[#This Row],[INVESTOR CODE]],LS[B/S],"B"))</f>
        <v>60000</v>
      </c>
      <c r="I136" s="6">
        <f>IF(INVESTORS_LIST[[#This Row],[LS_TOTAL UNITS SOLD]]=0,0,SUMIFS(LS[Cost of Units Sold],LS[Investor ID],INVESTORS_LIST[[#This Row],[INVESTOR CODE]],LS[B/S],"S"))</f>
        <v>59999.999999999993</v>
      </c>
      <c r="J136" s="6">
        <f>IF(INVESTORS_LIST[[#This Row],[LS_TOTAL CURRENT UNITS]]=0,0,INVESTORS_LIST[[#This Row],[LS_TOTAL CURRENT UNITS]]*INVESTORS_LIST[[#This Row],[LS_AVERAGE COST]])</f>
        <v>0</v>
      </c>
      <c r="K136" s="4">
        <f>IF(INVESTORS_LIST[[#This Row],[LS_TOTAL UNITS SOLD]]=0,0,SUMIFS(LS[Realized Gain],LS[Investor ID],INVESTORS_LIST[[#This Row],[INVESTOR CODE]],LS[B/S],"S"))</f>
        <v>-183.09999999998996</v>
      </c>
      <c r="L136" s="2">
        <f>SUMIFS(SIP[Unit],SIP[Investor ID],INVESTORS_LIST[[#This Row],[INVESTOR CODE]],SIP[B/S],"B")</f>
        <v>0</v>
      </c>
      <c r="M136" s="2">
        <f>-SUMIFS(SIP[Unit],SIP[Investor ID],INVESTORS_LIST[[#This Row],[INVESTOR CODE]],SIP[B/S],"S")</f>
        <v>0</v>
      </c>
      <c r="N136" s="33">
        <f>IF(INVESTORS_LIST[[#This Row],[SIP_TOTAL UNITS BUY]]=0,0,INVESTORS_LIST[[#This Row],[SIP_TOTAL UNITS BUY]]-INVESTORS_LIST[[#This Row],[SIP_TOTAL UNITS SOLD]])</f>
        <v>0</v>
      </c>
      <c r="O136" s="4">
        <f>IF(INVESTORS_LIST[[#This Row],[SIP_TOTAL UNITS BUY]]=0,0,SUMIFS(SIP[Amount],SIP[Investor ID],INVESTORS_LIST[[#This Row],[INVESTOR CODE]],SIP[B/S],"B"))</f>
        <v>0</v>
      </c>
      <c r="P136" s="4">
        <f>IF(INVESTORS_LIST[[#This Row],[SIP_TOTAL UNITS SOLD]]=0,0,SUMIFS(SIP[Cost of Units Sold],SIP[Investor ID],INVESTORS_LIST[[#This Row],[INVESTOR CODE]],SIP[B/S],"S"))</f>
        <v>0</v>
      </c>
      <c r="Q136" s="6">
        <f>IF(INVESTORS_LIST[[#This Row],[SIP_TOTAL CURRENT UNITS]]=0,0,INVESTORS_LIST[[#This Row],[SIP_TOTAL CURRENT UNITS]]*INVESTORS_LIST[[#This Row],[SIP_AVERAGE COST]])</f>
        <v>0</v>
      </c>
      <c r="R136" s="6">
        <f>IF(INVESTORS_LIST[[#This Row],[SIP_TOTAL UNITS SOLD]]=0,0,SUMIFS(SIP[Realized Gain],SIP[Investor ID],INVESTORS_LIST[[#This Row],[INVESTOR CODE]],SIP[B/S],"S"))</f>
        <v>0</v>
      </c>
      <c r="S136" s="33">
        <f>INVESTORS_LIST[[#This Row],[LS_TOTAL UNITS BUY]]+INVESTORS_LIST[[#This Row],[SIP_TOTAL UNITS BUY]]</f>
        <v>6110</v>
      </c>
      <c r="T136" s="33">
        <f>INVESTORS_LIST[[#This Row],[LS_TOTAL UNITS SOLD]]+INVESTORS_LIST[[#This Row],[SIP_TOTAL UNITS SOLD]]</f>
        <v>6110</v>
      </c>
      <c r="U136" s="33">
        <v>0</v>
      </c>
      <c r="V136" s="33">
        <f>SUMIFS(LS[BO UNIT TRANSFER],LS[Investor ID],INVESTORS_LIST[[#This Row],[INVESTOR CODE]],LS[B/S],"B")</f>
        <v>0</v>
      </c>
      <c r="W136" s="33">
        <f>SUMIFS(LS[BO UNIT TRANSFER],LS[Investor ID],INVESTORS_LIST[[#This Row],[INVESTOR CODE]],LS[B/S],"S")</f>
        <v>0</v>
      </c>
      <c r="X136" s="33">
        <f>SUMIFS(SIP[BO UNIT TRANSFER],SIP[Investor ID],INVESTORS_LIST[[#This Row],[INVESTOR CODE]],SIP[B/S],"S")</f>
        <v>0</v>
      </c>
      <c r="Y136" s="33">
        <f>SUMIFS(SIP[BO UNIT TRANSFER],SIP[Investor ID],INVESTORS_LIST[[#This Row],[INVESTOR CODE]],SIP[B/S],"B")</f>
        <v>0</v>
      </c>
      <c r="Z13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36" s="119">
        <f>INVESTORS_LIST[[#This Row],[TOTAL UNITS BUY]]-INVESTORS_LIST[[#This Row],[TOTAL UNITS SOLD]]</f>
        <v>0</v>
      </c>
      <c r="AB136" s="119">
        <f>INVESTORS_LIST[[#This Row],[TOTAL CURRENT UNITS]]-INVESTORS_LIST[[#This Row],[BO UNITS HOLD]]</f>
        <v>0</v>
      </c>
      <c r="AC136" s="119" t="e">
        <f>INDEX([4]!Table_1[BO ID],MATCH(INVESTORS_LIST[[#This Row],[INVESTOR CODE]],[4]!Table_1[INVESTOR CODE],0))</f>
        <v>#REF!</v>
      </c>
      <c r="AD136" s="33">
        <f>INVESTORS_LIST[[#This Row],[LS_TOTAL COST VALUE OF CURRENT UNITS]]+INVESTORS_LIST[[#This Row],[SIP_TOTAL COST VALUE OF CURRENT UNITS]]</f>
        <v>0</v>
      </c>
      <c r="AE136" s="44">
        <f>IF(INVESTORS_LIST[[#This Row],[TOTAL CURRENT UNITS]]=0,0,INVESTORS_LIST[[#This Row],[LS_TOTAL CURRENT UNITS]]/INVESTORS_LIST[[#This Row],[TOTAL CURRENT UNITS]])</f>
        <v>0</v>
      </c>
      <c r="AF136" s="44">
        <f>IF(INVESTORS_LIST[[#This Row],[TOTAL CURRENT UNITS]]=0,0,INVESTORS_LIST[[#This Row],[SIP_TOTAL CURRENT UNITS]]/INVESTORS_LIST[[#This Row],[TOTAL CURRENT UNITS]])</f>
        <v>0</v>
      </c>
      <c r="AG136" s="4" cm="1">
        <f t="array" ref="AG13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36" s="4" cm="1">
        <f t="array" ref="AH1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3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36" s="178">
        <f t="shared" si="2"/>
        <v>12.552</v>
      </c>
      <c r="AK136" s="118">
        <f>IF(INVESTORS_LIST[[#This Row],[TOTAL CURRENT UNITS]]=0,0,INVESTORS_LIST[[#This Row],[TOTAL CURRENT UNITS]]*INVESTORS_LIST[[#This Row],[NAV]])</f>
        <v>0</v>
      </c>
      <c r="AL136" s="4">
        <f>IF(INVESTORS_LIST[[#This Row],[LS_TOTAL CURRENT UNITS]]=0,0,INVESTORS_LIST[[#This Row],[LS_TOTAL CURRENT UNITS]]*INVESTORS_LIST[[#This Row],[NAV]])</f>
        <v>0</v>
      </c>
      <c r="AM136" s="6">
        <f>IF(INVESTORS_LIST[[#This Row],[SIP_TOTAL CURRENT UNITS]]=0,0,INVESTORS_LIST[[#This Row],[SIP_TOTAL CURRENT UNITS]]*INVESTORS_LIST[[#This Row],[NAV]])</f>
        <v>0</v>
      </c>
      <c r="AO136" s="6">
        <f>IF(INVESTORS_LIST[[#This Row],[TOTAL SELLABLE UNITS]]=0,0,INVESTORS_LIST[[#This Row],[TOTAL SELLABLE UNITS]]*INVESTORS_LIST[[#This Row],[NAV]])</f>
        <v>0</v>
      </c>
      <c r="AP136" s="6">
        <f>INVESTORS_LIST[[#This Row],[LS_TOTAL REALIZED GAIN]]+INVESTORS_LIST[[#This Row],[SIP_TOTAL REALIZED GAIN]]</f>
        <v>-183.09999999998996</v>
      </c>
      <c r="AQ136" s="6">
        <f>INVESTORS_LIST[[#This Row],[TOTAL MARKET VALUE]]-INVESTORS_LIST[[#This Row],[TOTAL COST VALUE OF CURRENT INVESTMENT]]</f>
        <v>0</v>
      </c>
      <c r="AR136" s="6">
        <f>SUMIFS(DivAndTax[Tax Amount],DivAndTax[Investor ID],INVESTORS_LIST[[#This Row],[INVESTOR CODE]])</f>
        <v>0</v>
      </c>
      <c r="AS136" s="6">
        <f>SUMIFS(DivAndTax[Gross Dividend],DivAndTax[Investor ID],INVESTORS_LIST[[#This Row],[INVESTOR CODE]])</f>
        <v>0</v>
      </c>
      <c r="AT136" s="5">
        <f>IFERROR(INVESTORS_LIST[[#This Row],[TOTAL CURRENT UNITS]]/SUM(INVESTORS_LIST[TOTAL CURRENT UNITS]),0)</f>
        <v>0</v>
      </c>
    </row>
    <row r="137" spans="1:46" hidden="1">
      <c r="A137" t="s">
        <v>801</v>
      </c>
      <c r="B137" t="s">
        <v>170</v>
      </c>
      <c r="C137" t="s">
        <v>536</v>
      </c>
      <c r="D137" s="8" t="s">
        <v>2</v>
      </c>
      <c r="E137" s="2">
        <f>SUMIFS(LS[Unit],LS[Investor ID],INVESTORS_LIST[[#This Row],[INVESTOR CODE]],LS[B/S],"B")</f>
        <v>0</v>
      </c>
      <c r="F137" s="2">
        <f>-SUMIFS(LS[Unit],LS[Investor ID],INVESTORS_LIST[[#This Row],[INVESTOR CODE]],LS[B/S],"S")</f>
        <v>0</v>
      </c>
      <c r="G137" s="2">
        <f>IF(INVESTORS_LIST[[#This Row],[LS_TOTAL UNITS BUY]]=0,0,INVESTORS_LIST[[#This Row],[LS_TOTAL UNITS BUY]]-INVESTORS_LIST[[#This Row],[LS_TOTAL UNITS SOLD]])</f>
        <v>0</v>
      </c>
      <c r="H137" s="4">
        <f>IF(INVESTORS_LIST[[#This Row],[LS_TOTAL UNITS BUY]]=0,0,SUMIFS(LS[Amount],LS[Investor ID],INVESTORS_LIST[[#This Row],[INVESTOR CODE]],LS[B/S],"B"))</f>
        <v>0</v>
      </c>
      <c r="I137" s="6">
        <f>IF(INVESTORS_LIST[[#This Row],[LS_TOTAL UNITS SOLD]]=0,0,SUMIFS(LS[Cost of Units Sold],LS[Investor ID],INVESTORS_LIST[[#This Row],[INVESTOR CODE]],LS[B/S],"S"))</f>
        <v>0</v>
      </c>
      <c r="J137" s="6">
        <f>IF(INVESTORS_LIST[[#This Row],[LS_TOTAL CURRENT UNITS]]=0,0,INVESTORS_LIST[[#This Row],[LS_TOTAL CURRENT UNITS]]*INVESTORS_LIST[[#This Row],[LS_AVERAGE COST]])</f>
        <v>0</v>
      </c>
      <c r="K137" s="4">
        <f>IF(INVESTORS_LIST[[#This Row],[LS_TOTAL UNITS SOLD]]=0,0,SUMIFS(LS[Realized Gain],LS[Investor ID],INVESTORS_LIST[[#This Row],[INVESTOR CODE]],LS[B/S],"S"))</f>
        <v>0</v>
      </c>
      <c r="L137" s="2">
        <f>SUMIFS(SIP[Unit],SIP[Investor ID],INVESTORS_LIST[[#This Row],[INVESTOR CODE]],SIP[B/S],"B")</f>
        <v>0</v>
      </c>
      <c r="M137" s="2">
        <f>-SUMIFS(SIP[Unit],SIP[Investor ID],INVESTORS_LIST[[#This Row],[INVESTOR CODE]],SIP[B/S],"S")</f>
        <v>0</v>
      </c>
      <c r="N137" s="33">
        <f>IF(INVESTORS_LIST[[#This Row],[SIP_TOTAL UNITS BUY]]=0,0,INVESTORS_LIST[[#This Row],[SIP_TOTAL UNITS BUY]]-INVESTORS_LIST[[#This Row],[SIP_TOTAL UNITS SOLD]])</f>
        <v>0</v>
      </c>
      <c r="O137" s="4">
        <f>IF(INVESTORS_LIST[[#This Row],[SIP_TOTAL UNITS BUY]]=0,0,SUMIFS(SIP[Amount],SIP[Investor ID],INVESTORS_LIST[[#This Row],[INVESTOR CODE]],SIP[B/S],"B"))</f>
        <v>0</v>
      </c>
      <c r="P137" s="4">
        <f>IF(INVESTORS_LIST[[#This Row],[SIP_TOTAL UNITS SOLD]]=0,0,SUMIFS(SIP[Cost of Units Sold],SIP[Investor ID],INVESTORS_LIST[[#This Row],[INVESTOR CODE]],SIP[B/S],"S"))</f>
        <v>0</v>
      </c>
      <c r="Q137" s="6">
        <f>IF(INVESTORS_LIST[[#This Row],[SIP_TOTAL CURRENT UNITS]]=0,0,INVESTORS_LIST[[#This Row],[SIP_TOTAL CURRENT UNITS]]*INVESTORS_LIST[[#This Row],[SIP_AVERAGE COST]])</f>
        <v>0</v>
      </c>
      <c r="R137" s="6">
        <f>IF(INVESTORS_LIST[[#This Row],[SIP_TOTAL UNITS SOLD]]=0,0,SUMIFS(SIP[Realized Gain],SIP[Investor ID],INVESTORS_LIST[[#This Row],[INVESTOR CODE]],SIP[B/S],"S"))</f>
        <v>0</v>
      </c>
      <c r="S137" s="33">
        <f>INVESTORS_LIST[[#This Row],[LS_TOTAL UNITS BUY]]+INVESTORS_LIST[[#This Row],[SIP_TOTAL UNITS BUY]]</f>
        <v>0</v>
      </c>
      <c r="T137" s="33">
        <f>INVESTORS_LIST[[#This Row],[LS_TOTAL UNITS SOLD]]+INVESTORS_LIST[[#This Row],[SIP_TOTAL UNITS SOLD]]</f>
        <v>0</v>
      </c>
      <c r="U137" s="33">
        <v>0</v>
      </c>
      <c r="V137" s="33">
        <f>SUMIFS(LS[BO UNIT TRANSFER],LS[Investor ID],INVESTORS_LIST[[#This Row],[INVESTOR CODE]],LS[B/S],"B")</f>
        <v>0</v>
      </c>
      <c r="W137" s="33">
        <f>SUMIFS(LS[BO UNIT TRANSFER],LS[Investor ID],INVESTORS_LIST[[#This Row],[INVESTOR CODE]],LS[B/S],"S")</f>
        <v>0</v>
      </c>
      <c r="X137" s="33">
        <f>SUMIFS(SIP[BO UNIT TRANSFER],SIP[Investor ID],INVESTORS_LIST[[#This Row],[INVESTOR CODE]],SIP[B/S],"S")</f>
        <v>0</v>
      </c>
      <c r="Y137" s="33">
        <f>SUMIFS(SIP[BO UNIT TRANSFER],SIP[Investor ID],INVESTORS_LIST[[#This Row],[INVESTOR CODE]],SIP[B/S],"B")</f>
        <v>0</v>
      </c>
      <c r="Z13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37" s="119">
        <f>INVESTORS_LIST[[#This Row],[TOTAL UNITS BUY]]-INVESTORS_LIST[[#This Row],[TOTAL UNITS SOLD]]</f>
        <v>0</v>
      </c>
      <c r="AB137" s="119">
        <f>INVESTORS_LIST[[#This Row],[TOTAL CURRENT UNITS]]-INVESTORS_LIST[[#This Row],[BO UNITS HOLD]]</f>
        <v>0</v>
      </c>
      <c r="AC137" s="119" t="e">
        <f>INDEX([4]!Table_1[BO ID],MATCH(INVESTORS_LIST[[#This Row],[INVESTOR CODE]],[4]!Table_1[INVESTOR CODE],0))</f>
        <v>#REF!</v>
      </c>
      <c r="AD137" s="33">
        <f>INVESTORS_LIST[[#This Row],[LS_TOTAL COST VALUE OF CURRENT UNITS]]+INVESTORS_LIST[[#This Row],[SIP_TOTAL COST VALUE OF CURRENT UNITS]]</f>
        <v>0</v>
      </c>
      <c r="AE137" s="44">
        <f>IF(INVESTORS_LIST[[#This Row],[TOTAL CURRENT UNITS]]=0,0,INVESTORS_LIST[[#This Row],[LS_TOTAL CURRENT UNITS]]/INVESTORS_LIST[[#This Row],[TOTAL CURRENT UNITS]])</f>
        <v>0</v>
      </c>
      <c r="AF137" s="44">
        <f>IF(INVESTORS_LIST[[#This Row],[TOTAL CURRENT UNITS]]=0,0,INVESTORS_LIST[[#This Row],[SIP_TOTAL CURRENT UNITS]]/INVESTORS_LIST[[#This Row],[TOTAL CURRENT UNITS]])</f>
        <v>0</v>
      </c>
      <c r="AG137" s="4" cm="1">
        <f t="array" ref="AG1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37" s="4" cm="1">
        <f t="array" ref="AH1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3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37" s="178">
        <f t="shared" si="2"/>
        <v>12.552</v>
      </c>
      <c r="AK137" s="118">
        <f>IF(INVESTORS_LIST[[#This Row],[TOTAL CURRENT UNITS]]=0,0,INVESTORS_LIST[[#This Row],[TOTAL CURRENT UNITS]]*INVESTORS_LIST[[#This Row],[NAV]])</f>
        <v>0</v>
      </c>
      <c r="AL137" s="4">
        <f>IF(INVESTORS_LIST[[#This Row],[LS_TOTAL CURRENT UNITS]]=0,0,INVESTORS_LIST[[#This Row],[LS_TOTAL CURRENT UNITS]]*INVESTORS_LIST[[#This Row],[NAV]])</f>
        <v>0</v>
      </c>
      <c r="AM137" s="6">
        <f>IF(INVESTORS_LIST[[#This Row],[SIP_TOTAL CURRENT UNITS]]=0,0,INVESTORS_LIST[[#This Row],[SIP_TOTAL CURRENT UNITS]]*INVESTORS_LIST[[#This Row],[NAV]])</f>
        <v>0</v>
      </c>
      <c r="AO137" s="6">
        <f>IF(INVESTORS_LIST[[#This Row],[TOTAL SELLABLE UNITS]]=0,0,INVESTORS_LIST[[#This Row],[TOTAL SELLABLE UNITS]]*INVESTORS_LIST[[#This Row],[NAV]])</f>
        <v>0</v>
      </c>
      <c r="AP137" s="6">
        <f>INVESTORS_LIST[[#This Row],[LS_TOTAL REALIZED GAIN]]+INVESTORS_LIST[[#This Row],[SIP_TOTAL REALIZED GAIN]]</f>
        <v>0</v>
      </c>
      <c r="AQ137" s="6">
        <f>INVESTORS_LIST[[#This Row],[TOTAL MARKET VALUE]]-INVESTORS_LIST[[#This Row],[TOTAL COST VALUE OF CURRENT INVESTMENT]]</f>
        <v>0</v>
      </c>
      <c r="AR137" s="6">
        <f>SUMIFS(DivAndTax[Tax Amount],DivAndTax[Investor ID],INVESTORS_LIST[[#This Row],[INVESTOR CODE]])</f>
        <v>0</v>
      </c>
      <c r="AS137" s="6">
        <f>SUMIFS(DivAndTax[Gross Dividend],DivAndTax[Investor ID],INVESTORS_LIST[[#This Row],[INVESTOR CODE]])</f>
        <v>0</v>
      </c>
      <c r="AT137" s="5">
        <f>IFERROR(INVESTORS_LIST[[#This Row],[TOTAL CURRENT UNITS]]/SUM(INVESTORS_LIST[TOTAL CURRENT UNITS]),0)</f>
        <v>0</v>
      </c>
    </row>
    <row r="138" spans="1:46">
      <c r="A138" t="s">
        <v>802</v>
      </c>
      <c r="B138" t="s">
        <v>171</v>
      </c>
      <c r="C138" t="s">
        <v>538</v>
      </c>
      <c r="D138" s="8" t="s">
        <v>2</v>
      </c>
      <c r="E138" s="2">
        <f>SUMIFS(LS[Unit],LS[Investor ID],INVESTORS_LIST[[#This Row],[INVESTOR CODE]],LS[B/S],"B")</f>
        <v>77936</v>
      </c>
      <c r="F138" s="2">
        <f>-SUMIFS(LS[Unit],LS[Investor ID],INVESTORS_LIST[[#This Row],[INVESTOR CODE]],LS[B/S],"S")</f>
        <v>0</v>
      </c>
      <c r="G138" s="2">
        <f>IF(INVESTORS_LIST[[#This Row],[LS_TOTAL UNITS BUY]]=0,0,INVESTORS_LIST[[#This Row],[LS_TOTAL UNITS BUY]]-INVESTORS_LIST[[#This Row],[LS_TOTAL UNITS SOLD]])</f>
        <v>77936</v>
      </c>
      <c r="H138" s="4">
        <f>IF(INVESTORS_LIST[[#This Row],[LS_TOTAL UNITS BUY]]=0,0,SUMIFS(LS[Amount],LS[Investor ID],INVESTORS_LIST[[#This Row],[INVESTOR CODE]],LS[B/S],"B"))</f>
        <v>826572.7</v>
      </c>
      <c r="I138" s="6">
        <f>IF(INVESTORS_LIST[[#This Row],[LS_TOTAL UNITS SOLD]]=0,0,SUMIFS(LS[Cost of Units Sold],LS[Investor ID],INVESTORS_LIST[[#This Row],[INVESTOR CODE]],LS[B/S],"S"))</f>
        <v>0</v>
      </c>
      <c r="J138" s="6">
        <f>IF(INVESTORS_LIST[[#This Row],[LS_TOTAL CURRENT UNITS]]=0,0,INVESTORS_LIST[[#This Row],[LS_TOTAL CURRENT UNITS]]*INVESTORS_LIST[[#This Row],[LS_AVERAGE COST]])</f>
        <v>826572.70000000007</v>
      </c>
      <c r="K138" s="4">
        <f>IF(INVESTORS_LIST[[#This Row],[LS_TOTAL UNITS SOLD]]=0,0,SUMIFS(LS[Realized Gain],LS[Investor ID],INVESTORS_LIST[[#This Row],[INVESTOR CODE]],LS[B/S],"S"))</f>
        <v>0</v>
      </c>
      <c r="L138" s="2">
        <f>SUMIFS(SIP[Unit],SIP[Investor ID],INVESTORS_LIST[[#This Row],[INVESTOR CODE]],SIP[B/S],"B")</f>
        <v>0</v>
      </c>
      <c r="M138" s="2">
        <f>-SUMIFS(SIP[Unit],SIP[Investor ID],INVESTORS_LIST[[#This Row],[INVESTOR CODE]],SIP[B/S],"S")</f>
        <v>0</v>
      </c>
      <c r="N138" s="33">
        <f>IF(INVESTORS_LIST[[#This Row],[SIP_TOTAL UNITS BUY]]=0,0,INVESTORS_LIST[[#This Row],[SIP_TOTAL UNITS BUY]]-INVESTORS_LIST[[#This Row],[SIP_TOTAL UNITS SOLD]])</f>
        <v>0</v>
      </c>
      <c r="O138" s="4">
        <f>IF(INVESTORS_LIST[[#This Row],[SIP_TOTAL UNITS BUY]]=0,0,SUMIFS(SIP[Amount],SIP[Investor ID],INVESTORS_LIST[[#This Row],[INVESTOR CODE]],SIP[B/S],"B"))</f>
        <v>0</v>
      </c>
      <c r="P138" s="4">
        <f>IF(INVESTORS_LIST[[#This Row],[SIP_TOTAL UNITS SOLD]]=0,0,SUMIFS(SIP[Cost of Units Sold],SIP[Investor ID],INVESTORS_LIST[[#This Row],[INVESTOR CODE]],SIP[B/S],"S"))</f>
        <v>0</v>
      </c>
      <c r="Q138" s="6">
        <f>IF(INVESTORS_LIST[[#This Row],[SIP_TOTAL CURRENT UNITS]]=0,0,INVESTORS_LIST[[#This Row],[SIP_TOTAL CURRENT UNITS]]*INVESTORS_LIST[[#This Row],[SIP_AVERAGE COST]])</f>
        <v>0</v>
      </c>
      <c r="R138" s="6">
        <f>IF(INVESTORS_LIST[[#This Row],[SIP_TOTAL UNITS SOLD]]=0,0,SUMIFS(SIP[Realized Gain],SIP[Investor ID],INVESTORS_LIST[[#This Row],[INVESTOR CODE]],SIP[B/S],"S"))</f>
        <v>0</v>
      </c>
      <c r="S138" s="33">
        <f>INVESTORS_LIST[[#This Row],[LS_TOTAL UNITS BUY]]+INVESTORS_LIST[[#This Row],[SIP_TOTAL UNITS BUY]]</f>
        <v>77936</v>
      </c>
      <c r="T138" s="33">
        <f>INVESTORS_LIST[[#This Row],[LS_TOTAL UNITS SOLD]]+INVESTORS_LIST[[#This Row],[SIP_TOTAL UNITS SOLD]]</f>
        <v>0</v>
      </c>
      <c r="U138" s="33">
        <v>0</v>
      </c>
      <c r="V138" s="33">
        <f>SUMIFS(LS[BO UNIT TRANSFER],LS[Investor ID],INVESTORS_LIST[[#This Row],[INVESTOR CODE]],LS[B/S],"B")</f>
        <v>0</v>
      </c>
      <c r="W138" s="33">
        <f>SUMIFS(LS[BO UNIT TRANSFER],LS[Investor ID],INVESTORS_LIST[[#This Row],[INVESTOR CODE]],LS[B/S],"S")</f>
        <v>0</v>
      </c>
      <c r="X138" s="33">
        <f>SUMIFS(SIP[BO UNIT TRANSFER],SIP[Investor ID],INVESTORS_LIST[[#This Row],[INVESTOR CODE]],SIP[B/S],"S")</f>
        <v>0</v>
      </c>
      <c r="Y138" s="33">
        <f>SUMIFS(SIP[BO UNIT TRANSFER],SIP[Investor ID],INVESTORS_LIST[[#This Row],[INVESTOR CODE]],SIP[B/S],"B")</f>
        <v>0</v>
      </c>
      <c r="Z13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38" s="119">
        <f>INVESTORS_LIST[[#This Row],[TOTAL UNITS BUY]]-INVESTORS_LIST[[#This Row],[TOTAL UNITS SOLD]]</f>
        <v>77936</v>
      </c>
      <c r="AB138" s="119">
        <f>INVESTORS_LIST[[#This Row],[TOTAL CURRENT UNITS]]-INVESTORS_LIST[[#This Row],[BO UNITS HOLD]]</f>
        <v>77936</v>
      </c>
      <c r="AC138" s="119" t="e">
        <f>INDEX([4]!Table_1[BO ID],MATCH(INVESTORS_LIST[[#This Row],[INVESTOR CODE]],[4]!Table_1[INVESTOR CODE],0))</f>
        <v>#REF!</v>
      </c>
      <c r="AD138" s="33">
        <f>INVESTORS_LIST[[#This Row],[LS_TOTAL COST VALUE OF CURRENT UNITS]]+INVESTORS_LIST[[#This Row],[SIP_TOTAL COST VALUE OF CURRENT UNITS]]</f>
        <v>826572.70000000007</v>
      </c>
      <c r="AE138" s="44">
        <f>IF(INVESTORS_LIST[[#This Row],[TOTAL CURRENT UNITS]]=0,0,INVESTORS_LIST[[#This Row],[LS_TOTAL CURRENT UNITS]]/INVESTORS_LIST[[#This Row],[TOTAL CURRENT UNITS]])</f>
        <v>1</v>
      </c>
      <c r="AF138" s="44">
        <f>IF(INVESTORS_LIST[[#This Row],[TOTAL CURRENT UNITS]]=0,0,INVESTORS_LIST[[#This Row],[SIP_TOTAL CURRENT UNITS]]/INVESTORS_LIST[[#This Row],[TOTAL CURRENT UNITS]])</f>
        <v>0</v>
      </c>
      <c r="AG138" s="4" cm="1">
        <f t="array" ref="AG138">IF(INVESTORS_LIST[[#This Row],[LS_TOTAL UNITS BUY]]&gt;0,INDEX(LS[NAV at Cost (Average)],MATCH(CONCATENATE(COUNTIFS(LS[Investor ID],INVESTORS_LIST[[#This Row],[INVESTOR CODE]]),INVESTORS_LIST[[#This Row],[INVESTOR CODE]]),LS[Unique Code],0),),0)</f>
        <v>10.605788082529255</v>
      </c>
      <c r="AH138" s="4" cm="1">
        <f t="array" ref="AH1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38" s="178">
        <f>IF(INVESTORS_LIST[[#This Row],[TOTAL CURRENT UNITS]]=0,0,(INVESTORS_LIST[[#This Row],[LS_WEIGHT]]*INVESTORS_LIST[[#This Row],[LS_AVERAGE COST]])+(INVESTORS_LIST[[#This Row],[SIP_WEIGHT]]*INVESTORS_LIST[[#This Row],[SIP_AVERAGE COST]]))</f>
        <v>10.605788082529255</v>
      </c>
      <c r="AJ138" s="178">
        <f t="shared" si="2"/>
        <v>12.552</v>
      </c>
      <c r="AK138" s="118">
        <f>IF(INVESTORS_LIST[[#This Row],[TOTAL CURRENT UNITS]]=0,0,INVESTORS_LIST[[#This Row],[TOTAL CURRENT UNITS]]*INVESTORS_LIST[[#This Row],[NAV]])</f>
        <v>978252.67200000002</v>
      </c>
      <c r="AL138" s="4">
        <f>IF(INVESTORS_LIST[[#This Row],[LS_TOTAL CURRENT UNITS]]=0,0,INVESTORS_LIST[[#This Row],[LS_TOTAL CURRENT UNITS]]*INVESTORS_LIST[[#This Row],[NAV]])</f>
        <v>978252.67200000002</v>
      </c>
      <c r="AM138" s="6">
        <f>IF(INVESTORS_LIST[[#This Row],[SIP_TOTAL CURRENT UNITS]]=0,0,INVESTORS_LIST[[#This Row],[SIP_TOTAL CURRENT UNITS]]*INVESTORS_LIST[[#This Row],[NAV]])</f>
        <v>0</v>
      </c>
      <c r="AO138" s="6">
        <f>IF(INVESTORS_LIST[[#This Row],[TOTAL SELLABLE UNITS]]=0,0,INVESTORS_LIST[[#This Row],[TOTAL SELLABLE UNITS]]*INVESTORS_LIST[[#This Row],[NAV]])</f>
        <v>0</v>
      </c>
      <c r="AP138" s="6">
        <f>INVESTORS_LIST[[#This Row],[LS_TOTAL REALIZED GAIN]]+INVESTORS_LIST[[#This Row],[SIP_TOTAL REALIZED GAIN]]</f>
        <v>0</v>
      </c>
      <c r="AQ138" s="6">
        <f>INVESTORS_LIST[[#This Row],[TOTAL MARKET VALUE]]-INVESTORS_LIST[[#This Row],[TOTAL COST VALUE OF CURRENT INVESTMENT]]</f>
        <v>151679.97199999995</v>
      </c>
      <c r="AR138" s="6">
        <f>SUMIFS(DivAndTax[Tax Amount],DivAndTax[Investor ID],INVESTORS_LIST[[#This Row],[INVESTOR CODE]])</f>
        <v>2657.27</v>
      </c>
      <c r="AS138" s="6">
        <f>SUMIFS(DivAndTax[Gross Dividend],DivAndTax[Investor ID],INVESTORS_LIST[[#This Row],[INVESTOR CODE]])</f>
        <v>26572.699999999997</v>
      </c>
      <c r="AT138" s="5">
        <f>IFERROR(INVESTORS_LIST[[#This Row],[TOTAL CURRENT UNITS]]/SUM(INVESTORS_LIST[TOTAL CURRENT UNITS]),0)</f>
        <v>3.7366286649511363E-3</v>
      </c>
    </row>
    <row r="139" spans="1:46" hidden="1">
      <c r="A139" t="s">
        <v>803</v>
      </c>
      <c r="B139" t="s">
        <v>172</v>
      </c>
      <c r="C139" t="s">
        <v>536</v>
      </c>
      <c r="D139" s="8" t="s">
        <v>2</v>
      </c>
      <c r="E139" s="2">
        <f>SUMIFS(LS[Unit],LS[Investor ID],INVESTORS_LIST[[#This Row],[INVESTOR CODE]],LS[B/S],"B")</f>
        <v>0</v>
      </c>
      <c r="F139" s="2">
        <f>-SUMIFS(LS[Unit],LS[Investor ID],INVESTORS_LIST[[#This Row],[INVESTOR CODE]],LS[B/S],"S")</f>
        <v>0</v>
      </c>
      <c r="G139" s="2">
        <f>IF(INVESTORS_LIST[[#This Row],[LS_TOTAL UNITS BUY]]=0,0,INVESTORS_LIST[[#This Row],[LS_TOTAL UNITS BUY]]-INVESTORS_LIST[[#This Row],[LS_TOTAL UNITS SOLD]])</f>
        <v>0</v>
      </c>
      <c r="H139" s="4">
        <f>IF(INVESTORS_LIST[[#This Row],[LS_TOTAL UNITS BUY]]=0,0,SUMIFS(LS[Amount],LS[Investor ID],INVESTORS_LIST[[#This Row],[INVESTOR CODE]],LS[B/S],"B"))</f>
        <v>0</v>
      </c>
      <c r="I139" s="6">
        <f>IF(INVESTORS_LIST[[#This Row],[LS_TOTAL UNITS SOLD]]=0,0,SUMIFS(LS[Cost of Units Sold],LS[Investor ID],INVESTORS_LIST[[#This Row],[INVESTOR CODE]],LS[B/S],"S"))</f>
        <v>0</v>
      </c>
      <c r="J139" s="6">
        <f>IF(INVESTORS_LIST[[#This Row],[LS_TOTAL CURRENT UNITS]]=0,0,INVESTORS_LIST[[#This Row],[LS_TOTAL CURRENT UNITS]]*INVESTORS_LIST[[#This Row],[LS_AVERAGE COST]])</f>
        <v>0</v>
      </c>
      <c r="K139" s="4">
        <f>IF(INVESTORS_LIST[[#This Row],[LS_TOTAL UNITS SOLD]]=0,0,SUMIFS(LS[Realized Gain],LS[Investor ID],INVESTORS_LIST[[#This Row],[INVESTOR CODE]],LS[B/S],"S"))</f>
        <v>0</v>
      </c>
      <c r="L139" s="2">
        <f>SUMIFS(SIP[Unit],SIP[Investor ID],INVESTORS_LIST[[#This Row],[INVESTOR CODE]],SIP[B/S],"B")</f>
        <v>0</v>
      </c>
      <c r="M139" s="2">
        <f>-SUMIFS(SIP[Unit],SIP[Investor ID],INVESTORS_LIST[[#This Row],[INVESTOR CODE]],SIP[B/S],"S")</f>
        <v>0</v>
      </c>
      <c r="N139" s="33">
        <f>IF(INVESTORS_LIST[[#This Row],[SIP_TOTAL UNITS BUY]]=0,0,INVESTORS_LIST[[#This Row],[SIP_TOTAL UNITS BUY]]-INVESTORS_LIST[[#This Row],[SIP_TOTAL UNITS SOLD]])</f>
        <v>0</v>
      </c>
      <c r="O139" s="4">
        <f>IF(INVESTORS_LIST[[#This Row],[SIP_TOTAL UNITS BUY]]=0,0,SUMIFS(SIP[Amount],SIP[Investor ID],INVESTORS_LIST[[#This Row],[INVESTOR CODE]],SIP[B/S],"B"))</f>
        <v>0</v>
      </c>
      <c r="P139" s="4">
        <f>IF(INVESTORS_LIST[[#This Row],[SIP_TOTAL UNITS SOLD]]=0,0,SUMIFS(SIP[Cost of Units Sold],SIP[Investor ID],INVESTORS_LIST[[#This Row],[INVESTOR CODE]],SIP[B/S],"S"))</f>
        <v>0</v>
      </c>
      <c r="Q139" s="6">
        <f>IF(INVESTORS_LIST[[#This Row],[SIP_TOTAL CURRENT UNITS]]=0,0,INVESTORS_LIST[[#This Row],[SIP_TOTAL CURRENT UNITS]]*INVESTORS_LIST[[#This Row],[SIP_AVERAGE COST]])</f>
        <v>0</v>
      </c>
      <c r="R139" s="6">
        <f>IF(INVESTORS_LIST[[#This Row],[SIP_TOTAL UNITS SOLD]]=0,0,SUMIFS(SIP[Realized Gain],SIP[Investor ID],INVESTORS_LIST[[#This Row],[INVESTOR CODE]],SIP[B/S],"S"))</f>
        <v>0</v>
      </c>
      <c r="S139" s="33">
        <f>INVESTORS_LIST[[#This Row],[LS_TOTAL UNITS BUY]]+INVESTORS_LIST[[#This Row],[SIP_TOTAL UNITS BUY]]</f>
        <v>0</v>
      </c>
      <c r="T139" s="33">
        <f>INVESTORS_LIST[[#This Row],[LS_TOTAL UNITS SOLD]]+INVESTORS_LIST[[#This Row],[SIP_TOTAL UNITS SOLD]]</f>
        <v>0</v>
      </c>
      <c r="U139" s="33">
        <v>0</v>
      </c>
      <c r="V139" s="33">
        <f>SUMIFS(LS[BO UNIT TRANSFER],LS[Investor ID],INVESTORS_LIST[[#This Row],[INVESTOR CODE]],LS[B/S],"B")</f>
        <v>0</v>
      </c>
      <c r="W139" s="33">
        <f>SUMIFS(LS[BO UNIT TRANSFER],LS[Investor ID],INVESTORS_LIST[[#This Row],[INVESTOR CODE]],LS[B/S],"S")</f>
        <v>0</v>
      </c>
      <c r="X139" s="33">
        <f>SUMIFS(SIP[BO UNIT TRANSFER],SIP[Investor ID],INVESTORS_LIST[[#This Row],[INVESTOR CODE]],SIP[B/S],"S")</f>
        <v>0</v>
      </c>
      <c r="Y139" s="33">
        <f>SUMIFS(SIP[BO UNIT TRANSFER],SIP[Investor ID],INVESTORS_LIST[[#This Row],[INVESTOR CODE]],SIP[B/S],"B")</f>
        <v>0</v>
      </c>
      <c r="Z13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39" s="119">
        <f>INVESTORS_LIST[[#This Row],[TOTAL UNITS BUY]]-INVESTORS_LIST[[#This Row],[TOTAL UNITS SOLD]]</f>
        <v>0</v>
      </c>
      <c r="AB139" s="119">
        <f>INVESTORS_LIST[[#This Row],[TOTAL CURRENT UNITS]]-INVESTORS_LIST[[#This Row],[BO UNITS HOLD]]</f>
        <v>0</v>
      </c>
      <c r="AC139" s="119" t="e">
        <f>INDEX([4]!Table_1[BO ID],MATCH(INVESTORS_LIST[[#This Row],[INVESTOR CODE]],[4]!Table_1[INVESTOR CODE],0))</f>
        <v>#REF!</v>
      </c>
      <c r="AD139" s="33">
        <f>INVESTORS_LIST[[#This Row],[LS_TOTAL COST VALUE OF CURRENT UNITS]]+INVESTORS_LIST[[#This Row],[SIP_TOTAL COST VALUE OF CURRENT UNITS]]</f>
        <v>0</v>
      </c>
      <c r="AE139" s="44">
        <f>IF(INVESTORS_LIST[[#This Row],[TOTAL CURRENT UNITS]]=0,0,INVESTORS_LIST[[#This Row],[LS_TOTAL CURRENT UNITS]]/INVESTORS_LIST[[#This Row],[TOTAL CURRENT UNITS]])</f>
        <v>0</v>
      </c>
      <c r="AF139" s="44">
        <f>IF(INVESTORS_LIST[[#This Row],[TOTAL CURRENT UNITS]]=0,0,INVESTORS_LIST[[#This Row],[SIP_TOTAL CURRENT UNITS]]/INVESTORS_LIST[[#This Row],[TOTAL CURRENT UNITS]])</f>
        <v>0</v>
      </c>
      <c r="AG139" s="4" cm="1">
        <f t="array" ref="AG1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39" s="4" cm="1">
        <f t="array" ref="AH1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3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39" s="178">
        <f t="shared" si="2"/>
        <v>12.552</v>
      </c>
      <c r="AK139" s="118">
        <f>IF(INVESTORS_LIST[[#This Row],[TOTAL CURRENT UNITS]]=0,0,INVESTORS_LIST[[#This Row],[TOTAL CURRENT UNITS]]*INVESTORS_LIST[[#This Row],[NAV]])</f>
        <v>0</v>
      </c>
      <c r="AL139" s="4">
        <f>IF(INVESTORS_LIST[[#This Row],[LS_TOTAL CURRENT UNITS]]=0,0,INVESTORS_LIST[[#This Row],[LS_TOTAL CURRENT UNITS]]*INVESTORS_LIST[[#This Row],[NAV]])</f>
        <v>0</v>
      </c>
      <c r="AM139" s="6">
        <f>IF(INVESTORS_LIST[[#This Row],[SIP_TOTAL CURRENT UNITS]]=0,0,INVESTORS_LIST[[#This Row],[SIP_TOTAL CURRENT UNITS]]*INVESTORS_LIST[[#This Row],[NAV]])</f>
        <v>0</v>
      </c>
      <c r="AO139" s="6">
        <f>IF(INVESTORS_LIST[[#This Row],[TOTAL SELLABLE UNITS]]=0,0,INVESTORS_LIST[[#This Row],[TOTAL SELLABLE UNITS]]*INVESTORS_LIST[[#This Row],[NAV]])</f>
        <v>0</v>
      </c>
      <c r="AP139" s="6">
        <f>INVESTORS_LIST[[#This Row],[LS_TOTAL REALIZED GAIN]]+INVESTORS_LIST[[#This Row],[SIP_TOTAL REALIZED GAIN]]</f>
        <v>0</v>
      </c>
      <c r="AQ139" s="6">
        <f>INVESTORS_LIST[[#This Row],[TOTAL MARKET VALUE]]-INVESTORS_LIST[[#This Row],[TOTAL COST VALUE OF CURRENT INVESTMENT]]</f>
        <v>0</v>
      </c>
      <c r="AR139" s="6">
        <f>SUMIFS(DivAndTax[Tax Amount],DivAndTax[Investor ID],INVESTORS_LIST[[#This Row],[INVESTOR CODE]])</f>
        <v>0</v>
      </c>
      <c r="AS139" s="6">
        <f>SUMIFS(DivAndTax[Gross Dividend],DivAndTax[Investor ID],INVESTORS_LIST[[#This Row],[INVESTOR CODE]])</f>
        <v>0</v>
      </c>
      <c r="AT139" s="5">
        <f>IFERROR(INVESTORS_LIST[[#This Row],[TOTAL CURRENT UNITS]]/SUM(INVESTORS_LIST[TOTAL CURRENT UNITS]),0)</f>
        <v>0</v>
      </c>
    </row>
    <row r="140" spans="1:46" hidden="1">
      <c r="A140" t="s">
        <v>804</v>
      </c>
      <c r="B140" t="s">
        <v>173</v>
      </c>
      <c r="C140" t="s">
        <v>538</v>
      </c>
      <c r="D140" s="8" t="s">
        <v>2</v>
      </c>
      <c r="E140" s="2">
        <f>SUMIFS(LS[Unit],LS[Investor ID],INVESTORS_LIST[[#This Row],[INVESTOR CODE]],LS[B/S],"B")</f>
        <v>0</v>
      </c>
      <c r="F140" s="2">
        <f>-SUMIFS(LS[Unit],LS[Investor ID],INVESTORS_LIST[[#This Row],[INVESTOR CODE]],LS[B/S],"S")</f>
        <v>0</v>
      </c>
      <c r="G140" s="2">
        <f>IF(INVESTORS_LIST[[#This Row],[LS_TOTAL UNITS BUY]]=0,0,INVESTORS_LIST[[#This Row],[LS_TOTAL UNITS BUY]]-INVESTORS_LIST[[#This Row],[LS_TOTAL UNITS SOLD]])</f>
        <v>0</v>
      </c>
      <c r="H140" s="4">
        <f>IF(INVESTORS_LIST[[#This Row],[LS_TOTAL UNITS BUY]]=0,0,SUMIFS(LS[Amount],LS[Investor ID],INVESTORS_LIST[[#This Row],[INVESTOR CODE]],LS[B/S],"B"))</f>
        <v>0</v>
      </c>
      <c r="I140" s="6">
        <f>IF(INVESTORS_LIST[[#This Row],[LS_TOTAL UNITS SOLD]]=0,0,SUMIFS(LS[Cost of Units Sold],LS[Investor ID],INVESTORS_LIST[[#This Row],[INVESTOR CODE]],LS[B/S],"S"))</f>
        <v>0</v>
      </c>
      <c r="J140" s="6">
        <f>IF(INVESTORS_LIST[[#This Row],[LS_TOTAL CURRENT UNITS]]=0,0,INVESTORS_LIST[[#This Row],[LS_TOTAL CURRENT UNITS]]*INVESTORS_LIST[[#This Row],[LS_AVERAGE COST]])</f>
        <v>0</v>
      </c>
      <c r="K140" s="4">
        <f>IF(INVESTORS_LIST[[#This Row],[LS_TOTAL UNITS SOLD]]=0,0,SUMIFS(LS[Realized Gain],LS[Investor ID],INVESTORS_LIST[[#This Row],[INVESTOR CODE]],LS[B/S],"S"))</f>
        <v>0</v>
      </c>
      <c r="L140" s="2">
        <f>SUMIFS(SIP[Unit],SIP[Investor ID],INVESTORS_LIST[[#This Row],[INVESTOR CODE]],SIP[B/S],"B")</f>
        <v>0</v>
      </c>
      <c r="M140" s="2">
        <f>-SUMIFS(SIP[Unit],SIP[Investor ID],INVESTORS_LIST[[#This Row],[INVESTOR CODE]],SIP[B/S],"S")</f>
        <v>0</v>
      </c>
      <c r="N140" s="33">
        <f>IF(INVESTORS_LIST[[#This Row],[SIP_TOTAL UNITS BUY]]=0,0,INVESTORS_LIST[[#This Row],[SIP_TOTAL UNITS BUY]]-INVESTORS_LIST[[#This Row],[SIP_TOTAL UNITS SOLD]])</f>
        <v>0</v>
      </c>
      <c r="O140" s="4">
        <f>IF(INVESTORS_LIST[[#This Row],[SIP_TOTAL UNITS BUY]]=0,0,SUMIFS(SIP[Amount],SIP[Investor ID],INVESTORS_LIST[[#This Row],[INVESTOR CODE]],SIP[B/S],"B"))</f>
        <v>0</v>
      </c>
      <c r="P140" s="4">
        <f>IF(INVESTORS_LIST[[#This Row],[SIP_TOTAL UNITS SOLD]]=0,0,SUMIFS(SIP[Cost of Units Sold],SIP[Investor ID],INVESTORS_LIST[[#This Row],[INVESTOR CODE]],SIP[B/S],"S"))</f>
        <v>0</v>
      </c>
      <c r="Q140" s="6">
        <f>IF(INVESTORS_LIST[[#This Row],[SIP_TOTAL CURRENT UNITS]]=0,0,INVESTORS_LIST[[#This Row],[SIP_TOTAL CURRENT UNITS]]*INVESTORS_LIST[[#This Row],[SIP_AVERAGE COST]])</f>
        <v>0</v>
      </c>
      <c r="R140" s="6">
        <f>IF(INVESTORS_LIST[[#This Row],[SIP_TOTAL UNITS SOLD]]=0,0,SUMIFS(SIP[Realized Gain],SIP[Investor ID],INVESTORS_LIST[[#This Row],[INVESTOR CODE]],SIP[B/S],"S"))</f>
        <v>0</v>
      </c>
      <c r="S140" s="33">
        <f>INVESTORS_LIST[[#This Row],[LS_TOTAL UNITS BUY]]+INVESTORS_LIST[[#This Row],[SIP_TOTAL UNITS BUY]]</f>
        <v>0</v>
      </c>
      <c r="T140" s="33">
        <f>INVESTORS_LIST[[#This Row],[LS_TOTAL UNITS SOLD]]+INVESTORS_LIST[[#This Row],[SIP_TOTAL UNITS SOLD]]</f>
        <v>0</v>
      </c>
      <c r="U140" s="33">
        <v>0</v>
      </c>
      <c r="V140" s="33">
        <f>SUMIFS(LS[BO UNIT TRANSFER],LS[Investor ID],INVESTORS_LIST[[#This Row],[INVESTOR CODE]],LS[B/S],"B")</f>
        <v>0</v>
      </c>
      <c r="W140" s="33">
        <f>SUMIFS(LS[BO UNIT TRANSFER],LS[Investor ID],INVESTORS_LIST[[#This Row],[INVESTOR CODE]],LS[B/S],"S")</f>
        <v>0</v>
      </c>
      <c r="X140" s="33">
        <f>SUMIFS(SIP[BO UNIT TRANSFER],SIP[Investor ID],INVESTORS_LIST[[#This Row],[INVESTOR CODE]],SIP[B/S],"S")</f>
        <v>0</v>
      </c>
      <c r="Y140" s="33">
        <f>SUMIFS(SIP[BO UNIT TRANSFER],SIP[Investor ID],INVESTORS_LIST[[#This Row],[INVESTOR CODE]],SIP[B/S],"B")</f>
        <v>0</v>
      </c>
      <c r="Z14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40" s="119">
        <f>INVESTORS_LIST[[#This Row],[TOTAL UNITS BUY]]-INVESTORS_LIST[[#This Row],[TOTAL UNITS SOLD]]</f>
        <v>0</v>
      </c>
      <c r="AB140" s="119">
        <f>INVESTORS_LIST[[#This Row],[TOTAL CURRENT UNITS]]-INVESTORS_LIST[[#This Row],[BO UNITS HOLD]]</f>
        <v>0</v>
      </c>
      <c r="AC140" s="119" t="e">
        <f>INDEX([4]!Table_1[BO ID],MATCH(INVESTORS_LIST[[#This Row],[INVESTOR CODE]],[4]!Table_1[INVESTOR CODE],0))</f>
        <v>#REF!</v>
      </c>
      <c r="AD140" s="33">
        <f>INVESTORS_LIST[[#This Row],[LS_TOTAL COST VALUE OF CURRENT UNITS]]+INVESTORS_LIST[[#This Row],[SIP_TOTAL COST VALUE OF CURRENT UNITS]]</f>
        <v>0</v>
      </c>
      <c r="AE140" s="44">
        <f>IF(INVESTORS_LIST[[#This Row],[TOTAL CURRENT UNITS]]=0,0,INVESTORS_LIST[[#This Row],[LS_TOTAL CURRENT UNITS]]/INVESTORS_LIST[[#This Row],[TOTAL CURRENT UNITS]])</f>
        <v>0</v>
      </c>
      <c r="AF140" s="44">
        <f>IF(INVESTORS_LIST[[#This Row],[TOTAL CURRENT UNITS]]=0,0,INVESTORS_LIST[[#This Row],[SIP_TOTAL CURRENT UNITS]]/INVESTORS_LIST[[#This Row],[TOTAL CURRENT UNITS]])</f>
        <v>0</v>
      </c>
      <c r="AG140" s="4" cm="1">
        <f t="array" ref="AG1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40" s="4" cm="1">
        <f t="array" ref="AH1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4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40" s="178">
        <f t="shared" si="2"/>
        <v>12.552</v>
      </c>
      <c r="AK140" s="118">
        <f>IF(INVESTORS_LIST[[#This Row],[TOTAL CURRENT UNITS]]=0,0,INVESTORS_LIST[[#This Row],[TOTAL CURRENT UNITS]]*INVESTORS_LIST[[#This Row],[NAV]])</f>
        <v>0</v>
      </c>
      <c r="AL140" s="4">
        <f>IF(INVESTORS_LIST[[#This Row],[LS_TOTAL CURRENT UNITS]]=0,0,INVESTORS_LIST[[#This Row],[LS_TOTAL CURRENT UNITS]]*INVESTORS_LIST[[#This Row],[NAV]])</f>
        <v>0</v>
      </c>
      <c r="AM140" s="6">
        <f>IF(INVESTORS_LIST[[#This Row],[SIP_TOTAL CURRENT UNITS]]=0,0,INVESTORS_LIST[[#This Row],[SIP_TOTAL CURRENT UNITS]]*INVESTORS_LIST[[#This Row],[NAV]])</f>
        <v>0</v>
      </c>
      <c r="AO140" s="6">
        <f>IF(INVESTORS_LIST[[#This Row],[TOTAL SELLABLE UNITS]]=0,0,INVESTORS_LIST[[#This Row],[TOTAL SELLABLE UNITS]]*INVESTORS_LIST[[#This Row],[NAV]])</f>
        <v>0</v>
      </c>
      <c r="AP140" s="6">
        <f>INVESTORS_LIST[[#This Row],[LS_TOTAL REALIZED GAIN]]+INVESTORS_LIST[[#This Row],[SIP_TOTAL REALIZED GAIN]]</f>
        <v>0</v>
      </c>
      <c r="AQ140" s="6">
        <f>INVESTORS_LIST[[#This Row],[TOTAL MARKET VALUE]]-INVESTORS_LIST[[#This Row],[TOTAL COST VALUE OF CURRENT INVESTMENT]]</f>
        <v>0</v>
      </c>
      <c r="AR140" s="6">
        <f>SUMIFS(DivAndTax[Tax Amount],DivAndTax[Investor ID],INVESTORS_LIST[[#This Row],[INVESTOR CODE]])</f>
        <v>0</v>
      </c>
      <c r="AS140" s="6">
        <f>SUMIFS(DivAndTax[Gross Dividend],DivAndTax[Investor ID],INVESTORS_LIST[[#This Row],[INVESTOR CODE]])</f>
        <v>0</v>
      </c>
      <c r="AT140" s="5">
        <f>IFERROR(INVESTORS_LIST[[#This Row],[TOTAL CURRENT UNITS]]/SUM(INVESTORS_LIST[TOTAL CURRENT UNITS]),0)</f>
        <v>0</v>
      </c>
    </row>
    <row r="141" spans="1:46" hidden="1">
      <c r="A141" t="s">
        <v>805</v>
      </c>
      <c r="B141" t="s">
        <v>174</v>
      </c>
      <c r="C141" t="s">
        <v>536</v>
      </c>
      <c r="D141" s="8" t="s">
        <v>2</v>
      </c>
      <c r="E141" s="2">
        <f>SUMIFS(LS[Unit],LS[Investor ID],INVESTORS_LIST[[#This Row],[INVESTOR CODE]],LS[B/S],"B")</f>
        <v>0</v>
      </c>
      <c r="F141" s="2">
        <f>-SUMIFS(LS[Unit],LS[Investor ID],INVESTORS_LIST[[#This Row],[INVESTOR CODE]],LS[B/S],"S")</f>
        <v>0</v>
      </c>
      <c r="G141" s="2">
        <f>IF(INVESTORS_LIST[[#This Row],[LS_TOTAL UNITS BUY]]=0,0,INVESTORS_LIST[[#This Row],[LS_TOTAL UNITS BUY]]-INVESTORS_LIST[[#This Row],[LS_TOTAL UNITS SOLD]])</f>
        <v>0</v>
      </c>
      <c r="H141" s="4">
        <f>IF(INVESTORS_LIST[[#This Row],[LS_TOTAL UNITS BUY]]=0,0,SUMIFS(LS[Amount],LS[Investor ID],INVESTORS_LIST[[#This Row],[INVESTOR CODE]],LS[B/S],"B"))</f>
        <v>0</v>
      </c>
      <c r="I141" s="6">
        <f>IF(INVESTORS_LIST[[#This Row],[LS_TOTAL UNITS SOLD]]=0,0,SUMIFS(LS[Cost of Units Sold],LS[Investor ID],INVESTORS_LIST[[#This Row],[INVESTOR CODE]],LS[B/S],"S"))</f>
        <v>0</v>
      </c>
      <c r="J141" s="6">
        <f>IF(INVESTORS_LIST[[#This Row],[LS_TOTAL CURRENT UNITS]]=0,0,INVESTORS_LIST[[#This Row],[LS_TOTAL CURRENT UNITS]]*INVESTORS_LIST[[#This Row],[LS_AVERAGE COST]])</f>
        <v>0</v>
      </c>
      <c r="K141" s="4">
        <f>IF(INVESTORS_LIST[[#This Row],[LS_TOTAL UNITS SOLD]]=0,0,SUMIFS(LS[Realized Gain],LS[Investor ID],INVESTORS_LIST[[#This Row],[INVESTOR CODE]],LS[B/S],"S"))</f>
        <v>0</v>
      </c>
      <c r="L141" s="2">
        <f>SUMIFS(SIP[Unit],SIP[Investor ID],INVESTORS_LIST[[#This Row],[INVESTOR CODE]],SIP[B/S],"B")</f>
        <v>0</v>
      </c>
      <c r="M141" s="2">
        <f>-SUMIFS(SIP[Unit],SIP[Investor ID],INVESTORS_LIST[[#This Row],[INVESTOR CODE]],SIP[B/S],"S")</f>
        <v>0</v>
      </c>
      <c r="N141" s="33">
        <f>IF(INVESTORS_LIST[[#This Row],[SIP_TOTAL UNITS BUY]]=0,0,INVESTORS_LIST[[#This Row],[SIP_TOTAL UNITS BUY]]-INVESTORS_LIST[[#This Row],[SIP_TOTAL UNITS SOLD]])</f>
        <v>0</v>
      </c>
      <c r="O141" s="4">
        <f>IF(INVESTORS_LIST[[#This Row],[SIP_TOTAL UNITS BUY]]=0,0,SUMIFS(SIP[Amount],SIP[Investor ID],INVESTORS_LIST[[#This Row],[INVESTOR CODE]],SIP[B/S],"B"))</f>
        <v>0</v>
      </c>
      <c r="P141" s="4">
        <f>IF(INVESTORS_LIST[[#This Row],[SIP_TOTAL UNITS SOLD]]=0,0,SUMIFS(SIP[Cost of Units Sold],SIP[Investor ID],INVESTORS_LIST[[#This Row],[INVESTOR CODE]],SIP[B/S],"S"))</f>
        <v>0</v>
      </c>
      <c r="Q141" s="6">
        <f>IF(INVESTORS_LIST[[#This Row],[SIP_TOTAL CURRENT UNITS]]=0,0,INVESTORS_LIST[[#This Row],[SIP_TOTAL CURRENT UNITS]]*INVESTORS_LIST[[#This Row],[SIP_AVERAGE COST]])</f>
        <v>0</v>
      </c>
      <c r="R141" s="6">
        <f>IF(INVESTORS_LIST[[#This Row],[SIP_TOTAL UNITS SOLD]]=0,0,SUMIFS(SIP[Realized Gain],SIP[Investor ID],INVESTORS_LIST[[#This Row],[INVESTOR CODE]],SIP[B/S],"S"))</f>
        <v>0</v>
      </c>
      <c r="S141" s="33">
        <f>INVESTORS_LIST[[#This Row],[LS_TOTAL UNITS BUY]]+INVESTORS_LIST[[#This Row],[SIP_TOTAL UNITS BUY]]</f>
        <v>0</v>
      </c>
      <c r="T141" s="33">
        <f>INVESTORS_LIST[[#This Row],[LS_TOTAL UNITS SOLD]]+INVESTORS_LIST[[#This Row],[SIP_TOTAL UNITS SOLD]]</f>
        <v>0</v>
      </c>
      <c r="U141" s="33">
        <v>0</v>
      </c>
      <c r="V141" s="33">
        <f>SUMIFS(LS[BO UNIT TRANSFER],LS[Investor ID],INVESTORS_LIST[[#This Row],[INVESTOR CODE]],LS[B/S],"B")</f>
        <v>0</v>
      </c>
      <c r="W141" s="33">
        <f>SUMIFS(LS[BO UNIT TRANSFER],LS[Investor ID],INVESTORS_LIST[[#This Row],[INVESTOR CODE]],LS[B/S],"S")</f>
        <v>0</v>
      </c>
      <c r="X141" s="33">
        <f>SUMIFS(SIP[BO UNIT TRANSFER],SIP[Investor ID],INVESTORS_LIST[[#This Row],[INVESTOR CODE]],SIP[B/S],"S")</f>
        <v>0</v>
      </c>
      <c r="Y141" s="33">
        <f>SUMIFS(SIP[BO UNIT TRANSFER],SIP[Investor ID],INVESTORS_LIST[[#This Row],[INVESTOR CODE]],SIP[B/S],"B")</f>
        <v>0</v>
      </c>
      <c r="Z14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41" s="119">
        <f>INVESTORS_LIST[[#This Row],[TOTAL UNITS BUY]]-INVESTORS_LIST[[#This Row],[TOTAL UNITS SOLD]]</f>
        <v>0</v>
      </c>
      <c r="AB141" s="119">
        <f>INVESTORS_LIST[[#This Row],[TOTAL CURRENT UNITS]]-INVESTORS_LIST[[#This Row],[BO UNITS HOLD]]</f>
        <v>0</v>
      </c>
      <c r="AC141" s="119" t="e">
        <f>INDEX([4]!Table_1[BO ID],MATCH(INVESTORS_LIST[[#This Row],[INVESTOR CODE]],[4]!Table_1[INVESTOR CODE],0))</f>
        <v>#REF!</v>
      </c>
      <c r="AD141" s="33">
        <f>INVESTORS_LIST[[#This Row],[LS_TOTAL COST VALUE OF CURRENT UNITS]]+INVESTORS_LIST[[#This Row],[SIP_TOTAL COST VALUE OF CURRENT UNITS]]</f>
        <v>0</v>
      </c>
      <c r="AE141" s="44">
        <f>IF(INVESTORS_LIST[[#This Row],[TOTAL CURRENT UNITS]]=0,0,INVESTORS_LIST[[#This Row],[LS_TOTAL CURRENT UNITS]]/INVESTORS_LIST[[#This Row],[TOTAL CURRENT UNITS]])</f>
        <v>0</v>
      </c>
      <c r="AF141" s="44">
        <f>IF(INVESTORS_LIST[[#This Row],[TOTAL CURRENT UNITS]]=0,0,INVESTORS_LIST[[#This Row],[SIP_TOTAL CURRENT UNITS]]/INVESTORS_LIST[[#This Row],[TOTAL CURRENT UNITS]])</f>
        <v>0</v>
      </c>
      <c r="AG141" s="4" cm="1">
        <f t="array" ref="AG1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41" s="4" cm="1">
        <f t="array" ref="AH1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4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41" s="178">
        <f t="shared" si="2"/>
        <v>12.552</v>
      </c>
      <c r="AK141" s="118">
        <f>IF(INVESTORS_LIST[[#This Row],[TOTAL CURRENT UNITS]]=0,0,INVESTORS_LIST[[#This Row],[TOTAL CURRENT UNITS]]*INVESTORS_LIST[[#This Row],[NAV]])</f>
        <v>0</v>
      </c>
      <c r="AL141" s="4">
        <f>IF(INVESTORS_LIST[[#This Row],[LS_TOTAL CURRENT UNITS]]=0,0,INVESTORS_LIST[[#This Row],[LS_TOTAL CURRENT UNITS]]*INVESTORS_LIST[[#This Row],[NAV]])</f>
        <v>0</v>
      </c>
      <c r="AM141" s="6">
        <f>IF(INVESTORS_LIST[[#This Row],[SIP_TOTAL CURRENT UNITS]]=0,0,INVESTORS_LIST[[#This Row],[SIP_TOTAL CURRENT UNITS]]*INVESTORS_LIST[[#This Row],[NAV]])</f>
        <v>0</v>
      </c>
      <c r="AO141" s="6">
        <f>IF(INVESTORS_LIST[[#This Row],[TOTAL SELLABLE UNITS]]=0,0,INVESTORS_LIST[[#This Row],[TOTAL SELLABLE UNITS]]*INVESTORS_LIST[[#This Row],[NAV]])</f>
        <v>0</v>
      </c>
      <c r="AP141" s="6">
        <f>INVESTORS_LIST[[#This Row],[LS_TOTAL REALIZED GAIN]]+INVESTORS_LIST[[#This Row],[SIP_TOTAL REALIZED GAIN]]</f>
        <v>0</v>
      </c>
      <c r="AQ141" s="6">
        <f>INVESTORS_LIST[[#This Row],[TOTAL MARKET VALUE]]-INVESTORS_LIST[[#This Row],[TOTAL COST VALUE OF CURRENT INVESTMENT]]</f>
        <v>0</v>
      </c>
      <c r="AR141" s="6">
        <f>SUMIFS(DivAndTax[Tax Amount],DivAndTax[Investor ID],INVESTORS_LIST[[#This Row],[INVESTOR CODE]])</f>
        <v>0</v>
      </c>
      <c r="AS141" s="6">
        <f>SUMIFS(DivAndTax[Gross Dividend],DivAndTax[Investor ID],INVESTORS_LIST[[#This Row],[INVESTOR CODE]])</f>
        <v>0</v>
      </c>
      <c r="AT141" s="5">
        <f>IFERROR(INVESTORS_LIST[[#This Row],[TOTAL CURRENT UNITS]]/SUM(INVESTORS_LIST[TOTAL CURRENT UNITS]),0)</f>
        <v>0</v>
      </c>
    </row>
    <row r="142" spans="1:46">
      <c r="A142" t="s">
        <v>806</v>
      </c>
      <c r="B142" t="s">
        <v>175</v>
      </c>
      <c r="C142" t="s">
        <v>536</v>
      </c>
      <c r="D142" s="8" t="s">
        <v>2</v>
      </c>
      <c r="E142" s="2">
        <f>SUMIFS(LS[Unit],LS[Investor ID],INVESTORS_LIST[[#This Row],[INVESTOR CODE]],LS[B/S],"B")</f>
        <v>0</v>
      </c>
      <c r="F142" s="2">
        <f>-SUMIFS(LS[Unit],LS[Investor ID],INVESTORS_LIST[[#This Row],[INVESTOR CODE]],LS[B/S],"S")</f>
        <v>0</v>
      </c>
      <c r="G142" s="2">
        <f>IF(INVESTORS_LIST[[#This Row],[LS_TOTAL UNITS BUY]]=0,0,INVESTORS_LIST[[#This Row],[LS_TOTAL UNITS BUY]]-INVESTORS_LIST[[#This Row],[LS_TOTAL UNITS SOLD]])</f>
        <v>0</v>
      </c>
      <c r="H142" s="4">
        <f>IF(INVESTORS_LIST[[#This Row],[LS_TOTAL UNITS BUY]]=0,0,SUMIFS(LS[Amount],LS[Investor ID],INVESTORS_LIST[[#This Row],[INVESTOR CODE]],LS[B/S],"B"))</f>
        <v>0</v>
      </c>
      <c r="I142" s="6">
        <f>IF(INVESTORS_LIST[[#This Row],[LS_TOTAL UNITS SOLD]]=0,0,SUMIFS(LS[Cost of Units Sold],LS[Investor ID],INVESTORS_LIST[[#This Row],[INVESTOR CODE]],LS[B/S],"S"))</f>
        <v>0</v>
      </c>
      <c r="J142" s="6">
        <f>IF(INVESTORS_LIST[[#This Row],[LS_TOTAL CURRENT UNITS]]=0,0,INVESTORS_LIST[[#This Row],[LS_TOTAL CURRENT UNITS]]*INVESTORS_LIST[[#This Row],[LS_AVERAGE COST]])</f>
        <v>0</v>
      </c>
      <c r="K142" s="4">
        <f>IF(INVESTORS_LIST[[#This Row],[LS_TOTAL UNITS SOLD]]=0,0,SUMIFS(LS[Realized Gain],LS[Investor ID],INVESTORS_LIST[[#This Row],[INVESTOR CODE]],LS[B/S],"S"))</f>
        <v>0</v>
      </c>
      <c r="L142" s="2">
        <f>SUMIFS(SIP[Unit],SIP[Investor ID],INVESTORS_LIST[[#This Row],[INVESTOR CODE]],SIP[B/S],"B")</f>
        <v>502</v>
      </c>
      <c r="M142" s="2">
        <f>-SUMIFS(SIP[Unit],SIP[Investor ID],INVESTORS_LIST[[#This Row],[INVESTOR CODE]],SIP[B/S],"S")</f>
        <v>1</v>
      </c>
      <c r="N142" s="33">
        <f>IF(INVESTORS_LIST[[#This Row],[SIP_TOTAL UNITS BUY]]=0,0,INVESTORS_LIST[[#This Row],[SIP_TOTAL UNITS BUY]]-INVESTORS_LIST[[#This Row],[SIP_TOTAL UNITS SOLD]])</f>
        <v>501</v>
      </c>
      <c r="O142" s="4">
        <f>IF(INVESTORS_LIST[[#This Row],[SIP_TOTAL UNITS BUY]]=0,0,SUMIFS(SIP[Amount],SIP[Investor ID],INVESTORS_LIST[[#This Row],[INVESTOR CODE]],SIP[B/S],"B"))</f>
        <v>5000</v>
      </c>
      <c r="P142" s="4">
        <f>IF(INVESTORS_LIST[[#This Row],[SIP_TOTAL UNITS SOLD]]=0,0,SUMIFS(SIP[Cost of Units Sold],SIP[Investor ID],INVESTORS_LIST[[#This Row],[INVESTOR CODE]],SIP[B/S],"S"))</f>
        <v>9.9601593625498008</v>
      </c>
      <c r="Q142" s="6">
        <f>IF(INVESTORS_LIST[[#This Row],[SIP_TOTAL CURRENT UNITS]]=0,0,INVESTORS_LIST[[#This Row],[SIP_TOTAL CURRENT UNITS]]*INVESTORS_LIST[[#This Row],[SIP_AVERAGE COST]])</f>
        <v>4990.0398406374507</v>
      </c>
      <c r="R142" s="6">
        <f>IF(INVESTORS_LIST[[#This Row],[SIP_TOTAL UNITS SOLD]]=0,0,SUMIFS(SIP[Realized Gain],SIP[Investor ID],INVESTORS_LIST[[#This Row],[INVESTOR CODE]],SIP[B/S],"S"))</f>
        <v>-3.6801593625498006</v>
      </c>
      <c r="S142" s="33">
        <f>INVESTORS_LIST[[#This Row],[LS_TOTAL UNITS BUY]]+INVESTORS_LIST[[#This Row],[SIP_TOTAL UNITS BUY]]</f>
        <v>502</v>
      </c>
      <c r="T142" s="33">
        <f>INVESTORS_LIST[[#This Row],[LS_TOTAL UNITS SOLD]]+INVESTORS_LIST[[#This Row],[SIP_TOTAL UNITS SOLD]]</f>
        <v>1</v>
      </c>
      <c r="U142" s="33">
        <v>0</v>
      </c>
      <c r="V142" s="33">
        <f>SUMIFS(LS[BO UNIT TRANSFER],LS[Investor ID],INVESTORS_LIST[[#This Row],[INVESTOR CODE]],LS[B/S],"B")</f>
        <v>0</v>
      </c>
      <c r="W142" s="33">
        <f>SUMIFS(LS[BO UNIT TRANSFER],LS[Investor ID],INVESTORS_LIST[[#This Row],[INVESTOR CODE]],LS[B/S],"S")</f>
        <v>0</v>
      </c>
      <c r="X142" s="33">
        <f>SUMIFS(SIP[BO UNIT TRANSFER],SIP[Investor ID],INVESTORS_LIST[[#This Row],[INVESTOR CODE]],SIP[B/S],"S")</f>
        <v>0</v>
      </c>
      <c r="Y142" s="33">
        <f>SUMIFS(SIP[BO UNIT TRANSFER],SIP[Investor ID],INVESTORS_LIST[[#This Row],[INVESTOR CODE]],SIP[B/S],"B")</f>
        <v>0</v>
      </c>
      <c r="Z14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42" s="119">
        <f>INVESTORS_LIST[[#This Row],[TOTAL UNITS BUY]]-INVESTORS_LIST[[#This Row],[TOTAL UNITS SOLD]]</f>
        <v>501</v>
      </c>
      <c r="AB142" s="119">
        <f>INVESTORS_LIST[[#This Row],[TOTAL CURRENT UNITS]]-INVESTORS_LIST[[#This Row],[BO UNITS HOLD]]</f>
        <v>501</v>
      </c>
      <c r="AC142" s="119" t="e">
        <f>INDEX([4]!Table_1[BO ID],MATCH(INVESTORS_LIST[[#This Row],[INVESTOR CODE]],[4]!Table_1[INVESTOR CODE],0))</f>
        <v>#REF!</v>
      </c>
      <c r="AD142" s="33">
        <f>INVESTORS_LIST[[#This Row],[LS_TOTAL COST VALUE OF CURRENT UNITS]]+INVESTORS_LIST[[#This Row],[SIP_TOTAL COST VALUE OF CURRENT UNITS]]</f>
        <v>4990.0398406374507</v>
      </c>
      <c r="AE142" s="44">
        <f>IF(INVESTORS_LIST[[#This Row],[TOTAL CURRENT UNITS]]=0,0,INVESTORS_LIST[[#This Row],[LS_TOTAL CURRENT UNITS]]/INVESTORS_LIST[[#This Row],[TOTAL CURRENT UNITS]])</f>
        <v>0</v>
      </c>
      <c r="AF142" s="44">
        <f>IF(INVESTORS_LIST[[#This Row],[TOTAL CURRENT UNITS]]=0,0,INVESTORS_LIST[[#This Row],[SIP_TOTAL CURRENT UNITS]]/INVESTORS_LIST[[#This Row],[TOTAL CURRENT UNITS]])</f>
        <v>1</v>
      </c>
      <c r="AG142" s="4" cm="1">
        <f t="array" ref="AG14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42" s="4" cm="1">
        <f t="array" ref="AH142">IF(INVESTORS_LIST[[#This Row],[SIP_TOTAL UNITS BUY]]&gt;0,INDEX(SIP[NAV at Cost (Average)],MATCH(CONCATENATE(COUNTIFS(SIP[Investor ID],INVESTORS_LIST[[#This Row],[INVESTOR CODE]]),INVESTORS_LIST[[#This Row],[INVESTOR CODE]]),SIP[Unique Code],0),),0)</f>
        <v>9.9601593625498008</v>
      </c>
      <c r="AI142" s="178">
        <f>IF(INVESTORS_LIST[[#This Row],[TOTAL CURRENT UNITS]]=0,0,(INVESTORS_LIST[[#This Row],[LS_WEIGHT]]*INVESTORS_LIST[[#This Row],[LS_AVERAGE COST]])+(INVESTORS_LIST[[#This Row],[SIP_WEIGHT]]*INVESTORS_LIST[[#This Row],[SIP_AVERAGE COST]]))</f>
        <v>9.9601593625498008</v>
      </c>
      <c r="AJ142" s="178">
        <f t="shared" si="2"/>
        <v>12.552</v>
      </c>
      <c r="AK142" s="118">
        <f>IF(INVESTORS_LIST[[#This Row],[TOTAL CURRENT UNITS]]=0,0,INVESTORS_LIST[[#This Row],[TOTAL CURRENT UNITS]]*INVESTORS_LIST[[#This Row],[NAV]])</f>
        <v>6288.5519999999997</v>
      </c>
      <c r="AL142" s="4">
        <f>IF(INVESTORS_LIST[[#This Row],[LS_TOTAL CURRENT UNITS]]=0,0,INVESTORS_LIST[[#This Row],[LS_TOTAL CURRENT UNITS]]*INVESTORS_LIST[[#This Row],[NAV]])</f>
        <v>0</v>
      </c>
      <c r="AM142" s="6">
        <f>IF(INVESTORS_LIST[[#This Row],[SIP_TOTAL CURRENT UNITS]]=0,0,INVESTORS_LIST[[#This Row],[SIP_TOTAL CURRENT UNITS]]*INVESTORS_LIST[[#This Row],[NAV]])</f>
        <v>6288.5519999999997</v>
      </c>
      <c r="AO142" s="6">
        <f>IF(INVESTORS_LIST[[#This Row],[TOTAL SELLABLE UNITS]]=0,0,INVESTORS_LIST[[#This Row],[TOTAL SELLABLE UNITS]]*INVESTORS_LIST[[#This Row],[NAV]])</f>
        <v>0</v>
      </c>
      <c r="AP142" s="6">
        <f>INVESTORS_LIST[[#This Row],[LS_TOTAL REALIZED GAIN]]+INVESTORS_LIST[[#This Row],[SIP_TOTAL REALIZED GAIN]]</f>
        <v>-3.6801593625498006</v>
      </c>
      <c r="AQ142" s="6">
        <f>INVESTORS_LIST[[#This Row],[TOTAL MARKET VALUE]]-INVESTORS_LIST[[#This Row],[TOTAL COST VALUE OF CURRENT INVESTMENT]]</f>
        <v>1298.512159362549</v>
      </c>
      <c r="AR142" s="6">
        <f>SUMIFS(DivAndTax[Tax Amount],DivAndTax[Investor ID],INVESTORS_LIST[[#This Row],[INVESTOR CODE]])</f>
        <v>82.71</v>
      </c>
      <c r="AS142" s="6">
        <f>SUMIFS(DivAndTax[Gross Dividend],DivAndTax[Investor ID],INVESTORS_LIST[[#This Row],[INVESTOR CODE]])</f>
        <v>551.35</v>
      </c>
      <c r="AT142" s="5">
        <f>IFERROR(INVESTORS_LIST[[#This Row],[TOTAL CURRENT UNITS]]/SUM(INVESTORS_LIST[TOTAL CURRENT UNITS]),0)</f>
        <v>2.4020362363227769E-5</v>
      </c>
    </row>
    <row r="143" spans="1:46" hidden="1">
      <c r="A143" t="s">
        <v>807</v>
      </c>
      <c r="B143" t="s">
        <v>176</v>
      </c>
      <c r="C143" t="s">
        <v>536</v>
      </c>
      <c r="D143" s="8" t="s">
        <v>2</v>
      </c>
      <c r="E143" s="2">
        <f>SUMIFS(LS[Unit],LS[Investor ID],INVESTORS_LIST[[#This Row],[INVESTOR CODE]],LS[B/S],"B")</f>
        <v>0</v>
      </c>
      <c r="F143" s="2">
        <f>-SUMIFS(LS[Unit],LS[Investor ID],INVESTORS_LIST[[#This Row],[INVESTOR CODE]],LS[B/S],"S")</f>
        <v>0</v>
      </c>
      <c r="G143" s="2">
        <f>IF(INVESTORS_LIST[[#This Row],[LS_TOTAL UNITS BUY]]=0,0,INVESTORS_LIST[[#This Row],[LS_TOTAL UNITS BUY]]-INVESTORS_LIST[[#This Row],[LS_TOTAL UNITS SOLD]])</f>
        <v>0</v>
      </c>
      <c r="H143" s="4">
        <f>IF(INVESTORS_LIST[[#This Row],[LS_TOTAL UNITS BUY]]=0,0,SUMIFS(LS[Amount],LS[Investor ID],INVESTORS_LIST[[#This Row],[INVESTOR CODE]],LS[B/S],"B"))</f>
        <v>0</v>
      </c>
      <c r="I143" s="6">
        <f>IF(INVESTORS_LIST[[#This Row],[LS_TOTAL UNITS SOLD]]=0,0,SUMIFS(LS[Cost of Units Sold],LS[Investor ID],INVESTORS_LIST[[#This Row],[INVESTOR CODE]],LS[B/S],"S"))</f>
        <v>0</v>
      </c>
      <c r="J143" s="6">
        <f>IF(INVESTORS_LIST[[#This Row],[LS_TOTAL CURRENT UNITS]]=0,0,INVESTORS_LIST[[#This Row],[LS_TOTAL CURRENT UNITS]]*INVESTORS_LIST[[#This Row],[LS_AVERAGE COST]])</f>
        <v>0</v>
      </c>
      <c r="K143" s="4">
        <f>IF(INVESTORS_LIST[[#This Row],[LS_TOTAL UNITS SOLD]]=0,0,SUMIFS(LS[Realized Gain],LS[Investor ID],INVESTORS_LIST[[#This Row],[INVESTOR CODE]],LS[B/S],"S"))</f>
        <v>0</v>
      </c>
      <c r="L143" s="2">
        <f>SUMIFS(SIP[Unit],SIP[Investor ID],INVESTORS_LIST[[#This Row],[INVESTOR CODE]],SIP[B/S],"B")</f>
        <v>0</v>
      </c>
      <c r="M143" s="2">
        <f>-SUMIFS(SIP[Unit],SIP[Investor ID],INVESTORS_LIST[[#This Row],[INVESTOR CODE]],SIP[B/S],"S")</f>
        <v>0</v>
      </c>
      <c r="N143" s="33">
        <f>IF(INVESTORS_LIST[[#This Row],[SIP_TOTAL UNITS BUY]]=0,0,INVESTORS_LIST[[#This Row],[SIP_TOTAL UNITS BUY]]-INVESTORS_LIST[[#This Row],[SIP_TOTAL UNITS SOLD]])</f>
        <v>0</v>
      </c>
      <c r="O143" s="4">
        <f>IF(INVESTORS_LIST[[#This Row],[SIP_TOTAL UNITS BUY]]=0,0,SUMIFS(SIP[Amount],SIP[Investor ID],INVESTORS_LIST[[#This Row],[INVESTOR CODE]],SIP[B/S],"B"))</f>
        <v>0</v>
      </c>
      <c r="P143" s="4">
        <f>IF(INVESTORS_LIST[[#This Row],[SIP_TOTAL UNITS SOLD]]=0,0,SUMIFS(SIP[Cost of Units Sold],SIP[Investor ID],INVESTORS_LIST[[#This Row],[INVESTOR CODE]],SIP[B/S],"S"))</f>
        <v>0</v>
      </c>
      <c r="Q143" s="6">
        <f>IF(INVESTORS_LIST[[#This Row],[SIP_TOTAL CURRENT UNITS]]=0,0,INVESTORS_LIST[[#This Row],[SIP_TOTAL CURRENT UNITS]]*INVESTORS_LIST[[#This Row],[SIP_AVERAGE COST]])</f>
        <v>0</v>
      </c>
      <c r="R143" s="6">
        <f>IF(INVESTORS_LIST[[#This Row],[SIP_TOTAL UNITS SOLD]]=0,0,SUMIFS(SIP[Realized Gain],SIP[Investor ID],INVESTORS_LIST[[#This Row],[INVESTOR CODE]],SIP[B/S],"S"))</f>
        <v>0</v>
      </c>
      <c r="S143" s="33">
        <f>INVESTORS_LIST[[#This Row],[LS_TOTAL UNITS BUY]]+INVESTORS_LIST[[#This Row],[SIP_TOTAL UNITS BUY]]</f>
        <v>0</v>
      </c>
      <c r="T143" s="33">
        <f>INVESTORS_LIST[[#This Row],[LS_TOTAL UNITS SOLD]]+INVESTORS_LIST[[#This Row],[SIP_TOTAL UNITS SOLD]]</f>
        <v>0</v>
      </c>
      <c r="U143" s="33">
        <v>0</v>
      </c>
      <c r="V143" s="33">
        <f>SUMIFS(LS[BO UNIT TRANSFER],LS[Investor ID],INVESTORS_LIST[[#This Row],[INVESTOR CODE]],LS[B/S],"B")</f>
        <v>0</v>
      </c>
      <c r="W143" s="33">
        <f>SUMIFS(LS[BO UNIT TRANSFER],LS[Investor ID],INVESTORS_LIST[[#This Row],[INVESTOR CODE]],LS[B/S],"S")</f>
        <v>0</v>
      </c>
      <c r="X143" s="33">
        <f>SUMIFS(SIP[BO UNIT TRANSFER],SIP[Investor ID],INVESTORS_LIST[[#This Row],[INVESTOR CODE]],SIP[B/S],"S")</f>
        <v>0</v>
      </c>
      <c r="Y143" s="33">
        <f>SUMIFS(SIP[BO UNIT TRANSFER],SIP[Investor ID],INVESTORS_LIST[[#This Row],[INVESTOR CODE]],SIP[B/S],"B")</f>
        <v>0</v>
      </c>
      <c r="Z14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43" s="119">
        <f>INVESTORS_LIST[[#This Row],[TOTAL UNITS BUY]]-INVESTORS_LIST[[#This Row],[TOTAL UNITS SOLD]]</f>
        <v>0</v>
      </c>
      <c r="AB143" s="119">
        <f>INVESTORS_LIST[[#This Row],[TOTAL CURRENT UNITS]]-INVESTORS_LIST[[#This Row],[BO UNITS HOLD]]</f>
        <v>0</v>
      </c>
      <c r="AC143" s="119" t="e">
        <f>INDEX([4]!Table_1[BO ID],MATCH(INVESTORS_LIST[[#This Row],[INVESTOR CODE]],[4]!Table_1[INVESTOR CODE],0))</f>
        <v>#REF!</v>
      </c>
      <c r="AD143" s="33">
        <f>INVESTORS_LIST[[#This Row],[LS_TOTAL COST VALUE OF CURRENT UNITS]]+INVESTORS_LIST[[#This Row],[SIP_TOTAL COST VALUE OF CURRENT UNITS]]</f>
        <v>0</v>
      </c>
      <c r="AE143" s="44">
        <f>IF(INVESTORS_LIST[[#This Row],[TOTAL CURRENT UNITS]]=0,0,INVESTORS_LIST[[#This Row],[LS_TOTAL CURRENT UNITS]]/INVESTORS_LIST[[#This Row],[TOTAL CURRENT UNITS]])</f>
        <v>0</v>
      </c>
      <c r="AF143" s="44">
        <f>IF(INVESTORS_LIST[[#This Row],[TOTAL CURRENT UNITS]]=0,0,INVESTORS_LIST[[#This Row],[SIP_TOTAL CURRENT UNITS]]/INVESTORS_LIST[[#This Row],[TOTAL CURRENT UNITS]])</f>
        <v>0</v>
      </c>
      <c r="AG143" s="4" cm="1">
        <f t="array" ref="AG14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43" s="4" cm="1">
        <f t="array" ref="AH1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4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43" s="178">
        <f t="shared" si="2"/>
        <v>12.552</v>
      </c>
      <c r="AK143" s="118">
        <f>IF(INVESTORS_LIST[[#This Row],[TOTAL CURRENT UNITS]]=0,0,INVESTORS_LIST[[#This Row],[TOTAL CURRENT UNITS]]*INVESTORS_LIST[[#This Row],[NAV]])</f>
        <v>0</v>
      </c>
      <c r="AL143" s="4">
        <f>IF(INVESTORS_LIST[[#This Row],[LS_TOTAL CURRENT UNITS]]=0,0,INVESTORS_LIST[[#This Row],[LS_TOTAL CURRENT UNITS]]*INVESTORS_LIST[[#This Row],[NAV]])</f>
        <v>0</v>
      </c>
      <c r="AM143" s="6">
        <f>IF(INVESTORS_LIST[[#This Row],[SIP_TOTAL CURRENT UNITS]]=0,0,INVESTORS_LIST[[#This Row],[SIP_TOTAL CURRENT UNITS]]*INVESTORS_LIST[[#This Row],[NAV]])</f>
        <v>0</v>
      </c>
      <c r="AO143" s="6">
        <f>IF(INVESTORS_LIST[[#This Row],[TOTAL SELLABLE UNITS]]=0,0,INVESTORS_LIST[[#This Row],[TOTAL SELLABLE UNITS]]*INVESTORS_LIST[[#This Row],[NAV]])</f>
        <v>0</v>
      </c>
      <c r="AP143" s="6">
        <f>INVESTORS_LIST[[#This Row],[LS_TOTAL REALIZED GAIN]]+INVESTORS_LIST[[#This Row],[SIP_TOTAL REALIZED GAIN]]</f>
        <v>0</v>
      </c>
      <c r="AQ143" s="6">
        <f>INVESTORS_LIST[[#This Row],[TOTAL MARKET VALUE]]-INVESTORS_LIST[[#This Row],[TOTAL COST VALUE OF CURRENT INVESTMENT]]</f>
        <v>0</v>
      </c>
      <c r="AR143" s="6">
        <f>SUMIFS(DivAndTax[Tax Amount],DivAndTax[Investor ID],INVESTORS_LIST[[#This Row],[INVESTOR CODE]])</f>
        <v>0</v>
      </c>
      <c r="AS143" s="6">
        <f>SUMIFS(DivAndTax[Gross Dividend],DivAndTax[Investor ID],INVESTORS_LIST[[#This Row],[INVESTOR CODE]])</f>
        <v>0</v>
      </c>
      <c r="AT143" s="5">
        <f>IFERROR(INVESTORS_LIST[[#This Row],[TOTAL CURRENT UNITS]]/SUM(INVESTORS_LIST[TOTAL CURRENT UNITS]),0)</f>
        <v>0</v>
      </c>
    </row>
    <row r="144" spans="1:46">
      <c r="A144" t="s">
        <v>631</v>
      </c>
      <c r="B144" t="s">
        <v>177</v>
      </c>
      <c r="C144" t="s">
        <v>536</v>
      </c>
      <c r="D144" s="8" t="s">
        <v>2</v>
      </c>
      <c r="E144" s="2">
        <f>SUMIFS(LS[Unit],LS[Investor ID],INVESTORS_LIST[[#This Row],[INVESTOR CODE]],LS[B/S],"B")</f>
        <v>105992</v>
      </c>
      <c r="F144" s="2">
        <f>-SUMIFS(LS[Unit],LS[Investor ID],INVESTORS_LIST[[#This Row],[INVESTOR CODE]],LS[B/S],"S")</f>
        <v>90069</v>
      </c>
      <c r="G144" s="2">
        <f>IF(INVESTORS_LIST[[#This Row],[LS_TOTAL UNITS BUY]]=0,0,INVESTORS_LIST[[#This Row],[LS_TOTAL UNITS BUY]]-INVESTORS_LIST[[#This Row],[LS_TOTAL UNITS SOLD]])</f>
        <v>15923</v>
      </c>
      <c r="H144" s="4">
        <f>IF(INVESTORS_LIST[[#This Row],[LS_TOTAL UNITS BUY]]=0,0,SUMIFS(LS[Amount],LS[Investor ID],INVESTORS_LIST[[#This Row],[INVESTOR CODE]],LS[B/S],"B"))</f>
        <v>1100000</v>
      </c>
      <c r="I144" s="6">
        <f>IF(INVESTORS_LIST[[#This Row],[LS_TOTAL UNITS SOLD]]=0,0,SUMIFS(LS[Cost of Units Sold],LS[Investor ID],INVESTORS_LIST[[#This Row],[INVESTOR CODE]],LS[B/S],"S"))</f>
        <v>900000</v>
      </c>
      <c r="J144" s="6">
        <f>IF(INVESTORS_LIST[[#This Row],[LS_TOTAL CURRENT UNITS]]=0,0,INVESTORS_LIST[[#This Row],[LS_TOTAL CURRENT UNITS]]*INVESTORS_LIST[[#This Row],[LS_AVERAGE COST]])</f>
        <v>200000</v>
      </c>
      <c r="K144" s="4">
        <f>IF(INVESTORS_LIST[[#This Row],[LS_TOTAL UNITS SOLD]]=0,0,SUMIFS(LS[Realized Gain],LS[Investor ID],INVESTORS_LIST[[#This Row],[INVESTOR CODE]],LS[B/S],"S"))</f>
        <v>-5435.0800000001045</v>
      </c>
      <c r="L144" s="2">
        <f>SUMIFS(SIP[Unit],SIP[Investor ID],INVESTORS_LIST[[#This Row],[INVESTOR CODE]],SIP[B/S],"B")</f>
        <v>26571</v>
      </c>
      <c r="M144" s="2">
        <f>-SUMIFS(SIP[Unit],SIP[Investor ID],INVESTORS_LIST[[#This Row],[INVESTOR CODE]],SIP[B/S],"S")</f>
        <v>26571</v>
      </c>
      <c r="N144" s="33">
        <f>IF(INVESTORS_LIST[[#This Row],[SIP_TOTAL UNITS BUY]]=0,0,INVESTORS_LIST[[#This Row],[SIP_TOTAL UNITS BUY]]-INVESTORS_LIST[[#This Row],[SIP_TOTAL UNITS SOLD]])</f>
        <v>0</v>
      </c>
      <c r="O144" s="4">
        <f>IF(INVESTORS_LIST[[#This Row],[SIP_TOTAL UNITS BUY]]=0,0,SUMIFS(SIP[Amount],SIP[Investor ID],INVESTORS_LIST[[#This Row],[INVESTOR CODE]],SIP[B/S],"B"))</f>
        <v>270000</v>
      </c>
      <c r="P144" s="4">
        <f>IF(INVESTORS_LIST[[#This Row],[SIP_TOTAL UNITS SOLD]]=0,0,SUMIFS(SIP[Cost of Units Sold],SIP[Investor ID],INVESTORS_LIST[[#This Row],[INVESTOR CODE]],SIP[B/S],"S"))</f>
        <v>270000</v>
      </c>
      <c r="Q144" s="6">
        <f>IF(INVESTORS_LIST[[#This Row],[SIP_TOTAL CURRENT UNITS]]=0,0,INVESTORS_LIST[[#This Row],[SIP_TOTAL CURRENT UNITS]]*INVESTORS_LIST[[#This Row],[SIP_AVERAGE COST]])</f>
        <v>0</v>
      </c>
      <c r="R144" s="6">
        <f>IF(INVESTORS_LIST[[#This Row],[SIP_TOTAL UNITS SOLD]]=0,0,SUMIFS(SIP[Realized Gain],SIP[Investor ID],INVESTORS_LIST[[#This Row],[INVESTOR CODE]],SIP[B/S],"S"))</f>
        <v>4017.2499999999723</v>
      </c>
      <c r="S144" s="33">
        <f>INVESTORS_LIST[[#This Row],[LS_TOTAL UNITS BUY]]+INVESTORS_LIST[[#This Row],[SIP_TOTAL UNITS BUY]]</f>
        <v>132563</v>
      </c>
      <c r="T144" s="33">
        <f>INVESTORS_LIST[[#This Row],[LS_TOTAL UNITS SOLD]]+INVESTORS_LIST[[#This Row],[SIP_TOTAL UNITS SOLD]]</f>
        <v>116640</v>
      </c>
      <c r="U144" s="33">
        <v>83150</v>
      </c>
      <c r="V144" s="33">
        <f>SUMIFS(LS[BO UNIT TRANSFER],LS[Investor ID],INVESTORS_LIST[[#This Row],[INVESTOR CODE]],LS[B/S],"B")</f>
        <v>0</v>
      </c>
      <c r="W144" s="33">
        <f>SUMIFS(LS[BO UNIT TRANSFER],LS[Investor ID],INVESTORS_LIST[[#This Row],[INVESTOR CODE]],LS[B/S],"S")</f>
        <v>0</v>
      </c>
      <c r="X144" s="33">
        <f>SUMIFS(SIP[BO UNIT TRANSFER],SIP[Investor ID],INVESTORS_LIST[[#This Row],[INVESTOR CODE]],SIP[B/S],"S")</f>
        <v>0</v>
      </c>
      <c r="Y144" s="33">
        <f>SUMIFS(SIP[BO UNIT TRANSFER],SIP[Investor ID],INVESTORS_LIST[[#This Row],[INVESTOR CODE]],SIP[B/S],"B")</f>
        <v>0</v>
      </c>
      <c r="Z14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83150</v>
      </c>
      <c r="AA144" s="119">
        <f>INVESTORS_LIST[[#This Row],[TOTAL UNITS BUY]]-INVESTORS_LIST[[#This Row],[TOTAL UNITS SOLD]]</f>
        <v>15923</v>
      </c>
      <c r="AB144" s="119">
        <f>INVESTORS_LIST[[#This Row],[TOTAL CURRENT UNITS]]-INVESTORS_LIST[[#This Row],[BO UNITS HOLD]]</f>
        <v>-67227</v>
      </c>
      <c r="AC144" s="119" t="e">
        <f>INDEX([4]!Table_1[BO ID],MATCH(INVESTORS_LIST[[#This Row],[INVESTOR CODE]],[4]!Table_1[INVESTOR CODE],0))</f>
        <v>#REF!</v>
      </c>
      <c r="AD144" s="33">
        <f>INVESTORS_LIST[[#This Row],[LS_TOTAL COST VALUE OF CURRENT UNITS]]+INVESTORS_LIST[[#This Row],[SIP_TOTAL COST VALUE OF CURRENT UNITS]]</f>
        <v>200000</v>
      </c>
      <c r="AE144" s="44">
        <f>IF(INVESTORS_LIST[[#This Row],[TOTAL CURRENT UNITS]]=0,0,INVESTORS_LIST[[#This Row],[LS_TOTAL CURRENT UNITS]]/INVESTORS_LIST[[#This Row],[TOTAL CURRENT UNITS]])</f>
        <v>1</v>
      </c>
      <c r="AF144" s="44">
        <f>IF(INVESTORS_LIST[[#This Row],[TOTAL CURRENT UNITS]]=0,0,INVESTORS_LIST[[#This Row],[SIP_TOTAL CURRENT UNITS]]/INVESTORS_LIST[[#This Row],[TOTAL CURRENT UNITS]])</f>
        <v>0</v>
      </c>
      <c r="AG144" s="4" cm="1">
        <f t="array" ref="AG144">IF(INVESTORS_LIST[[#This Row],[LS_TOTAL UNITS BUY]]&gt;0,INDEX(LS[NAV at Cost (Average)],MATCH(CONCATENATE(COUNTIFS(LS[Investor ID],INVESTORS_LIST[[#This Row],[INVESTOR CODE]]),INVESTORS_LIST[[#This Row],[INVESTOR CODE]]),LS[Unique Code],0),),0)</f>
        <v>12.560447151918609</v>
      </c>
      <c r="AH144" s="4" cm="1">
        <f t="array" ref="AH14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44" s="178">
        <f>IF(INVESTORS_LIST[[#This Row],[TOTAL CURRENT UNITS]]=0,0,(INVESTORS_LIST[[#This Row],[LS_WEIGHT]]*INVESTORS_LIST[[#This Row],[LS_AVERAGE COST]])+(INVESTORS_LIST[[#This Row],[SIP_WEIGHT]]*INVESTORS_LIST[[#This Row],[SIP_AVERAGE COST]]))</f>
        <v>12.560447151918609</v>
      </c>
      <c r="AJ144" s="178">
        <f t="shared" si="2"/>
        <v>12.552</v>
      </c>
      <c r="AK144" s="118">
        <f>IF(INVESTORS_LIST[[#This Row],[TOTAL CURRENT UNITS]]=0,0,INVESTORS_LIST[[#This Row],[TOTAL CURRENT UNITS]]*INVESTORS_LIST[[#This Row],[NAV]])</f>
        <v>199865.49599999998</v>
      </c>
      <c r="AL144" s="4">
        <f>IF(INVESTORS_LIST[[#This Row],[LS_TOTAL CURRENT UNITS]]=0,0,INVESTORS_LIST[[#This Row],[LS_TOTAL CURRENT UNITS]]*INVESTORS_LIST[[#This Row],[NAV]])</f>
        <v>199865.49599999998</v>
      </c>
      <c r="AM144" s="6">
        <f>IF(INVESTORS_LIST[[#This Row],[SIP_TOTAL CURRENT UNITS]]=0,0,INVESTORS_LIST[[#This Row],[SIP_TOTAL CURRENT UNITS]]*INVESTORS_LIST[[#This Row],[NAV]])</f>
        <v>0</v>
      </c>
      <c r="AO144" s="6">
        <f>IF(INVESTORS_LIST[[#This Row],[TOTAL SELLABLE UNITS]]=0,0,INVESTORS_LIST[[#This Row],[TOTAL SELLABLE UNITS]]*INVESTORS_LIST[[#This Row],[NAV]])</f>
        <v>0</v>
      </c>
      <c r="AP144" s="6">
        <f>INVESTORS_LIST[[#This Row],[LS_TOTAL REALIZED GAIN]]+INVESTORS_LIST[[#This Row],[SIP_TOTAL REALIZED GAIN]]</f>
        <v>-1417.8300000001323</v>
      </c>
      <c r="AQ144" s="6">
        <f>INVESTORS_LIST[[#This Row],[TOTAL MARKET VALUE]]-INVESTORS_LIST[[#This Row],[TOTAL COST VALUE OF CURRENT INVESTMENT]]</f>
        <v>-134.50400000001537</v>
      </c>
      <c r="AR144" s="6">
        <f>SUMIFS(DivAndTax[Tax Amount],DivAndTax[Investor ID],INVESTORS_LIST[[#This Row],[INVESTOR CODE]])</f>
        <v>106.35</v>
      </c>
      <c r="AS144" s="6">
        <f>SUMIFS(DivAndTax[Gross Dividend],DivAndTax[Investor ID],INVESTORS_LIST[[#This Row],[INVESTOR CODE]])</f>
        <v>1063.5</v>
      </c>
      <c r="AT144" s="5">
        <f>IFERROR(INVESTORS_LIST[[#This Row],[TOTAL CURRENT UNITS]]/SUM(INVESTORS_LIST[TOTAL CURRENT UNITS]),0)</f>
        <v>7.6342560860214728E-4</v>
      </c>
    </row>
    <row r="145" spans="1:46" hidden="1">
      <c r="A145" t="s">
        <v>808</v>
      </c>
      <c r="B145" t="s">
        <v>178</v>
      </c>
      <c r="C145" t="s">
        <v>536</v>
      </c>
      <c r="D145" s="8" t="s">
        <v>2</v>
      </c>
      <c r="E145" s="2">
        <f>SUMIFS(LS[Unit],LS[Investor ID],INVESTORS_LIST[[#This Row],[INVESTOR CODE]],LS[B/S],"B")</f>
        <v>31857</v>
      </c>
      <c r="F145" s="2">
        <f>-SUMIFS(LS[Unit],LS[Investor ID],INVESTORS_LIST[[#This Row],[INVESTOR CODE]],LS[B/S],"S")</f>
        <v>31857</v>
      </c>
      <c r="G145" s="2">
        <f>IF(INVESTORS_LIST[[#This Row],[LS_TOTAL UNITS BUY]]=0,0,INVESTORS_LIST[[#This Row],[LS_TOTAL UNITS BUY]]-INVESTORS_LIST[[#This Row],[LS_TOTAL UNITS SOLD]])</f>
        <v>0</v>
      </c>
      <c r="H145" s="4">
        <f>IF(INVESTORS_LIST[[#This Row],[LS_TOTAL UNITS BUY]]=0,0,SUMIFS(LS[Amount],LS[Investor ID],INVESTORS_LIST[[#This Row],[INVESTOR CODE]],LS[B/S],"B"))</f>
        <v>321383</v>
      </c>
      <c r="I145" s="6">
        <f>IF(INVESTORS_LIST[[#This Row],[LS_TOTAL UNITS SOLD]]=0,0,SUMIFS(LS[Cost of Units Sold],LS[Investor ID],INVESTORS_LIST[[#This Row],[INVESTOR CODE]],LS[B/S],"S"))</f>
        <v>312838.79330662265</v>
      </c>
      <c r="J145" s="6">
        <f>IF(INVESTORS_LIST[[#This Row],[LS_TOTAL CURRENT UNITS]]=0,0,INVESTORS_LIST[[#This Row],[LS_TOTAL CURRENT UNITS]]*INVESTORS_LIST[[#This Row],[LS_AVERAGE COST]])</f>
        <v>0</v>
      </c>
      <c r="K145" s="4">
        <f>IF(INVESTORS_LIST[[#This Row],[LS_TOTAL UNITS SOLD]]=0,0,SUMIFS(LS[Realized Gain],LS[Investor ID],INVESTORS_LIST[[#This Row],[INVESTOR CODE]],LS[B/S],"S"))</f>
        <v>23532.006693377291</v>
      </c>
      <c r="L145" s="2">
        <f>SUMIFS(SIP[Unit],SIP[Investor ID],INVESTORS_LIST[[#This Row],[INVESTOR CODE]],SIP[B/S],"B")</f>
        <v>0</v>
      </c>
      <c r="M145" s="2">
        <f>-SUMIFS(SIP[Unit],SIP[Investor ID],INVESTORS_LIST[[#This Row],[INVESTOR CODE]],SIP[B/S],"S")</f>
        <v>0</v>
      </c>
      <c r="N145" s="33">
        <f>IF(INVESTORS_LIST[[#This Row],[SIP_TOTAL UNITS BUY]]=0,0,INVESTORS_LIST[[#This Row],[SIP_TOTAL UNITS BUY]]-INVESTORS_LIST[[#This Row],[SIP_TOTAL UNITS SOLD]])</f>
        <v>0</v>
      </c>
      <c r="O145" s="4">
        <f>IF(INVESTORS_LIST[[#This Row],[SIP_TOTAL UNITS BUY]]=0,0,SUMIFS(SIP[Amount],SIP[Investor ID],INVESTORS_LIST[[#This Row],[INVESTOR CODE]],SIP[B/S],"B"))</f>
        <v>0</v>
      </c>
      <c r="P145" s="4">
        <f>IF(INVESTORS_LIST[[#This Row],[SIP_TOTAL UNITS SOLD]]=0,0,SUMIFS(SIP[Cost of Units Sold],SIP[Investor ID],INVESTORS_LIST[[#This Row],[INVESTOR CODE]],SIP[B/S],"S"))</f>
        <v>0</v>
      </c>
      <c r="Q145" s="6">
        <f>IF(INVESTORS_LIST[[#This Row],[SIP_TOTAL CURRENT UNITS]]=0,0,INVESTORS_LIST[[#This Row],[SIP_TOTAL CURRENT UNITS]]*INVESTORS_LIST[[#This Row],[SIP_AVERAGE COST]])</f>
        <v>0</v>
      </c>
      <c r="R145" s="6">
        <f>IF(INVESTORS_LIST[[#This Row],[SIP_TOTAL UNITS SOLD]]=0,0,SUMIFS(SIP[Realized Gain],SIP[Investor ID],INVESTORS_LIST[[#This Row],[INVESTOR CODE]],SIP[B/S],"S"))</f>
        <v>0</v>
      </c>
      <c r="S145" s="33">
        <f>INVESTORS_LIST[[#This Row],[LS_TOTAL UNITS BUY]]+INVESTORS_LIST[[#This Row],[SIP_TOTAL UNITS BUY]]</f>
        <v>31857</v>
      </c>
      <c r="T145" s="33">
        <f>INVESTORS_LIST[[#This Row],[LS_TOTAL UNITS SOLD]]+INVESTORS_LIST[[#This Row],[SIP_TOTAL UNITS SOLD]]</f>
        <v>31857</v>
      </c>
      <c r="U145" s="33">
        <v>0</v>
      </c>
      <c r="V145" s="33">
        <f>SUMIFS(LS[BO UNIT TRANSFER],LS[Investor ID],INVESTORS_LIST[[#This Row],[INVESTOR CODE]],LS[B/S],"B")</f>
        <v>0</v>
      </c>
      <c r="W145" s="33">
        <f>SUMIFS(LS[BO UNIT TRANSFER],LS[Investor ID],INVESTORS_LIST[[#This Row],[INVESTOR CODE]],LS[B/S],"S")</f>
        <v>0</v>
      </c>
      <c r="X145" s="33">
        <f>SUMIFS(SIP[BO UNIT TRANSFER],SIP[Investor ID],INVESTORS_LIST[[#This Row],[INVESTOR CODE]],SIP[B/S],"S")</f>
        <v>0</v>
      </c>
      <c r="Y145" s="33">
        <f>SUMIFS(SIP[BO UNIT TRANSFER],SIP[Investor ID],INVESTORS_LIST[[#This Row],[INVESTOR CODE]],SIP[B/S],"B")</f>
        <v>0</v>
      </c>
      <c r="Z14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45" s="119">
        <f>INVESTORS_LIST[[#This Row],[TOTAL UNITS BUY]]-INVESTORS_LIST[[#This Row],[TOTAL UNITS SOLD]]</f>
        <v>0</v>
      </c>
      <c r="AB145" s="119">
        <f>INVESTORS_LIST[[#This Row],[TOTAL CURRENT UNITS]]-INVESTORS_LIST[[#This Row],[BO UNITS HOLD]]</f>
        <v>0</v>
      </c>
      <c r="AC145" s="119" t="e">
        <f>INDEX([4]!Table_1[BO ID],MATCH(INVESTORS_LIST[[#This Row],[INVESTOR CODE]],[4]!Table_1[INVESTOR CODE],0))</f>
        <v>#REF!</v>
      </c>
      <c r="AD145" s="33">
        <f>INVESTORS_LIST[[#This Row],[LS_TOTAL COST VALUE OF CURRENT UNITS]]+INVESTORS_LIST[[#This Row],[SIP_TOTAL COST VALUE OF CURRENT UNITS]]</f>
        <v>0</v>
      </c>
      <c r="AE145" s="44">
        <f>IF(INVESTORS_LIST[[#This Row],[TOTAL CURRENT UNITS]]=0,0,INVESTORS_LIST[[#This Row],[LS_TOTAL CURRENT UNITS]]/INVESTORS_LIST[[#This Row],[TOTAL CURRENT UNITS]])</f>
        <v>0</v>
      </c>
      <c r="AF145" s="44">
        <f>IF(INVESTORS_LIST[[#This Row],[TOTAL CURRENT UNITS]]=0,0,INVESTORS_LIST[[#This Row],[SIP_TOTAL CURRENT UNITS]]/INVESTORS_LIST[[#This Row],[TOTAL CURRENT UNITS]])</f>
        <v>0</v>
      </c>
      <c r="AG145" s="4" cm="1">
        <f t="array" ref="AG14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45" s="4" cm="1">
        <f t="array" ref="AH1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4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45" s="178">
        <f t="shared" si="2"/>
        <v>12.552</v>
      </c>
      <c r="AK145" s="118">
        <f>IF(INVESTORS_LIST[[#This Row],[TOTAL CURRENT UNITS]]=0,0,INVESTORS_LIST[[#This Row],[TOTAL CURRENT UNITS]]*INVESTORS_LIST[[#This Row],[NAV]])</f>
        <v>0</v>
      </c>
      <c r="AL145" s="4">
        <f>IF(INVESTORS_LIST[[#This Row],[LS_TOTAL CURRENT UNITS]]=0,0,INVESTORS_LIST[[#This Row],[LS_TOTAL CURRENT UNITS]]*INVESTORS_LIST[[#This Row],[NAV]])</f>
        <v>0</v>
      </c>
      <c r="AM145" s="6">
        <f>IF(INVESTORS_LIST[[#This Row],[SIP_TOTAL CURRENT UNITS]]=0,0,INVESTORS_LIST[[#This Row],[SIP_TOTAL CURRENT UNITS]]*INVESTORS_LIST[[#This Row],[NAV]])</f>
        <v>0</v>
      </c>
      <c r="AO145" s="6">
        <f>IF(INVESTORS_LIST[[#This Row],[TOTAL SELLABLE UNITS]]=0,0,INVESTORS_LIST[[#This Row],[TOTAL SELLABLE UNITS]]*INVESTORS_LIST[[#This Row],[NAV]])</f>
        <v>0</v>
      </c>
      <c r="AP145" s="6">
        <f>INVESTORS_LIST[[#This Row],[LS_TOTAL REALIZED GAIN]]+INVESTORS_LIST[[#This Row],[SIP_TOTAL REALIZED GAIN]]</f>
        <v>23532.006693377291</v>
      </c>
      <c r="AQ145" s="6">
        <f>INVESTORS_LIST[[#This Row],[TOTAL MARKET VALUE]]-INVESTORS_LIST[[#This Row],[TOTAL COST VALUE OF CURRENT INVESTMENT]]</f>
        <v>0</v>
      </c>
      <c r="AR145" s="6">
        <f>SUMIFS(DivAndTax[Tax Amount],DivAndTax[Investor ID],INVESTORS_LIST[[#This Row],[INVESTOR CODE]])</f>
        <v>261.08</v>
      </c>
      <c r="AS145" s="6">
        <f>SUMIFS(DivAndTax[Gross Dividend],DivAndTax[Investor ID],INVESTORS_LIST[[#This Row],[INVESTOR CODE]])</f>
        <v>2610.75</v>
      </c>
      <c r="AT145" s="5">
        <f>IFERROR(INVESTORS_LIST[[#This Row],[TOTAL CURRENT UNITS]]/SUM(INVESTORS_LIST[TOTAL CURRENT UNITS]),0)</f>
        <v>0</v>
      </c>
    </row>
    <row r="146" spans="1:46" hidden="1">
      <c r="A146" t="s">
        <v>809</v>
      </c>
      <c r="B146" t="s">
        <v>179</v>
      </c>
      <c r="C146" t="s">
        <v>536</v>
      </c>
      <c r="D146" s="8" t="s">
        <v>2</v>
      </c>
      <c r="E146" s="2">
        <f>SUMIFS(LS[Unit],LS[Investor ID],INVESTORS_LIST[[#This Row],[INVESTOR CODE]],LS[B/S],"B")</f>
        <v>0</v>
      </c>
      <c r="F146" s="2">
        <f>-SUMIFS(LS[Unit],LS[Investor ID],INVESTORS_LIST[[#This Row],[INVESTOR CODE]],LS[B/S],"S")</f>
        <v>0</v>
      </c>
      <c r="G146" s="2">
        <f>IF(INVESTORS_LIST[[#This Row],[LS_TOTAL UNITS BUY]]=0,0,INVESTORS_LIST[[#This Row],[LS_TOTAL UNITS BUY]]-INVESTORS_LIST[[#This Row],[LS_TOTAL UNITS SOLD]])</f>
        <v>0</v>
      </c>
      <c r="H146" s="4">
        <f>IF(INVESTORS_LIST[[#This Row],[LS_TOTAL UNITS BUY]]=0,0,SUMIFS(LS[Amount],LS[Investor ID],INVESTORS_LIST[[#This Row],[INVESTOR CODE]],LS[B/S],"B"))</f>
        <v>0</v>
      </c>
      <c r="I146" s="6">
        <f>IF(INVESTORS_LIST[[#This Row],[LS_TOTAL UNITS SOLD]]=0,0,SUMIFS(LS[Cost of Units Sold],LS[Investor ID],INVESTORS_LIST[[#This Row],[INVESTOR CODE]],LS[B/S],"S"))</f>
        <v>0</v>
      </c>
      <c r="J146" s="6">
        <f>IF(INVESTORS_LIST[[#This Row],[LS_TOTAL CURRENT UNITS]]=0,0,INVESTORS_LIST[[#This Row],[LS_TOTAL CURRENT UNITS]]*INVESTORS_LIST[[#This Row],[LS_AVERAGE COST]])</f>
        <v>0</v>
      </c>
      <c r="K146" s="4">
        <f>IF(INVESTORS_LIST[[#This Row],[LS_TOTAL UNITS SOLD]]=0,0,SUMIFS(LS[Realized Gain],LS[Investor ID],INVESTORS_LIST[[#This Row],[INVESTOR CODE]],LS[B/S],"S"))</f>
        <v>0</v>
      </c>
      <c r="L146" s="2">
        <f>SUMIFS(SIP[Unit],SIP[Investor ID],INVESTORS_LIST[[#This Row],[INVESTOR CODE]],SIP[B/S],"B")</f>
        <v>0</v>
      </c>
      <c r="M146" s="2">
        <f>-SUMIFS(SIP[Unit],SIP[Investor ID],INVESTORS_LIST[[#This Row],[INVESTOR CODE]],SIP[B/S],"S")</f>
        <v>0</v>
      </c>
      <c r="N146" s="33">
        <f>IF(INVESTORS_LIST[[#This Row],[SIP_TOTAL UNITS BUY]]=0,0,INVESTORS_LIST[[#This Row],[SIP_TOTAL UNITS BUY]]-INVESTORS_LIST[[#This Row],[SIP_TOTAL UNITS SOLD]])</f>
        <v>0</v>
      </c>
      <c r="O146" s="4">
        <f>IF(INVESTORS_LIST[[#This Row],[SIP_TOTAL UNITS BUY]]=0,0,SUMIFS(SIP[Amount],SIP[Investor ID],INVESTORS_LIST[[#This Row],[INVESTOR CODE]],SIP[B/S],"B"))</f>
        <v>0</v>
      </c>
      <c r="P146" s="4">
        <f>IF(INVESTORS_LIST[[#This Row],[SIP_TOTAL UNITS SOLD]]=0,0,SUMIFS(SIP[Cost of Units Sold],SIP[Investor ID],INVESTORS_LIST[[#This Row],[INVESTOR CODE]],SIP[B/S],"S"))</f>
        <v>0</v>
      </c>
      <c r="Q146" s="6">
        <f>IF(INVESTORS_LIST[[#This Row],[SIP_TOTAL CURRENT UNITS]]=0,0,INVESTORS_LIST[[#This Row],[SIP_TOTAL CURRENT UNITS]]*INVESTORS_LIST[[#This Row],[SIP_AVERAGE COST]])</f>
        <v>0</v>
      </c>
      <c r="R146" s="6">
        <f>IF(INVESTORS_LIST[[#This Row],[SIP_TOTAL UNITS SOLD]]=0,0,SUMIFS(SIP[Realized Gain],SIP[Investor ID],INVESTORS_LIST[[#This Row],[INVESTOR CODE]],SIP[B/S],"S"))</f>
        <v>0</v>
      </c>
      <c r="S146" s="33">
        <f>INVESTORS_LIST[[#This Row],[LS_TOTAL UNITS BUY]]+INVESTORS_LIST[[#This Row],[SIP_TOTAL UNITS BUY]]</f>
        <v>0</v>
      </c>
      <c r="T146" s="33">
        <f>INVESTORS_LIST[[#This Row],[LS_TOTAL UNITS SOLD]]+INVESTORS_LIST[[#This Row],[SIP_TOTAL UNITS SOLD]]</f>
        <v>0</v>
      </c>
      <c r="U146" s="33">
        <v>0</v>
      </c>
      <c r="V146" s="33">
        <f>SUMIFS(LS[BO UNIT TRANSFER],LS[Investor ID],INVESTORS_LIST[[#This Row],[INVESTOR CODE]],LS[B/S],"B")</f>
        <v>0</v>
      </c>
      <c r="W146" s="33">
        <f>SUMIFS(LS[BO UNIT TRANSFER],LS[Investor ID],INVESTORS_LIST[[#This Row],[INVESTOR CODE]],LS[B/S],"S")</f>
        <v>0</v>
      </c>
      <c r="X146" s="33">
        <f>SUMIFS(SIP[BO UNIT TRANSFER],SIP[Investor ID],INVESTORS_LIST[[#This Row],[INVESTOR CODE]],SIP[B/S],"S")</f>
        <v>0</v>
      </c>
      <c r="Y146" s="33">
        <f>SUMIFS(SIP[BO UNIT TRANSFER],SIP[Investor ID],INVESTORS_LIST[[#This Row],[INVESTOR CODE]],SIP[B/S],"B")</f>
        <v>0</v>
      </c>
      <c r="Z14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46" s="119">
        <f>INVESTORS_LIST[[#This Row],[TOTAL UNITS BUY]]-INVESTORS_LIST[[#This Row],[TOTAL UNITS SOLD]]</f>
        <v>0</v>
      </c>
      <c r="AB146" s="119">
        <f>INVESTORS_LIST[[#This Row],[TOTAL CURRENT UNITS]]-INVESTORS_LIST[[#This Row],[BO UNITS HOLD]]</f>
        <v>0</v>
      </c>
      <c r="AC146" s="119" t="e">
        <f>INDEX([4]!Table_1[BO ID],MATCH(INVESTORS_LIST[[#This Row],[INVESTOR CODE]],[4]!Table_1[INVESTOR CODE],0))</f>
        <v>#REF!</v>
      </c>
      <c r="AD146" s="33">
        <f>INVESTORS_LIST[[#This Row],[LS_TOTAL COST VALUE OF CURRENT UNITS]]+INVESTORS_LIST[[#This Row],[SIP_TOTAL COST VALUE OF CURRENT UNITS]]</f>
        <v>0</v>
      </c>
      <c r="AE146" s="44">
        <f>IF(INVESTORS_LIST[[#This Row],[TOTAL CURRENT UNITS]]=0,0,INVESTORS_LIST[[#This Row],[LS_TOTAL CURRENT UNITS]]/INVESTORS_LIST[[#This Row],[TOTAL CURRENT UNITS]])</f>
        <v>0</v>
      </c>
      <c r="AF146" s="44">
        <f>IF(INVESTORS_LIST[[#This Row],[TOTAL CURRENT UNITS]]=0,0,INVESTORS_LIST[[#This Row],[SIP_TOTAL CURRENT UNITS]]/INVESTORS_LIST[[#This Row],[TOTAL CURRENT UNITS]])</f>
        <v>0</v>
      </c>
      <c r="AG146" s="4" cm="1">
        <f t="array" ref="AG14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46" s="4" cm="1">
        <f t="array" ref="AH1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4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46" s="178">
        <f t="shared" si="2"/>
        <v>12.552</v>
      </c>
      <c r="AK146" s="118">
        <f>IF(INVESTORS_LIST[[#This Row],[TOTAL CURRENT UNITS]]=0,0,INVESTORS_LIST[[#This Row],[TOTAL CURRENT UNITS]]*INVESTORS_LIST[[#This Row],[NAV]])</f>
        <v>0</v>
      </c>
      <c r="AL146" s="4">
        <f>IF(INVESTORS_LIST[[#This Row],[LS_TOTAL CURRENT UNITS]]=0,0,INVESTORS_LIST[[#This Row],[LS_TOTAL CURRENT UNITS]]*INVESTORS_LIST[[#This Row],[NAV]])</f>
        <v>0</v>
      </c>
      <c r="AM146" s="6">
        <f>IF(INVESTORS_LIST[[#This Row],[SIP_TOTAL CURRENT UNITS]]=0,0,INVESTORS_LIST[[#This Row],[SIP_TOTAL CURRENT UNITS]]*INVESTORS_LIST[[#This Row],[NAV]])</f>
        <v>0</v>
      </c>
      <c r="AO146" s="6">
        <f>IF(INVESTORS_LIST[[#This Row],[TOTAL SELLABLE UNITS]]=0,0,INVESTORS_LIST[[#This Row],[TOTAL SELLABLE UNITS]]*INVESTORS_LIST[[#This Row],[NAV]])</f>
        <v>0</v>
      </c>
      <c r="AP146" s="6">
        <f>INVESTORS_LIST[[#This Row],[LS_TOTAL REALIZED GAIN]]+INVESTORS_LIST[[#This Row],[SIP_TOTAL REALIZED GAIN]]</f>
        <v>0</v>
      </c>
      <c r="AQ146" s="6">
        <f>INVESTORS_LIST[[#This Row],[TOTAL MARKET VALUE]]-INVESTORS_LIST[[#This Row],[TOTAL COST VALUE OF CURRENT INVESTMENT]]</f>
        <v>0</v>
      </c>
      <c r="AR146" s="6">
        <f>SUMIFS(DivAndTax[Tax Amount],DivAndTax[Investor ID],INVESTORS_LIST[[#This Row],[INVESTOR CODE]])</f>
        <v>0</v>
      </c>
      <c r="AS146" s="6">
        <f>SUMIFS(DivAndTax[Gross Dividend],DivAndTax[Investor ID],INVESTORS_LIST[[#This Row],[INVESTOR CODE]])</f>
        <v>0</v>
      </c>
      <c r="AT146" s="5">
        <f>IFERROR(INVESTORS_LIST[[#This Row],[TOTAL CURRENT UNITS]]/SUM(INVESTORS_LIST[TOTAL CURRENT UNITS]),0)</f>
        <v>0</v>
      </c>
    </row>
    <row r="147" spans="1:46" hidden="1">
      <c r="A147" t="s">
        <v>810</v>
      </c>
      <c r="B147" t="s">
        <v>180</v>
      </c>
      <c r="C147" t="s">
        <v>537</v>
      </c>
      <c r="D147" s="8" t="s">
        <v>8</v>
      </c>
      <c r="E147" s="2">
        <f>SUMIFS(LS[Unit],LS[Investor ID],INVESTORS_LIST[[#This Row],[INVESTOR CODE]],LS[B/S],"B")</f>
        <v>0</v>
      </c>
      <c r="F147" s="2">
        <f>-SUMIFS(LS[Unit],LS[Investor ID],INVESTORS_LIST[[#This Row],[INVESTOR CODE]],LS[B/S],"S")</f>
        <v>0</v>
      </c>
      <c r="G147" s="2">
        <f>IF(INVESTORS_LIST[[#This Row],[LS_TOTAL UNITS BUY]]=0,0,INVESTORS_LIST[[#This Row],[LS_TOTAL UNITS BUY]]-INVESTORS_LIST[[#This Row],[LS_TOTAL UNITS SOLD]])</f>
        <v>0</v>
      </c>
      <c r="H147" s="4">
        <f>IF(INVESTORS_LIST[[#This Row],[LS_TOTAL UNITS BUY]]=0,0,SUMIFS(LS[Amount],LS[Investor ID],INVESTORS_LIST[[#This Row],[INVESTOR CODE]],LS[B/S],"B"))</f>
        <v>0</v>
      </c>
      <c r="I147" s="6">
        <f>IF(INVESTORS_LIST[[#This Row],[LS_TOTAL UNITS SOLD]]=0,0,SUMIFS(LS[Cost of Units Sold],LS[Investor ID],INVESTORS_LIST[[#This Row],[INVESTOR CODE]],LS[B/S],"S"))</f>
        <v>0</v>
      </c>
      <c r="J147" s="6">
        <f>IF(INVESTORS_LIST[[#This Row],[LS_TOTAL CURRENT UNITS]]=0,0,INVESTORS_LIST[[#This Row],[LS_TOTAL CURRENT UNITS]]*INVESTORS_LIST[[#This Row],[LS_AVERAGE COST]])</f>
        <v>0</v>
      </c>
      <c r="K147" s="4">
        <f>IF(INVESTORS_LIST[[#This Row],[LS_TOTAL UNITS SOLD]]=0,0,SUMIFS(LS[Realized Gain],LS[Investor ID],INVESTORS_LIST[[#This Row],[INVESTOR CODE]],LS[B/S],"S"))</f>
        <v>0</v>
      </c>
      <c r="L147" s="2">
        <f>SUMIFS(SIP[Unit],SIP[Investor ID],INVESTORS_LIST[[#This Row],[INVESTOR CODE]],SIP[B/S],"B")</f>
        <v>0</v>
      </c>
      <c r="M147" s="2">
        <f>-SUMIFS(SIP[Unit],SIP[Investor ID],INVESTORS_LIST[[#This Row],[INVESTOR CODE]],SIP[B/S],"S")</f>
        <v>0</v>
      </c>
      <c r="N147" s="33">
        <f>IF(INVESTORS_LIST[[#This Row],[SIP_TOTAL UNITS BUY]]=0,0,INVESTORS_LIST[[#This Row],[SIP_TOTAL UNITS BUY]]-INVESTORS_LIST[[#This Row],[SIP_TOTAL UNITS SOLD]])</f>
        <v>0</v>
      </c>
      <c r="O147" s="4">
        <f>IF(INVESTORS_LIST[[#This Row],[SIP_TOTAL UNITS BUY]]=0,0,SUMIFS(SIP[Amount],SIP[Investor ID],INVESTORS_LIST[[#This Row],[INVESTOR CODE]],SIP[B/S],"B"))</f>
        <v>0</v>
      </c>
      <c r="P147" s="4">
        <f>IF(INVESTORS_LIST[[#This Row],[SIP_TOTAL UNITS SOLD]]=0,0,SUMIFS(SIP[Cost of Units Sold],SIP[Investor ID],INVESTORS_LIST[[#This Row],[INVESTOR CODE]],SIP[B/S],"S"))</f>
        <v>0</v>
      </c>
      <c r="Q147" s="6">
        <f>IF(INVESTORS_LIST[[#This Row],[SIP_TOTAL CURRENT UNITS]]=0,0,INVESTORS_LIST[[#This Row],[SIP_TOTAL CURRENT UNITS]]*INVESTORS_LIST[[#This Row],[SIP_AVERAGE COST]])</f>
        <v>0</v>
      </c>
      <c r="R147" s="6">
        <f>IF(INVESTORS_LIST[[#This Row],[SIP_TOTAL UNITS SOLD]]=0,0,SUMIFS(SIP[Realized Gain],SIP[Investor ID],INVESTORS_LIST[[#This Row],[INVESTOR CODE]],SIP[B/S],"S"))</f>
        <v>0</v>
      </c>
      <c r="S147" s="33">
        <f>INVESTORS_LIST[[#This Row],[LS_TOTAL UNITS BUY]]+INVESTORS_LIST[[#This Row],[SIP_TOTAL UNITS BUY]]</f>
        <v>0</v>
      </c>
      <c r="T147" s="33">
        <f>INVESTORS_LIST[[#This Row],[LS_TOTAL UNITS SOLD]]+INVESTORS_LIST[[#This Row],[SIP_TOTAL UNITS SOLD]]</f>
        <v>0</v>
      </c>
      <c r="U147" s="33">
        <v>0</v>
      </c>
      <c r="V147" s="33">
        <f>SUMIFS(LS[BO UNIT TRANSFER],LS[Investor ID],INVESTORS_LIST[[#This Row],[INVESTOR CODE]],LS[B/S],"B")</f>
        <v>0</v>
      </c>
      <c r="W147" s="33">
        <f>SUMIFS(LS[BO UNIT TRANSFER],LS[Investor ID],INVESTORS_LIST[[#This Row],[INVESTOR CODE]],LS[B/S],"S")</f>
        <v>0</v>
      </c>
      <c r="X147" s="33">
        <f>SUMIFS(SIP[BO UNIT TRANSFER],SIP[Investor ID],INVESTORS_LIST[[#This Row],[INVESTOR CODE]],SIP[B/S],"S")</f>
        <v>0</v>
      </c>
      <c r="Y147" s="33">
        <f>SUMIFS(SIP[BO UNIT TRANSFER],SIP[Investor ID],INVESTORS_LIST[[#This Row],[INVESTOR CODE]],SIP[B/S],"B")</f>
        <v>0</v>
      </c>
      <c r="Z14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47" s="119">
        <f>INVESTORS_LIST[[#This Row],[TOTAL UNITS BUY]]-INVESTORS_LIST[[#This Row],[TOTAL UNITS SOLD]]</f>
        <v>0</v>
      </c>
      <c r="AB147" s="119">
        <f>INVESTORS_LIST[[#This Row],[TOTAL CURRENT UNITS]]-INVESTORS_LIST[[#This Row],[BO UNITS HOLD]]</f>
        <v>0</v>
      </c>
      <c r="AC147" s="119" t="e">
        <f>INDEX([4]!Table_1[BO ID],MATCH(INVESTORS_LIST[[#This Row],[INVESTOR CODE]],[4]!Table_1[INVESTOR CODE],0))</f>
        <v>#REF!</v>
      </c>
      <c r="AD147" s="33">
        <f>INVESTORS_LIST[[#This Row],[LS_TOTAL COST VALUE OF CURRENT UNITS]]+INVESTORS_LIST[[#This Row],[SIP_TOTAL COST VALUE OF CURRENT UNITS]]</f>
        <v>0</v>
      </c>
      <c r="AE147" s="44">
        <f>IF(INVESTORS_LIST[[#This Row],[TOTAL CURRENT UNITS]]=0,0,INVESTORS_LIST[[#This Row],[LS_TOTAL CURRENT UNITS]]/INVESTORS_LIST[[#This Row],[TOTAL CURRENT UNITS]])</f>
        <v>0</v>
      </c>
      <c r="AF147" s="44">
        <f>IF(INVESTORS_LIST[[#This Row],[TOTAL CURRENT UNITS]]=0,0,INVESTORS_LIST[[#This Row],[SIP_TOTAL CURRENT UNITS]]/INVESTORS_LIST[[#This Row],[TOTAL CURRENT UNITS]])</f>
        <v>0</v>
      </c>
      <c r="AG147" s="4" cm="1">
        <f t="array" ref="AG14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47" s="4" cm="1">
        <f t="array" ref="AH1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4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47" s="178">
        <f t="shared" si="2"/>
        <v>12.552</v>
      </c>
      <c r="AK147" s="118">
        <f>IF(INVESTORS_LIST[[#This Row],[TOTAL CURRENT UNITS]]=0,0,INVESTORS_LIST[[#This Row],[TOTAL CURRENT UNITS]]*INVESTORS_LIST[[#This Row],[NAV]])</f>
        <v>0</v>
      </c>
      <c r="AL147" s="4">
        <f>IF(INVESTORS_LIST[[#This Row],[LS_TOTAL CURRENT UNITS]]=0,0,INVESTORS_LIST[[#This Row],[LS_TOTAL CURRENT UNITS]]*INVESTORS_LIST[[#This Row],[NAV]])</f>
        <v>0</v>
      </c>
      <c r="AM147" s="6">
        <f>IF(INVESTORS_LIST[[#This Row],[SIP_TOTAL CURRENT UNITS]]=0,0,INVESTORS_LIST[[#This Row],[SIP_TOTAL CURRENT UNITS]]*INVESTORS_LIST[[#This Row],[NAV]])</f>
        <v>0</v>
      </c>
      <c r="AO147" s="6">
        <f>IF(INVESTORS_LIST[[#This Row],[TOTAL SELLABLE UNITS]]=0,0,INVESTORS_LIST[[#This Row],[TOTAL SELLABLE UNITS]]*INVESTORS_LIST[[#This Row],[NAV]])</f>
        <v>0</v>
      </c>
      <c r="AP147" s="6">
        <f>INVESTORS_LIST[[#This Row],[LS_TOTAL REALIZED GAIN]]+INVESTORS_LIST[[#This Row],[SIP_TOTAL REALIZED GAIN]]</f>
        <v>0</v>
      </c>
      <c r="AQ147" s="6">
        <f>INVESTORS_LIST[[#This Row],[TOTAL MARKET VALUE]]-INVESTORS_LIST[[#This Row],[TOTAL COST VALUE OF CURRENT INVESTMENT]]</f>
        <v>0</v>
      </c>
      <c r="AR147" s="6">
        <f>SUMIFS(DivAndTax[Tax Amount],DivAndTax[Investor ID],INVESTORS_LIST[[#This Row],[INVESTOR CODE]])</f>
        <v>0</v>
      </c>
      <c r="AS147" s="6">
        <f>SUMIFS(DivAndTax[Gross Dividend],DivAndTax[Investor ID],INVESTORS_LIST[[#This Row],[INVESTOR CODE]])</f>
        <v>0</v>
      </c>
      <c r="AT147" s="5">
        <f>IFERROR(INVESTORS_LIST[[#This Row],[TOTAL CURRENT UNITS]]/SUM(INVESTORS_LIST[TOTAL CURRENT UNITS]),0)</f>
        <v>0</v>
      </c>
    </row>
    <row r="148" spans="1:46" hidden="1">
      <c r="A148" t="s">
        <v>811</v>
      </c>
      <c r="B148" t="s">
        <v>181</v>
      </c>
      <c r="C148" t="s">
        <v>536</v>
      </c>
      <c r="D148" s="8" t="s">
        <v>2</v>
      </c>
      <c r="E148" s="2">
        <f>SUMIFS(LS[Unit],LS[Investor ID],INVESTORS_LIST[[#This Row],[INVESTOR CODE]],LS[B/S],"B")</f>
        <v>0</v>
      </c>
      <c r="F148" s="2">
        <f>-SUMIFS(LS[Unit],LS[Investor ID],INVESTORS_LIST[[#This Row],[INVESTOR CODE]],LS[B/S],"S")</f>
        <v>0</v>
      </c>
      <c r="G148" s="2">
        <f>IF(INVESTORS_LIST[[#This Row],[LS_TOTAL UNITS BUY]]=0,0,INVESTORS_LIST[[#This Row],[LS_TOTAL UNITS BUY]]-INVESTORS_LIST[[#This Row],[LS_TOTAL UNITS SOLD]])</f>
        <v>0</v>
      </c>
      <c r="H148" s="4">
        <f>IF(INVESTORS_LIST[[#This Row],[LS_TOTAL UNITS BUY]]=0,0,SUMIFS(LS[Amount],LS[Investor ID],INVESTORS_LIST[[#This Row],[INVESTOR CODE]],LS[B/S],"B"))</f>
        <v>0</v>
      </c>
      <c r="I148" s="6">
        <f>IF(INVESTORS_LIST[[#This Row],[LS_TOTAL UNITS SOLD]]=0,0,SUMIFS(LS[Cost of Units Sold],LS[Investor ID],INVESTORS_LIST[[#This Row],[INVESTOR CODE]],LS[B/S],"S"))</f>
        <v>0</v>
      </c>
      <c r="J148" s="6">
        <f>IF(INVESTORS_LIST[[#This Row],[LS_TOTAL CURRENT UNITS]]=0,0,INVESTORS_LIST[[#This Row],[LS_TOTAL CURRENT UNITS]]*INVESTORS_LIST[[#This Row],[LS_AVERAGE COST]])</f>
        <v>0</v>
      </c>
      <c r="K148" s="4">
        <f>IF(INVESTORS_LIST[[#This Row],[LS_TOTAL UNITS SOLD]]=0,0,SUMIFS(LS[Realized Gain],LS[Investor ID],INVESTORS_LIST[[#This Row],[INVESTOR CODE]],LS[B/S],"S"))</f>
        <v>0</v>
      </c>
      <c r="L148" s="2">
        <f>SUMIFS(SIP[Unit],SIP[Investor ID],INVESTORS_LIST[[#This Row],[INVESTOR CODE]],SIP[B/S],"B")</f>
        <v>0</v>
      </c>
      <c r="M148" s="2">
        <f>-SUMIFS(SIP[Unit],SIP[Investor ID],INVESTORS_LIST[[#This Row],[INVESTOR CODE]],SIP[B/S],"S")</f>
        <v>0</v>
      </c>
      <c r="N148" s="33">
        <f>IF(INVESTORS_LIST[[#This Row],[SIP_TOTAL UNITS BUY]]=0,0,INVESTORS_LIST[[#This Row],[SIP_TOTAL UNITS BUY]]-INVESTORS_LIST[[#This Row],[SIP_TOTAL UNITS SOLD]])</f>
        <v>0</v>
      </c>
      <c r="O148" s="4">
        <f>IF(INVESTORS_LIST[[#This Row],[SIP_TOTAL UNITS BUY]]=0,0,SUMIFS(SIP[Amount],SIP[Investor ID],INVESTORS_LIST[[#This Row],[INVESTOR CODE]],SIP[B/S],"B"))</f>
        <v>0</v>
      </c>
      <c r="P148" s="4">
        <f>IF(INVESTORS_LIST[[#This Row],[SIP_TOTAL UNITS SOLD]]=0,0,SUMIFS(SIP[Cost of Units Sold],SIP[Investor ID],INVESTORS_LIST[[#This Row],[INVESTOR CODE]],SIP[B/S],"S"))</f>
        <v>0</v>
      </c>
      <c r="Q148" s="6">
        <f>IF(INVESTORS_LIST[[#This Row],[SIP_TOTAL CURRENT UNITS]]=0,0,INVESTORS_LIST[[#This Row],[SIP_TOTAL CURRENT UNITS]]*INVESTORS_LIST[[#This Row],[SIP_AVERAGE COST]])</f>
        <v>0</v>
      </c>
      <c r="R148" s="6">
        <f>IF(INVESTORS_LIST[[#This Row],[SIP_TOTAL UNITS SOLD]]=0,0,SUMIFS(SIP[Realized Gain],SIP[Investor ID],INVESTORS_LIST[[#This Row],[INVESTOR CODE]],SIP[B/S],"S"))</f>
        <v>0</v>
      </c>
      <c r="S148" s="33">
        <f>INVESTORS_LIST[[#This Row],[LS_TOTAL UNITS BUY]]+INVESTORS_LIST[[#This Row],[SIP_TOTAL UNITS BUY]]</f>
        <v>0</v>
      </c>
      <c r="T148" s="33">
        <f>INVESTORS_LIST[[#This Row],[LS_TOTAL UNITS SOLD]]+INVESTORS_LIST[[#This Row],[SIP_TOTAL UNITS SOLD]]</f>
        <v>0</v>
      </c>
      <c r="U148" s="33">
        <v>0</v>
      </c>
      <c r="V148" s="33">
        <f>SUMIFS(LS[BO UNIT TRANSFER],LS[Investor ID],INVESTORS_LIST[[#This Row],[INVESTOR CODE]],LS[B/S],"B")</f>
        <v>0</v>
      </c>
      <c r="W148" s="33">
        <f>SUMIFS(LS[BO UNIT TRANSFER],LS[Investor ID],INVESTORS_LIST[[#This Row],[INVESTOR CODE]],LS[B/S],"S")</f>
        <v>0</v>
      </c>
      <c r="X148" s="33">
        <f>SUMIFS(SIP[BO UNIT TRANSFER],SIP[Investor ID],INVESTORS_LIST[[#This Row],[INVESTOR CODE]],SIP[B/S],"S")</f>
        <v>0</v>
      </c>
      <c r="Y148" s="33">
        <f>SUMIFS(SIP[BO UNIT TRANSFER],SIP[Investor ID],INVESTORS_LIST[[#This Row],[INVESTOR CODE]],SIP[B/S],"B")</f>
        <v>0</v>
      </c>
      <c r="Z14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48" s="119">
        <f>INVESTORS_LIST[[#This Row],[TOTAL UNITS BUY]]-INVESTORS_LIST[[#This Row],[TOTAL UNITS SOLD]]</f>
        <v>0</v>
      </c>
      <c r="AB148" s="119">
        <f>INVESTORS_LIST[[#This Row],[TOTAL CURRENT UNITS]]-INVESTORS_LIST[[#This Row],[BO UNITS HOLD]]</f>
        <v>0</v>
      </c>
      <c r="AC148" s="119" t="e">
        <f>INDEX([4]!Table_1[BO ID],MATCH(INVESTORS_LIST[[#This Row],[INVESTOR CODE]],[4]!Table_1[INVESTOR CODE],0))</f>
        <v>#REF!</v>
      </c>
      <c r="AD148" s="33">
        <f>INVESTORS_LIST[[#This Row],[LS_TOTAL COST VALUE OF CURRENT UNITS]]+INVESTORS_LIST[[#This Row],[SIP_TOTAL COST VALUE OF CURRENT UNITS]]</f>
        <v>0</v>
      </c>
      <c r="AE148" s="44">
        <f>IF(INVESTORS_LIST[[#This Row],[TOTAL CURRENT UNITS]]=0,0,INVESTORS_LIST[[#This Row],[LS_TOTAL CURRENT UNITS]]/INVESTORS_LIST[[#This Row],[TOTAL CURRENT UNITS]])</f>
        <v>0</v>
      </c>
      <c r="AF148" s="44">
        <f>IF(INVESTORS_LIST[[#This Row],[TOTAL CURRENT UNITS]]=0,0,INVESTORS_LIST[[#This Row],[SIP_TOTAL CURRENT UNITS]]/INVESTORS_LIST[[#This Row],[TOTAL CURRENT UNITS]])</f>
        <v>0</v>
      </c>
      <c r="AG148" s="4" cm="1">
        <f t="array" ref="AG14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48" s="4" cm="1">
        <f t="array" ref="AH1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4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48" s="178">
        <f t="shared" si="2"/>
        <v>12.552</v>
      </c>
      <c r="AK148" s="118">
        <f>IF(INVESTORS_LIST[[#This Row],[TOTAL CURRENT UNITS]]=0,0,INVESTORS_LIST[[#This Row],[TOTAL CURRENT UNITS]]*INVESTORS_LIST[[#This Row],[NAV]])</f>
        <v>0</v>
      </c>
      <c r="AL148" s="4">
        <f>IF(INVESTORS_LIST[[#This Row],[LS_TOTAL CURRENT UNITS]]=0,0,INVESTORS_LIST[[#This Row],[LS_TOTAL CURRENT UNITS]]*INVESTORS_LIST[[#This Row],[NAV]])</f>
        <v>0</v>
      </c>
      <c r="AM148" s="6">
        <f>IF(INVESTORS_LIST[[#This Row],[SIP_TOTAL CURRENT UNITS]]=0,0,INVESTORS_LIST[[#This Row],[SIP_TOTAL CURRENT UNITS]]*INVESTORS_LIST[[#This Row],[NAV]])</f>
        <v>0</v>
      </c>
      <c r="AO148" s="6">
        <f>IF(INVESTORS_LIST[[#This Row],[TOTAL SELLABLE UNITS]]=0,0,INVESTORS_LIST[[#This Row],[TOTAL SELLABLE UNITS]]*INVESTORS_LIST[[#This Row],[NAV]])</f>
        <v>0</v>
      </c>
      <c r="AP148" s="6">
        <f>INVESTORS_LIST[[#This Row],[LS_TOTAL REALIZED GAIN]]+INVESTORS_LIST[[#This Row],[SIP_TOTAL REALIZED GAIN]]</f>
        <v>0</v>
      </c>
      <c r="AQ148" s="6">
        <f>INVESTORS_LIST[[#This Row],[TOTAL MARKET VALUE]]-INVESTORS_LIST[[#This Row],[TOTAL COST VALUE OF CURRENT INVESTMENT]]</f>
        <v>0</v>
      </c>
      <c r="AR148" s="6">
        <f>SUMIFS(DivAndTax[Tax Amount],DivAndTax[Investor ID],INVESTORS_LIST[[#This Row],[INVESTOR CODE]])</f>
        <v>0</v>
      </c>
      <c r="AS148" s="6">
        <f>SUMIFS(DivAndTax[Gross Dividend],DivAndTax[Investor ID],INVESTORS_LIST[[#This Row],[INVESTOR CODE]])</f>
        <v>0</v>
      </c>
      <c r="AT148" s="5">
        <f>IFERROR(INVESTORS_LIST[[#This Row],[TOTAL CURRENT UNITS]]/SUM(INVESTORS_LIST[TOTAL CURRENT UNITS]),0)</f>
        <v>0</v>
      </c>
    </row>
    <row r="149" spans="1:46" hidden="1">
      <c r="A149" t="s">
        <v>812</v>
      </c>
      <c r="B149" t="s">
        <v>182</v>
      </c>
      <c r="C149" t="s">
        <v>536</v>
      </c>
      <c r="D149" s="8" t="s">
        <v>2</v>
      </c>
      <c r="E149" s="2">
        <f>SUMIFS(LS[Unit],LS[Investor ID],INVESTORS_LIST[[#This Row],[INVESTOR CODE]],LS[B/S],"B")</f>
        <v>0</v>
      </c>
      <c r="F149" s="2">
        <f>-SUMIFS(LS[Unit],LS[Investor ID],INVESTORS_LIST[[#This Row],[INVESTOR CODE]],LS[B/S],"S")</f>
        <v>0</v>
      </c>
      <c r="G149" s="2">
        <f>IF(INVESTORS_LIST[[#This Row],[LS_TOTAL UNITS BUY]]=0,0,INVESTORS_LIST[[#This Row],[LS_TOTAL UNITS BUY]]-INVESTORS_LIST[[#This Row],[LS_TOTAL UNITS SOLD]])</f>
        <v>0</v>
      </c>
      <c r="H149" s="4">
        <f>IF(INVESTORS_LIST[[#This Row],[LS_TOTAL UNITS BUY]]=0,0,SUMIFS(LS[Amount],LS[Investor ID],INVESTORS_LIST[[#This Row],[INVESTOR CODE]],LS[B/S],"B"))</f>
        <v>0</v>
      </c>
      <c r="I149" s="6">
        <f>IF(INVESTORS_LIST[[#This Row],[LS_TOTAL UNITS SOLD]]=0,0,SUMIFS(LS[Cost of Units Sold],LS[Investor ID],INVESTORS_LIST[[#This Row],[INVESTOR CODE]],LS[B/S],"S"))</f>
        <v>0</v>
      </c>
      <c r="J149" s="6">
        <f>IF(INVESTORS_LIST[[#This Row],[LS_TOTAL CURRENT UNITS]]=0,0,INVESTORS_LIST[[#This Row],[LS_TOTAL CURRENT UNITS]]*INVESTORS_LIST[[#This Row],[LS_AVERAGE COST]])</f>
        <v>0</v>
      </c>
      <c r="K149" s="4">
        <f>IF(INVESTORS_LIST[[#This Row],[LS_TOTAL UNITS SOLD]]=0,0,SUMIFS(LS[Realized Gain],LS[Investor ID],INVESTORS_LIST[[#This Row],[INVESTOR CODE]],LS[B/S],"S"))</f>
        <v>0</v>
      </c>
      <c r="L149" s="2">
        <f>SUMIFS(SIP[Unit],SIP[Investor ID],INVESTORS_LIST[[#This Row],[INVESTOR CODE]],SIP[B/S],"B")</f>
        <v>0</v>
      </c>
      <c r="M149" s="2">
        <f>-SUMIFS(SIP[Unit],SIP[Investor ID],INVESTORS_LIST[[#This Row],[INVESTOR CODE]],SIP[B/S],"S")</f>
        <v>0</v>
      </c>
      <c r="N149" s="33">
        <f>IF(INVESTORS_LIST[[#This Row],[SIP_TOTAL UNITS BUY]]=0,0,INVESTORS_LIST[[#This Row],[SIP_TOTAL UNITS BUY]]-INVESTORS_LIST[[#This Row],[SIP_TOTAL UNITS SOLD]])</f>
        <v>0</v>
      </c>
      <c r="O149" s="4">
        <f>IF(INVESTORS_LIST[[#This Row],[SIP_TOTAL UNITS BUY]]=0,0,SUMIFS(SIP[Amount],SIP[Investor ID],INVESTORS_LIST[[#This Row],[INVESTOR CODE]],SIP[B/S],"B"))</f>
        <v>0</v>
      </c>
      <c r="P149" s="4">
        <f>IF(INVESTORS_LIST[[#This Row],[SIP_TOTAL UNITS SOLD]]=0,0,SUMIFS(SIP[Cost of Units Sold],SIP[Investor ID],INVESTORS_LIST[[#This Row],[INVESTOR CODE]],SIP[B/S],"S"))</f>
        <v>0</v>
      </c>
      <c r="Q149" s="6">
        <f>IF(INVESTORS_LIST[[#This Row],[SIP_TOTAL CURRENT UNITS]]=0,0,INVESTORS_LIST[[#This Row],[SIP_TOTAL CURRENT UNITS]]*INVESTORS_LIST[[#This Row],[SIP_AVERAGE COST]])</f>
        <v>0</v>
      </c>
      <c r="R149" s="6">
        <f>IF(INVESTORS_LIST[[#This Row],[SIP_TOTAL UNITS SOLD]]=0,0,SUMIFS(SIP[Realized Gain],SIP[Investor ID],INVESTORS_LIST[[#This Row],[INVESTOR CODE]],SIP[B/S],"S"))</f>
        <v>0</v>
      </c>
      <c r="S149" s="33">
        <f>INVESTORS_LIST[[#This Row],[LS_TOTAL UNITS BUY]]+INVESTORS_LIST[[#This Row],[SIP_TOTAL UNITS BUY]]</f>
        <v>0</v>
      </c>
      <c r="T149" s="33">
        <f>INVESTORS_LIST[[#This Row],[LS_TOTAL UNITS SOLD]]+INVESTORS_LIST[[#This Row],[SIP_TOTAL UNITS SOLD]]</f>
        <v>0</v>
      </c>
      <c r="U149" s="33">
        <v>0</v>
      </c>
      <c r="V149" s="33">
        <f>SUMIFS(LS[BO UNIT TRANSFER],LS[Investor ID],INVESTORS_LIST[[#This Row],[INVESTOR CODE]],LS[B/S],"B")</f>
        <v>0</v>
      </c>
      <c r="W149" s="33">
        <f>SUMIFS(LS[BO UNIT TRANSFER],LS[Investor ID],INVESTORS_LIST[[#This Row],[INVESTOR CODE]],LS[B/S],"S")</f>
        <v>0</v>
      </c>
      <c r="X149" s="33">
        <f>SUMIFS(SIP[BO UNIT TRANSFER],SIP[Investor ID],INVESTORS_LIST[[#This Row],[INVESTOR CODE]],SIP[B/S],"S")</f>
        <v>0</v>
      </c>
      <c r="Y149" s="33">
        <f>SUMIFS(SIP[BO UNIT TRANSFER],SIP[Investor ID],INVESTORS_LIST[[#This Row],[INVESTOR CODE]],SIP[B/S],"B")</f>
        <v>0</v>
      </c>
      <c r="Z14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49" s="119">
        <f>INVESTORS_LIST[[#This Row],[TOTAL UNITS BUY]]-INVESTORS_LIST[[#This Row],[TOTAL UNITS SOLD]]</f>
        <v>0</v>
      </c>
      <c r="AB149" s="119">
        <f>INVESTORS_LIST[[#This Row],[TOTAL CURRENT UNITS]]-INVESTORS_LIST[[#This Row],[BO UNITS HOLD]]</f>
        <v>0</v>
      </c>
      <c r="AC149" s="119" t="e">
        <f>INDEX([4]!Table_1[BO ID],MATCH(INVESTORS_LIST[[#This Row],[INVESTOR CODE]],[4]!Table_1[INVESTOR CODE],0))</f>
        <v>#REF!</v>
      </c>
      <c r="AD149" s="33">
        <f>INVESTORS_LIST[[#This Row],[LS_TOTAL COST VALUE OF CURRENT UNITS]]+INVESTORS_LIST[[#This Row],[SIP_TOTAL COST VALUE OF CURRENT UNITS]]</f>
        <v>0</v>
      </c>
      <c r="AE149" s="44">
        <f>IF(INVESTORS_LIST[[#This Row],[TOTAL CURRENT UNITS]]=0,0,INVESTORS_LIST[[#This Row],[LS_TOTAL CURRENT UNITS]]/INVESTORS_LIST[[#This Row],[TOTAL CURRENT UNITS]])</f>
        <v>0</v>
      </c>
      <c r="AF149" s="44">
        <f>IF(INVESTORS_LIST[[#This Row],[TOTAL CURRENT UNITS]]=0,0,INVESTORS_LIST[[#This Row],[SIP_TOTAL CURRENT UNITS]]/INVESTORS_LIST[[#This Row],[TOTAL CURRENT UNITS]])</f>
        <v>0</v>
      </c>
      <c r="AG149" s="4" cm="1">
        <f t="array" ref="AG14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49" s="4" cm="1">
        <f t="array" ref="AH1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4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49" s="178">
        <f t="shared" si="2"/>
        <v>12.552</v>
      </c>
      <c r="AK149" s="118">
        <f>IF(INVESTORS_LIST[[#This Row],[TOTAL CURRENT UNITS]]=0,0,INVESTORS_LIST[[#This Row],[TOTAL CURRENT UNITS]]*INVESTORS_LIST[[#This Row],[NAV]])</f>
        <v>0</v>
      </c>
      <c r="AL149" s="4">
        <f>IF(INVESTORS_LIST[[#This Row],[LS_TOTAL CURRENT UNITS]]=0,0,INVESTORS_LIST[[#This Row],[LS_TOTAL CURRENT UNITS]]*INVESTORS_LIST[[#This Row],[NAV]])</f>
        <v>0</v>
      </c>
      <c r="AM149" s="6">
        <f>IF(INVESTORS_LIST[[#This Row],[SIP_TOTAL CURRENT UNITS]]=0,0,INVESTORS_LIST[[#This Row],[SIP_TOTAL CURRENT UNITS]]*INVESTORS_LIST[[#This Row],[NAV]])</f>
        <v>0</v>
      </c>
      <c r="AO149" s="6">
        <f>IF(INVESTORS_LIST[[#This Row],[TOTAL SELLABLE UNITS]]=0,0,INVESTORS_LIST[[#This Row],[TOTAL SELLABLE UNITS]]*INVESTORS_LIST[[#This Row],[NAV]])</f>
        <v>0</v>
      </c>
      <c r="AP149" s="6">
        <f>INVESTORS_LIST[[#This Row],[LS_TOTAL REALIZED GAIN]]+INVESTORS_LIST[[#This Row],[SIP_TOTAL REALIZED GAIN]]</f>
        <v>0</v>
      </c>
      <c r="AQ149" s="6">
        <f>INVESTORS_LIST[[#This Row],[TOTAL MARKET VALUE]]-INVESTORS_LIST[[#This Row],[TOTAL COST VALUE OF CURRENT INVESTMENT]]</f>
        <v>0</v>
      </c>
      <c r="AR149" s="6">
        <f>SUMIFS(DivAndTax[Tax Amount],DivAndTax[Investor ID],INVESTORS_LIST[[#This Row],[INVESTOR CODE]])</f>
        <v>0</v>
      </c>
      <c r="AS149" s="6">
        <f>SUMIFS(DivAndTax[Gross Dividend],DivAndTax[Investor ID],INVESTORS_LIST[[#This Row],[INVESTOR CODE]])</f>
        <v>0</v>
      </c>
      <c r="AT149" s="5">
        <f>IFERROR(INVESTORS_LIST[[#This Row],[TOTAL CURRENT UNITS]]/SUM(INVESTORS_LIST[TOTAL CURRENT UNITS]),0)</f>
        <v>0</v>
      </c>
    </row>
    <row r="150" spans="1:46" hidden="1">
      <c r="A150" t="s">
        <v>813</v>
      </c>
      <c r="B150" t="s">
        <v>183</v>
      </c>
      <c r="C150" t="s">
        <v>536</v>
      </c>
      <c r="D150" s="8" t="s">
        <v>2</v>
      </c>
      <c r="E150" s="2">
        <f>SUMIFS(LS[Unit],LS[Investor ID],INVESTORS_LIST[[#This Row],[INVESTOR CODE]],LS[B/S],"B")</f>
        <v>0</v>
      </c>
      <c r="F150" s="2">
        <f>-SUMIFS(LS[Unit],LS[Investor ID],INVESTORS_LIST[[#This Row],[INVESTOR CODE]],LS[B/S],"S")</f>
        <v>0</v>
      </c>
      <c r="G150" s="2">
        <f>IF(INVESTORS_LIST[[#This Row],[LS_TOTAL UNITS BUY]]=0,0,INVESTORS_LIST[[#This Row],[LS_TOTAL UNITS BUY]]-INVESTORS_LIST[[#This Row],[LS_TOTAL UNITS SOLD]])</f>
        <v>0</v>
      </c>
      <c r="H150" s="4">
        <f>IF(INVESTORS_LIST[[#This Row],[LS_TOTAL UNITS BUY]]=0,0,SUMIFS(LS[Amount],LS[Investor ID],INVESTORS_LIST[[#This Row],[INVESTOR CODE]],LS[B/S],"B"))</f>
        <v>0</v>
      </c>
      <c r="I150" s="6">
        <f>IF(INVESTORS_LIST[[#This Row],[LS_TOTAL UNITS SOLD]]=0,0,SUMIFS(LS[Cost of Units Sold],LS[Investor ID],INVESTORS_LIST[[#This Row],[INVESTOR CODE]],LS[B/S],"S"))</f>
        <v>0</v>
      </c>
      <c r="J150" s="6">
        <f>IF(INVESTORS_LIST[[#This Row],[LS_TOTAL CURRENT UNITS]]=0,0,INVESTORS_LIST[[#This Row],[LS_TOTAL CURRENT UNITS]]*INVESTORS_LIST[[#This Row],[LS_AVERAGE COST]])</f>
        <v>0</v>
      </c>
      <c r="K150" s="4">
        <f>IF(INVESTORS_LIST[[#This Row],[LS_TOTAL UNITS SOLD]]=0,0,SUMIFS(LS[Realized Gain],LS[Investor ID],INVESTORS_LIST[[#This Row],[INVESTOR CODE]],LS[B/S],"S"))</f>
        <v>0</v>
      </c>
      <c r="L150" s="2">
        <f>SUMIFS(SIP[Unit],SIP[Investor ID],INVESTORS_LIST[[#This Row],[INVESTOR CODE]],SIP[B/S],"B")</f>
        <v>0</v>
      </c>
      <c r="M150" s="2">
        <f>-SUMIFS(SIP[Unit],SIP[Investor ID],INVESTORS_LIST[[#This Row],[INVESTOR CODE]],SIP[B/S],"S")</f>
        <v>0</v>
      </c>
      <c r="N150" s="33">
        <f>IF(INVESTORS_LIST[[#This Row],[SIP_TOTAL UNITS BUY]]=0,0,INVESTORS_LIST[[#This Row],[SIP_TOTAL UNITS BUY]]-INVESTORS_LIST[[#This Row],[SIP_TOTAL UNITS SOLD]])</f>
        <v>0</v>
      </c>
      <c r="O150" s="4">
        <f>IF(INVESTORS_LIST[[#This Row],[SIP_TOTAL UNITS BUY]]=0,0,SUMIFS(SIP[Amount],SIP[Investor ID],INVESTORS_LIST[[#This Row],[INVESTOR CODE]],SIP[B/S],"B"))</f>
        <v>0</v>
      </c>
      <c r="P150" s="4">
        <f>IF(INVESTORS_LIST[[#This Row],[SIP_TOTAL UNITS SOLD]]=0,0,SUMIFS(SIP[Cost of Units Sold],SIP[Investor ID],INVESTORS_LIST[[#This Row],[INVESTOR CODE]],SIP[B/S],"S"))</f>
        <v>0</v>
      </c>
      <c r="Q150" s="6">
        <f>IF(INVESTORS_LIST[[#This Row],[SIP_TOTAL CURRENT UNITS]]=0,0,INVESTORS_LIST[[#This Row],[SIP_TOTAL CURRENT UNITS]]*INVESTORS_LIST[[#This Row],[SIP_AVERAGE COST]])</f>
        <v>0</v>
      </c>
      <c r="R150" s="6">
        <f>IF(INVESTORS_LIST[[#This Row],[SIP_TOTAL UNITS SOLD]]=0,0,SUMIFS(SIP[Realized Gain],SIP[Investor ID],INVESTORS_LIST[[#This Row],[INVESTOR CODE]],SIP[B/S],"S"))</f>
        <v>0</v>
      </c>
      <c r="S150" s="33">
        <f>INVESTORS_LIST[[#This Row],[LS_TOTAL UNITS BUY]]+INVESTORS_LIST[[#This Row],[SIP_TOTAL UNITS BUY]]</f>
        <v>0</v>
      </c>
      <c r="T150" s="33">
        <f>INVESTORS_LIST[[#This Row],[LS_TOTAL UNITS SOLD]]+INVESTORS_LIST[[#This Row],[SIP_TOTAL UNITS SOLD]]</f>
        <v>0</v>
      </c>
      <c r="U150" s="33">
        <v>0</v>
      </c>
      <c r="V150" s="33">
        <f>SUMIFS(LS[BO UNIT TRANSFER],LS[Investor ID],INVESTORS_LIST[[#This Row],[INVESTOR CODE]],LS[B/S],"B")</f>
        <v>0</v>
      </c>
      <c r="W150" s="33">
        <f>SUMIFS(LS[BO UNIT TRANSFER],LS[Investor ID],INVESTORS_LIST[[#This Row],[INVESTOR CODE]],LS[B/S],"S")</f>
        <v>0</v>
      </c>
      <c r="X150" s="33">
        <f>SUMIFS(SIP[BO UNIT TRANSFER],SIP[Investor ID],INVESTORS_LIST[[#This Row],[INVESTOR CODE]],SIP[B/S],"S")</f>
        <v>0</v>
      </c>
      <c r="Y150" s="33">
        <f>SUMIFS(SIP[BO UNIT TRANSFER],SIP[Investor ID],INVESTORS_LIST[[#This Row],[INVESTOR CODE]],SIP[B/S],"B")</f>
        <v>0</v>
      </c>
      <c r="Z15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50" s="119">
        <f>INVESTORS_LIST[[#This Row],[TOTAL UNITS BUY]]-INVESTORS_LIST[[#This Row],[TOTAL UNITS SOLD]]</f>
        <v>0</v>
      </c>
      <c r="AB150" s="119">
        <f>INVESTORS_LIST[[#This Row],[TOTAL CURRENT UNITS]]-INVESTORS_LIST[[#This Row],[BO UNITS HOLD]]</f>
        <v>0</v>
      </c>
      <c r="AC150" s="119" t="e">
        <f>INDEX([4]!Table_1[BO ID],MATCH(INVESTORS_LIST[[#This Row],[INVESTOR CODE]],[4]!Table_1[INVESTOR CODE],0))</f>
        <v>#REF!</v>
      </c>
      <c r="AD150" s="33">
        <f>INVESTORS_LIST[[#This Row],[LS_TOTAL COST VALUE OF CURRENT UNITS]]+INVESTORS_LIST[[#This Row],[SIP_TOTAL COST VALUE OF CURRENT UNITS]]</f>
        <v>0</v>
      </c>
      <c r="AE150" s="44">
        <f>IF(INVESTORS_LIST[[#This Row],[TOTAL CURRENT UNITS]]=0,0,INVESTORS_LIST[[#This Row],[LS_TOTAL CURRENT UNITS]]/INVESTORS_LIST[[#This Row],[TOTAL CURRENT UNITS]])</f>
        <v>0</v>
      </c>
      <c r="AF150" s="44">
        <f>IF(INVESTORS_LIST[[#This Row],[TOTAL CURRENT UNITS]]=0,0,INVESTORS_LIST[[#This Row],[SIP_TOTAL CURRENT UNITS]]/INVESTORS_LIST[[#This Row],[TOTAL CURRENT UNITS]])</f>
        <v>0</v>
      </c>
      <c r="AG150" s="4" cm="1">
        <f t="array" ref="AG15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50" s="4" cm="1">
        <f t="array" ref="AH1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5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50" s="178">
        <f t="shared" si="2"/>
        <v>12.552</v>
      </c>
      <c r="AK150" s="118">
        <f>IF(INVESTORS_LIST[[#This Row],[TOTAL CURRENT UNITS]]=0,0,INVESTORS_LIST[[#This Row],[TOTAL CURRENT UNITS]]*INVESTORS_LIST[[#This Row],[NAV]])</f>
        <v>0</v>
      </c>
      <c r="AL150" s="4">
        <f>IF(INVESTORS_LIST[[#This Row],[LS_TOTAL CURRENT UNITS]]=0,0,INVESTORS_LIST[[#This Row],[LS_TOTAL CURRENT UNITS]]*INVESTORS_LIST[[#This Row],[NAV]])</f>
        <v>0</v>
      </c>
      <c r="AM150" s="6">
        <f>IF(INVESTORS_LIST[[#This Row],[SIP_TOTAL CURRENT UNITS]]=0,0,INVESTORS_LIST[[#This Row],[SIP_TOTAL CURRENT UNITS]]*INVESTORS_LIST[[#This Row],[NAV]])</f>
        <v>0</v>
      </c>
      <c r="AO150" s="6">
        <f>IF(INVESTORS_LIST[[#This Row],[TOTAL SELLABLE UNITS]]=0,0,INVESTORS_LIST[[#This Row],[TOTAL SELLABLE UNITS]]*INVESTORS_LIST[[#This Row],[NAV]])</f>
        <v>0</v>
      </c>
      <c r="AP150" s="6">
        <f>INVESTORS_LIST[[#This Row],[LS_TOTAL REALIZED GAIN]]+INVESTORS_LIST[[#This Row],[SIP_TOTAL REALIZED GAIN]]</f>
        <v>0</v>
      </c>
      <c r="AQ150" s="6">
        <f>INVESTORS_LIST[[#This Row],[TOTAL MARKET VALUE]]-INVESTORS_LIST[[#This Row],[TOTAL COST VALUE OF CURRENT INVESTMENT]]</f>
        <v>0</v>
      </c>
      <c r="AR150" s="6">
        <f>SUMIFS(DivAndTax[Tax Amount],DivAndTax[Investor ID],INVESTORS_LIST[[#This Row],[INVESTOR CODE]])</f>
        <v>0</v>
      </c>
      <c r="AS150" s="6">
        <f>SUMIFS(DivAndTax[Gross Dividend],DivAndTax[Investor ID],INVESTORS_LIST[[#This Row],[INVESTOR CODE]])</f>
        <v>0</v>
      </c>
      <c r="AT150" s="5">
        <f>IFERROR(INVESTORS_LIST[[#This Row],[TOTAL CURRENT UNITS]]/SUM(INVESTORS_LIST[TOTAL CURRENT UNITS]),0)</f>
        <v>0</v>
      </c>
    </row>
    <row r="151" spans="1:46" hidden="1">
      <c r="A151" t="s">
        <v>814</v>
      </c>
      <c r="B151" t="s">
        <v>184</v>
      </c>
      <c r="C151" t="s">
        <v>537</v>
      </c>
      <c r="D151" s="8" t="s">
        <v>5</v>
      </c>
      <c r="E151" s="2">
        <f>SUMIFS(LS[Unit],LS[Investor ID],INVESTORS_LIST[[#This Row],[INVESTOR CODE]],LS[B/S],"B")</f>
        <v>0</v>
      </c>
      <c r="F151" s="2">
        <f>-SUMIFS(LS[Unit],LS[Investor ID],INVESTORS_LIST[[#This Row],[INVESTOR CODE]],LS[B/S],"S")</f>
        <v>0</v>
      </c>
      <c r="G151" s="2">
        <f>IF(INVESTORS_LIST[[#This Row],[LS_TOTAL UNITS BUY]]=0,0,INVESTORS_LIST[[#This Row],[LS_TOTAL UNITS BUY]]-INVESTORS_LIST[[#This Row],[LS_TOTAL UNITS SOLD]])</f>
        <v>0</v>
      </c>
      <c r="H151" s="4">
        <f>IF(INVESTORS_LIST[[#This Row],[LS_TOTAL UNITS BUY]]=0,0,SUMIFS(LS[Amount],LS[Investor ID],INVESTORS_LIST[[#This Row],[INVESTOR CODE]],LS[B/S],"B"))</f>
        <v>0</v>
      </c>
      <c r="I151" s="6">
        <f>IF(INVESTORS_LIST[[#This Row],[LS_TOTAL UNITS SOLD]]=0,0,SUMIFS(LS[Cost of Units Sold],LS[Investor ID],INVESTORS_LIST[[#This Row],[INVESTOR CODE]],LS[B/S],"S"))</f>
        <v>0</v>
      </c>
      <c r="J151" s="6">
        <f>IF(INVESTORS_LIST[[#This Row],[LS_TOTAL CURRENT UNITS]]=0,0,INVESTORS_LIST[[#This Row],[LS_TOTAL CURRENT UNITS]]*INVESTORS_LIST[[#This Row],[LS_AVERAGE COST]])</f>
        <v>0</v>
      </c>
      <c r="K151" s="4">
        <f>IF(INVESTORS_LIST[[#This Row],[LS_TOTAL UNITS SOLD]]=0,0,SUMIFS(LS[Realized Gain],LS[Investor ID],INVESTORS_LIST[[#This Row],[INVESTOR CODE]],LS[B/S],"S"))</f>
        <v>0</v>
      </c>
      <c r="L151" s="2">
        <f>SUMIFS(SIP[Unit],SIP[Investor ID],INVESTORS_LIST[[#This Row],[INVESTOR CODE]],SIP[B/S],"B")</f>
        <v>0</v>
      </c>
      <c r="M151" s="2">
        <f>-SUMIFS(SIP[Unit],SIP[Investor ID],INVESTORS_LIST[[#This Row],[INVESTOR CODE]],SIP[B/S],"S")</f>
        <v>0</v>
      </c>
      <c r="N151" s="33">
        <f>IF(INVESTORS_LIST[[#This Row],[SIP_TOTAL UNITS BUY]]=0,0,INVESTORS_LIST[[#This Row],[SIP_TOTAL UNITS BUY]]-INVESTORS_LIST[[#This Row],[SIP_TOTAL UNITS SOLD]])</f>
        <v>0</v>
      </c>
      <c r="O151" s="4">
        <f>IF(INVESTORS_LIST[[#This Row],[SIP_TOTAL UNITS BUY]]=0,0,SUMIFS(SIP[Amount],SIP[Investor ID],INVESTORS_LIST[[#This Row],[INVESTOR CODE]],SIP[B/S],"B"))</f>
        <v>0</v>
      </c>
      <c r="P151" s="4">
        <f>IF(INVESTORS_LIST[[#This Row],[SIP_TOTAL UNITS SOLD]]=0,0,SUMIFS(SIP[Cost of Units Sold],SIP[Investor ID],INVESTORS_LIST[[#This Row],[INVESTOR CODE]],SIP[B/S],"S"))</f>
        <v>0</v>
      </c>
      <c r="Q151" s="6">
        <f>IF(INVESTORS_LIST[[#This Row],[SIP_TOTAL CURRENT UNITS]]=0,0,INVESTORS_LIST[[#This Row],[SIP_TOTAL CURRENT UNITS]]*INVESTORS_LIST[[#This Row],[SIP_AVERAGE COST]])</f>
        <v>0</v>
      </c>
      <c r="R151" s="6">
        <f>IF(INVESTORS_LIST[[#This Row],[SIP_TOTAL UNITS SOLD]]=0,0,SUMIFS(SIP[Realized Gain],SIP[Investor ID],INVESTORS_LIST[[#This Row],[INVESTOR CODE]],SIP[B/S],"S"))</f>
        <v>0</v>
      </c>
      <c r="S151" s="33">
        <f>INVESTORS_LIST[[#This Row],[LS_TOTAL UNITS BUY]]+INVESTORS_LIST[[#This Row],[SIP_TOTAL UNITS BUY]]</f>
        <v>0</v>
      </c>
      <c r="T151" s="33">
        <f>INVESTORS_LIST[[#This Row],[LS_TOTAL UNITS SOLD]]+INVESTORS_LIST[[#This Row],[SIP_TOTAL UNITS SOLD]]</f>
        <v>0</v>
      </c>
      <c r="U151" s="33">
        <v>0</v>
      </c>
      <c r="V151" s="33">
        <f>SUMIFS(LS[BO UNIT TRANSFER],LS[Investor ID],INVESTORS_LIST[[#This Row],[INVESTOR CODE]],LS[B/S],"B")</f>
        <v>0</v>
      </c>
      <c r="W151" s="33">
        <f>SUMIFS(LS[BO UNIT TRANSFER],LS[Investor ID],INVESTORS_LIST[[#This Row],[INVESTOR CODE]],LS[B/S],"S")</f>
        <v>0</v>
      </c>
      <c r="X151" s="33">
        <f>SUMIFS(SIP[BO UNIT TRANSFER],SIP[Investor ID],INVESTORS_LIST[[#This Row],[INVESTOR CODE]],SIP[B/S],"S")</f>
        <v>0</v>
      </c>
      <c r="Y151" s="33">
        <f>SUMIFS(SIP[BO UNIT TRANSFER],SIP[Investor ID],INVESTORS_LIST[[#This Row],[INVESTOR CODE]],SIP[B/S],"B")</f>
        <v>0</v>
      </c>
      <c r="Z15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51" s="119">
        <f>INVESTORS_LIST[[#This Row],[TOTAL UNITS BUY]]-INVESTORS_LIST[[#This Row],[TOTAL UNITS SOLD]]</f>
        <v>0</v>
      </c>
      <c r="AB151" s="119">
        <f>INVESTORS_LIST[[#This Row],[TOTAL CURRENT UNITS]]-INVESTORS_LIST[[#This Row],[BO UNITS HOLD]]</f>
        <v>0</v>
      </c>
      <c r="AC151" s="119" t="e">
        <f>INDEX([4]!Table_1[BO ID],MATCH(INVESTORS_LIST[[#This Row],[INVESTOR CODE]],[4]!Table_1[INVESTOR CODE],0))</f>
        <v>#REF!</v>
      </c>
      <c r="AD151" s="33">
        <f>INVESTORS_LIST[[#This Row],[LS_TOTAL COST VALUE OF CURRENT UNITS]]+INVESTORS_LIST[[#This Row],[SIP_TOTAL COST VALUE OF CURRENT UNITS]]</f>
        <v>0</v>
      </c>
      <c r="AE151" s="44">
        <f>IF(INVESTORS_LIST[[#This Row],[TOTAL CURRENT UNITS]]=0,0,INVESTORS_LIST[[#This Row],[LS_TOTAL CURRENT UNITS]]/INVESTORS_LIST[[#This Row],[TOTAL CURRENT UNITS]])</f>
        <v>0</v>
      </c>
      <c r="AF151" s="44">
        <f>IF(INVESTORS_LIST[[#This Row],[TOTAL CURRENT UNITS]]=0,0,INVESTORS_LIST[[#This Row],[SIP_TOTAL CURRENT UNITS]]/INVESTORS_LIST[[#This Row],[TOTAL CURRENT UNITS]])</f>
        <v>0</v>
      </c>
      <c r="AG151" s="4" cm="1">
        <f t="array" ref="AG15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51" s="4" cm="1">
        <f t="array" ref="AH1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5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51" s="178">
        <f t="shared" si="2"/>
        <v>12.552</v>
      </c>
      <c r="AK151" s="118">
        <f>IF(INVESTORS_LIST[[#This Row],[TOTAL CURRENT UNITS]]=0,0,INVESTORS_LIST[[#This Row],[TOTAL CURRENT UNITS]]*INVESTORS_LIST[[#This Row],[NAV]])</f>
        <v>0</v>
      </c>
      <c r="AL151" s="4">
        <f>IF(INVESTORS_LIST[[#This Row],[LS_TOTAL CURRENT UNITS]]=0,0,INVESTORS_LIST[[#This Row],[LS_TOTAL CURRENT UNITS]]*INVESTORS_LIST[[#This Row],[NAV]])</f>
        <v>0</v>
      </c>
      <c r="AM151" s="6">
        <f>IF(INVESTORS_LIST[[#This Row],[SIP_TOTAL CURRENT UNITS]]=0,0,INVESTORS_LIST[[#This Row],[SIP_TOTAL CURRENT UNITS]]*INVESTORS_LIST[[#This Row],[NAV]])</f>
        <v>0</v>
      </c>
      <c r="AO151" s="6">
        <f>IF(INVESTORS_LIST[[#This Row],[TOTAL SELLABLE UNITS]]=0,0,INVESTORS_LIST[[#This Row],[TOTAL SELLABLE UNITS]]*INVESTORS_LIST[[#This Row],[NAV]])</f>
        <v>0</v>
      </c>
      <c r="AP151" s="6">
        <f>INVESTORS_LIST[[#This Row],[LS_TOTAL REALIZED GAIN]]+INVESTORS_LIST[[#This Row],[SIP_TOTAL REALIZED GAIN]]</f>
        <v>0</v>
      </c>
      <c r="AQ151" s="6">
        <f>INVESTORS_LIST[[#This Row],[TOTAL MARKET VALUE]]-INVESTORS_LIST[[#This Row],[TOTAL COST VALUE OF CURRENT INVESTMENT]]</f>
        <v>0</v>
      </c>
      <c r="AR151" s="6">
        <f>SUMIFS(DivAndTax[Tax Amount],DivAndTax[Investor ID],INVESTORS_LIST[[#This Row],[INVESTOR CODE]])</f>
        <v>0</v>
      </c>
      <c r="AS151" s="6">
        <f>SUMIFS(DivAndTax[Gross Dividend],DivAndTax[Investor ID],INVESTORS_LIST[[#This Row],[INVESTOR CODE]])</f>
        <v>0</v>
      </c>
      <c r="AT151" s="5">
        <f>IFERROR(INVESTORS_LIST[[#This Row],[TOTAL CURRENT UNITS]]/SUM(INVESTORS_LIST[TOTAL CURRENT UNITS]),0)</f>
        <v>0</v>
      </c>
    </row>
    <row r="152" spans="1:46" hidden="1">
      <c r="A152" t="s">
        <v>815</v>
      </c>
      <c r="B152" t="s">
        <v>185</v>
      </c>
      <c r="C152" t="s">
        <v>536</v>
      </c>
      <c r="D152" s="8" t="s">
        <v>2</v>
      </c>
      <c r="E152" s="2">
        <f>SUMIFS(LS[Unit],LS[Investor ID],INVESTORS_LIST[[#This Row],[INVESTOR CODE]],LS[B/S],"B")</f>
        <v>0</v>
      </c>
      <c r="F152" s="2">
        <f>-SUMIFS(LS[Unit],LS[Investor ID],INVESTORS_LIST[[#This Row],[INVESTOR CODE]],LS[B/S],"S")</f>
        <v>0</v>
      </c>
      <c r="G152" s="2">
        <f>IF(INVESTORS_LIST[[#This Row],[LS_TOTAL UNITS BUY]]=0,0,INVESTORS_LIST[[#This Row],[LS_TOTAL UNITS BUY]]-INVESTORS_LIST[[#This Row],[LS_TOTAL UNITS SOLD]])</f>
        <v>0</v>
      </c>
      <c r="H152" s="4">
        <f>IF(INVESTORS_LIST[[#This Row],[LS_TOTAL UNITS BUY]]=0,0,SUMIFS(LS[Amount],LS[Investor ID],INVESTORS_LIST[[#This Row],[INVESTOR CODE]],LS[B/S],"B"))</f>
        <v>0</v>
      </c>
      <c r="I152" s="6">
        <f>IF(INVESTORS_LIST[[#This Row],[LS_TOTAL UNITS SOLD]]=0,0,SUMIFS(LS[Cost of Units Sold],LS[Investor ID],INVESTORS_LIST[[#This Row],[INVESTOR CODE]],LS[B/S],"S"))</f>
        <v>0</v>
      </c>
      <c r="J152" s="6">
        <f>IF(INVESTORS_LIST[[#This Row],[LS_TOTAL CURRENT UNITS]]=0,0,INVESTORS_LIST[[#This Row],[LS_TOTAL CURRENT UNITS]]*INVESTORS_LIST[[#This Row],[LS_AVERAGE COST]])</f>
        <v>0</v>
      </c>
      <c r="K152" s="4">
        <f>IF(INVESTORS_LIST[[#This Row],[LS_TOTAL UNITS SOLD]]=0,0,SUMIFS(LS[Realized Gain],LS[Investor ID],INVESTORS_LIST[[#This Row],[INVESTOR CODE]],LS[B/S],"S"))</f>
        <v>0</v>
      </c>
      <c r="L152" s="2">
        <f>SUMIFS(SIP[Unit],SIP[Investor ID],INVESTORS_LIST[[#This Row],[INVESTOR CODE]],SIP[B/S],"B")</f>
        <v>0</v>
      </c>
      <c r="M152" s="2">
        <f>-SUMIFS(SIP[Unit],SIP[Investor ID],INVESTORS_LIST[[#This Row],[INVESTOR CODE]],SIP[B/S],"S")</f>
        <v>0</v>
      </c>
      <c r="N152" s="33">
        <f>IF(INVESTORS_LIST[[#This Row],[SIP_TOTAL UNITS BUY]]=0,0,INVESTORS_LIST[[#This Row],[SIP_TOTAL UNITS BUY]]-INVESTORS_LIST[[#This Row],[SIP_TOTAL UNITS SOLD]])</f>
        <v>0</v>
      </c>
      <c r="O152" s="4">
        <f>IF(INVESTORS_LIST[[#This Row],[SIP_TOTAL UNITS BUY]]=0,0,SUMIFS(SIP[Amount],SIP[Investor ID],INVESTORS_LIST[[#This Row],[INVESTOR CODE]],SIP[B/S],"B"))</f>
        <v>0</v>
      </c>
      <c r="P152" s="4">
        <f>IF(INVESTORS_LIST[[#This Row],[SIP_TOTAL UNITS SOLD]]=0,0,SUMIFS(SIP[Cost of Units Sold],SIP[Investor ID],INVESTORS_LIST[[#This Row],[INVESTOR CODE]],SIP[B/S],"S"))</f>
        <v>0</v>
      </c>
      <c r="Q152" s="6">
        <f>IF(INVESTORS_LIST[[#This Row],[SIP_TOTAL CURRENT UNITS]]=0,0,INVESTORS_LIST[[#This Row],[SIP_TOTAL CURRENT UNITS]]*INVESTORS_LIST[[#This Row],[SIP_AVERAGE COST]])</f>
        <v>0</v>
      </c>
      <c r="R152" s="6">
        <f>IF(INVESTORS_LIST[[#This Row],[SIP_TOTAL UNITS SOLD]]=0,0,SUMIFS(SIP[Realized Gain],SIP[Investor ID],INVESTORS_LIST[[#This Row],[INVESTOR CODE]],SIP[B/S],"S"))</f>
        <v>0</v>
      </c>
      <c r="S152" s="33">
        <f>INVESTORS_LIST[[#This Row],[LS_TOTAL UNITS BUY]]+INVESTORS_LIST[[#This Row],[SIP_TOTAL UNITS BUY]]</f>
        <v>0</v>
      </c>
      <c r="T152" s="33">
        <f>INVESTORS_LIST[[#This Row],[LS_TOTAL UNITS SOLD]]+INVESTORS_LIST[[#This Row],[SIP_TOTAL UNITS SOLD]]</f>
        <v>0</v>
      </c>
      <c r="U152" s="33">
        <v>0</v>
      </c>
      <c r="V152" s="33">
        <f>SUMIFS(LS[BO UNIT TRANSFER],LS[Investor ID],INVESTORS_LIST[[#This Row],[INVESTOR CODE]],LS[B/S],"B")</f>
        <v>0</v>
      </c>
      <c r="W152" s="33">
        <f>SUMIFS(LS[BO UNIT TRANSFER],LS[Investor ID],INVESTORS_LIST[[#This Row],[INVESTOR CODE]],LS[B/S],"S")</f>
        <v>0</v>
      </c>
      <c r="X152" s="33">
        <f>SUMIFS(SIP[BO UNIT TRANSFER],SIP[Investor ID],INVESTORS_LIST[[#This Row],[INVESTOR CODE]],SIP[B/S],"S")</f>
        <v>0</v>
      </c>
      <c r="Y152" s="33">
        <f>SUMIFS(SIP[BO UNIT TRANSFER],SIP[Investor ID],INVESTORS_LIST[[#This Row],[INVESTOR CODE]],SIP[B/S],"B")</f>
        <v>0</v>
      </c>
      <c r="Z15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52" s="119">
        <f>INVESTORS_LIST[[#This Row],[TOTAL UNITS BUY]]-INVESTORS_LIST[[#This Row],[TOTAL UNITS SOLD]]</f>
        <v>0</v>
      </c>
      <c r="AB152" s="119">
        <f>INVESTORS_LIST[[#This Row],[TOTAL CURRENT UNITS]]-INVESTORS_LIST[[#This Row],[BO UNITS HOLD]]</f>
        <v>0</v>
      </c>
      <c r="AC152" s="119" t="e">
        <f>INDEX([4]!Table_1[BO ID],MATCH(INVESTORS_LIST[[#This Row],[INVESTOR CODE]],[4]!Table_1[INVESTOR CODE],0))</f>
        <v>#REF!</v>
      </c>
      <c r="AD152" s="33">
        <f>INVESTORS_LIST[[#This Row],[LS_TOTAL COST VALUE OF CURRENT UNITS]]+INVESTORS_LIST[[#This Row],[SIP_TOTAL COST VALUE OF CURRENT UNITS]]</f>
        <v>0</v>
      </c>
      <c r="AE152" s="44">
        <f>IF(INVESTORS_LIST[[#This Row],[TOTAL CURRENT UNITS]]=0,0,INVESTORS_LIST[[#This Row],[LS_TOTAL CURRENT UNITS]]/INVESTORS_LIST[[#This Row],[TOTAL CURRENT UNITS]])</f>
        <v>0</v>
      </c>
      <c r="AF152" s="44">
        <f>IF(INVESTORS_LIST[[#This Row],[TOTAL CURRENT UNITS]]=0,0,INVESTORS_LIST[[#This Row],[SIP_TOTAL CURRENT UNITS]]/INVESTORS_LIST[[#This Row],[TOTAL CURRENT UNITS]])</f>
        <v>0</v>
      </c>
      <c r="AG152" s="4" cm="1">
        <f t="array" ref="AG15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52" s="4" cm="1">
        <f t="array" ref="AH1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5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52" s="178">
        <f t="shared" si="2"/>
        <v>12.552</v>
      </c>
      <c r="AK152" s="118">
        <f>IF(INVESTORS_LIST[[#This Row],[TOTAL CURRENT UNITS]]=0,0,INVESTORS_LIST[[#This Row],[TOTAL CURRENT UNITS]]*INVESTORS_LIST[[#This Row],[NAV]])</f>
        <v>0</v>
      </c>
      <c r="AL152" s="4">
        <f>IF(INVESTORS_LIST[[#This Row],[LS_TOTAL CURRENT UNITS]]=0,0,INVESTORS_LIST[[#This Row],[LS_TOTAL CURRENT UNITS]]*INVESTORS_LIST[[#This Row],[NAV]])</f>
        <v>0</v>
      </c>
      <c r="AM152" s="6">
        <f>IF(INVESTORS_LIST[[#This Row],[SIP_TOTAL CURRENT UNITS]]=0,0,INVESTORS_LIST[[#This Row],[SIP_TOTAL CURRENT UNITS]]*INVESTORS_LIST[[#This Row],[NAV]])</f>
        <v>0</v>
      </c>
      <c r="AO152" s="6">
        <f>IF(INVESTORS_LIST[[#This Row],[TOTAL SELLABLE UNITS]]=0,0,INVESTORS_LIST[[#This Row],[TOTAL SELLABLE UNITS]]*INVESTORS_LIST[[#This Row],[NAV]])</f>
        <v>0</v>
      </c>
      <c r="AP152" s="6">
        <f>INVESTORS_LIST[[#This Row],[LS_TOTAL REALIZED GAIN]]+INVESTORS_LIST[[#This Row],[SIP_TOTAL REALIZED GAIN]]</f>
        <v>0</v>
      </c>
      <c r="AQ152" s="6">
        <f>INVESTORS_LIST[[#This Row],[TOTAL MARKET VALUE]]-INVESTORS_LIST[[#This Row],[TOTAL COST VALUE OF CURRENT INVESTMENT]]</f>
        <v>0</v>
      </c>
      <c r="AR152" s="6">
        <f>SUMIFS(DivAndTax[Tax Amount],DivAndTax[Investor ID],INVESTORS_LIST[[#This Row],[INVESTOR CODE]])</f>
        <v>0</v>
      </c>
      <c r="AS152" s="6">
        <f>SUMIFS(DivAndTax[Gross Dividend],DivAndTax[Investor ID],INVESTORS_LIST[[#This Row],[INVESTOR CODE]])</f>
        <v>0</v>
      </c>
      <c r="AT152" s="5">
        <f>IFERROR(INVESTORS_LIST[[#This Row],[TOTAL CURRENT UNITS]]/SUM(INVESTORS_LIST[TOTAL CURRENT UNITS]),0)</f>
        <v>0</v>
      </c>
    </row>
    <row r="153" spans="1:46" hidden="1">
      <c r="A153" t="s">
        <v>816</v>
      </c>
      <c r="B153" t="s">
        <v>186</v>
      </c>
      <c r="C153" t="s">
        <v>537</v>
      </c>
      <c r="D153" s="8" t="s">
        <v>8</v>
      </c>
      <c r="E153" s="2">
        <f>SUMIFS(LS[Unit],LS[Investor ID],INVESTORS_LIST[[#This Row],[INVESTOR CODE]],LS[B/S],"B")</f>
        <v>0</v>
      </c>
      <c r="F153" s="2">
        <f>-SUMIFS(LS[Unit],LS[Investor ID],INVESTORS_LIST[[#This Row],[INVESTOR CODE]],LS[B/S],"S")</f>
        <v>0</v>
      </c>
      <c r="G153" s="2">
        <f>IF(INVESTORS_LIST[[#This Row],[LS_TOTAL UNITS BUY]]=0,0,INVESTORS_LIST[[#This Row],[LS_TOTAL UNITS BUY]]-INVESTORS_LIST[[#This Row],[LS_TOTAL UNITS SOLD]])</f>
        <v>0</v>
      </c>
      <c r="H153" s="4">
        <f>IF(INVESTORS_LIST[[#This Row],[LS_TOTAL UNITS BUY]]=0,0,SUMIFS(LS[Amount],LS[Investor ID],INVESTORS_LIST[[#This Row],[INVESTOR CODE]],LS[B/S],"B"))</f>
        <v>0</v>
      </c>
      <c r="I153" s="6">
        <f>IF(INVESTORS_LIST[[#This Row],[LS_TOTAL UNITS SOLD]]=0,0,SUMIFS(LS[Cost of Units Sold],LS[Investor ID],INVESTORS_LIST[[#This Row],[INVESTOR CODE]],LS[B/S],"S"))</f>
        <v>0</v>
      </c>
      <c r="J153" s="6">
        <f>IF(INVESTORS_LIST[[#This Row],[LS_TOTAL CURRENT UNITS]]=0,0,INVESTORS_LIST[[#This Row],[LS_TOTAL CURRENT UNITS]]*INVESTORS_LIST[[#This Row],[LS_AVERAGE COST]])</f>
        <v>0</v>
      </c>
      <c r="K153" s="4">
        <f>IF(INVESTORS_LIST[[#This Row],[LS_TOTAL UNITS SOLD]]=0,0,SUMIFS(LS[Realized Gain],LS[Investor ID],INVESTORS_LIST[[#This Row],[INVESTOR CODE]],LS[B/S],"S"))</f>
        <v>0</v>
      </c>
      <c r="L153" s="2">
        <f>SUMIFS(SIP[Unit],SIP[Investor ID],INVESTORS_LIST[[#This Row],[INVESTOR CODE]],SIP[B/S],"B")</f>
        <v>0</v>
      </c>
      <c r="M153" s="2">
        <f>-SUMIFS(SIP[Unit],SIP[Investor ID],INVESTORS_LIST[[#This Row],[INVESTOR CODE]],SIP[B/S],"S")</f>
        <v>0</v>
      </c>
      <c r="N153" s="33">
        <f>IF(INVESTORS_LIST[[#This Row],[SIP_TOTAL UNITS BUY]]=0,0,INVESTORS_LIST[[#This Row],[SIP_TOTAL UNITS BUY]]-INVESTORS_LIST[[#This Row],[SIP_TOTAL UNITS SOLD]])</f>
        <v>0</v>
      </c>
      <c r="O153" s="4">
        <f>IF(INVESTORS_LIST[[#This Row],[SIP_TOTAL UNITS BUY]]=0,0,SUMIFS(SIP[Amount],SIP[Investor ID],INVESTORS_LIST[[#This Row],[INVESTOR CODE]],SIP[B/S],"B"))</f>
        <v>0</v>
      </c>
      <c r="P153" s="4">
        <f>IF(INVESTORS_LIST[[#This Row],[SIP_TOTAL UNITS SOLD]]=0,0,SUMIFS(SIP[Cost of Units Sold],SIP[Investor ID],INVESTORS_LIST[[#This Row],[INVESTOR CODE]],SIP[B/S],"S"))</f>
        <v>0</v>
      </c>
      <c r="Q153" s="6">
        <f>IF(INVESTORS_LIST[[#This Row],[SIP_TOTAL CURRENT UNITS]]=0,0,INVESTORS_LIST[[#This Row],[SIP_TOTAL CURRENT UNITS]]*INVESTORS_LIST[[#This Row],[SIP_AVERAGE COST]])</f>
        <v>0</v>
      </c>
      <c r="R153" s="6">
        <f>IF(INVESTORS_LIST[[#This Row],[SIP_TOTAL UNITS SOLD]]=0,0,SUMIFS(SIP[Realized Gain],SIP[Investor ID],INVESTORS_LIST[[#This Row],[INVESTOR CODE]],SIP[B/S],"S"))</f>
        <v>0</v>
      </c>
      <c r="S153" s="33">
        <f>INVESTORS_LIST[[#This Row],[LS_TOTAL UNITS BUY]]+INVESTORS_LIST[[#This Row],[SIP_TOTAL UNITS BUY]]</f>
        <v>0</v>
      </c>
      <c r="T153" s="33">
        <f>INVESTORS_LIST[[#This Row],[LS_TOTAL UNITS SOLD]]+INVESTORS_LIST[[#This Row],[SIP_TOTAL UNITS SOLD]]</f>
        <v>0</v>
      </c>
      <c r="U153" s="33">
        <v>0</v>
      </c>
      <c r="V153" s="33">
        <f>SUMIFS(LS[BO UNIT TRANSFER],LS[Investor ID],INVESTORS_LIST[[#This Row],[INVESTOR CODE]],LS[B/S],"B")</f>
        <v>0</v>
      </c>
      <c r="W153" s="33">
        <f>SUMIFS(LS[BO UNIT TRANSFER],LS[Investor ID],INVESTORS_LIST[[#This Row],[INVESTOR CODE]],LS[B/S],"S")</f>
        <v>0</v>
      </c>
      <c r="X153" s="33">
        <f>SUMIFS(SIP[BO UNIT TRANSFER],SIP[Investor ID],INVESTORS_LIST[[#This Row],[INVESTOR CODE]],SIP[B/S],"S")</f>
        <v>0</v>
      </c>
      <c r="Y153" s="33">
        <f>SUMIFS(SIP[BO UNIT TRANSFER],SIP[Investor ID],INVESTORS_LIST[[#This Row],[INVESTOR CODE]],SIP[B/S],"B")</f>
        <v>0</v>
      </c>
      <c r="Z15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53" s="119">
        <f>INVESTORS_LIST[[#This Row],[TOTAL UNITS BUY]]-INVESTORS_LIST[[#This Row],[TOTAL UNITS SOLD]]</f>
        <v>0</v>
      </c>
      <c r="AB153" s="119">
        <f>INVESTORS_LIST[[#This Row],[TOTAL CURRENT UNITS]]-INVESTORS_LIST[[#This Row],[BO UNITS HOLD]]</f>
        <v>0</v>
      </c>
      <c r="AC153" s="119" t="e">
        <f>INDEX([4]!Table_1[BO ID],MATCH(INVESTORS_LIST[[#This Row],[INVESTOR CODE]],[4]!Table_1[INVESTOR CODE],0))</f>
        <v>#REF!</v>
      </c>
      <c r="AD153" s="33">
        <f>INVESTORS_LIST[[#This Row],[LS_TOTAL COST VALUE OF CURRENT UNITS]]+INVESTORS_LIST[[#This Row],[SIP_TOTAL COST VALUE OF CURRENT UNITS]]</f>
        <v>0</v>
      </c>
      <c r="AE153" s="44">
        <f>IF(INVESTORS_LIST[[#This Row],[TOTAL CURRENT UNITS]]=0,0,INVESTORS_LIST[[#This Row],[LS_TOTAL CURRENT UNITS]]/INVESTORS_LIST[[#This Row],[TOTAL CURRENT UNITS]])</f>
        <v>0</v>
      </c>
      <c r="AF153" s="44">
        <f>IF(INVESTORS_LIST[[#This Row],[TOTAL CURRENT UNITS]]=0,0,INVESTORS_LIST[[#This Row],[SIP_TOTAL CURRENT UNITS]]/INVESTORS_LIST[[#This Row],[TOTAL CURRENT UNITS]])</f>
        <v>0</v>
      </c>
      <c r="AG153" s="4" cm="1">
        <f t="array" ref="AG15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53" s="4" cm="1">
        <f t="array" ref="AH1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5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53" s="178">
        <f t="shared" si="2"/>
        <v>12.552</v>
      </c>
      <c r="AK153" s="118">
        <f>IF(INVESTORS_LIST[[#This Row],[TOTAL CURRENT UNITS]]=0,0,INVESTORS_LIST[[#This Row],[TOTAL CURRENT UNITS]]*INVESTORS_LIST[[#This Row],[NAV]])</f>
        <v>0</v>
      </c>
      <c r="AL153" s="4">
        <f>IF(INVESTORS_LIST[[#This Row],[LS_TOTAL CURRENT UNITS]]=0,0,INVESTORS_LIST[[#This Row],[LS_TOTAL CURRENT UNITS]]*INVESTORS_LIST[[#This Row],[NAV]])</f>
        <v>0</v>
      </c>
      <c r="AM153" s="6">
        <f>IF(INVESTORS_LIST[[#This Row],[SIP_TOTAL CURRENT UNITS]]=0,0,INVESTORS_LIST[[#This Row],[SIP_TOTAL CURRENT UNITS]]*INVESTORS_LIST[[#This Row],[NAV]])</f>
        <v>0</v>
      </c>
      <c r="AO153" s="6">
        <f>IF(INVESTORS_LIST[[#This Row],[TOTAL SELLABLE UNITS]]=0,0,INVESTORS_LIST[[#This Row],[TOTAL SELLABLE UNITS]]*INVESTORS_LIST[[#This Row],[NAV]])</f>
        <v>0</v>
      </c>
      <c r="AP153" s="6">
        <f>INVESTORS_LIST[[#This Row],[LS_TOTAL REALIZED GAIN]]+INVESTORS_LIST[[#This Row],[SIP_TOTAL REALIZED GAIN]]</f>
        <v>0</v>
      </c>
      <c r="AQ153" s="6">
        <f>INVESTORS_LIST[[#This Row],[TOTAL MARKET VALUE]]-INVESTORS_LIST[[#This Row],[TOTAL COST VALUE OF CURRENT INVESTMENT]]</f>
        <v>0</v>
      </c>
      <c r="AR153" s="6">
        <f>SUMIFS(DivAndTax[Tax Amount],DivAndTax[Investor ID],INVESTORS_LIST[[#This Row],[INVESTOR CODE]])</f>
        <v>0</v>
      </c>
      <c r="AS153" s="6">
        <f>SUMIFS(DivAndTax[Gross Dividend],DivAndTax[Investor ID],INVESTORS_LIST[[#This Row],[INVESTOR CODE]])</f>
        <v>0</v>
      </c>
      <c r="AT153" s="5">
        <f>IFERROR(INVESTORS_LIST[[#This Row],[TOTAL CURRENT UNITS]]/SUM(INVESTORS_LIST[TOTAL CURRENT UNITS]),0)</f>
        <v>0</v>
      </c>
    </row>
    <row r="154" spans="1:46" hidden="1">
      <c r="A154" t="s">
        <v>817</v>
      </c>
      <c r="B154" t="s">
        <v>187</v>
      </c>
      <c r="C154" t="s">
        <v>537</v>
      </c>
      <c r="D154" s="8" t="s">
        <v>8</v>
      </c>
      <c r="E154" s="2">
        <f>SUMIFS(LS[Unit],LS[Investor ID],INVESTORS_LIST[[#This Row],[INVESTOR CODE]],LS[B/S],"B")</f>
        <v>0</v>
      </c>
      <c r="F154" s="2">
        <f>-SUMIFS(LS[Unit],LS[Investor ID],INVESTORS_LIST[[#This Row],[INVESTOR CODE]],LS[B/S],"S")</f>
        <v>0</v>
      </c>
      <c r="G154" s="2">
        <f>IF(INVESTORS_LIST[[#This Row],[LS_TOTAL UNITS BUY]]=0,0,INVESTORS_LIST[[#This Row],[LS_TOTAL UNITS BUY]]-INVESTORS_LIST[[#This Row],[LS_TOTAL UNITS SOLD]])</f>
        <v>0</v>
      </c>
      <c r="H154" s="4">
        <f>IF(INVESTORS_LIST[[#This Row],[LS_TOTAL UNITS BUY]]=0,0,SUMIFS(LS[Amount],LS[Investor ID],INVESTORS_LIST[[#This Row],[INVESTOR CODE]],LS[B/S],"B"))</f>
        <v>0</v>
      </c>
      <c r="I154" s="6">
        <f>IF(INVESTORS_LIST[[#This Row],[LS_TOTAL UNITS SOLD]]=0,0,SUMIFS(LS[Cost of Units Sold],LS[Investor ID],INVESTORS_LIST[[#This Row],[INVESTOR CODE]],LS[B/S],"S"))</f>
        <v>0</v>
      </c>
      <c r="J154" s="6">
        <f>IF(INVESTORS_LIST[[#This Row],[LS_TOTAL CURRENT UNITS]]=0,0,INVESTORS_LIST[[#This Row],[LS_TOTAL CURRENT UNITS]]*INVESTORS_LIST[[#This Row],[LS_AVERAGE COST]])</f>
        <v>0</v>
      </c>
      <c r="K154" s="4">
        <f>IF(INVESTORS_LIST[[#This Row],[LS_TOTAL UNITS SOLD]]=0,0,SUMIFS(LS[Realized Gain],LS[Investor ID],INVESTORS_LIST[[#This Row],[INVESTOR CODE]],LS[B/S],"S"))</f>
        <v>0</v>
      </c>
      <c r="L154" s="2">
        <f>SUMIFS(SIP[Unit],SIP[Investor ID],INVESTORS_LIST[[#This Row],[INVESTOR CODE]],SIP[B/S],"B")</f>
        <v>0</v>
      </c>
      <c r="M154" s="2">
        <f>-SUMIFS(SIP[Unit],SIP[Investor ID],INVESTORS_LIST[[#This Row],[INVESTOR CODE]],SIP[B/S],"S")</f>
        <v>0</v>
      </c>
      <c r="N154" s="33">
        <f>IF(INVESTORS_LIST[[#This Row],[SIP_TOTAL UNITS BUY]]=0,0,INVESTORS_LIST[[#This Row],[SIP_TOTAL UNITS BUY]]-INVESTORS_LIST[[#This Row],[SIP_TOTAL UNITS SOLD]])</f>
        <v>0</v>
      </c>
      <c r="O154" s="4">
        <f>IF(INVESTORS_LIST[[#This Row],[SIP_TOTAL UNITS BUY]]=0,0,SUMIFS(SIP[Amount],SIP[Investor ID],INVESTORS_LIST[[#This Row],[INVESTOR CODE]],SIP[B/S],"B"))</f>
        <v>0</v>
      </c>
      <c r="P154" s="4">
        <f>IF(INVESTORS_LIST[[#This Row],[SIP_TOTAL UNITS SOLD]]=0,0,SUMIFS(SIP[Cost of Units Sold],SIP[Investor ID],INVESTORS_LIST[[#This Row],[INVESTOR CODE]],SIP[B/S],"S"))</f>
        <v>0</v>
      </c>
      <c r="Q154" s="6">
        <f>IF(INVESTORS_LIST[[#This Row],[SIP_TOTAL CURRENT UNITS]]=0,0,INVESTORS_LIST[[#This Row],[SIP_TOTAL CURRENT UNITS]]*INVESTORS_LIST[[#This Row],[SIP_AVERAGE COST]])</f>
        <v>0</v>
      </c>
      <c r="R154" s="6">
        <f>IF(INVESTORS_LIST[[#This Row],[SIP_TOTAL UNITS SOLD]]=0,0,SUMIFS(SIP[Realized Gain],SIP[Investor ID],INVESTORS_LIST[[#This Row],[INVESTOR CODE]],SIP[B/S],"S"))</f>
        <v>0</v>
      </c>
      <c r="S154" s="33">
        <f>INVESTORS_LIST[[#This Row],[LS_TOTAL UNITS BUY]]+INVESTORS_LIST[[#This Row],[SIP_TOTAL UNITS BUY]]</f>
        <v>0</v>
      </c>
      <c r="T154" s="33">
        <f>INVESTORS_LIST[[#This Row],[LS_TOTAL UNITS SOLD]]+INVESTORS_LIST[[#This Row],[SIP_TOTAL UNITS SOLD]]</f>
        <v>0</v>
      </c>
      <c r="U154" s="33">
        <v>0</v>
      </c>
      <c r="V154" s="33">
        <f>SUMIFS(LS[BO UNIT TRANSFER],LS[Investor ID],INVESTORS_LIST[[#This Row],[INVESTOR CODE]],LS[B/S],"B")</f>
        <v>0</v>
      </c>
      <c r="W154" s="33">
        <f>SUMIFS(LS[BO UNIT TRANSFER],LS[Investor ID],INVESTORS_LIST[[#This Row],[INVESTOR CODE]],LS[B/S],"S")</f>
        <v>0</v>
      </c>
      <c r="X154" s="33">
        <f>SUMIFS(SIP[BO UNIT TRANSFER],SIP[Investor ID],INVESTORS_LIST[[#This Row],[INVESTOR CODE]],SIP[B/S],"S")</f>
        <v>0</v>
      </c>
      <c r="Y154" s="33">
        <f>SUMIFS(SIP[BO UNIT TRANSFER],SIP[Investor ID],INVESTORS_LIST[[#This Row],[INVESTOR CODE]],SIP[B/S],"B")</f>
        <v>0</v>
      </c>
      <c r="Z15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54" s="119">
        <f>INVESTORS_LIST[[#This Row],[TOTAL UNITS BUY]]-INVESTORS_LIST[[#This Row],[TOTAL UNITS SOLD]]</f>
        <v>0</v>
      </c>
      <c r="AB154" s="119">
        <f>INVESTORS_LIST[[#This Row],[TOTAL CURRENT UNITS]]-INVESTORS_LIST[[#This Row],[BO UNITS HOLD]]</f>
        <v>0</v>
      </c>
      <c r="AC154" s="119" t="e">
        <f>INDEX([4]!Table_1[BO ID],MATCH(INVESTORS_LIST[[#This Row],[INVESTOR CODE]],[4]!Table_1[INVESTOR CODE],0))</f>
        <v>#REF!</v>
      </c>
      <c r="AD154" s="33">
        <f>INVESTORS_LIST[[#This Row],[LS_TOTAL COST VALUE OF CURRENT UNITS]]+INVESTORS_LIST[[#This Row],[SIP_TOTAL COST VALUE OF CURRENT UNITS]]</f>
        <v>0</v>
      </c>
      <c r="AE154" s="44">
        <f>IF(INVESTORS_LIST[[#This Row],[TOTAL CURRENT UNITS]]=0,0,INVESTORS_LIST[[#This Row],[LS_TOTAL CURRENT UNITS]]/INVESTORS_LIST[[#This Row],[TOTAL CURRENT UNITS]])</f>
        <v>0</v>
      </c>
      <c r="AF154" s="44">
        <f>IF(INVESTORS_LIST[[#This Row],[TOTAL CURRENT UNITS]]=0,0,INVESTORS_LIST[[#This Row],[SIP_TOTAL CURRENT UNITS]]/INVESTORS_LIST[[#This Row],[TOTAL CURRENT UNITS]])</f>
        <v>0</v>
      </c>
      <c r="AG154" s="4" cm="1">
        <f t="array" ref="AG15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54" s="4" cm="1">
        <f t="array" ref="AH1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5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54" s="178">
        <f t="shared" si="2"/>
        <v>12.552</v>
      </c>
      <c r="AK154" s="118">
        <f>IF(INVESTORS_LIST[[#This Row],[TOTAL CURRENT UNITS]]=0,0,INVESTORS_LIST[[#This Row],[TOTAL CURRENT UNITS]]*INVESTORS_LIST[[#This Row],[NAV]])</f>
        <v>0</v>
      </c>
      <c r="AL154" s="4">
        <f>IF(INVESTORS_LIST[[#This Row],[LS_TOTAL CURRENT UNITS]]=0,0,INVESTORS_LIST[[#This Row],[LS_TOTAL CURRENT UNITS]]*INVESTORS_LIST[[#This Row],[NAV]])</f>
        <v>0</v>
      </c>
      <c r="AM154" s="6">
        <f>IF(INVESTORS_LIST[[#This Row],[SIP_TOTAL CURRENT UNITS]]=0,0,INVESTORS_LIST[[#This Row],[SIP_TOTAL CURRENT UNITS]]*INVESTORS_LIST[[#This Row],[NAV]])</f>
        <v>0</v>
      </c>
      <c r="AO154" s="6">
        <f>IF(INVESTORS_LIST[[#This Row],[TOTAL SELLABLE UNITS]]=0,0,INVESTORS_LIST[[#This Row],[TOTAL SELLABLE UNITS]]*INVESTORS_LIST[[#This Row],[NAV]])</f>
        <v>0</v>
      </c>
      <c r="AP154" s="6">
        <f>INVESTORS_LIST[[#This Row],[LS_TOTAL REALIZED GAIN]]+INVESTORS_LIST[[#This Row],[SIP_TOTAL REALIZED GAIN]]</f>
        <v>0</v>
      </c>
      <c r="AQ154" s="6">
        <f>INVESTORS_LIST[[#This Row],[TOTAL MARKET VALUE]]-INVESTORS_LIST[[#This Row],[TOTAL COST VALUE OF CURRENT INVESTMENT]]</f>
        <v>0</v>
      </c>
      <c r="AR154" s="6">
        <f>SUMIFS(DivAndTax[Tax Amount],DivAndTax[Investor ID],INVESTORS_LIST[[#This Row],[INVESTOR CODE]])</f>
        <v>0</v>
      </c>
      <c r="AS154" s="6">
        <f>SUMIFS(DivAndTax[Gross Dividend],DivAndTax[Investor ID],INVESTORS_LIST[[#This Row],[INVESTOR CODE]])</f>
        <v>0</v>
      </c>
      <c r="AT154" s="5">
        <f>IFERROR(INVESTORS_LIST[[#This Row],[TOTAL CURRENT UNITS]]/SUM(INVESTORS_LIST[TOTAL CURRENT UNITS]),0)</f>
        <v>0</v>
      </c>
    </row>
    <row r="155" spans="1:46" hidden="1">
      <c r="A155" t="s">
        <v>818</v>
      </c>
      <c r="B155" t="s">
        <v>188</v>
      </c>
      <c r="C155" t="s">
        <v>538</v>
      </c>
      <c r="D155" s="8" t="s">
        <v>2</v>
      </c>
      <c r="E155" s="2">
        <f>SUMIFS(LS[Unit],LS[Investor ID],INVESTORS_LIST[[#This Row],[INVESTOR CODE]],LS[B/S],"B")</f>
        <v>0</v>
      </c>
      <c r="F155" s="2">
        <f>-SUMIFS(LS[Unit],LS[Investor ID],INVESTORS_LIST[[#This Row],[INVESTOR CODE]],LS[B/S],"S")</f>
        <v>0</v>
      </c>
      <c r="G155" s="2">
        <f>IF(INVESTORS_LIST[[#This Row],[LS_TOTAL UNITS BUY]]=0,0,INVESTORS_LIST[[#This Row],[LS_TOTAL UNITS BUY]]-INVESTORS_LIST[[#This Row],[LS_TOTAL UNITS SOLD]])</f>
        <v>0</v>
      </c>
      <c r="H155" s="4">
        <f>IF(INVESTORS_LIST[[#This Row],[LS_TOTAL UNITS BUY]]=0,0,SUMIFS(LS[Amount],LS[Investor ID],INVESTORS_LIST[[#This Row],[INVESTOR CODE]],LS[B/S],"B"))</f>
        <v>0</v>
      </c>
      <c r="I155" s="6">
        <f>IF(INVESTORS_LIST[[#This Row],[LS_TOTAL UNITS SOLD]]=0,0,SUMIFS(LS[Cost of Units Sold],LS[Investor ID],INVESTORS_LIST[[#This Row],[INVESTOR CODE]],LS[B/S],"S"))</f>
        <v>0</v>
      </c>
      <c r="J155" s="6">
        <f>IF(INVESTORS_LIST[[#This Row],[LS_TOTAL CURRENT UNITS]]=0,0,INVESTORS_LIST[[#This Row],[LS_TOTAL CURRENT UNITS]]*INVESTORS_LIST[[#This Row],[LS_AVERAGE COST]])</f>
        <v>0</v>
      </c>
      <c r="K155" s="4">
        <f>IF(INVESTORS_LIST[[#This Row],[LS_TOTAL UNITS SOLD]]=0,0,SUMIFS(LS[Realized Gain],LS[Investor ID],INVESTORS_LIST[[#This Row],[INVESTOR CODE]],LS[B/S],"S"))</f>
        <v>0</v>
      </c>
      <c r="L155" s="2">
        <f>SUMIFS(SIP[Unit],SIP[Investor ID],INVESTORS_LIST[[#This Row],[INVESTOR CODE]],SIP[B/S],"B")</f>
        <v>0</v>
      </c>
      <c r="M155" s="2">
        <f>-SUMIFS(SIP[Unit],SIP[Investor ID],INVESTORS_LIST[[#This Row],[INVESTOR CODE]],SIP[B/S],"S")</f>
        <v>0</v>
      </c>
      <c r="N155" s="33">
        <f>IF(INVESTORS_LIST[[#This Row],[SIP_TOTAL UNITS BUY]]=0,0,INVESTORS_LIST[[#This Row],[SIP_TOTAL UNITS BUY]]-INVESTORS_LIST[[#This Row],[SIP_TOTAL UNITS SOLD]])</f>
        <v>0</v>
      </c>
      <c r="O155" s="4">
        <f>IF(INVESTORS_LIST[[#This Row],[SIP_TOTAL UNITS BUY]]=0,0,SUMIFS(SIP[Amount],SIP[Investor ID],INVESTORS_LIST[[#This Row],[INVESTOR CODE]],SIP[B/S],"B"))</f>
        <v>0</v>
      </c>
      <c r="P155" s="4">
        <f>IF(INVESTORS_LIST[[#This Row],[SIP_TOTAL UNITS SOLD]]=0,0,SUMIFS(SIP[Cost of Units Sold],SIP[Investor ID],INVESTORS_LIST[[#This Row],[INVESTOR CODE]],SIP[B/S],"S"))</f>
        <v>0</v>
      </c>
      <c r="Q155" s="6">
        <f>IF(INVESTORS_LIST[[#This Row],[SIP_TOTAL CURRENT UNITS]]=0,0,INVESTORS_LIST[[#This Row],[SIP_TOTAL CURRENT UNITS]]*INVESTORS_LIST[[#This Row],[SIP_AVERAGE COST]])</f>
        <v>0</v>
      </c>
      <c r="R155" s="6">
        <f>IF(INVESTORS_LIST[[#This Row],[SIP_TOTAL UNITS SOLD]]=0,0,SUMIFS(SIP[Realized Gain],SIP[Investor ID],INVESTORS_LIST[[#This Row],[INVESTOR CODE]],SIP[B/S],"S"))</f>
        <v>0</v>
      </c>
      <c r="S155" s="33">
        <f>INVESTORS_LIST[[#This Row],[LS_TOTAL UNITS BUY]]+INVESTORS_LIST[[#This Row],[SIP_TOTAL UNITS BUY]]</f>
        <v>0</v>
      </c>
      <c r="T155" s="33">
        <f>INVESTORS_LIST[[#This Row],[LS_TOTAL UNITS SOLD]]+INVESTORS_LIST[[#This Row],[SIP_TOTAL UNITS SOLD]]</f>
        <v>0</v>
      </c>
      <c r="U155" s="33">
        <v>0</v>
      </c>
      <c r="V155" s="33">
        <f>SUMIFS(LS[BO UNIT TRANSFER],LS[Investor ID],INVESTORS_LIST[[#This Row],[INVESTOR CODE]],LS[B/S],"B")</f>
        <v>0</v>
      </c>
      <c r="W155" s="33">
        <f>SUMIFS(LS[BO UNIT TRANSFER],LS[Investor ID],INVESTORS_LIST[[#This Row],[INVESTOR CODE]],LS[B/S],"S")</f>
        <v>0</v>
      </c>
      <c r="X155" s="33">
        <f>SUMIFS(SIP[BO UNIT TRANSFER],SIP[Investor ID],INVESTORS_LIST[[#This Row],[INVESTOR CODE]],SIP[B/S],"S")</f>
        <v>0</v>
      </c>
      <c r="Y155" s="33">
        <f>SUMIFS(SIP[BO UNIT TRANSFER],SIP[Investor ID],INVESTORS_LIST[[#This Row],[INVESTOR CODE]],SIP[B/S],"B")</f>
        <v>0</v>
      </c>
      <c r="Z15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55" s="119">
        <f>INVESTORS_LIST[[#This Row],[TOTAL UNITS BUY]]-INVESTORS_LIST[[#This Row],[TOTAL UNITS SOLD]]</f>
        <v>0</v>
      </c>
      <c r="AB155" s="119">
        <f>INVESTORS_LIST[[#This Row],[TOTAL CURRENT UNITS]]-INVESTORS_LIST[[#This Row],[BO UNITS HOLD]]</f>
        <v>0</v>
      </c>
      <c r="AC155" s="119" t="e">
        <f>INDEX([4]!Table_1[BO ID],MATCH(INVESTORS_LIST[[#This Row],[INVESTOR CODE]],[4]!Table_1[INVESTOR CODE],0))</f>
        <v>#REF!</v>
      </c>
      <c r="AD155" s="33">
        <f>INVESTORS_LIST[[#This Row],[LS_TOTAL COST VALUE OF CURRENT UNITS]]+INVESTORS_LIST[[#This Row],[SIP_TOTAL COST VALUE OF CURRENT UNITS]]</f>
        <v>0</v>
      </c>
      <c r="AE155" s="44">
        <f>IF(INVESTORS_LIST[[#This Row],[TOTAL CURRENT UNITS]]=0,0,INVESTORS_LIST[[#This Row],[LS_TOTAL CURRENT UNITS]]/INVESTORS_LIST[[#This Row],[TOTAL CURRENT UNITS]])</f>
        <v>0</v>
      </c>
      <c r="AF155" s="44">
        <f>IF(INVESTORS_LIST[[#This Row],[TOTAL CURRENT UNITS]]=0,0,INVESTORS_LIST[[#This Row],[SIP_TOTAL CURRENT UNITS]]/INVESTORS_LIST[[#This Row],[TOTAL CURRENT UNITS]])</f>
        <v>0</v>
      </c>
      <c r="AG155" s="4" cm="1">
        <f t="array" ref="AG15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55" s="4" cm="1">
        <f t="array" ref="AH1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5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55" s="178">
        <f t="shared" si="2"/>
        <v>12.552</v>
      </c>
      <c r="AK155" s="118">
        <f>IF(INVESTORS_LIST[[#This Row],[TOTAL CURRENT UNITS]]=0,0,INVESTORS_LIST[[#This Row],[TOTAL CURRENT UNITS]]*INVESTORS_LIST[[#This Row],[NAV]])</f>
        <v>0</v>
      </c>
      <c r="AL155" s="4">
        <f>IF(INVESTORS_LIST[[#This Row],[LS_TOTAL CURRENT UNITS]]=0,0,INVESTORS_LIST[[#This Row],[LS_TOTAL CURRENT UNITS]]*INVESTORS_LIST[[#This Row],[NAV]])</f>
        <v>0</v>
      </c>
      <c r="AM155" s="6">
        <f>IF(INVESTORS_LIST[[#This Row],[SIP_TOTAL CURRENT UNITS]]=0,0,INVESTORS_LIST[[#This Row],[SIP_TOTAL CURRENT UNITS]]*INVESTORS_LIST[[#This Row],[NAV]])</f>
        <v>0</v>
      </c>
      <c r="AO155" s="6">
        <f>IF(INVESTORS_LIST[[#This Row],[TOTAL SELLABLE UNITS]]=0,0,INVESTORS_LIST[[#This Row],[TOTAL SELLABLE UNITS]]*INVESTORS_LIST[[#This Row],[NAV]])</f>
        <v>0</v>
      </c>
      <c r="AP155" s="6">
        <f>INVESTORS_LIST[[#This Row],[LS_TOTAL REALIZED GAIN]]+INVESTORS_LIST[[#This Row],[SIP_TOTAL REALIZED GAIN]]</f>
        <v>0</v>
      </c>
      <c r="AQ155" s="6">
        <f>INVESTORS_LIST[[#This Row],[TOTAL MARKET VALUE]]-INVESTORS_LIST[[#This Row],[TOTAL COST VALUE OF CURRENT INVESTMENT]]</f>
        <v>0</v>
      </c>
      <c r="AR155" s="6">
        <f>SUMIFS(DivAndTax[Tax Amount],DivAndTax[Investor ID],INVESTORS_LIST[[#This Row],[INVESTOR CODE]])</f>
        <v>0</v>
      </c>
      <c r="AS155" s="6">
        <f>SUMIFS(DivAndTax[Gross Dividend],DivAndTax[Investor ID],INVESTORS_LIST[[#This Row],[INVESTOR CODE]])</f>
        <v>0</v>
      </c>
      <c r="AT155" s="5">
        <f>IFERROR(INVESTORS_LIST[[#This Row],[TOTAL CURRENT UNITS]]/SUM(INVESTORS_LIST[TOTAL CURRENT UNITS]),0)</f>
        <v>0</v>
      </c>
    </row>
    <row r="156" spans="1:46" hidden="1">
      <c r="A156" t="s">
        <v>396</v>
      </c>
      <c r="B156" t="s">
        <v>189</v>
      </c>
      <c r="C156" t="s">
        <v>536</v>
      </c>
      <c r="D156" s="8" t="s">
        <v>2</v>
      </c>
      <c r="E156" s="2">
        <f>SUMIFS(LS[Unit],LS[Investor ID],INVESTORS_LIST[[#This Row],[INVESTOR CODE]],LS[B/S],"B")</f>
        <v>0</v>
      </c>
      <c r="F156" s="2">
        <f>-SUMIFS(LS[Unit],LS[Investor ID],INVESTORS_LIST[[#This Row],[INVESTOR CODE]],LS[B/S],"S")</f>
        <v>0</v>
      </c>
      <c r="G156" s="2">
        <f>IF(INVESTORS_LIST[[#This Row],[LS_TOTAL UNITS BUY]]=0,0,INVESTORS_LIST[[#This Row],[LS_TOTAL UNITS BUY]]-INVESTORS_LIST[[#This Row],[LS_TOTAL UNITS SOLD]])</f>
        <v>0</v>
      </c>
      <c r="H156" s="4">
        <f>IF(INVESTORS_LIST[[#This Row],[LS_TOTAL UNITS BUY]]=0,0,SUMIFS(LS[Amount],LS[Investor ID],INVESTORS_LIST[[#This Row],[INVESTOR CODE]],LS[B/S],"B"))</f>
        <v>0</v>
      </c>
      <c r="I156" s="6">
        <f>IF(INVESTORS_LIST[[#This Row],[LS_TOTAL UNITS SOLD]]=0,0,SUMIFS(LS[Cost of Units Sold],LS[Investor ID],INVESTORS_LIST[[#This Row],[INVESTOR CODE]],LS[B/S],"S"))</f>
        <v>0</v>
      </c>
      <c r="J156" s="6">
        <f>IF(INVESTORS_LIST[[#This Row],[LS_TOTAL CURRENT UNITS]]=0,0,INVESTORS_LIST[[#This Row],[LS_TOTAL CURRENT UNITS]]*INVESTORS_LIST[[#This Row],[LS_AVERAGE COST]])</f>
        <v>0</v>
      </c>
      <c r="K156" s="4">
        <f>IF(INVESTORS_LIST[[#This Row],[LS_TOTAL UNITS SOLD]]=0,0,SUMIFS(LS[Realized Gain],LS[Investor ID],INVESTORS_LIST[[#This Row],[INVESTOR CODE]],LS[B/S],"S"))</f>
        <v>0</v>
      </c>
      <c r="L156" s="2">
        <f>SUMIFS(SIP[Unit],SIP[Investor ID],INVESTORS_LIST[[#This Row],[INVESTOR CODE]],SIP[B/S],"B")</f>
        <v>0</v>
      </c>
      <c r="M156" s="2">
        <f>-SUMIFS(SIP[Unit],SIP[Investor ID],INVESTORS_LIST[[#This Row],[INVESTOR CODE]],SIP[B/S],"S")</f>
        <v>0</v>
      </c>
      <c r="N156" s="33">
        <f>IF(INVESTORS_LIST[[#This Row],[SIP_TOTAL UNITS BUY]]=0,0,INVESTORS_LIST[[#This Row],[SIP_TOTAL UNITS BUY]]-INVESTORS_LIST[[#This Row],[SIP_TOTAL UNITS SOLD]])</f>
        <v>0</v>
      </c>
      <c r="O156" s="4">
        <f>IF(INVESTORS_LIST[[#This Row],[SIP_TOTAL UNITS BUY]]=0,0,SUMIFS(SIP[Amount],SIP[Investor ID],INVESTORS_LIST[[#This Row],[INVESTOR CODE]],SIP[B/S],"B"))</f>
        <v>0</v>
      </c>
      <c r="P156" s="4">
        <f>IF(INVESTORS_LIST[[#This Row],[SIP_TOTAL UNITS SOLD]]=0,0,SUMIFS(SIP[Cost of Units Sold],SIP[Investor ID],INVESTORS_LIST[[#This Row],[INVESTOR CODE]],SIP[B/S],"S"))</f>
        <v>0</v>
      </c>
      <c r="Q156" s="6">
        <f>IF(INVESTORS_LIST[[#This Row],[SIP_TOTAL CURRENT UNITS]]=0,0,INVESTORS_LIST[[#This Row],[SIP_TOTAL CURRENT UNITS]]*INVESTORS_LIST[[#This Row],[SIP_AVERAGE COST]])</f>
        <v>0</v>
      </c>
      <c r="R156" s="6">
        <f>IF(INVESTORS_LIST[[#This Row],[SIP_TOTAL UNITS SOLD]]=0,0,SUMIFS(SIP[Realized Gain],SIP[Investor ID],INVESTORS_LIST[[#This Row],[INVESTOR CODE]],SIP[B/S],"S"))</f>
        <v>0</v>
      </c>
      <c r="S156" s="33">
        <f>INVESTORS_LIST[[#This Row],[LS_TOTAL UNITS BUY]]+INVESTORS_LIST[[#This Row],[SIP_TOTAL UNITS BUY]]</f>
        <v>0</v>
      </c>
      <c r="T156" s="33">
        <f>INVESTORS_LIST[[#This Row],[LS_TOTAL UNITS SOLD]]+INVESTORS_LIST[[#This Row],[SIP_TOTAL UNITS SOLD]]</f>
        <v>0</v>
      </c>
      <c r="U156" s="33">
        <v>0</v>
      </c>
      <c r="V156" s="33">
        <f>SUMIFS(LS[BO UNIT TRANSFER],LS[Investor ID],INVESTORS_LIST[[#This Row],[INVESTOR CODE]],LS[B/S],"B")</f>
        <v>0</v>
      </c>
      <c r="W156" s="33">
        <f>SUMIFS(LS[BO UNIT TRANSFER],LS[Investor ID],INVESTORS_LIST[[#This Row],[INVESTOR CODE]],LS[B/S],"S")</f>
        <v>0</v>
      </c>
      <c r="X156" s="33">
        <f>SUMIFS(SIP[BO UNIT TRANSFER],SIP[Investor ID],INVESTORS_LIST[[#This Row],[INVESTOR CODE]],SIP[B/S],"S")</f>
        <v>0</v>
      </c>
      <c r="Y156" s="33">
        <f>SUMIFS(SIP[BO UNIT TRANSFER],SIP[Investor ID],INVESTORS_LIST[[#This Row],[INVESTOR CODE]],SIP[B/S],"B")</f>
        <v>0</v>
      </c>
      <c r="Z15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56" s="119">
        <f>INVESTORS_LIST[[#This Row],[TOTAL UNITS BUY]]-INVESTORS_LIST[[#This Row],[TOTAL UNITS SOLD]]</f>
        <v>0</v>
      </c>
      <c r="AB156" s="119">
        <f>INVESTORS_LIST[[#This Row],[TOTAL CURRENT UNITS]]-INVESTORS_LIST[[#This Row],[BO UNITS HOLD]]</f>
        <v>0</v>
      </c>
      <c r="AC156" s="119" t="e">
        <f>INDEX([4]!Table_1[BO ID],MATCH(INVESTORS_LIST[[#This Row],[INVESTOR CODE]],[4]!Table_1[INVESTOR CODE],0))</f>
        <v>#REF!</v>
      </c>
      <c r="AD156" s="33">
        <f>INVESTORS_LIST[[#This Row],[LS_TOTAL COST VALUE OF CURRENT UNITS]]+INVESTORS_LIST[[#This Row],[SIP_TOTAL COST VALUE OF CURRENT UNITS]]</f>
        <v>0</v>
      </c>
      <c r="AE156" s="44">
        <f>IF(INVESTORS_LIST[[#This Row],[TOTAL CURRENT UNITS]]=0,0,INVESTORS_LIST[[#This Row],[LS_TOTAL CURRENT UNITS]]/INVESTORS_LIST[[#This Row],[TOTAL CURRENT UNITS]])</f>
        <v>0</v>
      </c>
      <c r="AF156" s="44">
        <f>IF(INVESTORS_LIST[[#This Row],[TOTAL CURRENT UNITS]]=0,0,INVESTORS_LIST[[#This Row],[SIP_TOTAL CURRENT UNITS]]/INVESTORS_LIST[[#This Row],[TOTAL CURRENT UNITS]])</f>
        <v>0</v>
      </c>
      <c r="AG156" s="4" cm="1">
        <f t="array" ref="AG15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56" s="4" cm="1">
        <f t="array" ref="AH15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5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56" s="178">
        <f t="shared" si="2"/>
        <v>12.552</v>
      </c>
      <c r="AK156" s="118">
        <f>IF(INVESTORS_LIST[[#This Row],[TOTAL CURRENT UNITS]]=0,0,INVESTORS_LIST[[#This Row],[TOTAL CURRENT UNITS]]*INVESTORS_LIST[[#This Row],[NAV]])</f>
        <v>0</v>
      </c>
      <c r="AL156" s="4">
        <f>IF(INVESTORS_LIST[[#This Row],[LS_TOTAL CURRENT UNITS]]=0,0,INVESTORS_LIST[[#This Row],[LS_TOTAL CURRENT UNITS]]*INVESTORS_LIST[[#This Row],[NAV]])</f>
        <v>0</v>
      </c>
      <c r="AM156" s="6">
        <f>IF(INVESTORS_LIST[[#This Row],[SIP_TOTAL CURRENT UNITS]]=0,0,INVESTORS_LIST[[#This Row],[SIP_TOTAL CURRENT UNITS]]*INVESTORS_LIST[[#This Row],[NAV]])</f>
        <v>0</v>
      </c>
      <c r="AO156" s="6">
        <f>IF(INVESTORS_LIST[[#This Row],[TOTAL SELLABLE UNITS]]=0,0,INVESTORS_LIST[[#This Row],[TOTAL SELLABLE UNITS]]*INVESTORS_LIST[[#This Row],[NAV]])</f>
        <v>0</v>
      </c>
      <c r="AP156" s="6">
        <f>INVESTORS_LIST[[#This Row],[LS_TOTAL REALIZED GAIN]]+INVESTORS_LIST[[#This Row],[SIP_TOTAL REALIZED GAIN]]</f>
        <v>0</v>
      </c>
      <c r="AQ156" s="6">
        <f>INVESTORS_LIST[[#This Row],[TOTAL MARKET VALUE]]-INVESTORS_LIST[[#This Row],[TOTAL COST VALUE OF CURRENT INVESTMENT]]</f>
        <v>0</v>
      </c>
      <c r="AR156" s="6">
        <f>SUMIFS(DivAndTax[Tax Amount],DivAndTax[Investor ID],INVESTORS_LIST[[#This Row],[INVESTOR CODE]])</f>
        <v>0</v>
      </c>
      <c r="AS156" s="6">
        <f>SUMIFS(DivAndTax[Gross Dividend],DivAndTax[Investor ID],INVESTORS_LIST[[#This Row],[INVESTOR CODE]])</f>
        <v>0</v>
      </c>
      <c r="AT156" s="5">
        <f>IFERROR(INVESTORS_LIST[[#This Row],[TOTAL CURRENT UNITS]]/SUM(INVESTORS_LIST[TOTAL CURRENT UNITS]),0)</f>
        <v>0</v>
      </c>
    </row>
    <row r="157" spans="1:46" hidden="1">
      <c r="A157" t="s">
        <v>819</v>
      </c>
      <c r="B157" t="s">
        <v>190</v>
      </c>
      <c r="C157" t="s">
        <v>536</v>
      </c>
      <c r="D157" s="8" t="s">
        <v>2</v>
      </c>
      <c r="E157" s="2">
        <f>SUMIFS(LS[Unit],LS[Investor ID],INVESTORS_LIST[[#This Row],[INVESTOR CODE]],LS[B/S],"B")</f>
        <v>1000000</v>
      </c>
      <c r="F157" s="2">
        <f>-SUMIFS(LS[Unit],LS[Investor ID],INVESTORS_LIST[[#This Row],[INVESTOR CODE]],LS[B/S],"S")</f>
        <v>1000000</v>
      </c>
      <c r="G157" s="2">
        <f>IF(INVESTORS_LIST[[#This Row],[LS_TOTAL UNITS BUY]]=0,0,INVESTORS_LIST[[#This Row],[LS_TOTAL UNITS BUY]]-INVESTORS_LIST[[#This Row],[LS_TOTAL UNITS SOLD]])</f>
        <v>0</v>
      </c>
      <c r="H157" s="4">
        <f>IF(INVESTORS_LIST[[#This Row],[LS_TOTAL UNITS BUY]]=0,0,SUMIFS(LS[Amount],LS[Investor ID],INVESTORS_LIST[[#This Row],[INVESTOR CODE]],LS[B/S],"B"))</f>
        <v>10000000</v>
      </c>
      <c r="I157" s="6">
        <f>IF(INVESTORS_LIST[[#This Row],[LS_TOTAL UNITS SOLD]]=0,0,SUMIFS(LS[Cost of Units Sold],LS[Investor ID],INVESTORS_LIST[[#This Row],[INVESTOR CODE]],LS[B/S],"S"))</f>
        <v>10000000</v>
      </c>
      <c r="J157" s="6">
        <f>IF(INVESTORS_LIST[[#This Row],[LS_TOTAL CURRENT UNITS]]=0,0,INVESTORS_LIST[[#This Row],[LS_TOTAL CURRENT UNITS]]*INVESTORS_LIST[[#This Row],[LS_AVERAGE COST]])</f>
        <v>0</v>
      </c>
      <c r="K157" s="4">
        <f>IF(INVESTORS_LIST[[#This Row],[LS_TOTAL UNITS SOLD]]=0,0,SUMIFS(LS[Realized Gain],LS[Investor ID],INVESTORS_LIST[[#This Row],[INVESTOR CODE]],LS[B/S],"S"))</f>
        <v>240999.99999999965</v>
      </c>
      <c r="L157" s="2">
        <f>SUMIFS(SIP[Unit],SIP[Investor ID],INVESTORS_LIST[[#This Row],[INVESTOR CODE]],SIP[B/S],"B")</f>
        <v>0</v>
      </c>
      <c r="M157" s="2">
        <f>-SUMIFS(SIP[Unit],SIP[Investor ID],INVESTORS_LIST[[#This Row],[INVESTOR CODE]],SIP[B/S],"S")</f>
        <v>0</v>
      </c>
      <c r="N157" s="33">
        <f>IF(INVESTORS_LIST[[#This Row],[SIP_TOTAL UNITS BUY]]=0,0,INVESTORS_LIST[[#This Row],[SIP_TOTAL UNITS BUY]]-INVESTORS_LIST[[#This Row],[SIP_TOTAL UNITS SOLD]])</f>
        <v>0</v>
      </c>
      <c r="O157" s="4">
        <f>IF(INVESTORS_LIST[[#This Row],[SIP_TOTAL UNITS BUY]]=0,0,SUMIFS(SIP[Amount],SIP[Investor ID],INVESTORS_LIST[[#This Row],[INVESTOR CODE]],SIP[B/S],"B"))</f>
        <v>0</v>
      </c>
      <c r="P157" s="4">
        <f>IF(INVESTORS_LIST[[#This Row],[SIP_TOTAL UNITS SOLD]]=0,0,SUMIFS(SIP[Cost of Units Sold],SIP[Investor ID],INVESTORS_LIST[[#This Row],[INVESTOR CODE]],SIP[B/S],"S"))</f>
        <v>0</v>
      </c>
      <c r="Q157" s="6">
        <f>IF(INVESTORS_LIST[[#This Row],[SIP_TOTAL CURRENT UNITS]]=0,0,INVESTORS_LIST[[#This Row],[SIP_TOTAL CURRENT UNITS]]*INVESTORS_LIST[[#This Row],[SIP_AVERAGE COST]])</f>
        <v>0</v>
      </c>
      <c r="R157" s="6">
        <f>IF(INVESTORS_LIST[[#This Row],[SIP_TOTAL UNITS SOLD]]=0,0,SUMIFS(SIP[Realized Gain],SIP[Investor ID],INVESTORS_LIST[[#This Row],[INVESTOR CODE]],SIP[B/S],"S"))</f>
        <v>0</v>
      </c>
      <c r="S157" s="33">
        <f>INVESTORS_LIST[[#This Row],[LS_TOTAL UNITS BUY]]+INVESTORS_LIST[[#This Row],[SIP_TOTAL UNITS BUY]]</f>
        <v>1000000</v>
      </c>
      <c r="T157" s="33">
        <f>INVESTORS_LIST[[#This Row],[LS_TOTAL UNITS SOLD]]+INVESTORS_LIST[[#This Row],[SIP_TOTAL UNITS SOLD]]</f>
        <v>1000000</v>
      </c>
      <c r="U157" s="33">
        <v>0</v>
      </c>
      <c r="V157" s="33">
        <f>SUMIFS(LS[BO UNIT TRANSFER],LS[Investor ID],INVESTORS_LIST[[#This Row],[INVESTOR CODE]],LS[B/S],"B")</f>
        <v>0</v>
      </c>
      <c r="W157" s="33">
        <f>SUMIFS(LS[BO UNIT TRANSFER],LS[Investor ID],INVESTORS_LIST[[#This Row],[INVESTOR CODE]],LS[B/S],"S")</f>
        <v>0</v>
      </c>
      <c r="X157" s="33">
        <f>SUMIFS(SIP[BO UNIT TRANSFER],SIP[Investor ID],INVESTORS_LIST[[#This Row],[INVESTOR CODE]],SIP[B/S],"S")</f>
        <v>0</v>
      </c>
      <c r="Y157" s="33">
        <f>SUMIFS(SIP[BO UNIT TRANSFER],SIP[Investor ID],INVESTORS_LIST[[#This Row],[INVESTOR CODE]],SIP[B/S],"B")</f>
        <v>0</v>
      </c>
      <c r="Z15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57" s="119">
        <f>INVESTORS_LIST[[#This Row],[TOTAL UNITS BUY]]-INVESTORS_LIST[[#This Row],[TOTAL UNITS SOLD]]</f>
        <v>0</v>
      </c>
      <c r="AB157" s="119">
        <f>INVESTORS_LIST[[#This Row],[TOTAL CURRENT UNITS]]-INVESTORS_LIST[[#This Row],[BO UNITS HOLD]]</f>
        <v>0</v>
      </c>
      <c r="AC157" s="119" t="e">
        <f>INDEX([4]!Table_1[BO ID],MATCH(INVESTORS_LIST[[#This Row],[INVESTOR CODE]],[4]!Table_1[INVESTOR CODE],0))</f>
        <v>#REF!</v>
      </c>
      <c r="AD157" s="33">
        <f>INVESTORS_LIST[[#This Row],[LS_TOTAL COST VALUE OF CURRENT UNITS]]+INVESTORS_LIST[[#This Row],[SIP_TOTAL COST VALUE OF CURRENT UNITS]]</f>
        <v>0</v>
      </c>
      <c r="AE157" s="44">
        <f>IF(INVESTORS_LIST[[#This Row],[TOTAL CURRENT UNITS]]=0,0,INVESTORS_LIST[[#This Row],[LS_TOTAL CURRENT UNITS]]/INVESTORS_LIST[[#This Row],[TOTAL CURRENT UNITS]])</f>
        <v>0</v>
      </c>
      <c r="AF157" s="44">
        <f>IF(INVESTORS_LIST[[#This Row],[TOTAL CURRENT UNITS]]=0,0,INVESTORS_LIST[[#This Row],[SIP_TOTAL CURRENT UNITS]]/INVESTORS_LIST[[#This Row],[TOTAL CURRENT UNITS]])</f>
        <v>0</v>
      </c>
      <c r="AG157" s="4" cm="1">
        <f t="array" ref="AG15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57" s="4" cm="1">
        <f t="array" ref="AH1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5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57" s="178">
        <f t="shared" si="2"/>
        <v>12.552</v>
      </c>
      <c r="AK157" s="118">
        <f>IF(INVESTORS_LIST[[#This Row],[TOTAL CURRENT UNITS]]=0,0,INVESTORS_LIST[[#This Row],[TOTAL CURRENT UNITS]]*INVESTORS_LIST[[#This Row],[NAV]])</f>
        <v>0</v>
      </c>
      <c r="AL157" s="4">
        <f>IF(INVESTORS_LIST[[#This Row],[LS_TOTAL CURRENT UNITS]]=0,0,INVESTORS_LIST[[#This Row],[LS_TOTAL CURRENT UNITS]]*INVESTORS_LIST[[#This Row],[NAV]])</f>
        <v>0</v>
      </c>
      <c r="AM157" s="6">
        <f>IF(INVESTORS_LIST[[#This Row],[SIP_TOTAL CURRENT UNITS]]=0,0,INVESTORS_LIST[[#This Row],[SIP_TOTAL CURRENT UNITS]]*INVESTORS_LIST[[#This Row],[NAV]])</f>
        <v>0</v>
      </c>
      <c r="AO157" s="6">
        <f>IF(INVESTORS_LIST[[#This Row],[TOTAL SELLABLE UNITS]]=0,0,INVESTORS_LIST[[#This Row],[TOTAL SELLABLE UNITS]]*INVESTORS_LIST[[#This Row],[NAV]])</f>
        <v>0</v>
      </c>
      <c r="AP157" s="6">
        <f>INVESTORS_LIST[[#This Row],[LS_TOTAL REALIZED GAIN]]+INVESTORS_LIST[[#This Row],[SIP_TOTAL REALIZED GAIN]]</f>
        <v>240999.99999999965</v>
      </c>
      <c r="AQ157" s="6">
        <f>INVESTORS_LIST[[#This Row],[TOTAL MARKET VALUE]]-INVESTORS_LIST[[#This Row],[TOTAL COST VALUE OF CURRENT INVESTMENT]]</f>
        <v>0</v>
      </c>
      <c r="AR157" s="6">
        <f>SUMIFS(DivAndTax[Tax Amount],DivAndTax[Investor ID],INVESTORS_LIST[[#This Row],[INVESTOR CODE]])</f>
        <v>0</v>
      </c>
      <c r="AS157" s="6">
        <f>SUMIFS(DivAndTax[Gross Dividend],DivAndTax[Investor ID],INVESTORS_LIST[[#This Row],[INVESTOR CODE]])</f>
        <v>0</v>
      </c>
      <c r="AT157" s="5">
        <f>IFERROR(INVESTORS_LIST[[#This Row],[TOTAL CURRENT UNITS]]/SUM(INVESTORS_LIST[TOTAL CURRENT UNITS]),0)</f>
        <v>0</v>
      </c>
    </row>
    <row r="158" spans="1:46" hidden="1">
      <c r="A158" t="s">
        <v>820</v>
      </c>
      <c r="B158" t="s">
        <v>191</v>
      </c>
      <c r="C158" t="s">
        <v>536</v>
      </c>
      <c r="D158" s="8" t="s">
        <v>2</v>
      </c>
      <c r="E158" s="2">
        <f>SUMIFS(LS[Unit],LS[Investor ID],INVESTORS_LIST[[#This Row],[INVESTOR CODE]],LS[B/S],"B")</f>
        <v>100000</v>
      </c>
      <c r="F158" s="2">
        <f>-SUMIFS(LS[Unit],LS[Investor ID],INVESTORS_LIST[[#This Row],[INVESTOR CODE]],LS[B/S],"S")</f>
        <v>100000</v>
      </c>
      <c r="G158" s="2">
        <f>IF(INVESTORS_LIST[[#This Row],[LS_TOTAL UNITS BUY]]=0,0,INVESTORS_LIST[[#This Row],[LS_TOTAL UNITS BUY]]-INVESTORS_LIST[[#This Row],[LS_TOTAL UNITS SOLD]])</f>
        <v>0</v>
      </c>
      <c r="H158" s="4">
        <f>IF(INVESTORS_LIST[[#This Row],[LS_TOTAL UNITS BUY]]=0,0,SUMIFS(LS[Amount],LS[Investor ID],INVESTORS_LIST[[#This Row],[INVESTOR CODE]],LS[B/S],"B"))</f>
        <v>1000000</v>
      </c>
      <c r="I158" s="6">
        <f>IF(INVESTORS_LIST[[#This Row],[LS_TOTAL UNITS SOLD]]=0,0,SUMIFS(LS[Cost of Units Sold],LS[Investor ID],INVESTORS_LIST[[#This Row],[INVESTOR CODE]],LS[B/S],"S"))</f>
        <v>1000000</v>
      </c>
      <c r="J158" s="6">
        <f>IF(INVESTORS_LIST[[#This Row],[LS_TOTAL CURRENT UNITS]]=0,0,INVESTORS_LIST[[#This Row],[LS_TOTAL CURRENT UNITS]]*INVESTORS_LIST[[#This Row],[LS_AVERAGE COST]])</f>
        <v>0</v>
      </c>
      <c r="K158" s="4">
        <f>IF(INVESTORS_LIST[[#This Row],[LS_TOTAL UNITS SOLD]]=0,0,SUMIFS(LS[Realized Gain],LS[Investor ID],INVESTORS_LIST[[#This Row],[INVESTOR CODE]],LS[B/S],"S"))</f>
        <v>33000.000000000007</v>
      </c>
      <c r="L158" s="2">
        <f>SUMIFS(SIP[Unit],SIP[Investor ID],INVESTORS_LIST[[#This Row],[INVESTOR CODE]],SIP[B/S],"B")</f>
        <v>0</v>
      </c>
      <c r="M158" s="2">
        <f>-SUMIFS(SIP[Unit],SIP[Investor ID],INVESTORS_LIST[[#This Row],[INVESTOR CODE]],SIP[B/S],"S")</f>
        <v>0</v>
      </c>
      <c r="N158" s="33">
        <f>IF(INVESTORS_LIST[[#This Row],[SIP_TOTAL UNITS BUY]]=0,0,INVESTORS_LIST[[#This Row],[SIP_TOTAL UNITS BUY]]-INVESTORS_LIST[[#This Row],[SIP_TOTAL UNITS SOLD]])</f>
        <v>0</v>
      </c>
      <c r="O158" s="4">
        <f>IF(INVESTORS_LIST[[#This Row],[SIP_TOTAL UNITS BUY]]=0,0,SUMIFS(SIP[Amount],SIP[Investor ID],INVESTORS_LIST[[#This Row],[INVESTOR CODE]],SIP[B/S],"B"))</f>
        <v>0</v>
      </c>
      <c r="P158" s="4">
        <f>IF(INVESTORS_LIST[[#This Row],[SIP_TOTAL UNITS SOLD]]=0,0,SUMIFS(SIP[Cost of Units Sold],SIP[Investor ID],INVESTORS_LIST[[#This Row],[INVESTOR CODE]],SIP[B/S],"S"))</f>
        <v>0</v>
      </c>
      <c r="Q158" s="6">
        <f>IF(INVESTORS_LIST[[#This Row],[SIP_TOTAL CURRENT UNITS]]=0,0,INVESTORS_LIST[[#This Row],[SIP_TOTAL CURRENT UNITS]]*INVESTORS_LIST[[#This Row],[SIP_AVERAGE COST]])</f>
        <v>0</v>
      </c>
      <c r="R158" s="6">
        <f>IF(INVESTORS_LIST[[#This Row],[SIP_TOTAL UNITS SOLD]]=0,0,SUMIFS(SIP[Realized Gain],SIP[Investor ID],INVESTORS_LIST[[#This Row],[INVESTOR CODE]],SIP[B/S],"S"))</f>
        <v>0</v>
      </c>
      <c r="S158" s="33">
        <f>INVESTORS_LIST[[#This Row],[LS_TOTAL UNITS BUY]]+INVESTORS_LIST[[#This Row],[SIP_TOTAL UNITS BUY]]</f>
        <v>100000</v>
      </c>
      <c r="T158" s="33">
        <f>INVESTORS_LIST[[#This Row],[LS_TOTAL UNITS SOLD]]+INVESTORS_LIST[[#This Row],[SIP_TOTAL UNITS SOLD]]</f>
        <v>100000</v>
      </c>
      <c r="U158" s="33">
        <v>0</v>
      </c>
      <c r="V158" s="33">
        <f>SUMIFS(LS[BO UNIT TRANSFER],LS[Investor ID],INVESTORS_LIST[[#This Row],[INVESTOR CODE]],LS[B/S],"B")</f>
        <v>0</v>
      </c>
      <c r="W158" s="33">
        <f>SUMIFS(LS[BO UNIT TRANSFER],LS[Investor ID],INVESTORS_LIST[[#This Row],[INVESTOR CODE]],LS[B/S],"S")</f>
        <v>0</v>
      </c>
      <c r="X158" s="33">
        <f>SUMIFS(SIP[BO UNIT TRANSFER],SIP[Investor ID],INVESTORS_LIST[[#This Row],[INVESTOR CODE]],SIP[B/S],"S")</f>
        <v>0</v>
      </c>
      <c r="Y158" s="33">
        <f>SUMIFS(SIP[BO UNIT TRANSFER],SIP[Investor ID],INVESTORS_LIST[[#This Row],[INVESTOR CODE]],SIP[B/S],"B")</f>
        <v>0</v>
      </c>
      <c r="Z15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58" s="119">
        <f>INVESTORS_LIST[[#This Row],[TOTAL UNITS BUY]]-INVESTORS_LIST[[#This Row],[TOTAL UNITS SOLD]]</f>
        <v>0</v>
      </c>
      <c r="AB158" s="119">
        <f>INVESTORS_LIST[[#This Row],[TOTAL CURRENT UNITS]]-INVESTORS_LIST[[#This Row],[BO UNITS HOLD]]</f>
        <v>0</v>
      </c>
      <c r="AC158" s="119" t="e">
        <f>INDEX([4]!Table_1[BO ID],MATCH(INVESTORS_LIST[[#This Row],[INVESTOR CODE]],[4]!Table_1[INVESTOR CODE],0))</f>
        <v>#REF!</v>
      </c>
      <c r="AD158" s="33">
        <f>INVESTORS_LIST[[#This Row],[LS_TOTAL COST VALUE OF CURRENT UNITS]]+INVESTORS_LIST[[#This Row],[SIP_TOTAL COST VALUE OF CURRENT UNITS]]</f>
        <v>0</v>
      </c>
      <c r="AE158" s="44">
        <f>IF(INVESTORS_LIST[[#This Row],[TOTAL CURRENT UNITS]]=0,0,INVESTORS_LIST[[#This Row],[LS_TOTAL CURRENT UNITS]]/INVESTORS_LIST[[#This Row],[TOTAL CURRENT UNITS]])</f>
        <v>0</v>
      </c>
      <c r="AF158" s="44">
        <f>IF(INVESTORS_LIST[[#This Row],[TOTAL CURRENT UNITS]]=0,0,INVESTORS_LIST[[#This Row],[SIP_TOTAL CURRENT UNITS]]/INVESTORS_LIST[[#This Row],[TOTAL CURRENT UNITS]])</f>
        <v>0</v>
      </c>
      <c r="AG158" s="4" cm="1">
        <f t="array" ref="AG15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58" s="4" cm="1">
        <f t="array" ref="AH1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5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58" s="178">
        <f t="shared" si="2"/>
        <v>12.552</v>
      </c>
      <c r="AK158" s="118">
        <f>IF(INVESTORS_LIST[[#This Row],[TOTAL CURRENT UNITS]]=0,0,INVESTORS_LIST[[#This Row],[TOTAL CURRENT UNITS]]*INVESTORS_LIST[[#This Row],[NAV]])</f>
        <v>0</v>
      </c>
      <c r="AL158" s="4">
        <f>IF(INVESTORS_LIST[[#This Row],[LS_TOTAL CURRENT UNITS]]=0,0,INVESTORS_LIST[[#This Row],[LS_TOTAL CURRENT UNITS]]*INVESTORS_LIST[[#This Row],[NAV]])</f>
        <v>0</v>
      </c>
      <c r="AM158" s="6">
        <f>IF(INVESTORS_LIST[[#This Row],[SIP_TOTAL CURRENT UNITS]]=0,0,INVESTORS_LIST[[#This Row],[SIP_TOTAL CURRENT UNITS]]*INVESTORS_LIST[[#This Row],[NAV]])</f>
        <v>0</v>
      </c>
      <c r="AO158" s="6">
        <f>IF(INVESTORS_LIST[[#This Row],[TOTAL SELLABLE UNITS]]=0,0,INVESTORS_LIST[[#This Row],[TOTAL SELLABLE UNITS]]*INVESTORS_LIST[[#This Row],[NAV]])</f>
        <v>0</v>
      </c>
      <c r="AP158" s="6">
        <f>INVESTORS_LIST[[#This Row],[LS_TOTAL REALIZED GAIN]]+INVESTORS_LIST[[#This Row],[SIP_TOTAL REALIZED GAIN]]</f>
        <v>33000.000000000007</v>
      </c>
      <c r="AQ158" s="6">
        <f>INVESTORS_LIST[[#This Row],[TOTAL MARKET VALUE]]-INVESTORS_LIST[[#This Row],[TOTAL COST VALUE OF CURRENT INVESTMENT]]</f>
        <v>0</v>
      </c>
      <c r="AR158" s="6">
        <f>SUMIFS(DivAndTax[Tax Amount],DivAndTax[Investor ID],INVESTORS_LIST[[#This Row],[INVESTOR CODE]])</f>
        <v>0</v>
      </c>
      <c r="AS158" s="6">
        <f>SUMIFS(DivAndTax[Gross Dividend],DivAndTax[Investor ID],INVESTORS_LIST[[#This Row],[INVESTOR CODE]])</f>
        <v>0</v>
      </c>
      <c r="AT158" s="5">
        <f>IFERROR(INVESTORS_LIST[[#This Row],[TOTAL CURRENT UNITS]]/SUM(INVESTORS_LIST[TOTAL CURRENT UNITS]),0)</f>
        <v>0</v>
      </c>
    </row>
    <row r="159" spans="1:46" hidden="1">
      <c r="A159" t="s">
        <v>821</v>
      </c>
      <c r="B159" t="s">
        <v>192</v>
      </c>
      <c r="C159" t="s">
        <v>536</v>
      </c>
      <c r="D159" s="8" t="s">
        <v>2</v>
      </c>
      <c r="E159" s="2">
        <f>SUMIFS(LS[Unit],LS[Investor ID],INVESTORS_LIST[[#This Row],[INVESTOR CODE]],LS[B/S],"B")</f>
        <v>0</v>
      </c>
      <c r="F159" s="2">
        <f>-SUMIFS(LS[Unit],LS[Investor ID],INVESTORS_LIST[[#This Row],[INVESTOR CODE]],LS[B/S],"S")</f>
        <v>0</v>
      </c>
      <c r="G159" s="2">
        <f>IF(INVESTORS_LIST[[#This Row],[LS_TOTAL UNITS BUY]]=0,0,INVESTORS_LIST[[#This Row],[LS_TOTAL UNITS BUY]]-INVESTORS_LIST[[#This Row],[LS_TOTAL UNITS SOLD]])</f>
        <v>0</v>
      </c>
      <c r="H159" s="4">
        <f>IF(INVESTORS_LIST[[#This Row],[LS_TOTAL UNITS BUY]]=0,0,SUMIFS(LS[Amount],LS[Investor ID],INVESTORS_LIST[[#This Row],[INVESTOR CODE]],LS[B/S],"B"))</f>
        <v>0</v>
      </c>
      <c r="I159" s="6">
        <f>IF(INVESTORS_LIST[[#This Row],[LS_TOTAL UNITS SOLD]]=0,0,SUMIFS(LS[Cost of Units Sold],LS[Investor ID],INVESTORS_LIST[[#This Row],[INVESTOR CODE]],LS[B/S],"S"))</f>
        <v>0</v>
      </c>
      <c r="J159" s="6">
        <f>IF(INVESTORS_LIST[[#This Row],[LS_TOTAL CURRENT UNITS]]=0,0,INVESTORS_LIST[[#This Row],[LS_TOTAL CURRENT UNITS]]*INVESTORS_LIST[[#This Row],[LS_AVERAGE COST]])</f>
        <v>0</v>
      </c>
      <c r="K159" s="4">
        <f>IF(INVESTORS_LIST[[#This Row],[LS_TOTAL UNITS SOLD]]=0,0,SUMIFS(LS[Realized Gain],LS[Investor ID],INVESTORS_LIST[[#This Row],[INVESTOR CODE]],LS[B/S],"S"))</f>
        <v>0</v>
      </c>
      <c r="L159" s="2">
        <f>SUMIFS(SIP[Unit],SIP[Investor ID],INVESTORS_LIST[[#This Row],[INVESTOR CODE]],SIP[B/S],"B")</f>
        <v>0</v>
      </c>
      <c r="M159" s="2">
        <f>-SUMIFS(SIP[Unit],SIP[Investor ID],INVESTORS_LIST[[#This Row],[INVESTOR CODE]],SIP[B/S],"S")</f>
        <v>0</v>
      </c>
      <c r="N159" s="33">
        <f>IF(INVESTORS_LIST[[#This Row],[SIP_TOTAL UNITS BUY]]=0,0,INVESTORS_LIST[[#This Row],[SIP_TOTAL UNITS BUY]]-INVESTORS_LIST[[#This Row],[SIP_TOTAL UNITS SOLD]])</f>
        <v>0</v>
      </c>
      <c r="O159" s="4">
        <f>IF(INVESTORS_LIST[[#This Row],[SIP_TOTAL UNITS BUY]]=0,0,SUMIFS(SIP[Amount],SIP[Investor ID],INVESTORS_LIST[[#This Row],[INVESTOR CODE]],SIP[B/S],"B"))</f>
        <v>0</v>
      </c>
      <c r="P159" s="4">
        <f>IF(INVESTORS_LIST[[#This Row],[SIP_TOTAL UNITS SOLD]]=0,0,SUMIFS(SIP[Cost of Units Sold],SIP[Investor ID],INVESTORS_LIST[[#This Row],[INVESTOR CODE]],SIP[B/S],"S"))</f>
        <v>0</v>
      </c>
      <c r="Q159" s="6">
        <f>IF(INVESTORS_LIST[[#This Row],[SIP_TOTAL CURRENT UNITS]]=0,0,INVESTORS_LIST[[#This Row],[SIP_TOTAL CURRENT UNITS]]*INVESTORS_LIST[[#This Row],[SIP_AVERAGE COST]])</f>
        <v>0</v>
      </c>
      <c r="R159" s="6">
        <f>IF(INVESTORS_LIST[[#This Row],[SIP_TOTAL UNITS SOLD]]=0,0,SUMIFS(SIP[Realized Gain],SIP[Investor ID],INVESTORS_LIST[[#This Row],[INVESTOR CODE]],SIP[B/S],"S"))</f>
        <v>0</v>
      </c>
      <c r="S159" s="33">
        <f>INVESTORS_LIST[[#This Row],[LS_TOTAL UNITS BUY]]+INVESTORS_LIST[[#This Row],[SIP_TOTAL UNITS BUY]]</f>
        <v>0</v>
      </c>
      <c r="T159" s="33">
        <f>INVESTORS_LIST[[#This Row],[LS_TOTAL UNITS SOLD]]+INVESTORS_LIST[[#This Row],[SIP_TOTAL UNITS SOLD]]</f>
        <v>0</v>
      </c>
      <c r="U159" s="33">
        <v>0</v>
      </c>
      <c r="V159" s="33">
        <f>SUMIFS(LS[BO UNIT TRANSFER],LS[Investor ID],INVESTORS_LIST[[#This Row],[INVESTOR CODE]],LS[B/S],"B")</f>
        <v>0</v>
      </c>
      <c r="W159" s="33">
        <f>SUMIFS(LS[BO UNIT TRANSFER],LS[Investor ID],INVESTORS_LIST[[#This Row],[INVESTOR CODE]],LS[B/S],"S")</f>
        <v>0</v>
      </c>
      <c r="X159" s="33">
        <f>SUMIFS(SIP[BO UNIT TRANSFER],SIP[Investor ID],INVESTORS_LIST[[#This Row],[INVESTOR CODE]],SIP[B/S],"S")</f>
        <v>0</v>
      </c>
      <c r="Y159" s="33">
        <f>SUMIFS(SIP[BO UNIT TRANSFER],SIP[Investor ID],INVESTORS_LIST[[#This Row],[INVESTOR CODE]],SIP[B/S],"B")</f>
        <v>0</v>
      </c>
      <c r="Z15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59" s="119">
        <f>INVESTORS_LIST[[#This Row],[TOTAL UNITS BUY]]-INVESTORS_LIST[[#This Row],[TOTAL UNITS SOLD]]</f>
        <v>0</v>
      </c>
      <c r="AB159" s="119">
        <f>INVESTORS_LIST[[#This Row],[TOTAL CURRENT UNITS]]-INVESTORS_LIST[[#This Row],[BO UNITS HOLD]]</f>
        <v>0</v>
      </c>
      <c r="AC159" s="119" t="e">
        <f>INDEX([4]!Table_1[BO ID],MATCH(INVESTORS_LIST[[#This Row],[INVESTOR CODE]],[4]!Table_1[INVESTOR CODE],0))</f>
        <v>#REF!</v>
      </c>
      <c r="AD159" s="33">
        <f>INVESTORS_LIST[[#This Row],[LS_TOTAL COST VALUE OF CURRENT UNITS]]+INVESTORS_LIST[[#This Row],[SIP_TOTAL COST VALUE OF CURRENT UNITS]]</f>
        <v>0</v>
      </c>
      <c r="AE159" s="44">
        <f>IF(INVESTORS_LIST[[#This Row],[TOTAL CURRENT UNITS]]=0,0,INVESTORS_LIST[[#This Row],[LS_TOTAL CURRENT UNITS]]/INVESTORS_LIST[[#This Row],[TOTAL CURRENT UNITS]])</f>
        <v>0</v>
      </c>
      <c r="AF159" s="44">
        <f>IF(INVESTORS_LIST[[#This Row],[TOTAL CURRENT UNITS]]=0,0,INVESTORS_LIST[[#This Row],[SIP_TOTAL CURRENT UNITS]]/INVESTORS_LIST[[#This Row],[TOTAL CURRENT UNITS]])</f>
        <v>0</v>
      </c>
      <c r="AG159" s="4" cm="1">
        <f t="array" ref="AG15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59" s="4" cm="1">
        <f t="array" ref="AH1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5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59" s="178">
        <f t="shared" si="2"/>
        <v>12.552</v>
      </c>
      <c r="AK159" s="118">
        <f>IF(INVESTORS_LIST[[#This Row],[TOTAL CURRENT UNITS]]=0,0,INVESTORS_LIST[[#This Row],[TOTAL CURRENT UNITS]]*INVESTORS_LIST[[#This Row],[NAV]])</f>
        <v>0</v>
      </c>
      <c r="AL159" s="4">
        <f>IF(INVESTORS_LIST[[#This Row],[LS_TOTAL CURRENT UNITS]]=0,0,INVESTORS_LIST[[#This Row],[LS_TOTAL CURRENT UNITS]]*INVESTORS_LIST[[#This Row],[NAV]])</f>
        <v>0</v>
      </c>
      <c r="AM159" s="6">
        <f>IF(INVESTORS_LIST[[#This Row],[SIP_TOTAL CURRENT UNITS]]=0,0,INVESTORS_LIST[[#This Row],[SIP_TOTAL CURRENT UNITS]]*INVESTORS_LIST[[#This Row],[NAV]])</f>
        <v>0</v>
      </c>
      <c r="AO159" s="6">
        <f>IF(INVESTORS_LIST[[#This Row],[TOTAL SELLABLE UNITS]]=0,0,INVESTORS_LIST[[#This Row],[TOTAL SELLABLE UNITS]]*INVESTORS_LIST[[#This Row],[NAV]])</f>
        <v>0</v>
      </c>
      <c r="AP159" s="6">
        <f>INVESTORS_LIST[[#This Row],[LS_TOTAL REALIZED GAIN]]+INVESTORS_LIST[[#This Row],[SIP_TOTAL REALIZED GAIN]]</f>
        <v>0</v>
      </c>
      <c r="AQ159" s="6">
        <f>INVESTORS_LIST[[#This Row],[TOTAL MARKET VALUE]]-INVESTORS_LIST[[#This Row],[TOTAL COST VALUE OF CURRENT INVESTMENT]]</f>
        <v>0</v>
      </c>
      <c r="AR159" s="6">
        <f>SUMIFS(DivAndTax[Tax Amount],DivAndTax[Investor ID],INVESTORS_LIST[[#This Row],[INVESTOR CODE]])</f>
        <v>0</v>
      </c>
      <c r="AS159" s="6">
        <f>SUMIFS(DivAndTax[Gross Dividend],DivAndTax[Investor ID],INVESTORS_LIST[[#This Row],[INVESTOR CODE]])</f>
        <v>0</v>
      </c>
      <c r="AT159" s="5">
        <f>IFERROR(INVESTORS_LIST[[#This Row],[TOTAL CURRENT UNITS]]/SUM(INVESTORS_LIST[TOTAL CURRENT UNITS]),0)</f>
        <v>0</v>
      </c>
    </row>
    <row r="160" spans="1:46">
      <c r="A160" t="s">
        <v>632</v>
      </c>
      <c r="B160" t="s">
        <v>193</v>
      </c>
      <c r="C160" t="s">
        <v>536</v>
      </c>
      <c r="D160" s="8" t="s">
        <v>2</v>
      </c>
      <c r="E160" s="2">
        <f>SUMIFS(LS[Unit],LS[Investor ID],INVESTORS_LIST[[#This Row],[INVESTOR CODE]],LS[B/S],"B")</f>
        <v>10000</v>
      </c>
      <c r="F160" s="2">
        <f>-SUMIFS(LS[Unit],LS[Investor ID],INVESTORS_LIST[[#This Row],[INVESTOR CODE]],LS[B/S],"S")</f>
        <v>0</v>
      </c>
      <c r="G160" s="2">
        <f>IF(INVESTORS_LIST[[#This Row],[LS_TOTAL UNITS BUY]]=0,0,INVESTORS_LIST[[#This Row],[LS_TOTAL UNITS BUY]]-INVESTORS_LIST[[#This Row],[LS_TOTAL UNITS SOLD]])</f>
        <v>10000</v>
      </c>
      <c r="H160" s="4">
        <f>IF(INVESTORS_LIST[[#This Row],[LS_TOTAL UNITS BUY]]=0,0,SUMIFS(LS[Amount],LS[Investor ID],INVESTORS_LIST[[#This Row],[INVESTOR CODE]],LS[B/S],"B"))</f>
        <v>100000</v>
      </c>
      <c r="I160" s="6">
        <f>IF(INVESTORS_LIST[[#This Row],[LS_TOTAL UNITS SOLD]]=0,0,SUMIFS(LS[Cost of Units Sold],LS[Investor ID],INVESTORS_LIST[[#This Row],[INVESTOR CODE]],LS[B/S],"S"))</f>
        <v>0</v>
      </c>
      <c r="J160" s="6">
        <f>IF(INVESTORS_LIST[[#This Row],[LS_TOTAL CURRENT UNITS]]=0,0,INVESTORS_LIST[[#This Row],[LS_TOTAL CURRENT UNITS]]*INVESTORS_LIST[[#This Row],[LS_AVERAGE COST]])</f>
        <v>100000</v>
      </c>
      <c r="K160" s="4">
        <f>IF(INVESTORS_LIST[[#This Row],[LS_TOTAL UNITS SOLD]]=0,0,SUMIFS(LS[Realized Gain],LS[Investor ID],INVESTORS_LIST[[#This Row],[INVESTOR CODE]],LS[B/S],"S"))</f>
        <v>0</v>
      </c>
      <c r="L160" s="2">
        <f>SUMIFS(SIP[Unit],SIP[Investor ID],INVESTORS_LIST[[#This Row],[INVESTOR CODE]],SIP[B/S],"B")</f>
        <v>0</v>
      </c>
      <c r="M160" s="2">
        <f>-SUMIFS(SIP[Unit],SIP[Investor ID],INVESTORS_LIST[[#This Row],[INVESTOR CODE]],SIP[B/S],"S")</f>
        <v>0</v>
      </c>
      <c r="N160" s="33">
        <f>IF(INVESTORS_LIST[[#This Row],[SIP_TOTAL UNITS BUY]]=0,0,INVESTORS_LIST[[#This Row],[SIP_TOTAL UNITS BUY]]-INVESTORS_LIST[[#This Row],[SIP_TOTAL UNITS SOLD]])</f>
        <v>0</v>
      </c>
      <c r="O160" s="4">
        <f>IF(INVESTORS_LIST[[#This Row],[SIP_TOTAL UNITS BUY]]=0,0,SUMIFS(SIP[Amount],SIP[Investor ID],INVESTORS_LIST[[#This Row],[INVESTOR CODE]],SIP[B/S],"B"))</f>
        <v>0</v>
      </c>
      <c r="P160" s="4">
        <f>IF(INVESTORS_LIST[[#This Row],[SIP_TOTAL UNITS SOLD]]=0,0,SUMIFS(SIP[Cost of Units Sold],SIP[Investor ID],INVESTORS_LIST[[#This Row],[INVESTOR CODE]],SIP[B/S],"S"))</f>
        <v>0</v>
      </c>
      <c r="Q160" s="6">
        <f>IF(INVESTORS_LIST[[#This Row],[SIP_TOTAL CURRENT UNITS]]=0,0,INVESTORS_LIST[[#This Row],[SIP_TOTAL CURRENT UNITS]]*INVESTORS_LIST[[#This Row],[SIP_AVERAGE COST]])</f>
        <v>0</v>
      </c>
      <c r="R160" s="6">
        <f>IF(INVESTORS_LIST[[#This Row],[SIP_TOTAL UNITS SOLD]]=0,0,SUMIFS(SIP[Realized Gain],SIP[Investor ID],INVESTORS_LIST[[#This Row],[INVESTOR CODE]],SIP[B/S],"S"))</f>
        <v>0</v>
      </c>
      <c r="S160" s="33">
        <f>INVESTORS_LIST[[#This Row],[LS_TOTAL UNITS BUY]]+INVESTORS_LIST[[#This Row],[SIP_TOTAL UNITS BUY]]</f>
        <v>10000</v>
      </c>
      <c r="T160" s="33">
        <f>INVESTORS_LIST[[#This Row],[LS_TOTAL UNITS SOLD]]+INVESTORS_LIST[[#This Row],[SIP_TOTAL UNITS SOLD]]</f>
        <v>0</v>
      </c>
      <c r="U160" s="33">
        <v>10000</v>
      </c>
      <c r="V160" s="33">
        <f>SUMIFS(LS[BO UNIT TRANSFER],LS[Investor ID],INVESTORS_LIST[[#This Row],[INVESTOR CODE]],LS[B/S],"B")</f>
        <v>0</v>
      </c>
      <c r="W160" s="33">
        <f>SUMIFS(LS[BO UNIT TRANSFER],LS[Investor ID],INVESTORS_LIST[[#This Row],[INVESTOR CODE]],LS[B/S],"S")</f>
        <v>0</v>
      </c>
      <c r="X160" s="33">
        <f>SUMIFS(SIP[BO UNIT TRANSFER],SIP[Investor ID],INVESTORS_LIST[[#This Row],[INVESTOR CODE]],SIP[B/S],"S")</f>
        <v>0</v>
      </c>
      <c r="Y160" s="33">
        <f>SUMIFS(SIP[BO UNIT TRANSFER],SIP[Investor ID],INVESTORS_LIST[[#This Row],[INVESTOR CODE]],SIP[B/S],"B")</f>
        <v>0</v>
      </c>
      <c r="Z16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10000</v>
      </c>
      <c r="AA160" s="119">
        <f>INVESTORS_LIST[[#This Row],[TOTAL UNITS BUY]]-INVESTORS_LIST[[#This Row],[TOTAL UNITS SOLD]]</f>
        <v>10000</v>
      </c>
      <c r="AB160" s="119">
        <f>INVESTORS_LIST[[#This Row],[TOTAL CURRENT UNITS]]-INVESTORS_LIST[[#This Row],[BO UNITS HOLD]]</f>
        <v>0</v>
      </c>
      <c r="AC160" s="119" t="e">
        <f>INDEX([4]!Table_1[BO ID],MATCH(INVESTORS_LIST[[#This Row],[INVESTOR CODE]],[4]!Table_1[INVESTOR CODE],0))</f>
        <v>#REF!</v>
      </c>
      <c r="AD160" s="33">
        <f>INVESTORS_LIST[[#This Row],[LS_TOTAL COST VALUE OF CURRENT UNITS]]+INVESTORS_LIST[[#This Row],[SIP_TOTAL COST VALUE OF CURRENT UNITS]]</f>
        <v>100000</v>
      </c>
      <c r="AE160" s="44">
        <f>IF(INVESTORS_LIST[[#This Row],[TOTAL CURRENT UNITS]]=0,0,INVESTORS_LIST[[#This Row],[LS_TOTAL CURRENT UNITS]]/INVESTORS_LIST[[#This Row],[TOTAL CURRENT UNITS]])</f>
        <v>1</v>
      </c>
      <c r="AF160" s="44">
        <f>IF(INVESTORS_LIST[[#This Row],[TOTAL CURRENT UNITS]]=0,0,INVESTORS_LIST[[#This Row],[SIP_TOTAL CURRENT UNITS]]/INVESTORS_LIST[[#This Row],[TOTAL CURRENT UNITS]])</f>
        <v>0</v>
      </c>
      <c r="AG160" s="4" cm="1">
        <f t="array" ref="AG160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160" s="4" cm="1">
        <f t="array" ref="AH16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60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160" s="178">
        <f t="shared" si="2"/>
        <v>12.552</v>
      </c>
      <c r="AK160" s="118">
        <f>IF(INVESTORS_LIST[[#This Row],[TOTAL CURRENT UNITS]]=0,0,INVESTORS_LIST[[#This Row],[TOTAL CURRENT UNITS]]*INVESTORS_LIST[[#This Row],[NAV]])</f>
        <v>125520</v>
      </c>
      <c r="AL160" s="4">
        <f>IF(INVESTORS_LIST[[#This Row],[LS_TOTAL CURRENT UNITS]]=0,0,INVESTORS_LIST[[#This Row],[LS_TOTAL CURRENT UNITS]]*INVESTORS_LIST[[#This Row],[NAV]])</f>
        <v>125520</v>
      </c>
      <c r="AM160" s="6">
        <f>IF(INVESTORS_LIST[[#This Row],[SIP_TOTAL CURRENT UNITS]]=0,0,INVESTORS_LIST[[#This Row],[SIP_TOTAL CURRENT UNITS]]*INVESTORS_LIST[[#This Row],[NAV]])</f>
        <v>0</v>
      </c>
      <c r="AO160" s="6">
        <f>IF(INVESTORS_LIST[[#This Row],[TOTAL SELLABLE UNITS]]=0,0,INVESTORS_LIST[[#This Row],[TOTAL SELLABLE UNITS]]*INVESTORS_LIST[[#This Row],[NAV]])</f>
        <v>0</v>
      </c>
      <c r="AP160" s="6">
        <f>INVESTORS_LIST[[#This Row],[LS_TOTAL REALIZED GAIN]]+INVESTORS_LIST[[#This Row],[SIP_TOTAL REALIZED GAIN]]</f>
        <v>0</v>
      </c>
      <c r="AQ160" s="6">
        <f>INVESTORS_LIST[[#This Row],[TOTAL MARKET VALUE]]-INVESTORS_LIST[[#This Row],[TOTAL COST VALUE OF CURRENT INVESTMENT]]</f>
        <v>25520</v>
      </c>
      <c r="AR160" s="6">
        <f>SUMIFS(DivAndTax[Tax Amount],DivAndTax[Investor ID],INVESTORS_LIST[[#This Row],[INVESTOR CODE]])</f>
        <v>1100</v>
      </c>
      <c r="AS160" s="6">
        <f>SUMIFS(DivAndTax[Gross Dividend],DivAndTax[Investor ID],INVESTORS_LIST[[#This Row],[INVESTOR CODE]])</f>
        <v>11000</v>
      </c>
      <c r="AT160" s="5">
        <f>IFERROR(INVESTORS_LIST[[#This Row],[TOTAL CURRENT UNITS]]/SUM(INVESTORS_LIST[TOTAL CURRENT UNITS]),0)</f>
        <v>4.7944835056342854E-4</v>
      </c>
    </row>
    <row r="161" spans="1:46" hidden="1">
      <c r="A161" t="s">
        <v>822</v>
      </c>
      <c r="B161" t="s">
        <v>194</v>
      </c>
      <c r="C161" t="s">
        <v>536</v>
      </c>
      <c r="D161" s="8" t="s">
        <v>2</v>
      </c>
      <c r="E161" s="2">
        <f>SUMIFS(LS[Unit],LS[Investor ID],INVESTORS_LIST[[#This Row],[INVESTOR CODE]],LS[B/S],"B")</f>
        <v>0</v>
      </c>
      <c r="F161" s="2">
        <f>-SUMIFS(LS[Unit],LS[Investor ID],INVESTORS_LIST[[#This Row],[INVESTOR CODE]],LS[B/S],"S")</f>
        <v>0</v>
      </c>
      <c r="G161" s="2">
        <f>IF(INVESTORS_LIST[[#This Row],[LS_TOTAL UNITS BUY]]=0,0,INVESTORS_LIST[[#This Row],[LS_TOTAL UNITS BUY]]-INVESTORS_LIST[[#This Row],[LS_TOTAL UNITS SOLD]])</f>
        <v>0</v>
      </c>
      <c r="H161" s="4">
        <f>IF(INVESTORS_LIST[[#This Row],[LS_TOTAL UNITS BUY]]=0,0,SUMIFS(LS[Amount],LS[Investor ID],INVESTORS_LIST[[#This Row],[INVESTOR CODE]],LS[B/S],"B"))</f>
        <v>0</v>
      </c>
      <c r="I161" s="6">
        <f>IF(INVESTORS_LIST[[#This Row],[LS_TOTAL UNITS SOLD]]=0,0,SUMIFS(LS[Cost of Units Sold],LS[Investor ID],INVESTORS_LIST[[#This Row],[INVESTOR CODE]],LS[B/S],"S"))</f>
        <v>0</v>
      </c>
      <c r="J161" s="6">
        <f>IF(INVESTORS_LIST[[#This Row],[LS_TOTAL CURRENT UNITS]]=0,0,INVESTORS_LIST[[#This Row],[LS_TOTAL CURRENT UNITS]]*INVESTORS_LIST[[#This Row],[LS_AVERAGE COST]])</f>
        <v>0</v>
      </c>
      <c r="K161" s="4">
        <f>IF(INVESTORS_LIST[[#This Row],[LS_TOTAL UNITS SOLD]]=0,0,SUMIFS(LS[Realized Gain],LS[Investor ID],INVESTORS_LIST[[#This Row],[INVESTOR CODE]],LS[B/S],"S"))</f>
        <v>0</v>
      </c>
      <c r="L161" s="2">
        <f>SUMIFS(SIP[Unit],SIP[Investor ID],INVESTORS_LIST[[#This Row],[INVESTOR CODE]],SIP[B/S],"B")</f>
        <v>0</v>
      </c>
      <c r="M161" s="2">
        <f>-SUMIFS(SIP[Unit],SIP[Investor ID],INVESTORS_LIST[[#This Row],[INVESTOR CODE]],SIP[B/S],"S")</f>
        <v>0</v>
      </c>
      <c r="N161" s="33">
        <f>IF(INVESTORS_LIST[[#This Row],[SIP_TOTAL UNITS BUY]]=0,0,INVESTORS_LIST[[#This Row],[SIP_TOTAL UNITS BUY]]-INVESTORS_LIST[[#This Row],[SIP_TOTAL UNITS SOLD]])</f>
        <v>0</v>
      </c>
      <c r="O161" s="4">
        <f>IF(INVESTORS_LIST[[#This Row],[SIP_TOTAL UNITS BUY]]=0,0,SUMIFS(SIP[Amount],SIP[Investor ID],INVESTORS_LIST[[#This Row],[INVESTOR CODE]],SIP[B/S],"B"))</f>
        <v>0</v>
      </c>
      <c r="P161" s="4">
        <f>IF(INVESTORS_LIST[[#This Row],[SIP_TOTAL UNITS SOLD]]=0,0,SUMIFS(SIP[Cost of Units Sold],SIP[Investor ID],INVESTORS_LIST[[#This Row],[INVESTOR CODE]],SIP[B/S],"S"))</f>
        <v>0</v>
      </c>
      <c r="Q161" s="6">
        <f>IF(INVESTORS_LIST[[#This Row],[SIP_TOTAL CURRENT UNITS]]=0,0,INVESTORS_LIST[[#This Row],[SIP_TOTAL CURRENT UNITS]]*INVESTORS_LIST[[#This Row],[SIP_AVERAGE COST]])</f>
        <v>0</v>
      </c>
      <c r="R161" s="6">
        <f>IF(INVESTORS_LIST[[#This Row],[SIP_TOTAL UNITS SOLD]]=0,0,SUMIFS(SIP[Realized Gain],SIP[Investor ID],INVESTORS_LIST[[#This Row],[INVESTOR CODE]],SIP[B/S],"S"))</f>
        <v>0</v>
      </c>
      <c r="S161" s="33">
        <f>INVESTORS_LIST[[#This Row],[LS_TOTAL UNITS BUY]]+INVESTORS_LIST[[#This Row],[SIP_TOTAL UNITS BUY]]</f>
        <v>0</v>
      </c>
      <c r="T161" s="33">
        <f>INVESTORS_LIST[[#This Row],[LS_TOTAL UNITS SOLD]]+INVESTORS_LIST[[#This Row],[SIP_TOTAL UNITS SOLD]]</f>
        <v>0</v>
      </c>
      <c r="U161" s="33">
        <v>0</v>
      </c>
      <c r="V161" s="33">
        <f>SUMIFS(LS[BO UNIT TRANSFER],LS[Investor ID],INVESTORS_LIST[[#This Row],[INVESTOR CODE]],LS[B/S],"B")</f>
        <v>0</v>
      </c>
      <c r="W161" s="33">
        <f>SUMIFS(LS[BO UNIT TRANSFER],LS[Investor ID],INVESTORS_LIST[[#This Row],[INVESTOR CODE]],LS[B/S],"S")</f>
        <v>0</v>
      </c>
      <c r="X161" s="33">
        <f>SUMIFS(SIP[BO UNIT TRANSFER],SIP[Investor ID],INVESTORS_LIST[[#This Row],[INVESTOR CODE]],SIP[B/S],"S")</f>
        <v>0</v>
      </c>
      <c r="Y161" s="33">
        <f>SUMIFS(SIP[BO UNIT TRANSFER],SIP[Investor ID],INVESTORS_LIST[[#This Row],[INVESTOR CODE]],SIP[B/S],"B")</f>
        <v>0</v>
      </c>
      <c r="Z16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61" s="119">
        <f>INVESTORS_LIST[[#This Row],[TOTAL UNITS BUY]]-INVESTORS_LIST[[#This Row],[TOTAL UNITS SOLD]]</f>
        <v>0</v>
      </c>
      <c r="AB161" s="119">
        <f>INVESTORS_LIST[[#This Row],[TOTAL CURRENT UNITS]]-INVESTORS_LIST[[#This Row],[BO UNITS HOLD]]</f>
        <v>0</v>
      </c>
      <c r="AC161" s="119" t="e">
        <f>INDEX([4]!Table_1[BO ID],MATCH(INVESTORS_LIST[[#This Row],[INVESTOR CODE]],[4]!Table_1[INVESTOR CODE],0))</f>
        <v>#REF!</v>
      </c>
      <c r="AD161" s="33">
        <f>INVESTORS_LIST[[#This Row],[LS_TOTAL COST VALUE OF CURRENT UNITS]]+INVESTORS_LIST[[#This Row],[SIP_TOTAL COST VALUE OF CURRENT UNITS]]</f>
        <v>0</v>
      </c>
      <c r="AE161" s="44">
        <f>IF(INVESTORS_LIST[[#This Row],[TOTAL CURRENT UNITS]]=0,0,INVESTORS_LIST[[#This Row],[LS_TOTAL CURRENT UNITS]]/INVESTORS_LIST[[#This Row],[TOTAL CURRENT UNITS]])</f>
        <v>0</v>
      </c>
      <c r="AF161" s="44">
        <f>IF(INVESTORS_LIST[[#This Row],[TOTAL CURRENT UNITS]]=0,0,INVESTORS_LIST[[#This Row],[SIP_TOTAL CURRENT UNITS]]/INVESTORS_LIST[[#This Row],[TOTAL CURRENT UNITS]])</f>
        <v>0</v>
      </c>
      <c r="AG161" s="4" cm="1">
        <f t="array" ref="AG16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61" s="4" cm="1">
        <f t="array" ref="AH1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6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61" s="178">
        <f t="shared" si="2"/>
        <v>12.552</v>
      </c>
      <c r="AK161" s="118">
        <f>IF(INVESTORS_LIST[[#This Row],[TOTAL CURRENT UNITS]]=0,0,INVESTORS_LIST[[#This Row],[TOTAL CURRENT UNITS]]*INVESTORS_LIST[[#This Row],[NAV]])</f>
        <v>0</v>
      </c>
      <c r="AL161" s="4">
        <f>IF(INVESTORS_LIST[[#This Row],[LS_TOTAL CURRENT UNITS]]=0,0,INVESTORS_LIST[[#This Row],[LS_TOTAL CURRENT UNITS]]*INVESTORS_LIST[[#This Row],[NAV]])</f>
        <v>0</v>
      </c>
      <c r="AM161" s="6">
        <f>IF(INVESTORS_LIST[[#This Row],[SIP_TOTAL CURRENT UNITS]]=0,0,INVESTORS_LIST[[#This Row],[SIP_TOTAL CURRENT UNITS]]*INVESTORS_LIST[[#This Row],[NAV]])</f>
        <v>0</v>
      </c>
      <c r="AO161" s="6">
        <f>IF(INVESTORS_LIST[[#This Row],[TOTAL SELLABLE UNITS]]=0,0,INVESTORS_LIST[[#This Row],[TOTAL SELLABLE UNITS]]*INVESTORS_LIST[[#This Row],[NAV]])</f>
        <v>0</v>
      </c>
      <c r="AP161" s="6">
        <f>INVESTORS_LIST[[#This Row],[LS_TOTAL REALIZED GAIN]]+INVESTORS_LIST[[#This Row],[SIP_TOTAL REALIZED GAIN]]</f>
        <v>0</v>
      </c>
      <c r="AQ161" s="6">
        <f>INVESTORS_LIST[[#This Row],[TOTAL MARKET VALUE]]-INVESTORS_LIST[[#This Row],[TOTAL COST VALUE OF CURRENT INVESTMENT]]</f>
        <v>0</v>
      </c>
      <c r="AR161" s="6">
        <f>SUMIFS(DivAndTax[Tax Amount],DivAndTax[Investor ID],INVESTORS_LIST[[#This Row],[INVESTOR CODE]])</f>
        <v>0</v>
      </c>
      <c r="AS161" s="6">
        <f>SUMIFS(DivAndTax[Gross Dividend],DivAndTax[Investor ID],INVESTORS_LIST[[#This Row],[INVESTOR CODE]])</f>
        <v>0</v>
      </c>
      <c r="AT161" s="5">
        <f>IFERROR(INVESTORS_LIST[[#This Row],[TOTAL CURRENT UNITS]]/SUM(INVESTORS_LIST[TOTAL CURRENT UNITS]),0)</f>
        <v>0</v>
      </c>
    </row>
    <row r="162" spans="1:46" hidden="1">
      <c r="A162" t="s">
        <v>823</v>
      </c>
      <c r="B162" t="s">
        <v>195</v>
      </c>
      <c r="C162" t="s">
        <v>536</v>
      </c>
      <c r="D162" s="8" t="s">
        <v>2</v>
      </c>
      <c r="E162" s="2">
        <f>SUMIFS(LS[Unit],LS[Investor ID],INVESTORS_LIST[[#This Row],[INVESTOR CODE]],LS[B/S],"B")</f>
        <v>0</v>
      </c>
      <c r="F162" s="2">
        <f>-SUMIFS(LS[Unit],LS[Investor ID],INVESTORS_LIST[[#This Row],[INVESTOR CODE]],LS[B/S],"S")</f>
        <v>0</v>
      </c>
      <c r="G162" s="2">
        <f>IF(INVESTORS_LIST[[#This Row],[LS_TOTAL UNITS BUY]]=0,0,INVESTORS_LIST[[#This Row],[LS_TOTAL UNITS BUY]]-INVESTORS_LIST[[#This Row],[LS_TOTAL UNITS SOLD]])</f>
        <v>0</v>
      </c>
      <c r="H162" s="4">
        <f>IF(INVESTORS_LIST[[#This Row],[LS_TOTAL UNITS BUY]]=0,0,SUMIFS(LS[Amount],LS[Investor ID],INVESTORS_LIST[[#This Row],[INVESTOR CODE]],LS[B/S],"B"))</f>
        <v>0</v>
      </c>
      <c r="I162" s="6">
        <f>IF(INVESTORS_LIST[[#This Row],[LS_TOTAL UNITS SOLD]]=0,0,SUMIFS(LS[Cost of Units Sold],LS[Investor ID],INVESTORS_LIST[[#This Row],[INVESTOR CODE]],LS[B/S],"S"))</f>
        <v>0</v>
      </c>
      <c r="J162" s="6">
        <f>IF(INVESTORS_LIST[[#This Row],[LS_TOTAL CURRENT UNITS]]=0,0,INVESTORS_LIST[[#This Row],[LS_TOTAL CURRENT UNITS]]*INVESTORS_LIST[[#This Row],[LS_AVERAGE COST]])</f>
        <v>0</v>
      </c>
      <c r="K162" s="4">
        <f>IF(INVESTORS_LIST[[#This Row],[LS_TOTAL UNITS SOLD]]=0,0,SUMIFS(LS[Realized Gain],LS[Investor ID],INVESTORS_LIST[[#This Row],[INVESTOR CODE]],LS[B/S],"S"))</f>
        <v>0</v>
      </c>
      <c r="L162" s="2">
        <f>SUMIFS(SIP[Unit],SIP[Investor ID],INVESTORS_LIST[[#This Row],[INVESTOR CODE]],SIP[B/S],"B")</f>
        <v>0</v>
      </c>
      <c r="M162" s="2">
        <f>-SUMIFS(SIP[Unit],SIP[Investor ID],INVESTORS_LIST[[#This Row],[INVESTOR CODE]],SIP[B/S],"S")</f>
        <v>0</v>
      </c>
      <c r="N162" s="33">
        <f>IF(INVESTORS_LIST[[#This Row],[SIP_TOTAL UNITS BUY]]=0,0,INVESTORS_LIST[[#This Row],[SIP_TOTAL UNITS BUY]]-INVESTORS_LIST[[#This Row],[SIP_TOTAL UNITS SOLD]])</f>
        <v>0</v>
      </c>
      <c r="O162" s="4">
        <f>IF(INVESTORS_LIST[[#This Row],[SIP_TOTAL UNITS BUY]]=0,0,SUMIFS(SIP[Amount],SIP[Investor ID],INVESTORS_LIST[[#This Row],[INVESTOR CODE]],SIP[B/S],"B"))</f>
        <v>0</v>
      </c>
      <c r="P162" s="4">
        <f>IF(INVESTORS_LIST[[#This Row],[SIP_TOTAL UNITS SOLD]]=0,0,SUMIFS(SIP[Cost of Units Sold],SIP[Investor ID],INVESTORS_LIST[[#This Row],[INVESTOR CODE]],SIP[B/S],"S"))</f>
        <v>0</v>
      </c>
      <c r="Q162" s="6">
        <f>IF(INVESTORS_LIST[[#This Row],[SIP_TOTAL CURRENT UNITS]]=0,0,INVESTORS_LIST[[#This Row],[SIP_TOTAL CURRENT UNITS]]*INVESTORS_LIST[[#This Row],[SIP_AVERAGE COST]])</f>
        <v>0</v>
      </c>
      <c r="R162" s="6">
        <f>IF(INVESTORS_LIST[[#This Row],[SIP_TOTAL UNITS SOLD]]=0,0,SUMIFS(SIP[Realized Gain],SIP[Investor ID],INVESTORS_LIST[[#This Row],[INVESTOR CODE]],SIP[B/S],"S"))</f>
        <v>0</v>
      </c>
      <c r="S162" s="33">
        <f>INVESTORS_LIST[[#This Row],[LS_TOTAL UNITS BUY]]+INVESTORS_LIST[[#This Row],[SIP_TOTAL UNITS BUY]]</f>
        <v>0</v>
      </c>
      <c r="T162" s="33">
        <f>INVESTORS_LIST[[#This Row],[LS_TOTAL UNITS SOLD]]+INVESTORS_LIST[[#This Row],[SIP_TOTAL UNITS SOLD]]</f>
        <v>0</v>
      </c>
      <c r="U162" s="33">
        <v>0</v>
      </c>
      <c r="V162" s="33">
        <f>SUMIFS(LS[BO UNIT TRANSFER],LS[Investor ID],INVESTORS_LIST[[#This Row],[INVESTOR CODE]],LS[B/S],"B")</f>
        <v>0</v>
      </c>
      <c r="W162" s="33">
        <f>SUMIFS(LS[BO UNIT TRANSFER],LS[Investor ID],INVESTORS_LIST[[#This Row],[INVESTOR CODE]],LS[B/S],"S")</f>
        <v>0</v>
      </c>
      <c r="X162" s="33">
        <f>SUMIFS(SIP[BO UNIT TRANSFER],SIP[Investor ID],INVESTORS_LIST[[#This Row],[INVESTOR CODE]],SIP[B/S],"S")</f>
        <v>0</v>
      </c>
      <c r="Y162" s="33">
        <f>SUMIFS(SIP[BO UNIT TRANSFER],SIP[Investor ID],INVESTORS_LIST[[#This Row],[INVESTOR CODE]],SIP[B/S],"B")</f>
        <v>0</v>
      </c>
      <c r="Z16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62" s="119">
        <f>INVESTORS_LIST[[#This Row],[TOTAL UNITS BUY]]-INVESTORS_LIST[[#This Row],[TOTAL UNITS SOLD]]</f>
        <v>0</v>
      </c>
      <c r="AB162" s="119">
        <f>INVESTORS_LIST[[#This Row],[TOTAL CURRENT UNITS]]-INVESTORS_LIST[[#This Row],[BO UNITS HOLD]]</f>
        <v>0</v>
      </c>
      <c r="AC162" s="119" t="e">
        <f>INDEX([4]!Table_1[BO ID],MATCH(INVESTORS_LIST[[#This Row],[INVESTOR CODE]],[4]!Table_1[INVESTOR CODE],0))</f>
        <v>#REF!</v>
      </c>
      <c r="AD162" s="33">
        <f>INVESTORS_LIST[[#This Row],[LS_TOTAL COST VALUE OF CURRENT UNITS]]+INVESTORS_LIST[[#This Row],[SIP_TOTAL COST VALUE OF CURRENT UNITS]]</f>
        <v>0</v>
      </c>
      <c r="AE162" s="44">
        <f>IF(INVESTORS_LIST[[#This Row],[TOTAL CURRENT UNITS]]=0,0,INVESTORS_LIST[[#This Row],[LS_TOTAL CURRENT UNITS]]/INVESTORS_LIST[[#This Row],[TOTAL CURRENT UNITS]])</f>
        <v>0</v>
      </c>
      <c r="AF162" s="44">
        <f>IF(INVESTORS_LIST[[#This Row],[TOTAL CURRENT UNITS]]=0,0,INVESTORS_LIST[[#This Row],[SIP_TOTAL CURRENT UNITS]]/INVESTORS_LIST[[#This Row],[TOTAL CURRENT UNITS]])</f>
        <v>0</v>
      </c>
      <c r="AG162" s="4" cm="1">
        <f t="array" ref="AG16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62" s="4" cm="1">
        <f t="array" ref="AH1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6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62" s="178">
        <f t="shared" si="2"/>
        <v>12.552</v>
      </c>
      <c r="AK162" s="118">
        <f>IF(INVESTORS_LIST[[#This Row],[TOTAL CURRENT UNITS]]=0,0,INVESTORS_LIST[[#This Row],[TOTAL CURRENT UNITS]]*INVESTORS_LIST[[#This Row],[NAV]])</f>
        <v>0</v>
      </c>
      <c r="AL162" s="4">
        <f>IF(INVESTORS_LIST[[#This Row],[LS_TOTAL CURRENT UNITS]]=0,0,INVESTORS_LIST[[#This Row],[LS_TOTAL CURRENT UNITS]]*INVESTORS_LIST[[#This Row],[NAV]])</f>
        <v>0</v>
      </c>
      <c r="AM162" s="6">
        <f>IF(INVESTORS_LIST[[#This Row],[SIP_TOTAL CURRENT UNITS]]=0,0,INVESTORS_LIST[[#This Row],[SIP_TOTAL CURRENT UNITS]]*INVESTORS_LIST[[#This Row],[NAV]])</f>
        <v>0</v>
      </c>
      <c r="AO162" s="6">
        <f>IF(INVESTORS_LIST[[#This Row],[TOTAL SELLABLE UNITS]]=0,0,INVESTORS_LIST[[#This Row],[TOTAL SELLABLE UNITS]]*INVESTORS_LIST[[#This Row],[NAV]])</f>
        <v>0</v>
      </c>
      <c r="AP162" s="6">
        <f>INVESTORS_LIST[[#This Row],[LS_TOTAL REALIZED GAIN]]+INVESTORS_LIST[[#This Row],[SIP_TOTAL REALIZED GAIN]]</f>
        <v>0</v>
      </c>
      <c r="AQ162" s="6">
        <f>INVESTORS_LIST[[#This Row],[TOTAL MARKET VALUE]]-INVESTORS_LIST[[#This Row],[TOTAL COST VALUE OF CURRENT INVESTMENT]]</f>
        <v>0</v>
      </c>
      <c r="AR162" s="6">
        <f>SUMIFS(DivAndTax[Tax Amount],DivAndTax[Investor ID],INVESTORS_LIST[[#This Row],[INVESTOR CODE]])</f>
        <v>0</v>
      </c>
      <c r="AS162" s="6">
        <f>SUMIFS(DivAndTax[Gross Dividend],DivAndTax[Investor ID],INVESTORS_LIST[[#This Row],[INVESTOR CODE]])</f>
        <v>0</v>
      </c>
      <c r="AT162" s="5">
        <f>IFERROR(INVESTORS_LIST[[#This Row],[TOTAL CURRENT UNITS]]/SUM(INVESTORS_LIST[TOTAL CURRENT UNITS]),0)</f>
        <v>0</v>
      </c>
    </row>
    <row r="163" spans="1:46" hidden="1">
      <c r="A163" t="s">
        <v>824</v>
      </c>
      <c r="B163" t="s">
        <v>196</v>
      </c>
      <c r="C163" t="s">
        <v>536</v>
      </c>
      <c r="D163" s="8" t="s">
        <v>2</v>
      </c>
      <c r="E163" s="2">
        <f>SUMIFS(LS[Unit],LS[Investor ID],INVESTORS_LIST[[#This Row],[INVESTOR CODE]],LS[B/S],"B")</f>
        <v>0</v>
      </c>
      <c r="F163" s="2">
        <f>-SUMIFS(LS[Unit],LS[Investor ID],INVESTORS_LIST[[#This Row],[INVESTOR CODE]],LS[B/S],"S")</f>
        <v>0</v>
      </c>
      <c r="G163" s="2">
        <f>IF(INVESTORS_LIST[[#This Row],[LS_TOTAL UNITS BUY]]=0,0,INVESTORS_LIST[[#This Row],[LS_TOTAL UNITS BUY]]-INVESTORS_LIST[[#This Row],[LS_TOTAL UNITS SOLD]])</f>
        <v>0</v>
      </c>
      <c r="H163" s="4">
        <f>IF(INVESTORS_LIST[[#This Row],[LS_TOTAL UNITS BUY]]=0,0,SUMIFS(LS[Amount],LS[Investor ID],INVESTORS_LIST[[#This Row],[INVESTOR CODE]],LS[B/S],"B"))</f>
        <v>0</v>
      </c>
      <c r="I163" s="6">
        <f>IF(INVESTORS_LIST[[#This Row],[LS_TOTAL UNITS SOLD]]=0,0,SUMIFS(LS[Cost of Units Sold],LS[Investor ID],INVESTORS_LIST[[#This Row],[INVESTOR CODE]],LS[B/S],"S"))</f>
        <v>0</v>
      </c>
      <c r="J163" s="6">
        <f>IF(INVESTORS_LIST[[#This Row],[LS_TOTAL CURRENT UNITS]]=0,0,INVESTORS_LIST[[#This Row],[LS_TOTAL CURRENT UNITS]]*INVESTORS_LIST[[#This Row],[LS_AVERAGE COST]])</f>
        <v>0</v>
      </c>
      <c r="K163" s="4">
        <f>IF(INVESTORS_LIST[[#This Row],[LS_TOTAL UNITS SOLD]]=0,0,SUMIFS(LS[Realized Gain],LS[Investor ID],INVESTORS_LIST[[#This Row],[INVESTOR CODE]],LS[B/S],"S"))</f>
        <v>0</v>
      </c>
      <c r="L163" s="2">
        <f>SUMIFS(SIP[Unit],SIP[Investor ID],INVESTORS_LIST[[#This Row],[INVESTOR CODE]],SIP[B/S],"B")</f>
        <v>0</v>
      </c>
      <c r="M163" s="2">
        <f>-SUMIFS(SIP[Unit],SIP[Investor ID],INVESTORS_LIST[[#This Row],[INVESTOR CODE]],SIP[B/S],"S")</f>
        <v>0</v>
      </c>
      <c r="N163" s="33">
        <f>IF(INVESTORS_LIST[[#This Row],[SIP_TOTAL UNITS BUY]]=0,0,INVESTORS_LIST[[#This Row],[SIP_TOTAL UNITS BUY]]-INVESTORS_LIST[[#This Row],[SIP_TOTAL UNITS SOLD]])</f>
        <v>0</v>
      </c>
      <c r="O163" s="4">
        <f>IF(INVESTORS_LIST[[#This Row],[SIP_TOTAL UNITS BUY]]=0,0,SUMIFS(SIP[Amount],SIP[Investor ID],INVESTORS_LIST[[#This Row],[INVESTOR CODE]],SIP[B/S],"B"))</f>
        <v>0</v>
      </c>
      <c r="P163" s="4">
        <f>IF(INVESTORS_LIST[[#This Row],[SIP_TOTAL UNITS SOLD]]=0,0,SUMIFS(SIP[Cost of Units Sold],SIP[Investor ID],INVESTORS_LIST[[#This Row],[INVESTOR CODE]],SIP[B/S],"S"))</f>
        <v>0</v>
      </c>
      <c r="Q163" s="6">
        <f>IF(INVESTORS_LIST[[#This Row],[SIP_TOTAL CURRENT UNITS]]=0,0,INVESTORS_LIST[[#This Row],[SIP_TOTAL CURRENT UNITS]]*INVESTORS_LIST[[#This Row],[SIP_AVERAGE COST]])</f>
        <v>0</v>
      </c>
      <c r="R163" s="6">
        <f>IF(INVESTORS_LIST[[#This Row],[SIP_TOTAL UNITS SOLD]]=0,0,SUMIFS(SIP[Realized Gain],SIP[Investor ID],INVESTORS_LIST[[#This Row],[INVESTOR CODE]],SIP[B/S],"S"))</f>
        <v>0</v>
      </c>
      <c r="S163" s="33">
        <f>INVESTORS_LIST[[#This Row],[LS_TOTAL UNITS BUY]]+INVESTORS_LIST[[#This Row],[SIP_TOTAL UNITS BUY]]</f>
        <v>0</v>
      </c>
      <c r="T163" s="33">
        <f>INVESTORS_LIST[[#This Row],[LS_TOTAL UNITS SOLD]]+INVESTORS_LIST[[#This Row],[SIP_TOTAL UNITS SOLD]]</f>
        <v>0</v>
      </c>
      <c r="U163" s="33">
        <v>0</v>
      </c>
      <c r="V163" s="33">
        <f>SUMIFS(LS[BO UNIT TRANSFER],LS[Investor ID],INVESTORS_LIST[[#This Row],[INVESTOR CODE]],LS[B/S],"B")</f>
        <v>0</v>
      </c>
      <c r="W163" s="33">
        <f>SUMIFS(LS[BO UNIT TRANSFER],LS[Investor ID],INVESTORS_LIST[[#This Row],[INVESTOR CODE]],LS[B/S],"S")</f>
        <v>0</v>
      </c>
      <c r="X163" s="33">
        <f>SUMIFS(SIP[BO UNIT TRANSFER],SIP[Investor ID],INVESTORS_LIST[[#This Row],[INVESTOR CODE]],SIP[B/S],"S")</f>
        <v>0</v>
      </c>
      <c r="Y163" s="33">
        <f>SUMIFS(SIP[BO UNIT TRANSFER],SIP[Investor ID],INVESTORS_LIST[[#This Row],[INVESTOR CODE]],SIP[B/S],"B")</f>
        <v>0</v>
      </c>
      <c r="Z16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63" s="119">
        <f>INVESTORS_LIST[[#This Row],[TOTAL UNITS BUY]]-INVESTORS_LIST[[#This Row],[TOTAL UNITS SOLD]]</f>
        <v>0</v>
      </c>
      <c r="AB163" s="119">
        <f>INVESTORS_LIST[[#This Row],[TOTAL CURRENT UNITS]]-INVESTORS_LIST[[#This Row],[BO UNITS HOLD]]</f>
        <v>0</v>
      </c>
      <c r="AC163" s="119" t="e">
        <f>INDEX([4]!Table_1[BO ID],MATCH(INVESTORS_LIST[[#This Row],[INVESTOR CODE]],[4]!Table_1[INVESTOR CODE],0))</f>
        <v>#REF!</v>
      </c>
      <c r="AD163" s="33">
        <f>INVESTORS_LIST[[#This Row],[LS_TOTAL COST VALUE OF CURRENT UNITS]]+INVESTORS_LIST[[#This Row],[SIP_TOTAL COST VALUE OF CURRENT UNITS]]</f>
        <v>0</v>
      </c>
      <c r="AE163" s="44">
        <f>IF(INVESTORS_LIST[[#This Row],[TOTAL CURRENT UNITS]]=0,0,INVESTORS_LIST[[#This Row],[LS_TOTAL CURRENT UNITS]]/INVESTORS_LIST[[#This Row],[TOTAL CURRENT UNITS]])</f>
        <v>0</v>
      </c>
      <c r="AF163" s="44">
        <f>IF(INVESTORS_LIST[[#This Row],[TOTAL CURRENT UNITS]]=0,0,INVESTORS_LIST[[#This Row],[SIP_TOTAL CURRENT UNITS]]/INVESTORS_LIST[[#This Row],[TOTAL CURRENT UNITS]])</f>
        <v>0</v>
      </c>
      <c r="AG163" s="4" cm="1">
        <f t="array" ref="AG16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63" s="4" cm="1">
        <f t="array" ref="AH1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6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63" s="178">
        <f t="shared" si="2"/>
        <v>12.552</v>
      </c>
      <c r="AK163" s="118">
        <f>IF(INVESTORS_LIST[[#This Row],[TOTAL CURRENT UNITS]]=0,0,INVESTORS_LIST[[#This Row],[TOTAL CURRENT UNITS]]*INVESTORS_LIST[[#This Row],[NAV]])</f>
        <v>0</v>
      </c>
      <c r="AL163" s="4">
        <f>IF(INVESTORS_LIST[[#This Row],[LS_TOTAL CURRENT UNITS]]=0,0,INVESTORS_LIST[[#This Row],[LS_TOTAL CURRENT UNITS]]*INVESTORS_LIST[[#This Row],[NAV]])</f>
        <v>0</v>
      </c>
      <c r="AM163" s="6">
        <f>IF(INVESTORS_LIST[[#This Row],[SIP_TOTAL CURRENT UNITS]]=0,0,INVESTORS_LIST[[#This Row],[SIP_TOTAL CURRENT UNITS]]*INVESTORS_LIST[[#This Row],[NAV]])</f>
        <v>0</v>
      </c>
      <c r="AO163" s="6">
        <f>IF(INVESTORS_LIST[[#This Row],[TOTAL SELLABLE UNITS]]=0,0,INVESTORS_LIST[[#This Row],[TOTAL SELLABLE UNITS]]*INVESTORS_LIST[[#This Row],[NAV]])</f>
        <v>0</v>
      </c>
      <c r="AP163" s="6">
        <f>INVESTORS_LIST[[#This Row],[LS_TOTAL REALIZED GAIN]]+INVESTORS_LIST[[#This Row],[SIP_TOTAL REALIZED GAIN]]</f>
        <v>0</v>
      </c>
      <c r="AQ163" s="6">
        <f>INVESTORS_LIST[[#This Row],[TOTAL MARKET VALUE]]-INVESTORS_LIST[[#This Row],[TOTAL COST VALUE OF CURRENT INVESTMENT]]</f>
        <v>0</v>
      </c>
      <c r="AR163" s="6">
        <f>SUMIFS(DivAndTax[Tax Amount],DivAndTax[Investor ID],INVESTORS_LIST[[#This Row],[INVESTOR CODE]])</f>
        <v>0</v>
      </c>
      <c r="AS163" s="6">
        <f>SUMIFS(DivAndTax[Gross Dividend],DivAndTax[Investor ID],INVESTORS_LIST[[#This Row],[INVESTOR CODE]])</f>
        <v>0</v>
      </c>
      <c r="AT163" s="5">
        <f>IFERROR(INVESTORS_LIST[[#This Row],[TOTAL CURRENT UNITS]]/SUM(INVESTORS_LIST[TOTAL CURRENT UNITS]),0)</f>
        <v>0</v>
      </c>
    </row>
    <row r="164" spans="1:46" hidden="1">
      <c r="A164" t="s">
        <v>825</v>
      </c>
      <c r="B164" t="s">
        <v>197</v>
      </c>
      <c r="C164" t="s">
        <v>536</v>
      </c>
      <c r="D164" s="8" t="s">
        <v>2</v>
      </c>
      <c r="E164" s="2">
        <f>SUMIFS(LS[Unit],LS[Investor ID],INVESTORS_LIST[[#This Row],[INVESTOR CODE]],LS[B/S],"B")</f>
        <v>0</v>
      </c>
      <c r="F164" s="2">
        <f>-SUMIFS(LS[Unit],LS[Investor ID],INVESTORS_LIST[[#This Row],[INVESTOR CODE]],LS[B/S],"S")</f>
        <v>0</v>
      </c>
      <c r="G164" s="2">
        <f>IF(INVESTORS_LIST[[#This Row],[LS_TOTAL UNITS BUY]]=0,0,INVESTORS_LIST[[#This Row],[LS_TOTAL UNITS BUY]]-INVESTORS_LIST[[#This Row],[LS_TOTAL UNITS SOLD]])</f>
        <v>0</v>
      </c>
      <c r="H164" s="4">
        <f>IF(INVESTORS_LIST[[#This Row],[LS_TOTAL UNITS BUY]]=0,0,SUMIFS(LS[Amount],LS[Investor ID],INVESTORS_LIST[[#This Row],[INVESTOR CODE]],LS[B/S],"B"))</f>
        <v>0</v>
      </c>
      <c r="I164" s="6">
        <f>IF(INVESTORS_LIST[[#This Row],[LS_TOTAL UNITS SOLD]]=0,0,SUMIFS(LS[Cost of Units Sold],LS[Investor ID],INVESTORS_LIST[[#This Row],[INVESTOR CODE]],LS[B/S],"S"))</f>
        <v>0</v>
      </c>
      <c r="J164" s="6">
        <f>IF(INVESTORS_LIST[[#This Row],[LS_TOTAL CURRENT UNITS]]=0,0,INVESTORS_LIST[[#This Row],[LS_TOTAL CURRENT UNITS]]*INVESTORS_LIST[[#This Row],[LS_AVERAGE COST]])</f>
        <v>0</v>
      </c>
      <c r="K164" s="4">
        <f>IF(INVESTORS_LIST[[#This Row],[LS_TOTAL UNITS SOLD]]=0,0,SUMIFS(LS[Realized Gain],LS[Investor ID],INVESTORS_LIST[[#This Row],[INVESTOR CODE]],LS[B/S],"S"))</f>
        <v>0</v>
      </c>
      <c r="L164" s="2">
        <f>SUMIFS(SIP[Unit],SIP[Investor ID],INVESTORS_LIST[[#This Row],[INVESTOR CODE]],SIP[B/S],"B")</f>
        <v>0</v>
      </c>
      <c r="M164" s="2">
        <f>-SUMIFS(SIP[Unit],SIP[Investor ID],INVESTORS_LIST[[#This Row],[INVESTOR CODE]],SIP[B/S],"S")</f>
        <v>0</v>
      </c>
      <c r="N164" s="33">
        <f>IF(INVESTORS_LIST[[#This Row],[SIP_TOTAL UNITS BUY]]=0,0,INVESTORS_LIST[[#This Row],[SIP_TOTAL UNITS BUY]]-INVESTORS_LIST[[#This Row],[SIP_TOTAL UNITS SOLD]])</f>
        <v>0</v>
      </c>
      <c r="O164" s="4">
        <f>IF(INVESTORS_LIST[[#This Row],[SIP_TOTAL UNITS BUY]]=0,0,SUMIFS(SIP[Amount],SIP[Investor ID],INVESTORS_LIST[[#This Row],[INVESTOR CODE]],SIP[B/S],"B"))</f>
        <v>0</v>
      </c>
      <c r="P164" s="4">
        <f>IF(INVESTORS_LIST[[#This Row],[SIP_TOTAL UNITS SOLD]]=0,0,SUMIFS(SIP[Cost of Units Sold],SIP[Investor ID],INVESTORS_LIST[[#This Row],[INVESTOR CODE]],SIP[B/S],"S"))</f>
        <v>0</v>
      </c>
      <c r="Q164" s="6">
        <f>IF(INVESTORS_LIST[[#This Row],[SIP_TOTAL CURRENT UNITS]]=0,0,INVESTORS_LIST[[#This Row],[SIP_TOTAL CURRENT UNITS]]*INVESTORS_LIST[[#This Row],[SIP_AVERAGE COST]])</f>
        <v>0</v>
      </c>
      <c r="R164" s="6">
        <f>IF(INVESTORS_LIST[[#This Row],[SIP_TOTAL UNITS SOLD]]=0,0,SUMIFS(SIP[Realized Gain],SIP[Investor ID],INVESTORS_LIST[[#This Row],[INVESTOR CODE]],SIP[B/S],"S"))</f>
        <v>0</v>
      </c>
      <c r="S164" s="33">
        <f>INVESTORS_LIST[[#This Row],[LS_TOTAL UNITS BUY]]+INVESTORS_LIST[[#This Row],[SIP_TOTAL UNITS BUY]]</f>
        <v>0</v>
      </c>
      <c r="T164" s="33">
        <f>INVESTORS_LIST[[#This Row],[LS_TOTAL UNITS SOLD]]+INVESTORS_LIST[[#This Row],[SIP_TOTAL UNITS SOLD]]</f>
        <v>0</v>
      </c>
      <c r="U164" s="33">
        <v>0</v>
      </c>
      <c r="V164" s="33">
        <f>SUMIFS(LS[BO UNIT TRANSFER],LS[Investor ID],INVESTORS_LIST[[#This Row],[INVESTOR CODE]],LS[B/S],"B")</f>
        <v>0</v>
      </c>
      <c r="W164" s="33">
        <f>SUMIFS(LS[BO UNIT TRANSFER],LS[Investor ID],INVESTORS_LIST[[#This Row],[INVESTOR CODE]],LS[B/S],"S")</f>
        <v>0</v>
      </c>
      <c r="X164" s="33">
        <f>SUMIFS(SIP[BO UNIT TRANSFER],SIP[Investor ID],INVESTORS_LIST[[#This Row],[INVESTOR CODE]],SIP[B/S],"S")</f>
        <v>0</v>
      </c>
      <c r="Y164" s="33">
        <f>SUMIFS(SIP[BO UNIT TRANSFER],SIP[Investor ID],INVESTORS_LIST[[#This Row],[INVESTOR CODE]],SIP[B/S],"B")</f>
        <v>0</v>
      </c>
      <c r="Z16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64" s="119">
        <f>INVESTORS_LIST[[#This Row],[TOTAL UNITS BUY]]-INVESTORS_LIST[[#This Row],[TOTAL UNITS SOLD]]</f>
        <v>0</v>
      </c>
      <c r="AB164" s="119">
        <f>INVESTORS_LIST[[#This Row],[TOTAL CURRENT UNITS]]-INVESTORS_LIST[[#This Row],[BO UNITS HOLD]]</f>
        <v>0</v>
      </c>
      <c r="AC164" s="119" t="e">
        <f>INDEX([4]!Table_1[BO ID],MATCH(INVESTORS_LIST[[#This Row],[INVESTOR CODE]],[4]!Table_1[INVESTOR CODE],0))</f>
        <v>#REF!</v>
      </c>
      <c r="AD164" s="33">
        <f>INVESTORS_LIST[[#This Row],[LS_TOTAL COST VALUE OF CURRENT UNITS]]+INVESTORS_LIST[[#This Row],[SIP_TOTAL COST VALUE OF CURRENT UNITS]]</f>
        <v>0</v>
      </c>
      <c r="AE164" s="44">
        <f>IF(INVESTORS_LIST[[#This Row],[TOTAL CURRENT UNITS]]=0,0,INVESTORS_LIST[[#This Row],[LS_TOTAL CURRENT UNITS]]/INVESTORS_LIST[[#This Row],[TOTAL CURRENT UNITS]])</f>
        <v>0</v>
      </c>
      <c r="AF164" s="44">
        <f>IF(INVESTORS_LIST[[#This Row],[TOTAL CURRENT UNITS]]=0,0,INVESTORS_LIST[[#This Row],[SIP_TOTAL CURRENT UNITS]]/INVESTORS_LIST[[#This Row],[TOTAL CURRENT UNITS]])</f>
        <v>0</v>
      </c>
      <c r="AG164" s="4" cm="1">
        <f t="array" ref="AG16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64" s="4" cm="1">
        <f t="array" ref="AH16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6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64" s="178">
        <f t="shared" si="2"/>
        <v>12.552</v>
      </c>
      <c r="AK164" s="118">
        <f>IF(INVESTORS_LIST[[#This Row],[TOTAL CURRENT UNITS]]=0,0,INVESTORS_LIST[[#This Row],[TOTAL CURRENT UNITS]]*INVESTORS_LIST[[#This Row],[NAV]])</f>
        <v>0</v>
      </c>
      <c r="AL164" s="4">
        <f>IF(INVESTORS_LIST[[#This Row],[LS_TOTAL CURRENT UNITS]]=0,0,INVESTORS_LIST[[#This Row],[LS_TOTAL CURRENT UNITS]]*INVESTORS_LIST[[#This Row],[NAV]])</f>
        <v>0</v>
      </c>
      <c r="AM164" s="6">
        <f>IF(INVESTORS_LIST[[#This Row],[SIP_TOTAL CURRENT UNITS]]=0,0,INVESTORS_LIST[[#This Row],[SIP_TOTAL CURRENT UNITS]]*INVESTORS_LIST[[#This Row],[NAV]])</f>
        <v>0</v>
      </c>
      <c r="AO164" s="6">
        <f>IF(INVESTORS_LIST[[#This Row],[TOTAL SELLABLE UNITS]]=0,0,INVESTORS_LIST[[#This Row],[TOTAL SELLABLE UNITS]]*INVESTORS_LIST[[#This Row],[NAV]])</f>
        <v>0</v>
      </c>
      <c r="AP164" s="6">
        <f>INVESTORS_LIST[[#This Row],[LS_TOTAL REALIZED GAIN]]+INVESTORS_LIST[[#This Row],[SIP_TOTAL REALIZED GAIN]]</f>
        <v>0</v>
      </c>
      <c r="AQ164" s="6">
        <f>INVESTORS_LIST[[#This Row],[TOTAL MARKET VALUE]]-INVESTORS_LIST[[#This Row],[TOTAL COST VALUE OF CURRENT INVESTMENT]]</f>
        <v>0</v>
      </c>
      <c r="AR164" s="6">
        <f>SUMIFS(DivAndTax[Tax Amount],DivAndTax[Investor ID],INVESTORS_LIST[[#This Row],[INVESTOR CODE]])</f>
        <v>0</v>
      </c>
      <c r="AS164" s="6">
        <f>SUMIFS(DivAndTax[Gross Dividend],DivAndTax[Investor ID],INVESTORS_LIST[[#This Row],[INVESTOR CODE]])</f>
        <v>0</v>
      </c>
      <c r="AT164" s="5">
        <f>IFERROR(INVESTORS_LIST[[#This Row],[TOTAL CURRENT UNITS]]/SUM(INVESTORS_LIST[TOTAL CURRENT UNITS]),0)</f>
        <v>0</v>
      </c>
    </row>
    <row r="165" spans="1:46" hidden="1">
      <c r="A165" t="s">
        <v>826</v>
      </c>
      <c r="B165" t="s">
        <v>198</v>
      </c>
      <c r="C165" t="s">
        <v>536</v>
      </c>
      <c r="D165" s="8" t="s">
        <v>2</v>
      </c>
      <c r="E165" s="2">
        <f>SUMIFS(LS[Unit],LS[Investor ID],INVESTORS_LIST[[#This Row],[INVESTOR CODE]],LS[B/S],"B")</f>
        <v>0</v>
      </c>
      <c r="F165" s="2">
        <f>-SUMIFS(LS[Unit],LS[Investor ID],INVESTORS_LIST[[#This Row],[INVESTOR CODE]],LS[B/S],"S")</f>
        <v>0</v>
      </c>
      <c r="G165" s="2">
        <f>IF(INVESTORS_LIST[[#This Row],[LS_TOTAL UNITS BUY]]=0,0,INVESTORS_LIST[[#This Row],[LS_TOTAL UNITS BUY]]-INVESTORS_LIST[[#This Row],[LS_TOTAL UNITS SOLD]])</f>
        <v>0</v>
      </c>
      <c r="H165" s="4">
        <f>IF(INVESTORS_LIST[[#This Row],[LS_TOTAL UNITS BUY]]=0,0,SUMIFS(LS[Amount],LS[Investor ID],INVESTORS_LIST[[#This Row],[INVESTOR CODE]],LS[B/S],"B"))</f>
        <v>0</v>
      </c>
      <c r="I165" s="6">
        <f>IF(INVESTORS_LIST[[#This Row],[LS_TOTAL UNITS SOLD]]=0,0,SUMIFS(LS[Cost of Units Sold],LS[Investor ID],INVESTORS_LIST[[#This Row],[INVESTOR CODE]],LS[B/S],"S"))</f>
        <v>0</v>
      </c>
      <c r="J165" s="6">
        <f>IF(INVESTORS_LIST[[#This Row],[LS_TOTAL CURRENT UNITS]]=0,0,INVESTORS_LIST[[#This Row],[LS_TOTAL CURRENT UNITS]]*INVESTORS_LIST[[#This Row],[LS_AVERAGE COST]])</f>
        <v>0</v>
      </c>
      <c r="K165" s="4">
        <f>IF(INVESTORS_LIST[[#This Row],[LS_TOTAL UNITS SOLD]]=0,0,SUMIFS(LS[Realized Gain],LS[Investor ID],INVESTORS_LIST[[#This Row],[INVESTOR CODE]],LS[B/S],"S"))</f>
        <v>0</v>
      </c>
      <c r="L165" s="2">
        <f>SUMIFS(SIP[Unit],SIP[Investor ID],INVESTORS_LIST[[#This Row],[INVESTOR CODE]],SIP[B/S],"B")</f>
        <v>0</v>
      </c>
      <c r="M165" s="2">
        <f>-SUMIFS(SIP[Unit],SIP[Investor ID],INVESTORS_LIST[[#This Row],[INVESTOR CODE]],SIP[B/S],"S")</f>
        <v>0</v>
      </c>
      <c r="N165" s="33">
        <f>IF(INVESTORS_LIST[[#This Row],[SIP_TOTAL UNITS BUY]]=0,0,INVESTORS_LIST[[#This Row],[SIP_TOTAL UNITS BUY]]-INVESTORS_LIST[[#This Row],[SIP_TOTAL UNITS SOLD]])</f>
        <v>0</v>
      </c>
      <c r="O165" s="4">
        <f>IF(INVESTORS_LIST[[#This Row],[SIP_TOTAL UNITS BUY]]=0,0,SUMIFS(SIP[Amount],SIP[Investor ID],INVESTORS_LIST[[#This Row],[INVESTOR CODE]],SIP[B/S],"B"))</f>
        <v>0</v>
      </c>
      <c r="P165" s="4">
        <f>IF(INVESTORS_LIST[[#This Row],[SIP_TOTAL UNITS SOLD]]=0,0,SUMIFS(SIP[Cost of Units Sold],SIP[Investor ID],INVESTORS_LIST[[#This Row],[INVESTOR CODE]],SIP[B/S],"S"))</f>
        <v>0</v>
      </c>
      <c r="Q165" s="6">
        <f>IF(INVESTORS_LIST[[#This Row],[SIP_TOTAL CURRENT UNITS]]=0,0,INVESTORS_LIST[[#This Row],[SIP_TOTAL CURRENT UNITS]]*INVESTORS_LIST[[#This Row],[SIP_AVERAGE COST]])</f>
        <v>0</v>
      </c>
      <c r="R165" s="6">
        <f>IF(INVESTORS_LIST[[#This Row],[SIP_TOTAL UNITS SOLD]]=0,0,SUMIFS(SIP[Realized Gain],SIP[Investor ID],INVESTORS_LIST[[#This Row],[INVESTOR CODE]],SIP[B/S],"S"))</f>
        <v>0</v>
      </c>
      <c r="S165" s="33">
        <f>INVESTORS_LIST[[#This Row],[LS_TOTAL UNITS BUY]]+INVESTORS_LIST[[#This Row],[SIP_TOTAL UNITS BUY]]</f>
        <v>0</v>
      </c>
      <c r="T165" s="33">
        <f>INVESTORS_LIST[[#This Row],[LS_TOTAL UNITS SOLD]]+INVESTORS_LIST[[#This Row],[SIP_TOTAL UNITS SOLD]]</f>
        <v>0</v>
      </c>
      <c r="U165" s="33">
        <v>0</v>
      </c>
      <c r="V165" s="33">
        <f>SUMIFS(LS[BO UNIT TRANSFER],LS[Investor ID],INVESTORS_LIST[[#This Row],[INVESTOR CODE]],LS[B/S],"B")</f>
        <v>0</v>
      </c>
      <c r="W165" s="33">
        <f>SUMIFS(LS[BO UNIT TRANSFER],LS[Investor ID],INVESTORS_LIST[[#This Row],[INVESTOR CODE]],LS[B/S],"S")</f>
        <v>0</v>
      </c>
      <c r="X165" s="33">
        <f>SUMIFS(SIP[BO UNIT TRANSFER],SIP[Investor ID],INVESTORS_LIST[[#This Row],[INVESTOR CODE]],SIP[B/S],"S")</f>
        <v>0</v>
      </c>
      <c r="Y165" s="33">
        <f>SUMIFS(SIP[BO UNIT TRANSFER],SIP[Investor ID],INVESTORS_LIST[[#This Row],[INVESTOR CODE]],SIP[B/S],"B")</f>
        <v>0</v>
      </c>
      <c r="Z16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65" s="119">
        <f>INVESTORS_LIST[[#This Row],[TOTAL UNITS BUY]]-INVESTORS_LIST[[#This Row],[TOTAL UNITS SOLD]]</f>
        <v>0</v>
      </c>
      <c r="AB165" s="119">
        <f>INVESTORS_LIST[[#This Row],[TOTAL CURRENT UNITS]]-INVESTORS_LIST[[#This Row],[BO UNITS HOLD]]</f>
        <v>0</v>
      </c>
      <c r="AC165" s="119" t="e">
        <f>INDEX([4]!Table_1[BO ID],MATCH(INVESTORS_LIST[[#This Row],[INVESTOR CODE]],[4]!Table_1[INVESTOR CODE],0))</f>
        <v>#REF!</v>
      </c>
      <c r="AD165" s="33">
        <f>INVESTORS_LIST[[#This Row],[LS_TOTAL COST VALUE OF CURRENT UNITS]]+INVESTORS_LIST[[#This Row],[SIP_TOTAL COST VALUE OF CURRENT UNITS]]</f>
        <v>0</v>
      </c>
      <c r="AE165" s="44">
        <f>IF(INVESTORS_LIST[[#This Row],[TOTAL CURRENT UNITS]]=0,0,INVESTORS_LIST[[#This Row],[LS_TOTAL CURRENT UNITS]]/INVESTORS_LIST[[#This Row],[TOTAL CURRENT UNITS]])</f>
        <v>0</v>
      </c>
      <c r="AF165" s="44">
        <f>IF(INVESTORS_LIST[[#This Row],[TOTAL CURRENT UNITS]]=0,0,INVESTORS_LIST[[#This Row],[SIP_TOTAL CURRENT UNITS]]/INVESTORS_LIST[[#This Row],[TOTAL CURRENT UNITS]])</f>
        <v>0</v>
      </c>
      <c r="AG165" s="4" cm="1">
        <f t="array" ref="AG16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65" s="4" cm="1">
        <f t="array" ref="AH1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6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65" s="178">
        <f t="shared" si="2"/>
        <v>12.552</v>
      </c>
      <c r="AK165" s="118">
        <f>IF(INVESTORS_LIST[[#This Row],[TOTAL CURRENT UNITS]]=0,0,INVESTORS_LIST[[#This Row],[TOTAL CURRENT UNITS]]*INVESTORS_LIST[[#This Row],[NAV]])</f>
        <v>0</v>
      </c>
      <c r="AL165" s="4">
        <f>IF(INVESTORS_LIST[[#This Row],[LS_TOTAL CURRENT UNITS]]=0,0,INVESTORS_LIST[[#This Row],[LS_TOTAL CURRENT UNITS]]*INVESTORS_LIST[[#This Row],[NAV]])</f>
        <v>0</v>
      </c>
      <c r="AM165" s="6">
        <f>IF(INVESTORS_LIST[[#This Row],[SIP_TOTAL CURRENT UNITS]]=0,0,INVESTORS_LIST[[#This Row],[SIP_TOTAL CURRENT UNITS]]*INVESTORS_LIST[[#This Row],[NAV]])</f>
        <v>0</v>
      </c>
      <c r="AO165" s="6">
        <f>IF(INVESTORS_LIST[[#This Row],[TOTAL SELLABLE UNITS]]=0,0,INVESTORS_LIST[[#This Row],[TOTAL SELLABLE UNITS]]*INVESTORS_LIST[[#This Row],[NAV]])</f>
        <v>0</v>
      </c>
      <c r="AP165" s="6">
        <f>INVESTORS_LIST[[#This Row],[LS_TOTAL REALIZED GAIN]]+INVESTORS_LIST[[#This Row],[SIP_TOTAL REALIZED GAIN]]</f>
        <v>0</v>
      </c>
      <c r="AQ165" s="6">
        <f>INVESTORS_LIST[[#This Row],[TOTAL MARKET VALUE]]-INVESTORS_LIST[[#This Row],[TOTAL COST VALUE OF CURRENT INVESTMENT]]</f>
        <v>0</v>
      </c>
      <c r="AR165" s="6">
        <f>SUMIFS(DivAndTax[Tax Amount],DivAndTax[Investor ID],INVESTORS_LIST[[#This Row],[INVESTOR CODE]])</f>
        <v>0</v>
      </c>
      <c r="AS165" s="6">
        <f>SUMIFS(DivAndTax[Gross Dividend],DivAndTax[Investor ID],INVESTORS_LIST[[#This Row],[INVESTOR CODE]])</f>
        <v>0</v>
      </c>
      <c r="AT165" s="5">
        <f>IFERROR(INVESTORS_LIST[[#This Row],[TOTAL CURRENT UNITS]]/SUM(INVESTORS_LIST[TOTAL CURRENT UNITS]),0)</f>
        <v>0</v>
      </c>
    </row>
    <row r="166" spans="1:46" hidden="1">
      <c r="A166" t="s">
        <v>827</v>
      </c>
      <c r="B166" t="s">
        <v>199</v>
      </c>
      <c r="C166" t="s">
        <v>536</v>
      </c>
      <c r="D166" s="8" t="s">
        <v>2</v>
      </c>
      <c r="E166" s="2">
        <f>SUMIFS(LS[Unit],LS[Investor ID],INVESTORS_LIST[[#This Row],[INVESTOR CODE]],LS[B/S],"B")</f>
        <v>0</v>
      </c>
      <c r="F166" s="2">
        <f>-SUMIFS(LS[Unit],LS[Investor ID],INVESTORS_LIST[[#This Row],[INVESTOR CODE]],LS[B/S],"S")</f>
        <v>0</v>
      </c>
      <c r="G166" s="2">
        <f>IF(INVESTORS_LIST[[#This Row],[LS_TOTAL UNITS BUY]]=0,0,INVESTORS_LIST[[#This Row],[LS_TOTAL UNITS BUY]]-INVESTORS_LIST[[#This Row],[LS_TOTAL UNITS SOLD]])</f>
        <v>0</v>
      </c>
      <c r="H166" s="4">
        <f>IF(INVESTORS_LIST[[#This Row],[LS_TOTAL UNITS BUY]]=0,0,SUMIFS(LS[Amount],LS[Investor ID],INVESTORS_LIST[[#This Row],[INVESTOR CODE]],LS[B/S],"B"))</f>
        <v>0</v>
      </c>
      <c r="I166" s="6">
        <f>IF(INVESTORS_LIST[[#This Row],[LS_TOTAL UNITS SOLD]]=0,0,SUMIFS(LS[Cost of Units Sold],LS[Investor ID],INVESTORS_LIST[[#This Row],[INVESTOR CODE]],LS[B/S],"S"))</f>
        <v>0</v>
      </c>
      <c r="J166" s="6">
        <f>IF(INVESTORS_LIST[[#This Row],[LS_TOTAL CURRENT UNITS]]=0,0,INVESTORS_LIST[[#This Row],[LS_TOTAL CURRENT UNITS]]*INVESTORS_LIST[[#This Row],[LS_AVERAGE COST]])</f>
        <v>0</v>
      </c>
      <c r="K166" s="4">
        <f>IF(INVESTORS_LIST[[#This Row],[LS_TOTAL UNITS SOLD]]=0,0,SUMIFS(LS[Realized Gain],LS[Investor ID],INVESTORS_LIST[[#This Row],[INVESTOR CODE]],LS[B/S],"S"))</f>
        <v>0</v>
      </c>
      <c r="L166" s="2">
        <f>SUMIFS(SIP[Unit],SIP[Investor ID],INVESTORS_LIST[[#This Row],[INVESTOR CODE]],SIP[B/S],"B")</f>
        <v>0</v>
      </c>
      <c r="M166" s="2">
        <f>-SUMIFS(SIP[Unit],SIP[Investor ID],INVESTORS_LIST[[#This Row],[INVESTOR CODE]],SIP[B/S],"S")</f>
        <v>0</v>
      </c>
      <c r="N166" s="33">
        <f>IF(INVESTORS_LIST[[#This Row],[SIP_TOTAL UNITS BUY]]=0,0,INVESTORS_LIST[[#This Row],[SIP_TOTAL UNITS BUY]]-INVESTORS_LIST[[#This Row],[SIP_TOTAL UNITS SOLD]])</f>
        <v>0</v>
      </c>
      <c r="O166" s="4">
        <f>IF(INVESTORS_LIST[[#This Row],[SIP_TOTAL UNITS BUY]]=0,0,SUMIFS(SIP[Amount],SIP[Investor ID],INVESTORS_LIST[[#This Row],[INVESTOR CODE]],SIP[B/S],"B"))</f>
        <v>0</v>
      </c>
      <c r="P166" s="4">
        <f>IF(INVESTORS_LIST[[#This Row],[SIP_TOTAL UNITS SOLD]]=0,0,SUMIFS(SIP[Cost of Units Sold],SIP[Investor ID],INVESTORS_LIST[[#This Row],[INVESTOR CODE]],SIP[B/S],"S"))</f>
        <v>0</v>
      </c>
      <c r="Q166" s="6">
        <f>IF(INVESTORS_LIST[[#This Row],[SIP_TOTAL CURRENT UNITS]]=0,0,INVESTORS_LIST[[#This Row],[SIP_TOTAL CURRENT UNITS]]*INVESTORS_LIST[[#This Row],[SIP_AVERAGE COST]])</f>
        <v>0</v>
      </c>
      <c r="R166" s="6">
        <f>IF(INVESTORS_LIST[[#This Row],[SIP_TOTAL UNITS SOLD]]=0,0,SUMIFS(SIP[Realized Gain],SIP[Investor ID],INVESTORS_LIST[[#This Row],[INVESTOR CODE]],SIP[B/S],"S"))</f>
        <v>0</v>
      </c>
      <c r="S166" s="33">
        <f>INVESTORS_LIST[[#This Row],[LS_TOTAL UNITS BUY]]+INVESTORS_LIST[[#This Row],[SIP_TOTAL UNITS BUY]]</f>
        <v>0</v>
      </c>
      <c r="T166" s="33">
        <f>INVESTORS_LIST[[#This Row],[LS_TOTAL UNITS SOLD]]+INVESTORS_LIST[[#This Row],[SIP_TOTAL UNITS SOLD]]</f>
        <v>0</v>
      </c>
      <c r="U166" s="33">
        <v>0</v>
      </c>
      <c r="V166" s="33">
        <f>SUMIFS(LS[BO UNIT TRANSFER],LS[Investor ID],INVESTORS_LIST[[#This Row],[INVESTOR CODE]],LS[B/S],"B")</f>
        <v>0</v>
      </c>
      <c r="W166" s="33">
        <f>SUMIFS(LS[BO UNIT TRANSFER],LS[Investor ID],INVESTORS_LIST[[#This Row],[INVESTOR CODE]],LS[B/S],"S")</f>
        <v>0</v>
      </c>
      <c r="X166" s="33">
        <f>SUMIFS(SIP[BO UNIT TRANSFER],SIP[Investor ID],INVESTORS_LIST[[#This Row],[INVESTOR CODE]],SIP[B/S],"S")</f>
        <v>0</v>
      </c>
      <c r="Y166" s="33">
        <f>SUMIFS(SIP[BO UNIT TRANSFER],SIP[Investor ID],INVESTORS_LIST[[#This Row],[INVESTOR CODE]],SIP[B/S],"B")</f>
        <v>0</v>
      </c>
      <c r="Z16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66" s="119">
        <f>INVESTORS_LIST[[#This Row],[TOTAL UNITS BUY]]-INVESTORS_LIST[[#This Row],[TOTAL UNITS SOLD]]</f>
        <v>0</v>
      </c>
      <c r="AB166" s="119">
        <f>INVESTORS_LIST[[#This Row],[TOTAL CURRENT UNITS]]-INVESTORS_LIST[[#This Row],[BO UNITS HOLD]]</f>
        <v>0</v>
      </c>
      <c r="AC166" s="119" t="e">
        <f>INDEX([4]!Table_1[BO ID],MATCH(INVESTORS_LIST[[#This Row],[INVESTOR CODE]],[4]!Table_1[INVESTOR CODE],0))</f>
        <v>#REF!</v>
      </c>
      <c r="AD166" s="33">
        <f>INVESTORS_LIST[[#This Row],[LS_TOTAL COST VALUE OF CURRENT UNITS]]+INVESTORS_LIST[[#This Row],[SIP_TOTAL COST VALUE OF CURRENT UNITS]]</f>
        <v>0</v>
      </c>
      <c r="AE166" s="44">
        <f>IF(INVESTORS_LIST[[#This Row],[TOTAL CURRENT UNITS]]=0,0,INVESTORS_LIST[[#This Row],[LS_TOTAL CURRENT UNITS]]/INVESTORS_LIST[[#This Row],[TOTAL CURRENT UNITS]])</f>
        <v>0</v>
      </c>
      <c r="AF166" s="44">
        <f>IF(INVESTORS_LIST[[#This Row],[TOTAL CURRENT UNITS]]=0,0,INVESTORS_LIST[[#This Row],[SIP_TOTAL CURRENT UNITS]]/INVESTORS_LIST[[#This Row],[TOTAL CURRENT UNITS]])</f>
        <v>0</v>
      </c>
      <c r="AG166" s="4" cm="1">
        <f t="array" ref="AG16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66" s="4" cm="1">
        <f t="array" ref="AH1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6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66" s="178">
        <f t="shared" si="2"/>
        <v>12.552</v>
      </c>
      <c r="AK166" s="118">
        <f>IF(INVESTORS_LIST[[#This Row],[TOTAL CURRENT UNITS]]=0,0,INVESTORS_LIST[[#This Row],[TOTAL CURRENT UNITS]]*INVESTORS_LIST[[#This Row],[NAV]])</f>
        <v>0</v>
      </c>
      <c r="AL166" s="4">
        <f>IF(INVESTORS_LIST[[#This Row],[LS_TOTAL CURRENT UNITS]]=0,0,INVESTORS_LIST[[#This Row],[LS_TOTAL CURRENT UNITS]]*INVESTORS_LIST[[#This Row],[NAV]])</f>
        <v>0</v>
      </c>
      <c r="AM166" s="6">
        <f>IF(INVESTORS_LIST[[#This Row],[SIP_TOTAL CURRENT UNITS]]=0,0,INVESTORS_LIST[[#This Row],[SIP_TOTAL CURRENT UNITS]]*INVESTORS_LIST[[#This Row],[NAV]])</f>
        <v>0</v>
      </c>
      <c r="AO166" s="6">
        <f>IF(INVESTORS_LIST[[#This Row],[TOTAL SELLABLE UNITS]]=0,0,INVESTORS_LIST[[#This Row],[TOTAL SELLABLE UNITS]]*INVESTORS_LIST[[#This Row],[NAV]])</f>
        <v>0</v>
      </c>
      <c r="AP166" s="6">
        <f>INVESTORS_LIST[[#This Row],[LS_TOTAL REALIZED GAIN]]+INVESTORS_LIST[[#This Row],[SIP_TOTAL REALIZED GAIN]]</f>
        <v>0</v>
      </c>
      <c r="AQ166" s="6">
        <f>INVESTORS_LIST[[#This Row],[TOTAL MARKET VALUE]]-INVESTORS_LIST[[#This Row],[TOTAL COST VALUE OF CURRENT INVESTMENT]]</f>
        <v>0</v>
      </c>
      <c r="AR166" s="6">
        <f>SUMIFS(DivAndTax[Tax Amount],DivAndTax[Investor ID],INVESTORS_LIST[[#This Row],[INVESTOR CODE]])</f>
        <v>0</v>
      </c>
      <c r="AS166" s="6">
        <f>SUMIFS(DivAndTax[Gross Dividend],DivAndTax[Investor ID],INVESTORS_LIST[[#This Row],[INVESTOR CODE]])</f>
        <v>0</v>
      </c>
      <c r="AT166" s="5">
        <f>IFERROR(INVESTORS_LIST[[#This Row],[TOTAL CURRENT UNITS]]/SUM(INVESTORS_LIST[TOTAL CURRENT UNITS]),0)</f>
        <v>0</v>
      </c>
    </row>
    <row r="167" spans="1:46" hidden="1">
      <c r="A167" t="s">
        <v>828</v>
      </c>
      <c r="B167" t="s">
        <v>200</v>
      </c>
      <c r="C167" t="s">
        <v>536</v>
      </c>
      <c r="D167" s="8" t="s">
        <v>2</v>
      </c>
      <c r="E167" s="2">
        <f>SUMIFS(LS[Unit],LS[Investor ID],INVESTORS_LIST[[#This Row],[INVESTOR CODE]],LS[B/S],"B")</f>
        <v>0</v>
      </c>
      <c r="F167" s="2">
        <f>-SUMIFS(LS[Unit],LS[Investor ID],INVESTORS_LIST[[#This Row],[INVESTOR CODE]],LS[B/S],"S")</f>
        <v>0</v>
      </c>
      <c r="G167" s="2">
        <f>IF(INVESTORS_LIST[[#This Row],[LS_TOTAL UNITS BUY]]=0,0,INVESTORS_LIST[[#This Row],[LS_TOTAL UNITS BUY]]-INVESTORS_LIST[[#This Row],[LS_TOTAL UNITS SOLD]])</f>
        <v>0</v>
      </c>
      <c r="H167" s="4">
        <f>IF(INVESTORS_LIST[[#This Row],[LS_TOTAL UNITS BUY]]=0,0,SUMIFS(LS[Amount],LS[Investor ID],INVESTORS_LIST[[#This Row],[INVESTOR CODE]],LS[B/S],"B"))</f>
        <v>0</v>
      </c>
      <c r="I167" s="6">
        <f>IF(INVESTORS_LIST[[#This Row],[LS_TOTAL UNITS SOLD]]=0,0,SUMIFS(LS[Cost of Units Sold],LS[Investor ID],INVESTORS_LIST[[#This Row],[INVESTOR CODE]],LS[B/S],"S"))</f>
        <v>0</v>
      </c>
      <c r="J167" s="6">
        <f>IF(INVESTORS_LIST[[#This Row],[LS_TOTAL CURRENT UNITS]]=0,0,INVESTORS_LIST[[#This Row],[LS_TOTAL CURRENT UNITS]]*INVESTORS_LIST[[#This Row],[LS_AVERAGE COST]])</f>
        <v>0</v>
      </c>
      <c r="K167" s="4">
        <f>IF(INVESTORS_LIST[[#This Row],[LS_TOTAL UNITS SOLD]]=0,0,SUMIFS(LS[Realized Gain],LS[Investor ID],INVESTORS_LIST[[#This Row],[INVESTOR CODE]],LS[B/S],"S"))</f>
        <v>0</v>
      </c>
      <c r="L167" s="2">
        <f>SUMIFS(SIP[Unit],SIP[Investor ID],INVESTORS_LIST[[#This Row],[INVESTOR CODE]],SIP[B/S],"B")</f>
        <v>0</v>
      </c>
      <c r="M167" s="2">
        <f>-SUMIFS(SIP[Unit],SIP[Investor ID],INVESTORS_LIST[[#This Row],[INVESTOR CODE]],SIP[B/S],"S")</f>
        <v>0</v>
      </c>
      <c r="N167" s="33">
        <f>IF(INVESTORS_LIST[[#This Row],[SIP_TOTAL UNITS BUY]]=0,0,INVESTORS_LIST[[#This Row],[SIP_TOTAL UNITS BUY]]-INVESTORS_LIST[[#This Row],[SIP_TOTAL UNITS SOLD]])</f>
        <v>0</v>
      </c>
      <c r="O167" s="4">
        <f>IF(INVESTORS_LIST[[#This Row],[SIP_TOTAL UNITS BUY]]=0,0,SUMIFS(SIP[Amount],SIP[Investor ID],INVESTORS_LIST[[#This Row],[INVESTOR CODE]],SIP[B/S],"B"))</f>
        <v>0</v>
      </c>
      <c r="P167" s="4">
        <f>IF(INVESTORS_LIST[[#This Row],[SIP_TOTAL UNITS SOLD]]=0,0,SUMIFS(SIP[Cost of Units Sold],SIP[Investor ID],INVESTORS_LIST[[#This Row],[INVESTOR CODE]],SIP[B/S],"S"))</f>
        <v>0</v>
      </c>
      <c r="Q167" s="6">
        <f>IF(INVESTORS_LIST[[#This Row],[SIP_TOTAL CURRENT UNITS]]=0,0,INVESTORS_LIST[[#This Row],[SIP_TOTAL CURRENT UNITS]]*INVESTORS_LIST[[#This Row],[SIP_AVERAGE COST]])</f>
        <v>0</v>
      </c>
      <c r="R167" s="6">
        <f>IF(INVESTORS_LIST[[#This Row],[SIP_TOTAL UNITS SOLD]]=0,0,SUMIFS(SIP[Realized Gain],SIP[Investor ID],INVESTORS_LIST[[#This Row],[INVESTOR CODE]],SIP[B/S],"S"))</f>
        <v>0</v>
      </c>
      <c r="S167" s="33">
        <f>INVESTORS_LIST[[#This Row],[LS_TOTAL UNITS BUY]]+INVESTORS_LIST[[#This Row],[SIP_TOTAL UNITS BUY]]</f>
        <v>0</v>
      </c>
      <c r="T167" s="33">
        <f>INVESTORS_LIST[[#This Row],[LS_TOTAL UNITS SOLD]]+INVESTORS_LIST[[#This Row],[SIP_TOTAL UNITS SOLD]]</f>
        <v>0</v>
      </c>
      <c r="U167" s="33">
        <v>0</v>
      </c>
      <c r="V167" s="33">
        <f>SUMIFS(LS[BO UNIT TRANSFER],LS[Investor ID],INVESTORS_LIST[[#This Row],[INVESTOR CODE]],LS[B/S],"B")</f>
        <v>0</v>
      </c>
      <c r="W167" s="33">
        <f>SUMIFS(LS[BO UNIT TRANSFER],LS[Investor ID],INVESTORS_LIST[[#This Row],[INVESTOR CODE]],LS[B/S],"S")</f>
        <v>0</v>
      </c>
      <c r="X167" s="33">
        <f>SUMIFS(SIP[BO UNIT TRANSFER],SIP[Investor ID],INVESTORS_LIST[[#This Row],[INVESTOR CODE]],SIP[B/S],"S")</f>
        <v>0</v>
      </c>
      <c r="Y167" s="33">
        <f>SUMIFS(SIP[BO UNIT TRANSFER],SIP[Investor ID],INVESTORS_LIST[[#This Row],[INVESTOR CODE]],SIP[B/S],"B")</f>
        <v>0</v>
      </c>
      <c r="Z16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67" s="119">
        <f>INVESTORS_LIST[[#This Row],[TOTAL UNITS BUY]]-INVESTORS_LIST[[#This Row],[TOTAL UNITS SOLD]]</f>
        <v>0</v>
      </c>
      <c r="AB167" s="119">
        <f>INVESTORS_LIST[[#This Row],[TOTAL CURRENT UNITS]]-INVESTORS_LIST[[#This Row],[BO UNITS HOLD]]</f>
        <v>0</v>
      </c>
      <c r="AC167" s="119" t="e">
        <f>INDEX([4]!Table_1[BO ID],MATCH(INVESTORS_LIST[[#This Row],[INVESTOR CODE]],[4]!Table_1[INVESTOR CODE],0))</f>
        <v>#REF!</v>
      </c>
      <c r="AD167" s="33">
        <f>INVESTORS_LIST[[#This Row],[LS_TOTAL COST VALUE OF CURRENT UNITS]]+INVESTORS_LIST[[#This Row],[SIP_TOTAL COST VALUE OF CURRENT UNITS]]</f>
        <v>0</v>
      </c>
      <c r="AE167" s="44">
        <f>IF(INVESTORS_LIST[[#This Row],[TOTAL CURRENT UNITS]]=0,0,INVESTORS_LIST[[#This Row],[LS_TOTAL CURRENT UNITS]]/INVESTORS_LIST[[#This Row],[TOTAL CURRENT UNITS]])</f>
        <v>0</v>
      </c>
      <c r="AF167" s="44">
        <f>IF(INVESTORS_LIST[[#This Row],[TOTAL CURRENT UNITS]]=0,0,INVESTORS_LIST[[#This Row],[SIP_TOTAL CURRENT UNITS]]/INVESTORS_LIST[[#This Row],[TOTAL CURRENT UNITS]])</f>
        <v>0</v>
      </c>
      <c r="AG167" s="4" cm="1">
        <f t="array" ref="AG1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67" s="4" cm="1">
        <f t="array" ref="AH1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6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67" s="178">
        <f t="shared" si="2"/>
        <v>12.552</v>
      </c>
      <c r="AK167" s="118">
        <f>IF(INVESTORS_LIST[[#This Row],[TOTAL CURRENT UNITS]]=0,0,INVESTORS_LIST[[#This Row],[TOTAL CURRENT UNITS]]*INVESTORS_LIST[[#This Row],[NAV]])</f>
        <v>0</v>
      </c>
      <c r="AL167" s="4">
        <f>IF(INVESTORS_LIST[[#This Row],[LS_TOTAL CURRENT UNITS]]=0,0,INVESTORS_LIST[[#This Row],[LS_TOTAL CURRENT UNITS]]*INVESTORS_LIST[[#This Row],[NAV]])</f>
        <v>0</v>
      </c>
      <c r="AM167" s="6">
        <f>IF(INVESTORS_LIST[[#This Row],[SIP_TOTAL CURRENT UNITS]]=0,0,INVESTORS_LIST[[#This Row],[SIP_TOTAL CURRENT UNITS]]*INVESTORS_LIST[[#This Row],[NAV]])</f>
        <v>0</v>
      </c>
      <c r="AO167" s="6">
        <f>IF(INVESTORS_LIST[[#This Row],[TOTAL SELLABLE UNITS]]=0,0,INVESTORS_LIST[[#This Row],[TOTAL SELLABLE UNITS]]*INVESTORS_LIST[[#This Row],[NAV]])</f>
        <v>0</v>
      </c>
      <c r="AP167" s="6">
        <f>INVESTORS_LIST[[#This Row],[LS_TOTAL REALIZED GAIN]]+INVESTORS_LIST[[#This Row],[SIP_TOTAL REALIZED GAIN]]</f>
        <v>0</v>
      </c>
      <c r="AQ167" s="6">
        <f>INVESTORS_LIST[[#This Row],[TOTAL MARKET VALUE]]-INVESTORS_LIST[[#This Row],[TOTAL COST VALUE OF CURRENT INVESTMENT]]</f>
        <v>0</v>
      </c>
      <c r="AR167" s="6">
        <f>SUMIFS(DivAndTax[Tax Amount],DivAndTax[Investor ID],INVESTORS_LIST[[#This Row],[INVESTOR CODE]])</f>
        <v>0</v>
      </c>
      <c r="AS167" s="6">
        <f>SUMIFS(DivAndTax[Gross Dividend],DivAndTax[Investor ID],INVESTORS_LIST[[#This Row],[INVESTOR CODE]])</f>
        <v>0</v>
      </c>
      <c r="AT167" s="5">
        <f>IFERROR(INVESTORS_LIST[[#This Row],[TOTAL CURRENT UNITS]]/SUM(INVESTORS_LIST[TOTAL CURRENT UNITS]),0)</f>
        <v>0</v>
      </c>
    </row>
    <row r="168" spans="1:46" hidden="1">
      <c r="A168" t="s">
        <v>829</v>
      </c>
      <c r="B168" t="s">
        <v>201</v>
      </c>
      <c r="C168" t="s">
        <v>540</v>
      </c>
      <c r="D168" s="8" t="s">
        <v>2</v>
      </c>
      <c r="E168" s="2">
        <f>SUMIFS(LS[Unit],LS[Investor ID],INVESTORS_LIST[[#This Row],[INVESTOR CODE]],LS[B/S],"B")</f>
        <v>0</v>
      </c>
      <c r="F168" s="2">
        <f>-SUMIFS(LS[Unit],LS[Investor ID],INVESTORS_LIST[[#This Row],[INVESTOR CODE]],LS[B/S],"S")</f>
        <v>0</v>
      </c>
      <c r="G168" s="2">
        <f>IF(INVESTORS_LIST[[#This Row],[LS_TOTAL UNITS BUY]]=0,0,INVESTORS_LIST[[#This Row],[LS_TOTAL UNITS BUY]]-INVESTORS_LIST[[#This Row],[LS_TOTAL UNITS SOLD]])</f>
        <v>0</v>
      </c>
      <c r="H168" s="4">
        <f>IF(INVESTORS_LIST[[#This Row],[LS_TOTAL UNITS BUY]]=0,0,SUMIFS(LS[Amount],LS[Investor ID],INVESTORS_LIST[[#This Row],[INVESTOR CODE]],LS[B/S],"B"))</f>
        <v>0</v>
      </c>
      <c r="I168" s="6">
        <f>IF(INVESTORS_LIST[[#This Row],[LS_TOTAL UNITS SOLD]]=0,0,SUMIFS(LS[Cost of Units Sold],LS[Investor ID],INVESTORS_LIST[[#This Row],[INVESTOR CODE]],LS[B/S],"S"))</f>
        <v>0</v>
      </c>
      <c r="J168" s="6">
        <f>IF(INVESTORS_LIST[[#This Row],[LS_TOTAL CURRENT UNITS]]=0,0,INVESTORS_LIST[[#This Row],[LS_TOTAL CURRENT UNITS]]*INVESTORS_LIST[[#This Row],[LS_AVERAGE COST]])</f>
        <v>0</v>
      </c>
      <c r="K168" s="4">
        <f>IF(INVESTORS_LIST[[#This Row],[LS_TOTAL UNITS SOLD]]=0,0,SUMIFS(LS[Realized Gain],LS[Investor ID],INVESTORS_LIST[[#This Row],[INVESTOR CODE]],LS[B/S],"S"))</f>
        <v>0</v>
      </c>
      <c r="L168" s="2">
        <f>SUMIFS(SIP[Unit],SIP[Investor ID],INVESTORS_LIST[[#This Row],[INVESTOR CODE]],SIP[B/S],"B")</f>
        <v>0</v>
      </c>
      <c r="M168" s="2">
        <f>-SUMIFS(SIP[Unit],SIP[Investor ID],INVESTORS_LIST[[#This Row],[INVESTOR CODE]],SIP[B/S],"S")</f>
        <v>0</v>
      </c>
      <c r="N168" s="33">
        <f>IF(INVESTORS_LIST[[#This Row],[SIP_TOTAL UNITS BUY]]=0,0,INVESTORS_LIST[[#This Row],[SIP_TOTAL UNITS BUY]]-INVESTORS_LIST[[#This Row],[SIP_TOTAL UNITS SOLD]])</f>
        <v>0</v>
      </c>
      <c r="O168" s="4">
        <f>IF(INVESTORS_LIST[[#This Row],[SIP_TOTAL UNITS BUY]]=0,0,SUMIFS(SIP[Amount],SIP[Investor ID],INVESTORS_LIST[[#This Row],[INVESTOR CODE]],SIP[B/S],"B"))</f>
        <v>0</v>
      </c>
      <c r="P168" s="4">
        <f>IF(INVESTORS_LIST[[#This Row],[SIP_TOTAL UNITS SOLD]]=0,0,SUMIFS(SIP[Cost of Units Sold],SIP[Investor ID],INVESTORS_LIST[[#This Row],[INVESTOR CODE]],SIP[B/S],"S"))</f>
        <v>0</v>
      </c>
      <c r="Q168" s="6">
        <f>IF(INVESTORS_LIST[[#This Row],[SIP_TOTAL CURRENT UNITS]]=0,0,INVESTORS_LIST[[#This Row],[SIP_TOTAL CURRENT UNITS]]*INVESTORS_LIST[[#This Row],[SIP_AVERAGE COST]])</f>
        <v>0</v>
      </c>
      <c r="R168" s="6">
        <f>IF(INVESTORS_LIST[[#This Row],[SIP_TOTAL UNITS SOLD]]=0,0,SUMIFS(SIP[Realized Gain],SIP[Investor ID],INVESTORS_LIST[[#This Row],[INVESTOR CODE]],SIP[B/S],"S"))</f>
        <v>0</v>
      </c>
      <c r="S168" s="33">
        <f>INVESTORS_LIST[[#This Row],[LS_TOTAL UNITS BUY]]+INVESTORS_LIST[[#This Row],[SIP_TOTAL UNITS BUY]]</f>
        <v>0</v>
      </c>
      <c r="T168" s="33">
        <f>INVESTORS_LIST[[#This Row],[LS_TOTAL UNITS SOLD]]+INVESTORS_LIST[[#This Row],[SIP_TOTAL UNITS SOLD]]</f>
        <v>0</v>
      </c>
      <c r="U168" s="33">
        <v>0</v>
      </c>
      <c r="V168" s="33">
        <f>SUMIFS(LS[BO UNIT TRANSFER],LS[Investor ID],INVESTORS_LIST[[#This Row],[INVESTOR CODE]],LS[B/S],"B")</f>
        <v>0</v>
      </c>
      <c r="W168" s="33">
        <f>SUMIFS(LS[BO UNIT TRANSFER],LS[Investor ID],INVESTORS_LIST[[#This Row],[INVESTOR CODE]],LS[B/S],"S")</f>
        <v>0</v>
      </c>
      <c r="X168" s="33">
        <f>SUMIFS(SIP[BO UNIT TRANSFER],SIP[Investor ID],INVESTORS_LIST[[#This Row],[INVESTOR CODE]],SIP[B/S],"S")</f>
        <v>0</v>
      </c>
      <c r="Y168" s="33">
        <f>SUMIFS(SIP[BO UNIT TRANSFER],SIP[Investor ID],INVESTORS_LIST[[#This Row],[INVESTOR CODE]],SIP[B/S],"B")</f>
        <v>0</v>
      </c>
      <c r="Z16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68" s="119">
        <f>INVESTORS_LIST[[#This Row],[TOTAL UNITS BUY]]-INVESTORS_LIST[[#This Row],[TOTAL UNITS SOLD]]</f>
        <v>0</v>
      </c>
      <c r="AB168" s="119">
        <f>INVESTORS_LIST[[#This Row],[TOTAL CURRENT UNITS]]-INVESTORS_LIST[[#This Row],[BO UNITS HOLD]]</f>
        <v>0</v>
      </c>
      <c r="AC168" s="119" t="e">
        <f>INDEX([4]!Table_1[BO ID],MATCH(INVESTORS_LIST[[#This Row],[INVESTOR CODE]],[4]!Table_1[INVESTOR CODE],0))</f>
        <v>#REF!</v>
      </c>
      <c r="AD168" s="33">
        <f>INVESTORS_LIST[[#This Row],[LS_TOTAL COST VALUE OF CURRENT UNITS]]+INVESTORS_LIST[[#This Row],[SIP_TOTAL COST VALUE OF CURRENT UNITS]]</f>
        <v>0</v>
      </c>
      <c r="AE168" s="44">
        <f>IF(INVESTORS_LIST[[#This Row],[TOTAL CURRENT UNITS]]=0,0,INVESTORS_LIST[[#This Row],[LS_TOTAL CURRENT UNITS]]/INVESTORS_LIST[[#This Row],[TOTAL CURRENT UNITS]])</f>
        <v>0</v>
      </c>
      <c r="AF168" s="44">
        <f>IF(INVESTORS_LIST[[#This Row],[TOTAL CURRENT UNITS]]=0,0,INVESTORS_LIST[[#This Row],[SIP_TOTAL CURRENT UNITS]]/INVESTORS_LIST[[#This Row],[TOTAL CURRENT UNITS]])</f>
        <v>0</v>
      </c>
      <c r="AG168" s="4" cm="1">
        <f t="array" ref="AG16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68" s="4" cm="1">
        <f t="array" ref="AH1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6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68" s="178">
        <f t="shared" si="2"/>
        <v>12.552</v>
      </c>
      <c r="AK168" s="118">
        <f>IF(INVESTORS_LIST[[#This Row],[TOTAL CURRENT UNITS]]=0,0,INVESTORS_LIST[[#This Row],[TOTAL CURRENT UNITS]]*INVESTORS_LIST[[#This Row],[NAV]])</f>
        <v>0</v>
      </c>
      <c r="AL168" s="4">
        <f>IF(INVESTORS_LIST[[#This Row],[LS_TOTAL CURRENT UNITS]]=0,0,INVESTORS_LIST[[#This Row],[LS_TOTAL CURRENT UNITS]]*INVESTORS_LIST[[#This Row],[NAV]])</f>
        <v>0</v>
      </c>
      <c r="AM168" s="6">
        <f>IF(INVESTORS_LIST[[#This Row],[SIP_TOTAL CURRENT UNITS]]=0,0,INVESTORS_LIST[[#This Row],[SIP_TOTAL CURRENT UNITS]]*INVESTORS_LIST[[#This Row],[NAV]])</f>
        <v>0</v>
      </c>
      <c r="AO168" s="6">
        <f>IF(INVESTORS_LIST[[#This Row],[TOTAL SELLABLE UNITS]]=0,0,INVESTORS_LIST[[#This Row],[TOTAL SELLABLE UNITS]]*INVESTORS_LIST[[#This Row],[NAV]])</f>
        <v>0</v>
      </c>
      <c r="AP168" s="6">
        <f>INVESTORS_LIST[[#This Row],[LS_TOTAL REALIZED GAIN]]+INVESTORS_LIST[[#This Row],[SIP_TOTAL REALIZED GAIN]]</f>
        <v>0</v>
      </c>
      <c r="AQ168" s="6">
        <f>INVESTORS_LIST[[#This Row],[TOTAL MARKET VALUE]]-INVESTORS_LIST[[#This Row],[TOTAL COST VALUE OF CURRENT INVESTMENT]]</f>
        <v>0</v>
      </c>
      <c r="AR168" s="6">
        <f>SUMIFS(DivAndTax[Tax Amount],DivAndTax[Investor ID],INVESTORS_LIST[[#This Row],[INVESTOR CODE]])</f>
        <v>0</v>
      </c>
      <c r="AS168" s="6">
        <f>SUMIFS(DivAndTax[Gross Dividend],DivAndTax[Investor ID],INVESTORS_LIST[[#This Row],[INVESTOR CODE]])</f>
        <v>0</v>
      </c>
      <c r="AT168" s="5">
        <f>IFERROR(INVESTORS_LIST[[#This Row],[TOTAL CURRENT UNITS]]/SUM(INVESTORS_LIST[TOTAL CURRENT UNITS]),0)</f>
        <v>0</v>
      </c>
    </row>
    <row r="169" spans="1:46" hidden="1">
      <c r="A169" t="s">
        <v>830</v>
      </c>
      <c r="B169" t="s">
        <v>202</v>
      </c>
      <c r="C169" t="s">
        <v>536</v>
      </c>
      <c r="D169" s="8" t="s">
        <v>2</v>
      </c>
      <c r="E169" s="2">
        <f>SUMIFS(LS[Unit],LS[Investor ID],INVESTORS_LIST[[#This Row],[INVESTOR CODE]],LS[B/S],"B")</f>
        <v>0</v>
      </c>
      <c r="F169" s="2">
        <f>-SUMIFS(LS[Unit],LS[Investor ID],INVESTORS_LIST[[#This Row],[INVESTOR CODE]],LS[B/S],"S")</f>
        <v>0</v>
      </c>
      <c r="G169" s="2">
        <f>IF(INVESTORS_LIST[[#This Row],[LS_TOTAL UNITS BUY]]=0,0,INVESTORS_LIST[[#This Row],[LS_TOTAL UNITS BUY]]-INVESTORS_LIST[[#This Row],[LS_TOTAL UNITS SOLD]])</f>
        <v>0</v>
      </c>
      <c r="H169" s="4">
        <f>IF(INVESTORS_LIST[[#This Row],[LS_TOTAL UNITS BUY]]=0,0,SUMIFS(LS[Amount],LS[Investor ID],INVESTORS_LIST[[#This Row],[INVESTOR CODE]],LS[B/S],"B"))</f>
        <v>0</v>
      </c>
      <c r="I169" s="6">
        <f>IF(INVESTORS_LIST[[#This Row],[LS_TOTAL UNITS SOLD]]=0,0,SUMIFS(LS[Cost of Units Sold],LS[Investor ID],INVESTORS_LIST[[#This Row],[INVESTOR CODE]],LS[B/S],"S"))</f>
        <v>0</v>
      </c>
      <c r="J169" s="6">
        <f>IF(INVESTORS_LIST[[#This Row],[LS_TOTAL CURRENT UNITS]]=0,0,INVESTORS_LIST[[#This Row],[LS_TOTAL CURRENT UNITS]]*INVESTORS_LIST[[#This Row],[LS_AVERAGE COST]])</f>
        <v>0</v>
      </c>
      <c r="K169" s="4">
        <f>IF(INVESTORS_LIST[[#This Row],[LS_TOTAL UNITS SOLD]]=0,0,SUMIFS(LS[Realized Gain],LS[Investor ID],INVESTORS_LIST[[#This Row],[INVESTOR CODE]],LS[B/S],"S"))</f>
        <v>0</v>
      </c>
      <c r="L169" s="2">
        <f>SUMIFS(SIP[Unit],SIP[Investor ID],INVESTORS_LIST[[#This Row],[INVESTOR CODE]],SIP[B/S],"B")</f>
        <v>0</v>
      </c>
      <c r="M169" s="2">
        <f>-SUMIFS(SIP[Unit],SIP[Investor ID],INVESTORS_LIST[[#This Row],[INVESTOR CODE]],SIP[B/S],"S")</f>
        <v>0</v>
      </c>
      <c r="N169" s="33">
        <f>IF(INVESTORS_LIST[[#This Row],[SIP_TOTAL UNITS BUY]]=0,0,INVESTORS_LIST[[#This Row],[SIP_TOTAL UNITS BUY]]-INVESTORS_LIST[[#This Row],[SIP_TOTAL UNITS SOLD]])</f>
        <v>0</v>
      </c>
      <c r="O169" s="4">
        <f>IF(INVESTORS_LIST[[#This Row],[SIP_TOTAL UNITS BUY]]=0,0,SUMIFS(SIP[Amount],SIP[Investor ID],INVESTORS_LIST[[#This Row],[INVESTOR CODE]],SIP[B/S],"B"))</f>
        <v>0</v>
      </c>
      <c r="P169" s="4">
        <f>IF(INVESTORS_LIST[[#This Row],[SIP_TOTAL UNITS SOLD]]=0,0,SUMIFS(SIP[Cost of Units Sold],SIP[Investor ID],INVESTORS_LIST[[#This Row],[INVESTOR CODE]],SIP[B/S],"S"))</f>
        <v>0</v>
      </c>
      <c r="Q169" s="6">
        <f>IF(INVESTORS_LIST[[#This Row],[SIP_TOTAL CURRENT UNITS]]=0,0,INVESTORS_LIST[[#This Row],[SIP_TOTAL CURRENT UNITS]]*INVESTORS_LIST[[#This Row],[SIP_AVERAGE COST]])</f>
        <v>0</v>
      </c>
      <c r="R169" s="6">
        <f>IF(INVESTORS_LIST[[#This Row],[SIP_TOTAL UNITS SOLD]]=0,0,SUMIFS(SIP[Realized Gain],SIP[Investor ID],INVESTORS_LIST[[#This Row],[INVESTOR CODE]],SIP[B/S],"S"))</f>
        <v>0</v>
      </c>
      <c r="S169" s="33">
        <f>INVESTORS_LIST[[#This Row],[LS_TOTAL UNITS BUY]]+INVESTORS_LIST[[#This Row],[SIP_TOTAL UNITS BUY]]</f>
        <v>0</v>
      </c>
      <c r="T169" s="33">
        <f>INVESTORS_LIST[[#This Row],[LS_TOTAL UNITS SOLD]]+INVESTORS_LIST[[#This Row],[SIP_TOTAL UNITS SOLD]]</f>
        <v>0</v>
      </c>
      <c r="U169" s="33">
        <v>0</v>
      </c>
      <c r="V169" s="33">
        <f>SUMIFS(LS[BO UNIT TRANSFER],LS[Investor ID],INVESTORS_LIST[[#This Row],[INVESTOR CODE]],LS[B/S],"B")</f>
        <v>0</v>
      </c>
      <c r="W169" s="33">
        <f>SUMIFS(LS[BO UNIT TRANSFER],LS[Investor ID],INVESTORS_LIST[[#This Row],[INVESTOR CODE]],LS[B/S],"S")</f>
        <v>0</v>
      </c>
      <c r="X169" s="33">
        <f>SUMIFS(SIP[BO UNIT TRANSFER],SIP[Investor ID],INVESTORS_LIST[[#This Row],[INVESTOR CODE]],SIP[B/S],"S")</f>
        <v>0</v>
      </c>
      <c r="Y169" s="33">
        <f>SUMIFS(SIP[BO UNIT TRANSFER],SIP[Investor ID],INVESTORS_LIST[[#This Row],[INVESTOR CODE]],SIP[B/S],"B")</f>
        <v>0</v>
      </c>
      <c r="Z16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69" s="119">
        <f>INVESTORS_LIST[[#This Row],[TOTAL UNITS BUY]]-INVESTORS_LIST[[#This Row],[TOTAL UNITS SOLD]]</f>
        <v>0</v>
      </c>
      <c r="AB169" s="119">
        <f>INVESTORS_LIST[[#This Row],[TOTAL CURRENT UNITS]]-INVESTORS_LIST[[#This Row],[BO UNITS HOLD]]</f>
        <v>0</v>
      </c>
      <c r="AC169" s="119" t="e">
        <f>INDEX([4]!Table_1[BO ID],MATCH(INVESTORS_LIST[[#This Row],[INVESTOR CODE]],[4]!Table_1[INVESTOR CODE],0))</f>
        <v>#REF!</v>
      </c>
      <c r="AD169" s="33">
        <f>INVESTORS_LIST[[#This Row],[LS_TOTAL COST VALUE OF CURRENT UNITS]]+INVESTORS_LIST[[#This Row],[SIP_TOTAL COST VALUE OF CURRENT UNITS]]</f>
        <v>0</v>
      </c>
      <c r="AE169" s="44">
        <f>IF(INVESTORS_LIST[[#This Row],[TOTAL CURRENT UNITS]]=0,0,INVESTORS_LIST[[#This Row],[LS_TOTAL CURRENT UNITS]]/INVESTORS_LIST[[#This Row],[TOTAL CURRENT UNITS]])</f>
        <v>0</v>
      </c>
      <c r="AF169" s="44">
        <f>IF(INVESTORS_LIST[[#This Row],[TOTAL CURRENT UNITS]]=0,0,INVESTORS_LIST[[#This Row],[SIP_TOTAL CURRENT UNITS]]/INVESTORS_LIST[[#This Row],[TOTAL CURRENT UNITS]])</f>
        <v>0</v>
      </c>
      <c r="AG169" s="4" cm="1">
        <f t="array" ref="AG16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69" s="4" cm="1">
        <f t="array" ref="AH16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6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69" s="178">
        <f t="shared" si="2"/>
        <v>12.552</v>
      </c>
      <c r="AK169" s="118">
        <f>IF(INVESTORS_LIST[[#This Row],[TOTAL CURRENT UNITS]]=0,0,INVESTORS_LIST[[#This Row],[TOTAL CURRENT UNITS]]*INVESTORS_LIST[[#This Row],[NAV]])</f>
        <v>0</v>
      </c>
      <c r="AL169" s="4">
        <f>IF(INVESTORS_LIST[[#This Row],[LS_TOTAL CURRENT UNITS]]=0,0,INVESTORS_LIST[[#This Row],[LS_TOTAL CURRENT UNITS]]*INVESTORS_LIST[[#This Row],[NAV]])</f>
        <v>0</v>
      </c>
      <c r="AM169" s="6">
        <f>IF(INVESTORS_LIST[[#This Row],[SIP_TOTAL CURRENT UNITS]]=0,0,INVESTORS_LIST[[#This Row],[SIP_TOTAL CURRENT UNITS]]*INVESTORS_LIST[[#This Row],[NAV]])</f>
        <v>0</v>
      </c>
      <c r="AO169" s="6">
        <f>IF(INVESTORS_LIST[[#This Row],[TOTAL SELLABLE UNITS]]=0,0,INVESTORS_LIST[[#This Row],[TOTAL SELLABLE UNITS]]*INVESTORS_LIST[[#This Row],[NAV]])</f>
        <v>0</v>
      </c>
      <c r="AP169" s="6">
        <f>INVESTORS_LIST[[#This Row],[LS_TOTAL REALIZED GAIN]]+INVESTORS_LIST[[#This Row],[SIP_TOTAL REALIZED GAIN]]</f>
        <v>0</v>
      </c>
      <c r="AQ169" s="6">
        <f>INVESTORS_LIST[[#This Row],[TOTAL MARKET VALUE]]-INVESTORS_LIST[[#This Row],[TOTAL COST VALUE OF CURRENT INVESTMENT]]</f>
        <v>0</v>
      </c>
      <c r="AR169" s="6">
        <f>SUMIFS(DivAndTax[Tax Amount],DivAndTax[Investor ID],INVESTORS_LIST[[#This Row],[INVESTOR CODE]])</f>
        <v>0</v>
      </c>
      <c r="AS169" s="6">
        <f>SUMIFS(DivAndTax[Gross Dividend],DivAndTax[Investor ID],INVESTORS_LIST[[#This Row],[INVESTOR CODE]])</f>
        <v>0</v>
      </c>
      <c r="AT169" s="5">
        <f>IFERROR(INVESTORS_LIST[[#This Row],[TOTAL CURRENT UNITS]]/SUM(INVESTORS_LIST[TOTAL CURRENT UNITS]),0)</f>
        <v>0</v>
      </c>
    </row>
    <row r="170" spans="1:46" hidden="1">
      <c r="A170" t="s">
        <v>633</v>
      </c>
      <c r="B170" t="s">
        <v>203</v>
      </c>
      <c r="C170" t="s">
        <v>538</v>
      </c>
      <c r="D170" s="8" t="s">
        <v>2</v>
      </c>
      <c r="E170" s="2">
        <f>SUMIFS(LS[Unit],LS[Investor ID],INVESTORS_LIST[[#This Row],[INVESTOR CODE]],LS[B/S],"B")</f>
        <v>50000</v>
      </c>
      <c r="F170" s="2">
        <f>-SUMIFS(LS[Unit],LS[Investor ID],INVESTORS_LIST[[#This Row],[INVESTOR CODE]],LS[B/S],"S")</f>
        <v>50000</v>
      </c>
      <c r="G170" s="2">
        <f>IF(INVESTORS_LIST[[#This Row],[LS_TOTAL UNITS BUY]]=0,0,INVESTORS_LIST[[#This Row],[LS_TOTAL UNITS BUY]]-INVESTORS_LIST[[#This Row],[LS_TOTAL UNITS SOLD]])</f>
        <v>0</v>
      </c>
      <c r="H170" s="4">
        <f>IF(INVESTORS_LIST[[#This Row],[LS_TOTAL UNITS BUY]]=0,0,SUMIFS(LS[Amount],LS[Investor ID],INVESTORS_LIST[[#This Row],[INVESTOR CODE]],LS[B/S],"B"))</f>
        <v>500000</v>
      </c>
      <c r="I170" s="6">
        <f>IF(INVESTORS_LIST[[#This Row],[LS_TOTAL UNITS SOLD]]=0,0,SUMIFS(LS[Cost of Units Sold],LS[Investor ID],INVESTORS_LIST[[#This Row],[INVESTOR CODE]],LS[B/S],"S"))</f>
        <v>500000</v>
      </c>
      <c r="J170" s="6">
        <f>IF(INVESTORS_LIST[[#This Row],[LS_TOTAL CURRENT UNITS]]=0,0,INVESTORS_LIST[[#This Row],[LS_TOTAL CURRENT UNITS]]*INVESTORS_LIST[[#This Row],[LS_AVERAGE COST]])</f>
        <v>0</v>
      </c>
      <c r="K170" s="4">
        <f>IF(INVESTORS_LIST[[#This Row],[LS_TOTAL UNITS SOLD]]=0,0,SUMIFS(LS[Realized Gain],LS[Investor ID],INVESTORS_LIST[[#This Row],[INVESTOR CODE]],LS[B/S],"S"))</f>
        <v>-999.99999999997863</v>
      </c>
      <c r="L170" s="2">
        <f>SUMIFS(SIP[Unit],SIP[Investor ID],INVESTORS_LIST[[#This Row],[INVESTOR CODE]],SIP[B/S],"B")</f>
        <v>0</v>
      </c>
      <c r="M170" s="2">
        <f>-SUMIFS(SIP[Unit],SIP[Investor ID],INVESTORS_LIST[[#This Row],[INVESTOR CODE]],SIP[B/S],"S")</f>
        <v>0</v>
      </c>
      <c r="N170" s="33">
        <f>IF(INVESTORS_LIST[[#This Row],[SIP_TOTAL UNITS BUY]]=0,0,INVESTORS_LIST[[#This Row],[SIP_TOTAL UNITS BUY]]-INVESTORS_LIST[[#This Row],[SIP_TOTAL UNITS SOLD]])</f>
        <v>0</v>
      </c>
      <c r="O170" s="4">
        <f>IF(INVESTORS_LIST[[#This Row],[SIP_TOTAL UNITS BUY]]=0,0,SUMIFS(SIP[Amount],SIP[Investor ID],INVESTORS_LIST[[#This Row],[INVESTOR CODE]],SIP[B/S],"B"))</f>
        <v>0</v>
      </c>
      <c r="P170" s="4">
        <f>IF(INVESTORS_LIST[[#This Row],[SIP_TOTAL UNITS SOLD]]=0,0,SUMIFS(SIP[Cost of Units Sold],SIP[Investor ID],INVESTORS_LIST[[#This Row],[INVESTOR CODE]],SIP[B/S],"S"))</f>
        <v>0</v>
      </c>
      <c r="Q170" s="6">
        <f>IF(INVESTORS_LIST[[#This Row],[SIP_TOTAL CURRENT UNITS]]=0,0,INVESTORS_LIST[[#This Row],[SIP_TOTAL CURRENT UNITS]]*INVESTORS_LIST[[#This Row],[SIP_AVERAGE COST]])</f>
        <v>0</v>
      </c>
      <c r="R170" s="6">
        <f>IF(INVESTORS_LIST[[#This Row],[SIP_TOTAL UNITS SOLD]]=0,0,SUMIFS(SIP[Realized Gain],SIP[Investor ID],INVESTORS_LIST[[#This Row],[INVESTOR CODE]],SIP[B/S],"S"))</f>
        <v>0</v>
      </c>
      <c r="S170" s="33">
        <f>INVESTORS_LIST[[#This Row],[LS_TOTAL UNITS BUY]]+INVESTORS_LIST[[#This Row],[SIP_TOTAL UNITS BUY]]</f>
        <v>50000</v>
      </c>
      <c r="T170" s="33">
        <f>INVESTORS_LIST[[#This Row],[LS_TOTAL UNITS SOLD]]+INVESTORS_LIST[[#This Row],[SIP_TOTAL UNITS SOLD]]</f>
        <v>50000</v>
      </c>
      <c r="U170" s="33">
        <v>50000</v>
      </c>
      <c r="V170" s="33">
        <f>SUMIFS(LS[BO UNIT TRANSFER],LS[Investor ID],INVESTORS_LIST[[#This Row],[INVESTOR CODE]],LS[B/S],"B")</f>
        <v>0</v>
      </c>
      <c r="W170" s="33">
        <f>SUMIFS(LS[BO UNIT TRANSFER],LS[Investor ID],INVESTORS_LIST[[#This Row],[INVESTOR CODE]],LS[B/S],"S")</f>
        <v>0</v>
      </c>
      <c r="X170" s="33">
        <f>SUMIFS(SIP[BO UNIT TRANSFER],SIP[Investor ID],INVESTORS_LIST[[#This Row],[INVESTOR CODE]],SIP[B/S],"S")</f>
        <v>0</v>
      </c>
      <c r="Y170" s="33">
        <f>SUMIFS(SIP[BO UNIT TRANSFER],SIP[Investor ID],INVESTORS_LIST[[#This Row],[INVESTOR CODE]],SIP[B/S],"B")</f>
        <v>0</v>
      </c>
      <c r="Z17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50000</v>
      </c>
      <c r="AA170" s="119">
        <f>INVESTORS_LIST[[#This Row],[TOTAL UNITS BUY]]-INVESTORS_LIST[[#This Row],[TOTAL UNITS SOLD]]</f>
        <v>0</v>
      </c>
      <c r="AB170" s="119">
        <f>INVESTORS_LIST[[#This Row],[TOTAL CURRENT UNITS]]-INVESTORS_LIST[[#This Row],[BO UNITS HOLD]]</f>
        <v>-50000</v>
      </c>
      <c r="AC170" s="119" t="e">
        <f>INDEX([4]!Table_1[BO ID],MATCH(INVESTORS_LIST[[#This Row],[INVESTOR CODE]],[4]!Table_1[INVESTOR CODE],0))</f>
        <v>#REF!</v>
      </c>
      <c r="AD170" s="33">
        <f>INVESTORS_LIST[[#This Row],[LS_TOTAL COST VALUE OF CURRENT UNITS]]+INVESTORS_LIST[[#This Row],[SIP_TOTAL COST VALUE OF CURRENT UNITS]]</f>
        <v>0</v>
      </c>
      <c r="AE170" s="44">
        <f>IF(INVESTORS_LIST[[#This Row],[TOTAL CURRENT UNITS]]=0,0,INVESTORS_LIST[[#This Row],[LS_TOTAL CURRENT UNITS]]/INVESTORS_LIST[[#This Row],[TOTAL CURRENT UNITS]])</f>
        <v>0</v>
      </c>
      <c r="AF170" s="44">
        <f>IF(INVESTORS_LIST[[#This Row],[TOTAL CURRENT UNITS]]=0,0,INVESTORS_LIST[[#This Row],[SIP_TOTAL CURRENT UNITS]]/INVESTORS_LIST[[#This Row],[TOTAL CURRENT UNITS]])</f>
        <v>0</v>
      </c>
      <c r="AG170" s="4" cm="1">
        <f t="array" ref="AG17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70" s="4" cm="1">
        <f t="array" ref="AH17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7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70" s="178">
        <f t="shared" si="2"/>
        <v>12.552</v>
      </c>
      <c r="AK170" s="118">
        <f>IF(INVESTORS_LIST[[#This Row],[TOTAL CURRENT UNITS]]=0,0,INVESTORS_LIST[[#This Row],[TOTAL CURRENT UNITS]]*INVESTORS_LIST[[#This Row],[NAV]])</f>
        <v>0</v>
      </c>
      <c r="AL170" s="4">
        <f>IF(INVESTORS_LIST[[#This Row],[LS_TOTAL CURRENT UNITS]]=0,0,INVESTORS_LIST[[#This Row],[LS_TOTAL CURRENT UNITS]]*INVESTORS_LIST[[#This Row],[NAV]])</f>
        <v>0</v>
      </c>
      <c r="AM170" s="6">
        <f>IF(INVESTORS_LIST[[#This Row],[SIP_TOTAL CURRENT UNITS]]=0,0,INVESTORS_LIST[[#This Row],[SIP_TOTAL CURRENT UNITS]]*INVESTORS_LIST[[#This Row],[NAV]])</f>
        <v>0</v>
      </c>
      <c r="AO170" s="6">
        <f>IF(INVESTORS_LIST[[#This Row],[TOTAL SELLABLE UNITS]]=0,0,INVESTORS_LIST[[#This Row],[TOTAL SELLABLE UNITS]]*INVESTORS_LIST[[#This Row],[NAV]])</f>
        <v>0</v>
      </c>
      <c r="AP170" s="6">
        <f>INVESTORS_LIST[[#This Row],[LS_TOTAL REALIZED GAIN]]+INVESTORS_LIST[[#This Row],[SIP_TOTAL REALIZED GAIN]]</f>
        <v>-999.99999999997863</v>
      </c>
      <c r="AQ170" s="6">
        <f>INVESTORS_LIST[[#This Row],[TOTAL MARKET VALUE]]-INVESTORS_LIST[[#This Row],[TOTAL COST VALUE OF CURRENT INVESTMENT]]</f>
        <v>0</v>
      </c>
      <c r="AR170" s="6">
        <f>SUMIFS(DivAndTax[Tax Amount],DivAndTax[Investor ID],INVESTORS_LIST[[#This Row],[INVESTOR CODE]])</f>
        <v>0</v>
      </c>
      <c r="AS170" s="6">
        <f>SUMIFS(DivAndTax[Gross Dividend],DivAndTax[Investor ID],INVESTORS_LIST[[#This Row],[INVESTOR CODE]])</f>
        <v>0</v>
      </c>
      <c r="AT170" s="5">
        <f>IFERROR(INVESTORS_LIST[[#This Row],[TOTAL CURRENT UNITS]]/SUM(INVESTORS_LIST[TOTAL CURRENT UNITS]),0)</f>
        <v>0</v>
      </c>
    </row>
    <row r="171" spans="1:46" hidden="1">
      <c r="A171" t="s">
        <v>831</v>
      </c>
      <c r="B171" t="s">
        <v>204</v>
      </c>
      <c r="C171" t="s">
        <v>536</v>
      </c>
      <c r="D171" s="8" t="s">
        <v>2</v>
      </c>
      <c r="E171" s="2">
        <f>SUMIFS(LS[Unit],LS[Investor ID],INVESTORS_LIST[[#This Row],[INVESTOR CODE]],LS[B/S],"B")</f>
        <v>0</v>
      </c>
      <c r="F171" s="2">
        <f>-SUMIFS(LS[Unit],LS[Investor ID],INVESTORS_LIST[[#This Row],[INVESTOR CODE]],LS[B/S],"S")</f>
        <v>0</v>
      </c>
      <c r="G171" s="2">
        <f>IF(INVESTORS_LIST[[#This Row],[LS_TOTAL UNITS BUY]]=0,0,INVESTORS_LIST[[#This Row],[LS_TOTAL UNITS BUY]]-INVESTORS_LIST[[#This Row],[LS_TOTAL UNITS SOLD]])</f>
        <v>0</v>
      </c>
      <c r="H171" s="4">
        <f>IF(INVESTORS_LIST[[#This Row],[LS_TOTAL UNITS BUY]]=0,0,SUMIFS(LS[Amount],LS[Investor ID],INVESTORS_LIST[[#This Row],[INVESTOR CODE]],LS[B/S],"B"))</f>
        <v>0</v>
      </c>
      <c r="I171" s="6">
        <f>IF(INVESTORS_LIST[[#This Row],[LS_TOTAL UNITS SOLD]]=0,0,SUMIFS(LS[Cost of Units Sold],LS[Investor ID],INVESTORS_LIST[[#This Row],[INVESTOR CODE]],LS[B/S],"S"))</f>
        <v>0</v>
      </c>
      <c r="J171" s="6">
        <f>IF(INVESTORS_LIST[[#This Row],[LS_TOTAL CURRENT UNITS]]=0,0,INVESTORS_LIST[[#This Row],[LS_TOTAL CURRENT UNITS]]*INVESTORS_LIST[[#This Row],[LS_AVERAGE COST]])</f>
        <v>0</v>
      </c>
      <c r="K171" s="4">
        <f>IF(INVESTORS_LIST[[#This Row],[LS_TOTAL UNITS SOLD]]=0,0,SUMIFS(LS[Realized Gain],LS[Investor ID],INVESTORS_LIST[[#This Row],[INVESTOR CODE]],LS[B/S],"S"))</f>
        <v>0</v>
      </c>
      <c r="L171" s="2">
        <f>SUMIFS(SIP[Unit],SIP[Investor ID],INVESTORS_LIST[[#This Row],[INVESTOR CODE]],SIP[B/S],"B")</f>
        <v>0</v>
      </c>
      <c r="M171" s="2">
        <f>-SUMIFS(SIP[Unit],SIP[Investor ID],INVESTORS_LIST[[#This Row],[INVESTOR CODE]],SIP[B/S],"S")</f>
        <v>0</v>
      </c>
      <c r="N171" s="33">
        <f>IF(INVESTORS_LIST[[#This Row],[SIP_TOTAL UNITS BUY]]=0,0,INVESTORS_LIST[[#This Row],[SIP_TOTAL UNITS BUY]]-INVESTORS_LIST[[#This Row],[SIP_TOTAL UNITS SOLD]])</f>
        <v>0</v>
      </c>
      <c r="O171" s="4">
        <f>IF(INVESTORS_LIST[[#This Row],[SIP_TOTAL UNITS BUY]]=0,0,SUMIFS(SIP[Amount],SIP[Investor ID],INVESTORS_LIST[[#This Row],[INVESTOR CODE]],SIP[B/S],"B"))</f>
        <v>0</v>
      </c>
      <c r="P171" s="4">
        <f>IF(INVESTORS_LIST[[#This Row],[SIP_TOTAL UNITS SOLD]]=0,0,SUMIFS(SIP[Cost of Units Sold],SIP[Investor ID],INVESTORS_LIST[[#This Row],[INVESTOR CODE]],SIP[B/S],"S"))</f>
        <v>0</v>
      </c>
      <c r="Q171" s="6">
        <f>IF(INVESTORS_LIST[[#This Row],[SIP_TOTAL CURRENT UNITS]]=0,0,INVESTORS_LIST[[#This Row],[SIP_TOTAL CURRENT UNITS]]*INVESTORS_LIST[[#This Row],[SIP_AVERAGE COST]])</f>
        <v>0</v>
      </c>
      <c r="R171" s="6">
        <f>IF(INVESTORS_LIST[[#This Row],[SIP_TOTAL UNITS SOLD]]=0,0,SUMIFS(SIP[Realized Gain],SIP[Investor ID],INVESTORS_LIST[[#This Row],[INVESTOR CODE]],SIP[B/S],"S"))</f>
        <v>0</v>
      </c>
      <c r="S171" s="33">
        <f>INVESTORS_LIST[[#This Row],[LS_TOTAL UNITS BUY]]+INVESTORS_LIST[[#This Row],[SIP_TOTAL UNITS BUY]]</f>
        <v>0</v>
      </c>
      <c r="T171" s="33">
        <f>INVESTORS_LIST[[#This Row],[LS_TOTAL UNITS SOLD]]+INVESTORS_LIST[[#This Row],[SIP_TOTAL UNITS SOLD]]</f>
        <v>0</v>
      </c>
      <c r="U171" s="33">
        <v>0</v>
      </c>
      <c r="V171" s="33">
        <f>SUMIFS(LS[BO UNIT TRANSFER],LS[Investor ID],INVESTORS_LIST[[#This Row],[INVESTOR CODE]],LS[B/S],"B")</f>
        <v>0</v>
      </c>
      <c r="W171" s="33">
        <f>SUMIFS(LS[BO UNIT TRANSFER],LS[Investor ID],INVESTORS_LIST[[#This Row],[INVESTOR CODE]],LS[B/S],"S")</f>
        <v>0</v>
      </c>
      <c r="X171" s="33">
        <f>SUMIFS(SIP[BO UNIT TRANSFER],SIP[Investor ID],INVESTORS_LIST[[#This Row],[INVESTOR CODE]],SIP[B/S],"S")</f>
        <v>0</v>
      </c>
      <c r="Y171" s="33">
        <f>SUMIFS(SIP[BO UNIT TRANSFER],SIP[Investor ID],INVESTORS_LIST[[#This Row],[INVESTOR CODE]],SIP[B/S],"B")</f>
        <v>0</v>
      </c>
      <c r="Z17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71" s="119">
        <f>INVESTORS_LIST[[#This Row],[TOTAL UNITS BUY]]-INVESTORS_LIST[[#This Row],[TOTAL UNITS SOLD]]</f>
        <v>0</v>
      </c>
      <c r="AB171" s="119">
        <f>INVESTORS_LIST[[#This Row],[TOTAL CURRENT UNITS]]-INVESTORS_LIST[[#This Row],[BO UNITS HOLD]]</f>
        <v>0</v>
      </c>
      <c r="AC171" s="119" t="e">
        <f>INDEX([4]!Table_1[BO ID],MATCH(INVESTORS_LIST[[#This Row],[INVESTOR CODE]],[4]!Table_1[INVESTOR CODE],0))</f>
        <v>#REF!</v>
      </c>
      <c r="AD171" s="33">
        <f>INVESTORS_LIST[[#This Row],[LS_TOTAL COST VALUE OF CURRENT UNITS]]+INVESTORS_LIST[[#This Row],[SIP_TOTAL COST VALUE OF CURRENT UNITS]]</f>
        <v>0</v>
      </c>
      <c r="AE171" s="44">
        <f>IF(INVESTORS_LIST[[#This Row],[TOTAL CURRENT UNITS]]=0,0,INVESTORS_LIST[[#This Row],[LS_TOTAL CURRENT UNITS]]/INVESTORS_LIST[[#This Row],[TOTAL CURRENT UNITS]])</f>
        <v>0</v>
      </c>
      <c r="AF171" s="44">
        <f>IF(INVESTORS_LIST[[#This Row],[TOTAL CURRENT UNITS]]=0,0,INVESTORS_LIST[[#This Row],[SIP_TOTAL CURRENT UNITS]]/INVESTORS_LIST[[#This Row],[TOTAL CURRENT UNITS]])</f>
        <v>0</v>
      </c>
      <c r="AG171" s="4" cm="1">
        <f t="array" ref="AG17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71" s="4" cm="1">
        <f t="array" ref="AH17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7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71" s="178">
        <f t="shared" si="2"/>
        <v>12.552</v>
      </c>
      <c r="AK171" s="118">
        <f>IF(INVESTORS_LIST[[#This Row],[TOTAL CURRENT UNITS]]=0,0,INVESTORS_LIST[[#This Row],[TOTAL CURRENT UNITS]]*INVESTORS_LIST[[#This Row],[NAV]])</f>
        <v>0</v>
      </c>
      <c r="AL171" s="4">
        <f>IF(INVESTORS_LIST[[#This Row],[LS_TOTAL CURRENT UNITS]]=0,0,INVESTORS_LIST[[#This Row],[LS_TOTAL CURRENT UNITS]]*INVESTORS_LIST[[#This Row],[NAV]])</f>
        <v>0</v>
      </c>
      <c r="AM171" s="6">
        <f>IF(INVESTORS_LIST[[#This Row],[SIP_TOTAL CURRENT UNITS]]=0,0,INVESTORS_LIST[[#This Row],[SIP_TOTAL CURRENT UNITS]]*INVESTORS_LIST[[#This Row],[NAV]])</f>
        <v>0</v>
      </c>
      <c r="AO171" s="6">
        <f>IF(INVESTORS_LIST[[#This Row],[TOTAL SELLABLE UNITS]]=0,0,INVESTORS_LIST[[#This Row],[TOTAL SELLABLE UNITS]]*INVESTORS_LIST[[#This Row],[NAV]])</f>
        <v>0</v>
      </c>
      <c r="AP171" s="6">
        <f>INVESTORS_LIST[[#This Row],[LS_TOTAL REALIZED GAIN]]+INVESTORS_LIST[[#This Row],[SIP_TOTAL REALIZED GAIN]]</f>
        <v>0</v>
      </c>
      <c r="AQ171" s="6">
        <f>INVESTORS_LIST[[#This Row],[TOTAL MARKET VALUE]]-INVESTORS_LIST[[#This Row],[TOTAL COST VALUE OF CURRENT INVESTMENT]]</f>
        <v>0</v>
      </c>
      <c r="AR171" s="6">
        <f>SUMIFS(DivAndTax[Tax Amount],DivAndTax[Investor ID],INVESTORS_LIST[[#This Row],[INVESTOR CODE]])</f>
        <v>0</v>
      </c>
      <c r="AS171" s="6">
        <f>SUMIFS(DivAndTax[Gross Dividend],DivAndTax[Investor ID],INVESTORS_LIST[[#This Row],[INVESTOR CODE]])</f>
        <v>0</v>
      </c>
      <c r="AT171" s="5">
        <f>IFERROR(INVESTORS_LIST[[#This Row],[TOTAL CURRENT UNITS]]/SUM(INVESTORS_LIST[TOTAL CURRENT UNITS]),0)</f>
        <v>0</v>
      </c>
    </row>
    <row r="172" spans="1:46" hidden="1">
      <c r="A172" t="s">
        <v>832</v>
      </c>
      <c r="B172" t="s">
        <v>205</v>
      </c>
      <c r="C172" t="s">
        <v>537</v>
      </c>
      <c r="D172" s="8" t="s">
        <v>5</v>
      </c>
      <c r="E172" s="2">
        <f>SUMIFS(LS[Unit],LS[Investor ID],INVESTORS_LIST[[#This Row],[INVESTOR CODE]],LS[B/S],"B")</f>
        <v>1020300</v>
      </c>
      <c r="F172" s="2">
        <f>-SUMIFS(LS[Unit],LS[Investor ID],INVESTORS_LIST[[#This Row],[INVESTOR CODE]],LS[B/S],"S")</f>
        <v>1020300</v>
      </c>
      <c r="G172" s="2">
        <f>IF(INVESTORS_LIST[[#This Row],[LS_TOTAL UNITS BUY]]=0,0,INVESTORS_LIST[[#This Row],[LS_TOTAL UNITS BUY]]-INVESTORS_LIST[[#This Row],[LS_TOTAL UNITS SOLD]])</f>
        <v>0</v>
      </c>
      <c r="H172" s="4">
        <f>IF(INVESTORS_LIST[[#This Row],[LS_TOTAL UNITS BUY]]=0,0,SUMIFS(LS[Amount],LS[Investor ID],INVESTORS_LIST[[#This Row],[INVESTOR CODE]],LS[B/S],"B"))</f>
        <v>10200000</v>
      </c>
      <c r="I172" s="6">
        <f>IF(INVESTORS_LIST[[#This Row],[LS_TOTAL UNITS SOLD]]=0,0,SUMIFS(LS[Cost of Units Sold],LS[Investor ID],INVESTORS_LIST[[#This Row],[INVESTOR CODE]],LS[B/S],"S"))</f>
        <v>10200000</v>
      </c>
      <c r="J172" s="6">
        <f>IF(INVESTORS_LIST[[#This Row],[LS_TOTAL CURRENT UNITS]]=0,0,INVESTORS_LIST[[#This Row],[LS_TOTAL CURRENT UNITS]]*INVESTORS_LIST[[#This Row],[LS_AVERAGE COST]])</f>
        <v>0</v>
      </c>
      <c r="K172" s="4">
        <f>IF(INVESTORS_LIST[[#This Row],[LS_TOTAL UNITS SOLD]]=0,0,SUMIFS(LS[Realized Gain],LS[Investor ID],INVESTORS_LIST[[#This Row],[INVESTOR CODE]],LS[B/S],"S"))</f>
        <v>918483.8199999996</v>
      </c>
      <c r="L172" s="2">
        <f>SUMIFS(SIP[Unit],SIP[Investor ID],INVESTORS_LIST[[#This Row],[INVESTOR CODE]],SIP[B/S],"B")</f>
        <v>0</v>
      </c>
      <c r="M172" s="2">
        <f>-SUMIFS(SIP[Unit],SIP[Investor ID],INVESTORS_LIST[[#This Row],[INVESTOR CODE]],SIP[B/S],"S")</f>
        <v>0</v>
      </c>
      <c r="N172" s="33">
        <f>IF(INVESTORS_LIST[[#This Row],[SIP_TOTAL UNITS BUY]]=0,0,INVESTORS_LIST[[#This Row],[SIP_TOTAL UNITS BUY]]-INVESTORS_LIST[[#This Row],[SIP_TOTAL UNITS SOLD]])</f>
        <v>0</v>
      </c>
      <c r="O172" s="4">
        <f>IF(INVESTORS_LIST[[#This Row],[SIP_TOTAL UNITS BUY]]=0,0,SUMIFS(SIP[Amount],SIP[Investor ID],INVESTORS_LIST[[#This Row],[INVESTOR CODE]],SIP[B/S],"B"))</f>
        <v>0</v>
      </c>
      <c r="P172" s="4">
        <f>IF(INVESTORS_LIST[[#This Row],[SIP_TOTAL UNITS SOLD]]=0,0,SUMIFS(SIP[Cost of Units Sold],SIP[Investor ID],INVESTORS_LIST[[#This Row],[INVESTOR CODE]],SIP[B/S],"S"))</f>
        <v>0</v>
      </c>
      <c r="Q172" s="6">
        <f>IF(INVESTORS_LIST[[#This Row],[SIP_TOTAL CURRENT UNITS]]=0,0,INVESTORS_LIST[[#This Row],[SIP_TOTAL CURRENT UNITS]]*INVESTORS_LIST[[#This Row],[SIP_AVERAGE COST]])</f>
        <v>0</v>
      </c>
      <c r="R172" s="6">
        <f>IF(INVESTORS_LIST[[#This Row],[SIP_TOTAL UNITS SOLD]]=0,0,SUMIFS(SIP[Realized Gain],SIP[Investor ID],INVESTORS_LIST[[#This Row],[INVESTOR CODE]],SIP[B/S],"S"))</f>
        <v>0</v>
      </c>
      <c r="S172" s="33">
        <f>INVESTORS_LIST[[#This Row],[LS_TOTAL UNITS BUY]]+INVESTORS_LIST[[#This Row],[SIP_TOTAL UNITS BUY]]</f>
        <v>1020300</v>
      </c>
      <c r="T172" s="33">
        <f>INVESTORS_LIST[[#This Row],[LS_TOTAL UNITS SOLD]]+INVESTORS_LIST[[#This Row],[SIP_TOTAL UNITS SOLD]]</f>
        <v>1020300</v>
      </c>
      <c r="U172" s="33">
        <v>0</v>
      </c>
      <c r="V172" s="33">
        <f>SUMIFS(LS[BO UNIT TRANSFER],LS[Investor ID],INVESTORS_LIST[[#This Row],[INVESTOR CODE]],LS[B/S],"B")</f>
        <v>0</v>
      </c>
      <c r="W172" s="33">
        <f>SUMIFS(LS[BO UNIT TRANSFER],LS[Investor ID],INVESTORS_LIST[[#This Row],[INVESTOR CODE]],LS[B/S],"S")</f>
        <v>0</v>
      </c>
      <c r="X172" s="33">
        <f>SUMIFS(SIP[BO UNIT TRANSFER],SIP[Investor ID],INVESTORS_LIST[[#This Row],[INVESTOR CODE]],SIP[B/S],"S")</f>
        <v>0</v>
      </c>
      <c r="Y172" s="33">
        <f>SUMIFS(SIP[BO UNIT TRANSFER],SIP[Investor ID],INVESTORS_LIST[[#This Row],[INVESTOR CODE]],SIP[B/S],"B")</f>
        <v>0</v>
      </c>
      <c r="Z17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72" s="119">
        <f>INVESTORS_LIST[[#This Row],[TOTAL UNITS BUY]]-INVESTORS_LIST[[#This Row],[TOTAL UNITS SOLD]]</f>
        <v>0</v>
      </c>
      <c r="AB172" s="119">
        <f>INVESTORS_LIST[[#This Row],[TOTAL CURRENT UNITS]]-INVESTORS_LIST[[#This Row],[BO UNITS HOLD]]</f>
        <v>0</v>
      </c>
      <c r="AC172" s="119" t="e">
        <f>INDEX([4]!Table_1[BO ID],MATCH(INVESTORS_LIST[[#This Row],[INVESTOR CODE]],[4]!Table_1[INVESTOR CODE],0))</f>
        <v>#REF!</v>
      </c>
      <c r="AD172" s="33">
        <f>INVESTORS_LIST[[#This Row],[LS_TOTAL COST VALUE OF CURRENT UNITS]]+INVESTORS_LIST[[#This Row],[SIP_TOTAL COST VALUE OF CURRENT UNITS]]</f>
        <v>0</v>
      </c>
      <c r="AE172" s="44">
        <f>IF(INVESTORS_LIST[[#This Row],[TOTAL CURRENT UNITS]]=0,0,INVESTORS_LIST[[#This Row],[LS_TOTAL CURRENT UNITS]]/INVESTORS_LIST[[#This Row],[TOTAL CURRENT UNITS]])</f>
        <v>0</v>
      </c>
      <c r="AF172" s="44">
        <f>IF(INVESTORS_LIST[[#This Row],[TOTAL CURRENT UNITS]]=0,0,INVESTORS_LIST[[#This Row],[SIP_TOTAL CURRENT UNITS]]/INVESTORS_LIST[[#This Row],[TOTAL CURRENT UNITS]])</f>
        <v>0</v>
      </c>
      <c r="AG172" s="4" cm="1">
        <f t="array" ref="AG17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72" s="4" cm="1">
        <f t="array" ref="AH17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7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72" s="178">
        <f t="shared" si="2"/>
        <v>12.552</v>
      </c>
      <c r="AK172" s="118">
        <f>IF(INVESTORS_LIST[[#This Row],[TOTAL CURRENT UNITS]]=0,0,INVESTORS_LIST[[#This Row],[TOTAL CURRENT UNITS]]*INVESTORS_LIST[[#This Row],[NAV]])</f>
        <v>0</v>
      </c>
      <c r="AL172" s="4">
        <f>IF(INVESTORS_LIST[[#This Row],[LS_TOTAL CURRENT UNITS]]=0,0,INVESTORS_LIST[[#This Row],[LS_TOTAL CURRENT UNITS]]*INVESTORS_LIST[[#This Row],[NAV]])</f>
        <v>0</v>
      </c>
      <c r="AM172" s="6">
        <f>IF(INVESTORS_LIST[[#This Row],[SIP_TOTAL CURRENT UNITS]]=0,0,INVESTORS_LIST[[#This Row],[SIP_TOTAL CURRENT UNITS]]*INVESTORS_LIST[[#This Row],[NAV]])</f>
        <v>0</v>
      </c>
      <c r="AO172" s="6">
        <f>IF(INVESTORS_LIST[[#This Row],[TOTAL SELLABLE UNITS]]=0,0,INVESTORS_LIST[[#This Row],[TOTAL SELLABLE UNITS]]*INVESTORS_LIST[[#This Row],[NAV]])</f>
        <v>0</v>
      </c>
      <c r="AP172" s="6">
        <f>INVESTORS_LIST[[#This Row],[LS_TOTAL REALIZED GAIN]]+INVESTORS_LIST[[#This Row],[SIP_TOTAL REALIZED GAIN]]</f>
        <v>918483.8199999996</v>
      </c>
      <c r="AQ172" s="6">
        <f>INVESTORS_LIST[[#This Row],[TOTAL MARKET VALUE]]-INVESTORS_LIST[[#This Row],[TOTAL COST VALUE OF CURRENT INVESTMENT]]</f>
        <v>0</v>
      </c>
      <c r="AR172" s="6">
        <f>SUMIFS(DivAndTax[Tax Amount],DivAndTax[Investor ID],INVESTORS_LIST[[#This Row],[INVESTOR CODE]])</f>
        <v>80602.5</v>
      </c>
      <c r="AS172" s="6">
        <f>SUMIFS(DivAndTax[Gross Dividend],DivAndTax[Investor ID],INVESTORS_LIST[[#This Row],[INVESTOR CODE]])</f>
        <v>403012.5</v>
      </c>
      <c r="AT172" s="5">
        <f>IFERROR(INVESTORS_LIST[[#This Row],[TOTAL CURRENT UNITS]]/SUM(INVESTORS_LIST[TOTAL CURRENT UNITS]),0)</f>
        <v>0</v>
      </c>
    </row>
    <row r="173" spans="1:46" hidden="1">
      <c r="A173" t="s">
        <v>833</v>
      </c>
      <c r="B173" t="s">
        <v>206</v>
      </c>
      <c r="C173" t="s">
        <v>538</v>
      </c>
      <c r="D173" s="8" t="s">
        <v>2</v>
      </c>
      <c r="E173" s="2">
        <f>SUMIFS(LS[Unit],LS[Investor ID],INVESTORS_LIST[[#This Row],[INVESTOR CODE]],LS[B/S],"B")</f>
        <v>0</v>
      </c>
      <c r="F173" s="2">
        <f>-SUMIFS(LS[Unit],LS[Investor ID],INVESTORS_LIST[[#This Row],[INVESTOR CODE]],LS[B/S],"S")</f>
        <v>0</v>
      </c>
      <c r="G173" s="2">
        <f>IF(INVESTORS_LIST[[#This Row],[LS_TOTAL UNITS BUY]]=0,0,INVESTORS_LIST[[#This Row],[LS_TOTAL UNITS BUY]]-INVESTORS_LIST[[#This Row],[LS_TOTAL UNITS SOLD]])</f>
        <v>0</v>
      </c>
      <c r="H173" s="4">
        <f>IF(INVESTORS_LIST[[#This Row],[LS_TOTAL UNITS BUY]]=0,0,SUMIFS(LS[Amount],LS[Investor ID],INVESTORS_LIST[[#This Row],[INVESTOR CODE]],LS[B/S],"B"))</f>
        <v>0</v>
      </c>
      <c r="I173" s="6">
        <f>IF(INVESTORS_LIST[[#This Row],[LS_TOTAL UNITS SOLD]]=0,0,SUMIFS(LS[Cost of Units Sold],LS[Investor ID],INVESTORS_LIST[[#This Row],[INVESTOR CODE]],LS[B/S],"S"))</f>
        <v>0</v>
      </c>
      <c r="J173" s="6">
        <f>IF(INVESTORS_LIST[[#This Row],[LS_TOTAL CURRENT UNITS]]=0,0,INVESTORS_LIST[[#This Row],[LS_TOTAL CURRENT UNITS]]*INVESTORS_LIST[[#This Row],[LS_AVERAGE COST]])</f>
        <v>0</v>
      </c>
      <c r="K173" s="4">
        <f>IF(INVESTORS_LIST[[#This Row],[LS_TOTAL UNITS SOLD]]=0,0,SUMIFS(LS[Realized Gain],LS[Investor ID],INVESTORS_LIST[[#This Row],[INVESTOR CODE]],LS[B/S],"S"))</f>
        <v>0</v>
      </c>
      <c r="L173" s="2">
        <f>SUMIFS(SIP[Unit],SIP[Investor ID],INVESTORS_LIST[[#This Row],[INVESTOR CODE]],SIP[B/S],"B")</f>
        <v>0</v>
      </c>
      <c r="M173" s="2">
        <f>-SUMIFS(SIP[Unit],SIP[Investor ID],INVESTORS_LIST[[#This Row],[INVESTOR CODE]],SIP[B/S],"S")</f>
        <v>0</v>
      </c>
      <c r="N173" s="33">
        <f>IF(INVESTORS_LIST[[#This Row],[SIP_TOTAL UNITS BUY]]=0,0,INVESTORS_LIST[[#This Row],[SIP_TOTAL UNITS BUY]]-INVESTORS_LIST[[#This Row],[SIP_TOTAL UNITS SOLD]])</f>
        <v>0</v>
      </c>
      <c r="O173" s="4">
        <f>IF(INVESTORS_LIST[[#This Row],[SIP_TOTAL UNITS BUY]]=0,0,SUMIFS(SIP[Amount],SIP[Investor ID],INVESTORS_LIST[[#This Row],[INVESTOR CODE]],SIP[B/S],"B"))</f>
        <v>0</v>
      </c>
      <c r="P173" s="4">
        <f>IF(INVESTORS_LIST[[#This Row],[SIP_TOTAL UNITS SOLD]]=0,0,SUMIFS(SIP[Cost of Units Sold],SIP[Investor ID],INVESTORS_LIST[[#This Row],[INVESTOR CODE]],SIP[B/S],"S"))</f>
        <v>0</v>
      </c>
      <c r="Q173" s="6">
        <f>IF(INVESTORS_LIST[[#This Row],[SIP_TOTAL CURRENT UNITS]]=0,0,INVESTORS_LIST[[#This Row],[SIP_TOTAL CURRENT UNITS]]*INVESTORS_LIST[[#This Row],[SIP_AVERAGE COST]])</f>
        <v>0</v>
      </c>
      <c r="R173" s="6">
        <f>IF(INVESTORS_LIST[[#This Row],[SIP_TOTAL UNITS SOLD]]=0,0,SUMIFS(SIP[Realized Gain],SIP[Investor ID],INVESTORS_LIST[[#This Row],[INVESTOR CODE]],SIP[B/S],"S"))</f>
        <v>0</v>
      </c>
      <c r="S173" s="33">
        <f>INVESTORS_LIST[[#This Row],[LS_TOTAL UNITS BUY]]+INVESTORS_LIST[[#This Row],[SIP_TOTAL UNITS BUY]]</f>
        <v>0</v>
      </c>
      <c r="T173" s="33">
        <f>INVESTORS_LIST[[#This Row],[LS_TOTAL UNITS SOLD]]+INVESTORS_LIST[[#This Row],[SIP_TOTAL UNITS SOLD]]</f>
        <v>0</v>
      </c>
      <c r="U173" s="33">
        <v>0</v>
      </c>
      <c r="V173" s="33">
        <f>SUMIFS(LS[BO UNIT TRANSFER],LS[Investor ID],INVESTORS_LIST[[#This Row],[INVESTOR CODE]],LS[B/S],"B")</f>
        <v>0</v>
      </c>
      <c r="W173" s="33">
        <f>SUMIFS(LS[BO UNIT TRANSFER],LS[Investor ID],INVESTORS_LIST[[#This Row],[INVESTOR CODE]],LS[B/S],"S")</f>
        <v>0</v>
      </c>
      <c r="X173" s="33">
        <f>SUMIFS(SIP[BO UNIT TRANSFER],SIP[Investor ID],INVESTORS_LIST[[#This Row],[INVESTOR CODE]],SIP[B/S],"S")</f>
        <v>0</v>
      </c>
      <c r="Y173" s="33">
        <f>SUMIFS(SIP[BO UNIT TRANSFER],SIP[Investor ID],INVESTORS_LIST[[#This Row],[INVESTOR CODE]],SIP[B/S],"B")</f>
        <v>0</v>
      </c>
      <c r="Z17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73" s="119">
        <f>INVESTORS_LIST[[#This Row],[TOTAL UNITS BUY]]-INVESTORS_LIST[[#This Row],[TOTAL UNITS SOLD]]</f>
        <v>0</v>
      </c>
      <c r="AB173" s="119">
        <f>INVESTORS_LIST[[#This Row],[TOTAL CURRENT UNITS]]-INVESTORS_LIST[[#This Row],[BO UNITS HOLD]]</f>
        <v>0</v>
      </c>
      <c r="AC173" s="119" t="e">
        <f>INDEX([4]!Table_1[BO ID],MATCH(INVESTORS_LIST[[#This Row],[INVESTOR CODE]],[4]!Table_1[INVESTOR CODE],0))</f>
        <v>#REF!</v>
      </c>
      <c r="AD173" s="33">
        <f>INVESTORS_LIST[[#This Row],[LS_TOTAL COST VALUE OF CURRENT UNITS]]+INVESTORS_LIST[[#This Row],[SIP_TOTAL COST VALUE OF CURRENT UNITS]]</f>
        <v>0</v>
      </c>
      <c r="AE173" s="44">
        <f>IF(INVESTORS_LIST[[#This Row],[TOTAL CURRENT UNITS]]=0,0,INVESTORS_LIST[[#This Row],[LS_TOTAL CURRENT UNITS]]/INVESTORS_LIST[[#This Row],[TOTAL CURRENT UNITS]])</f>
        <v>0</v>
      </c>
      <c r="AF173" s="44">
        <f>IF(INVESTORS_LIST[[#This Row],[TOTAL CURRENT UNITS]]=0,0,INVESTORS_LIST[[#This Row],[SIP_TOTAL CURRENT UNITS]]/INVESTORS_LIST[[#This Row],[TOTAL CURRENT UNITS]])</f>
        <v>0</v>
      </c>
      <c r="AG173" s="4" cm="1">
        <f t="array" ref="AG17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73" s="4" cm="1">
        <f t="array" ref="AH1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7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73" s="178">
        <f t="shared" si="2"/>
        <v>12.552</v>
      </c>
      <c r="AK173" s="118">
        <f>IF(INVESTORS_LIST[[#This Row],[TOTAL CURRENT UNITS]]=0,0,INVESTORS_LIST[[#This Row],[TOTAL CURRENT UNITS]]*INVESTORS_LIST[[#This Row],[NAV]])</f>
        <v>0</v>
      </c>
      <c r="AL173" s="4">
        <f>IF(INVESTORS_LIST[[#This Row],[LS_TOTAL CURRENT UNITS]]=0,0,INVESTORS_LIST[[#This Row],[LS_TOTAL CURRENT UNITS]]*INVESTORS_LIST[[#This Row],[NAV]])</f>
        <v>0</v>
      </c>
      <c r="AM173" s="6">
        <f>IF(INVESTORS_LIST[[#This Row],[SIP_TOTAL CURRENT UNITS]]=0,0,INVESTORS_LIST[[#This Row],[SIP_TOTAL CURRENT UNITS]]*INVESTORS_LIST[[#This Row],[NAV]])</f>
        <v>0</v>
      </c>
      <c r="AO173" s="6">
        <f>IF(INVESTORS_LIST[[#This Row],[TOTAL SELLABLE UNITS]]=0,0,INVESTORS_LIST[[#This Row],[TOTAL SELLABLE UNITS]]*INVESTORS_LIST[[#This Row],[NAV]])</f>
        <v>0</v>
      </c>
      <c r="AP173" s="6">
        <f>INVESTORS_LIST[[#This Row],[LS_TOTAL REALIZED GAIN]]+INVESTORS_LIST[[#This Row],[SIP_TOTAL REALIZED GAIN]]</f>
        <v>0</v>
      </c>
      <c r="AQ173" s="6">
        <f>INVESTORS_LIST[[#This Row],[TOTAL MARKET VALUE]]-INVESTORS_LIST[[#This Row],[TOTAL COST VALUE OF CURRENT INVESTMENT]]</f>
        <v>0</v>
      </c>
      <c r="AR173" s="6">
        <f>SUMIFS(DivAndTax[Tax Amount],DivAndTax[Investor ID],INVESTORS_LIST[[#This Row],[INVESTOR CODE]])</f>
        <v>0</v>
      </c>
      <c r="AS173" s="6">
        <f>SUMIFS(DivAndTax[Gross Dividend],DivAndTax[Investor ID],INVESTORS_LIST[[#This Row],[INVESTOR CODE]])</f>
        <v>0</v>
      </c>
      <c r="AT173" s="5">
        <f>IFERROR(INVESTORS_LIST[[#This Row],[TOTAL CURRENT UNITS]]/SUM(INVESTORS_LIST[TOTAL CURRENT UNITS]),0)</f>
        <v>0</v>
      </c>
    </row>
    <row r="174" spans="1:46" hidden="1">
      <c r="A174" t="s">
        <v>834</v>
      </c>
      <c r="B174" t="s">
        <v>207</v>
      </c>
      <c r="C174" t="s">
        <v>538</v>
      </c>
      <c r="D174" s="8" t="s">
        <v>2</v>
      </c>
      <c r="E174" s="2">
        <f>SUMIFS(LS[Unit],LS[Investor ID],INVESTORS_LIST[[#This Row],[INVESTOR CODE]],LS[B/S],"B")</f>
        <v>0</v>
      </c>
      <c r="F174" s="2">
        <f>-SUMIFS(LS[Unit],LS[Investor ID],INVESTORS_LIST[[#This Row],[INVESTOR CODE]],LS[B/S],"S")</f>
        <v>0</v>
      </c>
      <c r="G174" s="2">
        <f>IF(INVESTORS_LIST[[#This Row],[LS_TOTAL UNITS BUY]]=0,0,INVESTORS_LIST[[#This Row],[LS_TOTAL UNITS BUY]]-INVESTORS_LIST[[#This Row],[LS_TOTAL UNITS SOLD]])</f>
        <v>0</v>
      </c>
      <c r="H174" s="4">
        <f>IF(INVESTORS_LIST[[#This Row],[LS_TOTAL UNITS BUY]]=0,0,SUMIFS(LS[Amount],LS[Investor ID],INVESTORS_LIST[[#This Row],[INVESTOR CODE]],LS[B/S],"B"))</f>
        <v>0</v>
      </c>
      <c r="I174" s="6">
        <f>IF(INVESTORS_LIST[[#This Row],[LS_TOTAL UNITS SOLD]]=0,0,SUMIFS(LS[Cost of Units Sold],LS[Investor ID],INVESTORS_LIST[[#This Row],[INVESTOR CODE]],LS[B/S],"S"))</f>
        <v>0</v>
      </c>
      <c r="J174" s="6">
        <f>IF(INVESTORS_LIST[[#This Row],[LS_TOTAL CURRENT UNITS]]=0,0,INVESTORS_LIST[[#This Row],[LS_TOTAL CURRENT UNITS]]*INVESTORS_LIST[[#This Row],[LS_AVERAGE COST]])</f>
        <v>0</v>
      </c>
      <c r="K174" s="4">
        <f>IF(INVESTORS_LIST[[#This Row],[LS_TOTAL UNITS SOLD]]=0,0,SUMIFS(LS[Realized Gain],LS[Investor ID],INVESTORS_LIST[[#This Row],[INVESTOR CODE]],LS[B/S],"S"))</f>
        <v>0</v>
      </c>
      <c r="L174" s="2">
        <f>SUMIFS(SIP[Unit],SIP[Investor ID],INVESTORS_LIST[[#This Row],[INVESTOR CODE]],SIP[B/S],"B")</f>
        <v>0</v>
      </c>
      <c r="M174" s="2">
        <f>-SUMIFS(SIP[Unit],SIP[Investor ID],INVESTORS_LIST[[#This Row],[INVESTOR CODE]],SIP[B/S],"S")</f>
        <v>0</v>
      </c>
      <c r="N174" s="33">
        <f>IF(INVESTORS_LIST[[#This Row],[SIP_TOTAL UNITS BUY]]=0,0,INVESTORS_LIST[[#This Row],[SIP_TOTAL UNITS BUY]]-INVESTORS_LIST[[#This Row],[SIP_TOTAL UNITS SOLD]])</f>
        <v>0</v>
      </c>
      <c r="O174" s="4">
        <f>IF(INVESTORS_LIST[[#This Row],[SIP_TOTAL UNITS BUY]]=0,0,SUMIFS(SIP[Amount],SIP[Investor ID],INVESTORS_LIST[[#This Row],[INVESTOR CODE]],SIP[B/S],"B"))</f>
        <v>0</v>
      </c>
      <c r="P174" s="4">
        <f>IF(INVESTORS_LIST[[#This Row],[SIP_TOTAL UNITS SOLD]]=0,0,SUMIFS(SIP[Cost of Units Sold],SIP[Investor ID],INVESTORS_LIST[[#This Row],[INVESTOR CODE]],SIP[B/S],"S"))</f>
        <v>0</v>
      </c>
      <c r="Q174" s="6">
        <f>IF(INVESTORS_LIST[[#This Row],[SIP_TOTAL CURRENT UNITS]]=0,0,INVESTORS_LIST[[#This Row],[SIP_TOTAL CURRENT UNITS]]*INVESTORS_LIST[[#This Row],[SIP_AVERAGE COST]])</f>
        <v>0</v>
      </c>
      <c r="R174" s="6">
        <f>IF(INVESTORS_LIST[[#This Row],[SIP_TOTAL UNITS SOLD]]=0,0,SUMIFS(SIP[Realized Gain],SIP[Investor ID],INVESTORS_LIST[[#This Row],[INVESTOR CODE]],SIP[B/S],"S"))</f>
        <v>0</v>
      </c>
      <c r="S174" s="33">
        <f>INVESTORS_LIST[[#This Row],[LS_TOTAL UNITS BUY]]+INVESTORS_LIST[[#This Row],[SIP_TOTAL UNITS BUY]]</f>
        <v>0</v>
      </c>
      <c r="T174" s="33">
        <f>INVESTORS_LIST[[#This Row],[LS_TOTAL UNITS SOLD]]+INVESTORS_LIST[[#This Row],[SIP_TOTAL UNITS SOLD]]</f>
        <v>0</v>
      </c>
      <c r="U174" s="33">
        <v>0</v>
      </c>
      <c r="V174" s="33">
        <f>SUMIFS(LS[BO UNIT TRANSFER],LS[Investor ID],INVESTORS_LIST[[#This Row],[INVESTOR CODE]],LS[B/S],"B")</f>
        <v>0</v>
      </c>
      <c r="W174" s="33">
        <f>SUMIFS(LS[BO UNIT TRANSFER],LS[Investor ID],INVESTORS_LIST[[#This Row],[INVESTOR CODE]],LS[B/S],"S")</f>
        <v>0</v>
      </c>
      <c r="X174" s="33">
        <f>SUMIFS(SIP[BO UNIT TRANSFER],SIP[Investor ID],INVESTORS_LIST[[#This Row],[INVESTOR CODE]],SIP[B/S],"S")</f>
        <v>0</v>
      </c>
      <c r="Y174" s="33">
        <f>SUMIFS(SIP[BO UNIT TRANSFER],SIP[Investor ID],INVESTORS_LIST[[#This Row],[INVESTOR CODE]],SIP[B/S],"B")</f>
        <v>0</v>
      </c>
      <c r="Z17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74" s="119">
        <f>INVESTORS_LIST[[#This Row],[TOTAL UNITS BUY]]-INVESTORS_LIST[[#This Row],[TOTAL UNITS SOLD]]</f>
        <v>0</v>
      </c>
      <c r="AB174" s="119">
        <f>INVESTORS_LIST[[#This Row],[TOTAL CURRENT UNITS]]-INVESTORS_LIST[[#This Row],[BO UNITS HOLD]]</f>
        <v>0</v>
      </c>
      <c r="AC174" s="119" t="e">
        <f>INDEX([4]!Table_1[BO ID],MATCH(INVESTORS_LIST[[#This Row],[INVESTOR CODE]],[4]!Table_1[INVESTOR CODE],0))</f>
        <v>#REF!</v>
      </c>
      <c r="AD174" s="33">
        <f>INVESTORS_LIST[[#This Row],[LS_TOTAL COST VALUE OF CURRENT UNITS]]+INVESTORS_LIST[[#This Row],[SIP_TOTAL COST VALUE OF CURRENT UNITS]]</f>
        <v>0</v>
      </c>
      <c r="AE174" s="44">
        <f>IF(INVESTORS_LIST[[#This Row],[TOTAL CURRENT UNITS]]=0,0,INVESTORS_LIST[[#This Row],[LS_TOTAL CURRENT UNITS]]/INVESTORS_LIST[[#This Row],[TOTAL CURRENT UNITS]])</f>
        <v>0</v>
      </c>
      <c r="AF174" s="44">
        <f>IF(INVESTORS_LIST[[#This Row],[TOTAL CURRENT UNITS]]=0,0,INVESTORS_LIST[[#This Row],[SIP_TOTAL CURRENT UNITS]]/INVESTORS_LIST[[#This Row],[TOTAL CURRENT UNITS]])</f>
        <v>0</v>
      </c>
      <c r="AG174" s="4" cm="1">
        <f t="array" ref="AG17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74" s="4" cm="1">
        <f t="array" ref="AH17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7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74" s="178">
        <f t="shared" si="2"/>
        <v>12.552</v>
      </c>
      <c r="AK174" s="118">
        <f>IF(INVESTORS_LIST[[#This Row],[TOTAL CURRENT UNITS]]=0,0,INVESTORS_LIST[[#This Row],[TOTAL CURRENT UNITS]]*INVESTORS_LIST[[#This Row],[NAV]])</f>
        <v>0</v>
      </c>
      <c r="AL174" s="4">
        <f>IF(INVESTORS_LIST[[#This Row],[LS_TOTAL CURRENT UNITS]]=0,0,INVESTORS_LIST[[#This Row],[LS_TOTAL CURRENT UNITS]]*INVESTORS_LIST[[#This Row],[NAV]])</f>
        <v>0</v>
      </c>
      <c r="AM174" s="6">
        <f>IF(INVESTORS_LIST[[#This Row],[SIP_TOTAL CURRENT UNITS]]=0,0,INVESTORS_LIST[[#This Row],[SIP_TOTAL CURRENT UNITS]]*INVESTORS_LIST[[#This Row],[NAV]])</f>
        <v>0</v>
      </c>
      <c r="AO174" s="6">
        <f>IF(INVESTORS_LIST[[#This Row],[TOTAL SELLABLE UNITS]]=0,0,INVESTORS_LIST[[#This Row],[TOTAL SELLABLE UNITS]]*INVESTORS_LIST[[#This Row],[NAV]])</f>
        <v>0</v>
      </c>
      <c r="AP174" s="6">
        <f>INVESTORS_LIST[[#This Row],[LS_TOTAL REALIZED GAIN]]+INVESTORS_LIST[[#This Row],[SIP_TOTAL REALIZED GAIN]]</f>
        <v>0</v>
      </c>
      <c r="AQ174" s="6">
        <f>INVESTORS_LIST[[#This Row],[TOTAL MARKET VALUE]]-INVESTORS_LIST[[#This Row],[TOTAL COST VALUE OF CURRENT INVESTMENT]]</f>
        <v>0</v>
      </c>
      <c r="AR174" s="6">
        <f>SUMIFS(DivAndTax[Tax Amount],DivAndTax[Investor ID],INVESTORS_LIST[[#This Row],[INVESTOR CODE]])</f>
        <v>0</v>
      </c>
      <c r="AS174" s="6">
        <f>SUMIFS(DivAndTax[Gross Dividend],DivAndTax[Investor ID],INVESTORS_LIST[[#This Row],[INVESTOR CODE]])</f>
        <v>0</v>
      </c>
      <c r="AT174" s="5">
        <f>IFERROR(INVESTORS_LIST[[#This Row],[TOTAL CURRENT UNITS]]/SUM(INVESTORS_LIST[TOTAL CURRENT UNITS]),0)</f>
        <v>0</v>
      </c>
    </row>
    <row r="175" spans="1:46" hidden="1">
      <c r="A175" t="s">
        <v>835</v>
      </c>
      <c r="B175" t="s">
        <v>208</v>
      </c>
      <c r="C175" t="s">
        <v>536</v>
      </c>
      <c r="D175" s="8" t="s">
        <v>2</v>
      </c>
      <c r="E175" s="2">
        <f>SUMIFS(LS[Unit],LS[Investor ID],INVESTORS_LIST[[#This Row],[INVESTOR CODE]],LS[B/S],"B")</f>
        <v>0</v>
      </c>
      <c r="F175" s="2">
        <f>-SUMIFS(LS[Unit],LS[Investor ID],INVESTORS_LIST[[#This Row],[INVESTOR CODE]],LS[B/S],"S")</f>
        <v>0</v>
      </c>
      <c r="G175" s="2">
        <f>IF(INVESTORS_LIST[[#This Row],[LS_TOTAL UNITS BUY]]=0,0,INVESTORS_LIST[[#This Row],[LS_TOTAL UNITS BUY]]-INVESTORS_LIST[[#This Row],[LS_TOTAL UNITS SOLD]])</f>
        <v>0</v>
      </c>
      <c r="H175" s="4">
        <f>IF(INVESTORS_LIST[[#This Row],[LS_TOTAL UNITS BUY]]=0,0,SUMIFS(LS[Amount],LS[Investor ID],INVESTORS_LIST[[#This Row],[INVESTOR CODE]],LS[B/S],"B"))</f>
        <v>0</v>
      </c>
      <c r="I175" s="6">
        <f>IF(INVESTORS_LIST[[#This Row],[LS_TOTAL UNITS SOLD]]=0,0,SUMIFS(LS[Cost of Units Sold],LS[Investor ID],INVESTORS_LIST[[#This Row],[INVESTOR CODE]],LS[B/S],"S"))</f>
        <v>0</v>
      </c>
      <c r="J175" s="6">
        <f>IF(INVESTORS_LIST[[#This Row],[LS_TOTAL CURRENT UNITS]]=0,0,INVESTORS_LIST[[#This Row],[LS_TOTAL CURRENT UNITS]]*INVESTORS_LIST[[#This Row],[LS_AVERAGE COST]])</f>
        <v>0</v>
      </c>
      <c r="K175" s="4">
        <f>IF(INVESTORS_LIST[[#This Row],[LS_TOTAL UNITS SOLD]]=0,0,SUMIFS(LS[Realized Gain],LS[Investor ID],INVESTORS_LIST[[#This Row],[INVESTOR CODE]],LS[B/S],"S"))</f>
        <v>0</v>
      </c>
      <c r="L175" s="2">
        <f>SUMIFS(SIP[Unit],SIP[Investor ID],INVESTORS_LIST[[#This Row],[INVESTOR CODE]],SIP[B/S],"B")</f>
        <v>0</v>
      </c>
      <c r="M175" s="2">
        <f>-SUMIFS(SIP[Unit],SIP[Investor ID],INVESTORS_LIST[[#This Row],[INVESTOR CODE]],SIP[B/S],"S")</f>
        <v>0</v>
      </c>
      <c r="N175" s="33">
        <f>IF(INVESTORS_LIST[[#This Row],[SIP_TOTAL UNITS BUY]]=0,0,INVESTORS_LIST[[#This Row],[SIP_TOTAL UNITS BUY]]-INVESTORS_LIST[[#This Row],[SIP_TOTAL UNITS SOLD]])</f>
        <v>0</v>
      </c>
      <c r="O175" s="4">
        <f>IF(INVESTORS_LIST[[#This Row],[SIP_TOTAL UNITS BUY]]=0,0,SUMIFS(SIP[Amount],SIP[Investor ID],INVESTORS_LIST[[#This Row],[INVESTOR CODE]],SIP[B/S],"B"))</f>
        <v>0</v>
      </c>
      <c r="P175" s="4">
        <f>IF(INVESTORS_LIST[[#This Row],[SIP_TOTAL UNITS SOLD]]=0,0,SUMIFS(SIP[Cost of Units Sold],SIP[Investor ID],INVESTORS_LIST[[#This Row],[INVESTOR CODE]],SIP[B/S],"S"))</f>
        <v>0</v>
      </c>
      <c r="Q175" s="6">
        <f>IF(INVESTORS_LIST[[#This Row],[SIP_TOTAL CURRENT UNITS]]=0,0,INVESTORS_LIST[[#This Row],[SIP_TOTAL CURRENT UNITS]]*INVESTORS_LIST[[#This Row],[SIP_AVERAGE COST]])</f>
        <v>0</v>
      </c>
      <c r="R175" s="6">
        <f>IF(INVESTORS_LIST[[#This Row],[SIP_TOTAL UNITS SOLD]]=0,0,SUMIFS(SIP[Realized Gain],SIP[Investor ID],INVESTORS_LIST[[#This Row],[INVESTOR CODE]],SIP[B/S],"S"))</f>
        <v>0</v>
      </c>
      <c r="S175" s="33">
        <f>INVESTORS_LIST[[#This Row],[LS_TOTAL UNITS BUY]]+INVESTORS_LIST[[#This Row],[SIP_TOTAL UNITS BUY]]</f>
        <v>0</v>
      </c>
      <c r="T175" s="33">
        <f>INVESTORS_LIST[[#This Row],[LS_TOTAL UNITS SOLD]]+INVESTORS_LIST[[#This Row],[SIP_TOTAL UNITS SOLD]]</f>
        <v>0</v>
      </c>
      <c r="U175" s="33">
        <v>0</v>
      </c>
      <c r="V175" s="33">
        <f>SUMIFS(LS[BO UNIT TRANSFER],LS[Investor ID],INVESTORS_LIST[[#This Row],[INVESTOR CODE]],LS[B/S],"B")</f>
        <v>0</v>
      </c>
      <c r="W175" s="33">
        <f>SUMIFS(LS[BO UNIT TRANSFER],LS[Investor ID],INVESTORS_LIST[[#This Row],[INVESTOR CODE]],LS[B/S],"S")</f>
        <v>0</v>
      </c>
      <c r="X175" s="33">
        <f>SUMIFS(SIP[BO UNIT TRANSFER],SIP[Investor ID],INVESTORS_LIST[[#This Row],[INVESTOR CODE]],SIP[B/S],"S")</f>
        <v>0</v>
      </c>
      <c r="Y175" s="33">
        <f>SUMIFS(SIP[BO UNIT TRANSFER],SIP[Investor ID],INVESTORS_LIST[[#This Row],[INVESTOR CODE]],SIP[B/S],"B")</f>
        <v>0</v>
      </c>
      <c r="Z17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75" s="119">
        <f>INVESTORS_LIST[[#This Row],[TOTAL UNITS BUY]]-INVESTORS_LIST[[#This Row],[TOTAL UNITS SOLD]]</f>
        <v>0</v>
      </c>
      <c r="AB175" s="119">
        <f>INVESTORS_LIST[[#This Row],[TOTAL CURRENT UNITS]]-INVESTORS_LIST[[#This Row],[BO UNITS HOLD]]</f>
        <v>0</v>
      </c>
      <c r="AC175" s="119" t="e">
        <f>INDEX([4]!Table_1[BO ID],MATCH(INVESTORS_LIST[[#This Row],[INVESTOR CODE]],[4]!Table_1[INVESTOR CODE],0))</f>
        <v>#REF!</v>
      </c>
      <c r="AD175" s="33">
        <f>INVESTORS_LIST[[#This Row],[LS_TOTAL COST VALUE OF CURRENT UNITS]]+INVESTORS_LIST[[#This Row],[SIP_TOTAL COST VALUE OF CURRENT UNITS]]</f>
        <v>0</v>
      </c>
      <c r="AE175" s="44">
        <f>IF(INVESTORS_LIST[[#This Row],[TOTAL CURRENT UNITS]]=0,0,INVESTORS_LIST[[#This Row],[LS_TOTAL CURRENT UNITS]]/INVESTORS_LIST[[#This Row],[TOTAL CURRENT UNITS]])</f>
        <v>0</v>
      </c>
      <c r="AF175" s="44">
        <f>IF(INVESTORS_LIST[[#This Row],[TOTAL CURRENT UNITS]]=0,0,INVESTORS_LIST[[#This Row],[SIP_TOTAL CURRENT UNITS]]/INVESTORS_LIST[[#This Row],[TOTAL CURRENT UNITS]])</f>
        <v>0</v>
      </c>
      <c r="AG175" s="4" cm="1">
        <f t="array" ref="AG17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75" s="4" cm="1">
        <f t="array" ref="AH17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7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75" s="178">
        <f t="shared" si="2"/>
        <v>12.552</v>
      </c>
      <c r="AK175" s="118">
        <f>IF(INVESTORS_LIST[[#This Row],[TOTAL CURRENT UNITS]]=0,0,INVESTORS_LIST[[#This Row],[TOTAL CURRENT UNITS]]*INVESTORS_LIST[[#This Row],[NAV]])</f>
        <v>0</v>
      </c>
      <c r="AL175" s="4">
        <f>IF(INVESTORS_LIST[[#This Row],[LS_TOTAL CURRENT UNITS]]=0,0,INVESTORS_LIST[[#This Row],[LS_TOTAL CURRENT UNITS]]*INVESTORS_LIST[[#This Row],[NAV]])</f>
        <v>0</v>
      </c>
      <c r="AM175" s="6">
        <f>IF(INVESTORS_LIST[[#This Row],[SIP_TOTAL CURRENT UNITS]]=0,0,INVESTORS_LIST[[#This Row],[SIP_TOTAL CURRENT UNITS]]*INVESTORS_LIST[[#This Row],[NAV]])</f>
        <v>0</v>
      </c>
      <c r="AO175" s="6">
        <f>IF(INVESTORS_LIST[[#This Row],[TOTAL SELLABLE UNITS]]=0,0,INVESTORS_LIST[[#This Row],[TOTAL SELLABLE UNITS]]*INVESTORS_LIST[[#This Row],[NAV]])</f>
        <v>0</v>
      </c>
      <c r="AP175" s="6">
        <f>INVESTORS_LIST[[#This Row],[LS_TOTAL REALIZED GAIN]]+INVESTORS_LIST[[#This Row],[SIP_TOTAL REALIZED GAIN]]</f>
        <v>0</v>
      </c>
      <c r="AQ175" s="6">
        <f>INVESTORS_LIST[[#This Row],[TOTAL MARKET VALUE]]-INVESTORS_LIST[[#This Row],[TOTAL COST VALUE OF CURRENT INVESTMENT]]</f>
        <v>0</v>
      </c>
      <c r="AR175" s="6">
        <f>SUMIFS(DivAndTax[Tax Amount],DivAndTax[Investor ID],INVESTORS_LIST[[#This Row],[INVESTOR CODE]])</f>
        <v>0</v>
      </c>
      <c r="AS175" s="6">
        <f>SUMIFS(DivAndTax[Gross Dividend],DivAndTax[Investor ID],INVESTORS_LIST[[#This Row],[INVESTOR CODE]])</f>
        <v>0</v>
      </c>
      <c r="AT175" s="5">
        <f>IFERROR(INVESTORS_LIST[[#This Row],[TOTAL CURRENT UNITS]]/SUM(INVESTORS_LIST[TOTAL CURRENT UNITS]),0)</f>
        <v>0</v>
      </c>
    </row>
    <row r="176" spans="1:46" hidden="1">
      <c r="A176" t="s">
        <v>836</v>
      </c>
      <c r="B176" t="s">
        <v>209</v>
      </c>
      <c r="C176" t="s">
        <v>536</v>
      </c>
      <c r="D176" s="8" t="s">
        <v>2</v>
      </c>
      <c r="E176" s="2">
        <f>SUMIFS(LS[Unit],LS[Investor ID],INVESTORS_LIST[[#This Row],[INVESTOR CODE]],LS[B/S],"B")</f>
        <v>0</v>
      </c>
      <c r="F176" s="2">
        <f>-SUMIFS(LS[Unit],LS[Investor ID],INVESTORS_LIST[[#This Row],[INVESTOR CODE]],LS[B/S],"S")</f>
        <v>0</v>
      </c>
      <c r="G176" s="2">
        <f>IF(INVESTORS_LIST[[#This Row],[LS_TOTAL UNITS BUY]]=0,0,INVESTORS_LIST[[#This Row],[LS_TOTAL UNITS BUY]]-INVESTORS_LIST[[#This Row],[LS_TOTAL UNITS SOLD]])</f>
        <v>0</v>
      </c>
      <c r="H176" s="4">
        <f>IF(INVESTORS_LIST[[#This Row],[LS_TOTAL UNITS BUY]]=0,0,SUMIFS(LS[Amount],LS[Investor ID],INVESTORS_LIST[[#This Row],[INVESTOR CODE]],LS[B/S],"B"))</f>
        <v>0</v>
      </c>
      <c r="I176" s="6">
        <f>IF(INVESTORS_LIST[[#This Row],[LS_TOTAL UNITS SOLD]]=0,0,SUMIFS(LS[Cost of Units Sold],LS[Investor ID],INVESTORS_LIST[[#This Row],[INVESTOR CODE]],LS[B/S],"S"))</f>
        <v>0</v>
      </c>
      <c r="J176" s="6">
        <f>IF(INVESTORS_LIST[[#This Row],[LS_TOTAL CURRENT UNITS]]=0,0,INVESTORS_LIST[[#This Row],[LS_TOTAL CURRENT UNITS]]*INVESTORS_LIST[[#This Row],[LS_AVERAGE COST]])</f>
        <v>0</v>
      </c>
      <c r="K176" s="4">
        <f>IF(INVESTORS_LIST[[#This Row],[LS_TOTAL UNITS SOLD]]=0,0,SUMIFS(LS[Realized Gain],LS[Investor ID],INVESTORS_LIST[[#This Row],[INVESTOR CODE]],LS[B/S],"S"))</f>
        <v>0</v>
      </c>
      <c r="L176" s="2">
        <f>SUMIFS(SIP[Unit],SIP[Investor ID],INVESTORS_LIST[[#This Row],[INVESTOR CODE]],SIP[B/S],"B")</f>
        <v>0</v>
      </c>
      <c r="M176" s="2">
        <f>-SUMIFS(SIP[Unit],SIP[Investor ID],INVESTORS_LIST[[#This Row],[INVESTOR CODE]],SIP[B/S],"S")</f>
        <v>0</v>
      </c>
      <c r="N176" s="33">
        <f>IF(INVESTORS_LIST[[#This Row],[SIP_TOTAL UNITS BUY]]=0,0,INVESTORS_LIST[[#This Row],[SIP_TOTAL UNITS BUY]]-INVESTORS_LIST[[#This Row],[SIP_TOTAL UNITS SOLD]])</f>
        <v>0</v>
      </c>
      <c r="O176" s="4">
        <f>IF(INVESTORS_LIST[[#This Row],[SIP_TOTAL UNITS BUY]]=0,0,SUMIFS(SIP[Amount],SIP[Investor ID],INVESTORS_LIST[[#This Row],[INVESTOR CODE]],SIP[B/S],"B"))</f>
        <v>0</v>
      </c>
      <c r="P176" s="4">
        <f>IF(INVESTORS_LIST[[#This Row],[SIP_TOTAL UNITS SOLD]]=0,0,SUMIFS(SIP[Cost of Units Sold],SIP[Investor ID],INVESTORS_LIST[[#This Row],[INVESTOR CODE]],SIP[B/S],"S"))</f>
        <v>0</v>
      </c>
      <c r="Q176" s="6">
        <f>IF(INVESTORS_LIST[[#This Row],[SIP_TOTAL CURRENT UNITS]]=0,0,INVESTORS_LIST[[#This Row],[SIP_TOTAL CURRENT UNITS]]*INVESTORS_LIST[[#This Row],[SIP_AVERAGE COST]])</f>
        <v>0</v>
      </c>
      <c r="R176" s="6">
        <f>IF(INVESTORS_LIST[[#This Row],[SIP_TOTAL UNITS SOLD]]=0,0,SUMIFS(SIP[Realized Gain],SIP[Investor ID],INVESTORS_LIST[[#This Row],[INVESTOR CODE]],SIP[B/S],"S"))</f>
        <v>0</v>
      </c>
      <c r="S176" s="33">
        <f>INVESTORS_LIST[[#This Row],[LS_TOTAL UNITS BUY]]+INVESTORS_LIST[[#This Row],[SIP_TOTAL UNITS BUY]]</f>
        <v>0</v>
      </c>
      <c r="T176" s="33">
        <f>INVESTORS_LIST[[#This Row],[LS_TOTAL UNITS SOLD]]+INVESTORS_LIST[[#This Row],[SIP_TOTAL UNITS SOLD]]</f>
        <v>0</v>
      </c>
      <c r="U176" s="33">
        <v>0</v>
      </c>
      <c r="V176" s="33">
        <f>SUMIFS(LS[BO UNIT TRANSFER],LS[Investor ID],INVESTORS_LIST[[#This Row],[INVESTOR CODE]],LS[B/S],"B")</f>
        <v>0</v>
      </c>
      <c r="W176" s="33">
        <f>SUMIFS(LS[BO UNIT TRANSFER],LS[Investor ID],INVESTORS_LIST[[#This Row],[INVESTOR CODE]],LS[B/S],"S")</f>
        <v>0</v>
      </c>
      <c r="X176" s="33">
        <f>SUMIFS(SIP[BO UNIT TRANSFER],SIP[Investor ID],INVESTORS_LIST[[#This Row],[INVESTOR CODE]],SIP[B/S],"S")</f>
        <v>0</v>
      </c>
      <c r="Y176" s="33">
        <f>SUMIFS(SIP[BO UNIT TRANSFER],SIP[Investor ID],INVESTORS_LIST[[#This Row],[INVESTOR CODE]],SIP[B/S],"B")</f>
        <v>0</v>
      </c>
      <c r="Z17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76" s="119">
        <f>INVESTORS_LIST[[#This Row],[TOTAL UNITS BUY]]-INVESTORS_LIST[[#This Row],[TOTAL UNITS SOLD]]</f>
        <v>0</v>
      </c>
      <c r="AB176" s="119">
        <f>INVESTORS_LIST[[#This Row],[TOTAL CURRENT UNITS]]-INVESTORS_LIST[[#This Row],[BO UNITS HOLD]]</f>
        <v>0</v>
      </c>
      <c r="AC176" s="119" t="e">
        <f>INDEX([4]!Table_1[BO ID],MATCH(INVESTORS_LIST[[#This Row],[INVESTOR CODE]],[4]!Table_1[INVESTOR CODE],0))</f>
        <v>#REF!</v>
      </c>
      <c r="AD176" s="33">
        <f>INVESTORS_LIST[[#This Row],[LS_TOTAL COST VALUE OF CURRENT UNITS]]+INVESTORS_LIST[[#This Row],[SIP_TOTAL COST VALUE OF CURRENT UNITS]]</f>
        <v>0</v>
      </c>
      <c r="AE176" s="44">
        <f>IF(INVESTORS_LIST[[#This Row],[TOTAL CURRENT UNITS]]=0,0,INVESTORS_LIST[[#This Row],[LS_TOTAL CURRENT UNITS]]/INVESTORS_LIST[[#This Row],[TOTAL CURRENT UNITS]])</f>
        <v>0</v>
      </c>
      <c r="AF176" s="44">
        <f>IF(INVESTORS_LIST[[#This Row],[TOTAL CURRENT UNITS]]=0,0,INVESTORS_LIST[[#This Row],[SIP_TOTAL CURRENT UNITS]]/INVESTORS_LIST[[#This Row],[TOTAL CURRENT UNITS]])</f>
        <v>0</v>
      </c>
      <c r="AG176" s="4" cm="1">
        <f t="array" ref="AG17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76" s="4" cm="1">
        <f t="array" ref="AH1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7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76" s="178">
        <f t="shared" si="2"/>
        <v>12.552</v>
      </c>
      <c r="AK176" s="118">
        <f>IF(INVESTORS_LIST[[#This Row],[TOTAL CURRENT UNITS]]=0,0,INVESTORS_LIST[[#This Row],[TOTAL CURRENT UNITS]]*INVESTORS_LIST[[#This Row],[NAV]])</f>
        <v>0</v>
      </c>
      <c r="AL176" s="4">
        <f>IF(INVESTORS_LIST[[#This Row],[LS_TOTAL CURRENT UNITS]]=0,0,INVESTORS_LIST[[#This Row],[LS_TOTAL CURRENT UNITS]]*INVESTORS_LIST[[#This Row],[NAV]])</f>
        <v>0</v>
      </c>
      <c r="AM176" s="6">
        <f>IF(INVESTORS_LIST[[#This Row],[SIP_TOTAL CURRENT UNITS]]=0,0,INVESTORS_LIST[[#This Row],[SIP_TOTAL CURRENT UNITS]]*INVESTORS_LIST[[#This Row],[NAV]])</f>
        <v>0</v>
      </c>
      <c r="AO176" s="6">
        <f>IF(INVESTORS_LIST[[#This Row],[TOTAL SELLABLE UNITS]]=0,0,INVESTORS_LIST[[#This Row],[TOTAL SELLABLE UNITS]]*INVESTORS_LIST[[#This Row],[NAV]])</f>
        <v>0</v>
      </c>
      <c r="AP176" s="6">
        <f>INVESTORS_LIST[[#This Row],[LS_TOTAL REALIZED GAIN]]+INVESTORS_LIST[[#This Row],[SIP_TOTAL REALIZED GAIN]]</f>
        <v>0</v>
      </c>
      <c r="AQ176" s="6">
        <f>INVESTORS_LIST[[#This Row],[TOTAL MARKET VALUE]]-INVESTORS_LIST[[#This Row],[TOTAL COST VALUE OF CURRENT INVESTMENT]]</f>
        <v>0</v>
      </c>
      <c r="AR176" s="6">
        <f>SUMIFS(DivAndTax[Tax Amount],DivAndTax[Investor ID],INVESTORS_LIST[[#This Row],[INVESTOR CODE]])</f>
        <v>0</v>
      </c>
      <c r="AS176" s="6">
        <f>SUMIFS(DivAndTax[Gross Dividend],DivAndTax[Investor ID],INVESTORS_LIST[[#This Row],[INVESTOR CODE]])</f>
        <v>0</v>
      </c>
      <c r="AT176" s="5">
        <f>IFERROR(INVESTORS_LIST[[#This Row],[TOTAL CURRENT UNITS]]/SUM(INVESTORS_LIST[TOTAL CURRENT UNITS]),0)</f>
        <v>0</v>
      </c>
    </row>
    <row r="177" spans="1:46" hidden="1">
      <c r="A177" t="s">
        <v>837</v>
      </c>
      <c r="B177" t="s">
        <v>210</v>
      </c>
      <c r="C177" t="s">
        <v>536</v>
      </c>
      <c r="D177" s="8" t="s">
        <v>2</v>
      </c>
      <c r="E177" s="2">
        <f>SUMIFS(LS[Unit],LS[Investor ID],INVESTORS_LIST[[#This Row],[INVESTOR CODE]],LS[B/S],"B")</f>
        <v>0</v>
      </c>
      <c r="F177" s="2">
        <f>-SUMIFS(LS[Unit],LS[Investor ID],INVESTORS_LIST[[#This Row],[INVESTOR CODE]],LS[B/S],"S")</f>
        <v>0</v>
      </c>
      <c r="G177" s="2">
        <f>IF(INVESTORS_LIST[[#This Row],[LS_TOTAL UNITS BUY]]=0,0,INVESTORS_LIST[[#This Row],[LS_TOTAL UNITS BUY]]-INVESTORS_LIST[[#This Row],[LS_TOTAL UNITS SOLD]])</f>
        <v>0</v>
      </c>
      <c r="H177" s="4">
        <f>IF(INVESTORS_LIST[[#This Row],[LS_TOTAL UNITS BUY]]=0,0,SUMIFS(LS[Amount],LS[Investor ID],INVESTORS_LIST[[#This Row],[INVESTOR CODE]],LS[B/S],"B"))</f>
        <v>0</v>
      </c>
      <c r="I177" s="6">
        <f>IF(INVESTORS_LIST[[#This Row],[LS_TOTAL UNITS SOLD]]=0,0,SUMIFS(LS[Cost of Units Sold],LS[Investor ID],INVESTORS_LIST[[#This Row],[INVESTOR CODE]],LS[B/S],"S"))</f>
        <v>0</v>
      </c>
      <c r="J177" s="6">
        <f>IF(INVESTORS_LIST[[#This Row],[LS_TOTAL CURRENT UNITS]]=0,0,INVESTORS_LIST[[#This Row],[LS_TOTAL CURRENT UNITS]]*INVESTORS_LIST[[#This Row],[LS_AVERAGE COST]])</f>
        <v>0</v>
      </c>
      <c r="K177" s="4">
        <f>IF(INVESTORS_LIST[[#This Row],[LS_TOTAL UNITS SOLD]]=0,0,SUMIFS(LS[Realized Gain],LS[Investor ID],INVESTORS_LIST[[#This Row],[INVESTOR CODE]],LS[B/S],"S"))</f>
        <v>0</v>
      </c>
      <c r="L177" s="2">
        <f>SUMIFS(SIP[Unit],SIP[Investor ID],INVESTORS_LIST[[#This Row],[INVESTOR CODE]],SIP[B/S],"B")</f>
        <v>0</v>
      </c>
      <c r="M177" s="2">
        <f>-SUMIFS(SIP[Unit],SIP[Investor ID],INVESTORS_LIST[[#This Row],[INVESTOR CODE]],SIP[B/S],"S")</f>
        <v>0</v>
      </c>
      <c r="N177" s="33">
        <f>IF(INVESTORS_LIST[[#This Row],[SIP_TOTAL UNITS BUY]]=0,0,INVESTORS_LIST[[#This Row],[SIP_TOTAL UNITS BUY]]-INVESTORS_LIST[[#This Row],[SIP_TOTAL UNITS SOLD]])</f>
        <v>0</v>
      </c>
      <c r="O177" s="4">
        <f>IF(INVESTORS_LIST[[#This Row],[SIP_TOTAL UNITS BUY]]=0,0,SUMIFS(SIP[Amount],SIP[Investor ID],INVESTORS_LIST[[#This Row],[INVESTOR CODE]],SIP[B/S],"B"))</f>
        <v>0</v>
      </c>
      <c r="P177" s="4">
        <f>IF(INVESTORS_LIST[[#This Row],[SIP_TOTAL UNITS SOLD]]=0,0,SUMIFS(SIP[Cost of Units Sold],SIP[Investor ID],INVESTORS_LIST[[#This Row],[INVESTOR CODE]],SIP[B/S],"S"))</f>
        <v>0</v>
      </c>
      <c r="Q177" s="6">
        <f>IF(INVESTORS_LIST[[#This Row],[SIP_TOTAL CURRENT UNITS]]=0,0,INVESTORS_LIST[[#This Row],[SIP_TOTAL CURRENT UNITS]]*INVESTORS_LIST[[#This Row],[SIP_AVERAGE COST]])</f>
        <v>0</v>
      </c>
      <c r="R177" s="6">
        <f>IF(INVESTORS_LIST[[#This Row],[SIP_TOTAL UNITS SOLD]]=0,0,SUMIFS(SIP[Realized Gain],SIP[Investor ID],INVESTORS_LIST[[#This Row],[INVESTOR CODE]],SIP[B/S],"S"))</f>
        <v>0</v>
      </c>
      <c r="S177" s="33">
        <f>INVESTORS_LIST[[#This Row],[LS_TOTAL UNITS BUY]]+INVESTORS_LIST[[#This Row],[SIP_TOTAL UNITS BUY]]</f>
        <v>0</v>
      </c>
      <c r="T177" s="33">
        <f>INVESTORS_LIST[[#This Row],[LS_TOTAL UNITS SOLD]]+INVESTORS_LIST[[#This Row],[SIP_TOTAL UNITS SOLD]]</f>
        <v>0</v>
      </c>
      <c r="U177" s="33">
        <v>0</v>
      </c>
      <c r="V177" s="33">
        <f>SUMIFS(LS[BO UNIT TRANSFER],LS[Investor ID],INVESTORS_LIST[[#This Row],[INVESTOR CODE]],LS[B/S],"B")</f>
        <v>0</v>
      </c>
      <c r="W177" s="33">
        <f>SUMIFS(LS[BO UNIT TRANSFER],LS[Investor ID],INVESTORS_LIST[[#This Row],[INVESTOR CODE]],LS[B/S],"S")</f>
        <v>0</v>
      </c>
      <c r="X177" s="33">
        <f>SUMIFS(SIP[BO UNIT TRANSFER],SIP[Investor ID],INVESTORS_LIST[[#This Row],[INVESTOR CODE]],SIP[B/S],"S")</f>
        <v>0</v>
      </c>
      <c r="Y177" s="33">
        <f>SUMIFS(SIP[BO UNIT TRANSFER],SIP[Investor ID],INVESTORS_LIST[[#This Row],[INVESTOR CODE]],SIP[B/S],"B")</f>
        <v>0</v>
      </c>
      <c r="Z17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77" s="119">
        <f>INVESTORS_LIST[[#This Row],[TOTAL UNITS BUY]]-INVESTORS_LIST[[#This Row],[TOTAL UNITS SOLD]]</f>
        <v>0</v>
      </c>
      <c r="AB177" s="119">
        <f>INVESTORS_LIST[[#This Row],[TOTAL CURRENT UNITS]]-INVESTORS_LIST[[#This Row],[BO UNITS HOLD]]</f>
        <v>0</v>
      </c>
      <c r="AC177" s="119" t="e">
        <f>INDEX([4]!Table_1[BO ID],MATCH(INVESTORS_LIST[[#This Row],[INVESTOR CODE]],[4]!Table_1[INVESTOR CODE],0))</f>
        <v>#REF!</v>
      </c>
      <c r="AD177" s="33">
        <f>INVESTORS_LIST[[#This Row],[LS_TOTAL COST VALUE OF CURRENT UNITS]]+INVESTORS_LIST[[#This Row],[SIP_TOTAL COST VALUE OF CURRENT UNITS]]</f>
        <v>0</v>
      </c>
      <c r="AE177" s="44">
        <f>IF(INVESTORS_LIST[[#This Row],[TOTAL CURRENT UNITS]]=0,0,INVESTORS_LIST[[#This Row],[LS_TOTAL CURRENT UNITS]]/INVESTORS_LIST[[#This Row],[TOTAL CURRENT UNITS]])</f>
        <v>0</v>
      </c>
      <c r="AF177" s="44">
        <f>IF(INVESTORS_LIST[[#This Row],[TOTAL CURRENT UNITS]]=0,0,INVESTORS_LIST[[#This Row],[SIP_TOTAL CURRENT UNITS]]/INVESTORS_LIST[[#This Row],[TOTAL CURRENT UNITS]])</f>
        <v>0</v>
      </c>
      <c r="AG177" s="4" cm="1">
        <f t="array" ref="AG17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77" s="4" cm="1">
        <f t="array" ref="AH1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7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77" s="178">
        <f t="shared" si="2"/>
        <v>12.552</v>
      </c>
      <c r="AK177" s="118">
        <f>IF(INVESTORS_LIST[[#This Row],[TOTAL CURRENT UNITS]]=0,0,INVESTORS_LIST[[#This Row],[TOTAL CURRENT UNITS]]*INVESTORS_LIST[[#This Row],[NAV]])</f>
        <v>0</v>
      </c>
      <c r="AL177" s="4">
        <f>IF(INVESTORS_LIST[[#This Row],[LS_TOTAL CURRENT UNITS]]=0,0,INVESTORS_LIST[[#This Row],[LS_TOTAL CURRENT UNITS]]*INVESTORS_LIST[[#This Row],[NAV]])</f>
        <v>0</v>
      </c>
      <c r="AM177" s="6">
        <f>IF(INVESTORS_LIST[[#This Row],[SIP_TOTAL CURRENT UNITS]]=0,0,INVESTORS_LIST[[#This Row],[SIP_TOTAL CURRENT UNITS]]*INVESTORS_LIST[[#This Row],[NAV]])</f>
        <v>0</v>
      </c>
      <c r="AO177" s="6">
        <f>IF(INVESTORS_LIST[[#This Row],[TOTAL SELLABLE UNITS]]=0,0,INVESTORS_LIST[[#This Row],[TOTAL SELLABLE UNITS]]*INVESTORS_LIST[[#This Row],[NAV]])</f>
        <v>0</v>
      </c>
      <c r="AP177" s="6">
        <f>INVESTORS_LIST[[#This Row],[LS_TOTAL REALIZED GAIN]]+INVESTORS_LIST[[#This Row],[SIP_TOTAL REALIZED GAIN]]</f>
        <v>0</v>
      </c>
      <c r="AQ177" s="6">
        <f>INVESTORS_LIST[[#This Row],[TOTAL MARKET VALUE]]-INVESTORS_LIST[[#This Row],[TOTAL COST VALUE OF CURRENT INVESTMENT]]</f>
        <v>0</v>
      </c>
      <c r="AR177" s="6">
        <f>SUMIFS(DivAndTax[Tax Amount],DivAndTax[Investor ID],INVESTORS_LIST[[#This Row],[INVESTOR CODE]])</f>
        <v>0</v>
      </c>
      <c r="AS177" s="6">
        <f>SUMIFS(DivAndTax[Gross Dividend],DivAndTax[Investor ID],INVESTORS_LIST[[#This Row],[INVESTOR CODE]])</f>
        <v>0</v>
      </c>
      <c r="AT177" s="5">
        <f>IFERROR(INVESTORS_LIST[[#This Row],[TOTAL CURRENT UNITS]]/SUM(INVESTORS_LIST[TOTAL CURRENT UNITS]),0)</f>
        <v>0</v>
      </c>
    </row>
    <row r="178" spans="1:46" hidden="1">
      <c r="A178" t="s">
        <v>838</v>
      </c>
      <c r="B178" t="s">
        <v>211</v>
      </c>
      <c r="C178" t="s">
        <v>536</v>
      </c>
      <c r="D178" s="8" t="s">
        <v>2</v>
      </c>
      <c r="E178" s="2">
        <f>SUMIFS(LS[Unit],LS[Investor ID],INVESTORS_LIST[[#This Row],[INVESTOR CODE]],LS[B/S],"B")</f>
        <v>0</v>
      </c>
      <c r="F178" s="2">
        <f>-SUMIFS(LS[Unit],LS[Investor ID],INVESTORS_LIST[[#This Row],[INVESTOR CODE]],LS[B/S],"S")</f>
        <v>0</v>
      </c>
      <c r="G178" s="2">
        <f>IF(INVESTORS_LIST[[#This Row],[LS_TOTAL UNITS BUY]]=0,0,INVESTORS_LIST[[#This Row],[LS_TOTAL UNITS BUY]]-INVESTORS_LIST[[#This Row],[LS_TOTAL UNITS SOLD]])</f>
        <v>0</v>
      </c>
      <c r="H178" s="4">
        <f>IF(INVESTORS_LIST[[#This Row],[LS_TOTAL UNITS BUY]]=0,0,SUMIFS(LS[Amount],LS[Investor ID],INVESTORS_LIST[[#This Row],[INVESTOR CODE]],LS[B/S],"B"))</f>
        <v>0</v>
      </c>
      <c r="I178" s="6">
        <f>IF(INVESTORS_LIST[[#This Row],[LS_TOTAL UNITS SOLD]]=0,0,SUMIFS(LS[Cost of Units Sold],LS[Investor ID],INVESTORS_LIST[[#This Row],[INVESTOR CODE]],LS[B/S],"S"))</f>
        <v>0</v>
      </c>
      <c r="J178" s="6">
        <f>IF(INVESTORS_LIST[[#This Row],[LS_TOTAL CURRENT UNITS]]=0,0,INVESTORS_LIST[[#This Row],[LS_TOTAL CURRENT UNITS]]*INVESTORS_LIST[[#This Row],[LS_AVERAGE COST]])</f>
        <v>0</v>
      </c>
      <c r="K178" s="4">
        <f>IF(INVESTORS_LIST[[#This Row],[LS_TOTAL UNITS SOLD]]=0,0,SUMIFS(LS[Realized Gain],LS[Investor ID],INVESTORS_LIST[[#This Row],[INVESTOR CODE]],LS[B/S],"S"))</f>
        <v>0</v>
      </c>
      <c r="L178" s="2">
        <f>SUMIFS(SIP[Unit],SIP[Investor ID],INVESTORS_LIST[[#This Row],[INVESTOR CODE]],SIP[B/S],"B")</f>
        <v>0</v>
      </c>
      <c r="M178" s="2">
        <f>-SUMIFS(SIP[Unit],SIP[Investor ID],INVESTORS_LIST[[#This Row],[INVESTOR CODE]],SIP[B/S],"S")</f>
        <v>0</v>
      </c>
      <c r="N178" s="33">
        <f>IF(INVESTORS_LIST[[#This Row],[SIP_TOTAL UNITS BUY]]=0,0,INVESTORS_LIST[[#This Row],[SIP_TOTAL UNITS BUY]]-INVESTORS_LIST[[#This Row],[SIP_TOTAL UNITS SOLD]])</f>
        <v>0</v>
      </c>
      <c r="O178" s="4">
        <f>IF(INVESTORS_LIST[[#This Row],[SIP_TOTAL UNITS BUY]]=0,0,SUMIFS(SIP[Amount],SIP[Investor ID],INVESTORS_LIST[[#This Row],[INVESTOR CODE]],SIP[B/S],"B"))</f>
        <v>0</v>
      </c>
      <c r="P178" s="4">
        <f>IF(INVESTORS_LIST[[#This Row],[SIP_TOTAL UNITS SOLD]]=0,0,SUMIFS(SIP[Cost of Units Sold],SIP[Investor ID],INVESTORS_LIST[[#This Row],[INVESTOR CODE]],SIP[B/S],"S"))</f>
        <v>0</v>
      </c>
      <c r="Q178" s="6">
        <f>IF(INVESTORS_LIST[[#This Row],[SIP_TOTAL CURRENT UNITS]]=0,0,INVESTORS_LIST[[#This Row],[SIP_TOTAL CURRENT UNITS]]*INVESTORS_LIST[[#This Row],[SIP_AVERAGE COST]])</f>
        <v>0</v>
      </c>
      <c r="R178" s="6">
        <f>IF(INVESTORS_LIST[[#This Row],[SIP_TOTAL UNITS SOLD]]=0,0,SUMIFS(SIP[Realized Gain],SIP[Investor ID],INVESTORS_LIST[[#This Row],[INVESTOR CODE]],SIP[B/S],"S"))</f>
        <v>0</v>
      </c>
      <c r="S178" s="33">
        <f>INVESTORS_LIST[[#This Row],[LS_TOTAL UNITS BUY]]+INVESTORS_LIST[[#This Row],[SIP_TOTAL UNITS BUY]]</f>
        <v>0</v>
      </c>
      <c r="T178" s="33">
        <f>INVESTORS_LIST[[#This Row],[LS_TOTAL UNITS SOLD]]+INVESTORS_LIST[[#This Row],[SIP_TOTAL UNITS SOLD]]</f>
        <v>0</v>
      </c>
      <c r="U178" s="33">
        <v>0</v>
      </c>
      <c r="V178" s="33">
        <f>SUMIFS(LS[BO UNIT TRANSFER],LS[Investor ID],INVESTORS_LIST[[#This Row],[INVESTOR CODE]],LS[B/S],"B")</f>
        <v>0</v>
      </c>
      <c r="W178" s="33">
        <f>SUMIFS(LS[BO UNIT TRANSFER],LS[Investor ID],INVESTORS_LIST[[#This Row],[INVESTOR CODE]],LS[B/S],"S")</f>
        <v>0</v>
      </c>
      <c r="X178" s="33">
        <f>SUMIFS(SIP[BO UNIT TRANSFER],SIP[Investor ID],INVESTORS_LIST[[#This Row],[INVESTOR CODE]],SIP[B/S],"S")</f>
        <v>0</v>
      </c>
      <c r="Y178" s="33">
        <f>SUMIFS(SIP[BO UNIT TRANSFER],SIP[Investor ID],INVESTORS_LIST[[#This Row],[INVESTOR CODE]],SIP[B/S],"B")</f>
        <v>0</v>
      </c>
      <c r="Z17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78" s="119">
        <f>INVESTORS_LIST[[#This Row],[TOTAL UNITS BUY]]-INVESTORS_LIST[[#This Row],[TOTAL UNITS SOLD]]</f>
        <v>0</v>
      </c>
      <c r="AB178" s="119">
        <f>INVESTORS_LIST[[#This Row],[TOTAL CURRENT UNITS]]-INVESTORS_LIST[[#This Row],[BO UNITS HOLD]]</f>
        <v>0</v>
      </c>
      <c r="AC178" s="119" t="e">
        <f>INDEX([4]!Table_1[BO ID],MATCH(INVESTORS_LIST[[#This Row],[INVESTOR CODE]],[4]!Table_1[INVESTOR CODE],0))</f>
        <v>#REF!</v>
      </c>
      <c r="AD178" s="33">
        <f>INVESTORS_LIST[[#This Row],[LS_TOTAL COST VALUE OF CURRENT UNITS]]+INVESTORS_LIST[[#This Row],[SIP_TOTAL COST VALUE OF CURRENT UNITS]]</f>
        <v>0</v>
      </c>
      <c r="AE178" s="44">
        <f>IF(INVESTORS_LIST[[#This Row],[TOTAL CURRENT UNITS]]=0,0,INVESTORS_LIST[[#This Row],[LS_TOTAL CURRENT UNITS]]/INVESTORS_LIST[[#This Row],[TOTAL CURRENT UNITS]])</f>
        <v>0</v>
      </c>
      <c r="AF178" s="44">
        <f>IF(INVESTORS_LIST[[#This Row],[TOTAL CURRENT UNITS]]=0,0,INVESTORS_LIST[[#This Row],[SIP_TOTAL CURRENT UNITS]]/INVESTORS_LIST[[#This Row],[TOTAL CURRENT UNITS]])</f>
        <v>0</v>
      </c>
      <c r="AG178" s="4" cm="1">
        <f t="array" ref="AG17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78" s="4" cm="1">
        <f t="array" ref="AH1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7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78" s="178">
        <f t="shared" si="2"/>
        <v>12.552</v>
      </c>
      <c r="AK178" s="118">
        <f>IF(INVESTORS_LIST[[#This Row],[TOTAL CURRENT UNITS]]=0,0,INVESTORS_LIST[[#This Row],[TOTAL CURRENT UNITS]]*INVESTORS_LIST[[#This Row],[NAV]])</f>
        <v>0</v>
      </c>
      <c r="AL178" s="4">
        <f>IF(INVESTORS_LIST[[#This Row],[LS_TOTAL CURRENT UNITS]]=0,0,INVESTORS_LIST[[#This Row],[LS_TOTAL CURRENT UNITS]]*INVESTORS_LIST[[#This Row],[NAV]])</f>
        <v>0</v>
      </c>
      <c r="AM178" s="6">
        <f>IF(INVESTORS_LIST[[#This Row],[SIP_TOTAL CURRENT UNITS]]=0,0,INVESTORS_LIST[[#This Row],[SIP_TOTAL CURRENT UNITS]]*INVESTORS_LIST[[#This Row],[NAV]])</f>
        <v>0</v>
      </c>
      <c r="AO178" s="6">
        <f>IF(INVESTORS_LIST[[#This Row],[TOTAL SELLABLE UNITS]]=0,0,INVESTORS_LIST[[#This Row],[TOTAL SELLABLE UNITS]]*INVESTORS_LIST[[#This Row],[NAV]])</f>
        <v>0</v>
      </c>
      <c r="AP178" s="6">
        <f>INVESTORS_LIST[[#This Row],[LS_TOTAL REALIZED GAIN]]+INVESTORS_LIST[[#This Row],[SIP_TOTAL REALIZED GAIN]]</f>
        <v>0</v>
      </c>
      <c r="AQ178" s="6">
        <f>INVESTORS_LIST[[#This Row],[TOTAL MARKET VALUE]]-INVESTORS_LIST[[#This Row],[TOTAL COST VALUE OF CURRENT INVESTMENT]]</f>
        <v>0</v>
      </c>
      <c r="AR178" s="6">
        <f>SUMIFS(DivAndTax[Tax Amount],DivAndTax[Investor ID],INVESTORS_LIST[[#This Row],[INVESTOR CODE]])</f>
        <v>0</v>
      </c>
      <c r="AS178" s="6">
        <f>SUMIFS(DivAndTax[Gross Dividend],DivAndTax[Investor ID],INVESTORS_LIST[[#This Row],[INVESTOR CODE]])</f>
        <v>0</v>
      </c>
      <c r="AT178" s="5">
        <f>IFERROR(INVESTORS_LIST[[#This Row],[TOTAL CURRENT UNITS]]/SUM(INVESTORS_LIST[TOTAL CURRENT UNITS]),0)</f>
        <v>0</v>
      </c>
    </row>
    <row r="179" spans="1:46" hidden="1">
      <c r="A179" t="s">
        <v>839</v>
      </c>
      <c r="B179" t="s">
        <v>212</v>
      </c>
      <c r="C179" t="s">
        <v>536</v>
      </c>
      <c r="D179" s="8" t="s">
        <v>2</v>
      </c>
      <c r="E179" s="2">
        <f>SUMIFS(LS[Unit],LS[Investor ID],INVESTORS_LIST[[#This Row],[INVESTOR CODE]],LS[B/S],"B")</f>
        <v>0</v>
      </c>
      <c r="F179" s="2">
        <f>-SUMIFS(LS[Unit],LS[Investor ID],INVESTORS_LIST[[#This Row],[INVESTOR CODE]],LS[B/S],"S")</f>
        <v>0</v>
      </c>
      <c r="G179" s="2">
        <f>IF(INVESTORS_LIST[[#This Row],[LS_TOTAL UNITS BUY]]=0,0,INVESTORS_LIST[[#This Row],[LS_TOTAL UNITS BUY]]-INVESTORS_LIST[[#This Row],[LS_TOTAL UNITS SOLD]])</f>
        <v>0</v>
      </c>
      <c r="H179" s="4">
        <f>IF(INVESTORS_LIST[[#This Row],[LS_TOTAL UNITS BUY]]=0,0,SUMIFS(LS[Amount],LS[Investor ID],INVESTORS_LIST[[#This Row],[INVESTOR CODE]],LS[B/S],"B"))</f>
        <v>0</v>
      </c>
      <c r="I179" s="6">
        <f>IF(INVESTORS_LIST[[#This Row],[LS_TOTAL UNITS SOLD]]=0,0,SUMIFS(LS[Cost of Units Sold],LS[Investor ID],INVESTORS_LIST[[#This Row],[INVESTOR CODE]],LS[B/S],"S"))</f>
        <v>0</v>
      </c>
      <c r="J179" s="6">
        <f>IF(INVESTORS_LIST[[#This Row],[LS_TOTAL CURRENT UNITS]]=0,0,INVESTORS_LIST[[#This Row],[LS_TOTAL CURRENT UNITS]]*INVESTORS_LIST[[#This Row],[LS_AVERAGE COST]])</f>
        <v>0</v>
      </c>
      <c r="K179" s="4">
        <f>IF(INVESTORS_LIST[[#This Row],[LS_TOTAL UNITS SOLD]]=0,0,SUMIFS(LS[Realized Gain],LS[Investor ID],INVESTORS_LIST[[#This Row],[INVESTOR CODE]],LS[B/S],"S"))</f>
        <v>0</v>
      </c>
      <c r="L179" s="2">
        <f>SUMIFS(SIP[Unit],SIP[Investor ID],INVESTORS_LIST[[#This Row],[INVESTOR CODE]],SIP[B/S],"B")</f>
        <v>0</v>
      </c>
      <c r="M179" s="2">
        <f>-SUMIFS(SIP[Unit],SIP[Investor ID],INVESTORS_LIST[[#This Row],[INVESTOR CODE]],SIP[B/S],"S")</f>
        <v>0</v>
      </c>
      <c r="N179" s="33">
        <f>IF(INVESTORS_LIST[[#This Row],[SIP_TOTAL UNITS BUY]]=0,0,INVESTORS_LIST[[#This Row],[SIP_TOTAL UNITS BUY]]-INVESTORS_LIST[[#This Row],[SIP_TOTAL UNITS SOLD]])</f>
        <v>0</v>
      </c>
      <c r="O179" s="4">
        <f>IF(INVESTORS_LIST[[#This Row],[SIP_TOTAL UNITS BUY]]=0,0,SUMIFS(SIP[Amount],SIP[Investor ID],INVESTORS_LIST[[#This Row],[INVESTOR CODE]],SIP[B/S],"B"))</f>
        <v>0</v>
      </c>
      <c r="P179" s="4">
        <f>IF(INVESTORS_LIST[[#This Row],[SIP_TOTAL UNITS SOLD]]=0,0,SUMIFS(SIP[Cost of Units Sold],SIP[Investor ID],INVESTORS_LIST[[#This Row],[INVESTOR CODE]],SIP[B/S],"S"))</f>
        <v>0</v>
      </c>
      <c r="Q179" s="6">
        <f>IF(INVESTORS_LIST[[#This Row],[SIP_TOTAL CURRENT UNITS]]=0,0,INVESTORS_LIST[[#This Row],[SIP_TOTAL CURRENT UNITS]]*INVESTORS_LIST[[#This Row],[SIP_AVERAGE COST]])</f>
        <v>0</v>
      </c>
      <c r="R179" s="6">
        <f>IF(INVESTORS_LIST[[#This Row],[SIP_TOTAL UNITS SOLD]]=0,0,SUMIFS(SIP[Realized Gain],SIP[Investor ID],INVESTORS_LIST[[#This Row],[INVESTOR CODE]],SIP[B/S],"S"))</f>
        <v>0</v>
      </c>
      <c r="S179" s="33">
        <f>INVESTORS_LIST[[#This Row],[LS_TOTAL UNITS BUY]]+INVESTORS_LIST[[#This Row],[SIP_TOTAL UNITS BUY]]</f>
        <v>0</v>
      </c>
      <c r="T179" s="33">
        <f>INVESTORS_LIST[[#This Row],[LS_TOTAL UNITS SOLD]]+INVESTORS_LIST[[#This Row],[SIP_TOTAL UNITS SOLD]]</f>
        <v>0</v>
      </c>
      <c r="U179" s="33">
        <v>0</v>
      </c>
      <c r="V179" s="33">
        <f>SUMIFS(LS[BO UNIT TRANSFER],LS[Investor ID],INVESTORS_LIST[[#This Row],[INVESTOR CODE]],LS[B/S],"B")</f>
        <v>0</v>
      </c>
      <c r="W179" s="33">
        <f>SUMIFS(LS[BO UNIT TRANSFER],LS[Investor ID],INVESTORS_LIST[[#This Row],[INVESTOR CODE]],LS[B/S],"S")</f>
        <v>0</v>
      </c>
      <c r="X179" s="33">
        <f>SUMIFS(SIP[BO UNIT TRANSFER],SIP[Investor ID],INVESTORS_LIST[[#This Row],[INVESTOR CODE]],SIP[B/S],"S")</f>
        <v>0</v>
      </c>
      <c r="Y179" s="33">
        <f>SUMIFS(SIP[BO UNIT TRANSFER],SIP[Investor ID],INVESTORS_LIST[[#This Row],[INVESTOR CODE]],SIP[B/S],"B")</f>
        <v>0</v>
      </c>
      <c r="Z17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79" s="119">
        <f>INVESTORS_LIST[[#This Row],[TOTAL UNITS BUY]]-INVESTORS_LIST[[#This Row],[TOTAL UNITS SOLD]]</f>
        <v>0</v>
      </c>
      <c r="AB179" s="119">
        <f>INVESTORS_LIST[[#This Row],[TOTAL CURRENT UNITS]]-INVESTORS_LIST[[#This Row],[BO UNITS HOLD]]</f>
        <v>0</v>
      </c>
      <c r="AC179" s="119" t="e">
        <f>INDEX([4]!Table_1[BO ID],MATCH(INVESTORS_LIST[[#This Row],[INVESTOR CODE]],[4]!Table_1[INVESTOR CODE],0))</f>
        <v>#REF!</v>
      </c>
      <c r="AD179" s="33">
        <f>INVESTORS_LIST[[#This Row],[LS_TOTAL COST VALUE OF CURRENT UNITS]]+INVESTORS_LIST[[#This Row],[SIP_TOTAL COST VALUE OF CURRENT UNITS]]</f>
        <v>0</v>
      </c>
      <c r="AE179" s="44">
        <f>IF(INVESTORS_LIST[[#This Row],[TOTAL CURRENT UNITS]]=0,0,INVESTORS_LIST[[#This Row],[LS_TOTAL CURRENT UNITS]]/INVESTORS_LIST[[#This Row],[TOTAL CURRENT UNITS]])</f>
        <v>0</v>
      </c>
      <c r="AF179" s="44">
        <f>IF(INVESTORS_LIST[[#This Row],[TOTAL CURRENT UNITS]]=0,0,INVESTORS_LIST[[#This Row],[SIP_TOTAL CURRENT UNITS]]/INVESTORS_LIST[[#This Row],[TOTAL CURRENT UNITS]])</f>
        <v>0</v>
      </c>
      <c r="AG179" s="4" cm="1">
        <f t="array" ref="AG1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79" s="4" cm="1">
        <f t="array" ref="AH1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7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79" s="178">
        <f t="shared" si="2"/>
        <v>12.552</v>
      </c>
      <c r="AK179" s="118">
        <f>IF(INVESTORS_LIST[[#This Row],[TOTAL CURRENT UNITS]]=0,0,INVESTORS_LIST[[#This Row],[TOTAL CURRENT UNITS]]*INVESTORS_LIST[[#This Row],[NAV]])</f>
        <v>0</v>
      </c>
      <c r="AL179" s="4">
        <f>IF(INVESTORS_LIST[[#This Row],[LS_TOTAL CURRENT UNITS]]=0,0,INVESTORS_LIST[[#This Row],[LS_TOTAL CURRENT UNITS]]*INVESTORS_LIST[[#This Row],[NAV]])</f>
        <v>0</v>
      </c>
      <c r="AM179" s="6">
        <f>IF(INVESTORS_LIST[[#This Row],[SIP_TOTAL CURRENT UNITS]]=0,0,INVESTORS_LIST[[#This Row],[SIP_TOTAL CURRENT UNITS]]*INVESTORS_LIST[[#This Row],[NAV]])</f>
        <v>0</v>
      </c>
      <c r="AO179" s="6">
        <f>IF(INVESTORS_LIST[[#This Row],[TOTAL SELLABLE UNITS]]=0,0,INVESTORS_LIST[[#This Row],[TOTAL SELLABLE UNITS]]*INVESTORS_LIST[[#This Row],[NAV]])</f>
        <v>0</v>
      </c>
      <c r="AP179" s="6">
        <f>INVESTORS_LIST[[#This Row],[LS_TOTAL REALIZED GAIN]]+INVESTORS_LIST[[#This Row],[SIP_TOTAL REALIZED GAIN]]</f>
        <v>0</v>
      </c>
      <c r="AQ179" s="6">
        <f>INVESTORS_LIST[[#This Row],[TOTAL MARKET VALUE]]-INVESTORS_LIST[[#This Row],[TOTAL COST VALUE OF CURRENT INVESTMENT]]</f>
        <v>0</v>
      </c>
      <c r="AR179" s="6">
        <f>SUMIFS(DivAndTax[Tax Amount],DivAndTax[Investor ID],INVESTORS_LIST[[#This Row],[INVESTOR CODE]])</f>
        <v>0</v>
      </c>
      <c r="AS179" s="6">
        <f>SUMIFS(DivAndTax[Gross Dividend],DivAndTax[Investor ID],INVESTORS_LIST[[#This Row],[INVESTOR CODE]])</f>
        <v>0</v>
      </c>
      <c r="AT179" s="5">
        <f>IFERROR(INVESTORS_LIST[[#This Row],[TOTAL CURRENT UNITS]]/SUM(INVESTORS_LIST[TOTAL CURRENT UNITS]),0)</f>
        <v>0</v>
      </c>
    </row>
    <row r="180" spans="1:46" hidden="1">
      <c r="A180" t="s">
        <v>840</v>
      </c>
      <c r="B180" t="s">
        <v>213</v>
      </c>
      <c r="C180" t="s">
        <v>538</v>
      </c>
      <c r="D180" s="8" t="s">
        <v>2</v>
      </c>
      <c r="E180" s="2">
        <f>SUMIFS(LS[Unit],LS[Investor ID],INVESTORS_LIST[[#This Row],[INVESTOR CODE]],LS[B/S],"B")</f>
        <v>0</v>
      </c>
      <c r="F180" s="2">
        <f>-SUMIFS(LS[Unit],LS[Investor ID],INVESTORS_LIST[[#This Row],[INVESTOR CODE]],LS[B/S],"S")</f>
        <v>0</v>
      </c>
      <c r="G180" s="2">
        <f>IF(INVESTORS_LIST[[#This Row],[LS_TOTAL UNITS BUY]]=0,0,INVESTORS_LIST[[#This Row],[LS_TOTAL UNITS BUY]]-INVESTORS_LIST[[#This Row],[LS_TOTAL UNITS SOLD]])</f>
        <v>0</v>
      </c>
      <c r="H180" s="4">
        <f>IF(INVESTORS_LIST[[#This Row],[LS_TOTAL UNITS BUY]]=0,0,SUMIFS(LS[Amount],LS[Investor ID],INVESTORS_LIST[[#This Row],[INVESTOR CODE]],LS[B/S],"B"))</f>
        <v>0</v>
      </c>
      <c r="I180" s="6">
        <f>IF(INVESTORS_LIST[[#This Row],[LS_TOTAL UNITS SOLD]]=0,0,SUMIFS(LS[Cost of Units Sold],LS[Investor ID],INVESTORS_LIST[[#This Row],[INVESTOR CODE]],LS[B/S],"S"))</f>
        <v>0</v>
      </c>
      <c r="J180" s="6">
        <f>IF(INVESTORS_LIST[[#This Row],[LS_TOTAL CURRENT UNITS]]=0,0,INVESTORS_LIST[[#This Row],[LS_TOTAL CURRENT UNITS]]*INVESTORS_LIST[[#This Row],[LS_AVERAGE COST]])</f>
        <v>0</v>
      </c>
      <c r="K180" s="4">
        <f>IF(INVESTORS_LIST[[#This Row],[LS_TOTAL UNITS SOLD]]=0,0,SUMIFS(LS[Realized Gain],LS[Investor ID],INVESTORS_LIST[[#This Row],[INVESTOR CODE]],LS[B/S],"S"))</f>
        <v>0</v>
      </c>
      <c r="L180" s="2">
        <f>SUMIFS(SIP[Unit],SIP[Investor ID],INVESTORS_LIST[[#This Row],[INVESTOR CODE]],SIP[B/S],"B")</f>
        <v>0</v>
      </c>
      <c r="M180" s="2">
        <f>-SUMIFS(SIP[Unit],SIP[Investor ID],INVESTORS_LIST[[#This Row],[INVESTOR CODE]],SIP[B/S],"S")</f>
        <v>0</v>
      </c>
      <c r="N180" s="33">
        <f>IF(INVESTORS_LIST[[#This Row],[SIP_TOTAL UNITS BUY]]=0,0,INVESTORS_LIST[[#This Row],[SIP_TOTAL UNITS BUY]]-INVESTORS_LIST[[#This Row],[SIP_TOTAL UNITS SOLD]])</f>
        <v>0</v>
      </c>
      <c r="O180" s="4">
        <f>IF(INVESTORS_LIST[[#This Row],[SIP_TOTAL UNITS BUY]]=0,0,SUMIFS(SIP[Amount],SIP[Investor ID],INVESTORS_LIST[[#This Row],[INVESTOR CODE]],SIP[B/S],"B"))</f>
        <v>0</v>
      </c>
      <c r="P180" s="4">
        <f>IF(INVESTORS_LIST[[#This Row],[SIP_TOTAL UNITS SOLD]]=0,0,SUMIFS(SIP[Cost of Units Sold],SIP[Investor ID],INVESTORS_LIST[[#This Row],[INVESTOR CODE]],SIP[B/S],"S"))</f>
        <v>0</v>
      </c>
      <c r="Q180" s="6">
        <f>IF(INVESTORS_LIST[[#This Row],[SIP_TOTAL CURRENT UNITS]]=0,0,INVESTORS_LIST[[#This Row],[SIP_TOTAL CURRENT UNITS]]*INVESTORS_LIST[[#This Row],[SIP_AVERAGE COST]])</f>
        <v>0</v>
      </c>
      <c r="R180" s="6">
        <f>IF(INVESTORS_LIST[[#This Row],[SIP_TOTAL UNITS SOLD]]=0,0,SUMIFS(SIP[Realized Gain],SIP[Investor ID],INVESTORS_LIST[[#This Row],[INVESTOR CODE]],SIP[B/S],"S"))</f>
        <v>0</v>
      </c>
      <c r="S180" s="33">
        <f>INVESTORS_LIST[[#This Row],[LS_TOTAL UNITS BUY]]+INVESTORS_LIST[[#This Row],[SIP_TOTAL UNITS BUY]]</f>
        <v>0</v>
      </c>
      <c r="T180" s="33">
        <f>INVESTORS_LIST[[#This Row],[LS_TOTAL UNITS SOLD]]+INVESTORS_LIST[[#This Row],[SIP_TOTAL UNITS SOLD]]</f>
        <v>0</v>
      </c>
      <c r="U180" s="33">
        <v>0</v>
      </c>
      <c r="V180" s="33">
        <f>SUMIFS(LS[BO UNIT TRANSFER],LS[Investor ID],INVESTORS_LIST[[#This Row],[INVESTOR CODE]],LS[B/S],"B")</f>
        <v>0</v>
      </c>
      <c r="W180" s="33">
        <f>SUMIFS(LS[BO UNIT TRANSFER],LS[Investor ID],INVESTORS_LIST[[#This Row],[INVESTOR CODE]],LS[B/S],"S")</f>
        <v>0</v>
      </c>
      <c r="X180" s="33">
        <f>SUMIFS(SIP[BO UNIT TRANSFER],SIP[Investor ID],INVESTORS_LIST[[#This Row],[INVESTOR CODE]],SIP[B/S],"S")</f>
        <v>0</v>
      </c>
      <c r="Y180" s="33">
        <f>SUMIFS(SIP[BO UNIT TRANSFER],SIP[Investor ID],INVESTORS_LIST[[#This Row],[INVESTOR CODE]],SIP[B/S],"B")</f>
        <v>0</v>
      </c>
      <c r="Z18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80" s="119">
        <f>INVESTORS_LIST[[#This Row],[TOTAL UNITS BUY]]-INVESTORS_LIST[[#This Row],[TOTAL UNITS SOLD]]</f>
        <v>0</v>
      </c>
      <c r="AB180" s="119">
        <f>INVESTORS_LIST[[#This Row],[TOTAL CURRENT UNITS]]-INVESTORS_LIST[[#This Row],[BO UNITS HOLD]]</f>
        <v>0</v>
      </c>
      <c r="AC180" s="119" t="e">
        <f>INDEX([4]!Table_1[BO ID],MATCH(INVESTORS_LIST[[#This Row],[INVESTOR CODE]],[4]!Table_1[INVESTOR CODE],0))</f>
        <v>#REF!</v>
      </c>
      <c r="AD180" s="33">
        <f>INVESTORS_LIST[[#This Row],[LS_TOTAL COST VALUE OF CURRENT UNITS]]+INVESTORS_LIST[[#This Row],[SIP_TOTAL COST VALUE OF CURRENT UNITS]]</f>
        <v>0</v>
      </c>
      <c r="AE180" s="44">
        <f>IF(INVESTORS_LIST[[#This Row],[TOTAL CURRENT UNITS]]=0,0,INVESTORS_LIST[[#This Row],[LS_TOTAL CURRENT UNITS]]/INVESTORS_LIST[[#This Row],[TOTAL CURRENT UNITS]])</f>
        <v>0</v>
      </c>
      <c r="AF180" s="44">
        <f>IF(INVESTORS_LIST[[#This Row],[TOTAL CURRENT UNITS]]=0,0,INVESTORS_LIST[[#This Row],[SIP_TOTAL CURRENT UNITS]]/INVESTORS_LIST[[#This Row],[TOTAL CURRENT UNITS]])</f>
        <v>0</v>
      </c>
      <c r="AG180" s="4" cm="1">
        <f t="array" ref="AG1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80" s="4" cm="1">
        <f t="array" ref="AH1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8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80" s="178">
        <f t="shared" si="2"/>
        <v>12.552</v>
      </c>
      <c r="AK180" s="118">
        <f>IF(INVESTORS_LIST[[#This Row],[TOTAL CURRENT UNITS]]=0,0,INVESTORS_LIST[[#This Row],[TOTAL CURRENT UNITS]]*INVESTORS_LIST[[#This Row],[NAV]])</f>
        <v>0</v>
      </c>
      <c r="AL180" s="4">
        <f>IF(INVESTORS_LIST[[#This Row],[LS_TOTAL CURRENT UNITS]]=0,0,INVESTORS_LIST[[#This Row],[LS_TOTAL CURRENT UNITS]]*INVESTORS_LIST[[#This Row],[NAV]])</f>
        <v>0</v>
      </c>
      <c r="AM180" s="6">
        <f>IF(INVESTORS_LIST[[#This Row],[SIP_TOTAL CURRENT UNITS]]=0,0,INVESTORS_LIST[[#This Row],[SIP_TOTAL CURRENT UNITS]]*INVESTORS_LIST[[#This Row],[NAV]])</f>
        <v>0</v>
      </c>
      <c r="AO180" s="6">
        <f>IF(INVESTORS_LIST[[#This Row],[TOTAL SELLABLE UNITS]]=0,0,INVESTORS_LIST[[#This Row],[TOTAL SELLABLE UNITS]]*INVESTORS_LIST[[#This Row],[NAV]])</f>
        <v>0</v>
      </c>
      <c r="AP180" s="6">
        <f>INVESTORS_LIST[[#This Row],[LS_TOTAL REALIZED GAIN]]+INVESTORS_LIST[[#This Row],[SIP_TOTAL REALIZED GAIN]]</f>
        <v>0</v>
      </c>
      <c r="AQ180" s="6">
        <f>INVESTORS_LIST[[#This Row],[TOTAL MARKET VALUE]]-INVESTORS_LIST[[#This Row],[TOTAL COST VALUE OF CURRENT INVESTMENT]]</f>
        <v>0</v>
      </c>
      <c r="AR180" s="6">
        <f>SUMIFS(DivAndTax[Tax Amount],DivAndTax[Investor ID],INVESTORS_LIST[[#This Row],[INVESTOR CODE]])</f>
        <v>0</v>
      </c>
      <c r="AS180" s="6">
        <f>SUMIFS(DivAndTax[Gross Dividend],DivAndTax[Investor ID],INVESTORS_LIST[[#This Row],[INVESTOR CODE]])</f>
        <v>0</v>
      </c>
      <c r="AT180" s="5">
        <f>IFERROR(INVESTORS_LIST[[#This Row],[TOTAL CURRENT UNITS]]/SUM(INVESTORS_LIST[TOTAL CURRENT UNITS]),0)</f>
        <v>0</v>
      </c>
    </row>
    <row r="181" spans="1:46" hidden="1">
      <c r="A181" t="s">
        <v>841</v>
      </c>
      <c r="B181" t="s">
        <v>214</v>
      </c>
      <c r="C181" t="s">
        <v>536</v>
      </c>
      <c r="D181" s="8" t="s">
        <v>2</v>
      </c>
      <c r="E181" s="2">
        <f>SUMIFS(LS[Unit],LS[Investor ID],INVESTORS_LIST[[#This Row],[INVESTOR CODE]],LS[B/S],"B")</f>
        <v>0</v>
      </c>
      <c r="F181" s="2">
        <f>-SUMIFS(LS[Unit],LS[Investor ID],INVESTORS_LIST[[#This Row],[INVESTOR CODE]],LS[B/S],"S")</f>
        <v>0</v>
      </c>
      <c r="G181" s="2">
        <f>IF(INVESTORS_LIST[[#This Row],[LS_TOTAL UNITS BUY]]=0,0,INVESTORS_LIST[[#This Row],[LS_TOTAL UNITS BUY]]-INVESTORS_LIST[[#This Row],[LS_TOTAL UNITS SOLD]])</f>
        <v>0</v>
      </c>
      <c r="H181" s="4">
        <f>IF(INVESTORS_LIST[[#This Row],[LS_TOTAL UNITS BUY]]=0,0,SUMIFS(LS[Amount],LS[Investor ID],INVESTORS_LIST[[#This Row],[INVESTOR CODE]],LS[B/S],"B"))</f>
        <v>0</v>
      </c>
      <c r="I181" s="6">
        <f>IF(INVESTORS_LIST[[#This Row],[LS_TOTAL UNITS SOLD]]=0,0,SUMIFS(LS[Cost of Units Sold],LS[Investor ID],INVESTORS_LIST[[#This Row],[INVESTOR CODE]],LS[B/S],"S"))</f>
        <v>0</v>
      </c>
      <c r="J181" s="6">
        <f>IF(INVESTORS_LIST[[#This Row],[LS_TOTAL CURRENT UNITS]]=0,0,INVESTORS_LIST[[#This Row],[LS_TOTAL CURRENT UNITS]]*INVESTORS_LIST[[#This Row],[LS_AVERAGE COST]])</f>
        <v>0</v>
      </c>
      <c r="K181" s="4">
        <f>IF(INVESTORS_LIST[[#This Row],[LS_TOTAL UNITS SOLD]]=0,0,SUMIFS(LS[Realized Gain],LS[Investor ID],INVESTORS_LIST[[#This Row],[INVESTOR CODE]],LS[B/S],"S"))</f>
        <v>0</v>
      </c>
      <c r="L181" s="2">
        <f>SUMIFS(SIP[Unit],SIP[Investor ID],INVESTORS_LIST[[#This Row],[INVESTOR CODE]],SIP[B/S],"B")</f>
        <v>0</v>
      </c>
      <c r="M181" s="2">
        <f>-SUMIFS(SIP[Unit],SIP[Investor ID],INVESTORS_LIST[[#This Row],[INVESTOR CODE]],SIP[B/S],"S")</f>
        <v>0</v>
      </c>
      <c r="N181" s="33">
        <f>IF(INVESTORS_LIST[[#This Row],[SIP_TOTAL UNITS BUY]]=0,0,INVESTORS_LIST[[#This Row],[SIP_TOTAL UNITS BUY]]-INVESTORS_LIST[[#This Row],[SIP_TOTAL UNITS SOLD]])</f>
        <v>0</v>
      </c>
      <c r="O181" s="4">
        <f>IF(INVESTORS_LIST[[#This Row],[SIP_TOTAL UNITS BUY]]=0,0,SUMIFS(SIP[Amount],SIP[Investor ID],INVESTORS_LIST[[#This Row],[INVESTOR CODE]],SIP[B/S],"B"))</f>
        <v>0</v>
      </c>
      <c r="P181" s="4">
        <f>IF(INVESTORS_LIST[[#This Row],[SIP_TOTAL UNITS SOLD]]=0,0,SUMIFS(SIP[Cost of Units Sold],SIP[Investor ID],INVESTORS_LIST[[#This Row],[INVESTOR CODE]],SIP[B/S],"S"))</f>
        <v>0</v>
      </c>
      <c r="Q181" s="6">
        <f>IF(INVESTORS_LIST[[#This Row],[SIP_TOTAL CURRENT UNITS]]=0,0,INVESTORS_LIST[[#This Row],[SIP_TOTAL CURRENT UNITS]]*INVESTORS_LIST[[#This Row],[SIP_AVERAGE COST]])</f>
        <v>0</v>
      </c>
      <c r="R181" s="6">
        <f>IF(INVESTORS_LIST[[#This Row],[SIP_TOTAL UNITS SOLD]]=0,0,SUMIFS(SIP[Realized Gain],SIP[Investor ID],INVESTORS_LIST[[#This Row],[INVESTOR CODE]],SIP[B/S],"S"))</f>
        <v>0</v>
      </c>
      <c r="S181" s="33">
        <f>INVESTORS_LIST[[#This Row],[LS_TOTAL UNITS BUY]]+INVESTORS_LIST[[#This Row],[SIP_TOTAL UNITS BUY]]</f>
        <v>0</v>
      </c>
      <c r="T181" s="33">
        <f>INVESTORS_LIST[[#This Row],[LS_TOTAL UNITS SOLD]]+INVESTORS_LIST[[#This Row],[SIP_TOTAL UNITS SOLD]]</f>
        <v>0</v>
      </c>
      <c r="U181" s="33">
        <v>0</v>
      </c>
      <c r="V181" s="33">
        <f>SUMIFS(LS[BO UNIT TRANSFER],LS[Investor ID],INVESTORS_LIST[[#This Row],[INVESTOR CODE]],LS[B/S],"B")</f>
        <v>0</v>
      </c>
      <c r="W181" s="33">
        <f>SUMIFS(LS[BO UNIT TRANSFER],LS[Investor ID],INVESTORS_LIST[[#This Row],[INVESTOR CODE]],LS[B/S],"S")</f>
        <v>0</v>
      </c>
      <c r="X181" s="33">
        <f>SUMIFS(SIP[BO UNIT TRANSFER],SIP[Investor ID],INVESTORS_LIST[[#This Row],[INVESTOR CODE]],SIP[B/S],"S")</f>
        <v>0</v>
      </c>
      <c r="Y181" s="33">
        <f>SUMIFS(SIP[BO UNIT TRANSFER],SIP[Investor ID],INVESTORS_LIST[[#This Row],[INVESTOR CODE]],SIP[B/S],"B")</f>
        <v>0</v>
      </c>
      <c r="Z18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81" s="119">
        <f>INVESTORS_LIST[[#This Row],[TOTAL UNITS BUY]]-INVESTORS_LIST[[#This Row],[TOTAL UNITS SOLD]]</f>
        <v>0</v>
      </c>
      <c r="AB181" s="119">
        <f>INVESTORS_LIST[[#This Row],[TOTAL CURRENT UNITS]]-INVESTORS_LIST[[#This Row],[BO UNITS HOLD]]</f>
        <v>0</v>
      </c>
      <c r="AC181" s="119" t="e">
        <f>INDEX([4]!Table_1[BO ID],MATCH(INVESTORS_LIST[[#This Row],[INVESTOR CODE]],[4]!Table_1[INVESTOR CODE],0))</f>
        <v>#REF!</v>
      </c>
      <c r="AD181" s="33">
        <f>INVESTORS_LIST[[#This Row],[LS_TOTAL COST VALUE OF CURRENT UNITS]]+INVESTORS_LIST[[#This Row],[SIP_TOTAL COST VALUE OF CURRENT UNITS]]</f>
        <v>0</v>
      </c>
      <c r="AE181" s="44">
        <f>IF(INVESTORS_LIST[[#This Row],[TOTAL CURRENT UNITS]]=0,0,INVESTORS_LIST[[#This Row],[LS_TOTAL CURRENT UNITS]]/INVESTORS_LIST[[#This Row],[TOTAL CURRENT UNITS]])</f>
        <v>0</v>
      </c>
      <c r="AF181" s="44">
        <f>IF(INVESTORS_LIST[[#This Row],[TOTAL CURRENT UNITS]]=0,0,INVESTORS_LIST[[#This Row],[SIP_TOTAL CURRENT UNITS]]/INVESTORS_LIST[[#This Row],[TOTAL CURRENT UNITS]])</f>
        <v>0</v>
      </c>
      <c r="AG181" s="4" cm="1">
        <f t="array" ref="AG18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81" s="4" cm="1">
        <f t="array" ref="AH1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8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81" s="178">
        <f t="shared" si="2"/>
        <v>12.552</v>
      </c>
      <c r="AK181" s="118">
        <f>IF(INVESTORS_LIST[[#This Row],[TOTAL CURRENT UNITS]]=0,0,INVESTORS_LIST[[#This Row],[TOTAL CURRENT UNITS]]*INVESTORS_LIST[[#This Row],[NAV]])</f>
        <v>0</v>
      </c>
      <c r="AL181" s="4">
        <f>IF(INVESTORS_LIST[[#This Row],[LS_TOTAL CURRENT UNITS]]=0,0,INVESTORS_LIST[[#This Row],[LS_TOTAL CURRENT UNITS]]*INVESTORS_LIST[[#This Row],[NAV]])</f>
        <v>0</v>
      </c>
      <c r="AM181" s="6">
        <f>IF(INVESTORS_LIST[[#This Row],[SIP_TOTAL CURRENT UNITS]]=0,0,INVESTORS_LIST[[#This Row],[SIP_TOTAL CURRENT UNITS]]*INVESTORS_LIST[[#This Row],[NAV]])</f>
        <v>0</v>
      </c>
      <c r="AO181" s="6">
        <f>IF(INVESTORS_LIST[[#This Row],[TOTAL SELLABLE UNITS]]=0,0,INVESTORS_LIST[[#This Row],[TOTAL SELLABLE UNITS]]*INVESTORS_LIST[[#This Row],[NAV]])</f>
        <v>0</v>
      </c>
      <c r="AP181" s="6">
        <f>INVESTORS_LIST[[#This Row],[LS_TOTAL REALIZED GAIN]]+INVESTORS_LIST[[#This Row],[SIP_TOTAL REALIZED GAIN]]</f>
        <v>0</v>
      </c>
      <c r="AQ181" s="6">
        <f>INVESTORS_LIST[[#This Row],[TOTAL MARKET VALUE]]-INVESTORS_LIST[[#This Row],[TOTAL COST VALUE OF CURRENT INVESTMENT]]</f>
        <v>0</v>
      </c>
      <c r="AR181" s="6">
        <f>SUMIFS(DivAndTax[Tax Amount],DivAndTax[Investor ID],INVESTORS_LIST[[#This Row],[INVESTOR CODE]])</f>
        <v>0</v>
      </c>
      <c r="AS181" s="6">
        <f>SUMIFS(DivAndTax[Gross Dividend],DivAndTax[Investor ID],INVESTORS_LIST[[#This Row],[INVESTOR CODE]])</f>
        <v>0</v>
      </c>
      <c r="AT181" s="5">
        <f>IFERROR(INVESTORS_LIST[[#This Row],[TOTAL CURRENT UNITS]]/SUM(INVESTORS_LIST[TOTAL CURRENT UNITS]),0)</f>
        <v>0</v>
      </c>
    </row>
    <row r="182" spans="1:46" hidden="1">
      <c r="A182" t="s">
        <v>842</v>
      </c>
      <c r="B182" t="s">
        <v>215</v>
      </c>
      <c r="C182" t="s">
        <v>536</v>
      </c>
      <c r="D182" s="8" t="s">
        <v>2</v>
      </c>
      <c r="E182" s="2">
        <f>SUMIFS(LS[Unit],LS[Investor ID],INVESTORS_LIST[[#This Row],[INVESTOR CODE]],LS[B/S],"B")</f>
        <v>0</v>
      </c>
      <c r="F182" s="2">
        <f>-SUMIFS(LS[Unit],LS[Investor ID],INVESTORS_LIST[[#This Row],[INVESTOR CODE]],LS[B/S],"S")</f>
        <v>0</v>
      </c>
      <c r="G182" s="2">
        <f>IF(INVESTORS_LIST[[#This Row],[LS_TOTAL UNITS BUY]]=0,0,INVESTORS_LIST[[#This Row],[LS_TOTAL UNITS BUY]]-INVESTORS_LIST[[#This Row],[LS_TOTAL UNITS SOLD]])</f>
        <v>0</v>
      </c>
      <c r="H182" s="4">
        <f>IF(INVESTORS_LIST[[#This Row],[LS_TOTAL UNITS BUY]]=0,0,SUMIFS(LS[Amount],LS[Investor ID],INVESTORS_LIST[[#This Row],[INVESTOR CODE]],LS[B/S],"B"))</f>
        <v>0</v>
      </c>
      <c r="I182" s="6">
        <f>IF(INVESTORS_LIST[[#This Row],[LS_TOTAL UNITS SOLD]]=0,0,SUMIFS(LS[Cost of Units Sold],LS[Investor ID],INVESTORS_LIST[[#This Row],[INVESTOR CODE]],LS[B/S],"S"))</f>
        <v>0</v>
      </c>
      <c r="J182" s="6">
        <f>IF(INVESTORS_LIST[[#This Row],[LS_TOTAL CURRENT UNITS]]=0,0,INVESTORS_LIST[[#This Row],[LS_TOTAL CURRENT UNITS]]*INVESTORS_LIST[[#This Row],[LS_AVERAGE COST]])</f>
        <v>0</v>
      </c>
      <c r="K182" s="4">
        <f>IF(INVESTORS_LIST[[#This Row],[LS_TOTAL UNITS SOLD]]=0,0,SUMIFS(LS[Realized Gain],LS[Investor ID],INVESTORS_LIST[[#This Row],[INVESTOR CODE]],LS[B/S],"S"))</f>
        <v>0</v>
      </c>
      <c r="L182" s="2">
        <f>SUMIFS(SIP[Unit],SIP[Investor ID],INVESTORS_LIST[[#This Row],[INVESTOR CODE]],SIP[B/S],"B")</f>
        <v>0</v>
      </c>
      <c r="M182" s="2">
        <f>-SUMIFS(SIP[Unit],SIP[Investor ID],INVESTORS_LIST[[#This Row],[INVESTOR CODE]],SIP[B/S],"S")</f>
        <v>0</v>
      </c>
      <c r="N182" s="33">
        <f>IF(INVESTORS_LIST[[#This Row],[SIP_TOTAL UNITS BUY]]=0,0,INVESTORS_LIST[[#This Row],[SIP_TOTAL UNITS BUY]]-INVESTORS_LIST[[#This Row],[SIP_TOTAL UNITS SOLD]])</f>
        <v>0</v>
      </c>
      <c r="O182" s="4">
        <f>IF(INVESTORS_LIST[[#This Row],[SIP_TOTAL UNITS BUY]]=0,0,SUMIFS(SIP[Amount],SIP[Investor ID],INVESTORS_LIST[[#This Row],[INVESTOR CODE]],SIP[B/S],"B"))</f>
        <v>0</v>
      </c>
      <c r="P182" s="4">
        <f>IF(INVESTORS_LIST[[#This Row],[SIP_TOTAL UNITS SOLD]]=0,0,SUMIFS(SIP[Cost of Units Sold],SIP[Investor ID],INVESTORS_LIST[[#This Row],[INVESTOR CODE]],SIP[B/S],"S"))</f>
        <v>0</v>
      </c>
      <c r="Q182" s="6">
        <f>IF(INVESTORS_LIST[[#This Row],[SIP_TOTAL CURRENT UNITS]]=0,0,INVESTORS_LIST[[#This Row],[SIP_TOTAL CURRENT UNITS]]*INVESTORS_LIST[[#This Row],[SIP_AVERAGE COST]])</f>
        <v>0</v>
      </c>
      <c r="R182" s="6">
        <f>IF(INVESTORS_LIST[[#This Row],[SIP_TOTAL UNITS SOLD]]=0,0,SUMIFS(SIP[Realized Gain],SIP[Investor ID],INVESTORS_LIST[[#This Row],[INVESTOR CODE]],SIP[B/S],"S"))</f>
        <v>0</v>
      </c>
      <c r="S182" s="33">
        <f>INVESTORS_LIST[[#This Row],[LS_TOTAL UNITS BUY]]+INVESTORS_LIST[[#This Row],[SIP_TOTAL UNITS BUY]]</f>
        <v>0</v>
      </c>
      <c r="T182" s="33">
        <f>INVESTORS_LIST[[#This Row],[LS_TOTAL UNITS SOLD]]+INVESTORS_LIST[[#This Row],[SIP_TOTAL UNITS SOLD]]</f>
        <v>0</v>
      </c>
      <c r="U182" s="33">
        <v>0</v>
      </c>
      <c r="V182" s="33">
        <f>SUMIFS(LS[BO UNIT TRANSFER],LS[Investor ID],INVESTORS_LIST[[#This Row],[INVESTOR CODE]],LS[B/S],"B")</f>
        <v>0</v>
      </c>
      <c r="W182" s="33">
        <f>SUMIFS(LS[BO UNIT TRANSFER],LS[Investor ID],INVESTORS_LIST[[#This Row],[INVESTOR CODE]],LS[B/S],"S")</f>
        <v>0</v>
      </c>
      <c r="X182" s="33">
        <f>SUMIFS(SIP[BO UNIT TRANSFER],SIP[Investor ID],INVESTORS_LIST[[#This Row],[INVESTOR CODE]],SIP[B/S],"S")</f>
        <v>0</v>
      </c>
      <c r="Y182" s="33">
        <f>SUMIFS(SIP[BO UNIT TRANSFER],SIP[Investor ID],INVESTORS_LIST[[#This Row],[INVESTOR CODE]],SIP[B/S],"B")</f>
        <v>0</v>
      </c>
      <c r="Z18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82" s="119">
        <f>INVESTORS_LIST[[#This Row],[TOTAL UNITS BUY]]-INVESTORS_LIST[[#This Row],[TOTAL UNITS SOLD]]</f>
        <v>0</v>
      </c>
      <c r="AB182" s="119">
        <f>INVESTORS_LIST[[#This Row],[TOTAL CURRENT UNITS]]-INVESTORS_LIST[[#This Row],[BO UNITS HOLD]]</f>
        <v>0</v>
      </c>
      <c r="AC182" s="119" t="e">
        <f>INDEX([4]!Table_1[BO ID],MATCH(INVESTORS_LIST[[#This Row],[INVESTOR CODE]],[4]!Table_1[INVESTOR CODE],0))</f>
        <v>#REF!</v>
      </c>
      <c r="AD182" s="33">
        <f>INVESTORS_LIST[[#This Row],[LS_TOTAL COST VALUE OF CURRENT UNITS]]+INVESTORS_LIST[[#This Row],[SIP_TOTAL COST VALUE OF CURRENT UNITS]]</f>
        <v>0</v>
      </c>
      <c r="AE182" s="44">
        <f>IF(INVESTORS_LIST[[#This Row],[TOTAL CURRENT UNITS]]=0,0,INVESTORS_LIST[[#This Row],[LS_TOTAL CURRENT UNITS]]/INVESTORS_LIST[[#This Row],[TOTAL CURRENT UNITS]])</f>
        <v>0</v>
      </c>
      <c r="AF182" s="44">
        <f>IF(INVESTORS_LIST[[#This Row],[TOTAL CURRENT UNITS]]=0,0,INVESTORS_LIST[[#This Row],[SIP_TOTAL CURRENT UNITS]]/INVESTORS_LIST[[#This Row],[TOTAL CURRENT UNITS]])</f>
        <v>0</v>
      </c>
      <c r="AG182" s="4" cm="1">
        <f t="array" ref="AG18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82" s="4" cm="1">
        <f t="array" ref="AH18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8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82" s="178">
        <f t="shared" si="2"/>
        <v>12.552</v>
      </c>
      <c r="AK182" s="118">
        <f>IF(INVESTORS_LIST[[#This Row],[TOTAL CURRENT UNITS]]=0,0,INVESTORS_LIST[[#This Row],[TOTAL CURRENT UNITS]]*INVESTORS_LIST[[#This Row],[NAV]])</f>
        <v>0</v>
      </c>
      <c r="AL182" s="4">
        <f>IF(INVESTORS_LIST[[#This Row],[LS_TOTAL CURRENT UNITS]]=0,0,INVESTORS_LIST[[#This Row],[LS_TOTAL CURRENT UNITS]]*INVESTORS_LIST[[#This Row],[NAV]])</f>
        <v>0</v>
      </c>
      <c r="AM182" s="6">
        <f>IF(INVESTORS_LIST[[#This Row],[SIP_TOTAL CURRENT UNITS]]=0,0,INVESTORS_LIST[[#This Row],[SIP_TOTAL CURRENT UNITS]]*INVESTORS_LIST[[#This Row],[NAV]])</f>
        <v>0</v>
      </c>
      <c r="AO182" s="6">
        <f>IF(INVESTORS_LIST[[#This Row],[TOTAL SELLABLE UNITS]]=0,0,INVESTORS_LIST[[#This Row],[TOTAL SELLABLE UNITS]]*INVESTORS_LIST[[#This Row],[NAV]])</f>
        <v>0</v>
      </c>
      <c r="AP182" s="6">
        <f>INVESTORS_LIST[[#This Row],[LS_TOTAL REALIZED GAIN]]+INVESTORS_LIST[[#This Row],[SIP_TOTAL REALIZED GAIN]]</f>
        <v>0</v>
      </c>
      <c r="AQ182" s="6">
        <f>INVESTORS_LIST[[#This Row],[TOTAL MARKET VALUE]]-INVESTORS_LIST[[#This Row],[TOTAL COST VALUE OF CURRENT INVESTMENT]]</f>
        <v>0</v>
      </c>
      <c r="AR182" s="6">
        <f>SUMIFS(DivAndTax[Tax Amount],DivAndTax[Investor ID],INVESTORS_LIST[[#This Row],[INVESTOR CODE]])</f>
        <v>0</v>
      </c>
      <c r="AS182" s="6">
        <f>SUMIFS(DivAndTax[Gross Dividend],DivAndTax[Investor ID],INVESTORS_LIST[[#This Row],[INVESTOR CODE]])</f>
        <v>0</v>
      </c>
      <c r="AT182" s="5">
        <f>IFERROR(INVESTORS_LIST[[#This Row],[TOTAL CURRENT UNITS]]/SUM(INVESTORS_LIST[TOTAL CURRENT UNITS]),0)</f>
        <v>0</v>
      </c>
    </row>
    <row r="183" spans="1:46" hidden="1">
      <c r="A183" t="s">
        <v>843</v>
      </c>
      <c r="B183" t="s">
        <v>216</v>
      </c>
      <c r="C183" t="s">
        <v>536</v>
      </c>
      <c r="D183" s="8" t="s">
        <v>2</v>
      </c>
      <c r="E183" s="2">
        <f>SUMIFS(LS[Unit],LS[Investor ID],INVESTORS_LIST[[#This Row],[INVESTOR CODE]],LS[B/S],"B")</f>
        <v>504424</v>
      </c>
      <c r="F183" s="2">
        <f>-SUMIFS(LS[Unit],LS[Investor ID],INVESTORS_LIST[[#This Row],[INVESTOR CODE]],LS[B/S],"S")</f>
        <v>504424</v>
      </c>
      <c r="G183" s="2">
        <f>IF(INVESTORS_LIST[[#This Row],[LS_TOTAL UNITS BUY]]=0,0,INVESTORS_LIST[[#This Row],[LS_TOTAL UNITS BUY]]-INVESTORS_LIST[[#This Row],[LS_TOTAL UNITS SOLD]])</f>
        <v>0</v>
      </c>
      <c r="H183" s="4">
        <f>IF(INVESTORS_LIST[[#This Row],[LS_TOTAL UNITS BUY]]=0,0,SUMIFS(LS[Amount],LS[Investor ID],INVESTORS_LIST[[#This Row],[INVESTOR CODE]],LS[B/S],"B"))</f>
        <v>5043585.0199999996</v>
      </c>
      <c r="I183" s="6">
        <f>IF(INVESTORS_LIST[[#This Row],[LS_TOTAL UNITS SOLD]]=0,0,SUMIFS(LS[Cost of Units Sold],LS[Investor ID],INVESTORS_LIST[[#This Row],[INVESTOR CODE]],LS[B/S],"S"))</f>
        <v>5043585.0200000005</v>
      </c>
      <c r="J183" s="6">
        <f>IF(INVESTORS_LIST[[#This Row],[LS_TOTAL CURRENT UNITS]]=0,0,INVESTORS_LIST[[#This Row],[LS_TOTAL CURRENT UNITS]]*INVESTORS_LIST[[#This Row],[LS_AVERAGE COST]])</f>
        <v>0</v>
      </c>
      <c r="K183" s="4">
        <f>IF(INVESTORS_LIST[[#This Row],[LS_TOTAL UNITS SOLD]]=0,0,SUMIFS(LS[Realized Gain],LS[Investor ID],INVESTORS_LIST[[#This Row],[INVESTOR CODE]],LS[B/S],"S"))</f>
        <v>99043.250000000029</v>
      </c>
      <c r="L183" s="2">
        <f>SUMIFS(SIP[Unit],SIP[Investor ID],INVESTORS_LIST[[#This Row],[INVESTOR CODE]],SIP[B/S],"B")</f>
        <v>0</v>
      </c>
      <c r="M183" s="2">
        <f>-SUMIFS(SIP[Unit],SIP[Investor ID],INVESTORS_LIST[[#This Row],[INVESTOR CODE]],SIP[B/S],"S")</f>
        <v>0</v>
      </c>
      <c r="N183" s="33">
        <f>IF(INVESTORS_LIST[[#This Row],[SIP_TOTAL UNITS BUY]]=0,0,INVESTORS_LIST[[#This Row],[SIP_TOTAL UNITS BUY]]-INVESTORS_LIST[[#This Row],[SIP_TOTAL UNITS SOLD]])</f>
        <v>0</v>
      </c>
      <c r="O183" s="4">
        <f>IF(INVESTORS_LIST[[#This Row],[SIP_TOTAL UNITS BUY]]=0,0,SUMIFS(SIP[Amount],SIP[Investor ID],INVESTORS_LIST[[#This Row],[INVESTOR CODE]],SIP[B/S],"B"))</f>
        <v>0</v>
      </c>
      <c r="P183" s="4">
        <f>IF(INVESTORS_LIST[[#This Row],[SIP_TOTAL UNITS SOLD]]=0,0,SUMIFS(SIP[Cost of Units Sold],SIP[Investor ID],INVESTORS_LIST[[#This Row],[INVESTOR CODE]],SIP[B/S],"S"))</f>
        <v>0</v>
      </c>
      <c r="Q183" s="6">
        <f>IF(INVESTORS_LIST[[#This Row],[SIP_TOTAL CURRENT UNITS]]=0,0,INVESTORS_LIST[[#This Row],[SIP_TOTAL CURRENT UNITS]]*INVESTORS_LIST[[#This Row],[SIP_AVERAGE COST]])</f>
        <v>0</v>
      </c>
      <c r="R183" s="6">
        <f>IF(INVESTORS_LIST[[#This Row],[SIP_TOTAL UNITS SOLD]]=0,0,SUMIFS(SIP[Realized Gain],SIP[Investor ID],INVESTORS_LIST[[#This Row],[INVESTOR CODE]],SIP[B/S],"S"))</f>
        <v>0</v>
      </c>
      <c r="S183" s="33">
        <f>INVESTORS_LIST[[#This Row],[LS_TOTAL UNITS BUY]]+INVESTORS_LIST[[#This Row],[SIP_TOTAL UNITS BUY]]</f>
        <v>504424</v>
      </c>
      <c r="T183" s="33">
        <f>INVESTORS_LIST[[#This Row],[LS_TOTAL UNITS SOLD]]+INVESTORS_LIST[[#This Row],[SIP_TOTAL UNITS SOLD]]</f>
        <v>504424</v>
      </c>
      <c r="U183" s="33">
        <v>0</v>
      </c>
      <c r="V183" s="33">
        <f>SUMIFS(LS[BO UNIT TRANSFER],LS[Investor ID],INVESTORS_LIST[[#This Row],[INVESTOR CODE]],LS[B/S],"B")</f>
        <v>0</v>
      </c>
      <c r="W183" s="33">
        <f>SUMIFS(LS[BO UNIT TRANSFER],LS[Investor ID],INVESTORS_LIST[[#This Row],[INVESTOR CODE]],LS[B/S],"S")</f>
        <v>0</v>
      </c>
      <c r="X183" s="33">
        <f>SUMIFS(SIP[BO UNIT TRANSFER],SIP[Investor ID],INVESTORS_LIST[[#This Row],[INVESTOR CODE]],SIP[B/S],"S")</f>
        <v>0</v>
      </c>
      <c r="Y183" s="33">
        <f>SUMIFS(SIP[BO UNIT TRANSFER],SIP[Investor ID],INVESTORS_LIST[[#This Row],[INVESTOR CODE]],SIP[B/S],"B")</f>
        <v>0</v>
      </c>
      <c r="Z18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83" s="119">
        <f>INVESTORS_LIST[[#This Row],[TOTAL UNITS BUY]]-INVESTORS_LIST[[#This Row],[TOTAL UNITS SOLD]]</f>
        <v>0</v>
      </c>
      <c r="AB183" s="119">
        <f>INVESTORS_LIST[[#This Row],[TOTAL CURRENT UNITS]]-INVESTORS_LIST[[#This Row],[BO UNITS HOLD]]</f>
        <v>0</v>
      </c>
      <c r="AC183" s="119" t="e">
        <f>INDEX([4]!Table_1[BO ID],MATCH(INVESTORS_LIST[[#This Row],[INVESTOR CODE]],[4]!Table_1[INVESTOR CODE],0))</f>
        <v>#REF!</v>
      </c>
      <c r="AD183" s="33">
        <f>INVESTORS_LIST[[#This Row],[LS_TOTAL COST VALUE OF CURRENT UNITS]]+INVESTORS_LIST[[#This Row],[SIP_TOTAL COST VALUE OF CURRENT UNITS]]</f>
        <v>0</v>
      </c>
      <c r="AE183" s="44">
        <f>IF(INVESTORS_LIST[[#This Row],[TOTAL CURRENT UNITS]]=0,0,INVESTORS_LIST[[#This Row],[LS_TOTAL CURRENT UNITS]]/INVESTORS_LIST[[#This Row],[TOTAL CURRENT UNITS]])</f>
        <v>0</v>
      </c>
      <c r="AF183" s="44">
        <f>IF(INVESTORS_LIST[[#This Row],[TOTAL CURRENT UNITS]]=0,0,INVESTORS_LIST[[#This Row],[SIP_TOTAL CURRENT UNITS]]/INVESTORS_LIST[[#This Row],[TOTAL CURRENT UNITS]])</f>
        <v>0</v>
      </c>
      <c r="AG183" s="4" cm="1">
        <f t="array" ref="AG18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83" s="4" cm="1">
        <f t="array" ref="AH18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8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83" s="178">
        <f t="shared" si="2"/>
        <v>12.552</v>
      </c>
      <c r="AK183" s="118">
        <f>IF(INVESTORS_LIST[[#This Row],[TOTAL CURRENT UNITS]]=0,0,INVESTORS_LIST[[#This Row],[TOTAL CURRENT UNITS]]*INVESTORS_LIST[[#This Row],[NAV]])</f>
        <v>0</v>
      </c>
      <c r="AL183" s="4">
        <f>IF(INVESTORS_LIST[[#This Row],[LS_TOTAL CURRENT UNITS]]=0,0,INVESTORS_LIST[[#This Row],[LS_TOTAL CURRENT UNITS]]*INVESTORS_LIST[[#This Row],[NAV]])</f>
        <v>0</v>
      </c>
      <c r="AM183" s="6">
        <f>IF(INVESTORS_LIST[[#This Row],[SIP_TOTAL CURRENT UNITS]]=0,0,INVESTORS_LIST[[#This Row],[SIP_TOTAL CURRENT UNITS]]*INVESTORS_LIST[[#This Row],[NAV]])</f>
        <v>0</v>
      </c>
      <c r="AO183" s="6">
        <f>IF(INVESTORS_LIST[[#This Row],[TOTAL SELLABLE UNITS]]=0,0,INVESTORS_LIST[[#This Row],[TOTAL SELLABLE UNITS]]*INVESTORS_LIST[[#This Row],[NAV]])</f>
        <v>0</v>
      </c>
      <c r="AP183" s="6">
        <f>INVESTORS_LIST[[#This Row],[LS_TOTAL REALIZED GAIN]]+INVESTORS_LIST[[#This Row],[SIP_TOTAL REALIZED GAIN]]</f>
        <v>99043.250000000029</v>
      </c>
      <c r="AQ183" s="6">
        <f>INVESTORS_LIST[[#This Row],[TOTAL MARKET VALUE]]-INVESTORS_LIST[[#This Row],[TOTAL COST VALUE OF CURRENT INVESTMENT]]</f>
        <v>0</v>
      </c>
      <c r="AR183" s="6">
        <f>SUMIFS(DivAndTax[Tax Amount],DivAndTax[Investor ID],INVESTORS_LIST[[#This Row],[INVESTOR CODE]])</f>
        <v>7691.48</v>
      </c>
      <c r="AS183" s="6">
        <f>SUMIFS(DivAndTax[Gross Dividend],DivAndTax[Investor ID],INVESTORS_LIST[[#This Row],[INVESTOR CODE]])</f>
        <v>51276.5</v>
      </c>
      <c r="AT183" s="5">
        <f>IFERROR(INVESTORS_LIST[[#This Row],[TOTAL CURRENT UNITS]]/SUM(INVESTORS_LIST[TOTAL CURRENT UNITS]),0)</f>
        <v>0</v>
      </c>
    </row>
    <row r="184" spans="1:46" hidden="1">
      <c r="A184" t="s">
        <v>844</v>
      </c>
      <c r="B184" t="s">
        <v>217</v>
      </c>
      <c r="C184" t="s">
        <v>539</v>
      </c>
      <c r="D184" s="8" t="s">
        <v>2</v>
      </c>
      <c r="E184" s="2">
        <f>SUMIFS(LS[Unit],LS[Investor ID],INVESTORS_LIST[[#This Row],[INVESTOR CODE]],LS[B/S],"B")</f>
        <v>0</v>
      </c>
      <c r="F184" s="2">
        <f>-SUMIFS(LS[Unit],LS[Investor ID],INVESTORS_LIST[[#This Row],[INVESTOR CODE]],LS[B/S],"S")</f>
        <v>0</v>
      </c>
      <c r="G184" s="2">
        <f>IF(INVESTORS_LIST[[#This Row],[LS_TOTAL UNITS BUY]]=0,0,INVESTORS_LIST[[#This Row],[LS_TOTAL UNITS BUY]]-INVESTORS_LIST[[#This Row],[LS_TOTAL UNITS SOLD]])</f>
        <v>0</v>
      </c>
      <c r="H184" s="4">
        <f>IF(INVESTORS_LIST[[#This Row],[LS_TOTAL UNITS BUY]]=0,0,SUMIFS(LS[Amount],LS[Investor ID],INVESTORS_LIST[[#This Row],[INVESTOR CODE]],LS[B/S],"B"))</f>
        <v>0</v>
      </c>
      <c r="I184" s="6">
        <f>IF(INVESTORS_LIST[[#This Row],[LS_TOTAL UNITS SOLD]]=0,0,SUMIFS(LS[Cost of Units Sold],LS[Investor ID],INVESTORS_LIST[[#This Row],[INVESTOR CODE]],LS[B/S],"S"))</f>
        <v>0</v>
      </c>
      <c r="J184" s="6">
        <f>IF(INVESTORS_LIST[[#This Row],[LS_TOTAL CURRENT UNITS]]=0,0,INVESTORS_LIST[[#This Row],[LS_TOTAL CURRENT UNITS]]*INVESTORS_LIST[[#This Row],[LS_AVERAGE COST]])</f>
        <v>0</v>
      </c>
      <c r="K184" s="4">
        <f>IF(INVESTORS_LIST[[#This Row],[LS_TOTAL UNITS SOLD]]=0,0,SUMIFS(LS[Realized Gain],LS[Investor ID],INVESTORS_LIST[[#This Row],[INVESTOR CODE]],LS[B/S],"S"))</f>
        <v>0</v>
      </c>
      <c r="L184" s="2">
        <f>SUMIFS(SIP[Unit],SIP[Investor ID],INVESTORS_LIST[[#This Row],[INVESTOR CODE]],SIP[B/S],"B")</f>
        <v>0</v>
      </c>
      <c r="M184" s="2">
        <f>-SUMIFS(SIP[Unit],SIP[Investor ID],INVESTORS_LIST[[#This Row],[INVESTOR CODE]],SIP[B/S],"S")</f>
        <v>0</v>
      </c>
      <c r="N184" s="33">
        <f>IF(INVESTORS_LIST[[#This Row],[SIP_TOTAL UNITS BUY]]=0,0,INVESTORS_LIST[[#This Row],[SIP_TOTAL UNITS BUY]]-INVESTORS_LIST[[#This Row],[SIP_TOTAL UNITS SOLD]])</f>
        <v>0</v>
      </c>
      <c r="O184" s="4">
        <f>IF(INVESTORS_LIST[[#This Row],[SIP_TOTAL UNITS BUY]]=0,0,SUMIFS(SIP[Amount],SIP[Investor ID],INVESTORS_LIST[[#This Row],[INVESTOR CODE]],SIP[B/S],"B"))</f>
        <v>0</v>
      </c>
      <c r="P184" s="4">
        <f>IF(INVESTORS_LIST[[#This Row],[SIP_TOTAL UNITS SOLD]]=0,0,SUMIFS(SIP[Cost of Units Sold],SIP[Investor ID],INVESTORS_LIST[[#This Row],[INVESTOR CODE]],SIP[B/S],"S"))</f>
        <v>0</v>
      </c>
      <c r="Q184" s="6">
        <f>IF(INVESTORS_LIST[[#This Row],[SIP_TOTAL CURRENT UNITS]]=0,0,INVESTORS_LIST[[#This Row],[SIP_TOTAL CURRENT UNITS]]*INVESTORS_LIST[[#This Row],[SIP_AVERAGE COST]])</f>
        <v>0</v>
      </c>
      <c r="R184" s="6">
        <f>IF(INVESTORS_LIST[[#This Row],[SIP_TOTAL UNITS SOLD]]=0,0,SUMIFS(SIP[Realized Gain],SIP[Investor ID],INVESTORS_LIST[[#This Row],[INVESTOR CODE]],SIP[B/S],"S"))</f>
        <v>0</v>
      </c>
      <c r="S184" s="33">
        <f>INVESTORS_LIST[[#This Row],[LS_TOTAL UNITS BUY]]+INVESTORS_LIST[[#This Row],[SIP_TOTAL UNITS BUY]]</f>
        <v>0</v>
      </c>
      <c r="T184" s="33">
        <f>INVESTORS_LIST[[#This Row],[LS_TOTAL UNITS SOLD]]+INVESTORS_LIST[[#This Row],[SIP_TOTAL UNITS SOLD]]</f>
        <v>0</v>
      </c>
      <c r="U184" s="33">
        <v>0</v>
      </c>
      <c r="V184" s="33">
        <f>SUMIFS(LS[BO UNIT TRANSFER],LS[Investor ID],INVESTORS_LIST[[#This Row],[INVESTOR CODE]],LS[B/S],"B")</f>
        <v>0</v>
      </c>
      <c r="W184" s="33">
        <f>SUMIFS(LS[BO UNIT TRANSFER],LS[Investor ID],INVESTORS_LIST[[#This Row],[INVESTOR CODE]],LS[B/S],"S")</f>
        <v>0</v>
      </c>
      <c r="X184" s="33">
        <f>SUMIFS(SIP[BO UNIT TRANSFER],SIP[Investor ID],INVESTORS_LIST[[#This Row],[INVESTOR CODE]],SIP[B/S],"S")</f>
        <v>0</v>
      </c>
      <c r="Y184" s="33">
        <f>SUMIFS(SIP[BO UNIT TRANSFER],SIP[Investor ID],INVESTORS_LIST[[#This Row],[INVESTOR CODE]],SIP[B/S],"B")</f>
        <v>0</v>
      </c>
      <c r="Z18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84" s="119">
        <f>INVESTORS_LIST[[#This Row],[TOTAL UNITS BUY]]-INVESTORS_LIST[[#This Row],[TOTAL UNITS SOLD]]</f>
        <v>0</v>
      </c>
      <c r="AB184" s="119">
        <f>INVESTORS_LIST[[#This Row],[TOTAL CURRENT UNITS]]-INVESTORS_LIST[[#This Row],[BO UNITS HOLD]]</f>
        <v>0</v>
      </c>
      <c r="AC184" s="119" t="e">
        <f>INDEX([4]!Table_1[BO ID],MATCH(INVESTORS_LIST[[#This Row],[INVESTOR CODE]],[4]!Table_1[INVESTOR CODE],0))</f>
        <v>#REF!</v>
      </c>
      <c r="AD184" s="33">
        <f>INVESTORS_LIST[[#This Row],[LS_TOTAL COST VALUE OF CURRENT UNITS]]+INVESTORS_LIST[[#This Row],[SIP_TOTAL COST VALUE OF CURRENT UNITS]]</f>
        <v>0</v>
      </c>
      <c r="AE184" s="44">
        <f>IF(INVESTORS_LIST[[#This Row],[TOTAL CURRENT UNITS]]=0,0,INVESTORS_LIST[[#This Row],[LS_TOTAL CURRENT UNITS]]/INVESTORS_LIST[[#This Row],[TOTAL CURRENT UNITS]])</f>
        <v>0</v>
      </c>
      <c r="AF184" s="44">
        <f>IF(INVESTORS_LIST[[#This Row],[TOTAL CURRENT UNITS]]=0,0,INVESTORS_LIST[[#This Row],[SIP_TOTAL CURRENT UNITS]]/INVESTORS_LIST[[#This Row],[TOTAL CURRENT UNITS]])</f>
        <v>0</v>
      </c>
      <c r="AG184" s="4" cm="1">
        <f t="array" ref="AG18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84" s="4" cm="1">
        <f t="array" ref="AH1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8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84" s="178">
        <f t="shared" si="2"/>
        <v>12.552</v>
      </c>
      <c r="AK184" s="118">
        <f>IF(INVESTORS_LIST[[#This Row],[TOTAL CURRENT UNITS]]=0,0,INVESTORS_LIST[[#This Row],[TOTAL CURRENT UNITS]]*INVESTORS_LIST[[#This Row],[NAV]])</f>
        <v>0</v>
      </c>
      <c r="AL184" s="4">
        <f>IF(INVESTORS_LIST[[#This Row],[LS_TOTAL CURRENT UNITS]]=0,0,INVESTORS_LIST[[#This Row],[LS_TOTAL CURRENT UNITS]]*INVESTORS_LIST[[#This Row],[NAV]])</f>
        <v>0</v>
      </c>
      <c r="AM184" s="6">
        <f>IF(INVESTORS_LIST[[#This Row],[SIP_TOTAL CURRENT UNITS]]=0,0,INVESTORS_LIST[[#This Row],[SIP_TOTAL CURRENT UNITS]]*INVESTORS_LIST[[#This Row],[NAV]])</f>
        <v>0</v>
      </c>
      <c r="AO184" s="6">
        <f>IF(INVESTORS_LIST[[#This Row],[TOTAL SELLABLE UNITS]]=0,0,INVESTORS_LIST[[#This Row],[TOTAL SELLABLE UNITS]]*INVESTORS_LIST[[#This Row],[NAV]])</f>
        <v>0</v>
      </c>
      <c r="AP184" s="6">
        <f>INVESTORS_LIST[[#This Row],[LS_TOTAL REALIZED GAIN]]+INVESTORS_LIST[[#This Row],[SIP_TOTAL REALIZED GAIN]]</f>
        <v>0</v>
      </c>
      <c r="AQ184" s="6">
        <f>INVESTORS_LIST[[#This Row],[TOTAL MARKET VALUE]]-INVESTORS_LIST[[#This Row],[TOTAL COST VALUE OF CURRENT INVESTMENT]]</f>
        <v>0</v>
      </c>
      <c r="AR184" s="6">
        <f>SUMIFS(DivAndTax[Tax Amount],DivAndTax[Investor ID],INVESTORS_LIST[[#This Row],[INVESTOR CODE]])</f>
        <v>0</v>
      </c>
      <c r="AS184" s="6">
        <f>SUMIFS(DivAndTax[Gross Dividend],DivAndTax[Investor ID],INVESTORS_LIST[[#This Row],[INVESTOR CODE]])</f>
        <v>0</v>
      </c>
      <c r="AT184" s="5">
        <f>IFERROR(INVESTORS_LIST[[#This Row],[TOTAL CURRENT UNITS]]/SUM(INVESTORS_LIST[TOTAL CURRENT UNITS]),0)</f>
        <v>0</v>
      </c>
    </row>
    <row r="185" spans="1:46" hidden="1">
      <c r="A185" t="s">
        <v>845</v>
      </c>
      <c r="B185" t="s">
        <v>218</v>
      </c>
      <c r="C185" t="s">
        <v>536</v>
      </c>
      <c r="D185" s="8" t="s">
        <v>2</v>
      </c>
      <c r="E185" s="2">
        <f>SUMIFS(LS[Unit],LS[Investor ID],INVESTORS_LIST[[#This Row],[INVESTOR CODE]],LS[B/S],"B")</f>
        <v>0</v>
      </c>
      <c r="F185" s="2">
        <f>-SUMIFS(LS[Unit],LS[Investor ID],INVESTORS_LIST[[#This Row],[INVESTOR CODE]],LS[B/S],"S")</f>
        <v>0</v>
      </c>
      <c r="G185" s="2">
        <f>IF(INVESTORS_LIST[[#This Row],[LS_TOTAL UNITS BUY]]=0,0,INVESTORS_LIST[[#This Row],[LS_TOTAL UNITS BUY]]-INVESTORS_LIST[[#This Row],[LS_TOTAL UNITS SOLD]])</f>
        <v>0</v>
      </c>
      <c r="H185" s="4">
        <f>IF(INVESTORS_LIST[[#This Row],[LS_TOTAL UNITS BUY]]=0,0,SUMIFS(LS[Amount],LS[Investor ID],INVESTORS_LIST[[#This Row],[INVESTOR CODE]],LS[B/S],"B"))</f>
        <v>0</v>
      </c>
      <c r="I185" s="6">
        <f>IF(INVESTORS_LIST[[#This Row],[LS_TOTAL UNITS SOLD]]=0,0,SUMIFS(LS[Cost of Units Sold],LS[Investor ID],INVESTORS_LIST[[#This Row],[INVESTOR CODE]],LS[B/S],"S"))</f>
        <v>0</v>
      </c>
      <c r="J185" s="6">
        <f>IF(INVESTORS_LIST[[#This Row],[LS_TOTAL CURRENT UNITS]]=0,0,INVESTORS_LIST[[#This Row],[LS_TOTAL CURRENT UNITS]]*INVESTORS_LIST[[#This Row],[LS_AVERAGE COST]])</f>
        <v>0</v>
      </c>
      <c r="K185" s="4">
        <f>IF(INVESTORS_LIST[[#This Row],[LS_TOTAL UNITS SOLD]]=0,0,SUMIFS(LS[Realized Gain],LS[Investor ID],INVESTORS_LIST[[#This Row],[INVESTOR CODE]],LS[B/S],"S"))</f>
        <v>0</v>
      </c>
      <c r="L185" s="2">
        <f>SUMIFS(SIP[Unit],SIP[Investor ID],INVESTORS_LIST[[#This Row],[INVESTOR CODE]],SIP[B/S],"B")</f>
        <v>0</v>
      </c>
      <c r="M185" s="2">
        <f>-SUMIFS(SIP[Unit],SIP[Investor ID],INVESTORS_LIST[[#This Row],[INVESTOR CODE]],SIP[B/S],"S")</f>
        <v>0</v>
      </c>
      <c r="N185" s="33">
        <f>IF(INVESTORS_LIST[[#This Row],[SIP_TOTAL UNITS BUY]]=0,0,INVESTORS_LIST[[#This Row],[SIP_TOTAL UNITS BUY]]-INVESTORS_LIST[[#This Row],[SIP_TOTAL UNITS SOLD]])</f>
        <v>0</v>
      </c>
      <c r="O185" s="4">
        <f>IF(INVESTORS_LIST[[#This Row],[SIP_TOTAL UNITS BUY]]=0,0,SUMIFS(SIP[Amount],SIP[Investor ID],INVESTORS_LIST[[#This Row],[INVESTOR CODE]],SIP[B/S],"B"))</f>
        <v>0</v>
      </c>
      <c r="P185" s="4">
        <f>IF(INVESTORS_LIST[[#This Row],[SIP_TOTAL UNITS SOLD]]=0,0,SUMIFS(SIP[Cost of Units Sold],SIP[Investor ID],INVESTORS_LIST[[#This Row],[INVESTOR CODE]],SIP[B/S],"S"))</f>
        <v>0</v>
      </c>
      <c r="Q185" s="6">
        <f>IF(INVESTORS_LIST[[#This Row],[SIP_TOTAL CURRENT UNITS]]=0,0,INVESTORS_LIST[[#This Row],[SIP_TOTAL CURRENT UNITS]]*INVESTORS_LIST[[#This Row],[SIP_AVERAGE COST]])</f>
        <v>0</v>
      </c>
      <c r="R185" s="6">
        <f>IF(INVESTORS_LIST[[#This Row],[SIP_TOTAL UNITS SOLD]]=0,0,SUMIFS(SIP[Realized Gain],SIP[Investor ID],INVESTORS_LIST[[#This Row],[INVESTOR CODE]],SIP[B/S],"S"))</f>
        <v>0</v>
      </c>
      <c r="S185" s="33">
        <f>INVESTORS_LIST[[#This Row],[LS_TOTAL UNITS BUY]]+INVESTORS_LIST[[#This Row],[SIP_TOTAL UNITS BUY]]</f>
        <v>0</v>
      </c>
      <c r="T185" s="33">
        <f>INVESTORS_LIST[[#This Row],[LS_TOTAL UNITS SOLD]]+INVESTORS_LIST[[#This Row],[SIP_TOTAL UNITS SOLD]]</f>
        <v>0</v>
      </c>
      <c r="U185" s="33">
        <v>0</v>
      </c>
      <c r="V185" s="33">
        <f>SUMIFS(LS[BO UNIT TRANSFER],LS[Investor ID],INVESTORS_LIST[[#This Row],[INVESTOR CODE]],LS[B/S],"B")</f>
        <v>0</v>
      </c>
      <c r="W185" s="33">
        <f>SUMIFS(LS[BO UNIT TRANSFER],LS[Investor ID],INVESTORS_LIST[[#This Row],[INVESTOR CODE]],LS[B/S],"S")</f>
        <v>0</v>
      </c>
      <c r="X185" s="33">
        <f>SUMIFS(SIP[BO UNIT TRANSFER],SIP[Investor ID],INVESTORS_LIST[[#This Row],[INVESTOR CODE]],SIP[B/S],"S")</f>
        <v>0</v>
      </c>
      <c r="Y185" s="33">
        <f>SUMIFS(SIP[BO UNIT TRANSFER],SIP[Investor ID],INVESTORS_LIST[[#This Row],[INVESTOR CODE]],SIP[B/S],"B")</f>
        <v>0</v>
      </c>
      <c r="Z18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85" s="119">
        <f>INVESTORS_LIST[[#This Row],[TOTAL UNITS BUY]]-INVESTORS_LIST[[#This Row],[TOTAL UNITS SOLD]]</f>
        <v>0</v>
      </c>
      <c r="AB185" s="119">
        <f>INVESTORS_LIST[[#This Row],[TOTAL CURRENT UNITS]]-INVESTORS_LIST[[#This Row],[BO UNITS HOLD]]</f>
        <v>0</v>
      </c>
      <c r="AC185" s="119" t="e">
        <f>INDEX([4]!Table_1[BO ID],MATCH(INVESTORS_LIST[[#This Row],[INVESTOR CODE]],[4]!Table_1[INVESTOR CODE],0))</f>
        <v>#REF!</v>
      </c>
      <c r="AD185" s="33">
        <f>INVESTORS_LIST[[#This Row],[LS_TOTAL COST VALUE OF CURRENT UNITS]]+INVESTORS_LIST[[#This Row],[SIP_TOTAL COST VALUE OF CURRENT UNITS]]</f>
        <v>0</v>
      </c>
      <c r="AE185" s="44">
        <f>IF(INVESTORS_LIST[[#This Row],[TOTAL CURRENT UNITS]]=0,0,INVESTORS_LIST[[#This Row],[LS_TOTAL CURRENT UNITS]]/INVESTORS_LIST[[#This Row],[TOTAL CURRENT UNITS]])</f>
        <v>0</v>
      </c>
      <c r="AF185" s="44">
        <f>IF(INVESTORS_LIST[[#This Row],[TOTAL CURRENT UNITS]]=0,0,INVESTORS_LIST[[#This Row],[SIP_TOTAL CURRENT UNITS]]/INVESTORS_LIST[[#This Row],[TOTAL CURRENT UNITS]])</f>
        <v>0</v>
      </c>
      <c r="AG185" s="4" cm="1">
        <f t="array" ref="AG1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85" s="4" cm="1">
        <f t="array" ref="AH18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8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85" s="178">
        <f t="shared" si="2"/>
        <v>12.552</v>
      </c>
      <c r="AK185" s="118">
        <f>IF(INVESTORS_LIST[[#This Row],[TOTAL CURRENT UNITS]]=0,0,INVESTORS_LIST[[#This Row],[TOTAL CURRENT UNITS]]*INVESTORS_LIST[[#This Row],[NAV]])</f>
        <v>0</v>
      </c>
      <c r="AL185" s="4">
        <f>IF(INVESTORS_LIST[[#This Row],[LS_TOTAL CURRENT UNITS]]=0,0,INVESTORS_LIST[[#This Row],[LS_TOTAL CURRENT UNITS]]*INVESTORS_LIST[[#This Row],[NAV]])</f>
        <v>0</v>
      </c>
      <c r="AM185" s="6">
        <f>IF(INVESTORS_LIST[[#This Row],[SIP_TOTAL CURRENT UNITS]]=0,0,INVESTORS_LIST[[#This Row],[SIP_TOTAL CURRENT UNITS]]*INVESTORS_LIST[[#This Row],[NAV]])</f>
        <v>0</v>
      </c>
      <c r="AO185" s="6">
        <f>IF(INVESTORS_LIST[[#This Row],[TOTAL SELLABLE UNITS]]=0,0,INVESTORS_LIST[[#This Row],[TOTAL SELLABLE UNITS]]*INVESTORS_LIST[[#This Row],[NAV]])</f>
        <v>0</v>
      </c>
      <c r="AP185" s="6">
        <f>INVESTORS_LIST[[#This Row],[LS_TOTAL REALIZED GAIN]]+INVESTORS_LIST[[#This Row],[SIP_TOTAL REALIZED GAIN]]</f>
        <v>0</v>
      </c>
      <c r="AQ185" s="6">
        <f>INVESTORS_LIST[[#This Row],[TOTAL MARKET VALUE]]-INVESTORS_LIST[[#This Row],[TOTAL COST VALUE OF CURRENT INVESTMENT]]</f>
        <v>0</v>
      </c>
      <c r="AR185" s="6">
        <f>SUMIFS(DivAndTax[Tax Amount],DivAndTax[Investor ID],INVESTORS_LIST[[#This Row],[INVESTOR CODE]])</f>
        <v>0</v>
      </c>
      <c r="AS185" s="6">
        <f>SUMIFS(DivAndTax[Gross Dividend],DivAndTax[Investor ID],INVESTORS_LIST[[#This Row],[INVESTOR CODE]])</f>
        <v>0</v>
      </c>
      <c r="AT185" s="5">
        <f>IFERROR(INVESTORS_LIST[[#This Row],[TOTAL CURRENT UNITS]]/SUM(INVESTORS_LIST[TOTAL CURRENT UNITS]),0)</f>
        <v>0</v>
      </c>
    </row>
    <row r="186" spans="1:46" hidden="1">
      <c r="A186" t="s">
        <v>846</v>
      </c>
      <c r="B186" t="s">
        <v>219</v>
      </c>
      <c r="C186" t="s">
        <v>536</v>
      </c>
      <c r="D186" s="8" t="s">
        <v>2</v>
      </c>
      <c r="E186" s="2">
        <f>SUMIFS(LS[Unit],LS[Investor ID],INVESTORS_LIST[[#This Row],[INVESTOR CODE]],LS[B/S],"B")</f>
        <v>0</v>
      </c>
      <c r="F186" s="2">
        <f>-SUMIFS(LS[Unit],LS[Investor ID],INVESTORS_LIST[[#This Row],[INVESTOR CODE]],LS[B/S],"S")</f>
        <v>0</v>
      </c>
      <c r="G186" s="2">
        <f>IF(INVESTORS_LIST[[#This Row],[LS_TOTAL UNITS BUY]]=0,0,INVESTORS_LIST[[#This Row],[LS_TOTAL UNITS BUY]]-INVESTORS_LIST[[#This Row],[LS_TOTAL UNITS SOLD]])</f>
        <v>0</v>
      </c>
      <c r="H186" s="4">
        <f>IF(INVESTORS_LIST[[#This Row],[LS_TOTAL UNITS BUY]]=0,0,SUMIFS(LS[Amount],LS[Investor ID],INVESTORS_LIST[[#This Row],[INVESTOR CODE]],LS[B/S],"B"))</f>
        <v>0</v>
      </c>
      <c r="I186" s="6">
        <f>IF(INVESTORS_LIST[[#This Row],[LS_TOTAL UNITS SOLD]]=0,0,SUMIFS(LS[Cost of Units Sold],LS[Investor ID],INVESTORS_LIST[[#This Row],[INVESTOR CODE]],LS[B/S],"S"))</f>
        <v>0</v>
      </c>
      <c r="J186" s="6">
        <f>IF(INVESTORS_LIST[[#This Row],[LS_TOTAL CURRENT UNITS]]=0,0,INVESTORS_LIST[[#This Row],[LS_TOTAL CURRENT UNITS]]*INVESTORS_LIST[[#This Row],[LS_AVERAGE COST]])</f>
        <v>0</v>
      </c>
      <c r="K186" s="4">
        <f>IF(INVESTORS_LIST[[#This Row],[LS_TOTAL UNITS SOLD]]=0,0,SUMIFS(LS[Realized Gain],LS[Investor ID],INVESTORS_LIST[[#This Row],[INVESTOR CODE]],LS[B/S],"S"))</f>
        <v>0</v>
      </c>
      <c r="L186" s="2">
        <f>SUMIFS(SIP[Unit],SIP[Investor ID],INVESTORS_LIST[[#This Row],[INVESTOR CODE]],SIP[B/S],"B")</f>
        <v>0</v>
      </c>
      <c r="M186" s="2">
        <f>-SUMIFS(SIP[Unit],SIP[Investor ID],INVESTORS_LIST[[#This Row],[INVESTOR CODE]],SIP[B/S],"S")</f>
        <v>0</v>
      </c>
      <c r="N186" s="33">
        <f>IF(INVESTORS_LIST[[#This Row],[SIP_TOTAL UNITS BUY]]=0,0,INVESTORS_LIST[[#This Row],[SIP_TOTAL UNITS BUY]]-INVESTORS_LIST[[#This Row],[SIP_TOTAL UNITS SOLD]])</f>
        <v>0</v>
      </c>
      <c r="O186" s="4">
        <f>IF(INVESTORS_LIST[[#This Row],[SIP_TOTAL UNITS BUY]]=0,0,SUMIFS(SIP[Amount],SIP[Investor ID],INVESTORS_LIST[[#This Row],[INVESTOR CODE]],SIP[B/S],"B"))</f>
        <v>0</v>
      </c>
      <c r="P186" s="4">
        <f>IF(INVESTORS_LIST[[#This Row],[SIP_TOTAL UNITS SOLD]]=0,0,SUMIFS(SIP[Cost of Units Sold],SIP[Investor ID],INVESTORS_LIST[[#This Row],[INVESTOR CODE]],SIP[B/S],"S"))</f>
        <v>0</v>
      </c>
      <c r="Q186" s="6">
        <f>IF(INVESTORS_LIST[[#This Row],[SIP_TOTAL CURRENT UNITS]]=0,0,INVESTORS_LIST[[#This Row],[SIP_TOTAL CURRENT UNITS]]*INVESTORS_LIST[[#This Row],[SIP_AVERAGE COST]])</f>
        <v>0</v>
      </c>
      <c r="R186" s="6">
        <f>IF(INVESTORS_LIST[[#This Row],[SIP_TOTAL UNITS SOLD]]=0,0,SUMIFS(SIP[Realized Gain],SIP[Investor ID],INVESTORS_LIST[[#This Row],[INVESTOR CODE]],SIP[B/S],"S"))</f>
        <v>0</v>
      </c>
      <c r="S186" s="33">
        <f>INVESTORS_LIST[[#This Row],[LS_TOTAL UNITS BUY]]+INVESTORS_LIST[[#This Row],[SIP_TOTAL UNITS BUY]]</f>
        <v>0</v>
      </c>
      <c r="T186" s="33">
        <f>INVESTORS_LIST[[#This Row],[LS_TOTAL UNITS SOLD]]+INVESTORS_LIST[[#This Row],[SIP_TOTAL UNITS SOLD]]</f>
        <v>0</v>
      </c>
      <c r="U186" s="33">
        <v>0</v>
      </c>
      <c r="V186" s="33">
        <f>SUMIFS(LS[BO UNIT TRANSFER],LS[Investor ID],INVESTORS_LIST[[#This Row],[INVESTOR CODE]],LS[B/S],"B")</f>
        <v>0</v>
      </c>
      <c r="W186" s="33">
        <f>SUMIFS(LS[BO UNIT TRANSFER],LS[Investor ID],INVESTORS_LIST[[#This Row],[INVESTOR CODE]],LS[B/S],"S")</f>
        <v>0</v>
      </c>
      <c r="X186" s="33">
        <f>SUMIFS(SIP[BO UNIT TRANSFER],SIP[Investor ID],INVESTORS_LIST[[#This Row],[INVESTOR CODE]],SIP[B/S],"S")</f>
        <v>0</v>
      </c>
      <c r="Y186" s="33">
        <f>SUMIFS(SIP[BO UNIT TRANSFER],SIP[Investor ID],INVESTORS_LIST[[#This Row],[INVESTOR CODE]],SIP[B/S],"B")</f>
        <v>0</v>
      </c>
      <c r="Z18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86" s="119">
        <f>INVESTORS_LIST[[#This Row],[TOTAL UNITS BUY]]-INVESTORS_LIST[[#This Row],[TOTAL UNITS SOLD]]</f>
        <v>0</v>
      </c>
      <c r="AB186" s="119">
        <f>INVESTORS_LIST[[#This Row],[TOTAL CURRENT UNITS]]-INVESTORS_LIST[[#This Row],[BO UNITS HOLD]]</f>
        <v>0</v>
      </c>
      <c r="AC186" s="119" t="e">
        <f>INDEX([4]!Table_1[BO ID],MATCH(INVESTORS_LIST[[#This Row],[INVESTOR CODE]],[4]!Table_1[INVESTOR CODE],0))</f>
        <v>#REF!</v>
      </c>
      <c r="AD186" s="33">
        <f>INVESTORS_LIST[[#This Row],[LS_TOTAL COST VALUE OF CURRENT UNITS]]+INVESTORS_LIST[[#This Row],[SIP_TOTAL COST VALUE OF CURRENT UNITS]]</f>
        <v>0</v>
      </c>
      <c r="AE186" s="44">
        <f>IF(INVESTORS_LIST[[#This Row],[TOTAL CURRENT UNITS]]=0,0,INVESTORS_LIST[[#This Row],[LS_TOTAL CURRENT UNITS]]/INVESTORS_LIST[[#This Row],[TOTAL CURRENT UNITS]])</f>
        <v>0</v>
      </c>
      <c r="AF186" s="44">
        <f>IF(INVESTORS_LIST[[#This Row],[TOTAL CURRENT UNITS]]=0,0,INVESTORS_LIST[[#This Row],[SIP_TOTAL CURRENT UNITS]]/INVESTORS_LIST[[#This Row],[TOTAL CURRENT UNITS]])</f>
        <v>0</v>
      </c>
      <c r="AG186" s="4" cm="1">
        <f t="array" ref="AG1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86" s="4" cm="1">
        <f t="array" ref="AH18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8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86" s="178">
        <f t="shared" si="2"/>
        <v>12.552</v>
      </c>
      <c r="AK186" s="118">
        <f>IF(INVESTORS_LIST[[#This Row],[TOTAL CURRENT UNITS]]=0,0,INVESTORS_LIST[[#This Row],[TOTAL CURRENT UNITS]]*INVESTORS_LIST[[#This Row],[NAV]])</f>
        <v>0</v>
      </c>
      <c r="AL186" s="4">
        <f>IF(INVESTORS_LIST[[#This Row],[LS_TOTAL CURRENT UNITS]]=0,0,INVESTORS_LIST[[#This Row],[LS_TOTAL CURRENT UNITS]]*INVESTORS_LIST[[#This Row],[NAV]])</f>
        <v>0</v>
      </c>
      <c r="AM186" s="6">
        <f>IF(INVESTORS_LIST[[#This Row],[SIP_TOTAL CURRENT UNITS]]=0,0,INVESTORS_LIST[[#This Row],[SIP_TOTAL CURRENT UNITS]]*INVESTORS_LIST[[#This Row],[NAV]])</f>
        <v>0</v>
      </c>
      <c r="AO186" s="6">
        <f>IF(INVESTORS_LIST[[#This Row],[TOTAL SELLABLE UNITS]]=0,0,INVESTORS_LIST[[#This Row],[TOTAL SELLABLE UNITS]]*INVESTORS_LIST[[#This Row],[NAV]])</f>
        <v>0</v>
      </c>
      <c r="AP186" s="6">
        <f>INVESTORS_LIST[[#This Row],[LS_TOTAL REALIZED GAIN]]+INVESTORS_LIST[[#This Row],[SIP_TOTAL REALIZED GAIN]]</f>
        <v>0</v>
      </c>
      <c r="AQ186" s="6">
        <f>INVESTORS_LIST[[#This Row],[TOTAL MARKET VALUE]]-INVESTORS_LIST[[#This Row],[TOTAL COST VALUE OF CURRENT INVESTMENT]]</f>
        <v>0</v>
      </c>
      <c r="AR186" s="6">
        <f>SUMIFS(DivAndTax[Tax Amount],DivAndTax[Investor ID],INVESTORS_LIST[[#This Row],[INVESTOR CODE]])</f>
        <v>0</v>
      </c>
      <c r="AS186" s="6">
        <f>SUMIFS(DivAndTax[Gross Dividend],DivAndTax[Investor ID],INVESTORS_LIST[[#This Row],[INVESTOR CODE]])</f>
        <v>0</v>
      </c>
      <c r="AT186" s="5">
        <f>IFERROR(INVESTORS_LIST[[#This Row],[TOTAL CURRENT UNITS]]/SUM(INVESTORS_LIST[TOTAL CURRENT UNITS]),0)</f>
        <v>0</v>
      </c>
    </row>
    <row r="187" spans="1:46" hidden="1">
      <c r="A187" t="s">
        <v>496</v>
      </c>
      <c r="B187" t="s">
        <v>497</v>
      </c>
      <c r="C187" t="s">
        <v>536</v>
      </c>
      <c r="D187" s="8" t="s">
        <v>2</v>
      </c>
      <c r="E187" s="2">
        <f>SUMIFS(LS[Unit],LS[Investor ID],INVESTORS_LIST[[#This Row],[INVESTOR CODE]],LS[B/S],"B")</f>
        <v>0</v>
      </c>
      <c r="F187" s="2">
        <f>-SUMIFS(LS[Unit],LS[Investor ID],INVESTORS_LIST[[#This Row],[INVESTOR CODE]],LS[B/S],"S")</f>
        <v>0</v>
      </c>
      <c r="G187" s="2">
        <f>IF(INVESTORS_LIST[[#This Row],[LS_TOTAL UNITS BUY]]=0,0,INVESTORS_LIST[[#This Row],[LS_TOTAL UNITS BUY]]-INVESTORS_LIST[[#This Row],[LS_TOTAL UNITS SOLD]])</f>
        <v>0</v>
      </c>
      <c r="H187" s="4">
        <f>IF(INVESTORS_LIST[[#This Row],[LS_TOTAL UNITS BUY]]=0,0,SUMIFS(LS[Amount],LS[Investor ID],INVESTORS_LIST[[#This Row],[INVESTOR CODE]],LS[B/S],"B"))</f>
        <v>0</v>
      </c>
      <c r="I187" s="6">
        <f>IF(INVESTORS_LIST[[#This Row],[LS_TOTAL UNITS SOLD]]=0,0,SUMIFS(LS[Cost of Units Sold],LS[Investor ID],INVESTORS_LIST[[#This Row],[INVESTOR CODE]],LS[B/S],"S"))</f>
        <v>0</v>
      </c>
      <c r="J187" s="6">
        <f>IF(INVESTORS_LIST[[#This Row],[LS_TOTAL CURRENT UNITS]]=0,0,INVESTORS_LIST[[#This Row],[LS_TOTAL CURRENT UNITS]]*INVESTORS_LIST[[#This Row],[LS_AVERAGE COST]])</f>
        <v>0</v>
      </c>
      <c r="K187" s="4">
        <f>IF(INVESTORS_LIST[[#This Row],[LS_TOTAL UNITS SOLD]]=0,0,SUMIFS(LS[Realized Gain],LS[Investor ID],INVESTORS_LIST[[#This Row],[INVESTOR CODE]],LS[B/S],"S"))</f>
        <v>0</v>
      </c>
      <c r="L187" s="2">
        <f>SUMIFS(SIP[Unit],SIP[Investor ID],INVESTORS_LIST[[#This Row],[INVESTOR CODE]],SIP[B/S],"B")</f>
        <v>0</v>
      </c>
      <c r="M187" s="2">
        <f>-SUMIFS(SIP[Unit],SIP[Investor ID],INVESTORS_LIST[[#This Row],[INVESTOR CODE]],SIP[B/S],"S")</f>
        <v>0</v>
      </c>
      <c r="N187" s="33">
        <f>IF(INVESTORS_LIST[[#This Row],[SIP_TOTAL UNITS BUY]]=0,0,INVESTORS_LIST[[#This Row],[SIP_TOTAL UNITS BUY]]-INVESTORS_LIST[[#This Row],[SIP_TOTAL UNITS SOLD]])</f>
        <v>0</v>
      </c>
      <c r="O187" s="4">
        <f>IF(INVESTORS_LIST[[#This Row],[SIP_TOTAL UNITS BUY]]=0,0,SUMIFS(SIP[Amount],SIP[Investor ID],INVESTORS_LIST[[#This Row],[INVESTOR CODE]],SIP[B/S],"B"))</f>
        <v>0</v>
      </c>
      <c r="P187" s="4">
        <f>IF(INVESTORS_LIST[[#This Row],[SIP_TOTAL UNITS SOLD]]=0,0,SUMIFS(SIP[Cost of Units Sold],SIP[Investor ID],INVESTORS_LIST[[#This Row],[INVESTOR CODE]],SIP[B/S],"S"))</f>
        <v>0</v>
      </c>
      <c r="Q187" s="6">
        <f>IF(INVESTORS_LIST[[#This Row],[SIP_TOTAL CURRENT UNITS]]=0,0,INVESTORS_LIST[[#This Row],[SIP_TOTAL CURRENT UNITS]]*INVESTORS_LIST[[#This Row],[SIP_AVERAGE COST]])</f>
        <v>0</v>
      </c>
      <c r="R187" s="6">
        <f>IF(INVESTORS_LIST[[#This Row],[SIP_TOTAL UNITS SOLD]]=0,0,SUMIFS(SIP[Realized Gain],SIP[Investor ID],INVESTORS_LIST[[#This Row],[INVESTOR CODE]],SIP[B/S],"S"))</f>
        <v>0</v>
      </c>
      <c r="S187" s="33">
        <f>INVESTORS_LIST[[#This Row],[LS_TOTAL UNITS BUY]]+INVESTORS_LIST[[#This Row],[SIP_TOTAL UNITS BUY]]</f>
        <v>0</v>
      </c>
      <c r="T187" s="33">
        <f>INVESTORS_LIST[[#This Row],[LS_TOTAL UNITS SOLD]]+INVESTORS_LIST[[#This Row],[SIP_TOTAL UNITS SOLD]]</f>
        <v>0</v>
      </c>
      <c r="U187" s="33">
        <v>0</v>
      </c>
      <c r="V187" s="33">
        <f>SUMIFS(LS[BO UNIT TRANSFER],LS[Investor ID],INVESTORS_LIST[[#This Row],[INVESTOR CODE]],LS[B/S],"B")</f>
        <v>0</v>
      </c>
      <c r="W187" s="33">
        <f>SUMIFS(LS[BO UNIT TRANSFER],LS[Investor ID],INVESTORS_LIST[[#This Row],[INVESTOR CODE]],LS[B/S],"S")</f>
        <v>0</v>
      </c>
      <c r="X187" s="33">
        <f>SUMIFS(SIP[BO UNIT TRANSFER],SIP[Investor ID],INVESTORS_LIST[[#This Row],[INVESTOR CODE]],SIP[B/S],"S")</f>
        <v>0</v>
      </c>
      <c r="Y187" s="33">
        <f>SUMIFS(SIP[BO UNIT TRANSFER],SIP[Investor ID],INVESTORS_LIST[[#This Row],[INVESTOR CODE]],SIP[B/S],"B")</f>
        <v>0</v>
      </c>
      <c r="Z18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87" s="119">
        <f>INVESTORS_LIST[[#This Row],[TOTAL UNITS BUY]]-INVESTORS_LIST[[#This Row],[TOTAL UNITS SOLD]]</f>
        <v>0</v>
      </c>
      <c r="AB187" s="119">
        <f>INVESTORS_LIST[[#This Row],[TOTAL CURRENT UNITS]]-INVESTORS_LIST[[#This Row],[BO UNITS HOLD]]</f>
        <v>0</v>
      </c>
      <c r="AC187" s="119" t="e">
        <f>INDEX([4]!Table_1[BO ID],MATCH(INVESTORS_LIST[[#This Row],[INVESTOR CODE]],[4]!Table_1[INVESTOR CODE],0))</f>
        <v>#REF!</v>
      </c>
      <c r="AD187" s="33">
        <f>INVESTORS_LIST[[#This Row],[LS_TOTAL COST VALUE OF CURRENT UNITS]]+INVESTORS_LIST[[#This Row],[SIP_TOTAL COST VALUE OF CURRENT UNITS]]</f>
        <v>0</v>
      </c>
      <c r="AE187" s="44">
        <f>IF(INVESTORS_LIST[[#This Row],[TOTAL CURRENT UNITS]]=0,0,INVESTORS_LIST[[#This Row],[LS_TOTAL CURRENT UNITS]]/INVESTORS_LIST[[#This Row],[TOTAL CURRENT UNITS]])</f>
        <v>0</v>
      </c>
      <c r="AF187" s="44">
        <f>IF(INVESTORS_LIST[[#This Row],[TOTAL CURRENT UNITS]]=0,0,INVESTORS_LIST[[#This Row],[SIP_TOTAL CURRENT UNITS]]/INVESTORS_LIST[[#This Row],[TOTAL CURRENT UNITS]])</f>
        <v>0</v>
      </c>
      <c r="AG187" s="4" cm="1">
        <f t="array" ref="AG18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87" s="4" cm="1">
        <f t="array" ref="AH18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8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87" s="178">
        <f t="shared" si="2"/>
        <v>12.552</v>
      </c>
      <c r="AK187" s="118">
        <f>IF(INVESTORS_LIST[[#This Row],[TOTAL CURRENT UNITS]]=0,0,INVESTORS_LIST[[#This Row],[TOTAL CURRENT UNITS]]*INVESTORS_LIST[[#This Row],[NAV]])</f>
        <v>0</v>
      </c>
      <c r="AL187" s="4">
        <f>IF(INVESTORS_LIST[[#This Row],[LS_TOTAL CURRENT UNITS]]=0,0,INVESTORS_LIST[[#This Row],[LS_TOTAL CURRENT UNITS]]*INVESTORS_LIST[[#This Row],[NAV]])</f>
        <v>0</v>
      </c>
      <c r="AM187" s="6">
        <f>IF(INVESTORS_LIST[[#This Row],[SIP_TOTAL CURRENT UNITS]]=0,0,INVESTORS_LIST[[#This Row],[SIP_TOTAL CURRENT UNITS]]*INVESTORS_LIST[[#This Row],[NAV]])</f>
        <v>0</v>
      </c>
      <c r="AO187" s="6">
        <f>IF(INVESTORS_LIST[[#This Row],[TOTAL SELLABLE UNITS]]=0,0,INVESTORS_LIST[[#This Row],[TOTAL SELLABLE UNITS]]*INVESTORS_LIST[[#This Row],[NAV]])</f>
        <v>0</v>
      </c>
      <c r="AP187" s="6">
        <f>INVESTORS_LIST[[#This Row],[LS_TOTAL REALIZED GAIN]]+INVESTORS_LIST[[#This Row],[SIP_TOTAL REALIZED GAIN]]</f>
        <v>0</v>
      </c>
      <c r="AQ187" s="6">
        <f>INVESTORS_LIST[[#This Row],[TOTAL MARKET VALUE]]-INVESTORS_LIST[[#This Row],[TOTAL COST VALUE OF CURRENT INVESTMENT]]</f>
        <v>0</v>
      </c>
      <c r="AR187" s="6">
        <f>SUMIFS(DivAndTax[Tax Amount],DivAndTax[Investor ID],INVESTORS_LIST[[#This Row],[INVESTOR CODE]])</f>
        <v>0</v>
      </c>
      <c r="AS187" s="6">
        <f>SUMIFS(DivAndTax[Gross Dividend],DivAndTax[Investor ID],INVESTORS_LIST[[#This Row],[INVESTOR CODE]])</f>
        <v>0</v>
      </c>
      <c r="AT187" s="5">
        <f>IFERROR(INVESTORS_LIST[[#This Row],[TOTAL CURRENT UNITS]]/SUM(INVESTORS_LIST[TOTAL CURRENT UNITS]),0)</f>
        <v>0</v>
      </c>
    </row>
    <row r="188" spans="1:46">
      <c r="A188" t="s">
        <v>1090</v>
      </c>
      <c r="B188" t="s">
        <v>220</v>
      </c>
      <c r="C188" t="s">
        <v>536</v>
      </c>
      <c r="D188" s="8" t="s">
        <v>2</v>
      </c>
      <c r="E188" s="2">
        <f>SUMIFS(LS[Unit],LS[Investor ID],INVESTORS_LIST[[#This Row],[INVESTOR CODE]],LS[B/S],"B")</f>
        <v>0</v>
      </c>
      <c r="F188" s="2">
        <f>-SUMIFS(LS[Unit],LS[Investor ID],INVESTORS_LIST[[#This Row],[INVESTOR CODE]],LS[B/S],"S")</f>
        <v>0</v>
      </c>
      <c r="G188" s="2">
        <f>IF(INVESTORS_LIST[[#This Row],[LS_TOTAL UNITS BUY]]=0,0,INVESTORS_LIST[[#This Row],[LS_TOTAL UNITS BUY]]-INVESTORS_LIST[[#This Row],[LS_TOTAL UNITS SOLD]])</f>
        <v>0</v>
      </c>
      <c r="H188" s="4">
        <f>IF(INVESTORS_LIST[[#This Row],[LS_TOTAL UNITS BUY]]=0,0,SUMIFS(LS[Amount],LS[Investor ID],INVESTORS_LIST[[#This Row],[INVESTOR CODE]],LS[B/S],"B"))</f>
        <v>0</v>
      </c>
      <c r="I188" s="6">
        <f>IF(INVESTORS_LIST[[#This Row],[LS_TOTAL UNITS SOLD]]=0,0,SUMIFS(LS[Cost of Units Sold],LS[Investor ID],INVESTORS_LIST[[#This Row],[INVESTOR CODE]],LS[B/S],"S"))</f>
        <v>0</v>
      </c>
      <c r="J188" s="6">
        <f>IF(INVESTORS_LIST[[#This Row],[LS_TOTAL CURRENT UNITS]]=0,0,INVESTORS_LIST[[#This Row],[LS_TOTAL CURRENT UNITS]]*INVESTORS_LIST[[#This Row],[LS_AVERAGE COST]])</f>
        <v>0</v>
      </c>
      <c r="K188" s="4">
        <f>IF(INVESTORS_LIST[[#This Row],[LS_TOTAL UNITS SOLD]]=0,0,SUMIFS(LS[Realized Gain],LS[Investor ID],INVESTORS_LIST[[#This Row],[INVESTOR CODE]],LS[B/S],"S"))</f>
        <v>0</v>
      </c>
      <c r="L188" s="2">
        <f>SUMIFS(SIP[Unit],SIP[Investor ID],INVESTORS_LIST[[#This Row],[INVESTOR CODE]],SIP[B/S],"B")</f>
        <v>759</v>
      </c>
      <c r="M188" s="2">
        <f>-SUMIFS(SIP[Unit],SIP[Investor ID],INVESTORS_LIST[[#This Row],[INVESTOR CODE]],SIP[B/S],"S")</f>
        <v>0</v>
      </c>
      <c r="N188" s="33">
        <f>IF(INVESTORS_LIST[[#This Row],[SIP_TOTAL UNITS BUY]]=0,0,INVESTORS_LIST[[#This Row],[SIP_TOTAL UNITS BUY]]-INVESTORS_LIST[[#This Row],[SIP_TOTAL UNITS SOLD]])</f>
        <v>759</v>
      </c>
      <c r="O188" s="4">
        <f>IF(INVESTORS_LIST[[#This Row],[SIP_TOTAL UNITS BUY]]=0,0,SUMIFS(SIP[Amount],SIP[Investor ID],INVESTORS_LIST[[#This Row],[INVESTOR CODE]],SIP[B/S],"B"))</f>
        <v>10000</v>
      </c>
      <c r="P188" s="4">
        <f>IF(INVESTORS_LIST[[#This Row],[SIP_TOTAL UNITS SOLD]]=0,0,SUMIFS(SIP[Cost of Units Sold],SIP[Investor ID],INVESTORS_LIST[[#This Row],[INVESTOR CODE]],SIP[B/S],"S"))</f>
        <v>0</v>
      </c>
      <c r="Q188" s="6">
        <f>IF(INVESTORS_LIST[[#This Row],[SIP_TOTAL CURRENT UNITS]]=0,0,INVESTORS_LIST[[#This Row],[SIP_TOTAL CURRENT UNITS]]*INVESTORS_LIST[[#This Row],[SIP_AVERAGE COST]])</f>
        <v>10000</v>
      </c>
      <c r="R188" s="6">
        <f>IF(INVESTORS_LIST[[#This Row],[SIP_TOTAL UNITS SOLD]]=0,0,SUMIFS(SIP[Realized Gain],SIP[Investor ID],INVESTORS_LIST[[#This Row],[INVESTOR CODE]],SIP[B/S],"S"))</f>
        <v>0</v>
      </c>
      <c r="S188" s="33">
        <f>INVESTORS_LIST[[#This Row],[LS_TOTAL UNITS BUY]]+INVESTORS_LIST[[#This Row],[SIP_TOTAL UNITS BUY]]</f>
        <v>759</v>
      </c>
      <c r="T188" s="33">
        <f>INVESTORS_LIST[[#This Row],[LS_TOTAL UNITS SOLD]]+INVESTORS_LIST[[#This Row],[SIP_TOTAL UNITS SOLD]]</f>
        <v>0</v>
      </c>
      <c r="U188" s="33">
        <v>0</v>
      </c>
      <c r="V188" s="33">
        <f>SUMIFS(LS[BO UNIT TRANSFER],LS[Investor ID],INVESTORS_LIST[[#This Row],[INVESTOR CODE]],LS[B/S],"B")</f>
        <v>0</v>
      </c>
      <c r="W188" s="33">
        <f>SUMIFS(LS[BO UNIT TRANSFER],LS[Investor ID],INVESTORS_LIST[[#This Row],[INVESTOR CODE]],LS[B/S],"S")</f>
        <v>0</v>
      </c>
      <c r="X188" s="33">
        <f>SUMIFS(SIP[BO UNIT TRANSFER],SIP[Investor ID],INVESTORS_LIST[[#This Row],[INVESTOR CODE]],SIP[B/S],"S")</f>
        <v>0</v>
      </c>
      <c r="Y188" s="33">
        <f>SUMIFS(SIP[BO UNIT TRANSFER],SIP[Investor ID],INVESTORS_LIST[[#This Row],[INVESTOR CODE]],SIP[B/S],"B")</f>
        <v>0</v>
      </c>
      <c r="Z18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88" s="119">
        <f>INVESTORS_LIST[[#This Row],[TOTAL UNITS BUY]]-INVESTORS_LIST[[#This Row],[TOTAL UNITS SOLD]]</f>
        <v>759</v>
      </c>
      <c r="AB188" s="119">
        <f>INVESTORS_LIST[[#This Row],[TOTAL CURRENT UNITS]]-INVESTORS_LIST[[#This Row],[BO UNITS HOLD]]</f>
        <v>759</v>
      </c>
      <c r="AC188" s="119" t="e">
        <f>INDEX([4]!Table_1[BO ID],MATCH(INVESTORS_LIST[[#This Row],[INVESTOR CODE]],[4]!Table_1[INVESTOR CODE],0))</f>
        <v>#REF!</v>
      </c>
      <c r="AD188" s="33">
        <f>INVESTORS_LIST[[#This Row],[LS_TOTAL COST VALUE OF CURRENT UNITS]]+INVESTORS_LIST[[#This Row],[SIP_TOTAL COST VALUE OF CURRENT UNITS]]</f>
        <v>10000</v>
      </c>
      <c r="AE188" s="44">
        <f>IF(INVESTORS_LIST[[#This Row],[TOTAL CURRENT UNITS]]=0,0,INVESTORS_LIST[[#This Row],[LS_TOTAL CURRENT UNITS]]/INVESTORS_LIST[[#This Row],[TOTAL CURRENT UNITS]])</f>
        <v>0</v>
      </c>
      <c r="AF188" s="44">
        <f>IF(INVESTORS_LIST[[#This Row],[TOTAL CURRENT UNITS]]=0,0,INVESTORS_LIST[[#This Row],[SIP_TOTAL CURRENT UNITS]]/INVESTORS_LIST[[#This Row],[TOTAL CURRENT UNITS]])</f>
        <v>1</v>
      </c>
      <c r="AG188" s="4" cm="1">
        <f t="array" ref="AG18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88" s="4" cm="1">
        <f t="array" ref="AH188">IF(INVESTORS_LIST[[#This Row],[SIP_TOTAL UNITS BUY]]&gt;0,INDEX(SIP[NAV at Cost (Average)],MATCH(CONCATENATE(COUNTIFS(SIP[Investor ID],INVESTORS_LIST[[#This Row],[INVESTOR CODE]]),INVESTORS_LIST[[#This Row],[INVESTOR CODE]]),SIP[Unique Code],0),),0)</f>
        <v>13.175230566534914</v>
      </c>
      <c r="AI188" s="178">
        <f>IF(INVESTORS_LIST[[#This Row],[TOTAL CURRENT UNITS]]=0,0,(INVESTORS_LIST[[#This Row],[LS_WEIGHT]]*INVESTORS_LIST[[#This Row],[LS_AVERAGE COST]])+(INVESTORS_LIST[[#This Row],[SIP_WEIGHT]]*INVESTORS_LIST[[#This Row],[SIP_AVERAGE COST]]))</f>
        <v>13.175230566534914</v>
      </c>
      <c r="AJ188" s="178">
        <f t="shared" si="2"/>
        <v>12.552</v>
      </c>
      <c r="AK188" s="118">
        <f>IF(INVESTORS_LIST[[#This Row],[TOTAL CURRENT UNITS]]=0,0,INVESTORS_LIST[[#This Row],[TOTAL CURRENT UNITS]]*INVESTORS_LIST[[#This Row],[NAV]])</f>
        <v>9526.9679999999989</v>
      </c>
      <c r="AL188" s="4">
        <f>IF(INVESTORS_LIST[[#This Row],[LS_TOTAL CURRENT UNITS]]=0,0,INVESTORS_LIST[[#This Row],[LS_TOTAL CURRENT UNITS]]*INVESTORS_LIST[[#This Row],[NAV]])</f>
        <v>0</v>
      </c>
      <c r="AM188" s="6">
        <f>IF(INVESTORS_LIST[[#This Row],[SIP_TOTAL CURRENT UNITS]]=0,0,INVESTORS_LIST[[#This Row],[SIP_TOTAL CURRENT UNITS]]*INVESTORS_LIST[[#This Row],[NAV]])</f>
        <v>9526.9679999999989</v>
      </c>
      <c r="AO188" s="6">
        <f>IF(INVESTORS_LIST[[#This Row],[TOTAL SELLABLE UNITS]]=0,0,INVESTORS_LIST[[#This Row],[TOTAL SELLABLE UNITS]]*INVESTORS_LIST[[#This Row],[NAV]])</f>
        <v>0</v>
      </c>
      <c r="AP188" s="6">
        <f>INVESTORS_LIST[[#This Row],[LS_TOTAL REALIZED GAIN]]+INVESTORS_LIST[[#This Row],[SIP_TOTAL REALIZED GAIN]]</f>
        <v>0</v>
      </c>
      <c r="AQ188" s="6">
        <f>INVESTORS_LIST[[#This Row],[TOTAL MARKET VALUE]]-INVESTORS_LIST[[#This Row],[TOTAL COST VALUE OF CURRENT INVESTMENT]]</f>
        <v>-473.03200000000106</v>
      </c>
      <c r="AR188" s="6">
        <f>SUMIFS(DivAndTax[Tax Amount],DivAndTax[Investor ID],INVESTORS_LIST[[#This Row],[INVESTOR CODE]])</f>
        <v>0</v>
      </c>
      <c r="AS188" s="6">
        <f>SUMIFS(DivAndTax[Gross Dividend],DivAndTax[Investor ID],INVESTORS_LIST[[#This Row],[INVESTOR CODE]])</f>
        <v>0</v>
      </c>
      <c r="AT188" s="5">
        <f>IFERROR(INVESTORS_LIST[[#This Row],[TOTAL CURRENT UNITS]]/SUM(INVESTORS_LIST[TOTAL CURRENT UNITS]),0)</f>
        <v>3.6390129807764224E-5</v>
      </c>
    </row>
    <row r="189" spans="1:46" hidden="1">
      <c r="A189" t="s">
        <v>634</v>
      </c>
      <c r="B189" t="s">
        <v>221</v>
      </c>
      <c r="C189" t="s">
        <v>536</v>
      </c>
      <c r="D189" s="8" t="s">
        <v>2</v>
      </c>
      <c r="E189" s="2">
        <f>SUMIFS(LS[Unit],LS[Investor ID],INVESTORS_LIST[[#This Row],[INVESTOR CODE]],LS[B/S],"B")</f>
        <v>138139</v>
      </c>
      <c r="F189" s="2">
        <f>-SUMIFS(LS[Unit],LS[Investor ID],INVESTORS_LIST[[#This Row],[INVESTOR CODE]],LS[B/S],"S")</f>
        <v>138139</v>
      </c>
      <c r="G189" s="2">
        <f>IF(INVESTORS_LIST[[#This Row],[LS_TOTAL UNITS BUY]]=0,0,INVESTORS_LIST[[#This Row],[LS_TOTAL UNITS BUY]]-INVESTORS_LIST[[#This Row],[LS_TOTAL UNITS SOLD]])</f>
        <v>0</v>
      </c>
      <c r="H189" s="4">
        <f>IF(INVESTORS_LIST[[#This Row],[LS_TOTAL UNITS BUY]]=0,0,SUMIFS(LS[Amount],LS[Investor ID],INVESTORS_LIST[[#This Row],[INVESTOR CODE]],LS[B/S],"B"))</f>
        <v>1400000</v>
      </c>
      <c r="I189" s="6">
        <f>IF(INVESTORS_LIST[[#This Row],[LS_TOTAL UNITS SOLD]]=0,0,SUMIFS(LS[Cost of Units Sold],LS[Investor ID],INVESTORS_LIST[[#This Row],[INVESTOR CODE]],LS[B/S],"S"))</f>
        <v>1400000</v>
      </c>
      <c r="J189" s="6">
        <f>IF(INVESTORS_LIST[[#This Row],[LS_TOTAL CURRENT UNITS]]=0,0,INVESTORS_LIST[[#This Row],[LS_TOTAL CURRENT UNITS]]*INVESTORS_LIST[[#This Row],[LS_AVERAGE COST]])</f>
        <v>0</v>
      </c>
      <c r="K189" s="4">
        <f>IF(INVESTORS_LIST[[#This Row],[LS_TOTAL UNITS SOLD]]=0,0,SUMIFS(LS[Realized Gain],LS[Investor ID],INVESTORS_LIST[[#This Row],[INVESTOR CODE]],LS[B/S],"S"))</f>
        <v>95492.47999999988</v>
      </c>
      <c r="L189" s="2">
        <f>SUMIFS(SIP[Unit],SIP[Investor ID],INVESTORS_LIST[[#This Row],[INVESTOR CODE]],SIP[B/S],"B")</f>
        <v>0</v>
      </c>
      <c r="M189" s="2">
        <f>-SUMIFS(SIP[Unit],SIP[Investor ID],INVESTORS_LIST[[#This Row],[INVESTOR CODE]],SIP[B/S],"S")</f>
        <v>0</v>
      </c>
      <c r="N189" s="33">
        <f>IF(INVESTORS_LIST[[#This Row],[SIP_TOTAL UNITS BUY]]=0,0,INVESTORS_LIST[[#This Row],[SIP_TOTAL UNITS BUY]]-INVESTORS_LIST[[#This Row],[SIP_TOTAL UNITS SOLD]])</f>
        <v>0</v>
      </c>
      <c r="O189" s="4">
        <f>IF(INVESTORS_LIST[[#This Row],[SIP_TOTAL UNITS BUY]]=0,0,SUMIFS(SIP[Amount],SIP[Investor ID],INVESTORS_LIST[[#This Row],[INVESTOR CODE]],SIP[B/S],"B"))</f>
        <v>0</v>
      </c>
      <c r="P189" s="4">
        <f>IF(INVESTORS_LIST[[#This Row],[SIP_TOTAL UNITS SOLD]]=0,0,SUMIFS(SIP[Cost of Units Sold],SIP[Investor ID],INVESTORS_LIST[[#This Row],[INVESTOR CODE]],SIP[B/S],"S"))</f>
        <v>0</v>
      </c>
      <c r="Q189" s="6">
        <f>IF(INVESTORS_LIST[[#This Row],[SIP_TOTAL CURRENT UNITS]]=0,0,INVESTORS_LIST[[#This Row],[SIP_TOTAL CURRENT UNITS]]*INVESTORS_LIST[[#This Row],[SIP_AVERAGE COST]])</f>
        <v>0</v>
      </c>
      <c r="R189" s="6">
        <f>IF(INVESTORS_LIST[[#This Row],[SIP_TOTAL UNITS SOLD]]=0,0,SUMIFS(SIP[Realized Gain],SIP[Investor ID],INVESTORS_LIST[[#This Row],[INVESTOR CODE]],SIP[B/S],"S"))</f>
        <v>0</v>
      </c>
      <c r="S189" s="33">
        <f>INVESTORS_LIST[[#This Row],[LS_TOTAL UNITS BUY]]+INVESTORS_LIST[[#This Row],[SIP_TOTAL UNITS BUY]]</f>
        <v>138139</v>
      </c>
      <c r="T189" s="33">
        <f>INVESTORS_LIST[[#This Row],[LS_TOTAL UNITS SOLD]]+INVESTORS_LIST[[#This Row],[SIP_TOTAL UNITS SOLD]]</f>
        <v>138139</v>
      </c>
      <c r="U189" s="33">
        <v>0</v>
      </c>
      <c r="V189" s="33">
        <f>SUMIFS(LS[BO UNIT TRANSFER],LS[Investor ID],INVESTORS_LIST[[#This Row],[INVESTOR CODE]],LS[B/S],"B")</f>
        <v>0</v>
      </c>
      <c r="W189" s="33">
        <f>SUMIFS(LS[BO UNIT TRANSFER],LS[Investor ID],INVESTORS_LIST[[#This Row],[INVESTOR CODE]],LS[B/S],"S")</f>
        <v>0</v>
      </c>
      <c r="X189" s="33">
        <f>SUMIFS(SIP[BO UNIT TRANSFER],SIP[Investor ID],INVESTORS_LIST[[#This Row],[INVESTOR CODE]],SIP[B/S],"S")</f>
        <v>0</v>
      </c>
      <c r="Y189" s="33">
        <f>SUMIFS(SIP[BO UNIT TRANSFER],SIP[Investor ID],INVESTORS_LIST[[#This Row],[INVESTOR CODE]],SIP[B/S],"B")</f>
        <v>0</v>
      </c>
      <c r="Z18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89" s="119">
        <f>INVESTORS_LIST[[#This Row],[TOTAL UNITS BUY]]-INVESTORS_LIST[[#This Row],[TOTAL UNITS SOLD]]</f>
        <v>0</v>
      </c>
      <c r="AB189" s="119">
        <f>INVESTORS_LIST[[#This Row],[TOTAL CURRENT UNITS]]-INVESTORS_LIST[[#This Row],[BO UNITS HOLD]]</f>
        <v>0</v>
      </c>
      <c r="AC189" s="119" t="e">
        <f>INDEX([4]!Table_1[BO ID],MATCH(INVESTORS_LIST[[#This Row],[INVESTOR CODE]],[4]!Table_1[INVESTOR CODE],0))</f>
        <v>#REF!</v>
      </c>
      <c r="AD189" s="33">
        <f>INVESTORS_LIST[[#This Row],[LS_TOTAL COST VALUE OF CURRENT UNITS]]+INVESTORS_LIST[[#This Row],[SIP_TOTAL COST VALUE OF CURRENT UNITS]]</f>
        <v>0</v>
      </c>
      <c r="AE189" s="44">
        <f>IF(INVESTORS_LIST[[#This Row],[TOTAL CURRENT UNITS]]=0,0,INVESTORS_LIST[[#This Row],[LS_TOTAL CURRENT UNITS]]/INVESTORS_LIST[[#This Row],[TOTAL CURRENT UNITS]])</f>
        <v>0</v>
      </c>
      <c r="AF189" s="44">
        <f>IF(INVESTORS_LIST[[#This Row],[TOTAL CURRENT UNITS]]=0,0,INVESTORS_LIST[[#This Row],[SIP_TOTAL CURRENT UNITS]]/INVESTORS_LIST[[#This Row],[TOTAL CURRENT UNITS]])</f>
        <v>0</v>
      </c>
      <c r="AG189" s="4" cm="1">
        <f t="array" ref="AG18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89" s="4" cm="1">
        <f t="array" ref="AH18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8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89" s="178">
        <f t="shared" si="2"/>
        <v>12.552</v>
      </c>
      <c r="AK189" s="118">
        <f>IF(INVESTORS_LIST[[#This Row],[TOTAL CURRENT UNITS]]=0,0,INVESTORS_LIST[[#This Row],[TOTAL CURRENT UNITS]]*INVESTORS_LIST[[#This Row],[NAV]])</f>
        <v>0</v>
      </c>
      <c r="AL189" s="4">
        <f>IF(INVESTORS_LIST[[#This Row],[LS_TOTAL CURRENT UNITS]]=0,0,INVESTORS_LIST[[#This Row],[LS_TOTAL CURRENT UNITS]]*INVESTORS_LIST[[#This Row],[NAV]])</f>
        <v>0</v>
      </c>
      <c r="AM189" s="6">
        <f>IF(INVESTORS_LIST[[#This Row],[SIP_TOTAL CURRENT UNITS]]=0,0,INVESTORS_LIST[[#This Row],[SIP_TOTAL CURRENT UNITS]]*INVESTORS_LIST[[#This Row],[NAV]])</f>
        <v>0</v>
      </c>
      <c r="AO189" s="6">
        <f>IF(INVESTORS_LIST[[#This Row],[TOTAL SELLABLE UNITS]]=0,0,INVESTORS_LIST[[#This Row],[TOTAL SELLABLE UNITS]]*INVESTORS_LIST[[#This Row],[NAV]])</f>
        <v>0</v>
      </c>
      <c r="AP189" s="6">
        <f>INVESTORS_LIST[[#This Row],[LS_TOTAL REALIZED GAIN]]+INVESTORS_LIST[[#This Row],[SIP_TOTAL REALIZED GAIN]]</f>
        <v>95492.47999999988</v>
      </c>
      <c r="AQ189" s="6">
        <f>INVESTORS_LIST[[#This Row],[TOTAL MARKET VALUE]]-INVESTORS_LIST[[#This Row],[TOTAL COST VALUE OF CURRENT INVESTMENT]]</f>
        <v>0</v>
      </c>
      <c r="AR189" s="6">
        <f>SUMIFS(DivAndTax[Tax Amount],DivAndTax[Investor ID],INVESTORS_LIST[[#This Row],[INVESTOR CODE]])</f>
        <v>2800</v>
      </c>
      <c r="AS189" s="6">
        <f>SUMIFS(DivAndTax[Gross Dividend],DivAndTax[Investor ID],INVESTORS_LIST[[#This Row],[INVESTOR CODE]])</f>
        <v>28000</v>
      </c>
      <c r="AT189" s="5">
        <f>IFERROR(INVESTORS_LIST[[#This Row],[TOTAL CURRENT UNITS]]/SUM(INVESTORS_LIST[TOTAL CURRENT UNITS]),0)</f>
        <v>0</v>
      </c>
    </row>
    <row r="190" spans="1:46" hidden="1">
      <c r="A190" t="s">
        <v>222</v>
      </c>
      <c r="B190" t="s">
        <v>223</v>
      </c>
      <c r="C190" t="s">
        <v>536</v>
      </c>
      <c r="D190" s="8" t="s">
        <v>2</v>
      </c>
      <c r="E190" s="2">
        <f>SUMIFS(LS[Unit],LS[Investor ID],INVESTORS_LIST[[#This Row],[INVESTOR CODE]],LS[B/S],"B")</f>
        <v>0</v>
      </c>
      <c r="F190" s="2">
        <f>-SUMIFS(LS[Unit],LS[Investor ID],INVESTORS_LIST[[#This Row],[INVESTOR CODE]],LS[B/S],"S")</f>
        <v>0</v>
      </c>
      <c r="G190" s="2">
        <f>IF(INVESTORS_LIST[[#This Row],[LS_TOTAL UNITS BUY]]=0,0,INVESTORS_LIST[[#This Row],[LS_TOTAL UNITS BUY]]-INVESTORS_LIST[[#This Row],[LS_TOTAL UNITS SOLD]])</f>
        <v>0</v>
      </c>
      <c r="H190" s="4">
        <f>IF(INVESTORS_LIST[[#This Row],[LS_TOTAL UNITS BUY]]=0,0,SUMIFS(LS[Amount],LS[Investor ID],INVESTORS_LIST[[#This Row],[INVESTOR CODE]],LS[B/S],"B"))</f>
        <v>0</v>
      </c>
      <c r="I190" s="6">
        <f>IF(INVESTORS_LIST[[#This Row],[LS_TOTAL UNITS SOLD]]=0,0,SUMIFS(LS[Cost of Units Sold],LS[Investor ID],INVESTORS_LIST[[#This Row],[INVESTOR CODE]],LS[B/S],"S"))</f>
        <v>0</v>
      </c>
      <c r="J190" s="6">
        <f>IF(INVESTORS_LIST[[#This Row],[LS_TOTAL CURRENT UNITS]]=0,0,INVESTORS_LIST[[#This Row],[LS_TOTAL CURRENT UNITS]]*INVESTORS_LIST[[#This Row],[LS_AVERAGE COST]])</f>
        <v>0</v>
      </c>
      <c r="K190" s="4">
        <f>IF(INVESTORS_LIST[[#This Row],[LS_TOTAL UNITS SOLD]]=0,0,SUMIFS(LS[Realized Gain],LS[Investor ID],INVESTORS_LIST[[#This Row],[INVESTOR CODE]],LS[B/S],"S"))</f>
        <v>0</v>
      </c>
      <c r="L190" s="2">
        <f>SUMIFS(SIP[Unit],SIP[Investor ID],INVESTORS_LIST[[#This Row],[INVESTOR CODE]],SIP[B/S],"B")</f>
        <v>0</v>
      </c>
      <c r="M190" s="2">
        <f>-SUMIFS(SIP[Unit],SIP[Investor ID],INVESTORS_LIST[[#This Row],[INVESTOR CODE]],SIP[B/S],"S")</f>
        <v>0</v>
      </c>
      <c r="N190" s="33">
        <f>IF(INVESTORS_LIST[[#This Row],[SIP_TOTAL UNITS BUY]]=0,0,INVESTORS_LIST[[#This Row],[SIP_TOTAL UNITS BUY]]-INVESTORS_LIST[[#This Row],[SIP_TOTAL UNITS SOLD]])</f>
        <v>0</v>
      </c>
      <c r="O190" s="4">
        <f>IF(INVESTORS_LIST[[#This Row],[SIP_TOTAL UNITS BUY]]=0,0,SUMIFS(SIP[Amount],SIP[Investor ID],INVESTORS_LIST[[#This Row],[INVESTOR CODE]],SIP[B/S],"B"))</f>
        <v>0</v>
      </c>
      <c r="P190" s="4">
        <f>IF(INVESTORS_LIST[[#This Row],[SIP_TOTAL UNITS SOLD]]=0,0,SUMIFS(SIP[Cost of Units Sold],SIP[Investor ID],INVESTORS_LIST[[#This Row],[INVESTOR CODE]],SIP[B/S],"S"))</f>
        <v>0</v>
      </c>
      <c r="Q190" s="6">
        <f>IF(INVESTORS_LIST[[#This Row],[SIP_TOTAL CURRENT UNITS]]=0,0,INVESTORS_LIST[[#This Row],[SIP_TOTAL CURRENT UNITS]]*INVESTORS_LIST[[#This Row],[SIP_AVERAGE COST]])</f>
        <v>0</v>
      </c>
      <c r="R190" s="6">
        <f>IF(INVESTORS_LIST[[#This Row],[SIP_TOTAL UNITS SOLD]]=0,0,SUMIFS(SIP[Realized Gain],SIP[Investor ID],INVESTORS_LIST[[#This Row],[INVESTOR CODE]],SIP[B/S],"S"))</f>
        <v>0</v>
      </c>
      <c r="S190" s="33">
        <f>INVESTORS_LIST[[#This Row],[LS_TOTAL UNITS BUY]]+INVESTORS_LIST[[#This Row],[SIP_TOTAL UNITS BUY]]</f>
        <v>0</v>
      </c>
      <c r="T190" s="33">
        <f>INVESTORS_LIST[[#This Row],[LS_TOTAL UNITS SOLD]]+INVESTORS_LIST[[#This Row],[SIP_TOTAL UNITS SOLD]]</f>
        <v>0</v>
      </c>
      <c r="U190" s="33">
        <v>0</v>
      </c>
      <c r="V190" s="33">
        <f>SUMIFS(LS[BO UNIT TRANSFER],LS[Investor ID],INVESTORS_LIST[[#This Row],[INVESTOR CODE]],LS[B/S],"B")</f>
        <v>0</v>
      </c>
      <c r="W190" s="33">
        <f>SUMIFS(LS[BO UNIT TRANSFER],LS[Investor ID],INVESTORS_LIST[[#This Row],[INVESTOR CODE]],LS[B/S],"S")</f>
        <v>0</v>
      </c>
      <c r="X190" s="33">
        <f>SUMIFS(SIP[BO UNIT TRANSFER],SIP[Investor ID],INVESTORS_LIST[[#This Row],[INVESTOR CODE]],SIP[B/S],"S")</f>
        <v>0</v>
      </c>
      <c r="Y190" s="33">
        <f>SUMIFS(SIP[BO UNIT TRANSFER],SIP[Investor ID],INVESTORS_LIST[[#This Row],[INVESTOR CODE]],SIP[B/S],"B")</f>
        <v>0</v>
      </c>
      <c r="Z19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90" s="119">
        <f>INVESTORS_LIST[[#This Row],[TOTAL UNITS BUY]]-INVESTORS_LIST[[#This Row],[TOTAL UNITS SOLD]]</f>
        <v>0</v>
      </c>
      <c r="AB190" s="119">
        <f>INVESTORS_LIST[[#This Row],[TOTAL CURRENT UNITS]]-INVESTORS_LIST[[#This Row],[BO UNITS HOLD]]</f>
        <v>0</v>
      </c>
      <c r="AC190" s="119" t="e">
        <f>INDEX([4]!Table_1[BO ID],MATCH(INVESTORS_LIST[[#This Row],[INVESTOR CODE]],[4]!Table_1[INVESTOR CODE],0))</f>
        <v>#REF!</v>
      </c>
      <c r="AD190" s="33">
        <f>INVESTORS_LIST[[#This Row],[LS_TOTAL COST VALUE OF CURRENT UNITS]]+INVESTORS_LIST[[#This Row],[SIP_TOTAL COST VALUE OF CURRENT UNITS]]</f>
        <v>0</v>
      </c>
      <c r="AE190" s="44">
        <f>IF(INVESTORS_LIST[[#This Row],[TOTAL CURRENT UNITS]]=0,0,INVESTORS_LIST[[#This Row],[LS_TOTAL CURRENT UNITS]]/INVESTORS_LIST[[#This Row],[TOTAL CURRENT UNITS]])</f>
        <v>0</v>
      </c>
      <c r="AF190" s="44">
        <f>IF(INVESTORS_LIST[[#This Row],[TOTAL CURRENT UNITS]]=0,0,INVESTORS_LIST[[#This Row],[SIP_TOTAL CURRENT UNITS]]/INVESTORS_LIST[[#This Row],[TOTAL CURRENT UNITS]])</f>
        <v>0</v>
      </c>
      <c r="AG190" s="4" cm="1">
        <f t="array" ref="AG19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90" s="4" cm="1">
        <f t="array" ref="AH1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9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90" s="178">
        <f t="shared" si="2"/>
        <v>12.552</v>
      </c>
      <c r="AK190" s="118">
        <f>IF(INVESTORS_LIST[[#This Row],[TOTAL CURRENT UNITS]]=0,0,INVESTORS_LIST[[#This Row],[TOTAL CURRENT UNITS]]*INVESTORS_LIST[[#This Row],[NAV]])</f>
        <v>0</v>
      </c>
      <c r="AL190" s="4">
        <f>IF(INVESTORS_LIST[[#This Row],[LS_TOTAL CURRENT UNITS]]=0,0,INVESTORS_LIST[[#This Row],[LS_TOTAL CURRENT UNITS]]*INVESTORS_LIST[[#This Row],[NAV]])</f>
        <v>0</v>
      </c>
      <c r="AM190" s="6">
        <f>IF(INVESTORS_LIST[[#This Row],[SIP_TOTAL CURRENT UNITS]]=0,0,INVESTORS_LIST[[#This Row],[SIP_TOTAL CURRENT UNITS]]*INVESTORS_LIST[[#This Row],[NAV]])</f>
        <v>0</v>
      </c>
      <c r="AO190" s="6">
        <f>IF(INVESTORS_LIST[[#This Row],[TOTAL SELLABLE UNITS]]=0,0,INVESTORS_LIST[[#This Row],[TOTAL SELLABLE UNITS]]*INVESTORS_LIST[[#This Row],[NAV]])</f>
        <v>0</v>
      </c>
      <c r="AP190" s="6">
        <f>INVESTORS_LIST[[#This Row],[LS_TOTAL REALIZED GAIN]]+INVESTORS_LIST[[#This Row],[SIP_TOTAL REALIZED GAIN]]</f>
        <v>0</v>
      </c>
      <c r="AQ190" s="6">
        <f>INVESTORS_LIST[[#This Row],[TOTAL MARKET VALUE]]-INVESTORS_LIST[[#This Row],[TOTAL COST VALUE OF CURRENT INVESTMENT]]</f>
        <v>0</v>
      </c>
      <c r="AR190" s="6">
        <f>SUMIFS(DivAndTax[Tax Amount],DivAndTax[Investor ID],INVESTORS_LIST[[#This Row],[INVESTOR CODE]])</f>
        <v>0</v>
      </c>
      <c r="AS190" s="6">
        <f>SUMIFS(DivAndTax[Gross Dividend],DivAndTax[Investor ID],INVESTORS_LIST[[#This Row],[INVESTOR CODE]])</f>
        <v>0</v>
      </c>
      <c r="AT190" s="5">
        <f>IFERROR(INVESTORS_LIST[[#This Row],[TOTAL CURRENT UNITS]]/SUM(INVESTORS_LIST[TOTAL CURRENT UNITS]),0)</f>
        <v>0</v>
      </c>
    </row>
    <row r="191" spans="1:46" hidden="1">
      <c r="A191" t="s">
        <v>224</v>
      </c>
      <c r="B191" t="s">
        <v>225</v>
      </c>
      <c r="C191" t="s">
        <v>536</v>
      </c>
      <c r="D191" s="8" t="s">
        <v>2</v>
      </c>
      <c r="E191" s="2">
        <f>SUMIFS(LS[Unit],LS[Investor ID],INVESTORS_LIST[[#This Row],[INVESTOR CODE]],LS[B/S],"B")</f>
        <v>200000</v>
      </c>
      <c r="F191" s="2">
        <f>-SUMIFS(LS[Unit],LS[Investor ID],INVESTORS_LIST[[#This Row],[INVESTOR CODE]],LS[B/S],"S")</f>
        <v>200000</v>
      </c>
      <c r="G191" s="2">
        <f>IF(INVESTORS_LIST[[#This Row],[LS_TOTAL UNITS BUY]]=0,0,INVESTORS_LIST[[#This Row],[LS_TOTAL UNITS BUY]]-INVESTORS_LIST[[#This Row],[LS_TOTAL UNITS SOLD]])</f>
        <v>0</v>
      </c>
      <c r="H191" s="4">
        <f>IF(INVESTORS_LIST[[#This Row],[LS_TOTAL UNITS BUY]]=0,0,SUMIFS(LS[Amount],LS[Investor ID],INVESTORS_LIST[[#This Row],[INVESTOR CODE]],LS[B/S],"B"))</f>
        <v>2000000</v>
      </c>
      <c r="I191" s="6">
        <f>IF(INVESTORS_LIST[[#This Row],[LS_TOTAL UNITS SOLD]]=0,0,SUMIFS(LS[Cost of Units Sold],LS[Investor ID],INVESTORS_LIST[[#This Row],[INVESTOR CODE]],LS[B/S],"S"))</f>
        <v>2000000</v>
      </c>
      <c r="J191" s="6">
        <f>IF(INVESTORS_LIST[[#This Row],[LS_TOTAL CURRENT UNITS]]=0,0,INVESTORS_LIST[[#This Row],[LS_TOTAL CURRENT UNITS]]*INVESTORS_LIST[[#This Row],[LS_AVERAGE COST]])</f>
        <v>0</v>
      </c>
      <c r="K191" s="4">
        <f>IF(INVESTORS_LIST[[#This Row],[LS_TOTAL UNITS SOLD]]=0,0,SUMIFS(LS[Realized Gain],LS[Investor ID],INVESTORS_LIST[[#This Row],[INVESTOR CODE]],LS[B/S],"S"))</f>
        <v>-37999.999999999898</v>
      </c>
      <c r="L191" s="2">
        <f>SUMIFS(SIP[Unit],SIP[Investor ID],INVESTORS_LIST[[#This Row],[INVESTOR CODE]],SIP[B/S],"B")</f>
        <v>0</v>
      </c>
      <c r="M191" s="2">
        <f>-SUMIFS(SIP[Unit],SIP[Investor ID],INVESTORS_LIST[[#This Row],[INVESTOR CODE]],SIP[B/S],"S")</f>
        <v>0</v>
      </c>
      <c r="N191" s="33">
        <f>IF(INVESTORS_LIST[[#This Row],[SIP_TOTAL UNITS BUY]]=0,0,INVESTORS_LIST[[#This Row],[SIP_TOTAL UNITS BUY]]-INVESTORS_LIST[[#This Row],[SIP_TOTAL UNITS SOLD]])</f>
        <v>0</v>
      </c>
      <c r="O191" s="4">
        <f>IF(INVESTORS_LIST[[#This Row],[SIP_TOTAL UNITS BUY]]=0,0,SUMIFS(SIP[Amount],SIP[Investor ID],INVESTORS_LIST[[#This Row],[INVESTOR CODE]],SIP[B/S],"B"))</f>
        <v>0</v>
      </c>
      <c r="P191" s="4">
        <f>IF(INVESTORS_LIST[[#This Row],[SIP_TOTAL UNITS SOLD]]=0,0,SUMIFS(SIP[Cost of Units Sold],SIP[Investor ID],INVESTORS_LIST[[#This Row],[INVESTOR CODE]],SIP[B/S],"S"))</f>
        <v>0</v>
      </c>
      <c r="Q191" s="6">
        <f>IF(INVESTORS_LIST[[#This Row],[SIP_TOTAL CURRENT UNITS]]=0,0,INVESTORS_LIST[[#This Row],[SIP_TOTAL CURRENT UNITS]]*INVESTORS_LIST[[#This Row],[SIP_AVERAGE COST]])</f>
        <v>0</v>
      </c>
      <c r="R191" s="6">
        <f>IF(INVESTORS_LIST[[#This Row],[SIP_TOTAL UNITS SOLD]]=0,0,SUMIFS(SIP[Realized Gain],SIP[Investor ID],INVESTORS_LIST[[#This Row],[INVESTOR CODE]],SIP[B/S],"S"))</f>
        <v>0</v>
      </c>
      <c r="S191" s="33">
        <f>INVESTORS_LIST[[#This Row],[LS_TOTAL UNITS BUY]]+INVESTORS_LIST[[#This Row],[SIP_TOTAL UNITS BUY]]</f>
        <v>200000</v>
      </c>
      <c r="T191" s="33">
        <f>INVESTORS_LIST[[#This Row],[LS_TOTAL UNITS SOLD]]+INVESTORS_LIST[[#This Row],[SIP_TOTAL UNITS SOLD]]</f>
        <v>200000</v>
      </c>
      <c r="U191" s="33">
        <v>0</v>
      </c>
      <c r="V191" s="33">
        <f>SUMIFS(LS[BO UNIT TRANSFER],LS[Investor ID],INVESTORS_LIST[[#This Row],[INVESTOR CODE]],LS[B/S],"B")</f>
        <v>0</v>
      </c>
      <c r="W191" s="33">
        <f>SUMIFS(LS[BO UNIT TRANSFER],LS[Investor ID],INVESTORS_LIST[[#This Row],[INVESTOR CODE]],LS[B/S],"S")</f>
        <v>0</v>
      </c>
      <c r="X191" s="33">
        <f>SUMIFS(SIP[BO UNIT TRANSFER],SIP[Investor ID],INVESTORS_LIST[[#This Row],[INVESTOR CODE]],SIP[B/S],"S")</f>
        <v>0</v>
      </c>
      <c r="Y191" s="33">
        <f>SUMIFS(SIP[BO UNIT TRANSFER],SIP[Investor ID],INVESTORS_LIST[[#This Row],[INVESTOR CODE]],SIP[B/S],"B")</f>
        <v>0</v>
      </c>
      <c r="Z19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91" s="119">
        <f>INVESTORS_LIST[[#This Row],[TOTAL UNITS BUY]]-INVESTORS_LIST[[#This Row],[TOTAL UNITS SOLD]]</f>
        <v>0</v>
      </c>
      <c r="AB191" s="119">
        <f>INVESTORS_LIST[[#This Row],[TOTAL CURRENT UNITS]]-INVESTORS_LIST[[#This Row],[BO UNITS HOLD]]</f>
        <v>0</v>
      </c>
      <c r="AC191" s="119" t="e">
        <f>INDEX([4]!Table_1[BO ID],MATCH(INVESTORS_LIST[[#This Row],[INVESTOR CODE]],[4]!Table_1[INVESTOR CODE],0))</f>
        <v>#REF!</v>
      </c>
      <c r="AD191" s="33">
        <f>INVESTORS_LIST[[#This Row],[LS_TOTAL COST VALUE OF CURRENT UNITS]]+INVESTORS_LIST[[#This Row],[SIP_TOTAL COST VALUE OF CURRENT UNITS]]</f>
        <v>0</v>
      </c>
      <c r="AE191" s="44">
        <f>IF(INVESTORS_LIST[[#This Row],[TOTAL CURRENT UNITS]]=0,0,INVESTORS_LIST[[#This Row],[LS_TOTAL CURRENT UNITS]]/INVESTORS_LIST[[#This Row],[TOTAL CURRENT UNITS]])</f>
        <v>0</v>
      </c>
      <c r="AF191" s="44">
        <f>IF(INVESTORS_LIST[[#This Row],[TOTAL CURRENT UNITS]]=0,0,INVESTORS_LIST[[#This Row],[SIP_TOTAL CURRENT UNITS]]/INVESTORS_LIST[[#This Row],[TOTAL CURRENT UNITS]])</f>
        <v>0</v>
      </c>
      <c r="AG191" s="4" cm="1">
        <f t="array" ref="AG1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91" s="4" cm="1">
        <f t="array" ref="AH1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9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91" s="178">
        <f t="shared" si="2"/>
        <v>12.552</v>
      </c>
      <c r="AK191" s="118">
        <f>IF(INVESTORS_LIST[[#This Row],[TOTAL CURRENT UNITS]]=0,0,INVESTORS_LIST[[#This Row],[TOTAL CURRENT UNITS]]*INVESTORS_LIST[[#This Row],[NAV]])</f>
        <v>0</v>
      </c>
      <c r="AL191" s="4">
        <f>IF(INVESTORS_LIST[[#This Row],[LS_TOTAL CURRENT UNITS]]=0,0,INVESTORS_LIST[[#This Row],[LS_TOTAL CURRENT UNITS]]*INVESTORS_LIST[[#This Row],[NAV]])</f>
        <v>0</v>
      </c>
      <c r="AM191" s="6">
        <f>IF(INVESTORS_LIST[[#This Row],[SIP_TOTAL CURRENT UNITS]]=0,0,INVESTORS_LIST[[#This Row],[SIP_TOTAL CURRENT UNITS]]*INVESTORS_LIST[[#This Row],[NAV]])</f>
        <v>0</v>
      </c>
      <c r="AO191" s="6">
        <f>IF(INVESTORS_LIST[[#This Row],[TOTAL SELLABLE UNITS]]=0,0,INVESTORS_LIST[[#This Row],[TOTAL SELLABLE UNITS]]*INVESTORS_LIST[[#This Row],[NAV]])</f>
        <v>0</v>
      </c>
      <c r="AP191" s="6">
        <f>INVESTORS_LIST[[#This Row],[LS_TOTAL REALIZED GAIN]]+INVESTORS_LIST[[#This Row],[SIP_TOTAL REALIZED GAIN]]</f>
        <v>-37999.999999999898</v>
      </c>
      <c r="AQ191" s="6">
        <f>INVESTORS_LIST[[#This Row],[TOTAL MARKET VALUE]]-INVESTORS_LIST[[#This Row],[TOTAL COST VALUE OF CURRENT INVESTMENT]]</f>
        <v>0</v>
      </c>
      <c r="AR191" s="6">
        <f>SUMIFS(DivAndTax[Tax Amount],DivAndTax[Investor ID],INVESTORS_LIST[[#This Row],[INVESTOR CODE]])</f>
        <v>0</v>
      </c>
      <c r="AS191" s="6">
        <f>SUMIFS(DivAndTax[Gross Dividend],DivAndTax[Investor ID],INVESTORS_LIST[[#This Row],[INVESTOR CODE]])</f>
        <v>0</v>
      </c>
      <c r="AT191" s="5">
        <f>IFERROR(INVESTORS_LIST[[#This Row],[TOTAL CURRENT UNITS]]/SUM(INVESTORS_LIST[TOTAL CURRENT UNITS]),0)</f>
        <v>0</v>
      </c>
    </row>
    <row r="192" spans="1:46" hidden="1">
      <c r="A192" t="s">
        <v>226</v>
      </c>
      <c r="B192" t="s">
        <v>227</v>
      </c>
      <c r="C192" t="s">
        <v>536</v>
      </c>
      <c r="D192" s="8" t="s">
        <v>2</v>
      </c>
      <c r="E192" s="2">
        <f>SUMIFS(LS[Unit],LS[Investor ID],INVESTORS_LIST[[#This Row],[INVESTOR CODE]],LS[B/S],"B")</f>
        <v>0</v>
      </c>
      <c r="F192" s="2">
        <f>-SUMIFS(LS[Unit],LS[Investor ID],INVESTORS_LIST[[#This Row],[INVESTOR CODE]],LS[B/S],"S")</f>
        <v>0</v>
      </c>
      <c r="G192" s="2">
        <f>IF(INVESTORS_LIST[[#This Row],[LS_TOTAL UNITS BUY]]=0,0,INVESTORS_LIST[[#This Row],[LS_TOTAL UNITS BUY]]-INVESTORS_LIST[[#This Row],[LS_TOTAL UNITS SOLD]])</f>
        <v>0</v>
      </c>
      <c r="H192" s="4">
        <f>IF(INVESTORS_LIST[[#This Row],[LS_TOTAL UNITS BUY]]=0,0,SUMIFS(LS[Amount],LS[Investor ID],INVESTORS_LIST[[#This Row],[INVESTOR CODE]],LS[B/S],"B"))</f>
        <v>0</v>
      </c>
      <c r="I192" s="6">
        <f>IF(INVESTORS_LIST[[#This Row],[LS_TOTAL UNITS SOLD]]=0,0,SUMIFS(LS[Cost of Units Sold],LS[Investor ID],INVESTORS_LIST[[#This Row],[INVESTOR CODE]],LS[B/S],"S"))</f>
        <v>0</v>
      </c>
      <c r="J192" s="6">
        <f>IF(INVESTORS_LIST[[#This Row],[LS_TOTAL CURRENT UNITS]]=0,0,INVESTORS_LIST[[#This Row],[LS_TOTAL CURRENT UNITS]]*INVESTORS_LIST[[#This Row],[LS_AVERAGE COST]])</f>
        <v>0</v>
      </c>
      <c r="K192" s="4">
        <f>IF(INVESTORS_LIST[[#This Row],[LS_TOTAL UNITS SOLD]]=0,0,SUMIFS(LS[Realized Gain],LS[Investor ID],INVESTORS_LIST[[#This Row],[INVESTOR CODE]],LS[B/S],"S"))</f>
        <v>0</v>
      </c>
      <c r="L192" s="2">
        <f>SUMIFS(SIP[Unit],SIP[Investor ID],INVESTORS_LIST[[#This Row],[INVESTOR CODE]],SIP[B/S],"B")</f>
        <v>0</v>
      </c>
      <c r="M192" s="2">
        <f>-SUMIFS(SIP[Unit],SIP[Investor ID],INVESTORS_LIST[[#This Row],[INVESTOR CODE]],SIP[B/S],"S")</f>
        <v>0</v>
      </c>
      <c r="N192" s="33">
        <f>IF(INVESTORS_LIST[[#This Row],[SIP_TOTAL UNITS BUY]]=0,0,INVESTORS_LIST[[#This Row],[SIP_TOTAL UNITS BUY]]-INVESTORS_LIST[[#This Row],[SIP_TOTAL UNITS SOLD]])</f>
        <v>0</v>
      </c>
      <c r="O192" s="4">
        <f>IF(INVESTORS_LIST[[#This Row],[SIP_TOTAL UNITS BUY]]=0,0,SUMIFS(SIP[Amount],SIP[Investor ID],INVESTORS_LIST[[#This Row],[INVESTOR CODE]],SIP[B/S],"B"))</f>
        <v>0</v>
      </c>
      <c r="P192" s="4">
        <f>IF(INVESTORS_LIST[[#This Row],[SIP_TOTAL UNITS SOLD]]=0,0,SUMIFS(SIP[Cost of Units Sold],SIP[Investor ID],INVESTORS_LIST[[#This Row],[INVESTOR CODE]],SIP[B/S],"S"))</f>
        <v>0</v>
      </c>
      <c r="Q192" s="6">
        <f>IF(INVESTORS_LIST[[#This Row],[SIP_TOTAL CURRENT UNITS]]=0,0,INVESTORS_LIST[[#This Row],[SIP_TOTAL CURRENT UNITS]]*INVESTORS_LIST[[#This Row],[SIP_AVERAGE COST]])</f>
        <v>0</v>
      </c>
      <c r="R192" s="6">
        <f>IF(INVESTORS_LIST[[#This Row],[SIP_TOTAL UNITS SOLD]]=0,0,SUMIFS(SIP[Realized Gain],SIP[Investor ID],INVESTORS_LIST[[#This Row],[INVESTOR CODE]],SIP[B/S],"S"))</f>
        <v>0</v>
      </c>
      <c r="S192" s="33">
        <f>INVESTORS_LIST[[#This Row],[LS_TOTAL UNITS BUY]]+INVESTORS_LIST[[#This Row],[SIP_TOTAL UNITS BUY]]</f>
        <v>0</v>
      </c>
      <c r="T192" s="33">
        <f>INVESTORS_LIST[[#This Row],[LS_TOTAL UNITS SOLD]]+INVESTORS_LIST[[#This Row],[SIP_TOTAL UNITS SOLD]]</f>
        <v>0</v>
      </c>
      <c r="U192" s="33">
        <v>0</v>
      </c>
      <c r="V192" s="33">
        <f>SUMIFS(LS[BO UNIT TRANSFER],LS[Investor ID],INVESTORS_LIST[[#This Row],[INVESTOR CODE]],LS[B/S],"B")</f>
        <v>0</v>
      </c>
      <c r="W192" s="33">
        <f>SUMIFS(LS[BO UNIT TRANSFER],LS[Investor ID],INVESTORS_LIST[[#This Row],[INVESTOR CODE]],LS[B/S],"S")</f>
        <v>0</v>
      </c>
      <c r="X192" s="33">
        <f>SUMIFS(SIP[BO UNIT TRANSFER],SIP[Investor ID],INVESTORS_LIST[[#This Row],[INVESTOR CODE]],SIP[B/S],"S")</f>
        <v>0</v>
      </c>
      <c r="Y192" s="33">
        <f>SUMIFS(SIP[BO UNIT TRANSFER],SIP[Investor ID],INVESTORS_LIST[[#This Row],[INVESTOR CODE]],SIP[B/S],"B")</f>
        <v>0</v>
      </c>
      <c r="Z19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92" s="119">
        <f>INVESTORS_LIST[[#This Row],[TOTAL UNITS BUY]]-INVESTORS_LIST[[#This Row],[TOTAL UNITS SOLD]]</f>
        <v>0</v>
      </c>
      <c r="AB192" s="119">
        <f>INVESTORS_LIST[[#This Row],[TOTAL CURRENT UNITS]]-INVESTORS_LIST[[#This Row],[BO UNITS HOLD]]</f>
        <v>0</v>
      </c>
      <c r="AC192" s="119" t="e">
        <f>INDEX([4]!Table_1[BO ID],MATCH(INVESTORS_LIST[[#This Row],[INVESTOR CODE]],[4]!Table_1[INVESTOR CODE],0))</f>
        <v>#REF!</v>
      </c>
      <c r="AD192" s="33">
        <f>INVESTORS_LIST[[#This Row],[LS_TOTAL COST VALUE OF CURRENT UNITS]]+INVESTORS_LIST[[#This Row],[SIP_TOTAL COST VALUE OF CURRENT UNITS]]</f>
        <v>0</v>
      </c>
      <c r="AE192" s="44">
        <f>IF(INVESTORS_LIST[[#This Row],[TOTAL CURRENT UNITS]]=0,0,INVESTORS_LIST[[#This Row],[LS_TOTAL CURRENT UNITS]]/INVESTORS_LIST[[#This Row],[TOTAL CURRENT UNITS]])</f>
        <v>0</v>
      </c>
      <c r="AF192" s="44">
        <f>IF(INVESTORS_LIST[[#This Row],[TOTAL CURRENT UNITS]]=0,0,INVESTORS_LIST[[#This Row],[SIP_TOTAL CURRENT UNITS]]/INVESTORS_LIST[[#This Row],[TOTAL CURRENT UNITS]])</f>
        <v>0</v>
      </c>
      <c r="AG192" s="4" cm="1">
        <f t="array" ref="AG19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92" s="4" cm="1">
        <f t="array" ref="AH19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9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92" s="178">
        <f t="shared" si="2"/>
        <v>12.552</v>
      </c>
      <c r="AK192" s="118">
        <f>IF(INVESTORS_LIST[[#This Row],[TOTAL CURRENT UNITS]]=0,0,INVESTORS_LIST[[#This Row],[TOTAL CURRENT UNITS]]*INVESTORS_LIST[[#This Row],[NAV]])</f>
        <v>0</v>
      </c>
      <c r="AL192" s="4">
        <f>IF(INVESTORS_LIST[[#This Row],[LS_TOTAL CURRENT UNITS]]=0,0,INVESTORS_LIST[[#This Row],[LS_TOTAL CURRENT UNITS]]*INVESTORS_LIST[[#This Row],[NAV]])</f>
        <v>0</v>
      </c>
      <c r="AM192" s="6">
        <f>IF(INVESTORS_LIST[[#This Row],[SIP_TOTAL CURRENT UNITS]]=0,0,INVESTORS_LIST[[#This Row],[SIP_TOTAL CURRENT UNITS]]*INVESTORS_LIST[[#This Row],[NAV]])</f>
        <v>0</v>
      </c>
      <c r="AO192" s="6">
        <f>IF(INVESTORS_LIST[[#This Row],[TOTAL SELLABLE UNITS]]=0,0,INVESTORS_LIST[[#This Row],[TOTAL SELLABLE UNITS]]*INVESTORS_LIST[[#This Row],[NAV]])</f>
        <v>0</v>
      </c>
      <c r="AP192" s="6">
        <f>INVESTORS_LIST[[#This Row],[LS_TOTAL REALIZED GAIN]]+INVESTORS_LIST[[#This Row],[SIP_TOTAL REALIZED GAIN]]</f>
        <v>0</v>
      </c>
      <c r="AQ192" s="6">
        <f>INVESTORS_LIST[[#This Row],[TOTAL MARKET VALUE]]-INVESTORS_LIST[[#This Row],[TOTAL COST VALUE OF CURRENT INVESTMENT]]</f>
        <v>0</v>
      </c>
      <c r="AR192" s="6">
        <f>SUMIFS(DivAndTax[Tax Amount],DivAndTax[Investor ID],INVESTORS_LIST[[#This Row],[INVESTOR CODE]])</f>
        <v>0</v>
      </c>
      <c r="AS192" s="6">
        <f>SUMIFS(DivAndTax[Gross Dividend],DivAndTax[Investor ID],INVESTORS_LIST[[#This Row],[INVESTOR CODE]])</f>
        <v>0</v>
      </c>
      <c r="AT192" s="5">
        <f>IFERROR(INVESTORS_LIST[[#This Row],[TOTAL CURRENT UNITS]]/SUM(INVESTORS_LIST[TOTAL CURRENT UNITS]),0)</f>
        <v>0</v>
      </c>
    </row>
    <row r="193" spans="1:46" hidden="1">
      <c r="A193" t="s">
        <v>847</v>
      </c>
      <c r="B193" t="s">
        <v>228</v>
      </c>
      <c r="C193" t="s">
        <v>538</v>
      </c>
      <c r="D193" s="8" t="s">
        <v>2</v>
      </c>
      <c r="E193" s="2">
        <f>SUMIFS(LS[Unit],LS[Investor ID],INVESTORS_LIST[[#This Row],[INVESTOR CODE]],LS[B/S],"B")</f>
        <v>0</v>
      </c>
      <c r="F193" s="2">
        <f>-SUMIFS(LS[Unit],LS[Investor ID],INVESTORS_LIST[[#This Row],[INVESTOR CODE]],LS[B/S],"S")</f>
        <v>0</v>
      </c>
      <c r="G193" s="2">
        <f>IF(INVESTORS_LIST[[#This Row],[LS_TOTAL UNITS BUY]]=0,0,INVESTORS_LIST[[#This Row],[LS_TOTAL UNITS BUY]]-INVESTORS_LIST[[#This Row],[LS_TOTAL UNITS SOLD]])</f>
        <v>0</v>
      </c>
      <c r="H193" s="4">
        <f>IF(INVESTORS_LIST[[#This Row],[LS_TOTAL UNITS BUY]]=0,0,SUMIFS(LS[Amount],LS[Investor ID],INVESTORS_LIST[[#This Row],[INVESTOR CODE]],LS[B/S],"B"))</f>
        <v>0</v>
      </c>
      <c r="I193" s="6">
        <f>IF(INVESTORS_LIST[[#This Row],[LS_TOTAL UNITS SOLD]]=0,0,SUMIFS(LS[Cost of Units Sold],LS[Investor ID],INVESTORS_LIST[[#This Row],[INVESTOR CODE]],LS[B/S],"S"))</f>
        <v>0</v>
      </c>
      <c r="J193" s="6">
        <f>IF(INVESTORS_LIST[[#This Row],[LS_TOTAL CURRENT UNITS]]=0,0,INVESTORS_LIST[[#This Row],[LS_TOTAL CURRENT UNITS]]*INVESTORS_LIST[[#This Row],[LS_AVERAGE COST]])</f>
        <v>0</v>
      </c>
      <c r="K193" s="4">
        <f>IF(INVESTORS_LIST[[#This Row],[LS_TOTAL UNITS SOLD]]=0,0,SUMIFS(LS[Realized Gain],LS[Investor ID],INVESTORS_LIST[[#This Row],[INVESTOR CODE]],LS[B/S],"S"))</f>
        <v>0</v>
      </c>
      <c r="L193" s="2">
        <f>SUMIFS(SIP[Unit],SIP[Investor ID],INVESTORS_LIST[[#This Row],[INVESTOR CODE]],SIP[B/S],"B")</f>
        <v>0</v>
      </c>
      <c r="M193" s="2">
        <f>-SUMIFS(SIP[Unit],SIP[Investor ID],INVESTORS_LIST[[#This Row],[INVESTOR CODE]],SIP[B/S],"S")</f>
        <v>0</v>
      </c>
      <c r="N193" s="33">
        <f>IF(INVESTORS_LIST[[#This Row],[SIP_TOTAL UNITS BUY]]=0,0,INVESTORS_LIST[[#This Row],[SIP_TOTAL UNITS BUY]]-INVESTORS_LIST[[#This Row],[SIP_TOTAL UNITS SOLD]])</f>
        <v>0</v>
      </c>
      <c r="O193" s="4">
        <f>IF(INVESTORS_LIST[[#This Row],[SIP_TOTAL UNITS BUY]]=0,0,SUMIFS(SIP[Amount],SIP[Investor ID],INVESTORS_LIST[[#This Row],[INVESTOR CODE]],SIP[B/S],"B"))</f>
        <v>0</v>
      </c>
      <c r="P193" s="4">
        <f>IF(INVESTORS_LIST[[#This Row],[SIP_TOTAL UNITS SOLD]]=0,0,SUMIFS(SIP[Cost of Units Sold],SIP[Investor ID],INVESTORS_LIST[[#This Row],[INVESTOR CODE]],SIP[B/S],"S"))</f>
        <v>0</v>
      </c>
      <c r="Q193" s="6">
        <f>IF(INVESTORS_LIST[[#This Row],[SIP_TOTAL CURRENT UNITS]]=0,0,INVESTORS_LIST[[#This Row],[SIP_TOTAL CURRENT UNITS]]*INVESTORS_LIST[[#This Row],[SIP_AVERAGE COST]])</f>
        <v>0</v>
      </c>
      <c r="R193" s="6">
        <f>IF(INVESTORS_LIST[[#This Row],[SIP_TOTAL UNITS SOLD]]=0,0,SUMIFS(SIP[Realized Gain],SIP[Investor ID],INVESTORS_LIST[[#This Row],[INVESTOR CODE]],SIP[B/S],"S"))</f>
        <v>0</v>
      </c>
      <c r="S193" s="33">
        <f>INVESTORS_LIST[[#This Row],[LS_TOTAL UNITS BUY]]+INVESTORS_LIST[[#This Row],[SIP_TOTAL UNITS BUY]]</f>
        <v>0</v>
      </c>
      <c r="T193" s="33">
        <f>INVESTORS_LIST[[#This Row],[LS_TOTAL UNITS SOLD]]+INVESTORS_LIST[[#This Row],[SIP_TOTAL UNITS SOLD]]</f>
        <v>0</v>
      </c>
      <c r="U193" s="33">
        <v>0</v>
      </c>
      <c r="V193" s="33">
        <f>SUMIFS(LS[BO UNIT TRANSFER],LS[Investor ID],INVESTORS_LIST[[#This Row],[INVESTOR CODE]],LS[B/S],"B")</f>
        <v>0</v>
      </c>
      <c r="W193" s="33">
        <f>SUMIFS(LS[BO UNIT TRANSFER],LS[Investor ID],INVESTORS_LIST[[#This Row],[INVESTOR CODE]],LS[B/S],"S")</f>
        <v>0</v>
      </c>
      <c r="X193" s="33">
        <f>SUMIFS(SIP[BO UNIT TRANSFER],SIP[Investor ID],INVESTORS_LIST[[#This Row],[INVESTOR CODE]],SIP[B/S],"S")</f>
        <v>0</v>
      </c>
      <c r="Y193" s="33">
        <f>SUMIFS(SIP[BO UNIT TRANSFER],SIP[Investor ID],INVESTORS_LIST[[#This Row],[INVESTOR CODE]],SIP[B/S],"B")</f>
        <v>0</v>
      </c>
      <c r="Z19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93" s="119">
        <f>INVESTORS_LIST[[#This Row],[TOTAL UNITS BUY]]-INVESTORS_LIST[[#This Row],[TOTAL UNITS SOLD]]</f>
        <v>0</v>
      </c>
      <c r="AB193" s="119">
        <f>INVESTORS_LIST[[#This Row],[TOTAL CURRENT UNITS]]-INVESTORS_LIST[[#This Row],[BO UNITS HOLD]]</f>
        <v>0</v>
      </c>
      <c r="AC193" s="119" t="e">
        <f>INDEX([4]!Table_1[BO ID],MATCH(INVESTORS_LIST[[#This Row],[INVESTOR CODE]],[4]!Table_1[INVESTOR CODE],0))</f>
        <v>#REF!</v>
      </c>
      <c r="AD193" s="33">
        <f>INVESTORS_LIST[[#This Row],[LS_TOTAL COST VALUE OF CURRENT UNITS]]+INVESTORS_LIST[[#This Row],[SIP_TOTAL COST VALUE OF CURRENT UNITS]]</f>
        <v>0</v>
      </c>
      <c r="AE193" s="44">
        <f>IF(INVESTORS_LIST[[#This Row],[TOTAL CURRENT UNITS]]=0,0,INVESTORS_LIST[[#This Row],[LS_TOTAL CURRENT UNITS]]/INVESTORS_LIST[[#This Row],[TOTAL CURRENT UNITS]])</f>
        <v>0</v>
      </c>
      <c r="AF193" s="44">
        <f>IF(INVESTORS_LIST[[#This Row],[TOTAL CURRENT UNITS]]=0,0,INVESTORS_LIST[[#This Row],[SIP_TOTAL CURRENT UNITS]]/INVESTORS_LIST[[#This Row],[TOTAL CURRENT UNITS]])</f>
        <v>0</v>
      </c>
      <c r="AG193" s="4" cm="1">
        <f t="array" ref="AG19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93" s="4" cm="1">
        <f t="array" ref="AH19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9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93" s="178">
        <f t="shared" si="2"/>
        <v>12.552</v>
      </c>
      <c r="AK193" s="118">
        <f>IF(INVESTORS_LIST[[#This Row],[TOTAL CURRENT UNITS]]=0,0,INVESTORS_LIST[[#This Row],[TOTAL CURRENT UNITS]]*INVESTORS_LIST[[#This Row],[NAV]])</f>
        <v>0</v>
      </c>
      <c r="AL193" s="4">
        <f>IF(INVESTORS_LIST[[#This Row],[LS_TOTAL CURRENT UNITS]]=0,0,INVESTORS_LIST[[#This Row],[LS_TOTAL CURRENT UNITS]]*INVESTORS_LIST[[#This Row],[NAV]])</f>
        <v>0</v>
      </c>
      <c r="AM193" s="6">
        <f>IF(INVESTORS_LIST[[#This Row],[SIP_TOTAL CURRENT UNITS]]=0,0,INVESTORS_LIST[[#This Row],[SIP_TOTAL CURRENT UNITS]]*INVESTORS_LIST[[#This Row],[NAV]])</f>
        <v>0</v>
      </c>
      <c r="AO193" s="6">
        <f>IF(INVESTORS_LIST[[#This Row],[TOTAL SELLABLE UNITS]]=0,0,INVESTORS_LIST[[#This Row],[TOTAL SELLABLE UNITS]]*INVESTORS_LIST[[#This Row],[NAV]])</f>
        <v>0</v>
      </c>
      <c r="AP193" s="6">
        <f>INVESTORS_LIST[[#This Row],[LS_TOTAL REALIZED GAIN]]+INVESTORS_LIST[[#This Row],[SIP_TOTAL REALIZED GAIN]]</f>
        <v>0</v>
      </c>
      <c r="AQ193" s="6">
        <f>INVESTORS_LIST[[#This Row],[TOTAL MARKET VALUE]]-INVESTORS_LIST[[#This Row],[TOTAL COST VALUE OF CURRENT INVESTMENT]]</f>
        <v>0</v>
      </c>
      <c r="AR193" s="6">
        <f>SUMIFS(DivAndTax[Tax Amount],DivAndTax[Investor ID],INVESTORS_LIST[[#This Row],[INVESTOR CODE]])</f>
        <v>0</v>
      </c>
      <c r="AS193" s="6">
        <f>SUMIFS(DivAndTax[Gross Dividend],DivAndTax[Investor ID],INVESTORS_LIST[[#This Row],[INVESTOR CODE]])</f>
        <v>0</v>
      </c>
      <c r="AT193" s="5">
        <f>IFERROR(INVESTORS_LIST[[#This Row],[TOTAL CURRENT UNITS]]/SUM(INVESTORS_LIST[TOTAL CURRENT UNITS]),0)</f>
        <v>0</v>
      </c>
    </row>
    <row r="194" spans="1:46">
      <c r="A194" t="s">
        <v>229</v>
      </c>
      <c r="B194" t="s">
        <v>230</v>
      </c>
      <c r="C194" t="s">
        <v>536</v>
      </c>
      <c r="D194" s="8" t="s">
        <v>2</v>
      </c>
      <c r="E194" s="2">
        <f>SUMIFS(LS[Unit],LS[Investor ID],INVESTORS_LIST[[#This Row],[INVESTOR CODE]],LS[B/S],"B")</f>
        <v>318155</v>
      </c>
      <c r="F194" s="2">
        <f>-SUMIFS(LS[Unit],LS[Investor ID],INVESTORS_LIST[[#This Row],[INVESTOR CODE]],LS[B/S],"S")</f>
        <v>100402</v>
      </c>
      <c r="G194" s="2">
        <f>IF(INVESTORS_LIST[[#This Row],[LS_TOTAL UNITS BUY]]=0,0,INVESTORS_LIST[[#This Row],[LS_TOTAL UNITS BUY]]-INVESTORS_LIST[[#This Row],[LS_TOTAL UNITS SOLD]])</f>
        <v>217753</v>
      </c>
      <c r="H194" s="4">
        <f>IF(INVESTORS_LIST[[#This Row],[LS_TOTAL UNITS BUY]]=0,0,SUMIFS(LS[Amount],LS[Investor ID],INVESTORS_LIST[[#This Row],[INVESTOR CODE]],LS[B/S],"B"))</f>
        <v>3203317.79</v>
      </c>
      <c r="I194" s="6">
        <f>IF(INVESTORS_LIST[[#This Row],[LS_TOTAL UNITS SOLD]]=0,0,SUMIFS(LS[Cost of Units Sold],LS[Investor ID],INVESTORS_LIST[[#This Row],[INVESTOR CODE]],LS[B/S],"S"))</f>
        <v>1004020</v>
      </c>
      <c r="J194" s="6">
        <f>IF(INVESTORS_LIST[[#This Row],[LS_TOTAL CURRENT UNITS]]=0,0,INVESTORS_LIST[[#This Row],[LS_TOTAL CURRENT UNITS]]*INVESTORS_LIST[[#This Row],[LS_AVERAGE COST]])</f>
        <v>2199297.7899999996</v>
      </c>
      <c r="K194" s="4">
        <f>IF(INVESTORS_LIST[[#This Row],[LS_TOTAL UNITS SOLD]]=0,0,SUMIFS(LS[Realized Gain],LS[Investor ID],INVESTORS_LIST[[#This Row],[INVESTOR CODE]],LS[B/S],"S"))</f>
        <v>-4019.9999999999795</v>
      </c>
      <c r="L194" s="2">
        <f>SUMIFS(SIP[Unit],SIP[Investor ID],INVESTORS_LIST[[#This Row],[INVESTOR CODE]],SIP[B/S],"B")</f>
        <v>1583</v>
      </c>
      <c r="M194" s="2">
        <f>-SUMIFS(SIP[Unit],SIP[Investor ID],INVESTORS_LIST[[#This Row],[INVESTOR CODE]],SIP[B/S],"S")</f>
        <v>0</v>
      </c>
      <c r="N194" s="33">
        <f>IF(INVESTORS_LIST[[#This Row],[SIP_TOTAL UNITS BUY]]=0,0,INVESTORS_LIST[[#This Row],[SIP_TOTAL UNITS BUY]]-INVESTORS_LIST[[#This Row],[SIP_TOTAL UNITS SOLD]])</f>
        <v>1583</v>
      </c>
      <c r="O194" s="4">
        <f>IF(INVESTORS_LIST[[#This Row],[SIP_TOTAL UNITS BUY]]=0,0,SUMIFS(SIP[Amount],SIP[Investor ID],INVESTORS_LIST[[#This Row],[INVESTOR CODE]],SIP[B/S],"B"))</f>
        <v>20000</v>
      </c>
      <c r="P194" s="4">
        <f>IF(INVESTORS_LIST[[#This Row],[SIP_TOTAL UNITS SOLD]]=0,0,SUMIFS(SIP[Cost of Units Sold],SIP[Investor ID],INVESTORS_LIST[[#This Row],[INVESTOR CODE]],SIP[B/S],"S"))</f>
        <v>0</v>
      </c>
      <c r="Q194" s="6">
        <f>IF(INVESTORS_LIST[[#This Row],[SIP_TOTAL CURRENT UNITS]]=0,0,INVESTORS_LIST[[#This Row],[SIP_TOTAL CURRENT UNITS]]*INVESTORS_LIST[[#This Row],[SIP_AVERAGE COST]])</f>
        <v>20000</v>
      </c>
      <c r="R194" s="6">
        <f>IF(INVESTORS_LIST[[#This Row],[SIP_TOTAL UNITS SOLD]]=0,0,SUMIFS(SIP[Realized Gain],SIP[Investor ID],INVESTORS_LIST[[#This Row],[INVESTOR CODE]],SIP[B/S],"S"))</f>
        <v>0</v>
      </c>
      <c r="S194" s="33">
        <f>INVESTORS_LIST[[#This Row],[LS_TOTAL UNITS BUY]]+INVESTORS_LIST[[#This Row],[SIP_TOTAL UNITS BUY]]</f>
        <v>319738</v>
      </c>
      <c r="T194" s="33">
        <f>INVESTORS_LIST[[#This Row],[LS_TOTAL UNITS SOLD]]+INVESTORS_LIST[[#This Row],[SIP_TOTAL UNITS SOLD]]</f>
        <v>100402</v>
      </c>
      <c r="U194" s="33">
        <v>300000</v>
      </c>
      <c r="V194" s="33">
        <f>SUMIFS(LS[BO UNIT TRANSFER],LS[Investor ID],INVESTORS_LIST[[#This Row],[INVESTOR CODE]],LS[B/S],"B")</f>
        <v>0</v>
      </c>
      <c r="W194" s="33">
        <f>SUMIFS(LS[BO UNIT TRANSFER],LS[Investor ID],INVESTORS_LIST[[#This Row],[INVESTOR CODE]],LS[B/S],"S")</f>
        <v>0</v>
      </c>
      <c r="X194" s="33">
        <f>SUMIFS(SIP[BO UNIT TRANSFER],SIP[Investor ID],INVESTORS_LIST[[#This Row],[INVESTOR CODE]],SIP[B/S],"S")</f>
        <v>0</v>
      </c>
      <c r="Y194" s="33">
        <f>SUMIFS(SIP[BO UNIT TRANSFER],SIP[Investor ID],INVESTORS_LIST[[#This Row],[INVESTOR CODE]],SIP[B/S],"B")</f>
        <v>0</v>
      </c>
      <c r="Z19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300000</v>
      </c>
      <c r="AA194" s="119">
        <f>INVESTORS_LIST[[#This Row],[TOTAL UNITS BUY]]-INVESTORS_LIST[[#This Row],[TOTAL UNITS SOLD]]</f>
        <v>219336</v>
      </c>
      <c r="AB194" s="119">
        <f>INVESTORS_LIST[[#This Row],[TOTAL CURRENT UNITS]]-INVESTORS_LIST[[#This Row],[BO UNITS HOLD]]</f>
        <v>-80664</v>
      </c>
      <c r="AC194" s="119" t="e">
        <f>INDEX([4]!Table_1[BO ID],MATCH(INVESTORS_LIST[[#This Row],[INVESTOR CODE]],[4]!Table_1[INVESTOR CODE],0))</f>
        <v>#REF!</v>
      </c>
      <c r="AD194" s="33">
        <f>INVESTORS_LIST[[#This Row],[LS_TOTAL COST VALUE OF CURRENT UNITS]]+INVESTORS_LIST[[#This Row],[SIP_TOTAL COST VALUE OF CURRENT UNITS]]</f>
        <v>2219297.7899999996</v>
      </c>
      <c r="AE194" s="44">
        <f>IF(INVESTORS_LIST[[#This Row],[TOTAL CURRENT UNITS]]=0,0,INVESTORS_LIST[[#This Row],[LS_TOTAL CURRENT UNITS]]/INVESTORS_LIST[[#This Row],[TOTAL CURRENT UNITS]])</f>
        <v>0.99278276251960462</v>
      </c>
      <c r="AF194" s="44">
        <f>IF(INVESTORS_LIST[[#This Row],[TOTAL CURRENT UNITS]]=0,0,INVESTORS_LIST[[#This Row],[SIP_TOTAL CURRENT UNITS]]/INVESTORS_LIST[[#This Row],[TOTAL CURRENT UNITS]])</f>
        <v>7.217237480395375E-3</v>
      </c>
      <c r="AG194" s="4" cm="1">
        <f t="array" ref="AG194">IF(INVESTORS_LIST[[#This Row],[LS_TOTAL UNITS BUY]]&gt;0,INDEX(LS[NAV at Cost (Average)],MATCH(CONCATENATE(COUNTIFS(LS[Investor ID],INVESTORS_LIST[[#This Row],[INVESTOR CODE]]),INVESTORS_LIST[[#This Row],[INVESTOR CODE]]),LS[Unique Code],0),),0)</f>
        <v>10.099965511382161</v>
      </c>
      <c r="AH194" s="4" cm="1">
        <f t="array" ref="AH194">IF(INVESTORS_LIST[[#This Row],[SIP_TOTAL UNITS BUY]]&gt;0,INDEX(SIP[NAV at Cost (Average)],MATCH(CONCATENATE(COUNTIFS(SIP[Investor ID],INVESTORS_LIST[[#This Row],[INVESTOR CODE]]),INVESTORS_LIST[[#This Row],[INVESTOR CODE]]),SIP[Unique Code],0),),0)</f>
        <v>12.634238787113077</v>
      </c>
      <c r="AI194" s="178">
        <f>IF(INVESTORS_LIST[[#This Row],[TOTAL CURRENT UNITS]]=0,0,(INVESTORS_LIST[[#This Row],[LS_WEIGHT]]*INVESTORS_LIST[[#This Row],[LS_AVERAGE COST]])+(INVESTORS_LIST[[#This Row],[SIP_WEIGHT]]*INVESTORS_LIST[[#This Row],[SIP_AVERAGE COST]]))</f>
        <v>10.118255963453331</v>
      </c>
      <c r="AJ194" s="178">
        <f t="shared" ref="AJ194:AJ257" si="3">NAV_MKT</f>
        <v>12.552</v>
      </c>
      <c r="AK194" s="118">
        <f>IF(INVESTORS_LIST[[#This Row],[TOTAL CURRENT UNITS]]=0,0,INVESTORS_LIST[[#This Row],[TOTAL CURRENT UNITS]]*INVESTORS_LIST[[#This Row],[NAV]])</f>
        <v>2753105.4720000001</v>
      </c>
      <c r="AL194" s="4">
        <f>IF(INVESTORS_LIST[[#This Row],[LS_TOTAL CURRENT UNITS]]=0,0,INVESTORS_LIST[[#This Row],[LS_TOTAL CURRENT UNITS]]*INVESTORS_LIST[[#This Row],[NAV]])</f>
        <v>2733235.656</v>
      </c>
      <c r="AM194" s="6">
        <f>IF(INVESTORS_LIST[[#This Row],[SIP_TOTAL CURRENT UNITS]]=0,0,INVESTORS_LIST[[#This Row],[SIP_TOTAL CURRENT UNITS]]*INVESTORS_LIST[[#This Row],[NAV]])</f>
        <v>19869.815999999999</v>
      </c>
      <c r="AO194" s="6">
        <f>IF(INVESTORS_LIST[[#This Row],[TOTAL SELLABLE UNITS]]=0,0,INVESTORS_LIST[[#This Row],[TOTAL SELLABLE UNITS]]*INVESTORS_LIST[[#This Row],[NAV]])</f>
        <v>0</v>
      </c>
      <c r="AP194" s="6">
        <f>INVESTORS_LIST[[#This Row],[LS_TOTAL REALIZED GAIN]]+INVESTORS_LIST[[#This Row],[SIP_TOTAL REALIZED GAIN]]</f>
        <v>-4019.9999999999795</v>
      </c>
      <c r="AQ194" s="6">
        <f>INVESTORS_LIST[[#This Row],[TOTAL MARKET VALUE]]-INVESTORS_LIST[[#This Row],[TOTAL COST VALUE OF CURRENT INVESTMENT]]</f>
        <v>533807.6820000005</v>
      </c>
      <c r="AR194" s="6">
        <f>SUMIFS(DivAndTax[Tax Amount],DivAndTax[Investor ID],INVESTORS_LIST[[#This Row],[INVESTOR CODE]])</f>
        <v>33914.33</v>
      </c>
      <c r="AS194" s="6">
        <f>SUMIFS(DivAndTax[Gross Dividend],DivAndTax[Investor ID],INVESTORS_LIST[[#This Row],[INVESTOR CODE]])</f>
        <v>226095.45</v>
      </c>
      <c r="AT194" s="5">
        <f>IFERROR(INVESTORS_LIST[[#This Row],[TOTAL CURRENT UNITS]]/SUM(INVESTORS_LIST[TOTAL CURRENT UNITS]),0)</f>
        <v>1.0516028341918017E-2</v>
      </c>
    </row>
    <row r="195" spans="1:46" hidden="1">
      <c r="A195" t="s">
        <v>231</v>
      </c>
      <c r="B195" t="s">
        <v>232</v>
      </c>
      <c r="C195" t="s">
        <v>536</v>
      </c>
      <c r="D195" s="8" t="s">
        <v>2</v>
      </c>
      <c r="E195" s="2">
        <f>SUMIFS(LS[Unit],LS[Investor ID],INVESTORS_LIST[[#This Row],[INVESTOR CODE]],LS[B/S],"B")</f>
        <v>0</v>
      </c>
      <c r="F195" s="2">
        <f>-SUMIFS(LS[Unit],LS[Investor ID],INVESTORS_LIST[[#This Row],[INVESTOR CODE]],LS[B/S],"S")</f>
        <v>0</v>
      </c>
      <c r="G195" s="2">
        <f>IF(INVESTORS_LIST[[#This Row],[LS_TOTAL UNITS BUY]]=0,0,INVESTORS_LIST[[#This Row],[LS_TOTAL UNITS BUY]]-INVESTORS_LIST[[#This Row],[LS_TOTAL UNITS SOLD]])</f>
        <v>0</v>
      </c>
      <c r="H195" s="4">
        <f>IF(INVESTORS_LIST[[#This Row],[LS_TOTAL UNITS BUY]]=0,0,SUMIFS(LS[Amount],LS[Investor ID],INVESTORS_LIST[[#This Row],[INVESTOR CODE]],LS[B/S],"B"))</f>
        <v>0</v>
      </c>
      <c r="I195" s="6">
        <f>IF(INVESTORS_LIST[[#This Row],[LS_TOTAL UNITS SOLD]]=0,0,SUMIFS(LS[Cost of Units Sold],LS[Investor ID],INVESTORS_LIST[[#This Row],[INVESTOR CODE]],LS[B/S],"S"))</f>
        <v>0</v>
      </c>
      <c r="J195" s="6">
        <f>IF(INVESTORS_LIST[[#This Row],[LS_TOTAL CURRENT UNITS]]=0,0,INVESTORS_LIST[[#This Row],[LS_TOTAL CURRENT UNITS]]*INVESTORS_LIST[[#This Row],[LS_AVERAGE COST]])</f>
        <v>0</v>
      </c>
      <c r="K195" s="4">
        <f>IF(INVESTORS_LIST[[#This Row],[LS_TOTAL UNITS SOLD]]=0,0,SUMIFS(LS[Realized Gain],LS[Investor ID],INVESTORS_LIST[[#This Row],[INVESTOR CODE]],LS[B/S],"S"))</f>
        <v>0</v>
      </c>
      <c r="L195" s="2">
        <f>SUMIFS(SIP[Unit],SIP[Investor ID],INVESTORS_LIST[[#This Row],[INVESTOR CODE]],SIP[B/S],"B")</f>
        <v>0</v>
      </c>
      <c r="M195" s="2">
        <f>-SUMIFS(SIP[Unit],SIP[Investor ID],INVESTORS_LIST[[#This Row],[INVESTOR CODE]],SIP[B/S],"S")</f>
        <v>0</v>
      </c>
      <c r="N195" s="33">
        <f>IF(INVESTORS_LIST[[#This Row],[SIP_TOTAL UNITS BUY]]=0,0,INVESTORS_LIST[[#This Row],[SIP_TOTAL UNITS BUY]]-INVESTORS_LIST[[#This Row],[SIP_TOTAL UNITS SOLD]])</f>
        <v>0</v>
      </c>
      <c r="O195" s="4">
        <f>IF(INVESTORS_LIST[[#This Row],[SIP_TOTAL UNITS BUY]]=0,0,SUMIFS(SIP[Amount],SIP[Investor ID],INVESTORS_LIST[[#This Row],[INVESTOR CODE]],SIP[B/S],"B"))</f>
        <v>0</v>
      </c>
      <c r="P195" s="4">
        <f>IF(INVESTORS_LIST[[#This Row],[SIP_TOTAL UNITS SOLD]]=0,0,SUMIFS(SIP[Cost of Units Sold],SIP[Investor ID],INVESTORS_LIST[[#This Row],[INVESTOR CODE]],SIP[B/S],"S"))</f>
        <v>0</v>
      </c>
      <c r="Q195" s="6">
        <f>IF(INVESTORS_LIST[[#This Row],[SIP_TOTAL CURRENT UNITS]]=0,0,INVESTORS_LIST[[#This Row],[SIP_TOTAL CURRENT UNITS]]*INVESTORS_LIST[[#This Row],[SIP_AVERAGE COST]])</f>
        <v>0</v>
      </c>
      <c r="R195" s="6">
        <f>IF(INVESTORS_LIST[[#This Row],[SIP_TOTAL UNITS SOLD]]=0,0,SUMIFS(SIP[Realized Gain],SIP[Investor ID],INVESTORS_LIST[[#This Row],[INVESTOR CODE]],SIP[B/S],"S"))</f>
        <v>0</v>
      </c>
      <c r="S195" s="33">
        <f>INVESTORS_LIST[[#This Row],[LS_TOTAL UNITS BUY]]+INVESTORS_LIST[[#This Row],[SIP_TOTAL UNITS BUY]]</f>
        <v>0</v>
      </c>
      <c r="T195" s="33">
        <f>INVESTORS_LIST[[#This Row],[LS_TOTAL UNITS SOLD]]+INVESTORS_LIST[[#This Row],[SIP_TOTAL UNITS SOLD]]</f>
        <v>0</v>
      </c>
      <c r="U195" s="33">
        <v>0</v>
      </c>
      <c r="V195" s="33">
        <f>SUMIFS(LS[BO UNIT TRANSFER],LS[Investor ID],INVESTORS_LIST[[#This Row],[INVESTOR CODE]],LS[B/S],"B")</f>
        <v>0</v>
      </c>
      <c r="W195" s="33">
        <f>SUMIFS(LS[BO UNIT TRANSFER],LS[Investor ID],INVESTORS_LIST[[#This Row],[INVESTOR CODE]],LS[B/S],"S")</f>
        <v>0</v>
      </c>
      <c r="X195" s="33">
        <f>SUMIFS(SIP[BO UNIT TRANSFER],SIP[Investor ID],INVESTORS_LIST[[#This Row],[INVESTOR CODE]],SIP[B/S],"S")</f>
        <v>0</v>
      </c>
      <c r="Y195" s="33">
        <f>SUMIFS(SIP[BO UNIT TRANSFER],SIP[Investor ID],INVESTORS_LIST[[#This Row],[INVESTOR CODE]],SIP[B/S],"B")</f>
        <v>0</v>
      </c>
      <c r="Z19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95" s="119">
        <f>INVESTORS_LIST[[#This Row],[TOTAL UNITS BUY]]-INVESTORS_LIST[[#This Row],[TOTAL UNITS SOLD]]</f>
        <v>0</v>
      </c>
      <c r="AB195" s="119">
        <f>INVESTORS_LIST[[#This Row],[TOTAL CURRENT UNITS]]-INVESTORS_LIST[[#This Row],[BO UNITS HOLD]]</f>
        <v>0</v>
      </c>
      <c r="AC195" s="119" t="e">
        <f>INDEX([4]!Table_1[BO ID],MATCH(INVESTORS_LIST[[#This Row],[INVESTOR CODE]],[4]!Table_1[INVESTOR CODE],0))</f>
        <v>#REF!</v>
      </c>
      <c r="AD195" s="33">
        <f>INVESTORS_LIST[[#This Row],[LS_TOTAL COST VALUE OF CURRENT UNITS]]+INVESTORS_LIST[[#This Row],[SIP_TOTAL COST VALUE OF CURRENT UNITS]]</f>
        <v>0</v>
      </c>
      <c r="AE195" s="44">
        <f>IF(INVESTORS_LIST[[#This Row],[TOTAL CURRENT UNITS]]=0,0,INVESTORS_LIST[[#This Row],[LS_TOTAL CURRENT UNITS]]/INVESTORS_LIST[[#This Row],[TOTAL CURRENT UNITS]])</f>
        <v>0</v>
      </c>
      <c r="AF195" s="44">
        <f>IF(INVESTORS_LIST[[#This Row],[TOTAL CURRENT UNITS]]=0,0,INVESTORS_LIST[[#This Row],[SIP_TOTAL CURRENT UNITS]]/INVESTORS_LIST[[#This Row],[TOTAL CURRENT UNITS]])</f>
        <v>0</v>
      </c>
      <c r="AG195" s="4" cm="1">
        <f t="array" ref="AG19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95" s="4" cm="1">
        <f t="array" ref="AH1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9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95" s="178">
        <f t="shared" si="3"/>
        <v>12.552</v>
      </c>
      <c r="AK195" s="118">
        <f>IF(INVESTORS_LIST[[#This Row],[TOTAL CURRENT UNITS]]=0,0,INVESTORS_LIST[[#This Row],[TOTAL CURRENT UNITS]]*INVESTORS_LIST[[#This Row],[NAV]])</f>
        <v>0</v>
      </c>
      <c r="AL195" s="4">
        <f>IF(INVESTORS_LIST[[#This Row],[LS_TOTAL CURRENT UNITS]]=0,0,INVESTORS_LIST[[#This Row],[LS_TOTAL CURRENT UNITS]]*INVESTORS_LIST[[#This Row],[NAV]])</f>
        <v>0</v>
      </c>
      <c r="AM195" s="6">
        <f>IF(INVESTORS_LIST[[#This Row],[SIP_TOTAL CURRENT UNITS]]=0,0,INVESTORS_LIST[[#This Row],[SIP_TOTAL CURRENT UNITS]]*INVESTORS_LIST[[#This Row],[NAV]])</f>
        <v>0</v>
      </c>
      <c r="AO195" s="6">
        <f>IF(INVESTORS_LIST[[#This Row],[TOTAL SELLABLE UNITS]]=0,0,INVESTORS_LIST[[#This Row],[TOTAL SELLABLE UNITS]]*INVESTORS_LIST[[#This Row],[NAV]])</f>
        <v>0</v>
      </c>
      <c r="AP195" s="6">
        <f>INVESTORS_LIST[[#This Row],[LS_TOTAL REALIZED GAIN]]+INVESTORS_LIST[[#This Row],[SIP_TOTAL REALIZED GAIN]]</f>
        <v>0</v>
      </c>
      <c r="AQ195" s="6">
        <f>INVESTORS_LIST[[#This Row],[TOTAL MARKET VALUE]]-INVESTORS_LIST[[#This Row],[TOTAL COST VALUE OF CURRENT INVESTMENT]]</f>
        <v>0</v>
      </c>
      <c r="AR195" s="6">
        <f>SUMIFS(DivAndTax[Tax Amount],DivAndTax[Investor ID],INVESTORS_LIST[[#This Row],[INVESTOR CODE]])</f>
        <v>0</v>
      </c>
      <c r="AS195" s="6">
        <f>SUMIFS(DivAndTax[Gross Dividend],DivAndTax[Investor ID],INVESTORS_LIST[[#This Row],[INVESTOR CODE]])</f>
        <v>0</v>
      </c>
      <c r="AT195" s="5">
        <f>IFERROR(INVESTORS_LIST[[#This Row],[TOTAL CURRENT UNITS]]/SUM(INVESTORS_LIST[TOTAL CURRENT UNITS]),0)</f>
        <v>0</v>
      </c>
    </row>
    <row r="196" spans="1:46" hidden="1">
      <c r="A196" t="s">
        <v>233</v>
      </c>
      <c r="B196" t="s">
        <v>234</v>
      </c>
      <c r="C196" t="s">
        <v>536</v>
      </c>
      <c r="D196" s="8" t="s">
        <v>2</v>
      </c>
      <c r="E196" s="2">
        <f>SUMIFS(LS[Unit],LS[Investor ID],INVESTORS_LIST[[#This Row],[INVESTOR CODE]],LS[B/S],"B")</f>
        <v>6000</v>
      </c>
      <c r="F196" s="2">
        <f>-SUMIFS(LS[Unit],LS[Investor ID],INVESTORS_LIST[[#This Row],[INVESTOR CODE]],LS[B/S],"S")</f>
        <v>6000</v>
      </c>
      <c r="G196" s="2">
        <f>IF(INVESTORS_LIST[[#This Row],[LS_TOTAL UNITS BUY]]=0,0,INVESTORS_LIST[[#This Row],[LS_TOTAL UNITS BUY]]-INVESTORS_LIST[[#This Row],[LS_TOTAL UNITS SOLD]])</f>
        <v>0</v>
      </c>
      <c r="H196" s="4">
        <f>IF(INVESTORS_LIST[[#This Row],[LS_TOTAL UNITS BUY]]=0,0,SUMIFS(LS[Amount],LS[Investor ID],INVESTORS_LIST[[#This Row],[INVESTOR CODE]],LS[B/S],"B"))</f>
        <v>60000</v>
      </c>
      <c r="I196" s="6">
        <f>IF(INVESTORS_LIST[[#This Row],[LS_TOTAL UNITS SOLD]]=0,0,SUMIFS(LS[Cost of Units Sold],LS[Investor ID],INVESTORS_LIST[[#This Row],[INVESTOR CODE]],LS[B/S],"S"))</f>
        <v>60000</v>
      </c>
      <c r="J196" s="6">
        <f>IF(INVESTORS_LIST[[#This Row],[LS_TOTAL CURRENT UNITS]]=0,0,INVESTORS_LIST[[#This Row],[LS_TOTAL CURRENT UNITS]]*INVESTORS_LIST[[#This Row],[LS_AVERAGE COST]])</f>
        <v>0</v>
      </c>
      <c r="K196" s="4">
        <f>IF(INVESTORS_LIST[[#This Row],[LS_TOTAL UNITS SOLD]]=0,0,SUMIFS(LS[Realized Gain],LS[Investor ID],INVESTORS_LIST[[#This Row],[INVESTOR CODE]],LS[B/S],"S"))</f>
        <v>-179.99999999999616</v>
      </c>
      <c r="L196" s="2">
        <f>SUMIFS(SIP[Unit],SIP[Investor ID],INVESTORS_LIST[[#This Row],[INVESTOR CODE]],SIP[B/S],"B")</f>
        <v>0</v>
      </c>
      <c r="M196" s="2">
        <f>-SUMIFS(SIP[Unit],SIP[Investor ID],INVESTORS_LIST[[#This Row],[INVESTOR CODE]],SIP[B/S],"S")</f>
        <v>0</v>
      </c>
      <c r="N196" s="33">
        <f>IF(INVESTORS_LIST[[#This Row],[SIP_TOTAL UNITS BUY]]=0,0,INVESTORS_LIST[[#This Row],[SIP_TOTAL UNITS BUY]]-INVESTORS_LIST[[#This Row],[SIP_TOTAL UNITS SOLD]])</f>
        <v>0</v>
      </c>
      <c r="O196" s="4">
        <f>IF(INVESTORS_LIST[[#This Row],[SIP_TOTAL UNITS BUY]]=0,0,SUMIFS(SIP[Amount],SIP[Investor ID],INVESTORS_LIST[[#This Row],[INVESTOR CODE]],SIP[B/S],"B"))</f>
        <v>0</v>
      </c>
      <c r="P196" s="4">
        <f>IF(INVESTORS_LIST[[#This Row],[SIP_TOTAL UNITS SOLD]]=0,0,SUMIFS(SIP[Cost of Units Sold],SIP[Investor ID],INVESTORS_LIST[[#This Row],[INVESTOR CODE]],SIP[B/S],"S"))</f>
        <v>0</v>
      </c>
      <c r="Q196" s="6">
        <f>IF(INVESTORS_LIST[[#This Row],[SIP_TOTAL CURRENT UNITS]]=0,0,INVESTORS_LIST[[#This Row],[SIP_TOTAL CURRENT UNITS]]*INVESTORS_LIST[[#This Row],[SIP_AVERAGE COST]])</f>
        <v>0</v>
      </c>
      <c r="R196" s="6">
        <f>IF(INVESTORS_LIST[[#This Row],[SIP_TOTAL UNITS SOLD]]=0,0,SUMIFS(SIP[Realized Gain],SIP[Investor ID],INVESTORS_LIST[[#This Row],[INVESTOR CODE]],SIP[B/S],"S"))</f>
        <v>0</v>
      </c>
      <c r="S196" s="33">
        <f>INVESTORS_LIST[[#This Row],[LS_TOTAL UNITS BUY]]+INVESTORS_LIST[[#This Row],[SIP_TOTAL UNITS BUY]]</f>
        <v>6000</v>
      </c>
      <c r="T196" s="33">
        <f>INVESTORS_LIST[[#This Row],[LS_TOTAL UNITS SOLD]]+INVESTORS_LIST[[#This Row],[SIP_TOTAL UNITS SOLD]]</f>
        <v>6000</v>
      </c>
      <c r="U196" s="33">
        <v>0</v>
      </c>
      <c r="V196" s="33">
        <f>SUMIFS(LS[BO UNIT TRANSFER],LS[Investor ID],INVESTORS_LIST[[#This Row],[INVESTOR CODE]],LS[B/S],"B")</f>
        <v>0</v>
      </c>
      <c r="W196" s="33">
        <f>SUMIFS(LS[BO UNIT TRANSFER],LS[Investor ID],INVESTORS_LIST[[#This Row],[INVESTOR CODE]],LS[B/S],"S")</f>
        <v>0</v>
      </c>
      <c r="X196" s="33">
        <f>SUMIFS(SIP[BO UNIT TRANSFER],SIP[Investor ID],INVESTORS_LIST[[#This Row],[INVESTOR CODE]],SIP[B/S],"S")</f>
        <v>0</v>
      </c>
      <c r="Y196" s="33">
        <f>SUMIFS(SIP[BO UNIT TRANSFER],SIP[Investor ID],INVESTORS_LIST[[#This Row],[INVESTOR CODE]],SIP[B/S],"B")</f>
        <v>0</v>
      </c>
      <c r="Z19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96" s="119">
        <f>INVESTORS_LIST[[#This Row],[TOTAL UNITS BUY]]-INVESTORS_LIST[[#This Row],[TOTAL UNITS SOLD]]</f>
        <v>0</v>
      </c>
      <c r="AB196" s="119">
        <f>INVESTORS_LIST[[#This Row],[TOTAL CURRENT UNITS]]-INVESTORS_LIST[[#This Row],[BO UNITS HOLD]]</f>
        <v>0</v>
      </c>
      <c r="AC196" s="119" t="e">
        <f>INDEX([4]!Table_1[BO ID],MATCH(INVESTORS_LIST[[#This Row],[INVESTOR CODE]],[4]!Table_1[INVESTOR CODE],0))</f>
        <v>#REF!</v>
      </c>
      <c r="AD196" s="33">
        <f>INVESTORS_LIST[[#This Row],[LS_TOTAL COST VALUE OF CURRENT UNITS]]+INVESTORS_LIST[[#This Row],[SIP_TOTAL COST VALUE OF CURRENT UNITS]]</f>
        <v>0</v>
      </c>
      <c r="AE196" s="44">
        <f>IF(INVESTORS_LIST[[#This Row],[TOTAL CURRENT UNITS]]=0,0,INVESTORS_LIST[[#This Row],[LS_TOTAL CURRENT UNITS]]/INVESTORS_LIST[[#This Row],[TOTAL CURRENT UNITS]])</f>
        <v>0</v>
      </c>
      <c r="AF196" s="44">
        <f>IF(INVESTORS_LIST[[#This Row],[TOTAL CURRENT UNITS]]=0,0,INVESTORS_LIST[[#This Row],[SIP_TOTAL CURRENT UNITS]]/INVESTORS_LIST[[#This Row],[TOTAL CURRENT UNITS]])</f>
        <v>0</v>
      </c>
      <c r="AG196" s="4" cm="1">
        <f t="array" ref="AG19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96" s="4" cm="1">
        <f t="array" ref="AH19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9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96" s="178">
        <f t="shared" si="3"/>
        <v>12.552</v>
      </c>
      <c r="AK196" s="118">
        <f>IF(INVESTORS_LIST[[#This Row],[TOTAL CURRENT UNITS]]=0,0,INVESTORS_LIST[[#This Row],[TOTAL CURRENT UNITS]]*INVESTORS_LIST[[#This Row],[NAV]])</f>
        <v>0</v>
      </c>
      <c r="AL196" s="4">
        <f>IF(INVESTORS_LIST[[#This Row],[LS_TOTAL CURRENT UNITS]]=0,0,INVESTORS_LIST[[#This Row],[LS_TOTAL CURRENT UNITS]]*INVESTORS_LIST[[#This Row],[NAV]])</f>
        <v>0</v>
      </c>
      <c r="AM196" s="6">
        <f>IF(INVESTORS_LIST[[#This Row],[SIP_TOTAL CURRENT UNITS]]=0,0,INVESTORS_LIST[[#This Row],[SIP_TOTAL CURRENT UNITS]]*INVESTORS_LIST[[#This Row],[NAV]])</f>
        <v>0</v>
      </c>
      <c r="AO196" s="6">
        <f>IF(INVESTORS_LIST[[#This Row],[TOTAL SELLABLE UNITS]]=0,0,INVESTORS_LIST[[#This Row],[TOTAL SELLABLE UNITS]]*INVESTORS_LIST[[#This Row],[NAV]])</f>
        <v>0</v>
      </c>
      <c r="AP196" s="6">
        <f>INVESTORS_LIST[[#This Row],[LS_TOTAL REALIZED GAIN]]+INVESTORS_LIST[[#This Row],[SIP_TOTAL REALIZED GAIN]]</f>
        <v>-179.99999999999616</v>
      </c>
      <c r="AQ196" s="6">
        <f>INVESTORS_LIST[[#This Row],[TOTAL MARKET VALUE]]-INVESTORS_LIST[[#This Row],[TOTAL COST VALUE OF CURRENT INVESTMENT]]</f>
        <v>0</v>
      </c>
      <c r="AR196" s="6">
        <f>SUMIFS(DivAndTax[Tax Amount],DivAndTax[Investor ID],INVESTORS_LIST[[#This Row],[INVESTOR CODE]])</f>
        <v>0</v>
      </c>
      <c r="AS196" s="6">
        <f>SUMIFS(DivAndTax[Gross Dividend],DivAndTax[Investor ID],INVESTORS_LIST[[#This Row],[INVESTOR CODE]])</f>
        <v>0</v>
      </c>
      <c r="AT196" s="5">
        <f>IFERROR(INVESTORS_LIST[[#This Row],[TOTAL CURRENT UNITS]]/SUM(INVESTORS_LIST[TOTAL CURRENT UNITS]),0)</f>
        <v>0</v>
      </c>
    </row>
    <row r="197" spans="1:46">
      <c r="A197" t="s">
        <v>235</v>
      </c>
      <c r="B197" t="s">
        <v>236</v>
      </c>
      <c r="C197" t="s">
        <v>536</v>
      </c>
      <c r="D197" s="8" t="s">
        <v>2</v>
      </c>
      <c r="E197" s="2">
        <f>SUMIFS(LS[Unit],LS[Investor ID],INVESTORS_LIST[[#This Row],[INVESTOR CODE]],LS[B/S],"B")</f>
        <v>10910</v>
      </c>
      <c r="F197" s="2">
        <f>-SUMIFS(LS[Unit],LS[Investor ID],INVESTORS_LIST[[#This Row],[INVESTOR CODE]],LS[B/S],"S")</f>
        <v>0</v>
      </c>
      <c r="G197" s="2">
        <f>IF(INVESTORS_LIST[[#This Row],[LS_TOTAL UNITS BUY]]=0,0,INVESTORS_LIST[[#This Row],[LS_TOTAL UNITS BUY]]-INVESTORS_LIST[[#This Row],[LS_TOTAL UNITS SOLD]])</f>
        <v>10910</v>
      </c>
      <c r="H197" s="4">
        <f>IF(INVESTORS_LIST[[#This Row],[LS_TOTAL UNITS BUY]]=0,0,SUMIFS(LS[Amount],LS[Investor ID],INVESTORS_LIST[[#This Row],[INVESTOR CODE]],LS[B/S],"B"))</f>
        <v>110186.6</v>
      </c>
      <c r="I197" s="6">
        <f>IF(INVESTORS_LIST[[#This Row],[LS_TOTAL UNITS SOLD]]=0,0,SUMIFS(LS[Cost of Units Sold],LS[Investor ID],INVESTORS_LIST[[#This Row],[INVESTOR CODE]],LS[B/S],"S"))</f>
        <v>0</v>
      </c>
      <c r="J197" s="6">
        <f>IF(INVESTORS_LIST[[#This Row],[LS_TOTAL CURRENT UNITS]]=0,0,INVESTORS_LIST[[#This Row],[LS_TOTAL CURRENT UNITS]]*INVESTORS_LIST[[#This Row],[LS_AVERAGE COST]])</f>
        <v>110186.6</v>
      </c>
      <c r="K197" s="4">
        <f>IF(INVESTORS_LIST[[#This Row],[LS_TOTAL UNITS SOLD]]=0,0,SUMIFS(LS[Realized Gain],LS[Investor ID],INVESTORS_LIST[[#This Row],[INVESTOR CODE]],LS[B/S],"S"))</f>
        <v>0</v>
      </c>
      <c r="L197" s="2">
        <f>SUMIFS(SIP[Unit],SIP[Investor ID],INVESTORS_LIST[[#This Row],[INVESTOR CODE]],SIP[B/S],"B")</f>
        <v>0</v>
      </c>
      <c r="M197" s="2">
        <f>-SUMIFS(SIP[Unit],SIP[Investor ID],INVESTORS_LIST[[#This Row],[INVESTOR CODE]],SIP[B/S],"S")</f>
        <v>0</v>
      </c>
      <c r="N197" s="33">
        <f>IF(INVESTORS_LIST[[#This Row],[SIP_TOTAL UNITS BUY]]=0,0,INVESTORS_LIST[[#This Row],[SIP_TOTAL UNITS BUY]]-INVESTORS_LIST[[#This Row],[SIP_TOTAL UNITS SOLD]])</f>
        <v>0</v>
      </c>
      <c r="O197" s="4">
        <f>IF(INVESTORS_LIST[[#This Row],[SIP_TOTAL UNITS BUY]]=0,0,SUMIFS(SIP[Amount],SIP[Investor ID],INVESTORS_LIST[[#This Row],[INVESTOR CODE]],SIP[B/S],"B"))</f>
        <v>0</v>
      </c>
      <c r="P197" s="4">
        <f>IF(INVESTORS_LIST[[#This Row],[SIP_TOTAL UNITS SOLD]]=0,0,SUMIFS(SIP[Cost of Units Sold],SIP[Investor ID],INVESTORS_LIST[[#This Row],[INVESTOR CODE]],SIP[B/S],"S"))</f>
        <v>0</v>
      </c>
      <c r="Q197" s="6">
        <f>IF(INVESTORS_LIST[[#This Row],[SIP_TOTAL CURRENT UNITS]]=0,0,INVESTORS_LIST[[#This Row],[SIP_TOTAL CURRENT UNITS]]*INVESTORS_LIST[[#This Row],[SIP_AVERAGE COST]])</f>
        <v>0</v>
      </c>
      <c r="R197" s="6">
        <f>IF(INVESTORS_LIST[[#This Row],[SIP_TOTAL UNITS SOLD]]=0,0,SUMIFS(SIP[Realized Gain],SIP[Investor ID],INVESTORS_LIST[[#This Row],[INVESTOR CODE]],SIP[B/S],"S"))</f>
        <v>0</v>
      </c>
      <c r="S197" s="33">
        <f>INVESTORS_LIST[[#This Row],[LS_TOTAL UNITS BUY]]+INVESTORS_LIST[[#This Row],[SIP_TOTAL UNITS BUY]]</f>
        <v>10910</v>
      </c>
      <c r="T197" s="33">
        <f>INVESTORS_LIST[[#This Row],[LS_TOTAL UNITS SOLD]]+INVESTORS_LIST[[#This Row],[SIP_TOTAL UNITS SOLD]]</f>
        <v>0</v>
      </c>
      <c r="U197" s="33">
        <v>0</v>
      </c>
      <c r="V197" s="33">
        <f>SUMIFS(LS[BO UNIT TRANSFER],LS[Investor ID],INVESTORS_LIST[[#This Row],[INVESTOR CODE]],LS[B/S],"B")</f>
        <v>0</v>
      </c>
      <c r="W197" s="33">
        <f>SUMIFS(LS[BO UNIT TRANSFER],LS[Investor ID],INVESTORS_LIST[[#This Row],[INVESTOR CODE]],LS[B/S],"S")</f>
        <v>0</v>
      </c>
      <c r="X197" s="33">
        <f>SUMIFS(SIP[BO UNIT TRANSFER],SIP[Investor ID],INVESTORS_LIST[[#This Row],[INVESTOR CODE]],SIP[B/S],"S")</f>
        <v>0</v>
      </c>
      <c r="Y197" s="33">
        <f>SUMIFS(SIP[BO UNIT TRANSFER],SIP[Investor ID],INVESTORS_LIST[[#This Row],[INVESTOR CODE]],SIP[B/S],"B")</f>
        <v>0</v>
      </c>
      <c r="Z19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97" s="119">
        <f>INVESTORS_LIST[[#This Row],[TOTAL UNITS BUY]]-INVESTORS_LIST[[#This Row],[TOTAL UNITS SOLD]]</f>
        <v>10910</v>
      </c>
      <c r="AB197" s="119">
        <f>INVESTORS_LIST[[#This Row],[TOTAL CURRENT UNITS]]-INVESTORS_LIST[[#This Row],[BO UNITS HOLD]]</f>
        <v>10910</v>
      </c>
      <c r="AC197" s="119" t="e">
        <f>INDEX([4]!Table_1[BO ID],MATCH(INVESTORS_LIST[[#This Row],[INVESTOR CODE]],[4]!Table_1[INVESTOR CODE],0))</f>
        <v>#REF!</v>
      </c>
      <c r="AD197" s="33">
        <f>INVESTORS_LIST[[#This Row],[LS_TOTAL COST VALUE OF CURRENT UNITS]]+INVESTORS_LIST[[#This Row],[SIP_TOTAL COST VALUE OF CURRENT UNITS]]</f>
        <v>110186.6</v>
      </c>
      <c r="AE197" s="44">
        <f>IF(INVESTORS_LIST[[#This Row],[TOTAL CURRENT UNITS]]=0,0,INVESTORS_LIST[[#This Row],[LS_TOTAL CURRENT UNITS]]/INVESTORS_LIST[[#This Row],[TOTAL CURRENT UNITS]])</f>
        <v>1</v>
      </c>
      <c r="AF197" s="44">
        <f>IF(INVESTORS_LIST[[#This Row],[TOTAL CURRENT UNITS]]=0,0,INVESTORS_LIST[[#This Row],[SIP_TOTAL CURRENT UNITS]]/INVESTORS_LIST[[#This Row],[TOTAL CURRENT UNITS]])</f>
        <v>0</v>
      </c>
      <c r="AG197" s="4" cm="1">
        <f t="array" ref="AG197">IF(INVESTORS_LIST[[#This Row],[LS_TOTAL UNITS BUY]]&gt;0,INDEX(LS[NAV at Cost (Average)],MATCH(CONCATENATE(COUNTIFS(LS[Investor ID],INVESTORS_LIST[[#This Row],[INVESTOR CODE]]),INVESTORS_LIST[[#This Row],[INVESTOR CODE]]),LS[Unique Code],0),),0)</f>
        <v>10.099596700274978</v>
      </c>
      <c r="AH197" s="4" cm="1">
        <f t="array" ref="AH19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97" s="178">
        <f>IF(INVESTORS_LIST[[#This Row],[TOTAL CURRENT UNITS]]=0,0,(INVESTORS_LIST[[#This Row],[LS_WEIGHT]]*INVESTORS_LIST[[#This Row],[LS_AVERAGE COST]])+(INVESTORS_LIST[[#This Row],[SIP_WEIGHT]]*INVESTORS_LIST[[#This Row],[SIP_AVERAGE COST]]))</f>
        <v>10.099596700274978</v>
      </c>
      <c r="AJ197" s="178">
        <f t="shared" si="3"/>
        <v>12.552</v>
      </c>
      <c r="AK197" s="118">
        <f>IF(INVESTORS_LIST[[#This Row],[TOTAL CURRENT UNITS]]=0,0,INVESTORS_LIST[[#This Row],[TOTAL CURRENT UNITS]]*INVESTORS_LIST[[#This Row],[NAV]])</f>
        <v>136942.32</v>
      </c>
      <c r="AL197" s="4">
        <f>IF(INVESTORS_LIST[[#This Row],[LS_TOTAL CURRENT UNITS]]=0,0,INVESTORS_LIST[[#This Row],[LS_TOTAL CURRENT UNITS]]*INVESTORS_LIST[[#This Row],[NAV]])</f>
        <v>136942.32</v>
      </c>
      <c r="AM197" s="6">
        <f>IF(INVESTORS_LIST[[#This Row],[SIP_TOTAL CURRENT UNITS]]=0,0,INVESTORS_LIST[[#This Row],[SIP_TOTAL CURRENT UNITS]]*INVESTORS_LIST[[#This Row],[NAV]])</f>
        <v>0</v>
      </c>
      <c r="AO197" s="6">
        <f>IF(INVESTORS_LIST[[#This Row],[TOTAL SELLABLE UNITS]]=0,0,INVESTORS_LIST[[#This Row],[TOTAL SELLABLE UNITS]]*INVESTORS_LIST[[#This Row],[NAV]])</f>
        <v>0</v>
      </c>
      <c r="AP197" s="6">
        <f>INVESTORS_LIST[[#This Row],[LS_TOTAL REALIZED GAIN]]+INVESTORS_LIST[[#This Row],[SIP_TOTAL REALIZED GAIN]]</f>
        <v>0</v>
      </c>
      <c r="AQ197" s="6">
        <f>INVESTORS_LIST[[#This Row],[TOTAL MARKET VALUE]]-INVESTORS_LIST[[#This Row],[TOTAL COST VALUE OF CURRENT INVESTMENT]]</f>
        <v>26755.72</v>
      </c>
      <c r="AR197" s="6">
        <f>SUMIFS(DivAndTax[Tax Amount],DivAndTax[Investor ID],INVESTORS_LIST[[#This Row],[INVESTOR CODE]])</f>
        <v>1699.17</v>
      </c>
      <c r="AS197" s="6">
        <f>SUMIFS(DivAndTax[Gross Dividend],DivAndTax[Investor ID],INVESTORS_LIST[[#This Row],[INVESTOR CODE]])</f>
        <v>11327.8</v>
      </c>
      <c r="AT197" s="5">
        <f>IFERROR(INVESTORS_LIST[[#This Row],[TOTAL CURRENT UNITS]]/SUM(INVESTORS_LIST[TOTAL CURRENT UNITS]),0)</f>
        <v>5.2307815046470055E-4</v>
      </c>
    </row>
    <row r="198" spans="1:46">
      <c r="A198" t="s">
        <v>237</v>
      </c>
      <c r="B198" t="s">
        <v>238</v>
      </c>
      <c r="C198" t="s">
        <v>536</v>
      </c>
      <c r="D198" s="8" t="s">
        <v>2</v>
      </c>
      <c r="E198" s="2">
        <f>SUMIFS(LS[Unit],LS[Investor ID],INVESTORS_LIST[[#This Row],[INVESTOR CODE]],LS[B/S],"B")</f>
        <v>69375</v>
      </c>
      <c r="F198" s="2">
        <f>-SUMIFS(LS[Unit],LS[Investor ID],INVESTORS_LIST[[#This Row],[INVESTOR CODE]],LS[B/S],"S")</f>
        <v>53134</v>
      </c>
      <c r="G198" s="2">
        <f>IF(INVESTORS_LIST[[#This Row],[LS_TOTAL UNITS BUY]]=0,0,INVESTORS_LIST[[#This Row],[LS_TOTAL UNITS BUY]]-INVESTORS_LIST[[#This Row],[LS_TOTAL UNITS SOLD]])</f>
        <v>16241</v>
      </c>
      <c r="H198" s="4">
        <f>IF(INVESTORS_LIST[[#This Row],[LS_TOTAL UNITS BUY]]=0,0,SUMIFS(LS[Amount],LS[Investor ID],INVESTORS_LIST[[#This Row],[INVESTOR CODE]],LS[B/S],"B"))</f>
        <v>684016.05</v>
      </c>
      <c r="I198" s="6">
        <f>IF(INVESTORS_LIST[[#This Row],[LS_TOTAL UNITS SOLD]]=0,0,SUMIFS(LS[Cost of Units Sold],LS[Investor ID],INVESTORS_LIST[[#This Row],[INVESTOR CODE]],LS[B/S],"S"))</f>
        <v>522638.52674697025</v>
      </c>
      <c r="J198" s="6">
        <f>IF(INVESTORS_LIST[[#This Row],[LS_TOTAL CURRENT UNITS]]=0,0,INVESTORS_LIST[[#This Row],[LS_TOTAL CURRENT UNITS]]*INVESTORS_LIST[[#This Row],[LS_AVERAGE COST]])</f>
        <v>161377.52325302977</v>
      </c>
      <c r="K198" s="4">
        <f>IF(INVESTORS_LIST[[#This Row],[LS_TOTAL UNITS SOLD]]=0,0,SUMIFS(LS[Realized Gain],LS[Investor ID],INVESTORS_LIST[[#This Row],[INVESTOR CODE]],LS[B/S],"S"))</f>
        <v>73918.92325302976</v>
      </c>
      <c r="L198" s="2">
        <f>SUMIFS(SIP[Unit],SIP[Investor ID],INVESTORS_LIST[[#This Row],[INVESTOR CODE]],SIP[B/S],"B")</f>
        <v>0</v>
      </c>
      <c r="M198" s="2">
        <f>-SUMIFS(SIP[Unit],SIP[Investor ID],INVESTORS_LIST[[#This Row],[INVESTOR CODE]],SIP[B/S],"S")</f>
        <v>0</v>
      </c>
      <c r="N198" s="33">
        <f>IF(INVESTORS_LIST[[#This Row],[SIP_TOTAL UNITS BUY]]=0,0,INVESTORS_LIST[[#This Row],[SIP_TOTAL UNITS BUY]]-INVESTORS_LIST[[#This Row],[SIP_TOTAL UNITS SOLD]])</f>
        <v>0</v>
      </c>
      <c r="O198" s="4">
        <f>IF(INVESTORS_LIST[[#This Row],[SIP_TOTAL UNITS BUY]]=0,0,SUMIFS(SIP[Amount],SIP[Investor ID],INVESTORS_LIST[[#This Row],[INVESTOR CODE]],SIP[B/S],"B"))</f>
        <v>0</v>
      </c>
      <c r="P198" s="4">
        <f>IF(INVESTORS_LIST[[#This Row],[SIP_TOTAL UNITS SOLD]]=0,0,SUMIFS(SIP[Cost of Units Sold],SIP[Investor ID],INVESTORS_LIST[[#This Row],[INVESTOR CODE]],SIP[B/S],"S"))</f>
        <v>0</v>
      </c>
      <c r="Q198" s="6">
        <f>IF(INVESTORS_LIST[[#This Row],[SIP_TOTAL CURRENT UNITS]]=0,0,INVESTORS_LIST[[#This Row],[SIP_TOTAL CURRENT UNITS]]*INVESTORS_LIST[[#This Row],[SIP_AVERAGE COST]])</f>
        <v>0</v>
      </c>
      <c r="R198" s="6">
        <f>IF(INVESTORS_LIST[[#This Row],[SIP_TOTAL UNITS SOLD]]=0,0,SUMIFS(SIP[Realized Gain],SIP[Investor ID],INVESTORS_LIST[[#This Row],[INVESTOR CODE]],SIP[B/S],"S"))</f>
        <v>0</v>
      </c>
      <c r="S198" s="33">
        <f>INVESTORS_LIST[[#This Row],[LS_TOTAL UNITS BUY]]+INVESTORS_LIST[[#This Row],[SIP_TOTAL UNITS BUY]]</f>
        <v>69375</v>
      </c>
      <c r="T198" s="33">
        <f>INVESTORS_LIST[[#This Row],[LS_TOTAL UNITS SOLD]]+INVESTORS_LIST[[#This Row],[SIP_TOTAL UNITS SOLD]]</f>
        <v>53134</v>
      </c>
      <c r="U198" s="33">
        <v>0</v>
      </c>
      <c r="V198" s="33">
        <f>SUMIFS(LS[BO UNIT TRANSFER],LS[Investor ID],INVESTORS_LIST[[#This Row],[INVESTOR CODE]],LS[B/S],"B")</f>
        <v>0</v>
      </c>
      <c r="W198" s="33">
        <f>SUMIFS(LS[BO UNIT TRANSFER],LS[Investor ID],INVESTORS_LIST[[#This Row],[INVESTOR CODE]],LS[B/S],"S")</f>
        <v>0</v>
      </c>
      <c r="X198" s="33">
        <f>SUMIFS(SIP[BO UNIT TRANSFER],SIP[Investor ID],INVESTORS_LIST[[#This Row],[INVESTOR CODE]],SIP[B/S],"S")</f>
        <v>0</v>
      </c>
      <c r="Y198" s="33">
        <f>SUMIFS(SIP[BO UNIT TRANSFER],SIP[Investor ID],INVESTORS_LIST[[#This Row],[INVESTOR CODE]],SIP[B/S],"B")</f>
        <v>0</v>
      </c>
      <c r="Z19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98" s="119">
        <f>INVESTORS_LIST[[#This Row],[TOTAL UNITS BUY]]-INVESTORS_LIST[[#This Row],[TOTAL UNITS SOLD]]</f>
        <v>16241</v>
      </c>
      <c r="AB198" s="119">
        <f>INVESTORS_LIST[[#This Row],[TOTAL CURRENT UNITS]]-INVESTORS_LIST[[#This Row],[BO UNITS HOLD]]</f>
        <v>16241</v>
      </c>
      <c r="AC198" s="119" t="e">
        <f>INDEX([4]!Table_1[BO ID],MATCH(INVESTORS_LIST[[#This Row],[INVESTOR CODE]],[4]!Table_1[INVESTOR CODE],0))</f>
        <v>#REF!</v>
      </c>
      <c r="AD198" s="33">
        <f>INVESTORS_LIST[[#This Row],[LS_TOTAL COST VALUE OF CURRENT UNITS]]+INVESTORS_LIST[[#This Row],[SIP_TOTAL COST VALUE OF CURRENT UNITS]]</f>
        <v>161377.52325302977</v>
      </c>
      <c r="AE198" s="44">
        <f>IF(INVESTORS_LIST[[#This Row],[TOTAL CURRENT UNITS]]=0,0,INVESTORS_LIST[[#This Row],[LS_TOTAL CURRENT UNITS]]/INVESTORS_LIST[[#This Row],[TOTAL CURRENT UNITS]])</f>
        <v>1</v>
      </c>
      <c r="AF198" s="44">
        <f>IF(INVESTORS_LIST[[#This Row],[TOTAL CURRENT UNITS]]=0,0,INVESTORS_LIST[[#This Row],[SIP_TOTAL CURRENT UNITS]]/INVESTORS_LIST[[#This Row],[TOTAL CURRENT UNITS]])</f>
        <v>0</v>
      </c>
      <c r="AG198" s="4" cm="1">
        <f t="array" ref="AG198">IF(INVESTORS_LIST[[#This Row],[LS_TOTAL UNITS BUY]]&gt;0,INDEX(LS[NAV at Cost (Average)],MATCH(CONCATENATE(COUNTIFS(LS[Investor ID],INVESTORS_LIST[[#This Row],[INVESTOR CODE]]),INVESTORS_LIST[[#This Row],[INVESTOR CODE]]),LS[Unique Code],0),),0)</f>
        <v>9.9364277601766986</v>
      </c>
      <c r="AH198" s="4" cm="1">
        <f t="array" ref="AH1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98" s="178">
        <f>IF(INVESTORS_LIST[[#This Row],[TOTAL CURRENT UNITS]]=0,0,(INVESTORS_LIST[[#This Row],[LS_WEIGHT]]*INVESTORS_LIST[[#This Row],[LS_AVERAGE COST]])+(INVESTORS_LIST[[#This Row],[SIP_WEIGHT]]*INVESTORS_LIST[[#This Row],[SIP_AVERAGE COST]]))</f>
        <v>9.9364277601766986</v>
      </c>
      <c r="AJ198" s="178">
        <f t="shared" si="3"/>
        <v>12.552</v>
      </c>
      <c r="AK198" s="118">
        <f>IF(INVESTORS_LIST[[#This Row],[TOTAL CURRENT UNITS]]=0,0,INVESTORS_LIST[[#This Row],[TOTAL CURRENT UNITS]]*INVESTORS_LIST[[#This Row],[NAV]])</f>
        <v>203857.03200000001</v>
      </c>
      <c r="AL198" s="4">
        <f>IF(INVESTORS_LIST[[#This Row],[LS_TOTAL CURRENT UNITS]]=0,0,INVESTORS_LIST[[#This Row],[LS_TOTAL CURRENT UNITS]]*INVESTORS_LIST[[#This Row],[NAV]])</f>
        <v>203857.03200000001</v>
      </c>
      <c r="AM198" s="6">
        <f>IF(INVESTORS_LIST[[#This Row],[SIP_TOTAL CURRENT UNITS]]=0,0,INVESTORS_LIST[[#This Row],[SIP_TOTAL CURRENT UNITS]]*INVESTORS_LIST[[#This Row],[NAV]])</f>
        <v>0</v>
      </c>
      <c r="AO198" s="6">
        <f>IF(INVESTORS_LIST[[#This Row],[TOTAL SELLABLE UNITS]]=0,0,INVESTORS_LIST[[#This Row],[TOTAL SELLABLE UNITS]]*INVESTORS_LIST[[#This Row],[NAV]])</f>
        <v>0</v>
      </c>
      <c r="AP198" s="6">
        <f>INVESTORS_LIST[[#This Row],[LS_TOTAL REALIZED GAIN]]+INVESTORS_LIST[[#This Row],[SIP_TOTAL REALIZED GAIN]]</f>
        <v>73918.92325302976</v>
      </c>
      <c r="AQ198" s="6">
        <f>INVESTORS_LIST[[#This Row],[TOTAL MARKET VALUE]]-INVESTORS_LIST[[#This Row],[TOTAL COST VALUE OF CURRENT INVESTMENT]]</f>
        <v>42479.508746970241</v>
      </c>
      <c r="AR198" s="6">
        <f>SUMIFS(DivAndTax[Tax Amount],DivAndTax[Investor ID],INVESTORS_LIST[[#This Row],[INVESTOR CODE]])</f>
        <v>3718.04</v>
      </c>
      <c r="AS198" s="6">
        <f>SUMIFS(DivAndTax[Gross Dividend],DivAndTax[Investor ID],INVESTORS_LIST[[#This Row],[INVESTOR CODE]])</f>
        <v>37180.35</v>
      </c>
      <c r="AT198" s="5">
        <f>IFERROR(INVESTORS_LIST[[#This Row],[TOTAL CURRENT UNITS]]/SUM(INVESTORS_LIST[TOTAL CURRENT UNITS]),0)</f>
        <v>7.7867206615006427E-4</v>
      </c>
    </row>
    <row r="199" spans="1:46" hidden="1">
      <c r="A199" t="s">
        <v>239</v>
      </c>
      <c r="B199" t="s">
        <v>240</v>
      </c>
      <c r="C199" t="s">
        <v>537</v>
      </c>
      <c r="D199" s="8" t="s">
        <v>13</v>
      </c>
      <c r="E199" s="2">
        <f>SUMIFS(LS[Unit],LS[Investor ID],INVESTORS_LIST[[#This Row],[INVESTOR CODE]],LS[B/S],"B")</f>
        <v>0</v>
      </c>
      <c r="F199" s="2">
        <f>-SUMIFS(LS[Unit],LS[Investor ID],INVESTORS_LIST[[#This Row],[INVESTOR CODE]],LS[B/S],"S")</f>
        <v>0</v>
      </c>
      <c r="G199" s="2">
        <f>IF(INVESTORS_LIST[[#This Row],[LS_TOTAL UNITS BUY]]=0,0,INVESTORS_LIST[[#This Row],[LS_TOTAL UNITS BUY]]-INVESTORS_LIST[[#This Row],[LS_TOTAL UNITS SOLD]])</f>
        <v>0</v>
      </c>
      <c r="H199" s="4">
        <f>IF(INVESTORS_LIST[[#This Row],[LS_TOTAL UNITS BUY]]=0,0,SUMIFS(LS[Amount],LS[Investor ID],INVESTORS_LIST[[#This Row],[INVESTOR CODE]],LS[B/S],"B"))</f>
        <v>0</v>
      </c>
      <c r="I199" s="6">
        <f>IF(INVESTORS_LIST[[#This Row],[LS_TOTAL UNITS SOLD]]=0,0,SUMIFS(LS[Cost of Units Sold],LS[Investor ID],INVESTORS_LIST[[#This Row],[INVESTOR CODE]],LS[B/S],"S"))</f>
        <v>0</v>
      </c>
      <c r="J199" s="6">
        <f>IF(INVESTORS_LIST[[#This Row],[LS_TOTAL CURRENT UNITS]]=0,0,INVESTORS_LIST[[#This Row],[LS_TOTAL CURRENT UNITS]]*INVESTORS_LIST[[#This Row],[LS_AVERAGE COST]])</f>
        <v>0</v>
      </c>
      <c r="K199" s="4">
        <f>IF(INVESTORS_LIST[[#This Row],[LS_TOTAL UNITS SOLD]]=0,0,SUMIFS(LS[Realized Gain],LS[Investor ID],INVESTORS_LIST[[#This Row],[INVESTOR CODE]],LS[B/S],"S"))</f>
        <v>0</v>
      </c>
      <c r="L199" s="2">
        <f>SUMIFS(SIP[Unit],SIP[Investor ID],INVESTORS_LIST[[#This Row],[INVESTOR CODE]],SIP[B/S],"B")</f>
        <v>0</v>
      </c>
      <c r="M199" s="2">
        <f>-SUMIFS(SIP[Unit],SIP[Investor ID],INVESTORS_LIST[[#This Row],[INVESTOR CODE]],SIP[B/S],"S")</f>
        <v>0</v>
      </c>
      <c r="N199" s="33">
        <f>IF(INVESTORS_LIST[[#This Row],[SIP_TOTAL UNITS BUY]]=0,0,INVESTORS_LIST[[#This Row],[SIP_TOTAL UNITS BUY]]-INVESTORS_LIST[[#This Row],[SIP_TOTAL UNITS SOLD]])</f>
        <v>0</v>
      </c>
      <c r="O199" s="4">
        <f>IF(INVESTORS_LIST[[#This Row],[SIP_TOTAL UNITS BUY]]=0,0,SUMIFS(SIP[Amount],SIP[Investor ID],INVESTORS_LIST[[#This Row],[INVESTOR CODE]],SIP[B/S],"B"))</f>
        <v>0</v>
      </c>
      <c r="P199" s="4">
        <f>IF(INVESTORS_LIST[[#This Row],[SIP_TOTAL UNITS SOLD]]=0,0,SUMIFS(SIP[Cost of Units Sold],SIP[Investor ID],INVESTORS_LIST[[#This Row],[INVESTOR CODE]],SIP[B/S],"S"))</f>
        <v>0</v>
      </c>
      <c r="Q199" s="6">
        <f>IF(INVESTORS_LIST[[#This Row],[SIP_TOTAL CURRENT UNITS]]=0,0,INVESTORS_LIST[[#This Row],[SIP_TOTAL CURRENT UNITS]]*INVESTORS_LIST[[#This Row],[SIP_AVERAGE COST]])</f>
        <v>0</v>
      </c>
      <c r="R199" s="6">
        <f>IF(INVESTORS_LIST[[#This Row],[SIP_TOTAL UNITS SOLD]]=0,0,SUMIFS(SIP[Realized Gain],SIP[Investor ID],INVESTORS_LIST[[#This Row],[INVESTOR CODE]],SIP[B/S],"S"))</f>
        <v>0</v>
      </c>
      <c r="S199" s="33">
        <f>INVESTORS_LIST[[#This Row],[LS_TOTAL UNITS BUY]]+INVESTORS_LIST[[#This Row],[SIP_TOTAL UNITS BUY]]</f>
        <v>0</v>
      </c>
      <c r="T199" s="33">
        <f>INVESTORS_LIST[[#This Row],[LS_TOTAL UNITS SOLD]]+INVESTORS_LIST[[#This Row],[SIP_TOTAL UNITS SOLD]]</f>
        <v>0</v>
      </c>
      <c r="U199" s="33">
        <v>0</v>
      </c>
      <c r="V199" s="33">
        <f>SUMIFS(LS[BO UNIT TRANSFER],LS[Investor ID],INVESTORS_LIST[[#This Row],[INVESTOR CODE]],LS[B/S],"B")</f>
        <v>0</v>
      </c>
      <c r="W199" s="33">
        <f>SUMIFS(LS[BO UNIT TRANSFER],LS[Investor ID],INVESTORS_LIST[[#This Row],[INVESTOR CODE]],LS[B/S],"S")</f>
        <v>0</v>
      </c>
      <c r="X199" s="33">
        <f>SUMIFS(SIP[BO UNIT TRANSFER],SIP[Investor ID],INVESTORS_LIST[[#This Row],[INVESTOR CODE]],SIP[B/S],"S")</f>
        <v>0</v>
      </c>
      <c r="Y199" s="33">
        <f>SUMIFS(SIP[BO UNIT TRANSFER],SIP[Investor ID],INVESTORS_LIST[[#This Row],[INVESTOR CODE]],SIP[B/S],"B")</f>
        <v>0</v>
      </c>
      <c r="Z19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199" s="119">
        <f>INVESTORS_LIST[[#This Row],[TOTAL UNITS BUY]]-INVESTORS_LIST[[#This Row],[TOTAL UNITS SOLD]]</f>
        <v>0</v>
      </c>
      <c r="AB199" s="119">
        <f>INVESTORS_LIST[[#This Row],[TOTAL CURRENT UNITS]]-INVESTORS_LIST[[#This Row],[BO UNITS HOLD]]</f>
        <v>0</v>
      </c>
      <c r="AC199" s="119" t="e">
        <f>INDEX([4]!Table_1[BO ID],MATCH(INVESTORS_LIST[[#This Row],[INVESTOR CODE]],[4]!Table_1[INVESTOR CODE],0))</f>
        <v>#REF!</v>
      </c>
      <c r="AD199" s="33">
        <f>INVESTORS_LIST[[#This Row],[LS_TOTAL COST VALUE OF CURRENT UNITS]]+INVESTORS_LIST[[#This Row],[SIP_TOTAL COST VALUE OF CURRENT UNITS]]</f>
        <v>0</v>
      </c>
      <c r="AE199" s="44">
        <f>IF(INVESTORS_LIST[[#This Row],[TOTAL CURRENT UNITS]]=0,0,INVESTORS_LIST[[#This Row],[LS_TOTAL CURRENT UNITS]]/INVESTORS_LIST[[#This Row],[TOTAL CURRENT UNITS]])</f>
        <v>0</v>
      </c>
      <c r="AF199" s="44">
        <f>IF(INVESTORS_LIST[[#This Row],[TOTAL CURRENT UNITS]]=0,0,INVESTORS_LIST[[#This Row],[SIP_TOTAL CURRENT UNITS]]/INVESTORS_LIST[[#This Row],[TOTAL CURRENT UNITS]])</f>
        <v>0</v>
      </c>
      <c r="AG199" s="4" cm="1">
        <f t="array" ref="AG1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199" s="4" cm="1">
        <f t="array" ref="AH1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19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199" s="178">
        <f t="shared" si="3"/>
        <v>12.552</v>
      </c>
      <c r="AK199" s="118">
        <f>IF(INVESTORS_LIST[[#This Row],[TOTAL CURRENT UNITS]]=0,0,INVESTORS_LIST[[#This Row],[TOTAL CURRENT UNITS]]*INVESTORS_LIST[[#This Row],[NAV]])</f>
        <v>0</v>
      </c>
      <c r="AL199" s="4">
        <f>IF(INVESTORS_LIST[[#This Row],[LS_TOTAL CURRENT UNITS]]=0,0,INVESTORS_LIST[[#This Row],[LS_TOTAL CURRENT UNITS]]*INVESTORS_LIST[[#This Row],[NAV]])</f>
        <v>0</v>
      </c>
      <c r="AM199" s="6">
        <f>IF(INVESTORS_LIST[[#This Row],[SIP_TOTAL CURRENT UNITS]]=0,0,INVESTORS_LIST[[#This Row],[SIP_TOTAL CURRENT UNITS]]*INVESTORS_LIST[[#This Row],[NAV]])</f>
        <v>0</v>
      </c>
      <c r="AO199" s="6">
        <f>IF(INVESTORS_LIST[[#This Row],[TOTAL SELLABLE UNITS]]=0,0,INVESTORS_LIST[[#This Row],[TOTAL SELLABLE UNITS]]*INVESTORS_LIST[[#This Row],[NAV]])</f>
        <v>0</v>
      </c>
      <c r="AP199" s="6">
        <f>INVESTORS_LIST[[#This Row],[LS_TOTAL REALIZED GAIN]]+INVESTORS_LIST[[#This Row],[SIP_TOTAL REALIZED GAIN]]</f>
        <v>0</v>
      </c>
      <c r="AQ199" s="6">
        <f>INVESTORS_LIST[[#This Row],[TOTAL MARKET VALUE]]-INVESTORS_LIST[[#This Row],[TOTAL COST VALUE OF CURRENT INVESTMENT]]</f>
        <v>0</v>
      </c>
      <c r="AR199" s="6">
        <f>SUMIFS(DivAndTax[Tax Amount],DivAndTax[Investor ID],INVESTORS_LIST[[#This Row],[INVESTOR CODE]])</f>
        <v>0</v>
      </c>
      <c r="AS199" s="6">
        <f>SUMIFS(DivAndTax[Gross Dividend],DivAndTax[Investor ID],INVESTORS_LIST[[#This Row],[INVESTOR CODE]])</f>
        <v>0</v>
      </c>
      <c r="AT199" s="5">
        <f>IFERROR(INVESTORS_LIST[[#This Row],[TOTAL CURRENT UNITS]]/SUM(INVESTORS_LIST[TOTAL CURRENT UNITS]),0)</f>
        <v>0</v>
      </c>
    </row>
    <row r="200" spans="1:46" hidden="1">
      <c r="A200" t="s">
        <v>241</v>
      </c>
      <c r="B200" t="s">
        <v>242</v>
      </c>
      <c r="C200" t="s">
        <v>538</v>
      </c>
      <c r="D200" s="8" t="s">
        <v>2</v>
      </c>
      <c r="E200" s="2">
        <f>SUMIFS(LS[Unit],LS[Investor ID],INVESTORS_LIST[[#This Row],[INVESTOR CODE]],LS[B/S],"B")</f>
        <v>0</v>
      </c>
      <c r="F200" s="2">
        <f>-SUMIFS(LS[Unit],LS[Investor ID],INVESTORS_LIST[[#This Row],[INVESTOR CODE]],LS[B/S],"S")</f>
        <v>0</v>
      </c>
      <c r="G200" s="2">
        <f>IF(INVESTORS_LIST[[#This Row],[LS_TOTAL UNITS BUY]]=0,0,INVESTORS_LIST[[#This Row],[LS_TOTAL UNITS BUY]]-INVESTORS_LIST[[#This Row],[LS_TOTAL UNITS SOLD]])</f>
        <v>0</v>
      </c>
      <c r="H200" s="4">
        <f>IF(INVESTORS_LIST[[#This Row],[LS_TOTAL UNITS BUY]]=0,0,SUMIFS(LS[Amount],LS[Investor ID],INVESTORS_LIST[[#This Row],[INVESTOR CODE]],LS[B/S],"B"))</f>
        <v>0</v>
      </c>
      <c r="I200" s="6">
        <f>IF(INVESTORS_LIST[[#This Row],[LS_TOTAL UNITS SOLD]]=0,0,SUMIFS(LS[Cost of Units Sold],LS[Investor ID],INVESTORS_LIST[[#This Row],[INVESTOR CODE]],LS[B/S],"S"))</f>
        <v>0</v>
      </c>
      <c r="J200" s="6">
        <f>IF(INVESTORS_LIST[[#This Row],[LS_TOTAL CURRENT UNITS]]=0,0,INVESTORS_LIST[[#This Row],[LS_TOTAL CURRENT UNITS]]*INVESTORS_LIST[[#This Row],[LS_AVERAGE COST]])</f>
        <v>0</v>
      </c>
      <c r="K200" s="4">
        <f>IF(INVESTORS_LIST[[#This Row],[LS_TOTAL UNITS SOLD]]=0,0,SUMIFS(LS[Realized Gain],LS[Investor ID],INVESTORS_LIST[[#This Row],[INVESTOR CODE]],LS[B/S],"S"))</f>
        <v>0</v>
      </c>
      <c r="L200" s="2">
        <f>SUMIFS(SIP[Unit],SIP[Investor ID],INVESTORS_LIST[[#This Row],[INVESTOR CODE]],SIP[B/S],"B")</f>
        <v>0</v>
      </c>
      <c r="M200" s="2">
        <f>-SUMIFS(SIP[Unit],SIP[Investor ID],INVESTORS_LIST[[#This Row],[INVESTOR CODE]],SIP[B/S],"S")</f>
        <v>0</v>
      </c>
      <c r="N200" s="33">
        <f>IF(INVESTORS_LIST[[#This Row],[SIP_TOTAL UNITS BUY]]=0,0,INVESTORS_LIST[[#This Row],[SIP_TOTAL UNITS BUY]]-INVESTORS_LIST[[#This Row],[SIP_TOTAL UNITS SOLD]])</f>
        <v>0</v>
      </c>
      <c r="O200" s="4">
        <f>IF(INVESTORS_LIST[[#This Row],[SIP_TOTAL UNITS BUY]]=0,0,SUMIFS(SIP[Amount],SIP[Investor ID],INVESTORS_LIST[[#This Row],[INVESTOR CODE]],SIP[B/S],"B"))</f>
        <v>0</v>
      </c>
      <c r="P200" s="4">
        <f>IF(INVESTORS_LIST[[#This Row],[SIP_TOTAL UNITS SOLD]]=0,0,SUMIFS(SIP[Cost of Units Sold],SIP[Investor ID],INVESTORS_LIST[[#This Row],[INVESTOR CODE]],SIP[B/S],"S"))</f>
        <v>0</v>
      </c>
      <c r="Q200" s="6">
        <f>IF(INVESTORS_LIST[[#This Row],[SIP_TOTAL CURRENT UNITS]]=0,0,INVESTORS_LIST[[#This Row],[SIP_TOTAL CURRENT UNITS]]*INVESTORS_LIST[[#This Row],[SIP_AVERAGE COST]])</f>
        <v>0</v>
      </c>
      <c r="R200" s="6">
        <f>IF(INVESTORS_LIST[[#This Row],[SIP_TOTAL UNITS SOLD]]=0,0,SUMIFS(SIP[Realized Gain],SIP[Investor ID],INVESTORS_LIST[[#This Row],[INVESTOR CODE]],SIP[B/S],"S"))</f>
        <v>0</v>
      </c>
      <c r="S200" s="33">
        <f>INVESTORS_LIST[[#This Row],[LS_TOTAL UNITS BUY]]+INVESTORS_LIST[[#This Row],[SIP_TOTAL UNITS BUY]]</f>
        <v>0</v>
      </c>
      <c r="T200" s="33">
        <f>INVESTORS_LIST[[#This Row],[LS_TOTAL UNITS SOLD]]+INVESTORS_LIST[[#This Row],[SIP_TOTAL UNITS SOLD]]</f>
        <v>0</v>
      </c>
      <c r="U200" s="33">
        <v>0</v>
      </c>
      <c r="V200" s="33">
        <f>SUMIFS(LS[BO UNIT TRANSFER],LS[Investor ID],INVESTORS_LIST[[#This Row],[INVESTOR CODE]],LS[B/S],"B")</f>
        <v>0</v>
      </c>
      <c r="W200" s="33">
        <f>SUMIFS(LS[BO UNIT TRANSFER],LS[Investor ID],INVESTORS_LIST[[#This Row],[INVESTOR CODE]],LS[B/S],"S")</f>
        <v>0</v>
      </c>
      <c r="X200" s="33">
        <f>SUMIFS(SIP[BO UNIT TRANSFER],SIP[Investor ID],INVESTORS_LIST[[#This Row],[INVESTOR CODE]],SIP[B/S],"S")</f>
        <v>0</v>
      </c>
      <c r="Y200" s="33">
        <f>SUMIFS(SIP[BO UNIT TRANSFER],SIP[Investor ID],INVESTORS_LIST[[#This Row],[INVESTOR CODE]],SIP[B/S],"B")</f>
        <v>0</v>
      </c>
      <c r="Z20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00" s="119">
        <f>INVESTORS_LIST[[#This Row],[TOTAL UNITS BUY]]-INVESTORS_LIST[[#This Row],[TOTAL UNITS SOLD]]</f>
        <v>0</v>
      </c>
      <c r="AB200" s="119">
        <f>INVESTORS_LIST[[#This Row],[TOTAL CURRENT UNITS]]-INVESTORS_LIST[[#This Row],[BO UNITS HOLD]]</f>
        <v>0</v>
      </c>
      <c r="AC200" s="119" t="e">
        <f>INDEX([4]!Table_1[BO ID],MATCH(INVESTORS_LIST[[#This Row],[INVESTOR CODE]],[4]!Table_1[INVESTOR CODE],0))</f>
        <v>#REF!</v>
      </c>
      <c r="AD200" s="33">
        <f>INVESTORS_LIST[[#This Row],[LS_TOTAL COST VALUE OF CURRENT UNITS]]+INVESTORS_LIST[[#This Row],[SIP_TOTAL COST VALUE OF CURRENT UNITS]]</f>
        <v>0</v>
      </c>
      <c r="AE200" s="44">
        <f>IF(INVESTORS_LIST[[#This Row],[TOTAL CURRENT UNITS]]=0,0,INVESTORS_LIST[[#This Row],[LS_TOTAL CURRENT UNITS]]/INVESTORS_LIST[[#This Row],[TOTAL CURRENT UNITS]])</f>
        <v>0</v>
      </c>
      <c r="AF200" s="44">
        <f>IF(INVESTORS_LIST[[#This Row],[TOTAL CURRENT UNITS]]=0,0,INVESTORS_LIST[[#This Row],[SIP_TOTAL CURRENT UNITS]]/INVESTORS_LIST[[#This Row],[TOTAL CURRENT UNITS]])</f>
        <v>0</v>
      </c>
      <c r="AG200" s="4" cm="1">
        <f t="array" ref="AG2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00" s="4" cm="1">
        <f t="array" ref="AH2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0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00" s="178">
        <f t="shared" si="3"/>
        <v>12.552</v>
      </c>
      <c r="AK200" s="118">
        <f>IF(INVESTORS_LIST[[#This Row],[TOTAL CURRENT UNITS]]=0,0,INVESTORS_LIST[[#This Row],[TOTAL CURRENT UNITS]]*INVESTORS_LIST[[#This Row],[NAV]])</f>
        <v>0</v>
      </c>
      <c r="AL200" s="4">
        <f>IF(INVESTORS_LIST[[#This Row],[LS_TOTAL CURRENT UNITS]]=0,0,INVESTORS_LIST[[#This Row],[LS_TOTAL CURRENT UNITS]]*INVESTORS_LIST[[#This Row],[NAV]])</f>
        <v>0</v>
      </c>
      <c r="AM200" s="6">
        <f>IF(INVESTORS_LIST[[#This Row],[SIP_TOTAL CURRENT UNITS]]=0,0,INVESTORS_LIST[[#This Row],[SIP_TOTAL CURRENT UNITS]]*INVESTORS_LIST[[#This Row],[NAV]])</f>
        <v>0</v>
      </c>
      <c r="AO200" s="6">
        <f>IF(INVESTORS_LIST[[#This Row],[TOTAL SELLABLE UNITS]]=0,0,INVESTORS_LIST[[#This Row],[TOTAL SELLABLE UNITS]]*INVESTORS_LIST[[#This Row],[NAV]])</f>
        <v>0</v>
      </c>
      <c r="AP200" s="6">
        <f>INVESTORS_LIST[[#This Row],[LS_TOTAL REALIZED GAIN]]+INVESTORS_LIST[[#This Row],[SIP_TOTAL REALIZED GAIN]]</f>
        <v>0</v>
      </c>
      <c r="AQ200" s="6">
        <f>INVESTORS_LIST[[#This Row],[TOTAL MARKET VALUE]]-INVESTORS_LIST[[#This Row],[TOTAL COST VALUE OF CURRENT INVESTMENT]]</f>
        <v>0</v>
      </c>
      <c r="AR200" s="6">
        <f>SUMIFS(DivAndTax[Tax Amount],DivAndTax[Investor ID],INVESTORS_LIST[[#This Row],[INVESTOR CODE]])</f>
        <v>0</v>
      </c>
      <c r="AS200" s="6">
        <f>SUMIFS(DivAndTax[Gross Dividend],DivAndTax[Investor ID],INVESTORS_LIST[[#This Row],[INVESTOR CODE]])</f>
        <v>0</v>
      </c>
      <c r="AT200" s="5">
        <f>IFERROR(INVESTORS_LIST[[#This Row],[TOTAL CURRENT UNITS]]/SUM(INVESTORS_LIST[TOTAL CURRENT UNITS]),0)</f>
        <v>0</v>
      </c>
    </row>
    <row r="201" spans="1:46" hidden="1">
      <c r="A201" t="s">
        <v>243</v>
      </c>
      <c r="B201" t="s">
        <v>244</v>
      </c>
      <c r="C201" t="s">
        <v>536</v>
      </c>
      <c r="D201" s="8" t="s">
        <v>2</v>
      </c>
      <c r="E201" s="2">
        <f>SUMIFS(LS[Unit],LS[Investor ID],INVESTORS_LIST[[#This Row],[INVESTOR CODE]],LS[B/S],"B")</f>
        <v>0</v>
      </c>
      <c r="F201" s="2">
        <f>-SUMIFS(LS[Unit],LS[Investor ID],INVESTORS_LIST[[#This Row],[INVESTOR CODE]],LS[B/S],"S")</f>
        <v>0</v>
      </c>
      <c r="G201" s="2">
        <f>IF(INVESTORS_LIST[[#This Row],[LS_TOTAL UNITS BUY]]=0,0,INVESTORS_LIST[[#This Row],[LS_TOTAL UNITS BUY]]-INVESTORS_LIST[[#This Row],[LS_TOTAL UNITS SOLD]])</f>
        <v>0</v>
      </c>
      <c r="H201" s="4">
        <f>IF(INVESTORS_LIST[[#This Row],[LS_TOTAL UNITS BUY]]=0,0,SUMIFS(LS[Amount],LS[Investor ID],INVESTORS_LIST[[#This Row],[INVESTOR CODE]],LS[B/S],"B"))</f>
        <v>0</v>
      </c>
      <c r="I201" s="6">
        <f>IF(INVESTORS_LIST[[#This Row],[LS_TOTAL UNITS SOLD]]=0,0,SUMIFS(LS[Cost of Units Sold],LS[Investor ID],INVESTORS_LIST[[#This Row],[INVESTOR CODE]],LS[B/S],"S"))</f>
        <v>0</v>
      </c>
      <c r="J201" s="6">
        <f>IF(INVESTORS_LIST[[#This Row],[LS_TOTAL CURRENT UNITS]]=0,0,INVESTORS_LIST[[#This Row],[LS_TOTAL CURRENT UNITS]]*INVESTORS_LIST[[#This Row],[LS_AVERAGE COST]])</f>
        <v>0</v>
      </c>
      <c r="K201" s="4">
        <f>IF(INVESTORS_LIST[[#This Row],[LS_TOTAL UNITS SOLD]]=0,0,SUMIFS(LS[Realized Gain],LS[Investor ID],INVESTORS_LIST[[#This Row],[INVESTOR CODE]],LS[B/S],"S"))</f>
        <v>0</v>
      </c>
      <c r="L201" s="2">
        <f>SUMIFS(SIP[Unit],SIP[Investor ID],INVESTORS_LIST[[#This Row],[INVESTOR CODE]],SIP[B/S],"B")</f>
        <v>0</v>
      </c>
      <c r="M201" s="2">
        <f>-SUMIFS(SIP[Unit],SIP[Investor ID],INVESTORS_LIST[[#This Row],[INVESTOR CODE]],SIP[B/S],"S")</f>
        <v>0</v>
      </c>
      <c r="N201" s="33">
        <f>IF(INVESTORS_LIST[[#This Row],[SIP_TOTAL UNITS BUY]]=0,0,INVESTORS_LIST[[#This Row],[SIP_TOTAL UNITS BUY]]-INVESTORS_LIST[[#This Row],[SIP_TOTAL UNITS SOLD]])</f>
        <v>0</v>
      </c>
      <c r="O201" s="4">
        <f>IF(INVESTORS_LIST[[#This Row],[SIP_TOTAL UNITS BUY]]=0,0,SUMIFS(SIP[Amount],SIP[Investor ID],INVESTORS_LIST[[#This Row],[INVESTOR CODE]],SIP[B/S],"B"))</f>
        <v>0</v>
      </c>
      <c r="P201" s="4">
        <f>IF(INVESTORS_LIST[[#This Row],[SIP_TOTAL UNITS SOLD]]=0,0,SUMIFS(SIP[Cost of Units Sold],SIP[Investor ID],INVESTORS_LIST[[#This Row],[INVESTOR CODE]],SIP[B/S],"S"))</f>
        <v>0</v>
      </c>
      <c r="Q201" s="6">
        <f>IF(INVESTORS_LIST[[#This Row],[SIP_TOTAL CURRENT UNITS]]=0,0,INVESTORS_LIST[[#This Row],[SIP_TOTAL CURRENT UNITS]]*INVESTORS_LIST[[#This Row],[SIP_AVERAGE COST]])</f>
        <v>0</v>
      </c>
      <c r="R201" s="6">
        <f>IF(INVESTORS_LIST[[#This Row],[SIP_TOTAL UNITS SOLD]]=0,0,SUMIFS(SIP[Realized Gain],SIP[Investor ID],INVESTORS_LIST[[#This Row],[INVESTOR CODE]],SIP[B/S],"S"))</f>
        <v>0</v>
      </c>
      <c r="S201" s="33">
        <f>INVESTORS_LIST[[#This Row],[LS_TOTAL UNITS BUY]]+INVESTORS_LIST[[#This Row],[SIP_TOTAL UNITS BUY]]</f>
        <v>0</v>
      </c>
      <c r="T201" s="33">
        <f>INVESTORS_LIST[[#This Row],[LS_TOTAL UNITS SOLD]]+INVESTORS_LIST[[#This Row],[SIP_TOTAL UNITS SOLD]]</f>
        <v>0</v>
      </c>
      <c r="U201" s="33">
        <v>0</v>
      </c>
      <c r="V201" s="33">
        <f>SUMIFS(LS[BO UNIT TRANSFER],LS[Investor ID],INVESTORS_LIST[[#This Row],[INVESTOR CODE]],LS[B/S],"B")</f>
        <v>0</v>
      </c>
      <c r="W201" s="33">
        <f>SUMIFS(LS[BO UNIT TRANSFER],LS[Investor ID],INVESTORS_LIST[[#This Row],[INVESTOR CODE]],LS[B/S],"S")</f>
        <v>0</v>
      </c>
      <c r="X201" s="33">
        <f>SUMIFS(SIP[BO UNIT TRANSFER],SIP[Investor ID],INVESTORS_LIST[[#This Row],[INVESTOR CODE]],SIP[B/S],"S")</f>
        <v>0</v>
      </c>
      <c r="Y201" s="33">
        <f>SUMIFS(SIP[BO UNIT TRANSFER],SIP[Investor ID],INVESTORS_LIST[[#This Row],[INVESTOR CODE]],SIP[B/S],"B")</f>
        <v>0</v>
      </c>
      <c r="Z20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01" s="119">
        <f>INVESTORS_LIST[[#This Row],[TOTAL UNITS BUY]]-INVESTORS_LIST[[#This Row],[TOTAL UNITS SOLD]]</f>
        <v>0</v>
      </c>
      <c r="AB201" s="119">
        <f>INVESTORS_LIST[[#This Row],[TOTAL CURRENT UNITS]]-INVESTORS_LIST[[#This Row],[BO UNITS HOLD]]</f>
        <v>0</v>
      </c>
      <c r="AC201" s="119" t="e">
        <f>INDEX([4]!Table_1[BO ID],MATCH(INVESTORS_LIST[[#This Row],[INVESTOR CODE]],[4]!Table_1[INVESTOR CODE],0))</f>
        <v>#REF!</v>
      </c>
      <c r="AD201" s="33">
        <f>INVESTORS_LIST[[#This Row],[LS_TOTAL COST VALUE OF CURRENT UNITS]]+INVESTORS_LIST[[#This Row],[SIP_TOTAL COST VALUE OF CURRENT UNITS]]</f>
        <v>0</v>
      </c>
      <c r="AE201" s="44">
        <f>IF(INVESTORS_LIST[[#This Row],[TOTAL CURRENT UNITS]]=0,0,INVESTORS_LIST[[#This Row],[LS_TOTAL CURRENT UNITS]]/INVESTORS_LIST[[#This Row],[TOTAL CURRENT UNITS]])</f>
        <v>0</v>
      </c>
      <c r="AF201" s="44">
        <f>IF(INVESTORS_LIST[[#This Row],[TOTAL CURRENT UNITS]]=0,0,INVESTORS_LIST[[#This Row],[SIP_TOTAL CURRENT UNITS]]/INVESTORS_LIST[[#This Row],[TOTAL CURRENT UNITS]])</f>
        <v>0</v>
      </c>
      <c r="AG201" s="4" cm="1">
        <f t="array" ref="AG20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01" s="4" cm="1">
        <f t="array" ref="AH2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0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01" s="178">
        <f t="shared" si="3"/>
        <v>12.552</v>
      </c>
      <c r="AK201" s="118">
        <f>IF(INVESTORS_LIST[[#This Row],[TOTAL CURRENT UNITS]]=0,0,INVESTORS_LIST[[#This Row],[TOTAL CURRENT UNITS]]*INVESTORS_LIST[[#This Row],[NAV]])</f>
        <v>0</v>
      </c>
      <c r="AL201" s="4">
        <f>IF(INVESTORS_LIST[[#This Row],[LS_TOTAL CURRENT UNITS]]=0,0,INVESTORS_LIST[[#This Row],[LS_TOTAL CURRENT UNITS]]*INVESTORS_LIST[[#This Row],[NAV]])</f>
        <v>0</v>
      </c>
      <c r="AM201" s="6">
        <f>IF(INVESTORS_LIST[[#This Row],[SIP_TOTAL CURRENT UNITS]]=0,0,INVESTORS_LIST[[#This Row],[SIP_TOTAL CURRENT UNITS]]*INVESTORS_LIST[[#This Row],[NAV]])</f>
        <v>0</v>
      </c>
      <c r="AO201" s="6">
        <f>IF(INVESTORS_LIST[[#This Row],[TOTAL SELLABLE UNITS]]=0,0,INVESTORS_LIST[[#This Row],[TOTAL SELLABLE UNITS]]*INVESTORS_LIST[[#This Row],[NAV]])</f>
        <v>0</v>
      </c>
      <c r="AP201" s="6">
        <f>INVESTORS_LIST[[#This Row],[LS_TOTAL REALIZED GAIN]]+INVESTORS_LIST[[#This Row],[SIP_TOTAL REALIZED GAIN]]</f>
        <v>0</v>
      </c>
      <c r="AQ201" s="6">
        <f>INVESTORS_LIST[[#This Row],[TOTAL MARKET VALUE]]-INVESTORS_LIST[[#This Row],[TOTAL COST VALUE OF CURRENT INVESTMENT]]</f>
        <v>0</v>
      </c>
      <c r="AR201" s="6">
        <f>SUMIFS(DivAndTax[Tax Amount],DivAndTax[Investor ID],INVESTORS_LIST[[#This Row],[INVESTOR CODE]])</f>
        <v>0</v>
      </c>
      <c r="AS201" s="6">
        <f>SUMIFS(DivAndTax[Gross Dividend],DivAndTax[Investor ID],INVESTORS_LIST[[#This Row],[INVESTOR CODE]])</f>
        <v>0</v>
      </c>
      <c r="AT201" s="5">
        <f>IFERROR(INVESTORS_LIST[[#This Row],[TOTAL CURRENT UNITS]]/SUM(INVESTORS_LIST[TOTAL CURRENT UNITS]),0)</f>
        <v>0</v>
      </c>
    </row>
    <row r="202" spans="1:46" hidden="1">
      <c r="A202" t="s">
        <v>553</v>
      </c>
      <c r="B202" t="s">
        <v>245</v>
      </c>
      <c r="C202" t="s">
        <v>536</v>
      </c>
      <c r="D202" s="8" t="s">
        <v>2</v>
      </c>
      <c r="E202" s="2">
        <f>SUMIFS(LS[Unit],LS[Investor ID],INVESTORS_LIST[[#This Row],[INVESTOR CODE]],LS[B/S],"B")</f>
        <v>0</v>
      </c>
      <c r="F202" s="2">
        <f>-SUMIFS(LS[Unit],LS[Investor ID],INVESTORS_LIST[[#This Row],[INVESTOR CODE]],LS[B/S],"S")</f>
        <v>0</v>
      </c>
      <c r="G202" s="2">
        <f>IF(INVESTORS_LIST[[#This Row],[LS_TOTAL UNITS BUY]]=0,0,INVESTORS_LIST[[#This Row],[LS_TOTAL UNITS BUY]]-INVESTORS_LIST[[#This Row],[LS_TOTAL UNITS SOLD]])</f>
        <v>0</v>
      </c>
      <c r="H202" s="4">
        <f>IF(INVESTORS_LIST[[#This Row],[LS_TOTAL UNITS BUY]]=0,0,SUMIFS(LS[Amount],LS[Investor ID],INVESTORS_LIST[[#This Row],[INVESTOR CODE]],LS[B/S],"B"))</f>
        <v>0</v>
      </c>
      <c r="I202" s="6">
        <f>IF(INVESTORS_LIST[[#This Row],[LS_TOTAL UNITS SOLD]]=0,0,SUMIFS(LS[Cost of Units Sold],LS[Investor ID],INVESTORS_LIST[[#This Row],[INVESTOR CODE]],LS[B/S],"S"))</f>
        <v>0</v>
      </c>
      <c r="J202" s="6">
        <f>IF(INVESTORS_LIST[[#This Row],[LS_TOTAL CURRENT UNITS]]=0,0,INVESTORS_LIST[[#This Row],[LS_TOTAL CURRENT UNITS]]*INVESTORS_LIST[[#This Row],[LS_AVERAGE COST]])</f>
        <v>0</v>
      </c>
      <c r="K202" s="4">
        <f>IF(INVESTORS_LIST[[#This Row],[LS_TOTAL UNITS SOLD]]=0,0,SUMIFS(LS[Realized Gain],LS[Investor ID],INVESTORS_LIST[[#This Row],[INVESTOR CODE]],LS[B/S],"S"))</f>
        <v>0</v>
      </c>
      <c r="L202" s="2">
        <f>SUMIFS(SIP[Unit],SIP[Investor ID],INVESTORS_LIST[[#This Row],[INVESTOR CODE]],SIP[B/S],"B")</f>
        <v>0</v>
      </c>
      <c r="M202" s="2">
        <f>-SUMIFS(SIP[Unit],SIP[Investor ID],INVESTORS_LIST[[#This Row],[INVESTOR CODE]],SIP[B/S],"S")</f>
        <v>0</v>
      </c>
      <c r="N202" s="33">
        <f>IF(INVESTORS_LIST[[#This Row],[SIP_TOTAL UNITS BUY]]=0,0,INVESTORS_LIST[[#This Row],[SIP_TOTAL UNITS BUY]]-INVESTORS_LIST[[#This Row],[SIP_TOTAL UNITS SOLD]])</f>
        <v>0</v>
      </c>
      <c r="O202" s="4">
        <f>IF(INVESTORS_LIST[[#This Row],[SIP_TOTAL UNITS BUY]]=0,0,SUMIFS(SIP[Amount],SIP[Investor ID],INVESTORS_LIST[[#This Row],[INVESTOR CODE]],SIP[B/S],"B"))</f>
        <v>0</v>
      </c>
      <c r="P202" s="4">
        <f>IF(INVESTORS_LIST[[#This Row],[SIP_TOTAL UNITS SOLD]]=0,0,SUMIFS(SIP[Cost of Units Sold],SIP[Investor ID],INVESTORS_LIST[[#This Row],[INVESTOR CODE]],SIP[B/S],"S"))</f>
        <v>0</v>
      </c>
      <c r="Q202" s="6">
        <f>IF(INVESTORS_LIST[[#This Row],[SIP_TOTAL CURRENT UNITS]]=0,0,INVESTORS_LIST[[#This Row],[SIP_TOTAL CURRENT UNITS]]*INVESTORS_LIST[[#This Row],[SIP_AVERAGE COST]])</f>
        <v>0</v>
      </c>
      <c r="R202" s="6">
        <f>IF(INVESTORS_LIST[[#This Row],[SIP_TOTAL UNITS SOLD]]=0,0,SUMIFS(SIP[Realized Gain],SIP[Investor ID],INVESTORS_LIST[[#This Row],[INVESTOR CODE]],SIP[B/S],"S"))</f>
        <v>0</v>
      </c>
      <c r="S202" s="33">
        <f>INVESTORS_LIST[[#This Row],[LS_TOTAL UNITS BUY]]+INVESTORS_LIST[[#This Row],[SIP_TOTAL UNITS BUY]]</f>
        <v>0</v>
      </c>
      <c r="T202" s="33">
        <f>INVESTORS_LIST[[#This Row],[LS_TOTAL UNITS SOLD]]+INVESTORS_LIST[[#This Row],[SIP_TOTAL UNITS SOLD]]</f>
        <v>0</v>
      </c>
      <c r="U202" s="33">
        <v>0</v>
      </c>
      <c r="V202" s="33">
        <f>SUMIFS(LS[BO UNIT TRANSFER],LS[Investor ID],INVESTORS_LIST[[#This Row],[INVESTOR CODE]],LS[B/S],"B")</f>
        <v>0</v>
      </c>
      <c r="W202" s="33">
        <f>SUMIFS(LS[BO UNIT TRANSFER],LS[Investor ID],INVESTORS_LIST[[#This Row],[INVESTOR CODE]],LS[B/S],"S")</f>
        <v>0</v>
      </c>
      <c r="X202" s="33">
        <f>SUMIFS(SIP[BO UNIT TRANSFER],SIP[Investor ID],INVESTORS_LIST[[#This Row],[INVESTOR CODE]],SIP[B/S],"S")</f>
        <v>0</v>
      </c>
      <c r="Y202" s="33">
        <f>SUMIFS(SIP[BO UNIT TRANSFER],SIP[Investor ID],INVESTORS_LIST[[#This Row],[INVESTOR CODE]],SIP[B/S],"B")</f>
        <v>0</v>
      </c>
      <c r="Z20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02" s="119">
        <f>INVESTORS_LIST[[#This Row],[TOTAL UNITS BUY]]-INVESTORS_LIST[[#This Row],[TOTAL UNITS SOLD]]</f>
        <v>0</v>
      </c>
      <c r="AB202" s="119">
        <f>INVESTORS_LIST[[#This Row],[TOTAL CURRENT UNITS]]-INVESTORS_LIST[[#This Row],[BO UNITS HOLD]]</f>
        <v>0</v>
      </c>
      <c r="AC202" s="119" t="e">
        <f>INDEX([4]!Table_1[BO ID],MATCH(INVESTORS_LIST[[#This Row],[INVESTOR CODE]],[4]!Table_1[INVESTOR CODE],0))</f>
        <v>#REF!</v>
      </c>
      <c r="AD202" s="33">
        <f>INVESTORS_LIST[[#This Row],[LS_TOTAL COST VALUE OF CURRENT UNITS]]+INVESTORS_LIST[[#This Row],[SIP_TOTAL COST VALUE OF CURRENT UNITS]]</f>
        <v>0</v>
      </c>
      <c r="AE202" s="44">
        <f>IF(INVESTORS_LIST[[#This Row],[TOTAL CURRENT UNITS]]=0,0,INVESTORS_LIST[[#This Row],[LS_TOTAL CURRENT UNITS]]/INVESTORS_LIST[[#This Row],[TOTAL CURRENT UNITS]])</f>
        <v>0</v>
      </c>
      <c r="AF202" s="44">
        <f>IF(INVESTORS_LIST[[#This Row],[TOTAL CURRENT UNITS]]=0,0,INVESTORS_LIST[[#This Row],[SIP_TOTAL CURRENT UNITS]]/INVESTORS_LIST[[#This Row],[TOTAL CURRENT UNITS]])</f>
        <v>0</v>
      </c>
      <c r="AG202" s="4" cm="1">
        <f t="array" ref="AG20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02" s="4" cm="1">
        <f t="array" ref="AH2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0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02" s="178">
        <f t="shared" si="3"/>
        <v>12.552</v>
      </c>
      <c r="AK202" s="118">
        <f>IF(INVESTORS_LIST[[#This Row],[TOTAL CURRENT UNITS]]=0,0,INVESTORS_LIST[[#This Row],[TOTAL CURRENT UNITS]]*INVESTORS_LIST[[#This Row],[NAV]])</f>
        <v>0</v>
      </c>
      <c r="AL202" s="4">
        <f>IF(INVESTORS_LIST[[#This Row],[LS_TOTAL CURRENT UNITS]]=0,0,INVESTORS_LIST[[#This Row],[LS_TOTAL CURRENT UNITS]]*INVESTORS_LIST[[#This Row],[NAV]])</f>
        <v>0</v>
      </c>
      <c r="AM202" s="6">
        <f>IF(INVESTORS_LIST[[#This Row],[SIP_TOTAL CURRENT UNITS]]=0,0,INVESTORS_LIST[[#This Row],[SIP_TOTAL CURRENT UNITS]]*INVESTORS_LIST[[#This Row],[NAV]])</f>
        <v>0</v>
      </c>
      <c r="AO202" s="6">
        <f>IF(INVESTORS_LIST[[#This Row],[TOTAL SELLABLE UNITS]]=0,0,INVESTORS_LIST[[#This Row],[TOTAL SELLABLE UNITS]]*INVESTORS_LIST[[#This Row],[NAV]])</f>
        <v>0</v>
      </c>
      <c r="AP202" s="6">
        <f>INVESTORS_LIST[[#This Row],[LS_TOTAL REALIZED GAIN]]+INVESTORS_LIST[[#This Row],[SIP_TOTAL REALIZED GAIN]]</f>
        <v>0</v>
      </c>
      <c r="AQ202" s="6">
        <f>INVESTORS_LIST[[#This Row],[TOTAL MARKET VALUE]]-INVESTORS_LIST[[#This Row],[TOTAL COST VALUE OF CURRENT INVESTMENT]]</f>
        <v>0</v>
      </c>
      <c r="AR202" s="6">
        <f>SUMIFS(DivAndTax[Tax Amount],DivAndTax[Investor ID],INVESTORS_LIST[[#This Row],[INVESTOR CODE]])</f>
        <v>0</v>
      </c>
      <c r="AS202" s="6">
        <f>SUMIFS(DivAndTax[Gross Dividend],DivAndTax[Investor ID],INVESTORS_LIST[[#This Row],[INVESTOR CODE]])</f>
        <v>0</v>
      </c>
      <c r="AT202" s="5">
        <f>IFERROR(INVESTORS_LIST[[#This Row],[TOTAL CURRENT UNITS]]/SUM(INVESTORS_LIST[TOTAL CURRENT UNITS]),0)</f>
        <v>0</v>
      </c>
    </row>
    <row r="203" spans="1:46" hidden="1">
      <c r="A203" t="s">
        <v>246</v>
      </c>
      <c r="B203" t="s">
        <v>247</v>
      </c>
      <c r="C203" t="s">
        <v>538</v>
      </c>
      <c r="D203" s="8" t="s">
        <v>2</v>
      </c>
      <c r="E203" s="2">
        <f>SUMIFS(LS[Unit],LS[Investor ID],INVESTORS_LIST[[#This Row],[INVESTOR CODE]],LS[B/S],"B")</f>
        <v>166278</v>
      </c>
      <c r="F203" s="2">
        <f>-SUMIFS(LS[Unit],LS[Investor ID],INVESTORS_LIST[[#This Row],[INVESTOR CODE]],LS[B/S],"S")</f>
        <v>166278</v>
      </c>
      <c r="G203" s="2">
        <f>IF(INVESTORS_LIST[[#This Row],[LS_TOTAL UNITS BUY]]=0,0,INVESTORS_LIST[[#This Row],[LS_TOTAL UNITS BUY]]-INVESTORS_LIST[[#This Row],[LS_TOTAL UNITS SOLD]])</f>
        <v>0</v>
      </c>
      <c r="H203" s="4">
        <f>IF(INVESTORS_LIST[[#This Row],[LS_TOTAL UNITS BUY]]=0,0,SUMIFS(LS[Amount],LS[Investor ID],INVESTORS_LIST[[#This Row],[INVESTOR CODE]],LS[B/S],"B"))</f>
        <v>1634587.99</v>
      </c>
      <c r="I203" s="6">
        <f>IF(INVESTORS_LIST[[#This Row],[LS_TOTAL UNITS SOLD]]=0,0,SUMIFS(LS[Cost of Units Sold],LS[Investor ID],INVESTORS_LIST[[#This Row],[INVESTOR CODE]],LS[B/S],"S"))</f>
        <v>1634587.9900000002</v>
      </c>
      <c r="J203" s="6">
        <f>IF(INVESTORS_LIST[[#This Row],[LS_TOTAL CURRENT UNITS]]=0,0,INVESTORS_LIST[[#This Row],[LS_TOTAL CURRENT UNITS]]*INVESTORS_LIST[[#This Row],[LS_AVERAGE COST]])</f>
        <v>0</v>
      </c>
      <c r="K203" s="4">
        <f>IF(INVESTORS_LIST[[#This Row],[LS_TOTAL UNITS SOLD]]=0,0,SUMIFS(LS[Realized Gain],LS[Investor ID],INVESTORS_LIST[[#This Row],[INVESTOR CODE]],LS[B/S],"S"))</f>
        <v>164539.96999999988</v>
      </c>
      <c r="L203" s="2">
        <f>SUMIFS(SIP[Unit],SIP[Investor ID],INVESTORS_LIST[[#This Row],[INVESTOR CODE]],SIP[B/S],"B")</f>
        <v>0</v>
      </c>
      <c r="M203" s="2">
        <f>-SUMIFS(SIP[Unit],SIP[Investor ID],INVESTORS_LIST[[#This Row],[INVESTOR CODE]],SIP[B/S],"S")</f>
        <v>0</v>
      </c>
      <c r="N203" s="33">
        <f>IF(INVESTORS_LIST[[#This Row],[SIP_TOTAL UNITS BUY]]=0,0,INVESTORS_LIST[[#This Row],[SIP_TOTAL UNITS BUY]]-INVESTORS_LIST[[#This Row],[SIP_TOTAL UNITS SOLD]])</f>
        <v>0</v>
      </c>
      <c r="O203" s="4">
        <f>IF(INVESTORS_LIST[[#This Row],[SIP_TOTAL UNITS BUY]]=0,0,SUMIFS(SIP[Amount],SIP[Investor ID],INVESTORS_LIST[[#This Row],[INVESTOR CODE]],SIP[B/S],"B"))</f>
        <v>0</v>
      </c>
      <c r="P203" s="4">
        <f>IF(INVESTORS_LIST[[#This Row],[SIP_TOTAL UNITS SOLD]]=0,0,SUMIFS(SIP[Cost of Units Sold],SIP[Investor ID],INVESTORS_LIST[[#This Row],[INVESTOR CODE]],SIP[B/S],"S"))</f>
        <v>0</v>
      </c>
      <c r="Q203" s="6">
        <f>IF(INVESTORS_LIST[[#This Row],[SIP_TOTAL CURRENT UNITS]]=0,0,INVESTORS_LIST[[#This Row],[SIP_TOTAL CURRENT UNITS]]*INVESTORS_LIST[[#This Row],[SIP_AVERAGE COST]])</f>
        <v>0</v>
      </c>
      <c r="R203" s="6">
        <f>IF(INVESTORS_LIST[[#This Row],[SIP_TOTAL UNITS SOLD]]=0,0,SUMIFS(SIP[Realized Gain],SIP[Investor ID],INVESTORS_LIST[[#This Row],[INVESTOR CODE]],SIP[B/S],"S"))</f>
        <v>0</v>
      </c>
      <c r="S203" s="33">
        <f>INVESTORS_LIST[[#This Row],[LS_TOTAL UNITS BUY]]+INVESTORS_LIST[[#This Row],[SIP_TOTAL UNITS BUY]]</f>
        <v>166278</v>
      </c>
      <c r="T203" s="33">
        <f>INVESTORS_LIST[[#This Row],[LS_TOTAL UNITS SOLD]]+INVESTORS_LIST[[#This Row],[SIP_TOTAL UNITS SOLD]]</f>
        <v>166278</v>
      </c>
      <c r="U203" s="33">
        <v>0</v>
      </c>
      <c r="V203" s="33">
        <f>SUMIFS(LS[BO UNIT TRANSFER],LS[Investor ID],INVESTORS_LIST[[#This Row],[INVESTOR CODE]],LS[B/S],"B")</f>
        <v>0</v>
      </c>
      <c r="W203" s="33">
        <f>SUMIFS(LS[BO UNIT TRANSFER],LS[Investor ID],INVESTORS_LIST[[#This Row],[INVESTOR CODE]],LS[B/S],"S")</f>
        <v>0</v>
      </c>
      <c r="X203" s="33">
        <f>SUMIFS(SIP[BO UNIT TRANSFER],SIP[Investor ID],INVESTORS_LIST[[#This Row],[INVESTOR CODE]],SIP[B/S],"S")</f>
        <v>0</v>
      </c>
      <c r="Y203" s="33">
        <f>SUMIFS(SIP[BO UNIT TRANSFER],SIP[Investor ID],INVESTORS_LIST[[#This Row],[INVESTOR CODE]],SIP[B/S],"B")</f>
        <v>0</v>
      </c>
      <c r="Z20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03" s="119">
        <f>INVESTORS_LIST[[#This Row],[TOTAL UNITS BUY]]-INVESTORS_LIST[[#This Row],[TOTAL UNITS SOLD]]</f>
        <v>0</v>
      </c>
      <c r="AB203" s="119">
        <f>INVESTORS_LIST[[#This Row],[TOTAL CURRENT UNITS]]-INVESTORS_LIST[[#This Row],[BO UNITS HOLD]]</f>
        <v>0</v>
      </c>
      <c r="AC203" s="119" t="e">
        <f>INDEX([4]!Table_1[BO ID],MATCH(INVESTORS_LIST[[#This Row],[INVESTOR CODE]],[4]!Table_1[INVESTOR CODE],0))</f>
        <v>#REF!</v>
      </c>
      <c r="AD203" s="33">
        <f>INVESTORS_LIST[[#This Row],[LS_TOTAL COST VALUE OF CURRENT UNITS]]+INVESTORS_LIST[[#This Row],[SIP_TOTAL COST VALUE OF CURRENT UNITS]]</f>
        <v>0</v>
      </c>
      <c r="AE203" s="44">
        <f>IF(INVESTORS_LIST[[#This Row],[TOTAL CURRENT UNITS]]=0,0,INVESTORS_LIST[[#This Row],[LS_TOTAL CURRENT UNITS]]/INVESTORS_LIST[[#This Row],[TOTAL CURRENT UNITS]])</f>
        <v>0</v>
      </c>
      <c r="AF203" s="44">
        <f>IF(INVESTORS_LIST[[#This Row],[TOTAL CURRENT UNITS]]=0,0,INVESTORS_LIST[[#This Row],[SIP_TOTAL CURRENT UNITS]]/INVESTORS_LIST[[#This Row],[TOTAL CURRENT UNITS]])</f>
        <v>0</v>
      </c>
      <c r="AG203" s="4" cm="1">
        <f t="array" ref="AG2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03" s="4" cm="1">
        <f t="array" ref="AH20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0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03" s="178">
        <f t="shared" si="3"/>
        <v>12.552</v>
      </c>
      <c r="AK203" s="118">
        <f>IF(INVESTORS_LIST[[#This Row],[TOTAL CURRENT UNITS]]=0,0,INVESTORS_LIST[[#This Row],[TOTAL CURRENT UNITS]]*INVESTORS_LIST[[#This Row],[NAV]])</f>
        <v>0</v>
      </c>
      <c r="AL203" s="4">
        <f>IF(INVESTORS_LIST[[#This Row],[LS_TOTAL CURRENT UNITS]]=0,0,INVESTORS_LIST[[#This Row],[LS_TOTAL CURRENT UNITS]]*INVESTORS_LIST[[#This Row],[NAV]])</f>
        <v>0</v>
      </c>
      <c r="AM203" s="6">
        <f>IF(INVESTORS_LIST[[#This Row],[SIP_TOTAL CURRENT UNITS]]=0,0,INVESTORS_LIST[[#This Row],[SIP_TOTAL CURRENT UNITS]]*INVESTORS_LIST[[#This Row],[NAV]])</f>
        <v>0</v>
      </c>
      <c r="AO203" s="6">
        <f>IF(INVESTORS_LIST[[#This Row],[TOTAL SELLABLE UNITS]]=0,0,INVESTORS_LIST[[#This Row],[TOTAL SELLABLE UNITS]]*INVESTORS_LIST[[#This Row],[NAV]])</f>
        <v>0</v>
      </c>
      <c r="AP203" s="6">
        <f>INVESTORS_LIST[[#This Row],[LS_TOTAL REALIZED GAIN]]+INVESTORS_LIST[[#This Row],[SIP_TOTAL REALIZED GAIN]]</f>
        <v>164539.96999999988</v>
      </c>
      <c r="AQ203" s="6">
        <f>INVESTORS_LIST[[#This Row],[TOTAL MARKET VALUE]]-INVESTORS_LIST[[#This Row],[TOTAL COST VALUE OF CURRENT INVESTMENT]]</f>
        <v>0</v>
      </c>
      <c r="AR203" s="6">
        <f>SUMIFS(DivAndTax[Tax Amount],DivAndTax[Investor ID],INVESTORS_LIST[[#This Row],[INVESTOR CODE]])</f>
        <v>6103.76</v>
      </c>
      <c r="AS203" s="6">
        <f>SUMIFS(DivAndTax[Gross Dividend],DivAndTax[Investor ID],INVESTORS_LIST[[#This Row],[INVESTOR CODE]])</f>
        <v>40691.75</v>
      </c>
      <c r="AT203" s="5">
        <f>IFERROR(INVESTORS_LIST[[#This Row],[TOTAL CURRENT UNITS]]/SUM(INVESTORS_LIST[TOTAL CURRENT UNITS]),0)</f>
        <v>0</v>
      </c>
    </row>
    <row r="204" spans="1:46" hidden="1">
      <c r="A204" t="s">
        <v>248</v>
      </c>
      <c r="B204" t="s">
        <v>249</v>
      </c>
      <c r="C204" t="s">
        <v>536</v>
      </c>
      <c r="D204" s="8" t="s">
        <v>2</v>
      </c>
      <c r="E204" s="2">
        <f>SUMIFS(LS[Unit],LS[Investor ID],INVESTORS_LIST[[#This Row],[INVESTOR CODE]],LS[B/S],"B")</f>
        <v>0</v>
      </c>
      <c r="F204" s="2">
        <f>-SUMIFS(LS[Unit],LS[Investor ID],INVESTORS_LIST[[#This Row],[INVESTOR CODE]],LS[B/S],"S")</f>
        <v>0</v>
      </c>
      <c r="G204" s="2">
        <f>IF(INVESTORS_LIST[[#This Row],[LS_TOTAL UNITS BUY]]=0,0,INVESTORS_LIST[[#This Row],[LS_TOTAL UNITS BUY]]-INVESTORS_LIST[[#This Row],[LS_TOTAL UNITS SOLD]])</f>
        <v>0</v>
      </c>
      <c r="H204" s="4">
        <f>IF(INVESTORS_LIST[[#This Row],[LS_TOTAL UNITS BUY]]=0,0,SUMIFS(LS[Amount],LS[Investor ID],INVESTORS_LIST[[#This Row],[INVESTOR CODE]],LS[B/S],"B"))</f>
        <v>0</v>
      </c>
      <c r="I204" s="6">
        <f>IF(INVESTORS_LIST[[#This Row],[LS_TOTAL UNITS SOLD]]=0,0,SUMIFS(LS[Cost of Units Sold],LS[Investor ID],INVESTORS_LIST[[#This Row],[INVESTOR CODE]],LS[B/S],"S"))</f>
        <v>0</v>
      </c>
      <c r="J204" s="6">
        <f>IF(INVESTORS_LIST[[#This Row],[LS_TOTAL CURRENT UNITS]]=0,0,INVESTORS_LIST[[#This Row],[LS_TOTAL CURRENT UNITS]]*INVESTORS_LIST[[#This Row],[LS_AVERAGE COST]])</f>
        <v>0</v>
      </c>
      <c r="K204" s="4">
        <f>IF(INVESTORS_LIST[[#This Row],[LS_TOTAL UNITS SOLD]]=0,0,SUMIFS(LS[Realized Gain],LS[Investor ID],INVESTORS_LIST[[#This Row],[INVESTOR CODE]],LS[B/S],"S"))</f>
        <v>0</v>
      </c>
      <c r="L204" s="2">
        <f>SUMIFS(SIP[Unit],SIP[Investor ID],INVESTORS_LIST[[#This Row],[INVESTOR CODE]],SIP[B/S],"B")</f>
        <v>0</v>
      </c>
      <c r="M204" s="2">
        <f>-SUMIFS(SIP[Unit],SIP[Investor ID],INVESTORS_LIST[[#This Row],[INVESTOR CODE]],SIP[B/S],"S")</f>
        <v>0</v>
      </c>
      <c r="N204" s="33">
        <f>IF(INVESTORS_LIST[[#This Row],[SIP_TOTAL UNITS BUY]]=0,0,INVESTORS_LIST[[#This Row],[SIP_TOTAL UNITS BUY]]-INVESTORS_LIST[[#This Row],[SIP_TOTAL UNITS SOLD]])</f>
        <v>0</v>
      </c>
      <c r="O204" s="4">
        <f>IF(INVESTORS_LIST[[#This Row],[SIP_TOTAL UNITS BUY]]=0,0,SUMIFS(SIP[Amount],SIP[Investor ID],INVESTORS_LIST[[#This Row],[INVESTOR CODE]],SIP[B/S],"B"))</f>
        <v>0</v>
      </c>
      <c r="P204" s="4">
        <f>IF(INVESTORS_LIST[[#This Row],[SIP_TOTAL UNITS SOLD]]=0,0,SUMIFS(SIP[Cost of Units Sold],SIP[Investor ID],INVESTORS_LIST[[#This Row],[INVESTOR CODE]],SIP[B/S],"S"))</f>
        <v>0</v>
      </c>
      <c r="Q204" s="6">
        <f>IF(INVESTORS_LIST[[#This Row],[SIP_TOTAL CURRENT UNITS]]=0,0,INVESTORS_LIST[[#This Row],[SIP_TOTAL CURRENT UNITS]]*INVESTORS_LIST[[#This Row],[SIP_AVERAGE COST]])</f>
        <v>0</v>
      </c>
      <c r="R204" s="6">
        <f>IF(INVESTORS_LIST[[#This Row],[SIP_TOTAL UNITS SOLD]]=0,0,SUMIFS(SIP[Realized Gain],SIP[Investor ID],INVESTORS_LIST[[#This Row],[INVESTOR CODE]],SIP[B/S],"S"))</f>
        <v>0</v>
      </c>
      <c r="S204" s="33">
        <f>INVESTORS_LIST[[#This Row],[LS_TOTAL UNITS BUY]]+INVESTORS_LIST[[#This Row],[SIP_TOTAL UNITS BUY]]</f>
        <v>0</v>
      </c>
      <c r="T204" s="33">
        <f>INVESTORS_LIST[[#This Row],[LS_TOTAL UNITS SOLD]]+INVESTORS_LIST[[#This Row],[SIP_TOTAL UNITS SOLD]]</f>
        <v>0</v>
      </c>
      <c r="U204" s="33">
        <v>0</v>
      </c>
      <c r="V204" s="33">
        <f>SUMIFS(LS[BO UNIT TRANSFER],LS[Investor ID],INVESTORS_LIST[[#This Row],[INVESTOR CODE]],LS[B/S],"B")</f>
        <v>0</v>
      </c>
      <c r="W204" s="33">
        <f>SUMIFS(LS[BO UNIT TRANSFER],LS[Investor ID],INVESTORS_LIST[[#This Row],[INVESTOR CODE]],LS[B/S],"S")</f>
        <v>0</v>
      </c>
      <c r="X204" s="33">
        <f>SUMIFS(SIP[BO UNIT TRANSFER],SIP[Investor ID],INVESTORS_LIST[[#This Row],[INVESTOR CODE]],SIP[B/S],"S")</f>
        <v>0</v>
      </c>
      <c r="Y204" s="33">
        <f>SUMIFS(SIP[BO UNIT TRANSFER],SIP[Investor ID],INVESTORS_LIST[[#This Row],[INVESTOR CODE]],SIP[B/S],"B")</f>
        <v>0</v>
      </c>
      <c r="Z20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04" s="119">
        <f>INVESTORS_LIST[[#This Row],[TOTAL UNITS BUY]]-INVESTORS_LIST[[#This Row],[TOTAL UNITS SOLD]]</f>
        <v>0</v>
      </c>
      <c r="AB204" s="119">
        <f>INVESTORS_LIST[[#This Row],[TOTAL CURRENT UNITS]]-INVESTORS_LIST[[#This Row],[BO UNITS HOLD]]</f>
        <v>0</v>
      </c>
      <c r="AC204" s="119" t="e">
        <f>INDEX([4]!Table_1[BO ID],MATCH(INVESTORS_LIST[[#This Row],[INVESTOR CODE]],[4]!Table_1[INVESTOR CODE],0))</f>
        <v>#REF!</v>
      </c>
      <c r="AD204" s="33">
        <f>INVESTORS_LIST[[#This Row],[LS_TOTAL COST VALUE OF CURRENT UNITS]]+INVESTORS_LIST[[#This Row],[SIP_TOTAL COST VALUE OF CURRENT UNITS]]</f>
        <v>0</v>
      </c>
      <c r="AE204" s="44">
        <f>IF(INVESTORS_LIST[[#This Row],[TOTAL CURRENT UNITS]]=0,0,INVESTORS_LIST[[#This Row],[LS_TOTAL CURRENT UNITS]]/INVESTORS_LIST[[#This Row],[TOTAL CURRENT UNITS]])</f>
        <v>0</v>
      </c>
      <c r="AF204" s="44">
        <f>IF(INVESTORS_LIST[[#This Row],[TOTAL CURRENT UNITS]]=0,0,INVESTORS_LIST[[#This Row],[SIP_TOTAL CURRENT UNITS]]/INVESTORS_LIST[[#This Row],[TOTAL CURRENT UNITS]])</f>
        <v>0</v>
      </c>
      <c r="AG204" s="4" cm="1">
        <f t="array" ref="AG20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04" s="4" cm="1">
        <f t="array" ref="AH2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0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04" s="178">
        <f t="shared" si="3"/>
        <v>12.552</v>
      </c>
      <c r="AK204" s="118">
        <f>IF(INVESTORS_LIST[[#This Row],[TOTAL CURRENT UNITS]]=0,0,INVESTORS_LIST[[#This Row],[TOTAL CURRENT UNITS]]*INVESTORS_LIST[[#This Row],[NAV]])</f>
        <v>0</v>
      </c>
      <c r="AL204" s="4">
        <f>IF(INVESTORS_LIST[[#This Row],[LS_TOTAL CURRENT UNITS]]=0,0,INVESTORS_LIST[[#This Row],[LS_TOTAL CURRENT UNITS]]*INVESTORS_LIST[[#This Row],[NAV]])</f>
        <v>0</v>
      </c>
      <c r="AM204" s="6">
        <f>IF(INVESTORS_LIST[[#This Row],[SIP_TOTAL CURRENT UNITS]]=0,0,INVESTORS_LIST[[#This Row],[SIP_TOTAL CURRENT UNITS]]*INVESTORS_LIST[[#This Row],[NAV]])</f>
        <v>0</v>
      </c>
      <c r="AO204" s="6">
        <f>IF(INVESTORS_LIST[[#This Row],[TOTAL SELLABLE UNITS]]=0,0,INVESTORS_LIST[[#This Row],[TOTAL SELLABLE UNITS]]*INVESTORS_LIST[[#This Row],[NAV]])</f>
        <v>0</v>
      </c>
      <c r="AP204" s="6">
        <f>INVESTORS_LIST[[#This Row],[LS_TOTAL REALIZED GAIN]]+INVESTORS_LIST[[#This Row],[SIP_TOTAL REALIZED GAIN]]</f>
        <v>0</v>
      </c>
      <c r="AQ204" s="6">
        <f>INVESTORS_LIST[[#This Row],[TOTAL MARKET VALUE]]-INVESTORS_LIST[[#This Row],[TOTAL COST VALUE OF CURRENT INVESTMENT]]</f>
        <v>0</v>
      </c>
      <c r="AR204" s="6">
        <f>SUMIFS(DivAndTax[Tax Amount],DivAndTax[Investor ID],INVESTORS_LIST[[#This Row],[INVESTOR CODE]])</f>
        <v>0</v>
      </c>
      <c r="AS204" s="6">
        <f>SUMIFS(DivAndTax[Gross Dividend],DivAndTax[Investor ID],INVESTORS_LIST[[#This Row],[INVESTOR CODE]])</f>
        <v>0</v>
      </c>
      <c r="AT204" s="5">
        <f>IFERROR(INVESTORS_LIST[[#This Row],[TOTAL CURRENT UNITS]]/SUM(INVESTORS_LIST[TOTAL CURRENT UNITS]),0)</f>
        <v>0</v>
      </c>
    </row>
    <row r="205" spans="1:46" hidden="1">
      <c r="A205" t="s">
        <v>250</v>
      </c>
      <c r="B205" t="s">
        <v>251</v>
      </c>
      <c r="C205" t="s">
        <v>538</v>
      </c>
      <c r="D205" s="8" t="s">
        <v>2</v>
      </c>
      <c r="E205" s="2">
        <f>SUMIFS(LS[Unit],LS[Investor ID],INVESTORS_LIST[[#This Row],[INVESTOR CODE]],LS[B/S],"B")</f>
        <v>0</v>
      </c>
      <c r="F205" s="2">
        <f>-SUMIFS(LS[Unit],LS[Investor ID],INVESTORS_LIST[[#This Row],[INVESTOR CODE]],LS[B/S],"S")</f>
        <v>0</v>
      </c>
      <c r="G205" s="2">
        <f>IF(INVESTORS_LIST[[#This Row],[LS_TOTAL UNITS BUY]]=0,0,INVESTORS_LIST[[#This Row],[LS_TOTAL UNITS BUY]]-INVESTORS_LIST[[#This Row],[LS_TOTAL UNITS SOLD]])</f>
        <v>0</v>
      </c>
      <c r="H205" s="4">
        <f>IF(INVESTORS_LIST[[#This Row],[LS_TOTAL UNITS BUY]]=0,0,SUMIFS(LS[Amount],LS[Investor ID],INVESTORS_LIST[[#This Row],[INVESTOR CODE]],LS[B/S],"B"))</f>
        <v>0</v>
      </c>
      <c r="I205" s="6">
        <f>IF(INVESTORS_LIST[[#This Row],[LS_TOTAL UNITS SOLD]]=0,0,SUMIFS(LS[Cost of Units Sold],LS[Investor ID],INVESTORS_LIST[[#This Row],[INVESTOR CODE]],LS[B/S],"S"))</f>
        <v>0</v>
      </c>
      <c r="J205" s="6">
        <f>IF(INVESTORS_LIST[[#This Row],[LS_TOTAL CURRENT UNITS]]=0,0,INVESTORS_LIST[[#This Row],[LS_TOTAL CURRENT UNITS]]*INVESTORS_LIST[[#This Row],[LS_AVERAGE COST]])</f>
        <v>0</v>
      </c>
      <c r="K205" s="4">
        <f>IF(INVESTORS_LIST[[#This Row],[LS_TOTAL UNITS SOLD]]=0,0,SUMIFS(LS[Realized Gain],LS[Investor ID],INVESTORS_LIST[[#This Row],[INVESTOR CODE]],LS[B/S],"S"))</f>
        <v>0</v>
      </c>
      <c r="L205" s="2">
        <f>SUMIFS(SIP[Unit],SIP[Investor ID],INVESTORS_LIST[[#This Row],[INVESTOR CODE]],SIP[B/S],"B")</f>
        <v>0</v>
      </c>
      <c r="M205" s="2">
        <f>-SUMIFS(SIP[Unit],SIP[Investor ID],INVESTORS_LIST[[#This Row],[INVESTOR CODE]],SIP[B/S],"S")</f>
        <v>0</v>
      </c>
      <c r="N205" s="33">
        <f>IF(INVESTORS_LIST[[#This Row],[SIP_TOTAL UNITS BUY]]=0,0,INVESTORS_LIST[[#This Row],[SIP_TOTAL UNITS BUY]]-INVESTORS_LIST[[#This Row],[SIP_TOTAL UNITS SOLD]])</f>
        <v>0</v>
      </c>
      <c r="O205" s="4">
        <f>IF(INVESTORS_LIST[[#This Row],[SIP_TOTAL UNITS BUY]]=0,0,SUMIFS(SIP[Amount],SIP[Investor ID],INVESTORS_LIST[[#This Row],[INVESTOR CODE]],SIP[B/S],"B"))</f>
        <v>0</v>
      </c>
      <c r="P205" s="4">
        <f>IF(INVESTORS_LIST[[#This Row],[SIP_TOTAL UNITS SOLD]]=0,0,SUMIFS(SIP[Cost of Units Sold],SIP[Investor ID],INVESTORS_LIST[[#This Row],[INVESTOR CODE]],SIP[B/S],"S"))</f>
        <v>0</v>
      </c>
      <c r="Q205" s="6">
        <f>IF(INVESTORS_LIST[[#This Row],[SIP_TOTAL CURRENT UNITS]]=0,0,INVESTORS_LIST[[#This Row],[SIP_TOTAL CURRENT UNITS]]*INVESTORS_LIST[[#This Row],[SIP_AVERAGE COST]])</f>
        <v>0</v>
      </c>
      <c r="R205" s="6">
        <f>IF(INVESTORS_LIST[[#This Row],[SIP_TOTAL UNITS SOLD]]=0,0,SUMIFS(SIP[Realized Gain],SIP[Investor ID],INVESTORS_LIST[[#This Row],[INVESTOR CODE]],SIP[B/S],"S"))</f>
        <v>0</v>
      </c>
      <c r="S205" s="33">
        <f>INVESTORS_LIST[[#This Row],[LS_TOTAL UNITS BUY]]+INVESTORS_LIST[[#This Row],[SIP_TOTAL UNITS BUY]]</f>
        <v>0</v>
      </c>
      <c r="T205" s="33">
        <f>INVESTORS_LIST[[#This Row],[LS_TOTAL UNITS SOLD]]+INVESTORS_LIST[[#This Row],[SIP_TOTAL UNITS SOLD]]</f>
        <v>0</v>
      </c>
      <c r="U205" s="33">
        <v>0</v>
      </c>
      <c r="V205" s="33">
        <f>SUMIFS(LS[BO UNIT TRANSFER],LS[Investor ID],INVESTORS_LIST[[#This Row],[INVESTOR CODE]],LS[B/S],"B")</f>
        <v>0</v>
      </c>
      <c r="W205" s="33">
        <f>SUMIFS(LS[BO UNIT TRANSFER],LS[Investor ID],INVESTORS_LIST[[#This Row],[INVESTOR CODE]],LS[B/S],"S")</f>
        <v>0</v>
      </c>
      <c r="X205" s="33">
        <f>SUMIFS(SIP[BO UNIT TRANSFER],SIP[Investor ID],INVESTORS_LIST[[#This Row],[INVESTOR CODE]],SIP[B/S],"S")</f>
        <v>0</v>
      </c>
      <c r="Y205" s="33">
        <f>SUMIFS(SIP[BO UNIT TRANSFER],SIP[Investor ID],INVESTORS_LIST[[#This Row],[INVESTOR CODE]],SIP[B/S],"B")</f>
        <v>0</v>
      </c>
      <c r="Z20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05" s="119">
        <f>INVESTORS_LIST[[#This Row],[TOTAL UNITS BUY]]-INVESTORS_LIST[[#This Row],[TOTAL UNITS SOLD]]</f>
        <v>0</v>
      </c>
      <c r="AB205" s="119">
        <f>INVESTORS_LIST[[#This Row],[TOTAL CURRENT UNITS]]-INVESTORS_LIST[[#This Row],[BO UNITS HOLD]]</f>
        <v>0</v>
      </c>
      <c r="AC205" s="119" t="e">
        <f>INDEX([4]!Table_1[BO ID],MATCH(INVESTORS_LIST[[#This Row],[INVESTOR CODE]],[4]!Table_1[INVESTOR CODE],0))</f>
        <v>#REF!</v>
      </c>
      <c r="AD205" s="33">
        <f>INVESTORS_LIST[[#This Row],[LS_TOTAL COST VALUE OF CURRENT UNITS]]+INVESTORS_LIST[[#This Row],[SIP_TOTAL COST VALUE OF CURRENT UNITS]]</f>
        <v>0</v>
      </c>
      <c r="AE205" s="44">
        <f>IF(INVESTORS_LIST[[#This Row],[TOTAL CURRENT UNITS]]=0,0,INVESTORS_LIST[[#This Row],[LS_TOTAL CURRENT UNITS]]/INVESTORS_LIST[[#This Row],[TOTAL CURRENT UNITS]])</f>
        <v>0</v>
      </c>
      <c r="AF205" s="44">
        <f>IF(INVESTORS_LIST[[#This Row],[TOTAL CURRENT UNITS]]=0,0,INVESTORS_LIST[[#This Row],[SIP_TOTAL CURRENT UNITS]]/INVESTORS_LIST[[#This Row],[TOTAL CURRENT UNITS]])</f>
        <v>0</v>
      </c>
      <c r="AG205" s="4" cm="1">
        <f t="array" ref="AG20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05" s="4" cm="1">
        <f t="array" ref="AH20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0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05" s="178">
        <f t="shared" si="3"/>
        <v>12.552</v>
      </c>
      <c r="AK205" s="118">
        <f>IF(INVESTORS_LIST[[#This Row],[TOTAL CURRENT UNITS]]=0,0,INVESTORS_LIST[[#This Row],[TOTAL CURRENT UNITS]]*INVESTORS_LIST[[#This Row],[NAV]])</f>
        <v>0</v>
      </c>
      <c r="AL205" s="4">
        <f>IF(INVESTORS_LIST[[#This Row],[LS_TOTAL CURRENT UNITS]]=0,0,INVESTORS_LIST[[#This Row],[LS_TOTAL CURRENT UNITS]]*INVESTORS_LIST[[#This Row],[NAV]])</f>
        <v>0</v>
      </c>
      <c r="AM205" s="6">
        <f>IF(INVESTORS_LIST[[#This Row],[SIP_TOTAL CURRENT UNITS]]=0,0,INVESTORS_LIST[[#This Row],[SIP_TOTAL CURRENT UNITS]]*INVESTORS_LIST[[#This Row],[NAV]])</f>
        <v>0</v>
      </c>
      <c r="AO205" s="6">
        <f>IF(INVESTORS_LIST[[#This Row],[TOTAL SELLABLE UNITS]]=0,0,INVESTORS_LIST[[#This Row],[TOTAL SELLABLE UNITS]]*INVESTORS_LIST[[#This Row],[NAV]])</f>
        <v>0</v>
      </c>
      <c r="AP205" s="6">
        <f>INVESTORS_LIST[[#This Row],[LS_TOTAL REALIZED GAIN]]+INVESTORS_LIST[[#This Row],[SIP_TOTAL REALIZED GAIN]]</f>
        <v>0</v>
      </c>
      <c r="AQ205" s="6">
        <f>INVESTORS_LIST[[#This Row],[TOTAL MARKET VALUE]]-INVESTORS_LIST[[#This Row],[TOTAL COST VALUE OF CURRENT INVESTMENT]]</f>
        <v>0</v>
      </c>
      <c r="AR205" s="6">
        <f>SUMIFS(DivAndTax[Tax Amount],DivAndTax[Investor ID],INVESTORS_LIST[[#This Row],[INVESTOR CODE]])</f>
        <v>0</v>
      </c>
      <c r="AS205" s="6">
        <f>SUMIFS(DivAndTax[Gross Dividend],DivAndTax[Investor ID],INVESTORS_LIST[[#This Row],[INVESTOR CODE]])</f>
        <v>0</v>
      </c>
      <c r="AT205" s="5">
        <f>IFERROR(INVESTORS_LIST[[#This Row],[TOTAL CURRENT UNITS]]/SUM(INVESTORS_LIST[TOTAL CURRENT UNITS]),0)</f>
        <v>0</v>
      </c>
    </row>
    <row r="206" spans="1:46" hidden="1">
      <c r="A206" t="s">
        <v>848</v>
      </c>
      <c r="B206" t="s">
        <v>252</v>
      </c>
      <c r="C206" t="s">
        <v>536</v>
      </c>
      <c r="D206" s="8" t="s">
        <v>2</v>
      </c>
      <c r="E206" s="2">
        <f>SUMIFS(LS[Unit],LS[Investor ID],INVESTORS_LIST[[#This Row],[INVESTOR CODE]],LS[B/S],"B")</f>
        <v>5202</v>
      </c>
      <c r="F206" s="2">
        <f>-SUMIFS(LS[Unit],LS[Investor ID],INVESTORS_LIST[[#This Row],[INVESTOR CODE]],LS[B/S],"S")</f>
        <v>5202</v>
      </c>
      <c r="G206" s="2">
        <f>IF(INVESTORS_LIST[[#This Row],[LS_TOTAL UNITS BUY]]=0,0,INVESTORS_LIST[[#This Row],[LS_TOTAL UNITS BUY]]-INVESTORS_LIST[[#This Row],[LS_TOTAL UNITS SOLD]])</f>
        <v>0</v>
      </c>
      <c r="H206" s="4">
        <f>IF(INVESTORS_LIST[[#This Row],[LS_TOTAL UNITS BUY]]=0,0,SUMIFS(LS[Amount],LS[Investor ID],INVESTORS_LIST[[#This Row],[INVESTOR CODE]],LS[B/S],"B"))</f>
        <v>51082.05</v>
      </c>
      <c r="I206" s="6">
        <f>IF(INVESTORS_LIST[[#This Row],[LS_TOTAL UNITS SOLD]]=0,0,SUMIFS(LS[Cost of Units Sold],LS[Investor ID],INVESTORS_LIST[[#This Row],[INVESTOR CODE]],LS[B/S],"S"))</f>
        <v>51082.049999999996</v>
      </c>
      <c r="J206" s="6">
        <f>IF(INVESTORS_LIST[[#This Row],[LS_TOTAL CURRENT UNITS]]=0,0,INVESTORS_LIST[[#This Row],[LS_TOTAL CURRENT UNITS]]*INVESTORS_LIST[[#This Row],[LS_AVERAGE COST]])</f>
        <v>0</v>
      </c>
      <c r="K206" s="4">
        <f>IF(INVESTORS_LIST[[#This Row],[LS_TOTAL UNITS SOLD]]=0,0,SUMIFS(LS[Realized Gain],LS[Investor ID],INVESTORS_LIST[[#This Row],[INVESTOR CODE]],LS[B/S],"S"))</f>
        <v>4251.619999999999</v>
      </c>
      <c r="L206" s="2">
        <f>SUMIFS(SIP[Unit],SIP[Investor ID],INVESTORS_LIST[[#This Row],[INVESTOR CODE]],SIP[B/S],"B")</f>
        <v>0</v>
      </c>
      <c r="M206" s="2">
        <f>-SUMIFS(SIP[Unit],SIP[Investor ID],INVESTORS_LIST[[#This Row],[INVESTOR CODE]],SIP[B/S],"S")</f>
        <v>0</v>
      </c>
      <c r="N206" s="33">
        <f>IF(INVESTORS_LIST[[#This Row],[SIP_TOTAL UNITS BUY]]=0,0,INVESTORS_LIST[[#This Row],[SIP_TOTAL UNITS BUY]]-INVESTORS_LIST[[#This Row],[SIP_TOTAL UNITS SOLD]])</f>
        <v>0</v>
      </c>
      <c r="O206" s="4">
        <f>IF(INVESTORS_LIST[[#This Row],[SIP_TOTAL UNITS BUY]]=0,0,SUMIFS(SIP[Amount],SIP[Investor ID],INVESTORS_LIST[[#This Row],[INVESTOR CODE]],SIP[B/S],"B"))</f>
        <v>0</v>
      </c>
      <c r="P206" s="4">
        <f>IF(INVESTORS_LIST[[#This Row],[SIP_TOTAL UNITS SOLD]]=0,0,SUMIFS(SIP[Cost of Units Sold],SIP[Investor ID],INVESTORS_LIST[[#This Row],[INVESTOR CODE]],SIP[B/S],"S"))</f>
        <v>0</v>
      </c>
      <c r="Q206" s="6">
        <f>IF(INVESTORS_LIST[[#This Row],[SIP_TOTAL CURRENT UNITS]]=0,0,INVESTORS_LIST[[#This Row],[SIP_TOTAL CURRENT UNITS]]*INVESTORS_LIST[[#This Row],[SIP_AVERAGE COST]])</f>
        <v>0</v>
      </c>
      <c r="R206" s="6">
        <f>IF(INVESTORS_LIST[[#This Row],[SIP_TOTAL UNITS SOLD]]=0,0,SUMIFS(SIP[Realized Gain],SIP[Investor ID],INVESTORS_LIST[[#This Row],[INVESTOR CODE]],SIP[B/S],"S"))</f>
        <v>0</v>
      </c>
      <c r="S206" s="33">
        <f>INVESTORS_LIST[[#This Row],[LS_TOTAL UNITS BUY]]+INVESTORS_LIST[[#This Row],[SIP_TOTAL UNITS BUY]]</f>
        <v>5202</v>
      </c>
      <c r="T206" s="33">
        <f>INVESTORS_LIST[[#This Row],[LS_TOTAL UNITS SOLD]]+INVESTORS_LIST[[#This Row],[SIP_TOTAL UNITS SOLD]]</f>
        <v>5202</v>
      </c>
      <c r="U206" s="33">
        <v>0</v>
      </c>
      <c r="V206" s="33">
        <f>SUMIFS(LS[BO UNIT TRANSFER],LS[Investor ID],INVESTORS_LIST[[#This Row],[INVESTOR CODE]],LS[B/S],"B")</f>
        <v>0</v>
      </c>
      <c r="W206" s="33">
        <f>SUMIFS(LS[BO UNIT TRANSFER],LS[Investor ID],INVESTORS_LIST[[#This Row],[INVESTOR CODE]],LS[B/S],"S")</f>
        <v>0</v>
      </c>
      <c r="X206" s="33">
        <f>SUMIFS(SIP[BO UNIT TRANSFER],SIP[Investor ID],INVESTORS_LIST[[#This Row],[INVESTOR CODE]],SIP[B/S],"S")</f>
        <v>0</v>
      </c>
      <c r="Y206" s="33">
        <f>SUMIFS(SIP[BO UNIT TRANSFER],SIP[Investor ID],INVESTORS_LIST[[#This Row],[INVESTOR CODE]],SIP[B/S],"B")</f>
        <v>0</v>
      </c>
      <c r="Z20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06" s="119">
        <f>INVESTORS_LIST[[#This Row],[TOTAL UNITS BUY]]-INVESTORS_LIST[[#This Row],[TOTAL UNITS SOLD]]</f>
        <v>0</v>
      </c>
      <c r="AB206" s="119">
        <f>INVESTORS_LIST[[#This Row],[TOTAL CURRENT UNITS]]-INVESTORS_LIST[[#This Row],[BO UNITS HOLD]]</f>
        <v>0</v>
      </c>
      <c r="AC206" s="119" t="e">
        <f>INDEX([4]!Table_1[BO ID],MATCH(INVESTORS_LIST[[#This Row],[INVESTOR CODE]],[4]!Table_1[INVESTOR CODE],0))</f>
        <v>#REF!</v>
      </c>
      <c r="AD206" s="33">
        <f>INVESTORS_LIST[[#This Row],[LS_TOTAL COST VALUE OF CURRENT UNITS]]+INVESTORS_LIST[[#This Row],[SIP_TOTAL COST VALUE OF CURRENT UNITS]]</f>
        <v>0</v>
      </c>
      <c r="AE206" s="44">
        <f>IF(INVESTORS_LIST[[#This Row],[TOTAL CURRENT UNITS]]=0,0,INVESTORS_LIST[[#This Row],[LS_TOTAL CURRENT UNITS]]/INVESTORS_LIST[[#This Row],[TOTAL CURRENT UNITS]])</f>
        <v>0</v>
      </c>
      <c r="AF206" s="44">
        <f>IF(INVESTORS_LIST[[#This Row],[TOTAL CURRENT UNITS]]=0,0,INVESTORS_LIST[[#This Row],[SIP_TOTAL CURRENT UNITS]]/INVESTORS_LIST[[#This Row],[TOTAL CURRENT UNITS]])</f>
        <v>0</v>
      </c>
      <c r="AG206" s="4" cm="1">
        <f t="array" ref="AG2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06" s="4" cm="1">
        <f t="array" ref="AH2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0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06" s="178">
        <f t="shared" si="3"/>
        <v>12.552</v>
      </c>
      <c r="AK206" s="118">
        <f>IF(INVESTORS_LIST[[#This Row],[TOTAL CURRENT UNITS]]=0,0,INVESTORS_LIST[[#This Row],[TOTAL CURRENT UNITS]]*INVESTORS_LIST[[#This Row],[NAV]])</f>
        <v>0</v>
      </c>
      <c r="AL206" s="4">
        <f>IF(INVESTORS_LIST[[#This Row],[LS_TOTAL CURRENT UNITS]]=0,0,INVESTORS_LIST[[#This Row],[LS_TOTAL CURRENT UNITS]]*INVESTORS_LIST[[#This Row],[NAV]])</f>
        <v>0</v>
      </c>
      <c r="AM206" s="6">
        <f>IF(INVESTORS_LIST[[#This Row],[SIP_TOTAL CURRENT UNITS]]=0,0,INVESTORS_LIST[[#This Row],[SIP_TOTAL CURRENT UNITS]]*INVESTORS_LIST[[#This Row],[NAV]])</f>
        <v>0</v>
      </c>
      <c r="AO206" s="6">
        <f>IF(INVESTORS_LIST[[#This Row],[TOTAL SELLABLE UNITS]]=0,0,INVESTORS_LIST[[#This Row],[TOTAL SELLABLE UNITS]]*INVESTORS_LIST[[#This Row],[NAV]])</f>
        <v>0</v>
      </c>
      <c r="AP206" s="6">
        <f>INVESTORS_LIST[[#This Row],[LS_TOTAL REALIZED GAIN]]+INVESTORS_LIST[[#This Row],[SIP_TOTAL REALIZED GAIN]]</f>
        <v>4251.619999999999</v>
      </c>
      <c r="AQ206" s="6">
        <f>INVESTORS_LIST[[#This Row],[TOTAL MARKET VALUE]]-INVESTORS_LIST[[#This Row],[TOTAL COST VALUE OF CURRENT INVESTMENT]]</f>
        <v>0</v>
      </c>
      <c r="AR206" s="6">
        <f>SUMIFS(DivAndTax[Tax Amount],DivAndTax[Investor ID],INVESTORS_LIST[[#This Row],[INVESTOR CODE]])</f>
        <v>190.95</v>
      </c>
      <c r="AS206" s="6">
        <f>SUMIFS(DivAndTax[Gross Dividend],DivAndTax[Investor ID],INVESTORS_LIST[[#This Row],[INVESTOR CODE]])</f>
        <v>1273</v>
      </c>
      <c r="AT206" s="5">
        <f>IFERROR(INVESTORS_LIST[[#This Row],[TOTAL CURRENT UNITS]]/SUM(INVESTORS_LIST[TOTAL CURRENT UNITS]),0)</f>
        <v>0</v>
      </c>
    </row>
    <row r="207" spans="1:46" hidden="1">
      <c r="A207" t="s">
        <v>253</v>
      </c>
      <c r="B207" t="s">
        <v>254</v>
      </c>
      <c r="C207" t="s">
        <v>536</v>
      </c>
      <c r="D207" s="8" t="s">
        <v>2</v>
      </c>
      <c r="E207" s="2">
        <f>SUMIFS(LS[Unit],LS[Investor ID],INVESTORS_LIST[[#This Row],[INVESTOR CODE]],LS[B/S],"B")</f>
        <v>0</v>
      </c>
      <c r="F207" s="2">
        <f>-SUMIFS(LS[Unit],LS[Investor ID],INVESTORS_LIST[[#This Row],[INVESTOR CODE]],LS[B/S],"S")</f>
        <v>0</v>
      </c>
      <c r="G207" s="2">
        <f>IF(INVESTORS_LIST[[#This Row],[LS_TOTAL UNITS BUY]]=0,0,INVESTORS_LIST[[#This Row],[LS_TOTAL UNITS BUY]]-INVESTORS_LIST[[#This Row],[LS_TOTAL UNITS SOLD]])</f>
        <v>0</v>
      </c>
      <c r="H207" s="4">
        <f>IF(INVESTORS_LIST[[#This Row],[LS_TOTAL UNITS BUY]]=0,0,SUMIFS(LS[Amount],LS[Investor ID],INVESTORS_LIST[[#This Row],[INVESTOR CODE]],LS[B/S],"B"))</f>
        <v>0</v>
      </c>
      <c r="I207" s="6">
        <f>IF(INVESTORS_LIST[[#This Row],[LS_TOTAL UNITS SOLD]]=0,0,SUMIFS(LS[Cost of Units Sold],LS[Investor ID],INVESTORS_LIST[[#This Row],[INVESTOR CODE]],LS[B/S],"S"))</f>
        <v>0</v>
      </c>
      <c r="J207" s="6">
        <f>IF(INVESTORS_LIST[[#This Row],[LS_TOTAL CURRENT UNITS]]=0,0,INVESTORS_LIST[[#This Row],[LS_TOTAL CURRENT UNITS]]*INVESTORS_LIST[[#This Row],[LS_AVERAGE COST]])</f>
        <v>0</v>
      </c>
      <c r="K207" s="4">
        <f>IF(INVESTORS_LIST[[#This Row],[LS_TOTAL UNITS SOLD]]=0,0,SUMIFS(LS[Realized Gain],LS[Investor ID],INVESTORS_LIST[[#This Row],[INVESTOR CODE]],LS[B/S],"S"))</f>
        <v>0</v>
      </c>
      <c r="L207" s="2">
        <f>SUMIFS(SIP[Unit],SIP[Investor ID],INVESTORS_LIST[[#This Row],[INVESTOR CODE]],SIP[B/S],"B")</f>
        <v>0</v>
      </c>
      <c r="M207" s="2">
        <f>-SUMIFS(SIP[Unit],SIP[Investor ID],INVESTORS_LIST[[#This Row],[INVESTOR CODE]],SIP[B/S],"S")</f>
        <v>0</v>
      </c>
      <c r="N207" s="33">
        <f>IF(INVESTORS_LIST[[#This Row],[SIP_TOTAL UNITS BUY]]=0,0,INVESTORS_LIST[[#This Row],[SIP_TOTAL UNITS BUY]]-INVESTORS_LIST[[#This Row],[SIP_TOTAL UNITS SOLD]])</f>
        <v>0</v>
      </c>
      <c r="O207" s="4">
        <f>IF(INVESTORS_LIST[[#This Row],[SIP_TOTAL UNITS BUY]]=0,0,SUMIFS(SIP[Amount],SIP[Investor ID],INVESTORS_LIST[[#This Row],[INVESTOR CODE]],SIP[B/S],"B"))</f>
        <v>0</v>
      </c>
      <c r="P207" s="4">
        <f>IF(INVESTORS_LIST[[#This Row],[SIP_TOTAL UNITS SOLD]]=0,0,SUMIFS(SIP[Cost of Units Sold],SIP[Investor ID],INVESTORS_LIST[[#This Row],[INVESTOR CODE]],SIP[B/S],"S"))</f>
        <v>0</v>
      </c>
      <c r="Q207" s="6">
        <f>IF(INVESTORS_LIST[[#This Row],[SIP_TOTAL CURRENT UNITS]]=0,0,INVESTORS_LIST[[#This Row],[SIP_TOTAL CURRENT UNITS]]*INVESTORS_LIST[[#This Row],[SIP_AVERAGE COST]])</f>
        <v>0</v>
      </c>
      <c r="R207" s="6">
        <f>IF(INVESTORS_LIST[[#This Row],[SIP_TOTAL UNITS SOLD]]=0,0,SUMIFS(SIP[Realized Gain],SIP[Investor ID],INVESTORS_LIST[[#This Row],[INVESTOR CODE]],SIP[B/S],"S"))</f>
        <v>0</v>
      </c>
      <c r="S207" s="33">
        <f>INVESTORS_LIST[[#This Row],[LS_TOTAL UNITS BUY]]+INVESTORS_LIST[[#This Row],[SIP_TOTAL UNITS BUY]]</f>
        <v>0</v>
      </c>
      <c r="T207" s="33">
        <f>INVESTORS_LIST[[#This Row],[LS_TOTAL UNITS SOLD]]+INVESTORS_LIST[[#This Row],[SIP_TOTAL UNITS SOLD]]</f>
        <v>0</v>
      </c>
      <c r="U207" s="33">
        <v>0</v>
      </c>
      <c r="V207" s="33">
        <f>SUMIFS(LS[BO UNIT TRANSFER],LS[Investor ID],INVESTORS_LIST[[#This Row],[INVESTOR CODE]],LS[B/S],"B")</f>
        <v>0</v>
      </c>
      <c r="W207" s="33">
        <f>SUMIFS(LS[BO UNIT TRANSFER],LS[Investor ID],INVESTORS_LIST[[#This Row],[INVESTOR CODE]],LS[B/S],"S")</f>
        <v>0</v>
      </c>
      <c r="X207" s="33">
        <f>SUMIFS(SIP[BO UNIT TRANSFER],SIP[Investor ID],INVESTORS_LIST[[#This Row],[INVESTOR CODE]],SIP[B/S],"S")</f>
        <v>0</v>
      </c>
      <c r="Y207" s="33">
        <f>SUMIFS(SIP[BO UNIT TRANSFER],SIP[Investor ID],INVESTORS_LIST[[#This Row],[INVESTOR CODE]],SIP[B/S],"B")</f>
        <v>0</v>
      </c>
      <c r="Z20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07" s="119">
        <f>INVESTORS_LIST[[#This Row],[TOTAL UNITS BUY]]-INVESTORS_LIST[[#This Row],[TOTAL UNITS SOLD]]</f>
        <v>0</v>
      </c>
      <c r="AB207" s="119">
        <f>INVESTORS_LIST[[#This Row],[TOTAL CURRENT UNITS]]-INVESTORS_LIST[[#This Row],[BO UNITS HOLD]]</f>
        <v>0</v>
      </c>
      <c r="AC207" s="119" t="e">
        <f>INDEX([4]!Table_1[BO ID],MATCH(INVESTORS_LIST[[#This Row],[INVESTOR CODE]],[4]!Table_1[INVESTOR CODE],0))</f>
        <v>#REF!</v>
      </c>
      <c r="AD207" s="33">
        <f>INVESTORS_LIST[[#This Row],[LS_TOTAL COST VALUE OF CURRENT UNITS]]+INVESTORS_LIST[[#This Row],[SIP_TOTAL COST VALUE OF CURRENT UNITS]]</f>
        <v>0</v>
      </c>
      <c r="AE207" s="44">
        <f>IF(INVESTORS_LIST[[#This Row],[TOTAL CURRENT UNITS]]=0,0,INVESTORS_LIST[[#This Row],[LS_TOTAL CURRENT UNITS]]/INVESTORS_LIST[[#This Row],[TOTAL CURRENT UNITS]])</f>
        <v>0</v>
      </c>
      <c r="AF207" s="44">
        <f>IF(INVESTORS_LIST[[#This Row],[TOTAL CURRENT UNITS]]=0,0,INVESTORS_LIST[[#This Row],[SIP_TOTAL CURRENT UNITS]]/INVESTORS_LIST[[#This Row],[TOTAL CURRENT UNITS]])</f>
        <v>0</v>
      </c>
      <c r="AG207" s="4" cm="1">
        <f t="array" ref="AG20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07" s="4" cm="1">
        <f t="array" ref="AH20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0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07" s="178">
        <f t="shared" si="3"/>
        <v>12.552</v>
      </c>
      <c r="AK207" s="118">
        <f>IF(INVESTORS_LIST[[#This Row],[TOTAL CURRENT UNITS]]=0,0,INVESTORS_LIST[[#This Row],[TOTAL CURRENT UNITS]]*INVESTORS_LIST[[#This Row],[NAV]])</f>
        <v>0</v>
      </c>
      <c r="AL207" s="4">
        <f>IF(INVESTORS_LIST[[#This Row],[LS_TOTAL CURRENT UNITS]]=0,0,INVESTORS_LIST[[#This Row],[LS_TOTAL CURRENT UNITS]]*INVESTORS_LIST[[#This Row],[NAV]])</f>
        <v>0</v>
      </c>
      <c r="AM207" s="6">
        <f>IF(INVESTORS_LIST[[#This Row],[SIP_TOTAL CURRENT UNITS]]=0,0,INVESTORS_LIST[[#This Row],[SIP_TOTAL CURRENT UNITS]]*INVESTORS_LIST[[#This Row],[NAV]])</f>
        <v>0</v>
      </c>
      <c r="AO207" s="6">
        <f>IF(INVESTORS_LIST[[#This Row],[TOTAL SELLABLE UNITS]]=0,0,INVESTORS_LIST[[#This Row],[TOTAL SELLABLE UNITS]]*INVESTORS_LIST[[#This Row],[NAV]])</f>
        <v>0</v>
      </c>
      <c r="AP207" s="6">
        <f>INVESTORS_LIST[[#This Row],[LS_TOTAL REALIZED GAIN]]+INVESTORS_LIST[[#This Row],[SIP_TOTAL REALIZED GAIN]]</f>
        <v>0</v>
      </c>
      <c r="AQ207" s="6">
        <f>INVESTORS_LIST[[#This Row],[TOTAL MARKET VALUE]]-INVESTORS_LIST[[#This Row],[TOTAL COST VALUE OF CURRENT INVESTMENT]]</f>
        <v>0</v>
      </c>
      <c r="AR207" s="6">
        <f>SUMIFS(DivAndTax[Tax Amount],DivAndTax[Investor ID],INVESTORS_LIST[[#This Row],[INVESTOR CODE]])</f>
        <v>0</v>
      </c>
      <c r="AS207" s="6">
        <f>SUMIFS(DivAndTax[Gross Dividend],DivAndTax[Investor ID],INVESTORS_LIST[[#This Row],[INVESTOR CODE]])</f>
        <v>0</v>
      </c>
      <c r="AT207" s="5">
        <f>IFERROR(INVESTORS_LIST[[#This Row],[TOTAL CURRENT UNITS]]/SUM(INVESTORS_LIST[TOTAL CURRENT UNITS]),0)</f>
        <v>0</v>
      </c>
    </row>
    <row r="208" spans="1:46" hidden="1">
      <c r="A208" t="s">
        <v>255</v>
      </c>
      <c r="B208" t="s">
        <v>256</v>
      </c>
      <c r="C208" t="s">
        <v>536</v>
      </c>
      <c r="D208" s="8" t="s">
        <v>2</v>
      </c>
      <c r="E208" s="2">
        <f>SUMIFS(LS[Unit],LS[Investor ID],INVESTORS_LIST[[#This Row],[INVESTOR CODE]],LS[B/S],"B")</f>
        <v>0</v>
      </c>
      <c r="F208" s="2">
        <f>-SUMIFS(LS[Unit],LS[Investor ID],INVESTORS_LIST[[#This Row],[INVESTOR CODE]],LS[B/S],"S")</f>
        <v>0</v>
      </c>
      <c r="G208" s="2">
        <f>IF(INVESTORS_LIST[[#This Row],[LS_TOTAL UNITS BUY]]=0,0,INVESTORS_LIST[[#This Row],[LS_TOTAL UNITS BUY]]-INVESTORS_LIST[[#This Row],[LS_TOTAL UNITS SOLD]])</f>
        <v>0</v>
      </c>
      <c r="H208" s="4">
        <f>IF(INVESTORS_LIST[[#This Row],[LS_TOTAL UNITS BUY]]=0,0,SUMIFS(LS[Amount],LS[Investor ID],INVESTORS_LIST[[#This Row],[INVESTOR CODE]],LS[B/S],"B"))</f>
        <v>0</v>
      </c>
      <c r="I208" s="6">
        <f>IF(INVESTORS_LIST[[#This Row],[LS_TOTAL UNITS SOLD]]=0,0,SUMIFS(LS[Cost of Units Sold],LS[Investor ID],INVESTORS_LIST[[#This Row],[INVESTOR CODE]],LS[B/S],"S"))</f>
        <v>0</v>
      </c>
      <c r="J208" s="6">
        <f>IF(INVESTORS_LIST[[#This Row],[LS_TOTAL CURRENT UNITS]]=0,0,INVESTORS_LIST[[#This Row],[LS_TOTAL CURRENT UNITS]]*INVESTORS_LIST[[#This Row],[LS_AVERAGE COST]])</f>
        <v>0</v>
      </c>
      <c r="K208" s="4">
        <f>IF(INVESTORS_LIST[[#This Row],[LS_TOTAL UNITS SOLD]]=0,0,SUMIFS(LS[Realized Gain],LS[Investor ID],INVESTORS_LIST[[#This Row],[INVESTOR CODE]],LS[B/S],"S"))</f>
        <v>0</v>
      </c>
      <c r="L208" s="2">
        <f>SUMIFS(SIP[Unit],SIP[Investor ID],INVESTORS_LIST[[#This Row],[INVESTOR CODE]],SIP[B/S],"B")</f>
        <v>0</v>
      </c>
      <c r="M208" s="2">
        <f>-SUMIFS(SIP[Unit],SIP[Investor ID],INVESTORS_LIST[[#This Row],[INVESTOR CODE]],SIP[B/S],"S")</f>
        <v>0</v>
      </c>
      <c r="N208" s="33">
        <f>IF(INVESTORS_LIST[[#This Row],[SIP_TOTAL UNITS BUY]]=0,0,INVESTORS_LIST[[#This Row],[SIP_TOTAL UNITS BUY]]-INVESTORS_LIST[[#This Row],[SIP_TOTAL UNITS SOLD]])</f>
        <v>0</v>
      </c>
      <c r="O208" s="4">
        <f>IF(INVESTORS_LIST[[#This Row],[SIP_TOTAL UNITS BUY]]=0,0,SUMIFS(SIP[Amount],SIP[Investor ID],INVESTORS_LIST[[#This Row],[INVESTOR CODE]],SIP[B/S],"B"))</f>
        <v>0</v>
      </c>
      <c r="P208" s="4">
        <f>IF(INVESTORS_LIST[[#This Row],[SIP_TOTAL UNITS SOLD]]=0,0,SUMIFS(SIP[Cost of Units Sold],SIP[Investor ID],INVESTORS_LIST[[#This Row],[INVESTOR CODE]],SIP[B/S],"S"))</f>
        <v>0</v>
      </c>
      <c r="Q208" s="6">
        <f>IF(INVESTORS_LIST[[#This Row],[SIP_TOTAL CURRENT UNITS]]=0,0,INVESTORS_LIST[[#This Row],[SIP_TOTAL CURRENT UNITS]]*INVESTORS_LIST[[#This Row],[SIP_AVERAGE COST]])</f>
        <v>0</v>
      </c>
      <c r="R208" s="6">
        <f>IF(INVESTORS_LIST[[#This Row],[SIP_TOTAL UNITS SOLD]]=0,0,SUMIFS(SIP[Realized Gain],SIP[Investor ID],INVESTORS_LIST[[#This Row],[INVESTOR CODE]],SIP[B/S],"S"))</f>
        <v>0</v>
      </c>
      <c r="S208" s="33">
        <f>INVESTORS_LIST[[#This Row],[LS_TOTAL UNITS BUY]]+INVESTORS_LIST[[#This Row],[SIP_TOTAL UNITS BUY]]</f>
        <v>0</v>
      </c>
      <c r="T208" s="33">
        <f>INVESTORS_LIST[[#This Row],[LS_TOTAL UNITS SOLD]]+INVESTORS_LIST[[#This Row],[SIP_TOTAL UNITS SOLD]]</f>
        <v>0</v>
      </c>
      <c r="U208" s="33">
        <v>0</v>
      </c>
      <c r="V208" s="33">
        <f>SUMIFS(LS[BO UNIT TRANSFER],LS[Investor ID],INVESTORS_LIST[[#This Row],[INVESTOR CODE]],LS[B/S],"B")</f>
        <v>0</v>
      </c>
      <c r="W208" s="33">
        <f>SUMIFS(LS[BO UNIT TRANSFER],LS[Investor ID],INVESTORS_LIST[[#This Row],[INVESTOR CODE]],LS[B/S],"S")</f>
        <v>0</v>
      </c>
      <c r="X208" s="33">
        <f>SUMIFS(SIP[BO UNIT TRANSFER],SIP[Investor ID],INVESTORS_LIST[[#This Row],[INVESTOR CODE]],SIP[B/S],"S")</f>
        <v>0</v>
      </c>
      <c r="Y208" s="33">
        <f>SUMIFS(SIP[BO UNIT TRANSFER],SIP[Investor ID],INVESTORS_LIST[[#This Row],[INVESTOR CODE]],SIP[B/S],"B")</f>
        <v>0</v>
      </c>
      <c r="Z20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08" s="119">
        <f>INVESTORS_LIST[[#This Row],[TOTAL UNITS BUY]]-INVESTORS_LIST[[#This Row],[TOTAL UNITS SOLD]]</f>
        <v>0</v>
      </c>
      <c r="AB208" s="119">
        <f>INVESTORS_LIST[[#This Row],[TOTAL CURRENT UNITS]]-INVESTORS_LIST[[#This Row],[BO UNITS HOLD]]</f>
        <v>0</v>
      </c>
      <c r="AC208" s="119" t="e">
        <f>INDEX([4]!Table_1[BO ID],MATCH(INVESTORS_LIST[[#This Row],[INVESTOR CODE]],[4]!Table_1[INVESTOR CODE],0))</f>
        <v>#REF!</v>
      </c>
      <c r="AD208" s="33">
        <f>INVESTORS_LIST[[#This Row],[LS_TOTAL COST VALUE OF CURRENT UNITS]]+INVESTORS_LIST[[#This Row],[SIP_TOTAL COST VALUE OF CURRENT UNITS]]</f>
        <v>0</v>
      </c>
      <c r="AE208" s="44">
        <f>IF(INVESTORS_LIST[[#This Row],[TOTAL CURRENT UNITS]]=0,0,INVESTORS_LIST[[#This Row],[LS_TOTAL CURRENT UNITS]]/INVESTORS_LIST[[#This Row],[TOTAL CURRENT UNITS]])</f>
        <v>0</v>
      </c>
      <c r="AF208" s="44">
        <f>IF(INVESTORS_LIST[[#This Row],[TOTAL CURRENT UNITS]]=0,0,INVESTORS_LIST[[#This Row],[SIP_TOTAL CURRENT UNITS]]/INVESTORS_LIST[[#This Row],[TOTAL CURRENT UNITS]])</f>
        <v>0</v>
      </c>
      <c r="AG208" s="4" cm="1">
        <f t="array" ref="AG2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08" s="4" cm="1">
        <f t="array" ref="AH20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0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08" s="178">
        <f t="shared" si="3"/>
        <v>12.552</v>
      </c>
      <c r="AK208" s="118">
        <f>IF(INVESTORS_LIST[[#This Row],[TOTAL CURRENT UNITS]]=0,0,INVESTORS_LIST[[#This Row],[TOTAL CURRENT UNITS]]*INVESTORS_LIST[[#This Row],[NAV]])</f>
        <v>0</v>
      </c>
      <c r="AL208" s="4">
        <f>IF(INVESTORS_LIST[[#This Row],[LS_TOTAL CURRENT UNITS]]=0,0,INVESTORS_LIST[[#This Row],[LS_TOTAL CURRENT UNITS]]*INVESTORS_LIST[[#This Row],[NAV]])</f>
        <v>0</v>
      </c>
      <c r="AM208" s="6">
        <f>IF(INVESTORS_LIST[[#This Row],[SIP_TOTAL CURRENT UNITS]]=0,0,INVESTORS_LIST[[#This Row],[SIP_TOTAL CURRENT UNITS]]*INVESTORS_LIST[[#This Row],[NAV]])</f>
        <v>0</v>
      </c>
      <c r="AO208" s="6">
        <f>IF(INVESTORS_LIST[[#This Row],[TOTAL SELLABLE UNITS]]=0,0,INVESTORS_LIST[[#This Row],[TOTAL SELLABLE UNITS]]*INVESTORS_LIST[[#This Row],[NAV]])</f>
        <v>0</v>
      </c>
      <c r="AP208" s="6">
        <f>INVESTORS_LIST[[#This Row],[LS_TOTAL REALIZED GAIN]]+INVESTORS_LIST[[#This Row],[SIP_TOTAL REALIZED GAIN]]</f>
        <v>0</v>
      </c>
      <c r="AQ208" s="6">
        <f>INVESTORS_LIST[[#This Row],[TOTAL MARKET VALUE]]-INVESTORS_LIST[[#This Row],[TOTAL COST VALUE OF CURRENT INVESTMENT]]</f>
        <v>0</v>
      </c>
      <c r="AR208" s="6">
        <f>SUMIFS(DivAndTax[Tax Amount],DivAndTax[Investor ID],INVESTORS_LIST[[#This Row],[INVESTOR CODE]])</f>
        <v>0</v>
      </c>
      <c r="AS208" s="6">
        <f>SUMIFS(DivAndTax[Gross Dividend],DivAndTax[Investor ID],INVESTORS_LIST[[#This Row],[INVESTOR CODE]])</f>
        <v>0</v>
      </c>
      <c r="AT208" s="5">
        <f>IFERROR(INVESTORS_LIST[[#This Row],[TOTAL CURRENT UNITS]]/SUM(INVESTORS_LIST[TOTAL CURRENT UNITS]),0)</f>
        <v>0</v>
      </c>
    </row>
    <row r="209" spans="1:46" hidden="1">
      <c r="A209" t="s">
        <v>257</v>
      </c>
      <c r="B209" t="s">
        <v>258</v>
      </c>
      <c r="C209" t="s">
        <v>536</v>
      </c>
      <c r="D209" s="8" t="s">
        <v>2</v>
      </c>
      <c r="E209" s="2">
        <f>SUMIFS(LS[Unit],LS[Investor ID],INVESTORS_LIST[[#This Row],[INVESTOR CODE]],LS[B/S],"B")</f>
        <v>0</v>
      </c>
      <c r="F209" s="2">
        <f>-SUMIFS(LS[Unit],LS[Investor ID],INVESTORS_LIST[[#This Row],[INVESTOR CODE]],LS[B/S],"S")</f>
        <v>0</v>
      </c>
      <c r="G209" s="2">
        <f>IF(INVESTORS_LIST[[#This Row],[LS_TOTAL UNITS BUY]]=0,0,INVESTORS_LIST[[#This Row],[LS_TOTAL UNITS BUY]]-INVESTORS_LIST[[#This Row],[LS_TOTAL UNITS SOLD]])</f>
        <v>0</v>
      </c>
      <c r="H209" s="4">
        <f>IF(INVESTORS_LIST[[#This Row],[LS_TOTAL UNITS BUY]]=0,0,SUMIFS(LS[Amount],LS[Investor ID],INVESTORS_LIST[[#This Row],[INVESTOR CODE]],LS[B/S],"B"))</f>
        <v>0</v>
      </c>
      <c r="I209" s="6">
        <f>IF(INVESTORS_LIST[[#This Row],[LS_TOTAL UNITS SOLD]]=0,0,SUMIFS(LS[Cost of Units Sold],LS[Investor ID],INVESTORS_LIST[[#This Row],[INVESTOR CODE]],LS[B/S],"S"))</f>
        <v>0</v>
      </c>
      <c r="J209" s="6">
        <f>IF(INVESTORS_LIST[[#This Row],[LS_TOTAL CURRENT UNITS]]=0,0,INVESTORS_LIST[[#This Row],[LS_TOTAL CURRENT UNITS]]*INVESTORS_LIST[[#This Row],[LS_AVERAGE COST]])</f>
        <v>0</v>
      </c>
      <c r="K209" s="4">
        <f>IF(INVESTORS_LIST[[#This Row],[LS_TOTAL UNITS SOLD]]=0,0,SUMIFS(LS[Realized Gain],LS[Investor ID],INVESTORS_LIST[[#This Row],[INVESTOR CODE]],LS[B/S],"S"))</f>
        <v>0</v>
      </c>
      <c r="L209" s="2">
        <f>SUMIFS(SIP[Unit],SIP[Investor ID],INVESTORS_LIST[[#This Row],[INVESTOR CODE]],SIP[B/S],"B")</f>
        <v>0</v>
      </c>
      <c r="M209" s="2">
        <f>-SUMIFS(SIP[Unit],SIP[Investor ID],INVESTORS_LIST[[#This Row],[INVESTOR CODE]],SIP[B/S],"S")</f>
        <v>0</v>
      </c>
      <c r="N209" s="33">
        <f>IF(INVESTORS_LIST[[#This Row],[SIP_TOTAL UNITS BUY]]=0,0,INVESTORS_LIST[[#This Row],[SIP_TOTAL UNITS BUY]]-INVESTORS_LIST[[#This Row],[SIP_TOTAL UNITS SOLD]])</f>
        <v>0</v>
      </c>
      <c r="O209" s="4">
        <f>IF(INVESTORS_LIST[[#This Row],[SIP_TOTAL UNITS BUY]]=0,0,SUMIFS(SIP[Amount],SIP[Investor ID],INVESTORS_LIST[[#This Row],[INVESTOR CODE]],SIP[B/S],"B"))</f>
        <v>0</v>
      </c>
      <c r="P209" s="4">
        <f>IF(INVESTORS_LIST[[#This Row],[SIP_TOTAL UNITS SOLD]]=0,0,SUMIFS(SIP[Cost of Units Sold],SIP[Investor ID],INVESTORS_LIST[[#This Row],[INVESTOR CODE]],SIP[B/S],"S"))</f>
        <v>0</v>
      </c>
      <c r="Q209" s="6">
        <f>IF(INVESTORS_LIST[[#This Row],[SIP_TOTAL CURRENT UNITS]]=0,0,INVESTORS_LIST[[#This Row],[SIP_TOTAL CURRENT UNITS]]*INVESTORS_LIST[[#This Row],[SIP_AVERAGE COST]])</f>
        <v>0</v>
      </c>
      <c r="R209" s="6">
        <f>IF(INVESTORS_LIST[[#This Row],[SIP_TOTAL UNITS SOLD]]=0,0,SUMIFS(SIP[Realized Gain],SIP[Investor ID],INVESTORS_LIST[[#This Row],[INVESTOR CODE]],SIP[B/S],"S"))</f>
        <v>0</v>
      </c>
      <c r="S209" s="33">
        <f>INVESTORS_LIST[[#This Row],[LS_TOTAL UNITS BUY]]+INVESTORS_LIST[[#This Row],[SIP_TOTAL UNITS BUY]]</f>
        <v>0</v>
      </c>
      <c r="T209" s="33">
        <f>INVESTORS_LIST[[#This Row],[LS_TOTAL UNITS SOLD]]+INVESTORS_LIST[[#This Row],[SIP_TOTAL UNITS SOLD]]</f>
        <v>0</v>
      </c>
      <c r="U209" s="33">
        <v>0</v>
      </c>
      <c r="V209" s="33">
        <f>SUMIFS(LS[BO UNIT TRANSFER],LS[Investor ID],INVESTORS_LIST[[#This Row],[INVESTOR CODE]],LS[B/S],"B")</f>
        <v>0</v>
      </c>
      <c r="W209" s="33">
        <f>SUMIFS(LS[BO UNIT TRANSFER],LS[Investor ID],INVESTORS_LIST[[#This Row],[INVESTOR CODE]],LS[B/S],"S")</f>
        <v>0</v>
      </c>
      <c r="X209" s="33">
        <f>SUMIFS(SIP[BO UNIT TRANSFER],SIP[Investor ID],INVESTORS_LIST[[#This Row],[INVESTOR CODE]],SIP[B/S],"S")</f>
        <v>0</v>
      </c>
      <c r="Y209" s="33">
        <f>SUMIFS(SIP[BO UNIT TRANSFER],SIP[Investor ID],INVESTORS_LIST[[#This Row],[INVESTOR CODE]],SIP[B/S],"B")</f>
        <v>0</v>
      </c>
      <c r="Z20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09" s="119">
        <f>INVESTORS_LIST[[#This Row],[TOTAL UNITS BUY]]-INVESTORS_LIST[[#This Row],[TOTAL UNITS SOLD]]</f>
        <v>0</v>
      </c>
      <c r="AB209" s="119">
        <f>INVESTORS_LIST[[#This Row],[TOTAL CURRENT UNITS]]-INVESTORS_LIST[[#This Row],[BO UNITS HOLD]]</f>
        <v>0</v>
      </c>
      <c r="AC209" s="119" t="e">
        <f>INDEX([4]!Table_1[BO ID],MATCH(INVESTORS_LIST[[#This Row],[INVESTOR CODE]],[4]!Table_1[INVESTOR CODE],0))</f>
        <v>#REF!</v>
      </c>
      <c r="AD209" s="33">
        <f>INVESTORS_LIST[[#This Row],[LS_TOTAL COST VALUE OF CURRENT UNITS]]+INVESTORS_LIST[[#This Row],[SIP_TOTAL COST VALUE OF CURRENT UNITS]]</f>
        <v>0</v>
      </c>
      <c r="AE209" s="44">
        <f>IF(INVESTORS_LIST[[#This Row],[TOTAL CURRENT UNITS]]=0,0,INVESTORS_LIST[[#This Row],[LS_TOTAL CURRENT UNITS]]/INVESTORS_LIST[[#This Row],[TOTAL CURRENT UNITS]])</f>
        <v>0</v>
      </c>
      <c r="AF209" s="44">
        <f>IF(INVESTORS_LIST[[#This Row],[TOTAL CURRENT UNITS]]=0,0,INVESTORS_LIST[[#This Row],[SIP_TOTAL CURRENT UNITS]]/INVESTORS_LIST[[#This Row],[TOTAL CURRENT UNITS]])</f>
        <v>0</v>
      </c>
      <c r="AG209" s="4" cm="1">
        <f t="array" ref="AG20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09" s="4" cm="1">
        <f t="array" ref="AH2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0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09" s="178">
        <f t="shared" si="3"/>
        <v>12.552</v>
      </c>
      <c r="AK209" s="118">
        <f>IF(INVESTORS_LIST[[#This Row],[TOTAL CURRENT UNITS]]=0,0,INVESTORS_LIST[[#This Row],[TOTAL CURRENT UNITS]]*INVESTORS_LIST[[#This Row],[NAV]])</f>
        <v>0</v>
      </c>
      <c r="AL209" s="4">
        <f>IF(INVESTORS_LIST[[#This Row],[LS_TOTAL CURRENT UNITS]]=0,0,INVESTORS_LIST[[#This Row],[LS_TOTAL CURRENT UNITS]]*INVESTORS_LIST[[#This Row],[NAV]])</f>
        <v>0</v>
      </c>
      <c r="AM209" s="6">
        <f>IF(INVESTORS_LIST[[#This Row],[SIP_TOTAL CURRENT UNITS]]=0,0,INVESTORS_LIST[[#This Row],[SIP_TOTAL CURRENT UNITS]]*INVESTORS_LIST[[#This Row],[NAV]])</f>
        <v>0</v>
      </c>
      <c r="AO209" s="6">
        <f>IF(INVESTORS_LIST[[#This Row],[TOTAL SELLABLE UNITS]]=0,0,INVESTORS_LIST[[#This Row],[TOTAL SELLABLE UNITS]]*INVESTORS_LIST[[#This Row],[NAV]])</f>
        <v>0</v>
      </c>
      <c r="AP209" s="6">
        <f>INVESTORS_LIST[[#This Row],[LS_TOTAL REALIZED GAIN]]+INVESTORS_LIST[[#This Row],[SIP_TOTAL REALIZED GAIN]]</f>
        <v>0</v>
      </c>
      <c r="AQ209" s="6">
        <f>INVESTORS_LIST[[#This Row],[TOTAL MARKET VALUE]]-INVESTORS_LIST[[#This Row],[TOTAL COST VALUE OF CURRENT INVESTMENT]]</f>
        <v>0</v>
      </c>
      <c r="AR209" s="6">
        <f>SUMIFS(DivAndTax[Tax Amount],DivAndTax[Investor ID],INVESTORS_LIST[[#This Row],[INVESTOR CODE]])</f>
        <v>0</v>
      </c>
      <c r="AS209" s="6">
        <f>SUMIFS(DivAndTax[Gross Dividend],DivAndTax[Investor ID],INVESTORS_LIST[[#This Row],[INVESTOR CODE]])</f>
        <v>0</v>
      </c>
      <c r="AT209" s="5">
        <f>IFERROR(INVESTORS_LIST[[#This Row],[TOTAL CURRENT UNITS]]/SUM(INVESTORS_LIST[TOTAL CURRENT UNITS]),0)</f>
        <v>0</v>
      </c>
    </row>
    <row r="210" spans="1:46" hidden="1">
      <c r="A210" t="s">
        <v>259</v>
      </c>
      <c r="B210" t="s">
        <v>260</v>
      </c>
      <c r="C210" t="s">
        <v>537</v>
      </c>
      <c r="D210" s="8" t="s">
        <v>2</v>
      </c>
      <c r="E210" s="2">
        <f>SUMIFS(LS[Unit],LS[Investor ID],INVESTORS_LIST[[#This Row],[INVESTOR CODE]],LS[B/S],"B")</f>
        <v>299069</v>
      </c>
      <c r="F210" s="2">
        <f>-SUMIFS(LS[Unit],LS[Investor ID],INVESTORS_LIST[[#This Row],[INVESTOR CODE]],LS[B/S],"S")</f>
        <v>299069</v>
      </c>
      <c r="G210" s="2">
        <f>IF(INVESTORS_LIST[[#This Row],[LS_TOTAL UNITS BUY]]=0,0,INVESTORS_LIST[[#This Row],[LS_TOTAL UNITS BUY]]-INVESTORS_LIST[[#This Row],[LS_TOTAL UNITS SOLD]])</f>
        <v>0</v>
      </c>
      <c r="H210" s="4">
        <f>IF(INVESTORS_LIST[[#This Row],[LS_TOTAL UNITS BUY]]=0,0,SUMIFS(LS[Amount],LS[Investor ID],INVESTORS_LIST[[#This Row],[INVESTOR CODE]],LS[B/S],"B"))</f>
        <v>3000000</v>
      </c>
      <c r="I210" s="6">
        <f>IF(INVESTORS_LIST[[#This Row],[LS_TOTAL UNITS SOLD]]=0,0,SUMIFS(LS[Cost of Units Sold],LS[Investor ID],INVESTORS_LIST[[#This Row],[INVESTOR CODE]],LS[B/S],"S"))</f>
        <v>3000000</v>
      </c>
      <c r="J210" s="6">
        <f>IF(INVESTORS_LIST[[#This Row],[LS_TOTAL CURRENT UNITS]]=0,0,INVESTORS_LIST[[#This Row],[LS_TOTAL CURRENT UNITS]]*INVESTORS_LIST[[#This Row],[LS_AVERAGE COST]])</f>
        <v>0</v>
      </c>
      <c r="K210" s="4">
        <f>IF(INVESTORS_LIST[[#This Row],[LS_TOTAL UNITS SOLD]]=0,0,SUMIFS(LS[Realized Gain],LS[Investor ID],INVESTORS_LIST[[#This Row],[INVESTOR CODE]],LS[B/S],"S"))</f>
        <v>63509.950000000026</v>
      </c>
      <c r="L210" s="2">
        <f>SUMIFS(SIP[Unit],SIP[Investor ID],INVESTORS_LIST[[#This Row],[INVESTOR CODE]],SIP[B/S],"B")</f>
        <v>0</v>
      </c>
      <c r="M210" s="2">
        <f>-SUMIFS(SIP[Unit],SIP[Investor ID],INVESTORS_LIST[[#This Row],[INVESTOR CODE]],SIP[B/S],"S")</f>
        <v>0</v>
      </c>
      <c r="N210" s="33">
        <f>IF(INVESTORS_LIST[[#This Row],[SIP_TOTAL UNITS BUY]]=0,0,INVESTORS_LIST[[#This Row],[SIP_TOTAL UNITS BUY]]-INVESTORS_LIST[[#This Row],[SIP_TOTAL UNITS SOLD]])</f>
        <v>0</v>
      </c>
      <c r="O210" s="4">
        <f>IF(INVESTORS_LIST[[#This Row],[SIP_TOTAL UNITS BUY]]=0,0,SUMIFS(SIP[Amount],SIP[Investor ID],INVESTORS_LIST[[#This Row],[INVESTOR CODE]],SIP[B/S],"B"))</f>
        <v>0</v>
      </c>
      <c r="P210" s="4">
        <f>IF(INVESTORS_LIST[[#This Row],[SIP_TOTAL UNITS SOLD]]=0,0,SUMIFS(SIP[Cost of Units Sold],SIP[Investor ID],INVESTORS_LIST[[#This Row],[INVESTOR CODE]],SIP[B/S],"S"))</f>
        <v>0</v>
      </c>
      <c r="Q210" s="6">
        <f>IF(INVESTORS_LIST[[#This Row],[SIP_TOTAL CURRENT UNITS]]=0,0,INVESTORS_LIST[[#This Row],[SIP_TOTAL CURRENT UNITS]]*INVESTORS_LIST[[#This Row],[SIP_AVERAGE COST]])</f>
        <v>0</v>
      </c>
      <c r="R210" s="6">
        <f>IF(INVESTORS_LIST[[#This Row],[SIP_TOTAL UNITS SOLD]]=0,0,SUMIFS(SIP[Realized Gain],SIP[Investor ID],INVESTORS_LIST[[#This Row],[INVESTOR CODE]],SIP[B/S],"S"))</f>
        <v>0</v>
      </c>
      <c r="S210" s="33">
        <f>INVESTORS_LIST[[#This Row],[LS_TOTAL UNITS BUY]]+INVESTORS_LIST[[#This Row],[SIP_TOTAL UNITS BUY]]</f>
        <v>299069</v>
      </c>
      <c r="T210" s="33">
        <f>INVESTORS_LIST[[#This Row],[LS_TOTAL UNITS SOLD]]+INVESTORS_LIST[[#This Row],[SIP_TOTAL UNITS SOLD]]</f>
        <v>299069</v>
      </c>
      <c r="U210" s="33">
        <v>0</v>
      </c>
      <c r="V210" s="33">
        <f>SUMIFS(LS[BO UNIT TRANSFER],LS[Investor ID],INVESTORS_LIST[[#This Row],[INVESTOR CODE]],LS[B/S],"B")</f>
        <v>0</v>
      </c>
      <c r="W210" s="33">
        <f>SUMIFS(LS[BO UNIT TRANSFER],LS[Investor ID],INVESTORS_LIST[[#This Row],[INVESTOR CODE]],LS[B/S],"S")</f>
        <v>0</v>
      </c>
      <c r="X210" s="33">
        <f>SUMIFS(SIP[BO UNIT TRANSFER],SIP[Investor ID],INVESTORS_LIST[[#This Row],[INVESTOR CODE]],SIP[B/S],"S")</f>
        <v>0</v>
      </c>
      <c r="Y210" s="33">
        <f>SUMIFS(SIP[BO UNIT TRANSFER],SIP[Investor ID],INVESTORS_LIST[[#This Row],[INVESTOR CODE]],SIP[B/S],"B")</f>
        <v>0</v>
      </c>
      <c r="Z21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10" s="119">
        <f>INVESTORS_LIST[[#This Row],[TOTAL UNITS BUY]]-INVESTORS_LIST[[#This Row],[TOTAL UNITS SOLD]]</f>
        <v>0</v>
      </c>
      <c r="AB210" s="119">
        <f>INVESTORS_LIST[[#This Row],[TOTAL CURRENT UNITS]]-INVESTORS_LIST[[#This Row],[BO UNITS HOLD]]</f>
        <v>0</v>
      </c>
      <c r="AC210" s="119" t="e">
        <f>INDEX([4]!Table_1[BO ID],MATCH(INVESTORS_LIST[[#This Row],[INVESTOR CODE]],[4]!Table_1[INVESTOR CODE],0))</f>
        <v>#REF!</v>
      </c>
      <c r="AD210" s="33">
        <f>INVESTORS_LIST[[#This Row],[LS_TOTAL COST VALUE OF CURRENT UNITS]]+INVESTORS_LIST[[#This Row],[SIP_TOTAL COST VALUE OF CURRENT UNITS]]</f>
        <v>0</v>
      </c>
      <c r="AE210" s="44">
        <f>IF(INVESTORS_LIST[[#This Row],[TOTAL CURRENT UNITS]]=0,0,INVESTORS_LIST[[#This Row],[LS_TOTAL CURRENT UNITS]]/INVESTORS_LIST[[#This Row],[TOTAL CURRENT UNITS]])</f>
        <v>0</v>
      </c>
      <c r="AF210" s="44">
        <f>IF(INVESTORS_LIST[[#This Row],[TOTAL CURRENT UNITS]]=0,0,INVESTORS_LIST[[#This Row],[SIP_TOTAL CURRENT UNITS]]/INVESTORS_LIST[[#This Row],[TOTAL CURRENT UNITS]])</f>
        <v>0</v>
      </c>
      <c r="AG210" s="4" cm="1">
        <f t="array" ref="AG2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10" s="4" cm="1">
        <f t="array" ref="AH2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1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10" s="178">
        <f t="shared" si="3"/>
        <v>12.552</v>
      </c>
      <c r="AK210" s="118">
        <f>IF(INVESTORS_LIST[[#This Row],[TOTAL CURRENT UNITS]]=0,0,INVESTORS_LIST[[#This Row],[TOTAL CURRENT UNITS]]*INVESTORS_LIST[[#This Row],[NAV]])</f>
        <v>0</v>
      </c>
      <c r="AL210" s="4">
        <f>IF(INVESTORS_LIST[[#This Row],[LS_TOTAL CURRENT UNITS]]=0,0,INVESTORS_LIST[[#This Row],[LS_TOTAL CURRENT UNITS]]*INVESTORS_LIST[[#This Row],[NAV]])</f>
        <v>0</v>
      </c>
      <c r="AM210" s="6">
        <f>IF(INVESTORS_LIST[[#This Row],[SIP_TOTAL CURRENT UNITS]]=0,0,INVESTORS_LIST[[#This Row],[SIP_TOTAL CURRENT UNITS]]*INVESTORS_LIST[[#This Row],[NAV]])</f>
        <v>0</v>
      </c>
      <c r="AO210" s="6">
        <f>IF(INVESTORS_LIST[[#This Row],[TOTAL SELLABLE UNITS]]=0,0,INVESTORS_LIST[[#This Row],[TOTAL SELLABLE UNITS]]*INVESTORS_LIST[[#This Row],[NAV]])</f>
        <v>0</v>
      </c>
      <c r="AP210" s="6">
        <f>INVESTORS_LIST[[#This Row],[LS_TOTAL REALIZED GAIN]]+INVESTORS_LIST[[#This Row],[SIP_TOTAL REALIZED GAIN]]</f>
        <v>63509.950000000026</v>
      </c>
      <c r="AQ210" s="6">
        <f>INVESTORS_LIST[[#This Row],[TOTAL MARKET VALUE]]-INVESTORS_LIST[[#This Row],[TOTAL COST VALUE OF CURRENT INVESTMENT]]</f>
        <v>0</v>
      </c>
      <c r="AR210" s="6">
        <f>SUMIFS(DivAndTax[Tax Amount],DivAndTax[Investor ID],INVESTORS_LIST[[#This Row],[INVESTOR CODE]])</f>
        <v>7569.83</v>
      </c>
      <c r="AS210" s="6">
        <f>SUMIFS(DivAndTax[Gross Dividend],DivAndTax[Investor ID],INVESTORS_LIST[[#This Row],[INVESTOR CODE]])</f>
        <v>75698.25</v>
      </c>
      <c r="AT210" s="5">
        <f>IFERROR(INVESTORS_LIST[[#This Row],[TOTAL CURRENT UNITS]]/SUM(INVESTORS_LIST[TOTAL CURRENT UNITS]),0)</f>
        <v>0</v>
      </c>
    </row>
    <row r="211" spans="1:46" hidden="1">
      <c r="A211" t="s">
        <v>261</v>
      </c>
      <c r="B211" t="s">
        <v>262</v>
      </c>
      <c r="C211" t="s">
        <v>536</v>
      </c>
      <c r="D211" s="8" t="s">
        <v>2</v>
      </c>
      <c r="E211" s="2">
        <f>SUMIFS(LS[Unit],LS[Investor ID],INVESTORS_LIST[[#This Row],[INVESTOR CODE]],LS[B/S],"B")</f>
        <v>0</v>
      </c>
      <c r="F211" s="2">
        <f>-SUMIFS(LS[Unit],LS[Investor ID],INVESTORS_LIST[[#This Row],[INVESTOR CODE]],LS[B/S],"S")</f>
        <v>0</v>
      </c>
      <c r="G211" s="2">
        <f>IF(INVESTORS_LIST[[#This Row],[LS_TOTAL UNITS BUY]]=0,0,INVESTORS_LIST[[#This Row],[LS_TOTAL UNITS BUY]]-INVESTORS_LIST[[#This Row],[LS_TOTAL UNITS SOLD]])</f>
        <v>0</v>
      </c>
      <c r="H211" s="4">
        <f>IF(INVESTORS_LIST[[#This Row],[LS_TOTAL UNITS BUY]]=0,0,SUMIFS(LS[Amount],LS[Investor ID],INVESTORS_LIST[[#This Row],[INVESTOR CODE]],LS[B/S],"B"))</f>
        <v>0</v>
      </c>
      <c r="I211" s="6">
        <f>IF(INVESTORS_LIST[[#This Row],[LS_TOTAL UNITS SOLD]]=0,0,SUMIFS(LS[Cost of Units Sold],LS[Investor ID],INVESTORS_LIST[[#This Row],[INVESTOR CODE]],LS[B/S],"S"))</f>
        <v>0</v>
      </c>
      <c r="J211" s="6">
        <f>IF(INVESTORS_LIST[[#This Row],[LS_TOTAL CURRENT UNITS]]=0,0,INVESTORS_LIST[[#This Row],[LS_TOTAL CURRENT UNITS]]*INVESTORS_LIST[[#This Row],[LS_AVERAGE COST]])</f>
        <v>0</v>
      </c>
      <c r="K211" s="4">
        <f>IF(INVESTORS_LIST[[#This Row],[LS_TOTAL UNITS SOLD]]=0,0,SUMIFS(LS[Realized Gain],LS[Investor ID],INVESTORS_LIST[[#This Row],[INVESTOR CODE]],LS[B/S],"S"))</f>
        <v>0</v>
      </c>
      <c r="L211" s="2">
        <f>SUMIFS(SIP[Unit],SIP[Investor ID],INVESTORS_LIST[[#This Row],[INVESTOR CODE]],SIP[B/S],"B")</f>
        <v>0</v>
      </c>
      <c r="M211" s="2">
        <f>-SUMIFS(SIP[Unit],SIP[Investor ID],INVESTORS_LIST[[#This Row],[INVESTOR CODE]],SIP[B/S],"S")</f>
        <v>0</v>
      </c>
      <c r="N211" s="33">
        <f>IF(INVESTORS_LIST[[#This Row],[SIP_TOTAL UNITS BUY]]=0,0,INVESTORS_LIST[[#This Row],[SIP_TOTAL UNITS BUY]]-INVESTORS_LIST[[#This Row],[SIP_TOTAL UNITS SOLD]])</f>
        <v>0</v>
      </c>
      <c r="O211" s="4">
        <f>IF(INVESTORS_LIST[[#This Row],[SIP_TOTAL UNITS BUY]]=0,0,SUMIFS(SIP[Amount],SIP[Investor ID],INVESTORS_LIST[[#This Row],[INVESTOR CODE]],SIP[B/S],"B"))</f>
        <v>0</v>
      </c>
      <c r="P211" s="4">
        <f>IF(INVESTORS_LIST[[#This Row],[SIP_TOTAL UNITS SOLD]]=0,0,SUMIFS(SIP[Cost of Units Sold],SIP[Investor ID],INVESTORS_LIST[[#This Row],[INVESTOR CODE]],SIP[B/S],"S"))</f>
        <v>0</v>
      </c>
      <c r="Q211" s="6">
        <f>IF(INVESTORS_LIST[[#This Row],[SIP_TOTAL CURRENT UNITS]]=0,0,INVESTORS_LIST[[#This Row],[SIP_TOTAL CURRENT UNITS]]*INVESTORS_LIST[[#This Row],[SIP_AVERAGE COST]])</f>
        <v>0</v>
      </c>
      <c r="R211" s="6">
        <f>IF(INVESTORS_LIST[[#This Row],[SIP_TOTAL UNITS SOLD]]=0,0,SUMIFS(SIP[Realized Gain],SIP[Investor ID],INVESTORS_LIST[[#This Row],[INVESTOR CODE]],SIP[B/S],"S"))</f>
        <v>0</v>
      </c>
      <c r="S211" s="33">
        <f>INVESTORS_LIST[[#This Row],[LS_TOTAL UNITS BUY]]+INVESTORS_LIST[[#This Row],[SIP_TOTAL UNITS BUY]]</f>
        <v>0</v>
      </c>
      <c r="T211" s="33">
        <f>INVESTORS_LIST[[#This Row],[LS_TOTAL UNITS SOLD]]+INVESTORS_LIST[[#This Row],[SIP_TOTAL UNITS SOLD]]</f>
        <v>0</v>
      </c>
      <c r="U211" s="33">
        <v>0</v>
      </c>
      <c r="V211" s="33">
        <f>SUMIFS(LS[BO UNIT TRANSFER],LS[Investor ID],INVESTORS_LIST[[#This Row],[INVESTOR CODE]],LS[B/S],"B")</f>
        <v>0</v>
      </c>
      <c r="W211" s="33">
        <f>SUMIFS(LS[BO UNIT TRANSFER],LS[Investor ID],INVESTORS_LIST[[#This Row],[INVESTOR CODE]],LS[B/S],"S")</f>
        <v>0</v>
      </c>
      <c r="X211" s="33">
        <f>SUMIFS(SIP[BO UNIT TRANSFER],SIP[Investor ID],INVESTORS_LIST[[#This Row],[INVESTOR CODE]],SIP[B/S],"S")</f>
        <v>0</v>
      </c>
      <c r="Y211" s="33">
        <f>SUMIFS(SIP[BO UNIT TRANSFER],SIP[Investor ID],INVESTORS_LIST[[#This Row],[INVESTOR CODE]],SIP[B/S],"B")</f>
        <v>0</v>
      </c>
      <c r="Z21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11" s="119">
        <f>INVESTORS_LIST[[#This Row],[TOTAL UNITS BUY]]-INVESTORS_LIST[[#This Row],[TOTAL UNITS SOLD]]</f>
        <v>0</v>
      </c>
      <c r="AB211" s="119">
        <f>INVESTORS_LIST[[#This Row],[TOTAL CURRENT UNITS]]-INVESTORS_LIST[[#This Row],[BO UNITS HOLD]]</f>
        <v>0</v>
      </c>
      <c r="AC211" s="119" t="e">
        <f>INDEX([4]!Table_1[BO ID],MATCH(INVESTORS_LIST[[#This Row],[INVESTOR CODE]],[4]!Table_1[INVESTOR CODE],0))</f>
        <v>#REF!</v>
      </c>
      <c r="AD211" s="33">
        <f>INVESTORS_LIST[[#This Row],[LS_TOTAL COST VALUE OF CURRENT UNITS]]+INVESTORS_LIST[[#This Row],[SIP_TOTAL COST VALUE OF CURRENT UNITS]]</f>
        <v>0</v>
      </c>
      <c r="AE211" s="44">
        <f>IF(INVESTORS_LIST[[#This Row],[TOTAL CURRENT UNITS]]=0,0,INVESTORS_LIST[[#This Row],[LS_TOTAL CURRENT UNITS]]/INVESTORS_LIST[[#This Row],[TOTAL CURRENT UNITS]])</f>
        <v>0</v>
      </c>
      <c r="AF211" s="44">
        <f>IF(INVESTORS_LIST[[#This Row],[TOTAL CURRENT UNITS]]=0,0,INVESTORS_LIST[[#This Row],[SIP_TOTAL CURRENT UNITS]]/INVESTORS_LIST[[#This Row],[TOTAL CURRENT UNITS]])</f>
        <v>0</v>
      </c>
      <c r="AG211" s="4" cm="1">
        <f t="array" ref="AG2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11" s="4" cm="1">
        <f t="array" ref="AH2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1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11" s="178">
        <f t="shared" si="3"/>
        <v>12.552</v>
      </c>
      <c r="AK211" s="118">
        <f>IF(INVESTORS_LIST[[#This Row],[TOTAL CURRENT UNITS]]=0,0,INVESTORS_LIST[[#This Row],[TOTAL CURRENT UNITS]]*INVESTORS_LIST[[#This Row],[NAV]])</f>
        <v>0</v>
      </c>
      <c r="AL211" s="4">
        <f>IF(INVESTORS_LIST[[#This Row],[LS_TOTAL CURRENT UNITS]]=0,0,INVESTORS_LIST[[#This Row],[LS_TOTAL CURRENT UNITS]]*INVESTORS_LIST[[#This Row],[NAV]])</f>
        <v>0</v>
      </c>
      <c r="AM211" s="6">
        <f>IF(INVESTORS_LIST[[#This Row],[SIP_TOTAL CURRENT UNITS]]=0,0,INVESTORS_LIST[[#This Row],[SIP_TOTAL CURRENT UNITS]]*INVESTORS_LIST[[#This Row],[NAV]])</f>
        <v>0</v>
      </c>
      <c r="AO211" s="6">
        <f>IF(INVESTORS_LIST[[#This Row],[TOTAL SELLABLE UNITS]]=0,0,INVESTORS_LIST[[#This Row],[TOTAL SELLABLE UNITS]]*INVESTORS_LIST[[#This Row],[NAV]])</f>
        <v>0</v>
      </c>
      <c r="AP211" s="6">
        <f>INVESTORS_LIST[[#This Row],[LS_TOTAL REALIZED GAIN]]+INVESTORS_LIST[[#This Row],[SIP_TOTAL REALIZED GAIN]]</f>
        <v>0</v>
      </c>
      <c r="AQ211" s="6">
        <f>INVESTORS_LIST[[#This Row],[TOTAL MARKET VALUE]]-INVESTORS_LIST[[#This Row],[TOTAL COST VALUE OF CURRENT INVESTMENT]]</f>
        <v>0</v>
      </c>
      <c r="AR211" s="6">
        <f>SUMIFS(DivAndTax[Tax Amount],DivAndTax[Investor ID],INVESTORS_LIST[[#This Row],[INVESTOR CODE]])</f>
        <v>0</v>
      </c>
      <c r="AS211" s="6">
        <f>SUMIFS(DivAndTax[Gross Dividend],DivAndTax[Investor ID],INVESTORS_LIST[[#This Row],[INVESTOR CODE]])</f>
        <v>0</v>
      </c>
      <c r="AT211" s="5">
        <f>IFERROR(INVESTORS_LIST[[#This Row],[TOTAL CURRENT UNITS]]/SUM(INVESTORS_LIST[TOTAL CURRENT UNITS]),0)</f>
        <v>0</v>
      </c>
    </row>
    <row r="212" spans="1:46" hidden="1">
      <c r="A212" t="s">
        <v>263</v>
      </c>
      <c r="B212" t="s">
        <v>264</v>
      </c>
      <c r="C212" t="s">
        <v>536</v>
      </c>
      <c r="D212" s="8" t="s">
        <v>2</v>
      </c>
      <c r="E212" s="2">
        <f>SUMIFS(LS[Unit],LS[Investor ID],INVESTORS_LIST[[#This Row],[INVESTOR CODE]],LS[B/S],"B")</f>
        <v>11151</v>
      </c>
      <c r="F212" s="2">
        <f>-SUMIFS(LS[Unit],LS[Investor ID],INVESTORS_LIST[[#This Row],[INVESTOR CODE]],LS[B/S],"S")</f>
        <v>11151</v>
      </c>
      <c r="G212" s="2">
        <f>IF(INVESTORS_LIST[[#This Row],[LS_TOTAL UNITS BUY]]=0,0,INVESTORS_LIST[[#This Row],[LS_TOTAL UNITS BUY]]-INVESTORS_LIST[[#This Row],[LS_TOTAL UNITS SOLD]])</f>
        <v>0</v>
      </c>
      <c r="H212" s="4">
        <f>IF(INVESTORS_LIST[[#This Row],[LS_TOTAL UNITS BUY]]=0,0,SUMIFS(LS[Amount],LS[Investor ID],INVESTORS_LIST[[#This Row],[INVESTOR CODE]],LS[B/S],"B"))</f>
        <v>109500</v>
      </c>
      <c r="I212" s="6">
        <f>IF(INVESTORS_LIST[[#This Row],[LS_TOTAL UNITS SOLD]]=0,0,SUMIFS(LS[Cost of Units Sold],LS[Investor ID],INVESTORS_LIST[[#This Row],[INVESTOR CODE]],LS[B/S],"S"))</f>
        <v>109500</v>
      </c>
      <c r="J212" s="6">
        <f>IF(INVESTORS_LIST[[#This Row],[LS_TOTAL CURRENT UNITS]]=0,0,INVESTORS_LIST[[#This Row],[LS_TOTAL CURRENT UNITS]]*INVESTORS_LIST[[#This Row],[LS_AVERAGE COST]])</f>
        <v>0</v>
      </c>
      <c r="K212" s="4">
        <f>IF(INVESTORS_LIST[[#This Row],[LS_TOTAL UNITS SOLD]]=0,0,SUMIFS(LS[Realized Gain],LS[Investor ID],INVESTORS_LIST[[#This Row],[INVESTOR CODE]],LS[B/S],"S"))</f>
        <v>1675.4700000000034</v>
      </c>
      <c r="L212" s="2">
        <f>SUMIFS(SIP[Unit],SIP[Investor ID],INVESTORS_LIST[[#This Row],[INVESTOR CODE]],SIP[B/S],"B")</f>
        <v>1111</v>
      </c>
      <c r="M212" s="2">
        <f>-SUMIFS(SIP[Unit],SIP[Investor ID],INVESTORS_LIST[[#This Row],[INVESTOR CODE]],SIP[B/S],"S")</f>
        <v>1111</v>
      </c>
      <c r="N212" s="33">
        <f>IF(INVESTORS_LIST[[#This Row],[SIP_TOTAL UNITS BUY]]=0,0,INVESTORS_LIST[[#This Row],[SIP_TOTAL UNITS BUY]]-INVESTORS_LIST[[#This Row],[SIP_TOTAL UNITS SOLD]])</f>
        <v>0</v>
      </c>
      <c r="O212" s="4">
        <f>IF(INVESTORS_LIST[[#This Row],[SIP_TOTAL UNITS BUY]]=0,0,SUMIFS(SIP[Amount],SIP[Investor ID],INVESTORS_LIST[[#This Row],[INVESTOR CODE]],SIP[B/S],"B"))</f>
        <v>12000</v>
      </c>
      <c r="P212" s="4">
        <f>IF(INVESTORS_LIST[[#This Row],[SIP_TOTAL UNITS SOLD]]=0,0,SUMIFS(SIP[Cost of Units Sold],SIP[Investor ID],INVESTORS_LIST[[#This Row],[INVESTOR CODE]],SIP[B/S],"S"))</f>
        <v>12000.000000000002</v>
      </c>
      <c r="Q212" s="6">
        <f>IF(INVESTORS_LIST[[#This Row],[SIP_TOTAL CURRENT UNITS]]=0,0,INVESTORS_LIST[[#This Row],[SIP_TOTAL CURRENT UNITS]]*INVESTORS_LIST[[#This Row],[SIP_AVERAGE COST]])</f>
        <v>0</v>
      </c>
      <c r="R212" s="6">
        <f>IF(INVESTORS_LIST[[#This Row],[SIP_TOTAL UNITS SOLD]]=0,0,SUMIFS(SIP[Realized Gain],SIP[Investor ID],INVESTORS_LIST[[#This Row],[INVESTOR CODE]],SIP[B/S],"S"))</f>
        <v>1247.5599999999968</v>
      </c>
      <c r="S212" s="33">
        <f>INVESTORS_LIST[[#This Row],[LS_TOTAL UNITS BUY]]+INVESTORS_LIST[[#This Row],[SIP_TOTAL UNITS BUY]]</f>
        <v>12262</v>
      </c>
      <c r="T212" s="33">
        <f>INVESTORS_LIST[[#This Row],[LS_TOTAL UNITS SOLD]]+INVESTORS_LIST[[#This Row],[SIP_TOTAL UNITS SOLD]]</f>
        <v>12262</v>
      </c>
      <c r="U212" s="33">
        <v>0</v>
      </c>
      <c r="V212" s="33">
        <f>SUMIFS(LS[BO UNIT TRANSFER],LS[Investor ID],INVESTORS_LIST[[#This Row],[INVESTOR CODE]],LS[B/S],"B")</f>
        <v>0</v>
      </c>
      <c r="W212" s="33">
        <f>SUMIFS(LS[BO UNIT TRANSFER],LS[Investor ID],INVESTORS_LIST[[#This Row],[INVESTOR CODE]],LS[B/S],"S")</f>
        <v>0</v>
      </c>
      <c r="X212" s="33">
        <f>SUMIFS(SIP[BO UNIT TRANSFER],SIP[Investor ID],INVESTORS_LIST[[#This Row],[INVESTOR CODE]],SIP[B/S],"S")</f>
        <v>0</v>
      </c>
      <c r="Y212" s="33">
        <f>SUMIFS(SIP[BO UNIT TRANSFER],SIP[Investor ID],INVESTORS_LIST[[#This Row],[INVESTOR CODE]],SIP[B/S],"B")</f>
        <v>0</v>
      </c>
      <c r="Z21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12" s="119">
        <f>INVESTORS_LIST[[#This Row],[TOTAL UNITS BUY]]-INVESTORS_LIST[[#This Row],[TOTAL UNITS SOLD]]</f>
        <v>0</v>
      </c>
      <c r="AB212" s="119">
        <f>INVESTORS_LIST[[#This Row],[TOTAL CURRENT UNITS]]-INVESTORS_LIST[[#This Row],[BO UNITS HOLD]]</f>
        <v>0</v>
      </c>
      <c r="AC212" s="119" t="e">
        <f>INDEX([4]!Table_1[BO ID],MATCH(INVESTORS_LIST[[#This Row],[INVESTOR CODE]],[4]!Table_1[INVESTOR CODE],0))</f>
        <v>#REF!</v>
      </c>
      <c r="AD212" s="33">
        <f>INVESTORS_LIST[[#This Row],[LS_TOTAL COST VALUE OF CURRENT UNITS]]+INVESTORS_LIST[[#This Row],[SIP_TOTAL COST VALUE OF CURRENT UNITS]]</f>
        <v>0</v>
      </c>
      <c r="AE212" s="44">
        <f>IF(INVESTORS_LIST[[#This Row],[TOTAL CURRENT UNITS]]=0,0,INVESTORS_LIST[[#This Row],[LS_TOTAL CURRENT UNITS]]/INVESTORS_LIST[[#This Row],[TOTAL CURRENT UNITS]])</f>
        <v>0</v>
      </c>
      <c r="AF212" s="44">
        <f>IF(INVESTORS_LIST[[#This Row],[TOTAL CURRENT UNITS]]=0,0,INVESTORS_LIST[[#This Row],[SIP_TOTAL CURRENT UNITS]]/INVESTORS_LIST[[#This Row],[TOTAL CURRENT UNITS]])</f>
        <v>0</v>
      </c>
      <c r="AG212" s="4" cm="1">
        <f t="array" ref="AG2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12" s="4" cm="1">
        <f t="array" ref="AH2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1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12" s="178">
        <f t="shared" si="3"/>
        <v>12.552</v>
      </c>
      <c r="AK212" s="118">
        <f>IF(INVESTORS_LIST[[#This Row],[TOTAL CURRENT UNITS]]=0,0,INVESTORS_LIST[[#This Row],[TOTAL CURRENT UNITS]]*INVESTORS_LIST[[#This Row],[NAV]])</f>
        <v>0</v>
      </c>
      <c r="AL212" s="4">
        <f>IF(INVESTORS_LIST[[#This Row],[LS_TOTAL CURRENT UNITS]]=0,0,INVESTORS_LIST[[#This Row],[LS_TOTAL CURRENT UNITS]]*INVESTORS_LIST[[#This Row],[NAV]])</f>
        <v>0</v>
      </c>
      <c r="AM212" s="6">
        <f>IF(INVESTORS_LIST[[#This Row],[SIP_TOTAL CURRENT UNITS]]=0,0,INVESTORS_LIST[[#This Row],[SIP_TOTAL CURRENT UNITS]]*INVESTORS_LIST[[#This Row],[NAV]])</f>
        <v>0</v>
      </c>
      <c r="AO212" s="6">
        <f>IF(INVESTORS_LIST[[#This Row],[TOTAL SELLABLE UNITS]]=0,0,INVESTORS_LIST[[#This Row],[TOTAL SELLABLE UNITS]]*INVESTORS_LIST[[#This Row],[NAV]])</f>
        <v>0</v>
      </c>
      <c r="AP212" s="6">
        <f>INVESTORS_LIST[[#This Row],[LS_TOTAL REALIZED GAIN]]+INVESTORS_LIST[[#This Row],[SIP_TOTAL REALIZED GAIN]]</f>
        <v>2923.03</v>
      </c>
      <c r="AQ212" s="6">
        <f>INVESTORS_LIST[[#This Row],[TOTAL MARKET VALUE]]-INVESTORS_LIST[[#This Row],[TOTAL COST VALUE OF CURRENT INVESTMENT]]</f>
        <v>0</v>
      </c>
      <c r="AR212" s="6">
        <f>SUMIFS(DivAndTax[Tax Amount],DivAndTax[Investor ID],INVESTORS_LIST[[#This Row],[INVESTOR CODE]])</f>
        <v>46.35</v>
      </c>
      <c r="AS212" s="6">
        <f>SUMIFS(DivAndTax[Gross Dividend],DivAndTax[Investor ID],INVESTORS_LIST[[#This Row],[INVESTOR CODE]])</f>
        <v>463.5</v>
      </c>
      <c r="AT212" s="5">
        <f>IFERROR(INVESTORS_LIST[[#This Row],[TOTAL CURRENT UNITS]]/SUM(INVESTORS_LIST[TOTAL CURRENT UNITS]),0)</f>
        <v>0</v>
      </c>
    </row>
    <row r="213" spans="1:46" hidden="1">
      <c r="A213" t="s">
        <v>265</v>
      </c>
      <c r="B213" t="s">
        <v>266</v>
      </c>
      <c r="C213" t="s">
        <v>538</v>
      </c>
      <c r="D213" s="8" t="s">
        <v>2</v>
      </c>
      <c r="E213" s="2">
        <f>SUMIFS(LS[Unit],LS[Investor ID],INVESTORS_LIST[[#This Row],[INVESTOR CODE]],LS[B/S],"B")</f>
        <v>0</v>
      </c>
      <c r="F213" s="2">
        <f>-SUMIFS(LS[Unit],LS[Investor ID],INVESTORS_LIST[[#This Row],[INVESTOR CODE]],LS[B/S],"S")</f>
        <v>0</v>
      </c>
      <c r="G213" s="2">
        <f>IF(INVESTORS_LIST[[#This Row],[LS_TOTAL UNITS BUY]]=0,0,INVESTORS_LIST[[#This Row],[LS_TOTAL UNITS BUY]]-INVESTORS_LIST[[#This Row],[LS_TOTAL UNITS SOLD]])</f>
        <v>0</v>
      </c>
      <c r="H213" s="4">
        <f>IF(INVESTORS_LIST[[#This Row],[LS_TOTAL UNITS BUY]]=0,0,SUMIFS(LS[Amount],LS[Investor ID],INVESTORS_LIST[[#This Row],[INVESTOR CODE]],LS[B/S],"B"))</f>
        <v>0</v>
      </c>
      <c r="I213" s="6">
        <f>IF(INVESTORS_LIST[[#This Row],[LS_TOTAL UNITS SOLD]]=0,0,SUMIFS(LS[Cost of Units Sold],LS[Investor ID],INVESTORS_LIST[[#This Row],[INVESTOR CODE]],LS[B/S],"S"))</f>
        <v>0</v>
      </c>
      <c r="J213" s="6">
        <f>IF(INVESTORS_LIST[[#This Row],[LS_TOTAL CURRENT UNITS]]=0,0,INVESTORS_LIST[[#This Row],[LS_TOTAL CURRENT UNITS]]*INVESTORS_LIST[[#This Row],[LS_AVERAGE COST]])</f>
        <v>0</v>
      </c>
      <c r="K213" s="4">
        <f>IF(INVESTORS_LIST[[#This Row],[LS_TOTAL UNITS SOLD]]=0,0,SUMIFS(LS[Realized Gain],LS[Investor ID],INVESTORS_LIST[[#This Row],[INVESTOR CODE]],LS[B/S],"S"))</f>
        <v>0</v>
      </c>
      <c r="L213" s="2">
        <f>SUMIFS(SIP[Unit],SIP[Investor ID],INVESTORS_LIST[[#This Row],[INVESTOR CODE]],SIP[B/S],"B")</f>
        <v>0</v>
      </c>
      <c r="M213" s="2">
        <f>-SUMIFS(SIP[Unit],SIP[Investor ID],INVESTORS_LIST[[#This Row],[INVESTOR CODE]],SIP[B/S],"S")</f>
        <v>0</v>
      </c>
      <c r="N213" s="33">
        <f>IF(INVESTORS_LIST[[#This Row],[SIP_TOTAL UNITS BUY]]=0,0,INVESTORS_LIST[[#This Row],[SIP_TOTAL UNITS BUY]]-INVESTORS_LIST[[#This Row],[SIP_TOTAL UNITS SOLD]])</f>
        <v>0</v>
      </c>
      <c r="O213" s="4">
        <f>IF(INVESTORS_LIST[[#This Row],[SIP_TOTAL UNITS BUY]]=0,0,SUMIFS(SIP[Amount],SIP[Investor ID],INVESTORS_LIST[[#This Row],[INVESTOR CODE]],SIP[B/S],"B"))</f>
        <v>0</v>
      </c>
      <c r="P213" s="4">
        <f>IF(INVESTORS_LIST[[#This Row],[SIP_TOTAL UNITS SOLD]]=0,0,SUMIFS(SIP[Cost of Units Sold],SIP[Investor ID],INVESTORS_LIST[[#This Row],[INVESTOR CODE]],SIP[B/S],"S"))</f>
        <v>0</v>
      </c>
      <c r="Q213" s="6">
        <f>IF(INVESTORS_LIST[[#This Row],[SIP_TOTAL CURRENT UNITS]]=0,0,INVESTORS_LIST[[#This Row],[SIP_TOTAL CURRENT UNITS]]*INVESTORS_LIST[[#This Row],[SIP_AVERAGE COST]])</f>
        <v>0</v>
      </c>
      <c r="R213" s="6">
        <f>IF(INVESTORS_LIST[[#This Row],[SIP_TOTAL UNITS SOLD]]=0,0,SUMIFS(SIP[Realized Gain],SIP[Investor ID],INVESTORS_LIST[[#This Row],[INVESTOR CODE]],SIP[B/S],"S"))</f>
        <v>0</v>
      </c>
      <c r="S213" s="33">
        <f>INVESTORS_LIST[[#This Row],[LS_TOTAL UNITS BUY]]+INVESTORS_LIST[[#This Row],[SIP_TOTAL UNITS BUY]]</f>
        <v>0</v>
      </c>
      <c r="T213" s="33">
        <f>INVESTORS_LIST[[#This Row],[LS_TOTAL UNITS SOLD]]+INVESTORS_LIST[[#This Row],[SIP_TOTAL UNITS SOLD]]</f>
        <v>0</v>
      </c>
      <c r="U213" s="33">
        <v>0</v>
      </c>
      <c r="V213" s="33">
        <f>SUMIFS(LS[BO UNIT TRANSFER],LS[Investor ID],INVESTORS_LIST[[#This Row],[INVESTOR CODE]],LS[B/S],"B")</f>
        <v>0</v>
      </c>
      <c r="W213" s="33">
        <f>SUMIFS(LS[BO UNIT TRANSFER],LS[Investor ID],INVESTORS_LIST[[#This Row],[INVESTOR CODE]],LS[B/S],"S")</f>
        <v>0</v>
      </c>
      <c r="X213" s="33">
        <f>SUMIFS(SIP[BO UNIT TRANSFER],SIP[Investor ID],INVESTORS_LIST[[#This Row],[INVESTOR CODE]],SIP[B/S],"S")</f>
        <v>0</v>
      </c>
      <c r="Y213" s="33">
        <f>SUMIFS(SIP[BO UNIT TRANSFER],SIP[Investor ID],INVESTORS_LIST[[#This Row],[INVESTOR CODE]],SIP[B/S],"B")</f>
        <v>0</v>
      </c>
      <c r="Z21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13" s="119">
        <f>INVESTORS_LIST[[#This Row],[TOTAL UNITS BUY]]-INVESTORS_LIST[[#This Row],[TOTAL UNITS SOLD]]</f>
        <v>0</v>
      </c>
      <c r="AB213" s="119">
        <f>INVESTORS_LIST[[#This Row],[TOTAL CURRENT UNITS]]-INVESTORS_LIST[[#This Row],[BO UNITS HOLD]]</f>
        <v>0</v>
      </c>
      <c r="AC213" s="119" t="e">
        <f>INDEX([4]!Table_1[BO ID],MATCH(INVESTORS_LIST[[#This Row],[INVESTOR CODE]],[4]!Table_1[INVESTOR CODE],0))</f>
        <v>#REF!</v>
      </c>
      <c r="AD213" s="33">
        <f>INVESTORS_LIST[[#This Row],[LS_TOTAL COST VALUE OF CURRENT UNITS]]+INVESTORS_LIST[[#This Row],[SIP_TOTAL COST VALUE OF CURRENT UNITS]]</f>
        <v>0</v>
      </c>
      <c r="AE213" s="44">
        <f>IF(INVESTORS_LIST[[#This Row],[TOTAL CURRENT UNITS]]=0,0,INVESTORS_LIST[[#This Row],[LS_TOTAL CURRENT UNITS]]/INVESTORS_LIST[[#This Row],[TOTAL CURRENT UNITS]])</f>
        <v>0</v>
      </c>
      <c r="AF213" s="44">
        <f>IF(INVESTORS_LIST[[#This Row],[TOTAL CURRENT UNITS]]=0,0,INVESTORS_LIST[[#This Row],[SIP_TOTAL CURRENT UNITS]]/INVESTORS_LIST[[#This Row],[TOTAL CURRENT UNITS]])</f>
        <v>0</v>
      </c>
      <c r="AG213" s="4" cm="1">
        <f t="array" ref="AG21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13" s="4" cm="1">
        <f t="array" ref="AH2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1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13" s="178">
        <f t="shared" si="3"/>
        <v>12.552</v>
      </c>
      <c r="AK213" s="118">
        <f>IF(INVESTORS_LIST[[#This Row],[TOTAL CURRENT UNITS]]=0,0,INVESTORS_LIST[[#This Row],[TOTAL CURRENT UNITS]]*INVESTORS_LIST[[#This Row],[NAV]])</f>
        <v>0</v>
      </c>
      <c r="AL213" s="4">
        <f>IF(INVESTORS_LIST[[#This Row],[LS_TOTAL CURRENT UNITS]]=0,0,INVESTORS_LIST[[#This Row],[LS_TOTAL CURRENT UNITS]]*INVESTORS_LIST[[#This Row],[NAV]])</f>
        <v>0</v>
      </c>
      <c r="AM213" s="6">
        <f>IF(INVESTORS_LIST[[#This Row],[SIP_TOTAL CURRENT UNITS]]=0,0,INVESTORS_LIST[[#This Row],[SIP_TOTAL CURRENT UNITS]]*INVESTORS_LIST[[#This Row],[NAV]])</f>
        <v>0</v>
      </c>
      <c r="AO213" s="6">
        <f>IF(INVESTORS_LIST[[#This Row],[TOTAL SELLABLE UNITS]]=0,0,INVESTORS_LIST[[#This Row],[TOTAL SELLABLE UNITS]]*INVESTORS_LIST[[#This Row],[NAV]])</f>
        <v>0</v>
      </c>
      <c r="AP213" s="6">
        <f>INVESTORS_LIST[[#This Row],[LS_TOTAL REALIZED GAIN]]+INVESTORS_LIST[[#This Row],[SIP_TOTAL REALIZED GAIN]]</f>
        <v>0</v>
      </c>
      <c r="AQ213" s="6">
        <f>INVESTORS_LIST[[#This Row],[TOTAL MARKET VALUE]]-INVESTORS_LIST[[#This Row],[TOTAL COST VALUE OF CURRENT INVESTMENT]]</f>
        <v>0</v>
      </c>
      <c r="AR213" s="6">
        <f>SUMIFS(DivAndTax[Tax Amount],DivAndTax[Investor ID],INVESTORS_LIST[[#This Row],[INVESTOR CODE]])</f>
        <v>0</v>
      </c>
      <c r="AS213" s="6">
        <f>SUMIFS(DivAndTax[Gross Dividend],DivAndTax[Investor ID],INVESTORS_LIST[[#This Row],[INVESTOR CODE]])</f>
        <v>0</v>
      </c>
      <c r="AT213" s="5">
        <f>IFERROR(INVESTORS_LIST[[#This Row],[TOTAL CURRENT UNITS]]/SUM(INVESTORS_LIST[TOTAL CURRENT UNITS]),0)</f>
        <v>0</v>
      </c>
    </row>
    <row r="214" spans="1:46" hidden="1">
      <c r="A214" t="s">
        <v>267</v>
      </c>
      <c r="B214" t="s">
        <v>268</v>
      </c>
      <c r="C214" t="s">
        <v>536</v>
      </c>
      <c r="D214" s="8" t="s">
        <v>2</v>
      </c>
      <c r="E214" s="2">
        <f>SUMIFS(LS[Unit],LS[Investor ID],INVESTORS_LIST[[#This Row],[INVESTOR CODE]],LS[B/S],"B")</f>
        <v>0</v>
      </c>
      <c r="F214" s="2">
        <f>-SUMIFS(LS[Unit],LS[Investor ID],INVESTORS_LIST[[#This Row],[INVESTOR CODE]],LS[B/S],"S")</f>
        <v>0</v>
      </c>
      <c r="G214" s="2">
        <f>IF(INVESTORS_LIST[[#This Row],[LS_TOTAL UNITS BUY]]=0,0,INVESTORS_LIST[[#This Row],[LS_TOTAL UNITS BUY]]-INVESTORS_LIST[[#This Row],[LS_TOTAL UNITS SOLD]])</f>
        <v>0</v>
      </c>
      <c r="H214" s="4">
        <f>IF(INVESTORS_LIST[[#This Row],[LS_TOTAL UNITS BUY]]=0,0,SUMIFS(LS[Amount],LS[Investor ID],INVESTORS_LIST[[#This Row],[INVESTOR CODE]],LS[B/S],"B"))</f>
        <v>0</v>
      </c>
      <c r="I214" s="6">
        <f>IF(INVESTORS_LIST[[#This Row],[LS_TOTAL UNITS SOLD]]=0,0,SUMIFS(LS[Cost of Units Sold],LS[Investor ID],INVESTORS_LIST[[#This Row],[INVESTOR CODE]],LS[B/S],"S"))</f>
        <v>0</v>
      </c>
      <c r="J214" s="6">
        <f>IF(INVESTORS_LIST[[#This Row],[LS_TOTAL CURRENT UNITS]]=0,0,INVESTORS_LIST[[#This Row],[LS_TOTAL CURRENT UNITS]]*INVESTORS_LIST[[#This Row],[LS_AVERAGE COST]])</f>
        <v>0</v>
      </c>
      <c r="K214" s="4">
        <f>IF(INVESTORS_LIST[[#This Row],[LS_TOTAL UNITS SOLD]]=0,0,SUMIFS(LS[Realized Gain],LS[Investor ID],INVESTORS_LIST[[#This Row],[INVESTOR CODE]],LS[B/S],"S"))</f>
        <v>0</v>
      </c>
      <c r="L214" s="2">
        <f>SUMIFS(SIP[Unit],SIP[Investor ID],INVESTORS_LIST[[#This Row],[INVESTOR CODE]],SIP[B/S],"B")</f>
        <v>0</v>
      </c>
      <c r="M214" s="2">
        <f>-SUMIFS(SIP[Unit],SIP[Investor ID],INVESTORS_LIST[[#This Row],[INVESTOR CODE]],SIP[B/S],"S")</f>
        <v>0</v>
      </c>
      <c r="N214" s="33">
        <f>IF(INVESTORS_LIST[[#This Row],[SIP_TOTAL UNITS BUY]]=0,0,INVESTORS_LIST[[#This Row],[SIP_TOTAL UNITS BUY]]-INVESTORS_LIST[[#This Row],[SIP_TOTAL UNITS SOLD]])</f>
        <v>0</v>
      </c>
      <c r="O214" s="4">
        <f>IF(INVESTORS_LIST[[#This Row],[SIP_TOTAL UNITS BUY]]=0,0,SUMIFS(SIP[Amount],SIP[Investor ID],INVESTORS_LIST[[#This Row],[INVESTOR CODE]],SIP[B/S],"B"))</f>
        <v>0</v>
      </c>
      <c r="P214" s="4">
        <f>IF(INVESTORS_LIST[[#This Row],[SIP_TOTAL UNITS SOLD]]=0,0,SUMIFS(SIP[Cost of Units Sold],SIP[Investor ID],INVESTORS_LIST[[#This Row],[INVESTOR CODE]],SIP[B/S],"S"))</f>
        <v>0</v>
      </c>
      <c r="Q214" s="6">
        <f>IF(INVESTORS_LIST[[#This Row],[SIP_TOTAL CURRENT UNITS]]=0,0,INVESTORS_LIST[[#This Row],[SIP_TOTAL CURRENT UNITS]]*INVESTORS_LIST[[#This Row],[SIP_AVERAGE COST]])</f>
        <v>0</v>
      </c>
      <c r="R214" s="6">
        <f>IF(INVESTORS_LIST[[#This Row],[SIP_TOTAL UNITS SOLD]]=0,0,SUMIFS(SIP[Realized Gain],SIP[Investor ID],INVESTORS_LIST[[#This Row],[INVESTOR CODE]],SIP[B/S],"S"))</f>
        <v>0</v>
      </c>
      <c r="S214" s="33">
        <f>INVESTORS_LIST[[#This Row],[LS_TOTAL UNITS BUY]]+INVESTORS_LIST[[#This Row],[SIP_TOTAL UNITS BUY]]</f>
        <v>0</v>
      </c>
      <c r="T214" s="33">
        <f>INVESTORS_LIST[[#This Row],[LS_TOTAL UNITS SOLD]]+INVESTORS_LIST[[#This Row],[SIP_TOTAL UNITS SOLD]]</f>
        <v>0</v>
      </c>
      <c r="U214" s="33">
        <v>0</v>
      </c>
      <c r="V214" s="33">
        <f>SUMIFS(LS[BO UNIT TRANSFER],LS[Investor ID],INVESTORS_LIST[[#This Row],[INVESTOR CODE]],LS[B/S],"B")</f>
        <v>0</v>
      </c>
      <c r="W214" s="33">
        <f>SUMIFS(LS[BO UNIT TRANSFER],LS[Investor ID],INVESTORS_LIST[[#This Row],[INVESTOR CODE]],LS[B/S],"S")</f>
        <v>0</v>
      </c>
      <c r="X214" s="33">
        <f>SUMIFS(SIP[BO UNIT TRANSFER],SIP[Investor ID],INVESTORS_LIST[[#This Row],[INVESTOR CODE]],SIP[B/S],"S")</f>
        <v>0</v>
      </c>
      <c r="Y214" s="33">
        <f>SUMIFS(SIP[BO UNIT TRANSFER],SIP[Investor ID],INVESTORS_LIST[[#This Row],[INVESTOR CODE]],SIP[B/S],"B")</f>
        <v>0</v>
      </c>
      <c r="Z21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14" s="119">
        <f>INVESTORS_LIST[[#This Row],[TOTAL UNITS BUY]]-INVESTORS_LIST[[#This Row],[TOTAL UNITS SOLD]]</f>
        <v>0</v>
      </c>
      <c r="AB214" s="119">
        <f>INVESTORS_LIST[[#This Row],[TOTAL CURRENT UNITS]]-INVESTORS_LIST[[#This Row],[BO UNITS HOLD]]</f>
        <v>0</v>
      </c>
      <c r="AC214" s="119" t="e">
        <f>INDEX([4]!Table_1[BO ID],MATCH(INVESTORS_LIST[[#This Row],[INVESTOR CODE]],[4]!Table_1[INVESTOR CODE],0))</f>
        <v>#REF!</v>
      </c>
      <c r="AD214" s="33">
        <f>INVESTORS_LIST[[#This Row],[LS_TOTAL COST VALUE OF CURRENT UNITS]]+INVESTORS_LIST[[#This Row],[SIP_TOTAL COST VALUE OF CURRENT UNITS]]</f>
        <v>0</v>
      </c>
      <c r="AE214" s="44">
        <f>IF(INVESTORS_LIST[[#This Row],[TOTAL CURRENT UNITS]]=0,0,INVESTORS_LIST[[#This Row],[LS_TOTAL CURRENT UNITS]]/INVESTORS_LIST[[#This Row],[TOTAL CURRENT UNITS]])</f>
        <v>0</v>
      </c>
      <c r="AF214" s="44">
        <f>IF(INVESTORS_LIST[[#This Row],[TOTAL CURRENT UNITS]]=0,0,INVESTORS_LIST[[#This Row],[SIP_TOTAL CURRENT UNITS]]/INVESTORS_LIST[[#This Row],[TOTAL CURRENT UNITS]])</f>
        <v>0</v>
      </c>
      <c r="AG214" s="4" cm="1">
        <f t="array" ref="AG2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14" s="4" cm="1">
        <f t="array" ref="AH2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1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14" s="178">
        <f t="shared" si="3"/>
        <v>12.552</v>
      </c>
      <c r="AK214" s="118">
        <f>IF(INVESTORS_LIST[[#This Row],[TOTAL CURRENT UNITS]]=0,0,INVESTORS_LIST[[#This Row],[TOTAL CURRENT UNITS]]*INVESTORS_LIST[[#This Row],[NAV]])</f>
        <v>0</v>
      </c>
      <c r="AL214" s="4">
        <f>IF(INVESTORS_LIST[[#This Row],[LS_TOTAL CURRENT UNITS]]=0,0,INVESTORS_LIST[[#This Row],[LS_TOTAL CURRENT UNITS]]*INVESTORS_LIST[[#This Row],[NAV]])</f>
        <v>0</v>
      </c>
      <c r="AM214" s="6">
        <f>IF(INVESTORS_LIST[[#This Row],[SIP_TOTAL CURRENT UNITS]]=0,0,INVESTORS_LIST[[#This Row],[SIP_TOTAL CURRENT UNITS]]*INVESTORS_LIST[[#This Row],[NAV]])</f>
        <v>0</v>
      </c>
      <c r="AO214" s="6">
        <f>IF(INVESTORS_LIST[[#This Row],[TOTAL SELLABLE UNITS]]=0,0,INVESTORS_LIST[[#This Row],[TOTAL SELLABLE UNITS]]*INVESTORS_LIST[[#This Row],[NAV]])</f>
        <v>0</v>
      </c>
      <c r="AP214" s="6">
        <f>INVESTORS_LIST[[#This Row],[LS_TOTAL REALIZED GAIN]]+INVESTORS_LIST[[#This Row],[SIP_TOTAL REALIZED GAIN]]</f>
        <v>0</v>
      </c>
      <c r="AQ214" s="6">
        <f>INVESTORS_LIST[[#This Row],[TOTAL MARKET VALUE]]-INVESTORS_LIST[[#This Row],[TOTAL COST VALUE OF CURRENT INVESTMENT]]</f>
        <v>0</v>
      </c>
      <c r="AR214" s="6">
        <f>SUMIFS(DivAndTax[Tax Amount],DivAndTax[Investor ID],INVESTORS_LIST[[#This Row],[INVESTOR CODE]])</f>
        <v>0</v>
      </c>
      <c r="AS214" s="6">
        <f>SUMIFS(DivAndTax[Gross Dividend],DivAndTax[Investor ID],INVESTORS_LIST[[#This Row],[INVESTOR CODE]])</f>
        <v>0</v>
      </c>
      <c r="AT214" s="5">
        <f>IFERROR(INVESTORS_LIST[[#This Row],[TOTAL CURRENT UNITS]]/SUM(INVESTORS_LIST[TOTAL CURRENT UNITS]),0)</f>
        <v>0</v>
      </c>
    </row>
    <row r="215" spans="1:46" hidden="1">
      <c r="A215" t="s">
        <v>269</v>
      </c>
      <c r="B215" t="s">
        <v>270</v>
      </c>
      <c r="C215" t="s">
        <v>536</v>
      </c>
      <c r="D215" s="8" t="s">
        <v>2</v>
      </c>
      <c r="E215" s="2">
        <f>SUMIFS(LS[Unit],LS[Investor ID],INVESTORS_LIST[[#This Row],[INVESTOR CODE]],LS[B/S],"B")</f>
        <v>90000</v>
      </c>
      <c r="F215" s="2">
        <f>-SUMIFS(LS[Unit],LS[Investor ID],INVESTORS_LIST[[#This Row],[INVESTOR CODE]],LS[B/S],"S")</f>
        <v>90000</v>
      </c>
      <c r="G215" s="2">
        <f>IF(INVESTORS_LIST[[#This Row],[LS_TOTAL UNITS BUY]]=0,0,INVESTORS_LIST[[#This Row],[LS_TOTAL UNITS BUY]]-INVESTORS_LIST[[#This Row],[LS_TOTAL UNITS SOLD]])</f>
        <v>0</v>
      </c>
      <c r="H215" s="4">
        <f>IF(INVESTORS_LIST[[#This Row],[LS_TOTAL UNITS BUY]]=0,0,SUMIFS(LS[Amount],LS[Investor ID],INVESTORS_LIST[[#This Row],[INVESTOR CODE]],LS[B/S],"B"))</f>
        <v>900000</v>
      </c>
      <c r="I215" s="6">
        <f>IF(INVESTORS_LIST[[#This Row],[LS_TOTAL UNITS SOLD]]=0,0,SUMIFS(LS[Cost of Units Sold],LS[Investor ID],INVESTORS_LIST[[#This Row],[INVESTOR CODE]],LS[B/S],"S"))</f>
        <v>900000</v>
      </c>
      <c r="J215" s="6">
        <f>IF(INVESTORS_LIST[[#This Row],[LS_TOTAL CURRENT UNITS]]=0,0,INVESTORS_LIST[[#This Row],[LS_TOTAL CURRENT UNITS]]*INVESTORS_LIST[[#This Row],[LS_AVERAGE COST]])</f>
        <v>0</v>
      </c>
      <c r="K215" s="4">
        <f>IF(INVESTORS_LIST[[#This Row],[LS_TOTAL UNITS SOLD]]=0,0,SUMIFS(LS[Realized Gain],LS[Investor ID],INVESTORS_LIST[[#This Row],[INVESTOR CODE]],LS[B/S],"S"))</f>
        <v>-2699.9999999999422</v>
      </c>
      <c r="L215" s="2">
        <f>SUMIFS(SIP[Unit],SIP[Investor ID],INVESTORS_LIST[[#This Row],[INVESTOR CODE]],SIP[B/S],"B")</f>
        <v>0</v>
      </c>
      <c r="M215" s="2">
        <f>-SUMIFS(SIP[Unit],SIP[Investor ID],INVESTORS_LIST[[#This Row],[INVESTOR CODE]],SIP[B/S],"S")</f>
        <v>0</v>
      </c>
      <c r="N215" s="33">
        <f>IF(INVESTORS_LIST[[#This Row],[SIP_TOTAL UNITS BUY]]=0,0,INVESTORS_LIST[[#This Row],[SIP_TOTAL UNITS BUY]]-INVESTORS_LIST[[#This Row],[SIP_TOTAL UNITS SOLD]])</f>
        <v>0</v>
      </c>
      <c r="O215" s="4">
        <f>IF(INVESTORS_LIST[[#This Row],[SIP_TOTAL UNITS BUY]]=0,0,SUMIFS(SIP[Amount],SIP[Investor ID],INVESTORS_LIST[[#This Row],[INVESTOR CODE]],SIP[B/S],"B"))</f>
        <v>0</v>
      </c>
      <c r="P215" s="4">
        <f>IF(INVESTORS_LIST[[#This Row],[SIP_TOTAL UNITS SOLD]]=0,0,SUMIFS(SIP[Cost of Units Sold],SIP[Investor ID],INVESTORS_LIST[[#This Row],[INVESTOR CODE]],SIP[B/S],"S"))</f>
        <v>0</v>
      </c>
      <c r="Q215" s="6">
        <f>IF(INVESTORS_LIST[[#This Row],[SIP_TOTAL CURRENT UNITS]]=0,0,INVESTORS_LIST[[#This Row],[SIP_TOTAL CURRENT UNITS]]*INVESTORS_LIST[[#This Row],[SIP_AVERAGE COST]])</f>
        <v>0</v>
      </c>
      <c r="R215" s="6">
        <f>IF(INVESTORS_LIST[[#This Row],[SIP_TOTAL UNITS SOLD]]=0,0,SUMIFS(SIP[Realized Gain],SIP[Investor ID],INVESTORS_LIST[[#This Row],[INVESTOR CODE]],SIP[B/S],"S"))</f>
        <v>0</v>
      </c>
      <c r="S215" s="33">
        <f>INVESTORS_LIST[[#This Row],[LS_TOTAL UNITS BUY]]+INVESTORS_LIST[[#This Row],[SIP_TOTAL UNITS BUY]]</f>
        <v>90000</v>
      </c>
      <c r="T215" s="33">
        <f>INVESTORS_LIST[[#This Row],[LS_TOTAL UNITS SOLD]]+INVESTORS_LIST[[#This Row],[SIP_TOTAL UNITS SOLD]]</f>
        <v>90000</v>
      </c>
      <c r="U215" s="33">
        <v>0</v>
      </c>
      <c r="V215" s="33">
        <f>SUMIFS(LS[BO UNIT TRANSFER],LS[Investor ID],INVESTORS_LIST[[#This Row],[INVESTOR CODE]],LS[B/S],"B")</f>
        <v>0</v>
      </c>
      <c r="W215" s="33">
        <f>SUMIFS(LS[BO UNIT TRANSFER],LS[Investor ID],INVESTORS_LIST[[#This Row],[INVESTOR CODE]],LS[B/S],"S")</f>
        <v>0</v>
      </c>
      <c r="X215" s="33">
        <f>SUMIFS(SIP[BO UNIT TRANSFER],SIP[Investor ID],INVESTORS_LIST[[#This Row],[INVESTOR CODE]],SIP[B/S],"S")</f>
        <v>0</v>
      </c>
      <c r="Y215" s="33">
        <f>SUMIFS(SIP[BO UNIT TRANSFER],SIP[Investor ID],INVESTORS_LIST[[#This Row],[INVESTOR CODE]],SIP[B/S],"B")</f>
        <v>0</v>
      </c>
      <c r="Z21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15" s="119">
        <f>INVESTORS_LIST[[#This Row],[TOTAL UNITS BUY]]-INVESTORS_LIST[[#This Row],[TOTAL UNITS SOLD]]</f>
        <v>0</v>
      </c>
      <c r="AB215" s="119">
        <f>INVESTORS_LIST[[#This Row],[TOTAL CURRENT UNITS]]-INVESTORS_LIST[[#This Row],[BO UNITS HOLD]]</f>
        <v>0</v>
      </c>
      <c r="AC215" s="119" t="e">
        <f>INDEX([4]!Table_1[BO ID],MATCH(INVESTORS_LIST[[#This Row],[INVESTOR CODE]],[4]!Table_1[INVESTOR CODE],0))</f>
        <v>#REF!</v>
      </c>
      <c r="AD215" s="33">
        <f>INVESTORS_LIST[[#This Row],[LS_TOTAL COST VALUE OF CURRENT UNITS]]+INVESTORS_LIST[[#This Row],[SIP_TOTAL COST VALUE OF CURRENT UNITS]]</f>
        <v>0</v>
      </c>
      <c r="AE215" s="44">
        <f>IF(INVESTORS_LIST[[#This Row],[TOTAL CURRENT UNITS]]=0,0,INVESTORS_LIST[[#This Row],[LS_TOTAL CURRENT UNITS]]/INVESTORS_LIST[[#This Row],[TOTAL CURRENT UNITS]])</f>
        <v>0</v>
      </c>
      <c r="AF215" s="44">
        <f>IF(INVESTORS_LIST[[#This Row],[TOTAL CURRENT UNITS]]=0,0,INVESTORS_LIST[[#This Row],[SIP_TOTAL CURRENT UNITS]]/INVESTORS_LIST[[#This Row],[TOTAL CURRENT UNITS]])</f>
        <v>0</v>
      </c>
      <c r="AG215" s="4" cm="1">
        <f t="array" ref="AG21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15" s="4" cm="1">
        <f t="array" ref="AH2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1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15" s="178">
        <f t="shared" si="3"/>
        <v>12.552</v>
      </c>
      <c r="AK215" s="118">
        <f>IF(INVESTORS_LIST[[#This Row],[TOTAL CURRENT UNITS]]=0,0,INVESTORS_LIST[[#This Row],[TOTAL CURRENT UNITS]]*INVESTORS_LIST[[#This Row],[NAV]])</f>
        <v>0</v>
      </c>
      <c r="AL215" s="4">
        <f>IF(INVESTORS_LIST[[#This Row],[LS_TOTAL CURRENT UNITS]]=0,0,INVESTORS_LIST[[#This Row],[LS_TOTAL CURRENT UNITS]]*INVESTORS_LIST[[#This Row],[NAV]])</f>
        <v>0</v>
      </c>
      <c r="AM215" s="6">
        <f>IF(INVESTORS_LIST[[#This Row],[SIP_TOTAL CURRENT UNITS]]=0,0,INVESTORS_LIST[[#This Row],[SIP_TOTAL CURRENT UNITS]]*INVESTORS_LIST[[#This Row],[NAV]])</f>
        <v>0</v>
      </c>
      <c r="AO215" s="6">
        <f>IF(INVESTORS_LIST[[#This Row],[TOTAL SELLABLE UNITS]]=0,0,INVESTORS_LIST[[#This Row],[TOTAL SELLABLE UNITS]]*INVESTORS_LIST[[#This Row],[NAV]])</f>
        <v>0</v>
      </c>
      <c r="AP215" s="6">
        <f>INVESTORS_LIST[[#This Row],[LS_TOTAL REALIZED GAIN]]+INVESTORS_LIST[[#This Row],[SIP_TOTAL REALIZED GAIN]]</f>
        <v>-2699.9999999999422</v>
      </c>
      <c r="AQ215" s="6">
        <f>INVESTORS_LIST[[#This Row],[TOTAL MARKET VALUE]]-INVESTORS_LIST[[#This Row],[TOTAL COST VALUE OF CURRENT INVESTMENT]]</f>
        <v>0</v>
      </c>
      <c r="AR215" s="6">
        <f>SUMIFS(DivAndTax[Tax Amount],DivAndTax[Investor ID],INVESTORS_LIST[[#This Row],[INVESTOR CODE]])</f>
        <v>0</v>
      </c>
      <c r="AS215" s="6">
        <f>SUMIFS(DivAndTax[Gross Dividend],DivAndTax[Investor ID],INVESTORS_LIST[[#This Row],[INVESTOR CODE]])</f>
        <v>0</v>
      </c>
      <c r="AT215" s="5">
        <f>IFERROR(INVESTORS_LIST[[#This Row],[TOTAL CURRENT UNITS]]/SUM(INVESTORS_LIST[TOTAL CURRENT UNITS]),0)</f>
        <v>0</v>
      </c>
    </row>
    <row r="216" spans="1:46" hidden="1">
      <c r="A216" t="s">
        <v>271</v>
      </c>
      <c r="B216" t="s">
        <v>272</v>
      </c>
      <c r="C216" t="s">
        <v>537</v>
      </c>
      <c r="D216" s="8" t="s">
        <v>2</v>
      </c>
      <c r="E216" s="2">
        <f>SUMIFS(LS[Unit],LS[Investor ID],INVESTORS_LIST[[#This Row],[INVESTOR CODE]],LS[B/S],"B")</f>
        <v>30000</v>
      </c>
      <c r="F216" s="2">
        <f>-SUMIFS(LS[Unit],LS[Investor ID],INVESTORS_LIST[[#This Row],[INVESTOR CODE]],LS[B/S],"S")</f>
        <v>30000</v>
      </c>
      <c r="G216" s="2">
        <f>IF(INVESTORS_LIST[[#This Row],[LS_TOTAL UNITS BUY]]=0,0,INVESTORS_LIST[[#This Row],[LS_TOTAL UNITS BUY]]-INVESTORS_LIST[[#This Row],[LS_TOTAL UNITS SOLD]])</f>
        <v>0</v>
      </c>
      <c r="H216" s="4">
        <f>IF(INVESTORS_LIST[[#This Row],[LS_TOTAL UNITS BUY]]=0,0,SUMIFS(LS[Amount],LS[Investor ID],INVESTORS_LIST[[#This Row],[INVESTOR CODE]],LS[B/S],"B"))</f>
        <v>319310</v>
      </c>
      <c r="I216" s="6">
        <f>IF(INVESTORS_LIST[[#This Row],[LS_TOTAL UNITS SOLD]]=0,0,SUMIFS(LS[Cost of Units Sold],LS[Investor ID],INVESTORS_LIST[[#This Row],[INVESTOR CODE]],LS[B/S],"S"))</f>
        <v>319310</v>
      </c>
      <c r="J216" s="6">
        <f>IF(INVESTORS_LIST[[#This Row],[LS_TOTAL CURRENT UNITS]]=0,0,INVESTORS_LIST[[#This Row],[LS_TOTAL CURRENT UNITS]]*INVESTORS_LIST[[#This Row],[LS_AVERAGE COST]])</f>
        <v>0</v>
      </c>
      <c r="K216" s="4">
        <f>IF(INVESTORS_LIST[[#This Row],[LS_TOTAL UNITS SOLD]]=0,0,SUMIFS(LS[Realized Gain],LS[Investor ID],INVESTORS_LIST[[#This Row],[INVESTOR CODE]],LS[B/S],"S"))</f>
        <v>15470.000000000005</v>
      </c>
      <c r="L216" s="2">
        <f>SUMIFS(SIP[Unit],SIP[Investor ID],INVESTORS_LIST[[#This Row],[INVESTOR CODE]],SIP[B/S],"B")</f>
        <v>0</v>
      </c>
      <c r="M216" s="2">
        <f>-SUMIFS(SIP[Unit],SIP[Investor ID],INVESTORS_LIST[[#This Row],[INVESTOR CODE]],SIP[B/S],"S")</f>
        <v>0</v>
      </c>
      <c r="N216" s="33">
        <f>IF(INVESTORS_LIST[[#This Row],[SIP_TOTAL UNITS BUY]]=0,0,INVESTORS_LIST[[#This Row],[SIP_TOTAL UNITS BUY]]-INVESTORS_LIST[[#This Row],[SIP_TOTAL UNITS SOLD]])</f>
        <v>0</v>
      </c>
      <c r="O216" s="4">
        <f>IF(INVESTORS_LIST[[#This Row],[SIP_TOTAL UNITS BUY]]=0,0,SUMIFS(SIP[Amount],SIP[Investor ID],INVESTORS_LIST[[#This Row],[INVESTOR CODE]],SIP[B/S],"B"))</f>
        <v>0</v>
      </c>
      <c r="P216" s="4">
        <f>IF(INVESTORS_LIST[[#This Row],[SIP_TOTAL UNITS SOLD]]=0,0,SUMIFS(SIP[Cost of Units Sold],SIP[Investor ID],INVESTORS_LIST[[#This Row],[INVESTOR CODE]],SIP[B/S],"S"))</f>
        <v>0</v>
      </c>
      <c r="Q216" s="6">
        <f>IF(INVESTORS_LIST[[#This Row],[SIP_TOTAL CURRENT UNITS]]=0,0,INVESTORS_LIST[[#This Row],[SIP_TOTAL CURRENT UNITS]]*INVESTORS_LIST[[#This Row],[SIP_AVERAGE COST]])</f>
        <v>0</v>
      </c>
      <c r="R216" s="6">
        <f>IF(INVESTORS_LIST[[#This Row],[SIP_TOTAL UNITS SOLD]]=0,0,SUMIFS(SIP[Realized Gain],SIP[Investor ID],INVESTORS_LIST[[#This Row],[INVESTOR CODE]],SIP[B/S],"S"))</f>
        <v>0</v>
      </c>
      <c r="S216" s="33">
        <f>INVESTORS_LIST[[#This Row],[LS_TOTAL UNITS BUY]]+INVESTORS_LIST[[#This Row],[SIP_TOTAL UNITS BUY]]</f>
        <v>30000</v>
      </c>
      <c r="T216" s="33">
        <f>INVESTORS_LIST[[#This Row],[LS_TOTAL UNITS SOLD]]+INVESTORS_LIST[[#This Row],[SIP_TOTAL UNITS SOLD]]</f>
        <v>30000</v>
      </c>
      <c r="U216" s="33">
        <v>0</v>
      </c>
      <c r="V216" s="33">
        <f>SUMIFS(LS[BO UNIT TRANSFER],LS[Investor ID],INVESTORS_LIST[[#This Row],[INVESTOR CODE]],LS[B/S],"B")</f>
        <v>0</v>
      </c>
      <c r="W216" s="33">
        <f>SUMIFS(LS[BO UNIT TRANSFER],LS[Investor ID],INVESTORS_LIST[[#This Row],[INVESTOR CODE]],LS[B/S],"S")</f>
        <v>0</v>
      </c>
      <c r="X216" s="33">
        <f>SUMIFS(SIP[BO UNIT TRANSFER],SIP[Investor ID],INVESTORS_LIST[[#This Row],[INVESTOR CODE]],SIP[B/S],"S")</f>
        <v>0</v>
      </c>
      <c r="Y216" s="33">
        <f>SUMIFS(SIP[BO UNIT TRANSFER],SIP[Investor ID],INVESTORS_LIST[[#This Row],[INVESTOR CODE]],SIP[B/S],"B")</f>
        <v>0</v>
      </c>
      <c r="Z21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16" s="119">
        <f>INVESTORS_LIST[[#This Row],[TOTAL UNITS BUY]]-INVESTORS_LIST[[#This Row],[TOTAL UNITS SOLD]]</f>
        <v>0</v>
      </c>
      <c r="AB216" s="119">
        <f>INVESTORS_LIST[[#This Row],[TOTAL CURRENT UNITS]]-INVESTORS_LIST[[#This Row],[BO UNITS HOLD]]</f>
        <v>0</v>
      </c>
      <c r="AC216" s="119" t="e">
        <f>INDEX([4]!Table_1[BO ID],MATCH(INVESTORS_LIST[[#This Row],[INVESTOR CODE]],[4]!Table_1[INVESTOR CODE],0))</f>
        <v>#REF!</v>
      </c>
      <c r="AD216" s="33">
        <f>INVESTORS_LIST[[#This Row],[LS_TOTAL COST VALUE OF CURRENT UNITS]]+INVESTORS_LIST[[#This Row],[SIP_TOTAL COST VALUE OF CURRENT UNITS]]</f>
        <v>0</v>
      </c>
      <c r="AE216" s="44">
        <f>IF(INVESTORS_LIST[[#This Row],[TOTAL CURRENT UNITS]]=0,0,INVESTORS_LIST[[#This Row],[LS_TOTAL CURRENT UNITS]]/INVESTORS_LIST[[#This Row],[TOTAL CURRENT UNITS]])</f>
        <v>0</v>
      </c>
      <c r="AF216" s="44">
        <f>IF(INVESTORS_LIST[[#This Row],[TOTAL CURRENT UNITS]]=0,0,INVESTORS_LIST[[#This Row],[SIP_TOTAL CURRENT UNITS]]/INVESTORS_LIST[[#This Row],[TOTAL CURRENT UNITS]])</f>
        <v>0</v>
      </c>
      <c r="AG216" s="4" cm="1">
        <f t="array" ref="AG2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16" s="4" cm="1">
        <f t="array" ref="AH2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1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16" s="178">
        <f t="shared" si="3"/>
        <v>12.552</v>
      </c>
      <c r="AK216" s="118">
        <f>IF(INVESTORS_LIST[[#This Row],[TOTAL CURRENT UNITS]]=0,0,INVESTORS_LIST[[#This Row],[TOTAL CURRENT UNITS]]*INVESTORS_LIST[[#This Row],[NAV]])</f>
        <v>0</v>
      </c>
      <c r="AL216" s="4">
        <f>IF(INVESTORS_LIST[[#This Row],[LS_TOTAL CURRENT UNITS]]=0,0,INVESTORS_LIST[[#This Row],[LS_TOTAL CURRENT UNITS]]*INVESTORS_LIST[[#This Row],[NAV]])</f>
        <v>0</v>
      </c>
      <c r="AM216" s="6">
        <f>IF(INVESTORS_LIST[[#This Row],[SIP_TOTAL CURRENT UNITS]]=0,0,INVESTORS_LIST[[#This Row],[SIP_TOTAL CURRENT UNITS]]*INVESTORS_LIST[[#This Row],[NAV]])</f>
        <v>0</v>
      </c>
      <c r="AO216" s="6">
        <f>IF(INVESTORS_LIST[[#This Row],[TOTAL SELLABLE UNITS]]=0,0,INVESTORS_LIST[[#This Row],[TOTAL SELLABLE UNITS]]*INVESTORS_LIST[[#This Row],[NAV]])</f>
        <v>0</v>
      </c>
      <c r="AP216" s="6">
        <f>INVESTORS_LIST[[#This Row],[LS_TOTAL REALIZED GAIN]]+INVESTORS_LIST[[#This Row],[SIP_TOTAL REALIZED GAIN]]</f>
        <v>15470.000000000005</v>
      </c>
      <c r="AQ216" s="6">
        <f>INVESTORS_LIST[[#This Row],[TOTAL MARKET VALUE]]-INVESTORS_LIST[[#This Row],[TOTAL COST VALUE OF CURRENT INVESTMENT]]</f>
        <v>0</v>
      </c>
      <c r="AR216" s="6">
        <f>SUMIFS(DivAndTax[Tax Amount],DivAndTax[Investor ID],INVESTORS_LIST[[#This Row],[INVESTOR CODE]])</f>
        <v>525</v>
      </c>
      <c r="AS216" s="6">
        <f>SUMIFS(DivAndTax[Gross Dividend],DivAndTax[Investor ID],INVESTORS_LIST[[#This Row],[INVESTOR CODE]])</f>
        <v>3500</v>
      </c>
      <c r="AT216" s="5">
        <f>IFERROR(INVESTORS_LIST[[#This Row],[TOTAL CURRENT UNITS]]/SUM(INVESTORS_LIST[TOTAL CURRENT UNITS]),0)</f>
        <v>0</v>
      </c>
    </row>
    <row r="217" spans="1:46" hidden="1">
      <c r="A217" t="s">
        <v>273</v>
      </c>
      <c r="B217" t="s">
        <v>274</v>
      </c>
      <c r="C217" t="s">
        <v>536</v>
      </c>
      <c r="D217" s="8" t="s">
        <v>2</v>
      </c>
      <c r="E217" s="2">
        <f>SUMIFS(LS[Unit],LS[Investor ID],INVESTORS_LIST[[#This Row],[INVESTOR CODE]],LS[B/S],"B")</f>
        <v>0</v>
      </c>
      <c r="F217" s="2">
        <f>-SUMIFS(LS[Unit],LS[Investor ID],INVESTORS_LIST[[#This Row],[INVESTOR CODE]],LS[B/S],"S")</f>
        <v>0</v>
      </c>
      <c r="G217" s="2">
        <f>IF(INVESTORS_LIST[[#This Row],[LS_TOTAL UNITS BUY]]=0,0,INVESTORS_LIST[[#This Row],[LS_TOTAL UNITS BUY]]-INVESTORS_LIST[[#This Row],[LS_TOTAL UNITS SOLD]])</f>
        <v>0</v>
      </c>
      <c r="H217" s="4">
        <f>IF(INVESTORS_LIST[[#This Row],[LS_TOTAL UNITS BUY]]=0,0,SUMIFS(LS[Amount],LS[Investor ID],INVESTORS_LIST[[#This Row],[INVESTOR CODE]],LS[B/S],"B"))</f>
        <v>0</v>
      </c>
      <c r="I217" s="6">
        <f>IF(INVESTORS_LIST[[#This Row],[LS_TOTAL UNITS SOLD]]=0,0,SUMIFS(LS[Cost of Units Sold],LS[Investor ID],INVESTORS_LIST[[#This Row],[INVESTOR CODE]],LS[B/S],"S"))</f>
        <v>0</v>
      </c>
      <c r="J217" s="6">
        <f>IF(INVESTORS_LIST[[#This Row],[LS_TOTAL CURRENT UNITS]]=0,0,INVESTORS_LIST[[#This Row],[LS_TOTAL CURRENT UNITS]]*INVESTORS_LIST[[#This Row],[LS_AVERAGE COST]])</f>
        <v>0</v>
      </c>
      <c r="K217" s="4">
        <f>IF(INVESTORS_LIST[[#This Row],[LS_TOTAL UNITS SOLD]]=0,0,SUMIFS(LS[Realized Gain],LS[Investor ID],INVESTORS_LIST[[#This Row],[INVESTOR CODE]],LS[B/S],"S"))</f>
        <v>0</v>
      </c>
      <c r="L217" s="2">
        <f>SUMIFS(SIP[Unit],SIP[Investor ID],INVESTORS_LIST[[#This Row],[INVESTOR CODE]],SIP[B/S],"B")</f>
        <v>0</v>
      </c>
      <c r="M217" s="2">
        <f>-SUMIFS(SIP[Unit],SIP[Investor ID],INVESTORS_LIST[[#This Row],[INVESTOR CODE]],SIP[B/S],"S")</f>
        <v>0</v>
      </c>
      <c r="N217" s="33">
        <f>IF(INVESTORS_LIST[[#This Row],[SIP_TOTAL UNITS BUY]]=0,0,INVESTORS_LIST[[#This Row],[SIP_TOTAL UNITS BUY]]-INVESTORS_LIST[[#This Row],[SIP_TOTAL UNITS SOLD]])</f>
        <v>0</v>
      </c>
      <c r="O217" s="4">
        <f>IF(INVESTORS_LIST[[#This Row],[SIP_TOTAL UNITS BUY]]=0,0,SUMIFS(SIP[Amount],SIP[Investor ID],INVESTORS_LIST[[#This Row],[INVESTOR CODE]],SIP[B/S],"B"))</f>
        <v>0</v>
      </c>
      <c r="P217" s="4">
        <f>IF(INVESTORS_LIST[[#This Row],[SIP_TOTAL UNITS SOLD]]=0,0,SUMIFS(SIP[Cost of Units Sold],SIP[Investor ID],INVESTORS_LIST[[#This Row],[INVESTOR CODE]],SIP[B/S],"S"))</f>
        <v>0</v>
      </c>
      <c r="Q217" s="6">
        <f>IF(INVESTORS_LIST[[#This Row],[SIP_TOTAL CURRENT UNITS]]=0,0,INVESTORS_LIST[[#This Row],[SIP_TOTAL CURRENT UNITS]]*INVESTORS_LIST[[#This Row],[SIP_AVERAGE COST]])</f>
        <v>0</v>
      </c>
      <c r="R217" s="6">
        <f>IF(INVESTORS_LIST[[#This Row],[SIP_TOTAL UNITS SOLD]]=0,0,SUMIFS(SIP[Realized Gain],SIP[Investor ID],INVESTORS_LIST[[#This Row],[INVESTOR CODE]],SIP[B/S],"S"))</f>
        <v>0</v>
      </c>
      <c r="S217" s="33">
        <f>INVESTORS_LIST[[#This Row],[LS_TOTAL UNITS BUY]]+INVESTORS_LIST[[#This Row],[SIP_TOTAL UNITS BUY]]</f>
        <v>0</v>
      </c>
      <c r="T217" s="33">
        <f>INVESTORS_LIST[[#This Row],[LS_TOTAL UNITS SOLD]]+INVESTORS_LIST[[#This Row],[SIP_TOTAL UNITS SOLD]]</f>
        <v>0</v>
      </c>
      <c r="U217" s="33">
        <v>0</v>
      </c>
      <c r="V217" s="33">
        <f>SUMIFS(LS[BO UNIT TRANSFER],LS[Investor ID],INVESTORS_LIST[[#This Row],[INVESTOR CODE]],LS[B/S],"B")</f>
        <v>0</v>
      </c>
      <c r="W217" s="33">
        <f>SUMIFS(LS[BO UNIT TRANSFER],LS[Investor ID],INVESTORS_LIST[[#This Row],[INVESTOR CODE]],LS[B/S],"S")</f>
        <v>0</v>
      </c>
      <c r="X217" s="33">
        <f>SUMIFS(SIP[BO UNIT TRANSFER],SIP[Investor ID],INVESTORS_LIST[[#This Row],[INVESTOR CODE]],SIP[B/S],"S")</f>
        <v>0</v>
      </c>
      <c r="Y217" s="33">
        <f>SUMIFS(SIP[BO UNIT TRANSFER],SIP[Investor ID],INVESTORS_LIST[[#This Row],[INVESTOR CODE]],SIP[B/S],"B")</f>
        <v>0</v>
      </c>
      <c r="Z21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17" s="119">
        <f>INVESTORS_LIST[[#This Row],[TOTAL UNITS BUY]]-INVESTORS_LIST[[#This Row],[TOTAL UNITS SOLD]]</f>
        <v>0</v>
      </c>
      <c r="AB217" s="119">
        <f>INVESTORS_LIST[[#This Row],[TOTAL CURRENT UNITS]]-INVESTORS_LIST[[#This Row],[BO UNITS HOLD]]</f>
        <v>0</v>
      </c>
      <c r="AC217" s="119" t="e">
        <f>INDEX([4]!Table_1[BO ID],MATCH(INVESTORS_LIST[[#This Row],[INVESTOR CODE]],[4]!Table_1[INVESTOR CODE],0))</f>
        <v>#REF!</v>
      </c>
      <c r="AD217" s="33">
        <f>INVESTORS_LIST[[#This Row],[LS_TOTAL COST VALUE OF CURRENT UNITS]]+INVESTORS_LIST[[#This Row],[SIP_TOTAL COST VALUE OF CURRENT UNITS]]</f>
        <v>0</v>
      </c>
      <c r="AE217" s="44">
        <f>IF(INVESTORS_LIST[[#This Row],[TOTAL CURRENT UNITS]]=0,0,INVESTORS_LIST[[#This Row],[LS_TOTAL CURRENT UNITS]]/INVESTORS_LIST[[#This Row],[TOTAL CURRENT UNITS]])</f>
        <v>0</v>
      </c>
      <c r="AF217" s="44">
        <f>IF(INVESTORS_LIST[[#This Row],[TOTAL CURRENT UNITS]]=0,0,INVESTORS_LIST[[#This Row],[SIP_TOTAL CURRENT UNITS]]/INVESTORS_LIST[[#This Row],[TOTAL CURRENT UNITS]])</f>
        <v>0</v>
      </c>
      <c r="AG217" s="4" cm="1">
        <f t="array" ref="AG2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17" s="4" cm="1">
        <f t="array" ref="AH2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1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17" s="178">
        <f t="shared" si="3"/>
        <v>12.552</v>
      </c>
      <c r="AK217" s="118">
        <f>IF(INVESTORS_LIST[[#This Row],[TOTAL CURRENT UNITS]]=0,0,INVESTORS_LIST[[#This Row],[TOTAL CURRENT UNITS]]*INVESTORS_LIST[[#This Row],[NAV]])</f>
        <v>0</v>
      </c>
      <c r="AL217" s="4">
        <f>IF(INVESTORS_LIST[[#This Row],[LS_TOTAL CURRENT UNITS]]=0,0,INVESTORS_LIST[[#This Row],[LS_TOTAL CURRENT UNITS]]*INVESTORS_LIST[[#This Row],[NAV]])</f>
        <v>0</v>
      </c>
      <c r="AM217" s="6">
        <f>IF(INVESTORS_LIST[[#This Row],[SIP_TOTAL CURRENT UNITS]]=0,0,INVESTORS_LIST[[#This Row],[SIP_TOTAL CURRENT UNITS]]*INVESTORS_LIST[[#This Row],[NAV]])</f>
        <v>0</v>
      </c>
      <c r="AO217" s="6">
        <f>IF(INVESTORS_LIST[[#This Row],[TOTAL SELLABLE UNITS]]=0,0,INVESTORS_LIST[[#This Row],[TOTAL SELLABLE UNITS]]*INVESTORS_LIST[[#This Row],[NAV]])</f>
        <v>0</v>
      </c>
      <c r="AP217" s="6">
        <f>INVESTORS_LIST[[#This Row],[LS_TOTAL REALIZED GAIN]]+INVESTORS_LIST[[#This Row],[SIP_TOTAL REALIZED GAIN]]</f>
        <v>0</v>
      </c>
      <c r="AQ217" s="6">
        <f>INVESTORS_LIST[[#This Row],[TOTAL MARKET VALUE]]-INVESTORS_LIST[[#This Row],[TOTAL COST VALUE OF CURRENT INVESTMENT]]</f>
        <v>0</v>
      </c>
      <c r="AR217" s="6">
        <f>SUMIFS(DivAndTax[Tax Amount],DivAndTax[Investor ID],INVESTORS_LIST[[#This Row],[INVESTOR CODE]])</f>
        <v>0</v>
      </c>
      <c r="AS217" s="6">
        <f>SUMIFS(DivAndTax[Gross Dividend],DivAndTax[Investor ID],INVESTORS_LIST[[#This Row],[INVESTOR CODE]])</f>
        <v>0</v>
      </c>
      <c r="AT217" s="5">
        <f>IFERROR(INVESTORS_LIST[[#This Row],[TOTAL CURRENT UNITS]]/SUM(INVESTORS_LIST[TOTAL CURRENT UNITS]),0)</f>
        <v>0</v>
      </c>
    </row>
    <row r="218" spans="1:46" hidden="1">
      <c r="A218" t="s">
        <v>275</v>
      </c>
      <c r="B218" t="s">
        <v>276</v>
      </c>
      <c r="C218" t="s">
        <v>536</v>
      </c>
      <c r="D218" s="8" t="s">
        <v>2</v>
      </c>
      <c r="E218" s="2">
        <f>SUMIFS(LS[Unit],LS[Investor ID],INVESTORS_LIST[[#This Row],[INVESTOR CODE]],LS[B/S],"B")</f>
        <v>0</v>
      </c>
      <c r="F218" s="2">
        <f>-SUMIFS(LS[Unit],LS[Investor ID],INVESTORS_LIST[[#This Row],[INVESTOR CODE]],LS[B/S],"S")</f>
        <v>0</v>
      </c>
      <c r="G218" s="2">
        <f>IF(INVESTORS_LIST[[#This Row],[LS_TOTAL UNITS BUY]]=0,0,INVESTORS_LIST[[#This Row],[LS_TOTAL UNITS BUY]]-INVESTORS_LIST[[#This Row],[LS_TOTAL UNITS SOLD]])</f>
        <v>0</v>
      </c>
      <c r="H218" s="4">
        <f>IF(INVESTORS_LIST[[#This Row],[LS_TOTAL UNITS BUY]]=0,0,SUMIFS(LS[Amount],LS[Investor ID],INVESTORS_LIST[[#This Row],[INVESTOR CODE]],LS[B/S],"B"))</f>
        <v>0</v>
      </c>
      <c r="I218" s="6">
        <f>IF(INVESTORS_LIST[[#This Row],[LS_TOTAL UNITS SOLD]]=0,0,SUMIFS(LS[Cost of Units Sold],LS[Investor ID],INVESTORS_LIST[[#This Row],[INVESTOR CODE]],LS[B/S],"S"))</f>
        <v>0</v>
      </c>
      <c r="J218" s="6">
        <f>IF(INVESTORS_LIST[[#This Row],[LS_TOTAL CURRENT UNITS]]=0,0,INVESTORS_LIST[[#This Row],[LS_TOTAL CURRENT UNITS]]*INVESTORS_LIST[[#This Row],[LS_AVERAGE COST]])</f>
        <v>0</v>
      </c>
      <c r="K218" s="4">
        <f>IF(INVESTORS_LIST[[#This Row],[LS_TOTAL UNITS SOLD]]=0,0,SUMIFS(LS[Realized Gain],LS[Investor ID],INVESTORS_LIST[[#This Row],[INVESTOR CODE]],LS[B/S],"S"))</f>
        <v>0</v>
      </c>
      <c r="L218" s="2">
        <f>SUMIFS(SIP[Unit],SIP[Investor ID],INVESTORS_LIST[[#This Row],[INVESTOR CODE]],SIP[B/S],"B")</f>
        <v>0</v>
      </c>
      <c r="M218" s="2">
        <f>-SUMIFS(SIP[Unit],SIP[Investor ID],INVESTORS_LIST[[#This Row],[INVESTOR CODE]],SIP[B/S],"S")</f>
        <v>0</v>
      </c>
      <c r="N218" s="33">
        <f>IF(INVESTORS_LIST[[#This Row],[SIP_TOTAL UNITS BUY]]=0,0,INVESTORS_LIST[[#This Row],[SIP_TOTAL UNITS BUY]]-INVESTORS_LIST[[#This Row],[SIP_TOTAL UNITS SOLD]])</f>
        <v>0</v>
      </c>
      <c r="O218" s="4">
        <f>IF(INVESTORS_LIST[[#This Row],[SIP_TOTAL UNITS BUY]]=0,0,SUMIFS(SIP[Amount],SIP[Investor ID],INVESTORS_LIST[[#This Row],[INVESTOR CODE]],SIP[B/S],"B"))</f>
        <v>0</v>
      </c>
      <c r="P218" s="4">
        <f>IF(INVESTORS_LIST[[#This Row],[SIP_TOTAL UNITS SOLD]]=0,0,SUMIFS(SIP[Cost of Units Sold],SIP[Investor ID],INVESTORS_LIST[[#This Row],[INVESTOR CODE]],SIP[B/S],"S"))</f>
        <v>0</v>
      </c>
      <c r="Q218" s="6">
        <f>IF(INVESTORS_LIST[[#This Row],[SIP_TOTAL CURRENT UNITS]]=0,0,INVESTORS_LIST[[#This Row],[SIP_TOTAL CURRENT UNITS]]*INVESTORS_LIST[[#This Row],[SIP_AVERAGE COST]])</f>
        <v>0</v>
      </c>
      <c r="R218" s="6">
        <f>IF(INVESTORS_LIST[[#This Row],[SIP_TOTAL UNITS SOLD]]=0,0,SUMIFS(SIP[Realized Gain],SIP[Investor ID],INVESTORS_LIST[[#This Row],[INVESTOR CODE]],SIP[B/S],"S"))</f>
        <v>0</v>
      </c>
      <c r="S218" s="33">
        <f>INVESTORS_LIST[[#This Row],[LS_TOTAL UNITS BUY]]+INVESTORS_LIST[[#This Row],[SIP_TOTAL UNITS BUY]]</f>
        <v>0</v>
      </c>
      <c r="T218" s="33">
        <f>INVESTORS_LIST[[#This Row],[LS_TOTAL UNITS SOLD]]+INVESTORS_LIST[[#This Row],[SIP_TOTAL UNITS SOLD]]</f>
        <v>0</v>
      </c>
      <c r="U218" s="33">
        <v>0</v>
      </c>
      <c r="V218" s="33">
        <f>SUMIFS(LS[BO UNIT TRANSFER],LS[Investor ID],INVESTORS_LIST[[#This Row],[INVESTOR CODE]],LS[B/S],"B")</f>
        <v>0</v>
      </c>
      <c r="W218" s="33">
        <f>SUMIFS(LS[BO UNIT TRANSFER],LS[Investor ID],INVESTORS_LIST[[#This Row],[INVESTOR CODE]],LS[B/S],"S")</f>
        <v>0</v>
      </c>
      <c r="X218" s="33">
        <f>SUMIFS(SIP[BO UNIT TRANSFER],SIP[Investor ID],INVESTORS_LIST[[#This Row],[INVESTOR CODE]],SIP[B/S],"S")</f>
        <v>0</v>
      </c>
      <c r="Y218" s="33">
        <f>SUMIFS(SIP[BO UNIT TRANSFER],SIP[Investor ID],INVESTORS_LIST[[#This Row],[INVESTOR CODE]],SIP[B/S],"B")</f>
        <v>0</v>
      </c>
      <c r="Z21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18" s="119">
        <f>INVESTORS_LIST[[#This Row],[TOTAL UNITS BUY]]-INVESTORS_LIST[[#This Row],[TOTAL UNITS SOLD]]</f>
        <v>0</v>
      </c>
      <c r="AB218" s="119">
        <f>INVESTORS_LIST[[#This Row],[TOTAL CURRENT UNITS]]-INVESTORS_LIST[[#This Row],[BO UNITS HOLD]]</f>
        <v>0</v>
      </c>
      <c r="AC218" s="119" t="e">
        <f>INDEX([4]!Table_1[BO ID],MATCH(INVESTORS_LIST[[#This Row],[INVESTOR CODE]],[4]!Table_1[INVESTOR CODE],0))</f>
        <v>#REF!</v>
      </c>
      <c r="AD218" s="33">
        <f>INVESTORS_LIST[[#This Row],[LS_TOTAL COST VALUE OF CURRENT UNITS]]+INVESTORS_LIST[[#This Row],[SIP_TOTAL COST VALUE OF CURRENT UNITS]]</f>
        <v>0</v>
      </c>
      <c r="AE218" s="44">
        <f>IF(INVESTORS_LIST[[#This Row],[TOTAL CURRENT UNITS]]=0,0,INVESTORS_LIST[[#This Row],[LS_TOTAL CURRENT UNITS]]/INVESTORS_LIST[[#This Row],[TOTAL CURRENT UNITS]])</f>
        <v>0</v>
      </c>
      <c r="AF218" s="44">
        <f>IF(INVESTORS_LIST[[#This Row],[TOTAL CURRENT UNITS]]=0,0,INVESTORS_LIST[[#This Row],[SIP_TOTAL CURRENT UNITS]]/INVESTORS_LIST[[#This Row],[TOTAL CURRENT UNITS]])</f>
        <v>0</v>
      </c>
      <c r="AG218" s="4" cm="1">
        <f t="array" ref="AG2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18" s="4" cm="1">
        <f t="array" ref="AH2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1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18" s="178">
        <f t="shared" si="3"/>
        <v>12.552</v>
      </c>
      <c r="AK218" s="118">
        <f>IF(INVESTORS_LIST[[#This Row],[TOTAL CURRENT UNITS]]=0,0,INVESTORS_LIST[[#This Row],[TOTAL CURRENT UNITS]]*INVESTORS_LIST[[#This Row],[NAV]])</f>
        <v>0</v>
      </c>
      <c r="AL218" s="4">
        <f>IF(INVESTORS_LIST[[#This Row],[LS_TOTAL CURRENT UNITS]]=0,0,INVESTORS_LIST[[#This Row],[LS_TOTAL CURRENT UNITS]]*INVESTORS_LIST[[#This Row],[NAV]])</f>
        <v>0</v>
      </c>
      <c r="AM218" s="6">
        <f>IF(INVESTORS_LIST[[#This Row],[SIP_TOTAL CURRENT UNITS]]=0,0,INVESTORS_LIST[[#This Row],[SIP_TOTAL CURRENT UNITS]]*INVESTORS_LIST[[#This Row],[NAV]])</f>
        <v>0</v>
      </c>
      <c r="AO218" s="6">
        <f>IF(INVESTORS_LIST[[#This Row],[TOTAL SELLABLE UNITS]]=0,0,INVESTORS_LIST[[#This Row],[TOTAL SELLABLE UNITS]]*INVESTORS_LIST[[#This Row],[NAV]])</f>
        <v>0</v>
      </c>
      <c r="AP218" s="6">
        <f>INVESTORS_LIST[[#This Row],[LS_TOTAL REALIZED GAIN]]+INVESTORS_LIST[[#This Row],[SIP_TOTAL REALIZED GAIN]]</f>
        <v>0</v>
      </c>
      <c r="AQ218" s="6">
        <f>INVESTORS_LIST[[#This Row],[TOTAL MARKET VALUE]]-INVESTORS_LIST[[#This Row],[TOTAL COST VALUE OF CURRENT INVESTMENT]]</f>
        <v>0</v>
      </c>
      <c r="AR218" s="6">
        <f>SUMIFS(DivAndTax[Tax Amount],DivAndTax[Investor ID],INVESTORS_LIST[[#This Row],[INVESTOR CODE]])</f>
        <v>0</v>
      </c>
      <c r="AS218" s="6">
        <f>SUMIFS(DivAndTax[Gross Dividend],DivAndTax[Investor ID],INVESTORS_LIST[[#This Row],[INVESTOR CODE]])</f>
        <v>0</v>
      </c>
      <c r="AT218" s="5">
        <f>IFERROR(INVESTORS_LIST[[#This Row],[TOTAL CURRENT UNITS]]/SUM(INVESTORS_LIST[TOTAL CURRENT UNITS]),0)</f>
        <v>0</v>
      </c>
    </row>
    <row r="219" spans="1:46" hidden="1">
      <c r="A219" t="s">
        <v>277</v>
      </c>
      <c r="B219" t="s">
        <v>278</v>
      </c>
      <c r="C219" t="s">
        <v>536</v>
      </c>
      <c r="D219" s="8" t="s">
        <v>2</v>
      </c>
      <c r="E219" s="2">
        <f>SUMIFS(LS[Unit],LS[Investor ID],INVESTORS_LIST[[#This Row],[INVESTOR CODE]],LS[B/S],"B")</f>
        <v>0</v>
      </c>
      <c r="F219" s="2">
        <f>-SUMIFS(LS[Unit],LS[Investor ID],INVESTORS_LIST[[#This Row],[INVESTOR CODE]],LS[B/S],"S")</f>
        <v>0</v>
      </c>
      <c r="G219" s="2">
        <f>IF(INVESTORS_LIST[[#This Row],[LS_TOTAL UNITS BUY]]=0,0,INVESTORS_LIST[[#This Row],[LS_TOTAL UNITS BUY]]-INVESTORS_LIST[[#This Row],[LS_TOTAL UNITS SOLD]])</f>
        <v>0</v>
      </c>
      <c r="H219" s="4">
        <f>IF(INVESTORS_LIST[[#This Row],[LS_TOTAL UNITS BUY]]=0,0,SUMIFS(LS[Amount],LS[Investor ID],INVESTORS_LIST[[#This Row],[INVESTOR CODE]],LS[B/S],"B"))</f>
        <v>0</v>
      </c>
      <c r="I219" s="6">
        <f>IF(INVESTORS_LIST[[#This Row],[LS_TOTAL UNITS SOLD]]=0,0,SUMIFS(LS[Cost of Units Sold],LS[Investor ID],INVESTORS_LIST[[#This Row],[INVESTOR CODE]],LS[B/S],"S"))</f>
        <v>0</v>
      </c>
      <c r="J219" s="6">
        <f>IF(INVESTORS_LIST[[#This Row],[LS_TOTAL CURRENT UNITS]]=0,0,INVESTORS_LIST[[#This Row],[LS_TOTAL CURRENT UNITS]]*INVESTORS_LIST[[#This Row],[LS_AVERAGE COST]])</f>
        <v>0</v>
      </c>
      <c r="K219" s="4">
        <f>IF(INVESTORS_LIST[[#This Row],[LS_TOTAL UNITS SOLD]]=0,0,SUMIFS(LS[Realized Gain],LS[Investor ID],INVESTORS_LIST[[#This Row],[INVESTOR CODE]],LS[B/S],"S"))</f>
        <v>0</v>
      </c>
      <c r="L219" s="2">
        <f>SUMIFS(SIP[Unit],SIP[Investor ID],INVESTORS_LIST[[#This Row],[INVESTOR CODE]],SIP[B/S],"B")</f>
        <v>0</v>
      </c>
      <c r="M219" s="2">
        <f>-SUMIFS(SIP[Unit],SIP[Investor ID],INVESTORS_LIST[[#This Row],[INVESTOR CODE]],SIP[B/S],"S")</f>
        <v>0</v>
      </c>
      <c r="N219" s="33">
        <f>IF(INVESTORS_LIST[[#This Row],[SIP_TOTAL UNITS BUY]]=0,0,INVESTORS_LIST[[#This Row],[SIP_TOTAL UNITS BUY]]-INVESTORS_LIST[[#This Row],[SIP_TOTAL UNITS SOLD]])</f>
        <v>0</v>
      </c>
      <c r="O219" s="4">
        <f>IF(INVESTORS_LIST[[#This Row],[SIP_TOTAL UNITS BUY]]=0,0,SUMIFS(SIP[Amount],SIP[Investor ID],INVESTORS_LIST[[#This Row],[INVESTOR CODE]],SIP[B/S],"B"))</f>
        <v>0</v>
      </c>
      <c r="P219" s="4">
        <f>IF(INVESTORS_LIST[[#This Row],[SIP_TOTAL UNITS SOLD]]=0,0,SUMIFS(SIP[Cost of Units Sold],SIP[Investor ID],INVESTORS_LIST[[#This Row],[INVESTOR CODE]],SIP[B/S],"S"))</f>
        <v>0</v>
      </c>
      <c r="Q219" s="6">
        <f>IF(INVESTORS_LIST[[#This Row],[SIP_TOTAL CURRENT UNITS]]=0,0,INVESTORS_LIST[[#This Row],[SIP_TOTAL CURRENT UNITS]]*INVESTORS_LIST[[#This Row],[SIP_AVERAGE COST]])</f>
        <v>0</v>
      </c>
      <c r="R219" s="6">
        <f>IF(INVESTORS_LIST[[#This Row],[SIP_TOTAL UNITS SOLD]]=0,0,SUMIFS(SIP[Realized Gain],SIP[Investor ID],INVESTORS_LIST[[#This Row],[INVESTOR CODE]],SIP[B/S],"S"))</f>
        <v>0</v>
      </c>
      <c r="S219" s="33">
        <f>INVESTORS_LIST[[#This Row],[LS_TOTAL UNITS BUY]]+INVESTORS_LIST[[#This Row],[SIP_TOTAL UNITS BUY]]</f>
        <v>0</v>
      </c>
      <c r="T219" s="33">
        <f>INVESTORS_LIST[[#This Row],[LS_TOTAL UNITS SOLD]]+INVESTORS_LIST[[#This Row],[SIP_TOTAL UNITS SOLD]]</f>
        <v>0</v>
      </c>
      <c r="U219" s="33">
        <v>0</v>
      </c>
      <c r="V219" s="33">
        <f>SUMIFS(LS[BO UNIT TRANSFER],LS[Investor ID],INVESTORS_LIST[[#This Row],[INVESTOR CODE]],LS[B/S],"B")</f>
        <v>0</v>
      </c>
      <c r="W219" s="33">
        <f>SUMIFS(LS[BO UNIT TRANSFER],LS[Investor ID],INVESTORS_LIST[[#This Row],[INVESTOR CODE]],LS[B/S],"S")</f>
        <v>0</v>
      </c>
      <c r="X219" s="33">
        <f>SUMIFS(SIP[BO UNIT TRANSFER],SIP[Investor ID],INVESTORS_LIST[[#This Row],[INVESTOR CODE]],SIP[B/S],"S")</f>
        <v>0</v>
      </c>
      <c r="Y219" s="33">
        <f>SUMIFS(SIP[BO UNIT TRANSFER],SIP[Investor ID],INVESTORS_LIST[[#This Row],[INVESTOR CODE]],SIP[B/S],"B")</f>
        <v>0</v>
      </c>
      <c r="Z21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19" s="119">
        <f>INVESTORS_LIST[[#This Row],[TOTAL UNITS BUY]]-INVESTORS_LIST[[#This Row],[TOTAL UNITS SOLD]]</f>
        <v>0</v>
      </c>
      <c r="AB219" s="119">
        <f>INVESTORS_LIST[[#This Row],[TOTAL CURRENT UNITS]]-INVESTORS_LIST[[#This Row],[BO UNITS HOLD]]</f>
        <v>0</v>
      </c>
      <c r="AC219" s="119" t="e">
        <f>INDEX([4]!Table_1[BO ID],MATCH(INVESTORS_LIST[[#This Row],[INVESTOR CODE]],[4]!Table_1[INVESTOR CODE],0))</f>
        <v>#REF!</v>
      </c>
      <c r="AD219" s="33">
        <f>INVESTORS_LIST[[#This Row],[LS_TOTAL COST VALUE OF CURRENT UNITS]]+INVESTORS_LIST[[#This Row],[SIP_TOTAL COST VALUE OF CURRENT UNITS]]</f>
        <v>0</v>
      </c>
      <c r="AE219" s="44">
        <f>IF(INVESTORS_LIST[[#This Row],[TOTAL CURRENT UNITS]]=0,0,INVESTORS_LIST[[#This Row],[LS_TOTAL CURRENT UNITS]]/INVESTORS_LIST[[#This Row],[TOTAL CURRENT UNITS]])</f>
        <v>0</v>
      </c>
      <c r="AF219" s="44">
        <f>IF(INVESTORS_LIST[[#This Row],[TOTAL CURRENT UNITS]]=0,0,INVESTORS_LIST[[#This Row],[SIP_TOTAL CURRENT UNITS]]/INVESTORS_LIST[[#This Row],[TOTAL CURRENT UNITS]])</f>
        <v>0</v>
      </c>
      <c r="AG219" s="4" cm="1">
        <f t="array" ref="AG2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19" s="4" cm="1">
        <f t="array" ref="AH2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1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19" s="178">
        <f t="shared" si="3"/>
        <v>12.552</v>
      </c>
      <c r="AK219" s="118">
        <f>IF(INVESTORS_LIST[[#This Row],[TOTAL CURRENT UNITS]]=0,0,INVESTORS_LIST[[#This Row],[TOTAL CURRENT UNITS]]*INVESTORS_LIST[[#This Row],[NAV]])</f>
        <v>0</v>
      </c>
      <c r="AL219" s="4">
        <f>IF(INVESTORS_LIST[[#This Row],[LS_TOTAL CURRENT UNITS]]=0,0,INVESTORS_LIST[[#This Row],[LS_TOTAL CURRENT UNITS]]*INVESTORS_LIST[[#This Row],[NAV]])</f>
        <v>0</v>
      </c>
      <c r="AM219" s="6">
        <f>IF(INVESTORS_LIST[[#This Row],[SIP_TOTAL CURRENT UNITS]]=0,0,INVESTORS_LIST[[#This Row],[SIP_TOTAL CURRENT UNITS]]*INVESTORS_LIST[[#This Row],[NAV]])</f>
        <v>0</v>
      </c>
      <c r="AO219" s="6">
        <f>IF(INVESTORS_LIST[[#This Row],[TOTAL SELLABLE UNITS]]=0,0,INVESTORS_LIST[[#This Row],[TOTAL SELLABLE UNITS]]*INVESTORS_LIST[[#This Row],[NAV]])</f>
        <v>0</v>
      </c>
      <c r="AP219" s="6">
        <f>INVESTORS_LIST[[#This Row],[LS_TOTAL REALIZED GAIN]]+INVESTORS_LIST[[#This Row],[SIP_TOTAL REALIZED GAIN]]</f>
        <v>0</v>
      </c>
      <c r="AQ219" s="6">
        <f>INVESTORS_LIST[[#This Row],[TOTAL MARKET VALUE]]-INVESTORS_LIST[[#This Row],[TOTAL COST VALUE OF CURRENT INVESTMENT]]</f>
        <v>0</v>
      </c>
      <c r="AR219" s="6">
        <f>SUMIFS(DivAndTax[Tax Amount],DivAndTax[Investor ID],INVESTORS_LIST[[#This Row],[INVESTOR CODE]])</f>
        <v>0</v>
      </c>
      <c r="AS219" s="6">
        <f>SUMIFS(DivAndTax[Gross Dividend],DivAndTax[Investor ID],INVESTORS_LIST[[#This Row],[INVESTOR CODE]])</f>
        <v>0</v>
      </c>
      <c r="AT219" s="5">
        <f>IFERROR(INVESTORS_LIST[[#This Row],[TOTAL CURRENT UNITS]]/SUM(INVESTORS_LIST[TOTAL CURRENT UNITS]),0)</f>
        <v>0</v>
      </c>
    </row>
    <row r="220" spans="1:46" hidden="1">
      <c r="A220" t="s">
        <v>494</v>
      </c>
      <c r="B220" t="s">
        <v>495</v>
      </c>
      <c r="C220" t="s">
        <v>536</v>
      </c>
      <c r="D220" s="8" t="s">
        <v>2</v>
      </c>
      <c r="E220" s="2">
        <f>SUMIFS(LS[Unit],LS[Investor ID],INVESTORS_LIST[[#This Row],[INVESTOR CODE]],LS[B/S],"B")</f>
        <v>0</v>
      </c>
      <c r="F220" s="2">
        <f>-SUMIFS(LS[Unit],LS[Investor ID],INVESTORS_LIST[[#This Row],[INVESTOR CODE]],LS[B/S],"S")</f>
        <v>0</v>
      </c>
      <c r="G220" s="2">
        <f>IF(INVESTORS_LIST[[#This Row],[LS_TOTAL UNITS BUY]]=0,0,INVESTORS_LIST[[#This Row],[LS_TOTAL UNITS BUY]]-INVESTORS_LIST[[#This Row],[LS_TOTAL UNITS SOLD]])</f>
        <v>0</v>
      </c>
      <c r="H220" s="4">
        <f>IF(INVESTORS_LIST[[#This Row],[LS_TOTAL UNITS BUY]]=0,0,SUMIFS(LS[Amount],LS[Investor ID],INVESTORS_LIST[[#This Row],[INVESTOR CODE]],LS[B/S],"B"))</f>
        <v>0</v>
      </c>
      <c r="I220" s="6">
        <f>IF(INVESTORS_LIST[[#This Row],[LS_TOTAL UNITS SOLD]]=0,0,SUMIFS(LS[Cost of Units Sold],LS[Investor ID],INVESTORS_LIST[[#This Row],[INVESTOR CODE]],LS[B/S],"S"))</f>
        <v>0</v>
      </c>
      <c r="J220" s="6">
        <f>IF(INVESTORS_LIST[[#This Row],[LS_TOTAL CURRENT UNITS]]=0,0,INVESTORS_LIST[[#This Row],[LS_TOTAL CURRENT UNITS]]*INVESTORS_LIST[[#This Row],[LS_AVERAGE COST]])</f>
        <v>0</v>
      </c>
      <c r="K220" s="4">
        <f>IF(INVESTORS_LIST[[#This Row],[LS_TOTAL UNITS SOLD]]=0,0,SUMIFS(LS[Realized Gain],LS[Investor ID],INVESTORS_LIST[[#This Row],[INVESTOR CODE]],LS[B/S],"S"))</f>
        <v>0</v>
      </c>
      <c r="L220" s="2">
        <f>SUMIFS(SIP[Unit],SIP[Investor ID],INVESTORS_LIST[[#This Row],[INVESTOR CODE]],SIP[B/S],"B")</f>
        <v>0</v>
      </c>
      <c r="M220" s="2">
        <f>-SUMIFS(SIP[Unit],SIP[Investor ID],INVESTORS_LIST[[#This Row],[INVESTOR CODE]],SIP[B/S],"S")</f>
        <v>0</v>
      </c>
      <c r="N220" s="33">
        <f>IF(INVESTORS_LIST[[#This Row],[SIP_TOTAL UNITS BUY]]=0,0,INVESTORS_LIST[[#This Row],[SIP_TOTAL UNITS BUY]]-INVESTORS_LIST[[#This Row],[SIP_TOTAL UNITS SOLD]])</f>
        <v>0</v>
      </c>
      <c r="O220" s="4">
        <f>IF(INVESTORS_LIST[[#This Row],[SIP_TOTAL UNITS BUY]]=0,0,SUMIFS(SIP[Amount],SIP[Investor ID],INVESTORS_LIST[[#This Row],[INVESTOR CODE]],SIP[B/S],"B"))</f>
        <v>0</v>
      </c>
      <c r="P220" s="4">
        <f>IF(INVESTORS_LIST[[#This Row],[SIP_TOTAL UNITS SOLD]]=0,0,SUMIFS(SIP[Cost of Units Sold],SIP[Investor ID],INVESTORS_LIST[[#This Row],[INVESTOR CODE]],SIP[B/S],"S"))</f>
        <v>0</v>
      </c>
      <c r="Q220" s="6">
        <f>IF(INVESTORS_LIST[[#This Row],[SIP_TOTAL CURRENT UNITS]]=0,0,INVESTORS_LIST[[#This Row],[SIP_TOTAL CURRENT UNITS]]*INVESTORS_LIST[[#This Row],[SIP_AVERAGE COST]])</f>
        <v>0</v>
      </c>
      <c r="R220" s="6">
        <f>IF(INVESTORS_LIST[[#This Row],[SIP_TOTAL UNITS SOLD]]=0,0,SUMIFS(SIP[Realized Gain],SIP[Investor ID],INVESTORS_LIST[[#This Row],[INVESTOR CODE]],SIP[B/S],"S"))</f>
        <v>0</v>
      </c>
      <c r="S220" s="33">
        <f>INVESTORS_LIST[[#This Row],[LS_TOTAL UNITS BUY]]+INVESTORS_LIST[[#This Row],[SIP_TOTAL UNITS BUY]]</f>
        <v>0</v>
      </c>
      <c r="T220" s="33">
        <f>INVESTORS_LIST[[#This Row],[LS_TOTAL UNITS SOLD]]+INVESTORS_LIST[[#This Row],[SIP_TOTAL UNITS SOLD]]</f>
        <v>0</v>
      </c>
      <c r="U220" s="33">
        <v>0</v>
      </c>
      <c r="V220" s="33">
        <f>SUMIFS(LS[BO UNIT TRANSFER],LS[Investor ID],INVESTORS_LIST[[#This Row],[INVESTOR CODE]],LS[B/S],"B")</f>
        <v>0</v>
      </c>
      <c r="W220" s="33">
        <f>SUMIFS(LS[BO UNIT TRANSFER],LS[Investor ID],INVESTORS_LIST[[#This Row],[INVESTOR CODE]],LS[B/S],"S")</f>
        <v>0</v>
      </c>
      <c r="X220" s="33">
        <f>SUMIFS(SIP[BO UNIT TRANSFER],SIP[Investor ID],INVESTORS_LIST[[#This Row],[INVESTOR CODE]],SIP[B/S],"S")</f>
        <v>0</v>
      </c>
      <c r="Y220" s="33">
        <f>SUMIFS(SIP[BO UNIT TRANSFER],SIP[Investor ID],INVESTORS_LIST[[#This Row],[INVESTOR CODE]],SIP[B/S],"B")</f>
        <v>0</v>
      </c>
      <c r="Z22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20" s="119">
        <f>INVESTORS_LIST[[#This Row],[TOTAL UNITS BUY]]-INVESTORS_LIST[[#This Row],[TOTAL UNITS SOLD]]</f>
        <v>0</v>
      </c>
      <c r="AB220" s="119">
        <f>INVESTORS_LIST[[#This Row],[TOTAL CURRENT UNITS]]-INVESTORS_LIST[[#This Row],[BO UNITS HOLD]]</f>
        <v>0</v>
      </c>
      <c r="AC220" s="119" t="e">
        <f>INDEX([4]!Table_1[BO ID],MATCH(INVESTORS_LIST[[#This Row],[INVESTOR CODE]],[4]!Table_1[INVESTOR CODE],0))</f>
        <v>#REF!</v>
      </c>
      <c r="AD220" s="33">
        <f>INVESTORS_LIST[[#This Row],[LS_TOTAL COST VALUE OF CURRENT UNITS]]+INVESTORS_LIST[[#This Row],[SIP_TOTAL COST VALUE OF CURRENT UNITS]]</f>
        <v>0</v>
      </c>
      <c r="AE220" s="44">
        <f>IF(INVESTORS_LIST[[#This Row],[TOTAL CURRENT UNITS]]=0,0,INVESTORS_LIST[[#This Row],[LS_TOTAL CURRENT UNITS]]/INVESTORS_LIST[[#This Row],[TOTAL CURRENT UNITS]])</f>
        <v>0</v>
      </c>
      <c r="AF220" s="44">
        <f>IF(INVESTORS_LIST[[#This Row],[TOTAL CURRENT UNITS]]=0,0,INVESTORS_LIST[[#This Row],[SIP_TOTAL CURRENT UNITS]]/INVESTORS_LIST[[#This Row],[TOTAL CURRENT UNITS]])</f>
        <v>0</v>
      </c>
      <c r="AG220" s="4" cm="1">
        <f t="array" ref="AG22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20" s="4" cm="1">
        <f t="array" ref="AH2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2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20" s="178">
        <f t="shared" si="3"/>
        <v>12.552</v>
      </c>
      <c r="AK220" s="118">
        <f>IF(INVESTORS_LIST[[#This Row],[TOTAL CURRENT UNITS]]=0,0,INVESTORS_LIST[[#This Row],[TOTAL CURRENT UNITS]]*INVESTORS_LIST[[#This Row],[NAV]])</f>
        <v>0</v>
      </c>
      <c r="AL220" s="4">
        <f>IF(INVESTORS_LIST[[#This Row],[LS_TOTAL CURRENT UNITS]]=0,0,INVESTORS_LIST[[#This Row],[LS_TOTAL CURRENT UNITS]]*INVESTORS_LIST[[#This Row],[NAV]])</f>
        <v>0</v>
      </c>
      <c r="AM220" s="6">
        <f>IF(INVESTORS_LIST[[#This Row],[SIP_TOTAL CURRENT UNITS]]=0,0,INVESTORS_LIST[[#This Row],[SIP_TOTAL CURRENT UNITS]]*INVESTORS_LIST[[#This Row],[NAV]])</f>
        <v>0</v>
      </c>
      <c r="AO220" s="6">
        <f>IF(INVESTORS_LIST[[#This Row],[TOTAL SELLABLE UNITS]]=0,0,INVESTORS_LIST[[#This Row],[TOTAL SELLABLE UNITS]]*INVESTORS_LIST[[#This Row],[NAV]])</f>
        <v>0</v>
      </c>
      <c r="AP220" s="6">
        <f>INVESTORS_LIST[[#This Row],[LS_TOTAL REALIZED GAIN]]+INVESTORS_LIST[[#This Row],[SIP_TOTAL REALIZED GAIN]]</f>
        <v>0</v>
      </c>
      <c r="AQ220" s="6">
        <f>INVESTORS_LIST[[#This Row],[TOTAL MARKET VALUE]]-INVESTORS_LIST[[#This Row],[TOTAL COST VALUE OF CURRENT INVESTMENT]]</f>
        <v>0</v>
      </c>
      <c r="AR220" s="6">
        <f>SUMIFS(DivAndTax[Tax Amount],DivAndTax[Investor ID],INVESTORS_LIST[[#This Row],[INVESTOR CODE]])</f>
        <v>0</v>
      </c>
      <c r="AS220" s="6">
        <f>SUMIFS(DivAndTax[Gross Dividend],DivAndTax[Investor ID],INVESTORS_LIST[[#This Row],[INVESTOR CODE]])</f>
        <v>0</v>
      </c>
      <c r="AT220" s="5">
        <f>IFERROR(INVESTORS_LIST[[#This Row],[TOTAL CURRENT UNITS]]/SUM(INVESTORS_LIST[TOTAL CURRENT UNITS]),0)</f>
        <v>0</v>
      </c>
    </row>
    <row r="221" spans="1:46" hidden="1">
      <c r="A221" t="s">
        <v>279</v>
      </c>
      <c r="B221" t="s">
        <v>280</v>
      </c>
      <c r="C221" t="s">
        <v>536</v>
      </c>
      <c r="D221" s="8" t="s">
        <v>2</v>
      </c>
      <c r="E221" s="2">
        <f>SUMIFS(LS[Unit],LS[Investor ID],INVESTORS_LIST[[#This Row],[INVESTOR CODE]],LS[B/S],"B")</f>
        <v>0</v>
      </c>
      <c r="F221" s="2">
        <f>-SUMIFS(LS[Unit],LS[Investor ID],INVESTORS_LIST[[#This Row],[INVESTOR CODE]],LS[B/S],"S")</f>
        <v>0</v>
      </c>
      <c r="G221" s="2">
        <f>IF(INVESTORS_LIST[[#This Row],[LS_TOTAL UNITS BUY]]=0,0,INVESTORS_LIST[[#This Row],[LS_TOTAL UNITS BUY]]-INVESTORS_LIST[[#This Row],[LS_TOTAL UNITS SOLD]])</f>
        <v>0</v>
      </c>
      <c r="H221" s="4">
        <f>IF(INVESTORS_LIST[[#This Row],[LS_TOTAL UNITS BUY]]=0,0,SUMIFS(LS[Amount],LS[Investor ID],INVESTORS_LIST[[#This Row],[INVESTOR CODE]],LS[B/S],"B"))</f>
        <v>0</v>
      </c>
      <c r="I221" s="6">
        <f>IF(INVESTORS_LIST[[#This Row],[LS_TOTAL UNITS SOLD]]=0,0,SUMIFS(LS[Cost of Units Sold],LS[Investor ID],INVESTORS_LIST[[#This Row],[INVESTOR CODE]],LS[B/S],"S"))</f>
        <v>0</v>
      </c>
      <c r="J221" s="6">
        <f>IF(INVESTORS_LIST[[#This Row],[LS_TOTAL CURRENT UNITS]]=0,0,INVESTORS_LIST[[#This Row],[LS_TOTAL CURRENT UNITS]]*INVESTORS_LIST[[#This Row],[LS_AVERAGE COST]])</f>
        <v>0</v>
      </c>
      <c r="K221" s="4">
        <f>IF(INVESTORS_LIST[[#This Row],[LS_TOTAL UNITS SOLD]]=0,0,SUMIFS(LS[Realized Gain],LS[Investor ID],INVESTORS_LIST[[#This Row],[INVESTOR CODE]],LS[B/S],"S"))</f>
        <v>0</v>
      </c>
      <c r="L221" s="2">
        <f>SUMIFS(SIP[Unit],SIP[Investor ID],INVESTORS_LIST[[#This Row],[INVESTOR CODE]],SIP[B/S],"B")</f>
        <v>0</v>
      </c>
      <c r="M221" s="2">
        <f>-SUMIFS(SIP[Unit],SIP[Investor ID],INVESTORS_LIST[[#This Row],[INVESTOR CODE]],SIP[B/S],"S")</f>
        <v>0</v>
      </c>
      <c r="N221" s="33">
        <f>IF(INVESTORS_LIST[[#This Row],[SIP_TOTAL UNITS BUY]]=0,0,INVESTORS_LIST[[#This Row],[SIP_TOTAL UNITS BUY]]-INVESTORS_LIST[[#This Row],[SIP_TOTAL UNITS SOLD]])</f>
        <v>0</v>
      </c>
      <c r="O221" s="4">
        <f>IF(INVESTORS_LIST[[#This Row],[SIP_TOTAL UNITS BUY]]=0,0,SUMIFS(SIP[Amount],SIP[Investor ID],INVESTORS_LIST[[#This Row],[INVESTOR CODE]],SIP[B/S],"B"))</f>
        <v>0</v>
      </c>
      <c r="P221" s="4">
        <f>IF(INVESTORS_LIST[[#This Row],[SIP_TOTAL UNITS SOLD]]=0,0,SUMIFS(SIP[Cost of Units Sold],SIP[Investor ID],INVESTORS_LIST[[#This Row],[INVESTOR CODE]],SIP[B/S],"S"))</f>
        <v>0</v>
      </c>
      <c r="Q221" s="6">
        <f>IF(INVESTORS_LIST[[#This Row],[SIP_TOTAL CURRENT UNITS]]=0,0,INVESTORS_LIST[[#This Row],[SIP_TOTAL CURRENT UNITS]]*INVESTORS_LIST[[#This Row],[SIP_AVERAGE COST]])</f>
        <v>0</v>
      </c>
      <c r="R221" s="6">
        <f>IF(INVESTORS_LIST[[#This Row],[SIP_TOTAL UNITS SOLD]]=0,0,SUMIFS(SIP[Realized Gain],SIP[Investor ID],INVESTORS_LIST[[#This Row],[INVESTOR CODE]],SIP[B/S],"S"))</f>
        <v>0</v>
      </c>
      <c r="S221" s="33">
        <f>INVESTORS_LIST[[#This Row],[LS_TOTAL UNITS BUY]]+INVESTORS_LIST[[#This Row],[SIP_TOTAL UNITS BUY]]</f>
        <v>0</v>
      </c>
      <c r="T221" s="33">
        <f>INVESTORS_LIST[[#This Row],[LS_TOTAL UNITS SOLD]]+INVESTORS_LIST[[#This Row],[SIP_TOTAL UNITS SOLD]]</f>
        <v>0</v>
      </c>
      <c r="U221" s="33">
        <v>0</v>
      </c>
      <c r="V221" s="33">
        <f>SUMIFS(LS[BO UNIT TRANSFER],LS[Investor ID],INVESTORS_LIST[[#This Row],[INVESTOR CODE]],LS[B/S],"B")</f>
        <v>0</v>
      </c>
      <c r="W221" s="33">
        <f>SUMIFS(LS[BO UNIT TRANSFER],LS[Investor ID],INVESTORS_LIST[[#This Row],[INVESTOR CODE]],LS[B/S],"S")</f>
        <v>0</v>
      </c>
      <c r="X221" s="33">
        <f>SUMIFS(SIP[BO UNIT TRANSFER],SIP[Investor ID],INVESTORS_LIST[[#This Row],[INVESTOR CODE]],SIP[B/S],"S")</f>
        <v>0</v>
      </c>
      <c r="Y221" s="33">
        <f>SUMIFS(SIP[BO UNIT TRANSFER],SIP[Investor ID],INVESTORS_LIST[[#This Row],[INVESTOR CODE]],SIP[B/S],"B")</f>
        <v>0</v>
      </c>
      <c r="Z22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21" s="119">
        <f>INVESTORS_LIST[[#This Row],[TOTAL UNITS BUY]]-INVESTORS_LIST[[#This Row],[TOTAL UNITS SOLD]]</f>
        <v>0</v>
      </c>
      <c r="AB221" s="119">
        <f>INVESTORS_LIST[[#This Row],[TOTAL CURRENT UNITS]]-INVESTORS_LIST[[#This Row],[BO UNITS HOLD]]</f>
        <v>0</v>
      </c>
      <c r="AC221" s="119" t="e">
        <f>INDEX([4]!Table_1[BO ID],MATCH(INVESTORS_LIST[[#This Row],[INVESTOR CODE]],[4]!Table_1[INVESTOR CODE],0))</f>
        <v>#REF!</v>
      </c>
      <c r="AD221" s="33">
        <f>INVESTORS_LIST[[#This Row],[LS_TOTAL COST VALUE OF CURRENT UNITS]]+INVESTORS_LIST[[#This Row],[SIP_TOTAL COST VALUE OF CURRENT UNITS]]</f>
        <v>0</v>
      </c>
      <c r="AE221" s="44">
        <f>IF(INVESTORS_LIST[[#This Row],[TOTAL CURRENT UNITS]]=0,0,INVESTORS_LIST[[#This Row],[LS_TOTAL CURRENT UNITS]]/INVESTORS_LIST[[#This Row],[TOTAL CURRENT UNITS]])</f>
        <v>0</v>
      </c>
      <c r="AF221" s="44">
        <f>IF(INVESTORS_LIST[[#This Row],[TOTAL CURRENT UNITS]]=0,0,INVESTORS_LIST[[#This Row],[SIP_TOTAL CURRENT UNITS]]/INVESTORS_LIST[[#This Row],[TOTAL CURRENT UNITS]])</f>
        <v>0</v>
      </c>
      <c r="AG221" s="4" cm="1">
        <f t="array" ref="AG2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21" s="4" cm="1">
        <f t="array" ref="AH2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2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21" s="178">
        <f t="shared" si="3"/>
        <v>12.552</v>
      </c>
      <c r="AK221" s="118">
        <f>IF(INVESTORS_LIST[[#This Row],[TOTAL CURRENT UNITS]]=0,0,INVESTORS_LIST[[#This Row],[TOTAL CURRENT UNITS]]*INVESTORS_LIST[[#This Row],[NAV]])</f>
        <v>0</v>
      </c>
      <c r="AL221" s="4">
        <f>IF(INVESTORS_LIST[[#This Row],[LS_TOTAL CURRENT UNITS]]=0,0,INVESTORS_LIST[[#This Row],[LS_TOTAL CURRENT UNITS]]*INVESTORS_LIST[[#This Row],[NAV]])</f>
        <v>0</v>
      </c>
      <c r="AM221" s="6">
        <f>IF(INVESTORS_LIST[[#This Row],[SIP_TOTAL CURRENT UNITS]]=0,0,INVESTORS_LIST[[#This Row],[SIP_TOTAL CURRENT UNITS]]*INVESTORS_LIST[[#This Row],[NAV]])</f>
        <v>0</v>
      </c>
      <c r="AO221" s="6">
        <f>IF(INVESTORS_LIST[[#This Row],[TOTAL SELLABLE UNITS]]=0,0,INVESTORS_LIST[[#This Row],[TOTAL SELLABLE UNITS]]*INVESTORS_LIST[[#This Row],[NAV]])</f>
        <v>0</v>
      </c>
      <c r="AP221" s="6">
        <f>INVESTORS_LIST[[#This Row],[LS_TOTAL REALIZED GAIN]]+INVESTORS_LIST[[#This Row],[SIP_TOTAL REALIZED GAIN]]</f>
        <v>0</v>
      </c>
      <c r="AQ221" s="6">
        <f>INVESTORS_LIST[[#This Row],[TOTAL MARKET VALUE]]-INVESTORS_LIST[[#This Row],[TOTAL COST VALUE OF CURRENT INVESTMENT]]</f>
        <v>0</v>
      </c>
      <c r="AR221" s="6">
        <f>SUMIFS(DivAndTax[Tax Amount],DivAndTax[Investor ID],INVESTORS_LIST[[#This Row],[INVESTOR CODE]])</f>
        <v>0</v>
      </c>
      <c r="AS221" s="6">
        <f>SUMIFS(DivAndTax[Gross Dividend],DivAndTax[Investor ID],INVESTORS_LIST[[#This Row],[INVESTOR CODE]])</f>
        <v>0</v>
      </c>
      <c r="AT221" s="5">
        <f>IFERROR(INVESTORS_LIST[[#This Row],[TOTAL CURRENT UNITS]]/SUM(INVESTORS_LIST[TOTAL CURRENT UNITS]),0)</f>
        <v>0</v>
      </c>
    </row>
    <row r="222" spans="1:46">
      <c r="A222" t="s">
        <v>281</v>
      </c>
      <c r="B222" t="s">
        <v>282</v>
      </c>
      <c r="C222" t="s">
        <v>537</v>
      </c>
      <c r="D222" s="8" t="s">
        <v>5</v>
      </c>
      <c r="E222" s="2">
        <f>SUMIFS(LS[Unit],LS[Investor ID],INVESTORS_LIST[[#This Row],[INVESTOR CODE]],LS[B/S],"B")</f>
        <v>2000000</v>
      </c>
      <c r="F222" s="2">
        <f>-SUMIFS(LS[Unit],LS[Investor ID],INVESTORS_LIST[[#This Row],[INVESTOR CODE]],LS[B/S],"S")</f>
        <v>0</v>
      </c>
      <c r="G222" s="2">
        <f>IF(INVESTORS_LIST[[#This Row],[LS_TOTAL UNITS BUY]]=0,0,INVESTORS_LIST[[#This Row],[LS_TOTAL UNITS BUY]]-INVESTORS_LIST[[#This Row],[LS_TOTAL UNITS SOLD]])</f>
        <v>2000000</v>
      </c>
      <c r="H222" s="4">
        <f>IF(INVESTORS_LIST[[#This Row],[LS_TOTAL UNITS BUY]]=0,0,SUMIFS(LS[Amount],LS[Investor ID],INVESTORS_LIST[[#This Row],[INVESTOR CODE]],LS[B/S],"B"))</f>
        <v>20000000</v>
      </c>
      <c r="I222" s="6">
        <f>IF(INVESTORS_LIST[[#This Row],[LS_TOTAL UNITS SOLD]]=0,0,SUMIFS(LS[Cost of Units Sold],LS[Investor ID],INVESTORS_LIST[[#This Row],[INVESTOR CODE]],LS[B/S],"S"))</f>
        <v>0</v>
      </c>
      <c r="J222" s="6">
        <f>IF(INVESTORS_LIST[[#This Row],[LS_TOTAL CURRENT UNITS]]=0,0,INVESTORS_LIST[[#This Row],[LS_TOTAL CURRENT UNITS]]*INVESTORS_LIST[[#This Row],[LS_AVERAGE COST]])</f>
        <v>20000000</v>
      </c>
      <c r="K222" s="4">
        <f>IF(INVESTORS_LIST[[#This Row],[LS_TOTAL UNITS SOLD]]=0,0,SUMIFS(LS[Realized Gain],LS[Investor ID],INVESTORS_LIST[[#This Row],[INVESTOR CODE]],LS[B/S],"S"))</f>
        <v>0</v>
      </c>
      <c r="L222" s="2">
        <f>SUMIFS(SIP[Unit],SIP[Investor ID],INVESTORS_LIST[[#This Row],[INVESTOR CODE]],SIP[B/S],"B")</f>
        <v>0</v>
      </c>
      <c r="M222" s="2">
        <f>-SUMIFS(SIP[Unit],SIP[Investor ID],INVESTORS_LIST[[#This Row],[INVESTOR CODE]],SIP[B/S],"S")</f>
        <v>0</v>
      </c>
      <c r="N222" s="33">
        <f>IF(INVESTORS_LIST[[#This Row],[SIP_TOTAL UNITS BUY]]=0,0,INVESTORS_LIST[[#This Row],[SIP_TOTAL UNITS BUY]]-INVESTORS_LIST[[#This Row],[SIP_TOTAL UNITS SOLD]])</f>
        <v>0</v>
      </c>
      <c r="O222" s="4">
        <f>IF(INVESTORS_LIST[[#This Row],[SIP_TOTAL UNITS BUY]]=0,0,SUMIFS(SIP[Amount],SIP[Investor ID],INVESTORS_LIST[[#This Row],[INVESTOR CODE]],SIP[B/S],"B"))</f>
        <v>0</v>
      </c>
      <c r="P222" s="4">
        <f>IF(INVESTORS_LIST[[#This Row],[SIP_TOTAL UNITS SOLD]]=0,0,SUMIFS(SIP[Cost of Units Sold],SIP[Investor ID],INVESTORS_LIST[[#This Row],[INVESTOR CODE]],SIP[B/S],"S"))</f>
        <v>0</v>
      </c>
      <c r="Q222" s="6">
        <f>IF(INVESTORS_LIST[[#This Row],[SIP_TOTAL CURRENT UNITS]]=0,0,INVESTORS_LIST[[#This Row],[SIP_TOTAL CURRENT UNITS]]*INVESTORS_LIST[[#This Row],[SIP_AVERAGE COST]])</f>
        <v>0</v>
      </c>
      <c r="R222" s="6">
        <f>IF(INVESTORS_LIST[[#This Row],[SIP_TOTAL UNITS SOLD]]=0,0,SUMIFS(SIP[Realized Gain],SIP[Investor ID],INVESTORS_LIST[[#This Row],[INVESTOR CODE]],SIP[B/S],"S"))</f>
        <v>0</v>
      </c>
      <c r="S222" s="33">
        <f>INVESTORS_LIST[[#This Row],[LS_TOTAL UNITS BUY]]+INVESTORS_LIST[[#This Row],[SIP_TOTAL UNITS BUY]]</f>
        <v>2000000</v>
      </c>
      <c r="T222" s="33">
        <f>INVESTORS_LIST[[#This Row],[LS_TOTAL UNITS SOLD]]+INVESTORS_LIST[[#This Row],[SIP_TOTAL UNITS SOLD]]</f>
        <v>0</v>
      </c>
      <c r="U222" s="33">
        <v>2000000</v>
      </c>
      <c r="V222" s="33">
        <f>SUMIFS(LS[BO UNIT TRANSFER],LS[Investor ID],INVESTORS_LIST[[#This Row],[INVESTOR CODE]],LS[B/S],"B")</f>
        <v>0</v>
      </c>
      <c r="W222" s="33">
        <f>SUMIFS(LS[BO UNIT TRANSFER],LS[Investor ID],INVESTORS_LIST[[#This Row],[INVESTOR CODE]],LS[B/S],"S")</f>
        <v>0</v>
      </c>
      <c r="X222" s="33">
        <f>SUMIFS(SIP[BO UNIT TRANSFER],SIP[Investor ID],INVESTORS_LIST[[#This Row],[INVESTOR CODE]],SIP[B/S],"S")</f>
        <v>0</v>
      </c>
      <c r="Y222" s="33">
        <f>SUMIFS(SIP[BO UNIT TRANSFER],SIP[Investor ID],INVESTORS_LIST[[#This Row],[INVESTOR CODE]],SIP[B/S],"B")</f>
        <v>0</v>
      </c>
      <c r="Z22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2000000</v>
      </c>
      <c r="AA222" s="119">
        <f>INVESTORS_LIST[[#This Row],[TOTAL UNITS BUY]]-INVESTORS_LIST[[#This Row],[TOTAL UNITS SOLD]]</f>
        <v>2000000</v>
      </c>
      <c r="AB222" s="119">
        <f>INVESTORS_LIST[[#This Row],[TOTAL CURRENT UNITS]]-INVESTORS_LIST[[#This Row],[BO UNITS HOLD]]</f>
        <v>0</v>
      </c>
      <c r="AC222" s="119" t="e">
        <f>INDEX([4]!Table_1[BO ID],MATCH(INVESTORS_LIST[[#This Row],[INVESTOR CODE]],[4]!Table_1[INVESTOR CODE],0))</f>
        <v>#REF!</v>
      </c>
      <c r="AD222" s="33">
        <f>INVESTORS_LIST[[#This Row],[LS_TOTAL COST VALUE OF CURRENT UNITS]]+INVESTORS_LIST[[#This Row],[SIP_TOTAL COST VALUE OF CURRENT UNITS]]</f>
        <v>20000000</v>
      </c>
      <c r="AE222" s="44">
        <f>IF(INVESTORS_LIST[[#This Row],[TOTAL CURRENT UNITS]]=0,0,INVESTORS_LIST[[#This Row],[LS_TOTAL CURRENT UNITS]]/INVESTORS_LIST[[#This Row],[TOTAL CURRENT UNITS]])</f>
        <v>1</v>
      </c>
      <c r="AF222" s="44">
        <f>IF(INVESTORS_LIST[[#This Row],[TOTAL CURRENT UNITS]]=0,0,INVESTORS_LIST[[#This Row],[SIP_TOTAL CURRENT UNITS]]/INVESTORS_LIST[[#This Row],[TOTAL CURRENT UNITS]])</f>
        <v>0</v>
      </c>
      <c r="AG222" s="4" cm="1">
        <f t="array" ref="AG222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222" s="4" cm="1">
        <f t="array" ref="AH2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22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222" s="178">
        <f t="shared" si="3"/>
        <v>12.552</v>
      </c>
      <c r="AK222" s="118">
        <f>IF(INVESTORS_LIST[[#This Row],[TOTAL CURRENT UNITS]]=0,0,INVESTORS_LIST[[#This Row],[TOTAL CURRENT UNITS]]*INVESTORS_LIST[[#This Row],[NAV]])</f>
        <v>25104000</v>
      </c>
      <c r="AL222" s="4">
        <f>IF(INVESTORS_LIST[[#This Row],[LS_TOTAL CURRENT UNITS]]=0,0,INVESTORS_LIST[[#This Row],[LS_TOTAL CURRENT UNITS]]*INVESTORS_LIST[[#This Row],[NAV]])</f>
        <v>25104000</v>
      </c>
      <c r="AM222" s="6">
        <f>IF(INVESTORS_LIST[[#This Row],[SIP_TOTAL CURRENT UNITS]]=0,0,INVESTORS_LIST[[#This Row],[SIP_TOTAL CURRENT UNITS]]*INVESTORS_LIST[[#This Row],[NAV]])</f>
        <v>0</v>
      </c>
      <c r="AO222" s="6">
        <f>IF(INVESTORS_LIST[[#This Row],[TOTAL SELLABLE UNITS]]=0,0,INVESTORS_LIST[[#This Row],[TOTAL SELLABLE UNITS]]*INVESTORS_LIST[[#This Row],[NAV]])</f>
        <v>0</v>
      </c>
      <c r="AP222" s="6">
        <f>INVESTORS_LIST[[#This Row],[LS_TOTAL REALIZED GAIN]]+INVESTORS_LIST[[#This Row],[SIP_TOTAL REALIZED GAIN]]</f>
        <v>0</v>
      </c>
      <c r="AQ222" s="6">
        <f>INVESTORS_LIST[[#This Row],[TOTAL MARKET VALUE]]-INVESTORS_LIST[[#This Row],[TOTAL COST VALUE OF CURRENT INVESTMENT]]</f>
        <v>5104000</v>
      </c>
      <c r="AR222" s="6">
        <f>SUMIFS(DivAndTax[Tax Amount],DivAndTax[Investor ID],INVESTORS_LIST[[#This Row],[INVESTOR CODE]])</f>
        <v>440000</v>
      </c>
      <c r="AS222" s="6">
        <f>SUMIFS(DivAndTax[Gross Dividend],DivAndTax[Investor ID],INVESTORS_LIST[[#This Row],[INVESTOR CODE]])</f>
        <v>2200000</v>
      </c>
      <c r="AT222" s="5">
        <f>IFERROR(INVESTORS_LIST[[#This Row],[TOTAL CURRENT UNITS]]/SUM(INVESTORS_LIST[TOTAL CURRENT UNITS]),0)</f>
        <v>9.5889670112685704E-2</v>
      </c>
    </row>
    <row r="223" spans="1:46" hidden="1">
      <c r="A223" t="s">
        <v>283</v>
      </c>
      <c r="B223" t="s">
        <v>284</v>
      </c>
      <c r="C223" t="s">
        <v>536</v>
      </c>
      <c r="D223" s="8" t="s">
        <v>2</v>
      </c>
      <c r="E223" s="2">
        <f>SUMIFS(LS[Unit],LS[Investor ID],INVESTORS_LIST[[#This Row],[INVESTOR CODE]],LS[B/S],"B")</f>
        <v>0</v>
      </c>
      <c r="F223" s="2">
        <f>-SUMIFS(LS[Unit],LS[Investor ID],INVESTORS_LIST[[#This Row],[INVESTOR CODE]],LS[B/S],"S")</f>
        <v>0</v>
      </c>
      <c r="G223" s="2">
        <f>IF(INVESTORS_LIST[[#This Row],[LS_TOTAL UNITS BUY]]=0,0,INVESTORS_LIST[[#This Row],[LS_TOTAL UNITS BUY]]-INVESTORS_LIST[[#This Row],[LS_TOTAL UNITS SOLD]])</f>
        <v>0</v>
      </c>
      <c r="H223" s="4">
        <f>IF(INVESTORS_LIST[[#This Row],[LS_TOTAL UNITS BUY]]=0,0,SUMIFS(LS[Amount],LS[Investor ID],INVESTORS_LIST[[#This Row],[INVESTOR CODE]],LS[B/S],"B"))</f>
        <v>0</v>
      </c>
      <c r="I223" s="6">
        <f>IF(INVESTORS_LIST[[#This Row],[LS_TOTAL UNITS SOLD]]=0,0,SUMIFS(LS[Cost of Units Sold],LS[Investor ID],INVESTORS_LIST[[#This Row],[INVESTOR CODE]],LS[B/S],"S"))</f>
        <v>0</v>
      </c>
      <c r="J223" s="6">
        <f>IF(INVESTORS_LIST[[#This Row],[LS_TOTAL CURRENT UNITS]]=0,0,INVESTORS_LIST[[#This Row],[LS_TOTAL CURRENT UNITS]]*INVESTORS_LIST[[#This Row],[LS_AVERAGE COST]])</f>
        <v>0</v>
      </c>
      <c r="K223" s="4">
        <f>IF(INVESTORS_LIST[[#This Row],[LS_TOTAL UNITS SOLD]]=0,0,SUMIFS(LS[Realized Gain],LS[Investor ID],INVESTORS_LIST[[#This Row],[INVESTOR CODE]],LS[B/S],"S"))</f>
        <v>0</v>
      </c>
      <c r="L223" s="2">
        <f>SUMIFS(SIP[Unit],SIP[Investor ID],INVESTORS_LIST[[#This Row],[INVESTOR CODE]],SIP[B/S],"B")</f>
        <v>0</v>
      </c>
      <c r="M223" s="2">
        <f>-SUMIFS(SIP[Unit],SIP[Investor ID],INVESTORS_LIST[[#This Row],[INVESTOR CODE]],SIP[B/S],"S")</f>
        <v>0</v>
      </c>
      <c r="N223" s="33">
        <f>IF(INVESTORS_LIST[[#This Row],[SIP_TOTAL UNITS BUY]]=0,0,INVESTORS_LIST[[#This Row],[SIP_TOTAL UNITS BUY]]-INVESTORS_LIST[[#This Row],[SIP_TOTAL UNITS SOLD]])</f>
        <v>0</v>
      </c>
      <c r="O223" s="4">
        <f>IF(INVESTORS_LIST[[#This Row],[SIP_TOTAL UNITS BUY]]=0,0,SUMIFS(SIP[Amount],SIP[Investor ID],INVESTORS_LIST[[#This Row],[INVESTOR CODE]],SIP[B/S],"B"))</f>
        <v>0</v>
      </c>
      <c r="P223" s="4">
        <f>IF(INVESTORS_LIST[[#This Row],[SIP_TOTAL UNITS SOLD]]=0,0,SUMIFS(SIP[Cost of Units Sold],SIP[Investor ID],INVESTORS_LIST[[#This Row],[INVESTOR CODE]],SIP[B/S],"S"))</f>
        <v>0</v>
      </c>
      <c r="Q223" s="6">
        <f>IF(INVESTORS_LIST[[#This Row],[SIP_TOTAL CURRENT UNITS]]=0,0,INVESTORS_LIST[[#This Row],[SIP_TOTAL CURRENT UNITS]]*INVESTORS_LIST[[#This Row],[SIP_AVERAGE COST]])</f>
        <v>0</v>
      </c>
      <c r="R223" s="6">
        <f>IF(INVESTORS_LIST[[#This Row],[SIP_TOTAL UNITS SOLD]]=0,0,SUMIFS(SIP[Realized Gain],SIP[Investor ID],INVESTORS_LIST[[#This Row],[INVESTOR CODE]],SIP[B/S],"S"))</f>
        <v>0</v>
      </c>
      <c r="S223" s="33">
        <f>INVESTORS_LIST[[#This Row],[LS_TOTAL UNITS BUY]]+INVESTORS_LIST[[#This Row],[SIP_TOTAL UNITS BUY]]</f>
        <v>0</v>
      </c>
      <c r="T223" s="33">
        <f>INVESTORS_LIST[[#This Row],[LS_TOTAL UNITS SOLD]]+INVESTORS_LIST[[#This Row],[SIP_TOTAL UNITS SOLD]]</f>
        <v>0</v>
      </c>
      <c r="U223" s="33">
        <v>0</v>
      </c>
      <c r="V223" s="33">
        <f>SUMIFS(LS[BO UNIT TRANSFER],LS[Investor ID],INVESTORS_LIST[[#This Row],[INVESTOR CODE]],LS[B/S],"B")</f>
        <v>0</v>
      </c>
      <c r="W223" s="33">
        <f>SUMIFS(LS[BO UNIT TRANSFER],LS[Investor ID],INVESTORS_LIST[[#This Row],[INVESTOR CODE]],LS[B/S],"S")</f>
        <v>0</v>
      </c>
      <c r="X223" s="33">
        <f>SUMIFS(SIP[BO UNIT TRANSFER],SIP[Investor ID],INVESTORS_LIST[[#This Row],[INVESTOR CODE]],SIP[B/S],"S")</f>
        <v>0</v>
      </c>
      <c r="Y223" s="33">
        <f>SUMIFS(SIP[BO UNIT TRANSFER],SIP[Investor ID],INVESTORS_LIST[[#This Row],[INVESTOR CODE]],SIP[B/S],"B")</f>
        <v>0</v>
      </c>
      <c r="Z22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23" s="119">
        <f>INVESTORS_LIST[[#This Row],[TOTAL UNITS BUY]]-INVESTORS_LIST[[#This Row],[TOTAL UNITS SOLD]]</f>
        <v>0</v>
      </c>
      <c r="AB223" s="119">
        <f>INVESTORS_LIST[[#This Row],[TOTAL CURRENT UNITS]]-INVESTORS_LIST[[#This Row],[BO UNITS HOLD]]</f>
        <v>0</v>
      </c>
      <c r="AC223" s="119" t="e">
        <f>INDEX([4]!Table_1[BO ID],MATCH(INVESTORS_LIST[[#This Row],[INVESTOR CODE]],[4]!Table_1[INVESTOR CODE],0))</f>
        <v>#REF!</v>
      </c>
      <c r="AD223" s="33">
        <f>INVESTORS_LIST[[#This Row],[LS_TOTAL COST VALUE OF CURRENT UNITS]]+INVESTORS_LIST[[#This Row],[SIP_TOTAL COST VALUE OF CURRENT UNITS]]</f>
        <v>0</v>
      </c>
      <c r="AE223" s="44">
        <f>IF(INVESTORS_LIST[[#This Row],[TOTAL CURRENT UNITS]]=0,0,INVESTORS_LIST[[#This Row],[LS_TOTAL CURRENT UNITS]]/INVESTORS_LIST[[#This Row],[TOTAL CURRENT UNITS]])</f>
        <v>0</v>
      </c>
      <c r="AF223" s="44">
        <f>IF(INVESTORS_LIST[[#This Row],[TOTAL CURRENT UNITS]]=0,0,INVESTORS_LIST[[#This Row],[SIP_TOTAL CURRENT UNITS]]/INVESTORS_LIST[[#This Row],[TOTAL CURRENT UNITS]])</f>
        <v>0</v>
      </c>
      <c r="AG223" s="4" cm="1">
        <f t="array" ref="AG2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23" s="4" cm="1">
        <f t="array" ref="AH2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2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23" s="178">
        <f t="shared" si="3"/>
        <v>12.552</v>
      </c>
      <c r="AK223" s="118">
        <f>IF(INVESTORS_LIST[[#This Row],[TOTAL CURRENT UNITS]]=0,0,INVESTORS_LIST[[#This Row],[TOTAL CURRENT UNITS]]*INVESTORS_LIST[[#This Row],[NAV]])</f>
        <v>0</v>
      </c>
      <c r="AL223" s="4">
        <f>IF(INVESTORS_LIST[[#This Row],[LS_TOTAL CURRENT UNITS]]=0,0,INVESTORS_LIST[[#This Row],[LS_TOTAL CURRENT UNITS]]*INVESTORS_LIST[[#This Row],[NAV]])</f>
        <v>0</v>
      </c>
      <c r="AM223" s="6">
        <f>IF(INVESTORS_LIST[[#This Row],[SIP_TOTAL CURRENT UNITS]]=0,0,INVESTORS_LIST[[#This Row],[SIP_TOTAL CURRENT UNITS]]*INVESTORS_LIST[[#This Row],[NAV]])</f>
        <v>0</v>
      </c>
      <c r="AO223" s="6">
        <f>IF(INVESTORS_LIST[[#This Row],[TOTAL SELLABLE UNITS]]=0,0,INVESTORS_LIST[[#This Row],[TOTAL SELLABLE UNITS]]*INVESTORS_LIST[[#This Row],[NAV]])</f>
        <v>0</v>
      </c>
      <c r="AP223" s="6">
        <f>INVESTORS_LIST[[#This Row],[LS_TOTAL REALIZED GAIN]]+INVESTORS_LIST[[#This Row],[SIP_TOTAL REALIZED GAIN]]</f>
        <v>0</v>
      </c>
      <c r="AQ223" s="6">
        <f>INVESTORS_LIST[[#This Row],[TOTAL MARKET VALUE]]-INVESTORS_LIST[[#This Row],[TOTAL COST VALUE OF CURRENT INVESTMENT]]</f>
        <v>0</v>
      </c>
      <c r="AR223" s="6">
        <f>SUMIFS(DivAndTax[Tax Amount],DivAndTax[Investor ID],INVESTORS_LIST[[#This Row],[INVESTOR CODE]])</f>
        <v>0</v>
      </c>
      <c r="AS223" s="6">
        <f>SUMIFS(DivAndTax[Gross Dividend],DivAndTax[Investor ID],INVESTORS_LIST[[#This Row],[INVESTOR CODE]])</f>
        <v>0</v>
      </c>
      <c r="AT223" s="5">
        <f>IFERROR(INVESTORS_LIST[[#This Row],[TOTAL CURRENT UNITS]]/SUM(INVESTORS_LIST[TOTAL CURRENT UNITS]),0)</f>
        <v>0</v>
      </c>
    </row>
    <row r="224" spans="1:46">
      <c r="A224" t="s">
        <v>304</v>
      </c>
      <c r="B224" t="s">
        <v>305</v>
      </c>
      <c r="C224" t="s">
        <v>536</v>
      </c>
      <c r="D224" s="8" t="s">
        <v>2</v>
      </c>
      <c r="E224" s="2">
        <f>SUMIFS(LS[Unit],LS[Investor ID],INVESTORS_LIST[[#This Row],[INVESTOR CODE]],LS[B/S],"B")</f>
        <v>10948</v>
      </c>
      <c r="F224" s="2">
        <f>-SUMIFS(LS[Unit],LS[Investor ID],INVESTORS_LIST[[#This Row],[INVESTOR CODE]],LS[B/S],"S")</f>
        <v>0</v>
      </c>
      <c r="G224" s="2">
        <f>IF(INVESTORS_LIST[[#This Row],[LS_TOTAL UNITS BUY]]=0,0,INVESTORS_LIST[[#This Row],[LS_TOTAL UNITS BUY]]-INVESTORS_LIST[[#This Row],[LS_TOTAL UNITS SOLD]])</f>
        <v>10948</v>
      </c>
      <c r="H224" s="4">
        <f>IF(INVESTORS_LIST[[#This Row],[LS_TOTAL UNITS BUY]]=0,0,SUMIFS(LS[Amount],LS[Investor ID],INVESTORS_LIST[[#This Row],[INVESTOR CODE]],LS[B/S],"B"))</f>
        <v>110585.35</v>
      </c>
      <c r="I224" s="6">
        <f>IF(INVESTORS_LIST[[#This Row],[LS_TOTAL UNITS SOLD]]=0,0,SUMIFS(LS[Cost of Units Sold],LS[Investor ID],INVESTORS_LIST[[#This Row],[INVESTOR CODE]],LS[B/S],"S"))</f>
        <v>0</v>
      </c>
      <c r="J224" s="6">
        <f>IF(INVESTORS_LIST[[#This Row],[LS_TOTAL CURRENT UNITS]]=0,0,INVESTORS_LIST[[#This Row],[LS_TOTAL CURRENT UNITS]]*INVESTORS_LIST[[#This Row],[LS_AVERAGE COST]])</f>
        <v>110585.34999999999</v>
      </c>
      <c r="K224" s="4">
        <f>IF(INVESTORS_LIST[[#This Row],[LS_TOTAL UNITS SOLD]]=0,0,SUMIFS(LS[Realized Gain],LS[Investor ID],INVESTORS_LIST[[#This Row],[INVESTOR CODE]],LS[B/S],"S"))</f>
        <v>0</v>
      </c>
      <c r="L224" s="2">
        <f>SUMIFS(SIP[Unit],SIP[Investor ID],INVESTORS_LIST[[#This Row],[INVESTOR CODE]],SIP[B/S],"B")</f>
        <v>0</v>
      </c>
      <c r="M224" s="2">
        <f>-SUMIFS(SIP[Unit],SIP[Investor ID],INVESTORS_LIST[[#This Row],[INVESTOR CODE]],SIP[B/S],"S")</f>
        <v>0</v>
      </c>
      <c r="N224" s="33">
        <f>IF(INVESTORS_LIST[[#This Row],[SIP_TOTAL UNITS BUY]]=0,0,INVESTORS_LIST[[#This Row],[SIP_TOTAL UNITS BUY]]-INVESTORS_LIST[[#This Row],[SIP_TOTAL UNITS SOLD]])</f>
        <v>0</v>
      </c>
      <c r="O224" s="4">
        <f>IF(INVESTORS_LIST[[#This Row],[SIP_TOTAL UNITS BUY]]=0,0,SUMIFS(SIP[Amount],SIP[Investor ID],INVESTORS_LIST[[#This Row],[INVESTOR CODE]],SIP[B/S],"B"))</f>
        <v>0</v>
      </c>
      <c r="P224" s="4">
        <f>IF(INVESTORS_LIST[[#This Row],[SIP_TOTAL UNITS SOLD]]=0,0,SUMIFS(SIP[Cost of Units Sold],SIP[Investor ID],INVESTORS_LIST[[#This Row],[INVESTOR CODE]],SIP[B/S],"S"))</f>
        <v>0</v>
      </c>
      <c r="Q224" s="6">
        <f>IF(INVESTORS_LIST[[#This Row],[SIP_TOTAL CURRENT UNITS]]=0,0,INVESTORS_LIST[[#This Row],[SIP_TOTAL CURRENT UNITS]]*INVESTORS_LIST[[#This Row],[SIP_AVERAGE COST]])</f>
        <v>0</v>
      </c>
      <c r="R224" s="6">
        <f>IF(INVESTORS_LIST[[#This Row],[SIP_TOTAL UNITS SOLD]]=0,0,SUMIFS(SIP[Realized Gain],SIP[Investor ID],INVESTORS_LIST[[#This Row],[INVESTOR CODE]],SIP[B/S],"S"))</f>
        <v>0</v>
      </c>
      <c r="S224" s="33">
        <f>INVESTORS_LIST[[#This Row],[LS_TOTAL UNITS BUY]]+INVESTORS_LIST[[#This Row],[SIP_TOTAL UNITS BUY]]</f>
        <v>10948</v>
      </c>
      <c r="T224" s="33">
        <f>INVESTORS_LIST[[#This Row],[LS_TOTAL UNITS SOLD]]+INVESTORS_LIST[[#This Row],[SIP_TOTAL UNITS SOLD]]</f>
        <v>0</v>
      </c>
      <c r="U224" s="33">
        <v>10000</v>
      </c>
      <c r="V224" s="33">
        <f>SUMIFS(LS[BO UNIT TRANSFER],LS[Investor ID],INVESTORS_LIST[[#This Row],[INVESTOR CODE]],LS[B/S],"B")</f>
        <v>948</v>
      </c>
      <c r="W224" s="33">
        <f>SUMIFS(LS[BO UNIT TRANSFER],LS[Investor ID],INVESTORS_LIST[[#This Row],[INVESTOR CODE]],LS[B/S],"S")</f>
        <v>0</v>
      </c>
      <c r="X224" s="33">
        <f>SUMIFS(SIP[BO UNIT TRANSFER],SIP[Investor ID],INVESTORS_LIST[[#This Row],[INVESTOR CODE]],SIP[B/S],"S")</f>
        <v>0</v>
      </c>
      <c r="Y224" s="33">
        <f>SUMIFS(SIP[BO UNIT TRANSFER],SIP[Investor ID],INVESTORS_LIST[[#This Row],[INVESTOR CODE]],SIP[B/S],"B")</f>
        <v>0</v>
      </c>
      <c r="Z22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10948</v>
      </c>
      <c r="AA224" s="119">
        <f>INVESTORS_LIST[[#This Row],[TOTAL UNITS BUY]]-INVESTORS_LIST[[#This Row],[TOTAL UNITS SOLD]]</f>
        <v>10948</v>
      </c>
      <c r="AB224" s="119">
        <f>INVESTORS_LIST[[#This Row],[TOTAL CURRENT UNITS]]-INVESTORS_LIST[[#This Row],[BO UNITS HOLD]]</f>
        <v>0</v>
      </c>
      <c r="AC224" s="119" t="e">
        <f>INDEX([4]!Table_1[BO ID],MATCH(INVESTORS_LIST[[#This Row],[INVESTOR CODE]],[4]!Table_1[INVESTOR CODE],0))</f>
        <v>#REF!</v>
      </c>
      <c r="AD224" s="33">
        <f>INVESTORS_LIST[[#This Row],[LS_TOTAL COST VALUE OF CURRENT UNITS]]+INVESTORS_LIST[[#This Row],[SIP_TOTAL COST VALUE OF CURRENT UNITS]]</f>
        <v>110585.34999999999</v>
      </c>
      <c r="AE224" s="44">
        <f>IF(INVESTORS_LIST[[#This Row],[TOTAL CURRENT UNITS]]=0,0,INVESTORS_LIST[[#This Row],[LS_TOTAL CURRENT UNITS]]/INVESTORS_LIST[[#This Row],[TOTAL CURRENT UNITS]])</f>
        <v>1</v>
      </c>
      <c r="AF224" s="44">
        <f>IF(INVESTORS_LIST[[#This Row],[TOTAL CURRENT UNITS]]=0,0,INVESTORS_LIST[[#This Row],[SIP_TOTAL CURRENT UNITS]]/INVESTORS_LIST[[#This Row],[TOTAL CURRENT UNITS]])</f>
        <v>0</v>
      </c>
      <c r="AG224" s="4" cm="1">
        <f t="array" ref="AG224">IF(INVESTORS_LIST[[#This Row],[LS_TOTAL UNITS BUY]]&gt;0,INDEX(LS[NAV at Cost (Average)],MATCH(CONCATENATE(COUNTIFS(LS[Investor ID],INVESTORS_LIST[[#This Row],[INVESTOR CODE]]),INVESTORS_LIST[[#This Row],[INVESTOR CODE]]),LS[Unique Code],0),),0)</f>
        <v>10.100963646328095</v>
      </c>
      <c r="AH224" s="4" cm="1">
        <f t="array" ref="AH2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24" s="178">
        <f>IF(INVESTORS_LIST[[#This Row],[TOTAL CURRENT UNITS]]=0,0,(INVESTORS_LIST[[#This Row],[LS_WEIGHT]]*INVESTORS_LIST[[#This Row],[LS_AVERAGE COST]])+(INVESTORS_LIST[[#This Row],[SIP_WEIGHT]]*INVESTORS_LIST[[#This Row],[SIP_AVERAGE COST]]))</f>
        <v>10.100963646328095</v>
      </c>
      <c r="AJ224" s="178">
        <f t="shared" si="3"/>
        <v>12.552</v>
      </c>
      <c r="AK224" s="118">
        <f>IF(INVESTORS_LIST[[#This Row],[TOTAL CURRENT UNITS]]=0,0,INVESTORS_LIST[[#This Row],[TOTAL CURRENT UNITS]]*INVESTORS_LIST[[#This Row],[NAV]])</f>
        <v>137419.296</v>
      </c>
      <c r="AL224" s="4">
        <f>IF(INVESTORS_LIST[[#This Row],[LS_TOTAL CURRENT UNITS]]=0,0,INVESTORS_LIST[[#This Row],[LS_TOTAL CURRENT UNITS]]*INVESTORS_LIST[[#This Row],[NAV]])</f>
        <v>137419.296</v>
      </c>
      <c r="AM224" s="6">
        <f>IF(INVESTORS_LIST[[#This Row],[SIP_TOTAL CURRENT UNITS]]=0,0,INVESTORS_LIST[[#This Row],[SIP_TOTAL CURRENT UNITS]]*INVESTORS_LIST[[#This Row],[NAV]])</f>
        <v>0</v>
      </c>
      <c r="AO224" s="6">
        <f>IF(INVESTORS_LIST[[#This Row],[TOTAL SELLABLE UNITS]]=0,0,INVESTORS_LIST[[#This Row],[TOTAL SELLABLE UNITS]]*INVESTORS_LIST[[#This Row],[NAV]])</f>
        <v>0</v>
      </c>
      <c r="AP224" s="6">
        <f>INVESTORS_LIST[[#This Row],[LS_TOTAL REALIZED GAIN]]+INVESTORS_LIST[[#This Row],[SIP_TOTAL REALIZED GAIN]]</f>
        <v>0</v>
      </c>
      <c r="AQ224" s="6">
        <f>INVESTORS_LIST[[#This Row],[TOTAL MARKET VALUE]]-INVESTORS_LIST[[#This Row],[TOTAL COST VALUE OF CURRENT INVESTMENT]]</f>
        <v>26833.946000000011</v>
      </c>
      <c r="AR224" s="6">
        <f>SUMIFS(DivAndTax[Tax Amount],DivAndTax[Investor ID],INVESTORS_LIST[[#This Row],[INVESTOR CODE]])</f>
        <v>1134.6799999999998</v>
      </c>
      <c r="AS224" s="6">
        <f>SUMIFS(DivAndTax[Gross Dividend],DivAndTax[Investor ID],INVESTORS_LIST[[#This Row],[INVESTOR CODE]])</f>
        <v>11346.75</v>
      </c>
      <c r="AT224" s="5">
        <f>IFERROR(INVESTORS_LIST[[#This Row],[TOTAL CURRENT UNITS]]/SUM(INVESTORS_LIST[TOTAL CURRENT UNITS]),0)</f>
        <v>5.2490005419684159E-4</v>
      </c>
    </row>
    <row r="225" spans="1:46" hidden="1">
      <c r="A225" t="s">
        <v>306</v>
      </c>
      <c r="B225" t="s">
        <v>307</v>
      </c>
      <c r="C225" t="s">
        <v>536</v>
      </c>
      <c r="D225" s="8" t="s">
        <v>2</v>
      </c>
      <c r="E225" s="2">
        <f>SUMIFS(LS[Unit],LS[Investor ID],INVESTORS_LIST[[#This Row],[INVESTOR CODE]],LS[B/S],"B")</f>
        <v>40000</v>
      </c>
      <c r="F225" s="2">
        <f>-SUMIFS(LS[Unit],LS[Investor ID],INVESTORS_LIST[[#This Row],[INVESTOR CODE]],LS[B/S],"S")</f>
        <v>40000</v>
      </c>
      <c r="G225" s="2">
        <f>IF(INVESTORS_LIST[[#This Row],[LS_TOTAL UNITS BUY]]=0,0,INVESTORS_LIST[[#This Row],[LS_TOTAL UNITS BUY]]-INVESTORS_LIST[[#This Row],[LS_TOTAL UNITS SOLD]])</f>
        <v>0</v>
      </c>
      <c r="H225" s="4">
        <f>IF(INVESTORS_LIST[[#This Row],[LS_TOTAL UNITS BUY]]=0,0,SUMIFS(LS[Amount],LS[Investor ID],INVESTORS_LIST[[#This Row],[INVESTOR CODE]],LS[B/S],"B"))</f>
        <v>400000</v>
      </c>
      <c r="I225" s="6">
        <f>IF(INVESTORS_LIST[[#This Row],[LS_TOTAL UNITS SOLD]]=0,0,SUMIFS(LS[Cost of Units Sold],LS[Investor ID],INVESTORS_LIST[[#This Row],[INVESTOR CODE]],LS[B/S],"S"))</f>
        <v>400000</v>
      </c>
      <c r="J225" s="6">
        <f>IF(INVESTORS_LIST[[#This Row],[LS_TOTAL CURRENT UNITS]]=0,0,INVESTORS_LIST[[#This Row],[LS_TOTAL CURRENT UNITS]]*INVESTORS_LIST[[#This Row],[LS_AVERAGE COST]])</f>
        <v>0</v>
      </c>
      <c r="K225" s="4">
        <f>IF(INVESTORS_LIST[[#This Row],[LS_TOTAL UNITS SOLD]]=0,0,SUMIFS(LS[Realized Gain],LS[Investor ID],INVESTORS_LIST[[#This Row],[INVESTOR CODE]],LS[B/S],"S"))</f>
        <v>1599.9999999999659</v>
      </c>
      <c r="L225" s="2">
        <f>SUMIFS(SIP[Unit],SIP[Investor ID],INVESTORS_LIST[[#This Row],[INVESTOR CODE]],SIP[B/S],"B")</f>
        <v>0</v>
      </c>
      <c r="M225" s="2">
        <f>-SUMIFS(SIP[Unit],SIP[Investor ID],INVESTORS_LIST[[#This Row],[INVESTOR CODE]],SIP[B/S],"S")</f>
        <v>0</v>
      </c>
      <c r="N225" s="33">
        <f>IF(INVESTORS_LIST[[#This Row],[SIP_TOTAL UNITS BUY]]=0,0,INVESTORS_LIST[[#This Row],[SIP_TOTAL UNITS BUY]]-INVESTORS_LIST[[#This Row],[SIP_TOTAL UNITS SOLD]])</f>
        <v>0</v>
      </c>
      <c r="O225" s="4">
        <f>IF(INVESTORS_LIST[[#This Row],[SIP_TOTAL UNITS BUY]]=0,0,SUMIFS(SIP[Amount],SIP[Investor ID],INVESTORS_LIST[[#This Row],[INVESTOR CODE]],SIP[B/S],"B"))</f>
        <v>0</v>
      </c>
      <c r="P225" s="4">
        <f>IF(INVESTORS_LIST[[#This Row],[SIP_TOTAL UNITS SOLD]]=0,0,SUMIFS(SIP[Cost of Units Sold],SIP[Investor ID],INVESTORS_LIST[[#This Row],[INVESTOR CODE]],SIP[B/S],"S"))</f>
        <v>0</v>
      </c>
      <c r="Q225" s="6">
        <f>IF(INVESTORS_LIST[[#This Row],[SIP_TOTAL CURRENT UNITS]]=0,0,INVESTORS_LIST[[#This Row],[SIP_TOTAL CURRENT UNITS]]*INVESTORS_LIST[[#This Row],[SIP_AVERAGE COST]])</f>
        <v>0</v>
      </c>
      <c r="R225" s="6">
        <f>IF(INVESTORS_LIST[[#This Row],[SIP_TOTAL UNITS SOLD]]=0,0,SUMIFS(SIP[Realized Gain],SIP[Investor ID],INVESTORS_LIST[[#This Row],[INVESTOR CODE]],SIP[B/S],"S"))</f>
        <v>0</v>
      </c>
      <c r="S225" s="33">
        <f>INVESTORS_LIST[[#This Row],[LS_TOTAL UNITS BUY]]+INVESTORS_LIST[[#This Row],[SIP_TOTAL UNITS BUY]]</f>
        <v>40000</v>
      </c>
      <c r="T225" s="33">
        <f>INVESTORS_LIST[[#This Row],[LS_TOTAL UNITS SOLD]]+INVESTORS_LIST[[#This Row],[SIP_TOTAL UNITS SOLD]]</f>
        <v>40000</v>
      </c>
      <c r="U225" s="33">
        <v>0</v>
      </c>
      <c r="V225" s="33">
        <f>SUMIFS(LS[BO UNIT TRANSFER],LS[Investor ID],INVESTORS_LIST[[#This Row],[INVESTOR CODE]],LS[B/S],"B")</f>
        <v>0</v>
      </c>
      <c r="W225" s="33">
        <f>SUMIFS(LS[BO UNIT TRANSFER],LS[Investor ID],INVESTORS_LIST[[#This Row],[INVESTOR CODE]],LS[B/S],"S")</f>
        <v>0</v>
      </c>
      <c r="X225" s="33">
        <f>SUMIFS(SIP[BO UNIT TRANSFER],SIP[Investor ID],INVESTORS_LIST[[#This Row],[INVESTOR CODE]],SIP[B/S],"S")</f>
        <v>0</v>
      </c>
      <c r="Y225" s="33">
        <f>SUMIFS(SIP[BO UNIT TRANSFER],SIP[Investor ID],INVESTORS_LIST[[#This Row],[INVESTOR CODE]],SIP[B/S],"B")</f>
        <v>0</v>
      </c>
      <c r="Z22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25" s="119">
        <f>INVESTORS_LIST[[#This Row],[TOTAL UNITS BUY]]-INVESTORS_LIST[[#This Row],[TOTAL UNITS SOLD]]</f>
        <v>0</v>
      </c>
      <c r="AB225" s="119">
        <f>INVESTORS_LIST[[#This Row],[TOTAL CURRENT UNITS]]-INVESTORS_LIST[[#This Row],[BO UNITS HOLD]]</f>
        <v>0</v>
      </c>
      <c r="AC225" s="119" t="e">
        <f>INDEX([4]!Table_1[BO ID],MATCH(INVESTORS_LIST[[#This Row],[INVESTOR CODE]],[4]!Table_1[INVESTOR CODE],0))</f>
        <v>#REF!</v>
      </c>
      <c r="AD225" s="33">
        <f>INVESTORS_LIST[[#This Row],[LS_TOTAL COST VALUE OF CURRENT UNITS]]+INVESTORS_LIST[[#This Row],[SIP_TOTAL COST VALUE OF CURRENT UNITS]]</f>
        <v>0</v>
      </c>
      <c r="AE225" s="44">
        <f>IF(INVESTORS_LIST[[#This Row],[TOTAL CURRENT UNITS]]=0,0,INVESTORS_LIST[[#This Row],[LS_TOTAL CURRENT UNITS]]/INVESTORS_LIST[[#This Row],[TOTAL CURRENT UNITS]])</f>
        <v>0</v>
      </c>
      <c r="AF225" s="44">
        <f>IF(INVESTORS_LIST[[#This Row],[TOTAL CURRENT UNITS]]=0,0,INVESTORS_LIST[[#This Row],[SIP_TOTAL CURRENT UNITS]]/INVESTORS_LIST[[#This Row],[TOTAL CURRENT UNITS]])</f>
        <v>0</v>
      </c>
      <c r="AG225" s="4" cm="1">
        <f t="array" ref="AG2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25" s="4" cm="1">
        <f t="array" ref="AH2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2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25" s="178">
        <f t="shared" si="3"/>
        <v>12.552</v>
      </c>
      <c r="AK225" s="118">
        <f>IF(INVESTORS_LIST[[#This Row],[TOTAL CURRENT UNITS]]=0,0,INVESTORS_LIST[[#This Row],[TOTAL CURRENT UNITS]]*INVESTORS_LIST[[#This Row],[NAV]])</f>
        <v>0</v>
      </c>
      <c r="AL225" s="4">
        <f>IF(INVESTORS_LIST[[#This Row],[LS_TOTAL CURRENT UNITS]]=0,0,INVESTORS_LIST[[#This Row],[LS_TOTAL CURRENT UNITS]]*INVESTORS_LIST[[#This Row],[NAV]])</f>
        <v>0</v>
      </c>
      <c r="AM225" s="6">
        <f>IF(INVESTORS_LIST[[#This Row],[SIP_TOTAL CURRENT UNITS]]=0,0,INVESTORS_LIST[[#This Row],[SIP_TOTAL CURRENT UNITS]]*INVESTORS_LIST[[#This Row],[NAV]])</f>
        <v>0</v>
      </c>
      <c r="AO225" s="6">
        <f>IF(INVESTORS_LIST[[#This Row],[TOTAL SELLABLE UNITS]]=0,0,INVESTORS_LIST[[#This Row],[TOTAL SELLABLE UNITS]]*INVESTORS_LIST[[#This Row],[NAV]])</f>
        <v>0</v>
      </c>
      <c r="AP225" s="6">
        <f>INVESTORS_LIST[[#This Row],[LS_TOTAL REALIZED GAIN]]+INVESTORS_LIST[[#This Row],[SIP_TOTAL REALIZED GAIN]]</f>
        <v>1599.9999999999659</v>
      </c>
      <c r="AQ225" s="6">
        <f>INVESTORS_LIST[[#This Row],[TOTAL MARKET VALUE]]-INVESTORS_LIST[[#This Row],[TOTAL COST VALUE OF CURRENT INVESTMENT]]</f>
        <v>0</v>
      </c>
      <c r="AR225" s="6">
        <f>SUMIFS(DivAndTax[Tax Amount],DivAndTax[Investor ID],INVESTORS_LIST[[#This Row],[INVESTOR CODE]])</f>
        <v>0</v>
      </c>
      <c r="AS225" s="6">
        <f>SUMIFS(DivAndTax[Gross Dividend],DivAndTax[Investor ID],INVESTORS_LIST[[#This Row],[INVESTOR CODE]])</f>
        <v>0</v>
      </c>
      <c r="AT225" s="5">
        <f>IFERROR(INVESTORS_LIST[[#This Row],[TOTAL CURRENT UNITS]]/SUM(INVESTORS_LIST[TOTAL CURRENT UNITS]),0)</f>
        <v>0</v>
      </c>
    </row>
    <row r="226" spans="1:46" hidden="1">
      <c r="A226" t="s">
        <v>308</v>
      </c>
      <c r="B226" t="s">
        <v>309</v>
      </c>
      <c r="C226" t="s">
        <v>539</v>
      </c>
      <c r="D226" s="8" t="s">
        <v>2</v>
      </c>
      <c r="E226" s="2">
        <f>SUMIFS(LS[Unit],LS[Investor ID],INVESTORS_LIST[[#This Row],[INVESTOR CODE]],LS[B/S],"B")</f>
        <v>20431</v>
      </c>
      <c r="F226" s="2">
        <f>-SUMIFS(LS[Unit],LS[Investor ID],INVESTORS_LIST[[#This Row],[INVESTOR CODE]],LS[B/S],"S")</f>
        <v>20431</v>
      </c>
      <c r="G226" s="2">
        <f>IF(INVESTORS_LIST[[#This Row],[LS_TOTAL UNITS BUY]]=0,0,INVESTORS_LIST[[#This Row],[LS_TOTAL UNITS BUY]]-INVESTORS_LIST[[#This Row],[LS_TOTAL UNITS SOLD]])</f>
        <v>0</v>
      </c>
      <c r="H226" s="4">
        <f>IF(INVESTORS_LIST[[#This Row],[LS_TOTAL UNITS BUY]]=0,0,SUMIFS(LS[Amount],LS[Investor ID],INVESTORS_LIST[[#This Row],[INVESTOR CODE]],LS[B/S],"B"))</f>
        <v>204250</v>
      </c>
      <c r="I226" s="6">
        <f>IF(INVESTORS_LIST[[#This Row],[LS_TOTAL UNITS SOLD]]=0,0,SUMIFS(LS[Cost of Units Sold],LS[Investor ID],INVESTORS_LIST[[#This Row],[INVESTOR CODE]],LS[B/S],"S"))</f>
        <v>204250</v>
      </c>
      <c r="J226" s="6">
        <f>IF(INVESTORS_LIST[[#This Row],[LS_TOTAL CURRENT UNITS]]=0,0,INVESTORS_LIST[[#This Row],[LS_TOTAL CURRENT UNITS]]*INVESTORS_LIST[[#This Row],[LS_AVERAGE COST]])</f>
        <v>0</v>
      </c>
      <c r="K226" s="4">
        <f>IF(INVESTORS_LIST[[#This Row],[LS_TOTAL UNITS SOLD]]=0,0,SUMIFS(LS[Realized Gain],LS[Investor ID],INVESTORS_LIST[[#This Row],[INVESTOR CODE]],LS[B/S],"S"))</f>
        <v>16588.679999999975</v>
      </c>
      <c r="L226" s="2">
        <f>SUMIFS(SIP[Unit],SIP[Investor ID],INVESTORS_LIST[[#This Row],[INVESTOR CODE]],SIP[B/S],"B")</f>
        <v>0</v>
      </c>
      <c r="M226" s="2">
        <f>-SUMIFS(SIP[Unit],SIP[Investor ID],INVESTORS_LIST[[#This Row],[INVESTOR CODE]],SIP[B/S],"S")</f>
        <v>0</v>
      </c>
      <c r="N226" s="33">
        <f>IF(INVESTORS_LIST[[#This Row],[SIP_TOTAL UNITS BUY]]=0,0,INVESTORS_LIST[[#This Row],[SIP_TOTAL UNITS BUY]]-INVESTORS_LIST[[#This Row],[SIP_TOTAL UNITS SOLD]])</f>
        <v>0</v>
      </c>
      <c r="O226" s="4">
        <f>IF(INVESTORS_LIST[[#This Row],[SIP_TOTAL UNITS BUY]]=0,0,SUMIFS(SIP[Amount],SIP[Investor ID],INVESTORS_LIST[[#This Row],[INVESTOR CODE]],SIP[B/S],"B"))</f>
        <v>0</v>
      </c>
      <c r="P226" s="4">
        <f>IF(INVESTORS_LIST[[#This Row],[SIP_TOTAL UNITS SOLD]]=0,0,SUMIFS(SIP[Cost of Units Sold],SIP[Investor ID],INVESTORS_LIST[[#This Row],[INVESTOR CODE]],SIP[B/S],"S"))</f>
        <v>0</v>
      </c>
      <c r="Q226" s="6">
        <f>IF(INVESTORS_LIST[[#This Row],[SIP_TOTAL CURRENT UNITS]]=0,0,INVESTORS_LIST[[#This Row],[SIP_TOTAL CURRENT UNITS]]*INVESTORS_LIST[[#This Row],[SIP_AVERAGE COST]])</f>
        <v>0</v>
      </c>
      <c r="R226" s="6">
        <f>IF(INVESTORS_LIST[[#This Row],[SIP_TOTAL UNITS SOLD]]=0,0,SUMIFS(SIP[Realized Gain],SIP[Investor ID],INVESTORS_LIST[[#This Row],[INVESTOR CODE]],SIP[B/S],"S"))</f>
        <v>0</v>
      </c>
      <c r="S226" s="33">
        <f>INVESTORS_LIST[[#This Row],[LS_TOTAL UNITS BUY]]+INVESTORS_LIST[[#This Row],[SIP_TOTAL UNITS BUY]]</f>
        <v>20431</v>
      </c>
      <c r="T226" s="33">
        <f>INVESTORS_LIST[[#This Row],[LS_TOTAL UNITS SOLD]]+INVESTORS_LIST[[#This Row],[SIP_TOTAL UNITS SOLD]]</f>
        <v>20431</v>
      </c>
      <c r="U226" s="33">
        <v>0</v>
      </c>
      <c r="V226" s="33">
        <f>SUMIFS(LS[BO UNIT TRANSFER],LS[Investor ID],INVESTORS_LIST[[#This Row],[INVESTOR CODE]],LS[B/S],"B")</f>
        <v>0</v>
      </c>
      <c r="W226" s="33">
        <f>SUMIFS(LS[BO UNIT TRANSFER],LS[Investor ID],INVESTORS_LIST[[#This Row],[INVESTOR CODE]],LS[B/S],"S")</f>
        <v>0</v>
      </c>
      <c r="X226" s="33">
        <f>SUMIFS(SIP[BO UNIT TRANSFER],SIP[Investor ID],INVESTORS_LIST[[#This Row],[INVESTOR CODE]],SIP[B/S],"S")</f>
        <v>0</v>
      </c>
      <c r="Y226" s="33">
        <f>SUMIFS(SIP[BO UNIT TRANSFER],SIP[Investor ID],INVESTORS_LIST[[#This Row],[INVESTOR CODE]],SIP[B/S],"B")</f>
        <v>0</v>
      </c>
      <c r="Z22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26" s="119">
        <f>INVESTORS_LIST[[#This Row],[TOTAL UNITS BUY]]-INVESTORS_LIST[[#This Row],[TOTAL UNITS SOLD]]</f>
        <v>0</v>
      </c>
      <c r="AB226" s="119">
        <f>INVESTORS_LIST[[#This Row],[TOTAL CURRENT UNITS]]-INVESTORS_LIST[[#This Row],[BO UNITS HOLD]]</f>
        <v>0</v>
      </c>
      <c r="AC226" s="119" t="e">
        <f>INDEX([4]!Table_1[BO ID],MATCH(INVESTORS_LIST[[#This Row],[INVESTOR CODE]],[4]!Table_1[INVESTOR CODE],0))</f>
        <v>#REF!</v>
      </c>
      <c r="AD226" s="33">
        <f>INVESTORS_LIST[[#This Row],[LS_TOTAL COST VALUE OF CURRENT UNITS]]+INVESTORS_LIST[[#This Row],[SIP_TOTAL COST VALUE OF CURRENT UNITS]]</f>
        <v>0</v>
      </c>
      <c r="AE226" s="44">
        <f>IF(INVESTORS_LIST[[#This Row],[TOTAL CURRENT UNITS]]=0,0,INVESTORS_LIST[[#This Row],[LS_TOTAL CURRENT UNITS]]/INVESTORS_LIST[[#This Row],[TOTAL CURRENT UNITS]])</f>
        <v>0</v>
      </c>
      <c r="AF226" s="44">
        <f>IF(INVESTORS_LIST[[#This Row],[TOTAL CURRENT UNITS]]=0,0,INVESTORS_LIST[[#This Row],[SIP_TOTAL CURRENT UNITS]]/INVESTORS_LIST[[#This Row],[TOTAL CURRENT UNITS]])</f>
        <v>0</v>
      </c>
      <c r="AG226" s="4" cm="1">
        <f t="array" ref="AG22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26" s="4" cm="1">
        <f t="array" ref="AH2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2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26" s="178">
        <f t="shared" si="3"/>
        <v>12.552</v>
      </c>
      <c r="AK226" s="118">
        <f>IF(INVESTORS_LIST[[#This Row],[TOTAL CURRENT UNITS]]=0,0,INVESTORS_LIST[[#This Row],[TOTAL CURRENT UNITS]]*INVESTORS_LIST[[#This Row],[NAV]])</f>
        <v>0</v>
      </c>
      <c r="AL226" s="4">
        <f>IF(INVESTORS_LIST[[#This Row],[LS_TOTAL CURRENT UNITS]]=0,0,INVESTORS_LIST[[#This Row],[LS_TOTAL CURRENT UNITS]]*INVESTORS_LIST[[#This Row],[NAV]])</f>
        <v>0</v>
      </c>
      <c r="AM226" s="6">
        <f>IF(INVESTORS_LIST[[#This Row],[SIP_TOTAL CURRENT UNITS]]=0,0,INVESTORS_LIST[[#This Row],[SIP_TOTAL CURRENT UNITS]]*INVESTORS_LIST[[#This Row],[NAV]])</f>
        <v>0</v>
      </c>
      <c r="AO226" s="6">
        <f>IF(INVESTORS_LIST[[#This Row],[TOTAL SELLABLE UNITS]]=0,0,INVESTORS_LIST[[#This Row],[TOTAL SELLABLE UNITS]]*INVESTORS_LIST[[#This Row],[NAV]])</f>
        <v>0</v>
      </c>
      <c r="AP226" s="6">
        <f>INVESTORS_LIST[[#This Row],[LS_TOTAL REALIZED GAIN]]+INVESTORS_LIST[[#This Row],[SIP_TOTAL REALIZED GAIN]]</f>
        <v>16588.679999999975</v>
      </c>
      <c r="AQ226" s="6">
        <f>INVESTORS_LIST[[#This Row],[TOTAL MARKET VALUE]]-INVESTORS_LIST[[#This Row],[TOTAL COST VALUE OF CURRENT INVESTMENT]]</f>
        <v>0</v>
      </c>
      <c r="AR226" s="6">
        <f>SUMIFS(DivAndTax[Tax Amount],DivAndTax[Investor ID],INVESTORS_LIST[[#This Row],[INVESTOR CODE]])</f>
        <v>750</v>
      </c>
      <c r="AS226" s="6">
        <f>SUMIFS(DivAndTax[Gross Dividend],DivAndTax[Investor ID],INVESTORS_LIST[[#This Row],[INVESTOR CODE]])</f>
        <v>5000</v>
      </c>
      <c r="AT226" s="5">
        <f>IFERROR(INVESTORS_LIST[[#This Row],[TOTAL CURRENT UNITS]]/SUM(INVESTORS_LIST[TOTAL CURRENT UNITS]),0)</f>
        <v>0</v>
      </c>
    </row>
    <row r="227" spans="1:46" hidden="1">
      <c r="A227" t="s">
        <v>447</v>
      </c>
      <c r="B227" t="s">
        <v>310</v>
      </c>
      <c r="C227" t="s">
        <v>537</v>
      </c>
      <c r="D227" s="8" t="s">
        <v>5</v>
      </c>
      <c r="E227" s="2">
        <f>SUMIFS(LS[Unit],LS[Investor ID],INVESTORS_LIST[[#This Row],[INVESTOR CODE]],LS[B/S],"B")</f>
        <v>150000</v>
      </c>
      <c r="F227" s="2">
        <f>-SUMIFS(LS[Unit],LS[Investor ID],INVESTORS_LIST[[#This Row],[INVESTOR CODE]],LS[B/S],"S")</f>
        <v>150000</v>
      </c>
      <c r="G227" s="2">
        <f>IF(INVESTORS_LIST[[#This Row],[LS_TOTAL UNITS BUY]]=0,0,INVESTORS_LIST[[#This Row],[LS_TOTAL UNITS BUY]]-INVESTORS_LIST[[#This Row],[LS_TOTAL UNITS SOLD]])</f>
        <v>0</v>
      </c>
      <c r="H227" s="4">
        <f>IF(INVESTORS_LIST[[#This Row],[LS_TOTAL UNITS BUY]]=0,0,SUMIFS(LS[Amount],LS[Investor ID],INVESTORS_LIST[[#This Row],[INVESTOR CODE]],LS[B/S],"B"))</f>
        <v>1500000</v>
      </c>
      <c r="I227" s="6">
        <f>IF(INVESTORS_LIST[[#This Row],[LS_TOTAL UNITS SOLD]]=0,0,SUMIFS(LS[Cost of Units Sold],LS[Investor ID],INVESTORS_LIST[[#This Row],[INVESTOR CODE]],LS[B/S],"S"))</f>
        <v>1500000</v>
      </c>
      <c r="J227" s="6">
        <f>IF(INVESTORS_LIST[[#This Row],[LS_TOTAL CURRENT UNITS]]=0,0,INVESTORS_LIST[[#This Row],[LS_TOTAL CURRENT UNITS]]*INVESTORS_LIST[[#This Row],[LS_AVERAGE COST]])</f>
        <v>0</v>
      </c>
      <c r="K227" s="4">
        <f>IF(INVESTORS_LIST[[#This Row],[LS_TOTAL UNITS SOLD]]=0,0,SUMIFS(LS[Realized Gain],LS[Investor ID],INVESTORS_LIST[[#This Row],[INVESTOR CODE]],LS[B/S],"S"))</f>
        <v>8399.9999999998745</v>
      </c>
      <c r="L227" s="2">
        <f>SUMIFS(SIP[Unit],SIP[Investor ID],INVESTORS_LIST[[#This Row],[INVESTOR CODE]],SIP[B/S],"B")</f>
        <v>0</v>
      </c>
      <c r="M227" s="2">
        <f>-SUMIFS(SIP[Unit],SIP[Investor ID],INVESTORS_LIST[[#This Row],[INVESTOR CODE]],SIP[B/S],"S")</f>
        <v>0</v>
      </c>
      <c r="N227" s="33">
        <f>IF(INVESTORS_LIST[[#This Row],[SIP_TOTAL UNITS BUY]]=0,0,INVESTORS_LIST[[#This Row],[SIP_TOTAL UNITS BUY]]-INVESTORS_LIST[[#This Row],[SIP_TOTAL UNITS SOLD]])</f>
        <v>0</v>
      </c>
      <c r="O227" s="4">
        <f>IF(INVESTORS_LIST[[#This Row],[SIP_TOTAL UNITS BUY]]=0,0,SUMIFS(SIP[Amount],SIP[Investor ID],INVESTORS_LIST[[#This Row],[INVESTOR CODE]],SIP[B/S],"B"))</f>
        <v>0</v>
      </c>
      <c r="P227" s="4">
        <f>IF(INVESTORS_LIST[[#This Row],[SIP_TOTAL UNITS SOLD]]=0,0,SUMIFS(SIP[Cost of Units Sold],SIP[Investor ID],INVESTORS_LIST[[#This Row],[INVESTOR CODE]],SIP[B/S],"S"))</f>
        <v>0</v>
      </c>
      <c r="Q227" s="6">
        <f>IF(INVESTORS_LIST[[#This Row],[SIP_TOTAL CURRENT UNITS]]=0,0,INVESTORS_LIST[[#This Row],[SIP_TOTAL CURRENT UNITS]]*INVESTORS_LIST[[#This Row],[SIP_AVERAGE COST]])</f>
        <v>0</v>
      </c>
      <c r="R227" s="6">
        <f>IF(INVESTORS_LIST[[#This Row],[SIP_TOTAL UNITS SOLD]]=0,0,SUMIFS(SIP[Realized Gain],SIP[Investor ID],INVESTORS_LIST[[#This Row],[INVESTOR CODE]],SIP[B/S],"S"))</f>
        <v>0</v>
      </c>
      <c r="S227" s="33">
        <f>INVESTORS_LIST[[#This Row],[LS_TOTAL UNITS BUY]]+INVESTORS_LIST[[#This Row],[SIP_TOTAL UNITS BUY]]</f>
        <v>150000</v>
      </c>
      <c r="T227" s="33">
        <f>INVESTORS_LIST[[#This Row],[LS_TOTAL UNITS SOLD]]+INVESTORS_LIST[[#This Row],[SIP_TOTAL UNITS SOLD]]</f>
        <v>150000</v>
      </c>
      <c r="U227" s="33">
        <v>0</v>
      </c>
      <c r="V227" s="33">
        <f>SUMIFS(LS[BO UNIT TRANSFER],LS[Investor ID],INVESTORS_LIST[[#This Row],[INVESTOR CODE]],LS[B/S],"B")</f>
        <v>0</v>
      </c>
      <c r="W227" s="33">
        <f>SUMIFS(LS[BO UNIT TRANSFER],LS[Investor ID],INVESTORS_LIST[[#This Row],[INVESTOR CODE]],LS[B/S],"S")</f>
        <v>0</v>
      </c>
      <c r="X227" s="33">
        <f>SUMIFS(SIP[BO UNIT TRANSFER],SIP[Investor ID],INVESTORS_LIST[[#This Row],[INVESTOR CODE]],SIP[B/S],"S")</f>
        <v>0</v>
      </c>
      <c r="Y227" s="33">
        <f>SUMIFS(SIP[BO UNIT TRANSFER],SIP[Investor ID],INVESTORS_LIST[[#This Row],[INVESTOR CODE]],SIP[B/S],"B")</f>
        <v>0</v>
      </c>
      <c r="Z22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27" s="119">
        <f>INVESTORS_LIST[[#This Row],[TOTAL UNITS BUY]]-INVESTORS_LIST[[#This Row],[TOTAL UNITS SOLD]]</f>
        <v>0</v>
      </c>
      <c r="AB227" s="119">
        <f>INVESTORS_LIST[[#This Row],[TOTAL CURRENT UNITS]]-INVESTORS_LIST[[#This Row],[BO UNITS HOLD]]</f>
        <v>0</v>
      </c>
      <c r="AC227" s="119" t="e">
        <f>INDEX([4]!Table_1[BO ID],MATCH(INVESTORS_LIST[[#This Row],[INVESTOR CODE]],[4]!Table_1[INVESTOR CODE],0))</f>
        <v>#REF!</v>
      </c>
      <c r="AD227" s="33">
        <f>INVESTORS_LIST[[#This Row],[LS_TOTAL COST VALUE OF CURRENT UNITS]]+INVESTORS_LIST[[#This Row],[SIP_TOTAL COST VALUE OF CURRENT UNITS]]</f>
        <v>0</v>
      </c>
      <c r="AE227" s="44">
        <f>IF(INVESTORS_LIST[[#This Row],[TOTAL CURRENT UNITS]]=0,0,INVESTORS_LIST[[#This Row],[LS_TOTAL CURRENT UNITS]]/INVESTORS_LIST[[#This Row],[TOTAL CURRENT UNITS]])</f>
        <v>0</v>
      </c>
      <c r="AF227" s="44">
        <f>IF(INVESTORS_LIST[[#This Row],[TOTAL CURRENT UNITS]]=0,0,INVESTORS_LIST[[#This Row],[SIP_TOTAL CURRENT UNITS]]/INVESTORS_LIST[[#This Row],[TOTAL CURRENT UNITS]])</f>
        <v>0</v>
      </c>
      <c r="AG227" s="4" cm="1">
        <f t="array" ref="AG22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27" s="4" cm="1">
        <f t="array" ref="AH22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2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27" s="178">
        <f t="shared" si="3"/>
        <v>12.552</v>
      </c>
      <c r="AK227" s="118">
        <f>IF(INVESTORS_LIST[[#This Row],[TOTAL CURRENT UNITS]]=0,0,INVESTORS_LIST[[#This Row],[TOTAL CURRENT UNITS]]*INVESTORS_LIST[[#This Row],[NAV]])</f>
        <v>0</v>
      </c>
      <c r="AL227" s="4">
        <f>IF(INVESTORS_LIST[[#This Row],[LS_TOTAL CURRENT UNITS]]=0,0,INVESTORS_LIST[[#This Row],[LS_TOTAL CURRENT UNITS]]*INVESTORS_LIST[[#This Row],[NAV]])</f>
        <v>0</v>
      </c>
      <c r="AM227" s="6">
        <f>IF(INVESTORS_LIST[[#This Row],[SIP_TOTAL CURRENT UNITS]]=0,0,INVESTORS_LIST[[#This Row],[SIP_TOTAL CURRENT UNITS]]*INVESTORS_LIST[[#This Row],[NAV]])</f>
        <v>0</v>
      </c>
      <c r="AO227" s="6">
        <f>IF(INVESTORS_LIST[[#This Row],[TOTAL SELLABLE UNITS]]=0,0,INVESTORS_LIST[[#This Row],[TOTAL SELLABLE UNITS]]*INVESTORS_LIST[[#This Row],[NAV]])</f>
        <v>0</v>
      </c>
      <c r="AP227" s="6">
        <f>INVESTORS_LIST[[#This Row],[LS_TOTAL REALIZED GAIN]]+INVESTORS_LIST[[#This Row],[SIP_TOTAL REALIZED GAIN]]</f>
        <v>8399.9999999998745</v>
      </c>
      <c r="AQ227" s="6">
        <f>INVESTORS_LIST[[#This Row],[TOTAL MARKET VALUE]]-INVESTORS_LIST[[#This Row],[TOTAL COST VALUE OF CURRENT INVESTMENT]]</f>
        <v>0</v>
      </c>
      <c r="AR227" s="6">
        <f>SUMIFS(DivAndTax[Tax Amount],DivAndTax[Investor ID],INVESTORS_LIST[[#This Row],[INVESTOR CODE]])</f>
        <v>7500</v>
      </c>
      <c r="AS227" s="6">
        <f>SUMIFS(DivAndTax[Gross Dividend],DivAndTax[Investor ID],INVESTORS_LIST[[#This Row],[INVESTOR CODE]])</f>
        <v>37500</v>
      </c>
      <c r="AT227" s="5">
        <f>IFERROR(INVESTORS_LIST[[#This Row],[TOTAL CURRENT UNITS]]/SUM(INVESTORS_LIST[TOTAL CURRENT UNITS]),0)</f>
        <v>0</v>
      </c>
    </row>
    <row r="228" spans="1:46" hidden="1">
      <c r="A228" t="s">
        <v>313</v>
      </c>
      <c r="B228" t="s">
        <v>314</v>
      </c>
      <c r="C228" t="s">
        <v>536</v>
      </c>
      <c r="D228" s="8" t="s">
        <v>2</v>
      </c>
      <c r="E228" s="2">
        <f>SUMIFS(LS[Unit],LS[Investor ID],INVESTORS_LIST[[#This Row],[INVESTOR CODE]],LS[B/S],"B")</f>
        <v>0</v>
      </c>
      <c r="F228" s="2">
        <f>-SUMIFS(LS[Unit],LS[Investor ID],INVESTORS_LIST[[#This Row],[INVESTOR CODE]],LS[B/S],"S")</f>
        <v>0</v>
      </c>
      <c r="G228" s="2">
        <f>IF(INVESTORS_LIST[[#This Row],[LS_TOTAL UNITS BUY]]=0,0,INVESTORS_LIST[[#This Row],[LS_TOTAL UNITS BUY]]-INVESTORS_LIST[[#This Row],[LS_TOTAL UNITS SOLD]])</f>
        <v>0</v>
      </c>
      <c r="H228" s="4">
        <f>IF(INVESTORS_LIST[[#This Row],[LS_TOTAL UNITS BUY]]=0,0,SUMIFS(LS[Amount],LS[Investor ID],INVESTORS_LIST[[#This Row],[INVESTOR CODE]],LS[B/S],"B"))</f>
        <v>0</v>
      </c>
      <c r="I228" s="6">
        <f>IF(INVESTORS_LIST[[#This Row],[LS_TOTAL UNITS SOLD]]=0,0,SUMIFS(LS[Cost of Units Sold],LS[Investor ID],INVESTORS_LIST[[#This Row],[INVESTOR CODE]],LS[B/S],"S"))</f>
        <v>0</v>
      </c>
      <c r="J228" s="6">
        <f>IF(INVESTORS_LIST[[#This Row],[LS_TOTAL CURRENT UNITS]]=0,0,INVESTORS_LIST[[#This Row],[LS_TOTAL CURRENT UNITS]]*INVESTORS_LIST[[#This Row],[LS_AVERAGE COST]])</f>
        <v>0</v>
      </c>
      <c r="K228" s="4">
        <f>IF(INVESTORS_LIST[[#This Row],[LS_TOTAL UNITS SOLD]]=0,0,SUMIFS(LS[Realized Gain],LS[Investor ID],INVESTORS_LIST[[#This Row],[INVESTOR CODE]],LS[B/S],"S"))</f>
        <v>0</v>
      </c>
      <c r="L228" s="2">
        <f>SUMIFS(SIP[Unit],SIP[Investor ID],INVESTORS_LIST[[#This Row],[INVESTOR CODE]],SIP[B/S],"B")</f>
        <v>0</v>
      </c>
      <c r="M228" s="2">
        <f>-SUMIFS(SIP[Unit],SIP[Investor ID],INVESTORS_LIST[[#This Row],[INVESTOR CODE]],SIP[B/S],"S")</f>
        <v>0</v>
      </c>
      <c r="N228" s="33">
        <f>IF(INVESTORS_LIST[[#This Row],[SIP_TOTAL UNITS BUY]]=0,0,INVESTORS_LIST[[#This Row],[SIP_TOTAL UNITS BUY]]-INVESTORS_LIST[[#This Row],[SIP_TOTAL UNITS SOLD]])</f>
        <v>0</v>
      </c>
      <c r="O228" s="4">
        <f>IF(INVESTORS_LIST[[#This Row],[SIP_TOTAL UNITS BUY]]=0,0,SUMIFS(SIP[Amount],SIP[Investor ID],INVESTORS_LIST[[#This Row],[INVESTOR CODE]],SIP[B/S],"B"))</f>
        <v>0</v>
      </c>
      <c r="P228" s="4">
        <f>IF(INVESTORS_LIST[[#This Row],[SIP_TOTAL UNITS SOLD]]=0,0,SUMIFS(SIP[Cost of Units Sold],SIP[Investor ID],INVESTORS_LIST[[#This Row],[INVESTOR CODE]],SIP[B/S],"S"))</f>
        <v>0</v>
      </c>
      <c r="Q228" s="6">
        <f>IF(INVESTORS_LIST[[#This Row],[SIP_TOTAL CURRENT UNITS]]=0,0,INVESTORS_LIST[[#This Row],[SIP_TOTAL CURRENT UNITS]]*INVESTORS_LIST[[#This Row],[SIP_AVERAGE COST]])</f>
        <v>0</v>
      </c>
      <c r="R228" s="6">
        <f>IF(INVESTORS_LIST[[#This Row],[SIP_TOTAL UNITS SOLD]]=0,0,SUMIFS(SIP[Realized Gain],SIP[Investor ID],INVESTORS_LIST[[#This Row],[INVESTOR CODE]],SIP[B/S],"S"))</f>
        <v>0</v>
      </c>
      <c r="S228" s="33">
        <f>INVESTORS_LIST[[#This Row],[LS_TOTAL UNITS BUY]]+INVESTORS_LIST[[#This Row],[SIP_TOTAL UNITS BUY]]</f>
        <v>0</v>
      </c>
      <c r="T228" s="33">
        <f>INVESTORS_LIST[[#This Row],[LS_TOTAL UNITS SOLD]]+INVESTORS_LIST[[#This Row],[SIP_TOTAL UNITS SOLD]]</f>
        <v>0</v>
      </c>
      <c r="U228" s="33">
        <v>0</v>
      </c>
      <c r="V228" s="33">
        <f>SUMIFS(LS[BO UNIT TRANSFER],LS[Investor ID],INVESTORS_LIST[[#This Row],[INVESTOR CODE]],LS[B/S],"B")</f>
        <v>0</v>
      </c>
      <c r="W228" s="33">
        <f>SUMIFS(LS[BO UNIT TRANSFER],LS[Investor ID],INVESTORS_LIST[[#This Row],[INVESTOR CODE]],LS[B/S],"S")</f>
        <v>0</v>
      </c>
      <c r="X228" s="33">
        <f>SUMIFS(SIP[BO UNIT TRANSFER],SIP[Investor ID],INVESTORS_LIST[[#This Row],[INVESTOR CODE]],SIP[B/S],"S")</f>
        <v>0</v>
      </c>
      <c r="Y228" s="33">
        <f>SUMIFS(SIP[BO UNIT TRANSFER],SIP[Investor ID],INVESTORS_LIST[[#This Row],[INVESTOR CODE]],SIP[B/S],"B")</f>
        <v>0</v>
      </c>
      <c r="Z22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28" s="119">
        <f>INVESTORS_LIST[[#This Row],[TOTAL UNITS BUY]]-INVESTORS_LIST[[#This Row],[TOTAL UNITS SOLD]]</f>
        <v>0</v>
      </c>
      <c r="AB228" s="119">
        <f>INVESTORS_LIST[[#This Row],[TOTAL CURRENT UNITS]]-INVESTORS_LIST[[#This Row],[BO UNITS HOLD]]</f>
        <v>0</v>
      </c>
      <c r="AC228" s="119" t="e">
        <f>INDEX([4]!Table_1[BO ID],MATCH(INVESTORS_LIST[[#This Row],[INVESTOR CODE]],[4]!Table_1[INVESTOR CODE],0))</f>
        <v>#REF!</v>
      </c>
      <c r="AD228" s="33">
        <f>INVESTORS_LIST[[#This Row],[LS_TOTAL COST VALUE OF CURRENT UNITS]]+INVESTORS_LIST[[#This Row],[SIP_TOTAL COST VALUE OF CURRENT UNITS]]</f>
        <v>0</v>
      </c>
      <c r="AE228" s="44">
        <f>IF(INVESTORS_LIST[[#This Row],[TOTAL CURRENT UNITS]]=0,0,INVESTORS_LIST[[#This Row],[LS_TOTAL CURRENT UNITS]]/INVESTORS_LIST[[#This Row],[TOTAL CURRENT UNITS]])</f>
        <v>0</v>
      </c>
      <c r="AF228" s="44">
        <f>IF(INVESTORS_LIST[[#This Row],[TOTAL CURRENT UNITS]]=0,0,INVESTORS_LIST[[#This Row],[SIP_TOTAL CURRENT UNITS]]/INVESTORS_LIST[[#This Row],[TOTAL CURRENT UNITS]])</f>
        <v>0</v>
      </c>
      <c r="AG228" s="4" cm="1">
        <f t="array" ref="AG22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28" s="4" cm="1">
        <f t="array" ref="AH2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2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28" s="178">
        <f t="shared" si="3"/>
        <v>12.552</v>
      </c>
      <c r="AK228" s="118">
        <f>IF(INVESTORS_LIST[[#This Row],[TOTAL CURRENT UNITS]]=0,0,INVESTORS_LIST[[#This Row],[TOTAL CURRENT UNITS]]*INVESTORS_LIST[[#This Row],[NAV]])</f>
        <v>0</v>
      </c>
      <c r="AL228" s="4">
        <f>IF(INVESTORS_LIST[[#This Row],[LS_TOTAL CURRENT UNITS]]=0,0,INVESTORS_LIST[[#This Row],[LS_TOTAL CURRENT UNITS]]*INVESTORS_LIST[[#This Row],[NAV]])</f>
        <v>0</v>
      </c>
      <c r="AM228" s="6">
        <f>IF(INVESTORS_LIST[[#This Row],[SIP_TOTAL CURRENT UNITS]]=0,0,INVESTORS_LIST[[#This Row],[SIP_TOTAL CURRENT UNITS]]*INVESTORS_LIST[[#This Row],[NAV]])</f>
        <v>0</v>
      </c>
      <c r="AO228" s="6">
        <f>IF(INVESTORS_LIST[[#This Row],[TOTAL SELLABLE UNITS]]=0,0,INVESTORS_LIST[[#This Row],[TOTAL SELLABLE UNITS]]*INVESTORS_LIST[[#This Row],[NAV]])</f>
        <v>0</v>
      </c>
      <c r="AP228" s="6">
        <f>INVESTORS_LIST[[#This Row],[LS_TOTAL REALIZED GAIN]]+INVESTORS_LIST[[#This Row],[SIP_TOTAL REALIZED GAIN]]</f>
        <v>0</v>
      </c>
      <c r="AQ228" s="6">
        <f>INVESTORS_LIST[[#This Row],[TOTAL MARKET VALUE]]-INVESTORS_LIST[[#This Row],[TOTAL COST VALUE OF CURRENT INVESTMENT]]</f>
        <v>0</v>
      </c>
      <c r="AR228" s="6">
        <f>SUMIFS(DivAndTax[Tax Amount],DivAndTax[Investor ID],INVESTORS_LIST[[#This Row],[INVESTOR CODE]])</f>
        <v>0</v>
      </c>
      <c r="AS228" s="6">
        <f>SUMIFS(DivAndTax[Gross Dividend],DivAndTax[Investor ID],INVESTORS_LIST[[#This Row],[INVESTOR CODE]])</f>
        <v>0</v>
      </c>
      <c r="AT228" s="5">
        <f>IFERROR(INVESTORS_LIST[[#This Row],[TOTAL CURRENT UNITS]]/SUM(INVESTORS_LIST[TOTAL CURRENT UNITS]),0)</f>
        <v>0</v>
      </c>
    </row>
    <row r="229" spans="1:46" hidden="1">
      <c r="A229" t="s">
        <v>315</v>
      </c>
      <c r="B229" t="s">
        <v>316</v>
      </c>
      <c r="C229" t="s">
        <v>537</v>
      </c>
      <c r="D229" s="8" t="s">
        <v>5</v>
      </c>
      <c r="E229" s="2">
        <f>SUMIFS(LS[Unit],LS[Investor ID],INVESTORS_LIST[[#This Row],[INVESTOR CODE]],LS[B/S],"B")</f>
        <v>0</v>
      </c>
      <c r="F229" s="2">
        <f>-SUMIFS(LS[Unit],LS[Investor ID],INVESTORS_LIST[[#This Row],[INVESTOR CODE]],LS[B/S],"S")</f>
        <v>0</v>
      </c>
      <c r="G229" s="2">
        <f>IF(INVESTORS_LIST[[#This Row],[LS_TOTAL UNITS BUY]]=0,0,INVESTORS_LIST[[#This Row],[LS_TOTAL UNITS BUY]]-INVESTORS_LIST[[#This Row],[LS_TOTAL UNITS SOLD]])</f>
        <v>0</v>
      </c>
      <c r="H229" s="4">
        <f>IF(INVESTORS_LIST[[#This Row],[LS_TOTAL UNITS BUY]]=0,0,SUMIFS(LS[Amount],LS[Investor ID],INVESTORS_LIST[[#This Row],[INVESTOR CODE]],LS[B/S],"B"))</f>
        <v>0</v>
      </c>
      <c r="I229" s="6">
        <f>IF(INVESTORS_LIST[[#This Row],[LS_TOTAL UNITS SOLD]]=0,0,SUMIFS(LS[Cost of Units Sold],LS[Investor ID],INVESTORS_LIST[[#This Row],[INVESTOR CODE]],LS[B/S],"S"))</f>
        <v>0</v>
      </c>
      <c r="J229" s="6">
        <f>IF(INVESTORS_LIST[[#This Row],[LS_TOTAL CURRENT UNITS]]=0,0,INVESTORS_LIST[[#This Row],[LS_TOTAL CURRENT UNITS]]*INVESTORS_LIST[[#This Row],[LS_AVERAGE COST]])</f>
        <v>0</v>
      </c>
      <c r="K229" s="4">
        <f>IF(INVESTORS_LIST[[#This Row],[LS_TOTAL UNITS SOLD]]=0,0,SUMIFS(LS[Realized Gain],LS[Investor ID],INVESTORS_LIST[[#This Row],[INVESTOR CODE]],LS[B/S],"S"))</f>
        <v>0</v>
      </c>
      <c r="L229" s="2">
        <f>SUMIFS(SIP[Unit],SIP[Investor ID],INVESTORS_LIST[[#This Row],[INVESTOR CODE]],SIP[B/S],"B")</f>
        <v>0</v>
      </c>
      <c r="M229" s="2">
        <f>-SUMIFS(SIP[Unit],SIP[Investor ID],INVESTORS_LIST[[#This Row],[INVESTOR CODE]],SIP[B/S],"S")</f>
        <v>0</v>
      </c>
      <c r="N229" s="33">
        <f>IF(INVESTORS_LIST[[#This Row],[SIP_TOTAL UNITS BUY]]=0,0,INVESTORS_LIST[[#This Row],[SIP_TOTAL UNITS BUY]]-INVESTORS_LIST[[#This Row],[SIP_TOTAL UNITS SOLD]])</f>
        <v>0</v>
      </c>
      <c r="O229" s="4">
        <f>IF(INVESTORS_LIST[[#This Row],[SIP_TOTAL UNITS BUY]]=0,0,SUMIFS(SIP[Amount],SIP[Investor ID],INVESTORS_LIST[[#This Row],[INVESTOR CODE]],SIP[B/S],"B"))</f>
        <v>0</v>
      </c>
      <c r="P229" s="4">
        <f>IF(INVESTORS_LIST[[#This Row],[SIP_TOTAL UNITS SOLD]]=0,0,SUMIFS(SIP[Cost of Units Sold],SIP[Investor ID],INVESTORS_LIST[[#This Row],[INVESTOR CODE]],SIP[B/S],"S"))</f>
        <v>0</v>
      </c>
      <c r="Q229" s="6">
        <f>IF(INVESTORS_LIST[[#This Row],[SIP_TOTAL CURRENT UNITS]]=0,0,INVESTORS_LIST[[#This Row],[SIP_TOTAL CURRENT UNITS]]*INVESTORS_LIST[[#This Row],[SIP_AVERAGE COST]])</f>
        <v>0</v>
      </c>
      <c r="R229" s="6">
        <f>IF(INVESTORS_LIST[[#This Row],[SIP_TOTAL UNITS SOLD]]=0,0,SUMIFS(SIP[Realized Gain],SIP[Investor ID],INVESTORS_LIST[[#This Row],[INVESTOR CODE]],SIP[B/S],"S"))</f>
        <v>0</v>
      </c>
      <c r="S229" s="33">
        <f>INVESTORS_LIST[[#This Row],[LS_TOTAL UNITS BUY]]+INVESTORS_LIST[[#This Row],[SIP_TOTAL UNITS BUY]]</f>
        <v>0</v>
      </c>
      <c r="T229" s="33">
        <f>INVESTORS_LIST[[#This Row],[LS_TOTAL UNITS SOLD]]+INVESTORS_LIST[[#This Row],[SIP_TOTAL UNITS SOLD]]</f>
        <v>0</v>
      </c>
      <c r="U229" s="33">
        <v>0</v>
      </c>
      <c r="V229" s="33">
        <f>SUMIFS(LS[BO UNIT TRANSFER],LS[Investor ID],INVESTORS_LIST[[#This Row],[INVESTOR CODE]],LS[B/S],"B")</f>
        <v>0</v>
      </c>
      <c r="W229" s="33">
        <f>SUMIFS(LS[BO UNIT TRANSFER],LS[Investor ID],INVESTORS_LIST[[#This Row],[INVESTOR CODE]],LS[B/S],"S")</f>
        <v>0</v>
      </c>
      <c r="X229" s="33">
        <f>SUMIFS(SIP[BO UNIT TRANSFER],SIP[Investor ID],INVESTORS_LIST[[#This Row],[INVESTOR CODE]],SIP[B/S],"S")</f>
        <v>0</v>
      </c>
      <c r="Y229" s="33">
        <f>SUMIFS(SIP[BO UNIT TRANSFER],SIP[Investor ID],INVESTORS_LIST[[#This Row],[INVESTOR CODE]],SIP[B/S],"B")</f>
        <v>0</v>
      </c>
      <c r="Z22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29" s="119">
        <f>INVESTORS_LIST[[#This Row],[TOTAL UNITS BUY]]-INVESTORS_LIST[[#This Row],[TOTAL UNITS SOLD]]</f>
        <v>0</v>
      </c>
      <c r="AB229" s="119">
        <f>INVESTORS_LIST[[#This Row],[TOTAL CURRENT UNITS]]-INVESTORS_LIST[[#This Row],[BO UNITS HOLD]]</f>
        <v>0</v>
      </c>
      <c r="AC229" s="119" t="e">
        <f>INDEX([4]!Table_1[BO ID],MATCH(INVESTORS_LIST[[#This Row],[INVESTOR CODE]],[4]!Table_1[INVESTOR CODE],0))</f>
        <v>#REF!</v>
      </c>
      <c r="AD229" s="33">
        <f>INVESTORS_LIST[[#This Row],[LS_TOTAL COST VALUE OF CURRENT UNITS]]+INVESTORS_LIST[[#This Row],[SIP_TOTAL COST VALUE OF CURRENT UNITS]]</f>
        <v>0</v>
      </c>
      <c r="AE229" s="44">
        <f>IF(INVESTORS_LIST[[#This Row],[TOTAL CURRENT UNITS]]=0,0,INVESTORS_LIST[[#This Row],[LS_TOTAL CURRENT UNITS]]/INVESTORS_LIST[[#This Row],[TOTAL CURRENT UNITS]])</f>
        <v>0</v>
      </c>
      <c r="AF229" s="44">
        <f>IF(INVESTORS_LIST[[#This Row],[TOTAL CURRENT UNITS]]=0,0,INVESTORS_LIST[[#This Row],[SIP_TOTAL CURRENT UNITS]]/INVESTORS_LIST[[#This Row],[TOTAL CURRENT UNITS]])</f>
        <v>0</v>
      </c>
      <c r="AG229" s="4" cm="1">
        <f t="array" ref="AG22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29" s="4" cm="1">
        <f t="array" ref="AH2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2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29" s="178">
        <f t="shared" si="3"/>
        <v>12.552</v>
      </c>
      <c r="AK229" s="118">
        <f>IF(INVESTORS_LIST[[#This Row],[TOTAL CURRENT UNITS]]=0,0,INVESTORS_LIST[[#This Row],[TOTAL CURRENT UNITS]]*INVESTORS_LIST[[#This Row],[NAV]])</f>
        <v>0</v>
      </c>
      <c r="AL229" s="4">
        <f>IF(INVESTORS_LIST[[#This Row],[LS_TOTAL CURRENT UNITS]]=0,0,INVESTORS_LIST[[#This Row],[LS_TOTAL CURRENT UNITS]]*INVESTORS_LIST[[#This Row],[NAV]])</f>
        <v>0</v>
      </c>
      <c r="AM229" s="6">
        <f>IF(INVESTORS_LIST[[#This Row],[SIP_TOTAL CURRENT UNITS]]=0,0,INVESTORS_LIST[[#This Row],[SIP_TOTAL CURRENT UNITS]]*INVESTORS_LIST[[#This Row],[NAV]])</f>
        <v>0</v>
      </c>
      <c r="AO229" s="6">
        <f>IF(INVESTORS_LIST[[#This Row],[TOTAL SELLABLE UNITS]]=0,0,INVESTORS_LIST[[#This Row],[TOTAL SELLABLE UNITS]]*INVESTORS_LIST[[#This Row],[NAV]])</f>
        <v>0</v>
      </c>
      <c r="AP229" s="6">
        <f>INVESTORS_LIST[[#This Row],[LS_TOTAL REALIZED GAIN]]+INVESTORS_LIST[[#This Row],[SIP_TOTAL REALIZED GAIN]]</f>
        <v>0</v>
      </c>
      <c r="AQ229" s="6">
        <f>INVESTORS_LIST[[#This Row],[TOTAL MARKET VALUE]]-INVESTORS_LIST[[#This Row],[TOTAL COST VALUE OF CURRENT INVESTMENT]]</f>
        <v>0</v>
      </c>
      <c r="AR229" s="6">
        <f>SUMIFS(DivAndTax[Tax Amount],DivAndTax[Investor ID],INVESTORS_LIST[[#This Row],[INVESTOR CODE]])</f>
        <v>0</v>
      </c>
      <c r="AS229" s="6">
        <f>SUMIFS(DivAndTax[Gross Dividend],DivAndTax[Investor ID],INVESTORS_LIST[[#This Row],[INVESTOR CODE]])</f>
        <v>0</v>
      </c>
      <c r="AT229" s="5">
        <f>IFERROR(INVESTORS_LIST[[#This Row],[TOTAL CURRENT UNITS]]/SUM(INVESTORS_LIST[TOTAL CURRENT UNITS]),0)</f>
        <v>0</v>
      </c>
    </row>
    <row r="230" spans="1:46" hidden="1">
      <c r="A230" t="s">
        <v>317</v>
      </c>
      <c r="B230" t="s">
        <v>318</v>
      </c>
      <c r="C230" t="s">
        <v>536</v>
      </c>
      <c r="D230" s="8" t="s">
        <v>2</v>
      </c>
      <c r="E230" s="2">
        <f>SUMIFS(LS[Unit],LS[Investor ID],INVESTORS_LIST[[#This Row],[INVESTOR CODE]],LS[B/S],"B")</f>
        <v>0</v>
      </c>
      <c r="F230" s="2">
        <f>-SUMIFS(LS[Unit],LS[Investor ID],INVESTORS_LIST[[#This Row],[INVESTOR CODE]],LS[B/S],"S")</f>
        <v>0</v>
      </c>
      <c r="G230" s="2">
        <f>IF(INVESTORS_LIST[[#This Row],[LS_TOTAL UNITS BUY]]=0,0,INVESTORS_LIST[[#This Row],[LS_TOTAL UNITS BUY]]-INVESTORS_LIST[[#This Row],[LS_TOTAL UNITS SOLD]])</f>
        <v>0</v>
      </c>
      <c r="H230" s="4">
        <f>IF(INVESTORS_LIST[[#This Row],[LS_TOTAL UNITS BUY]]=0,0,SUMIFS(LS[Amount],LS[Investor ID],INVESTORS_LIST[[#This Row],[INVESTOR CODE]],LS[B/S],"B"))</f>
        <v>0</v>
      </c>
      <c r="I230" s="6">
        <f>IF(INVESTORS_LIST[[#This Row],[LS_TOTAL UNITS SOLD]]=0,0,SUMIFS(LS[Cost of Units Sold],LS[Investor ID],INVESTORS_LIST[[#This Row],[INVESTOR CODE]],LS[B/S],"S"))</f>
        <v>0</v>
      </c>
      <c r="J230" s="6">
        <f>IF(INVESTORS_LIST[[#This Row],[LS_TOTAL CURRENT UNITS]]=0,0,INVESTORS_LIST[[#This Row],[LS_TOTAL CURRENT UNITS]]*INVESTORS_LIST[[#This Row],[LS_AVERAGE COST]])</f>
        <v>0</v>
      </c>
      <c r="K230" s="4">
        <f>IF(INVESTORS_LIST[[#This Row],[LS_TOTAL UNITS SOLD]]=0,0,SUMIFS(LS[Realized Gain],LS[Investor ID],INVESTORS_LIST[[#This Row],[INVESTOR CODE]],LS[B/S],"S"))</f>
        <v>0</v>
      </c>
      <c r="L230" s="2">
        <f>SUMIFS(SIP[Unit],SIP[Investor ID],INVESTORS_LIST[[#This Row],[INVESTOR CODE]],SIP[B/S],"B")</f>
        <v>0</v>
      </c>
      <c r="M230" s="2">
        <f>-SUMIFS(SIP[Unit],SIP[Investor ID],INVESTORS_LIST[[#This Row],[INVESTOR CODE]],SIP[B/S],"S")</f>
        <v>0</v>
      </c>
      <c r="N230" s="33">
        <f>IF(INVESTORS_LIST[[#This Row],[SIP_TOTAL UNITS BUY]]=0,0,INVESTORS_LIST[[#This Row],[SIP_TOTAL UNITS BUY]]-INVESTORS_LIST[[#This Row],[SIP_TOTAL UNITS SOLD]])</f>
        <v>0</v>
      </c>
      <c r="O230" s="4">
        <f>IF(INVESTORS_LIST[[#This Row],[SIP_TOTAL UNITS BUY]]=0,0,SUMIFS(SIP[Amount],SIP[Investor ID],INVESTORS_LIST[[#This Row],[INVESTOR CODE]],SIP[B/S],"B"))</f>
        <v>0</v>
      </c>
      <c r="P230" s="4">
        <f>IF(INVESTORS_LIST[[#This Row],[SIP_TOTAL UNITS SOLD]]=0,0,SUMIFS(SIP[Cost of Units Sold],SIP[Investor ID],INVESTORS_LIST[[#This Row],[INVESTOR CODE]],SIP[B/S],"S"))</f>
        <v>0</v>
      </c>
      <c r="Q230" s="6">
        <f>IF(INVESTORS_LIST[[#This Row],[SIP_TOTAL CURRENT UNITS]]=0,0,INVESTORS_LIST[[#This Row],[SIP_TOTAL CURRENT UNITS]]*INVESTORS_LIST[[#This Row],[SIP_AVERAGE COST]])</f>
        <v>0</v>
      </c>
      <c r="R230" s="6">
        <f>IF(INVESTORS_LIST[[#This Row],[SIP_TOTAL UNITS SOLD]]=0,0,SUMIFS(SIP[Realized Gain],SIP[Investor ID],INVESTORS_LIST[[#This Row],[INVESTOR CODE]],SIP[B/S],"S"))</f>
        <v>0</v>
      </c>
      <c r="S230" s="33">
        <f>INVESTORS_LIST[[#This Row],[LS_TOTAL UNITS BUY]]+INVESTORS_LIST[[#This Row],[SIP_TOTAL UNITS BUY]]</f>
        <v>0</v>
      </c>
      <c r="T230" s="33">
        <f>INVESTORS_LIST[[#This Row],[LS_TOTAL UNITS SOLD]]+INVESTORS_LIST[[#This Row],[SIP_TOTAL UNITS SOLD]]</f>
        <v>0</v>
      </c>
      <c r="U230" s="33">
        <v>0</v>
      </c>
      <c r="V230" s="33">
        <f>SUMIFS(LS[BO UNIT TRANSFER],LS[Investor ID],INVESTORS_LIST[[#This Row],[INVESTOR CODE]],LS[B/S],"B")</f>
        <v>0</v>
      </c>
      <c r="W230" s="33">
        <f>SUMIFS(LS[BO UNIT TRANSFER],LS[Investor ID],INVESTORS_LIST[[#This Row],[INVESTOR CODE]],LS[B/S],"S")</f>
        <v>0</v>
      </c>
      <c r="X230" s="33">
        <f>SUMIFS(SIP[BO UNIT TRANSFER],SIP[Investor ID],INVESTORS_LIST[[#This Row],[INVESTOR CODE]],SIP[B/S],"S")</f>
        <v>0</v>
      </c>
      <c r="Y230" s="33">
        <f>SUMIFS(SIP[BO UNIT TRANSFER],SIP[Investor ID],INVESTORS_LIST[[#This Row],[INVESTOR CODE]],SIP[B/S],"B")</f>
        <v>0</v>
      </c>
      <c r="Z23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30" s="119">
        <f>INVESTORS_LIST[[#This Row],[TOTAL UNITS BUY]]-INVESTORS_LIST[[#This Row],[TOTAL UNITS SOLD]]</f>
        <v>0</v>
      </c>
      <c r="AB230" s="119">
        <f>INVESTORS_LIST[[#This Row],[TOTAL CURRENT UNITS]]-INVESTORS_LIST[[#This Row],[BO UNITS HOLD]]</f>
        <v>0</v>
      </c>
      <c r="AC230" s="119" t="e">
        <f>INDEX([4]!Table_1[BO ID],MATCH(INVESTORS_LIST[[#This Row],[INVESTOR CODE]],[4]!Table_1[INVESTOR CODE],0))</f>
        <v>#REF!</v>
      </c>
      <c r="AD230" s="33">
        <f>INVESTORS_LIST[[#This Row],[LS_TOTAL COST VALUE OF CURRENT UNITS]]+INVESTORS_LIST[[#This Row],[SIP_TOTAL COST VALUE OF CURRENT UNITS]]</f>
        <v>0</v>
      </c>
      <c r="AE230" s="44">
        <f>IF(INVESTORS_LIST[[#This Row],[TOTAL CURRENT UNITS]]=0,0,INVESTORS_LIST[[#This Row],[LS_TOTAL CURRENT UNITS]]/INVESTORS_LIST[[#This Row],[TOTAL CURRENT UNITS]])</f>
        <v>0</v>
      </c>
      <c r="AF230" s="44">
        <f>IF(INVESTORS_LIST[[#This Row],[TOTAL CURRENT UNITS]]=0,0,INVESTORS_LIST[[#This Row],[SIP_TOTAL CURRENT UNITS]]/INVESTORS_LIST[[#This Row],[TOTAL CURRENT UNITS]])</f>
        <v>0</v>
      </c>
      <c r="AG230" s="4" cm="1">
        <f t="array" ref="AG2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30" s="4" cm="1">
        <f t="array" ref="AH2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3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30" s="178">
        <f t="shared" si="3"/>
        <v>12.552</v>
      </c>
      <c r="AK230" s="118">
        <f>IF(INVESTORS_LIST[[#This Row],[TOTAL CURRENT UNITS]]=0,0,INVESTORS_LIST[[#This Row],[TOTAL CURRENT UNITS]]*INVESTORS_LIST[[#This Row],[NAV]])</f>
        <v>0</v>
      </c>
      <c r="AL230" s="4">
        <f>IF(INVESTORS_LIST[[#This Row],[LS_TOTAL CURRENT UNITS]]=0,0,INVESTORS_LIST[[#This Row],[LS_TOTAL CURRENT UNITS]]*INVESTORS_LIST[[#This Row],[NAV]])</f>
        <v>0</v>
      </c>
      <c r="AM230" s="6">
        <f>IF(INVESTORS_LIST[[#This Row],[SIP_TOTAL CURRENT UNITS]]=0,0,INVESTORS_LIST[[#This Row],[SIP_TOTAL CURRENT UNITS]]*INVESTORS_LIST[[#This Row],[NAV]])</f>
        <v>0</v>
      </c>
      <c r="AO230" s="6">
        <f>IF(INVESTORS_LIST[[#This Row],[TOTAL SELLABLE UNITS]]=0,0,INVESTORS_LIST[[#This Row],[TOTAL SELLABLE UNITS]]*INVESTORS_LIST[[#This Row],[NAV]])</f>
        <v>0</v>
      </c>
      <c r="AP230" s="6">
        <f>INVESTORS_LIST[[#This Row],[LS_TOTAL REALIZED GAIN]]+INVESTORS_LIST[[#This Row],[SIP_TOTAL REALIZED GAIN]]</f>
        <v>0</v>
      </c>
      <c r="AQ230" s="6">
        <f>INVESTORS_LIST[[#This Row],[TOTAL MARKET VALUE]]-INVESTORS_LIST[[#This Row],[TOTAL COST VALUE OF CURRENT INVESTMENT]]</f>
        <v>0</v>
      </c>
      <c r="AR230" s="6">
        <f>SUMIFS(DivAndTax[Tax Amount],DivAndTax[Investor ID],INVESTORS_LIST[[#This Row],[INVESTOR CODE]])</f>
        <v>0</v>
      </c>
      <c r="AS230" s="6">
        <f>SUMIFS(DivAndTax[Gross Dividend],DivAndTax[Investor ID],INVESTORS_LIST[[#This Row],[INVESTOR CODE]])</f>
        <v>0</v>
      </c>
      <c r="AT230" s="5">
        <f>IFERROR(INVESTORS_LIST[[#This Row],[TOTAL CURRENT UNITS]]/SUM(INVESTORS_LIST[TOTAL CURRENT UNITS]),0)</f>
        <v>0</v>
      </c>
    </row>
    <row r="231" spans="1:46" hidden="1">
      <c r="A231" t="s">
        <v>319</v>
      </c>
      <c r="B231" t="s">
        <v>320</v>
      </c>
      <c r="C231" t="s">
        <v>539</v>
      </c>
      <c r="D231" s="8" t="s">
        <v>2</v>
      </c>
      <c r="E231" s="2">
        <f>SUMIFS(LS[Unit],LS[Investor ID],INVESTORS_LIST[[#This Row],[INVESTOR CODE]],LS[B/S],"B")</f>
        <v>70000</v>
      </c>
      <c r="F231" s="2">
        <f>-SUMIFS(LS[Unit],LS[Investor ID],INVESTORS_LIST[[#This Row],[INVESTOR CODE]],LS[B/S],"S")</f>
        <v>70000</v>
      </c>
      <c r="G231" s="2">
        <f>IF(INVESTORS_LIST[[#This Row],[LS_TOTAL UNITS BUY]]=0,0,INVESTORS_LIST[[#This Row],[LS_TOTAL UNITS BUY]]-INVESTORS_LIST[[#This Row],[LS_TOTAL UNITS SOLD]])</f>
        <v>0</v>
      </c>
      <c r="H231" s="4">
        <f>IF(INVESTORS_LIST[[#This Row],[LS_TOTAL UNITS BUY]]=0,0,SUMIFS(LS[Amount],LS[Investor ID],INVESTORS_LIST[[#This Row],[INVESTOR CODE]],LS[B/S],"B"))</f>
        <v>700000</v>
      </c>
      <c r="I231" s="6">
        <f>IF(INVESTORS_LIST[[#This Row],[LS_TOTAL UNITS SOLD]]=0,0,SUMIFS(LS[Cost of Units Sold],LS[Investor ID],INVESTORS_LIST[[#This Row],[INVESTOR CODE]],LS[B/S],"S"))</f>
        <v>700000</v>
      </c>
      <c r="J231" s="6">
        <f>IF(INVESTORS_LIST[[#This Row],[LS_TOTAL CURRENT UNITS]]=0,0,INVESTORS_LIST[[#This Row],[LS_TOTAL CURRENT UNITS]]*INVESTORS_LIST[[#This Row],[LS_AVERAGE COST]])</f>
        <v>0</v>
      </c>
      <c r="K231" s="4">
        <f>IF(INVESTORS_LIST[[#This Row],[LS_TOTAL UNITS SOLD]]=0,0,SUMIFS(LS[Realized Gain],LS[Investor ID],INVESTORS_LIST[[#This Row],[INVESTOR CODE]],LS[B/S],"S"))</f>
        <v>0</v>
      </c>
      <c r="L231" s="2">
        <f>SUMIFS(SIP[Unit],SIP[Investor ID],INVESTORS_LIST[[#This Row],[INVESTOR CODE]],SIP[B/S],"B")</f>
        <v>0</v>
      </c>
      <c r="M231" s="2">
        <f>-SUMIFS(SIP[Unit],SIP[Investor ID],INVESTORS_LIST[[#This Row],[INVESTOR CODE]],SIP[B/S],"S")</f>
        <v>0</v>
      </c>
      <c r="N231" s="33">
        <f>IF(INVESTORS_LIST[[#This Row],[SIP_TOTAL UNITS BUY]]=0,0,INVESTORS_LIST[[#This Row],[SIP_TOTAL UNITS BUY]]-INVESTORS_LIST[[#This Row],[SIP_TOTAL UNITS SOLD]])</f>
        <v>0</v>
      </c>
      <c r="O231" s="4">
        <f>IF(INVESTORS_LIST[[#This Row],[SIP_TOTAL UNITS BUY]]=0,0,SUMIFS(SIP[Amount],SIP[Investor ID],INVESTORS_LIST[[#This Row],[INVESTOR CODE]],SIP[B/S],"B"))</f>
        <v>0</v>
      </c>
      <c r="P231" s="4">
        <f>IF(INVESTORS_LIST[[#This Row],[SIP_TOTAL UNITS SOLD]]=0,0,SUMIFS(SIP[Cost of Units Sold],SIP[Investor ID],INVESTORS_LIST[[#This Row],[INVESTOR CODE]],SIP[B/S],"S"))</f>
        <v>0</v>
      </c>
      <c r="Q231" s="6">
        <f>IF(INVESTORS_LIST[[#This Row],[SIP_TOTAL CURRENT UNITS]]=0,0,INVESTORS_LIST[[#This Row],[SIP_TOTAL CURRENT UNITS]]*INVESTORS_LIST[[#This Row],[SIP_AVERAGE COST]])</f>
        <v>0</v>
      </c>
      <c r="R231" s="6">
        <f>IF(INVESTORS_LIST[[#This Row],[SIP_TOTAL UNITS SOLD]]=0,0,SUMIFS(SIP[Realized Gain],SIP[Investor ID],INVESTORS_LIST[[#This Row],[INVESTOR CODE]],SIP[B/S],"S"))</f>
        <v>0</v>
      </c>
      <c r="S231" s="33">
        <f>INVESTORS_LIST[[#This Row],[LS_TOTAL UNITS BUY]]+INVESTORS_LIST[[#This Row],[SIP_TOTAL UNITS BUY]]</f>
        <v>70000</v>
      </c>
      <c r="T231" s="33">
        <f>INVESTORS_LIST[[#This Row],[LS_TOTAL UNITS SOLD]]+INVESTORS_LIST[[#This Row],[SIP_TOTAL UNITS SOLD]]</f>
        <v>70000</v>
      </c>
      <c r="U231" s="33">
        <v>0</v>
      </c>
      <c r="V231" s="33">
        <f>SUMIFS(LS[BO UNIT TRANSFER],LS[Investor ID],INVESTORS_LIST[[#This Row],[INVESTOR CODE]],LS[B/S],"B")</f>
        <v>0</v>
      </c>
      <c r="W231" s="33">
        <f>SUMIFS(LS[BO UNIT TRANSFER],LS[Investor ID],INVESTORS_LIST[[#This Row],[INVESTOR CODE]],LS[B/S],"S")</f>
        <v>0</v>
      </c>
      <c r="X231" s="33">
        <f>SUMIFS(SIP[BO UNIT TRANSFER],SIP[Investor ID],INVESTORS_LIST[[#This Row],[INVESTOR CODE]],SIP[B/S],"S")</f>
        <v>0</v>
      </c>
      <c r="Y231" s="33">
        <f>SUMIFS(SIP[BO UNIT TRANSFER],SIP[Investor ID],INVESTORS_LIST[[#This Row],[INVESTOR CODE]],SIP[B/S],"B")</f>
        <v>0</v>
      </c>
      <c r="Z23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31" s="119">
        <f>INVESTORS_LIST[[#This Row],[TOTAL UNITS BUY]]-INVESTORS_LIST[[#This Row],[TOTAL UNITS SOLD]]</f>
        <v>0</v>
      </c>
      <c r="AB231" s="119">
        <f>INVESTORS_LIST[[#This Row],[TOTAL CURRENT UNITS]]-INVESTORS_LIST[[#This Row],[BO UNITS HOLD]]</f>
        <v>0</v>
      </c>
      <c r="AC231" s="119" t="e">
        <f>INDEX([4]!Table_1[BO ID],MATCH(INVESTORS_LIST[[#This Row],[INVESTOR CODE]],[4]!Table_1[INVESTOR CODE],0))</f>
        <v>#REF!</v>
      </c>
      <c r="AD231" s="33">
        <f>INVESTORS_LIST[[#This Row],[LS_TOTAL COST VALUE OF CURRENT UNITS]]+INVESTORS_LIST[[#This Row],[SIP_TOTAL COST VALUE OF CURRENT UNITS]]</f>
        <v>0</v>
      </c>
      <c r="AE231" s="44">
        <f>IF(INVESTORS_LIST[[#This Row],[TOTAL CURRENT UNITS]]=0,0,INVESTORS_LIST[[#This Row],[LS_TOTAL CURRENT UNITS]]/INVESTORS_LIST[[#This Row],[TOTAL CURRENT UNITS]])</f>
        <v>0</v>
      </c>
      <c r="AF231" s="44">
        <f>IF(INVESTORS_LIST[[#This Row],[TOTAL CURRENT UNITS]]=0,0,INVESTORS_LIST[[#This Row],[SIP_TOTAL CURRENT UNITS]]/INVESTORS_LIST[[#This Row],[TOTAL CURRENT UNITS]])</f>
        <v>0</v>
      </c>
      <c r="AG231" s="4" cm="1">
        <f t="array" ref="AG23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31" s="4" cm="1">
        <f t="array" ref="AH2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3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31" s="178">
        <f t="shared" si="3"/>
        <v>12.552</v>
      </c>
      <c r="AK231" s="118">
        <f>IF(INVESTORS_LIST[[#This Row],[TOTAL CURRENT UNITS]]=0,0,INVESTORS_LIST[[#This Row],[TOTAL CURRENT UNITS]]*INVESTORS_LIST[[#This Row],[NAV]])</f>
        <v>0</v>
      </c>
      <c r="AL231" s="4">
        <f>IF(INVESTORS_LIST[[#This Row],[LS_TOTAL CURRENT UNITS]]=0,0,INVESTORS_LIST[[#This Row],[LS_TOTAL CURRENT UNITS]]*INVESTORS_LIST[[#This Row],[NAV]])</f>
        <v>0</v>
      </c>
      <c r="AM231" s="6">
        <f>IF(INVESTORS_LIST[[#This Row],[SIP_TOTAL CURRENT UNITS]]=0,0,INVESTORS_LIST[[#This Row],[SIP_TOTAL CURRENT UNITS]]*INVESTORS_LIST[[#This Row],[NAV]])</f>
        <v>0</v>
      </c>
      <c r="AO231" s="6">
        <f>IF(INVESTORS_LIST[[#This Row],[TOTAL SELLABLE UNITS]]=0,0,INVESTORS_LIST[[#This Row],[TOTAL SELLABLE UNITS]]*INVESTORS_LIST[[#This Row],[NAV]])</f>
        <v>0</v>
      </c>
      <c r="AP231" s="6">
        <f>INVESTORS_LIST[[#This Row],[LS_TOTAL REALIZED GAIN]]+INVESTORS_LIST[[#This Row],[SIP_TOTAL REALIZED GAIN]]</f>
        <v>0</v>
      </c>
      <c r="AQ231" s="6">
        <f>INVESTORS_LIST[[#This Row],[TOTAL MARKET VALUE]]-INVESTORS_LIST[[#This Row],[TOTAL COST VALUE OF CURRENT INVESTMENT]]</f>
        <v>0</v>
      </c>
      <c r="AR231" s="6">
        <f>SUMIFS(DivAndTax[Tax Amount],DivAndTax[Investor ID],INVESTORS_LIST[[#This Row],[INVESTOR CODE]])</f>
        <v>0</v>
      </c>
      <c r="AS231" s="6">
        <f>SUMIFS(DivAndTax[Gross Dividend],DivAndTax[Investor ID],INVESTORS_LIST[[#This Row],[INVESTOR CODE]])</f>
        <v>0</v>
      </c>
      <c r="AT231" s="5">
        <f>IFERROR(INVESTORS_LIST[[#This Row],[TOTAL CURRENT UNITS]]/SUM(INVESTORS_LIST[TOTAL CURRENT UNITS]),0)</f>
        <v>0</v>
      </c>
    </row>
    <row r="232" spans="1:46" hidden="1">
      <c r="A232" t="s">
        <v>321</v>
      </c>
      <c r="B232" t="s">
        <v>322</v>
      </c>
      <c r="C232" t="s">
        <v>537</v>
      </c>
      <c r="D232" s="8" t="s">
        <v>5</v>
      </c>
      <c r="E232" s="2">
        <f>SUMIFS(LS[Unit],LS[Investor ID],INVESTORS_LIST[[#This Row],[INVESTOR CODE]],LS[B/S],"B")</f>
        <v>0</v>
      </c>
      <c r="F232" s="2">
        <f>-SUMIFS(LS[Unit],LS[Investor ID],INVESTORS_LIST[[#This Row],[INVESTOR CODE]],LS[B/S],"S")</f>
        <v>0</v>
      </c>
      <c r="G232" s="2">
        <f>IF(INVESTORS_LIST[[#This Row],[LS_TOTAL UNITS BUY]]=0,0,INVESTORS_LIST[[#This Row],[LS_TOTAL UNITS BUY]]-INVESTORS_LIST[[#This Row],[LS_TOTAL UNITS SOLD]])</f>
        <v>0</v>
      </c>
      <c r="H232" s="4">
        <f>IF(INVESTORS_LIST[[#This Row],[LS_TOTAL UNITS BUY]]=0,0,SUMIFS(LS[Amount],LS[Investor ID],INVESTORS_LIST[[#This Row],[INVESTOR CODE]],LS[B/S],"B"))</f>
        <v>0</v>
      </c>
      <c r="I232" s="6">
        <f>IF(INVESTORS_LIST[[#This Row],[LS_TOTAL UNITS SOLD]]=0,0,SUMIFS(LS[Cost of Units Sold],LS[Investor ID],INVESTORS_LIST[[#This Row],[INVESTOR CODE]],LS[B/S],"S"))</f>
        <v>0</v>
      </c>
      <c r="J232" s="6">
        <f>IF(INVESTORS_LIST[[#This Row],[LS_TOTAL CURRENT UNITS]]=0,0,INVESTORS_LIST[[#This Row],[LS_TOTAL CURRENT UNITS]]*INVESTORS_LIST[[#This Row],[LS_AVERAGE COST]])</f>
        <v>0</v>
      </c>
      <c r="K232" s="4">
        <f>IF(INVESTORS_LIST[[#This Row],[LS_TOTAL UNITS SOLD]]=0,0,SUMIFS(LS[Realized Gain],LS[Investor ID],INVESTORS_LIST[[#This Row],[INVESTOR CODE]],LS[B/S],"S"))</f>
        <v>0</v>
      </c>
      <c r="L232" s="2">
        <f>SUMIFS(SIP[Unit],SIP[Investor ID],INVESTORS_LIST[[#This Row],[INVESTOR CODE]],SIP[B/S],"B")</f>
        <v>0</v>
      </c>
      <c r="M232" s="2">
        <f>-SUMIFS(SIP[Unit],SIP[Investor ID],INVESTORS_LIST[[#This Row],[INVESTOR CODE]],SIP[B/S],"S")</f>
        <v>0</v>
      </c>
      <c r="N232" s="33">
        <f>IF(INVESTORS_LIST[[#This Row],[SIP_TOTAL UNITS BUY]]=0,0,INVESTORS_LIST[[#This Row],[SIP_TOTAL UNITS BUY]]-INVESTORS_LIST[[#This Row],[SIP_TOTAL UNITS SOLD]])</f>
        <v>0</v>
      </c>
      <c r="O232" s="4">
        <f>IF(INVESTORS_LIST[[#This Row],[SIP_TOTAL UNITS BUY]]=0,0,SUMIFS(SIP[Amount],SIP[Investor ID],INVESTORS_LIST[[#This Row],[INVESTOR CODE]],SIP[B/S],"B"))</f>
        <v>0</v>
      </c>
      <c r="P232" s="4">
        <f>IF(INVESTORS_LIST[[#This Row],[SIP_TOTAL UNITS SOLD]]=0,0,SUMIFS(SIP[Cost of Units Sold],SIP[Investor ID],INVESTORS_LIST[[#This Row],[INVESTOR CODE]],SIP[B/S],"S"))</f>
        <v>0</v>
      </c>
      <c r="Q232" s="6">
        <f>IF(INVESTORS_LIST[[#This Row],[SIP_TOTAL CURRENT UNITS]]=0,0,INVESTORS_LIST[[#This Row],[SIP_TOTAL CURRENT UNITS]]*INVESTORS_LIST[[#This Row],[SIP_AVERAGE COST]])</f>
        <v>0</v>
      </c>
      <c r="R232" s="6">
        <f>IF(INVESTORS_LIST[[#This Row],[SIP_TOTAL UNITS SOLD]]=0,0,SUMIFS(SIP[Realized Gain],SIP[Investor ID],INVESTORS_LIST[[#This Row],[INVESTOR CODE]],SIP[B/S],"S"))</f>
        <v>0</v>
      </c>
      <c r="S232" s="33">
        <f>INVESTORS_LIST[[#This Row],[LS_TOTAL UNITS BUY]]+INVESTORS_LIST[[#This Row],[SIP_TOTAL UNITS BUY]]</f>
        <v>0</v>
      </c>
      <c r="T232" s="33">
        <f>INVESTORS_LIST[[#This Row],[LS_TOTAL UNITS SOLD]]+INVESTORS_LIST[[#This Row],[SIP_TOTAL UNITS SOLD]]</f>
        <v>0</v>
      </c>
      <c r="U232" s="33">
        <v>0</v>
      </c>
      <c r="V232" s="33">
        <f>SUMIFS(LS[BO UNIT TRANSFER],LS[Investor ID],INVESTORS_LIST[[#This Row],[INVESTOR CODE]],LS[B/S],"B")</f>
        <v>0</v>
      </c>
      <c r="W232" s="33">
        <f>SUMIFS(LS[BO UNIT TRANSFER],LS[Investor ID],INVESTORS_LIST[[#This Row],[INVESTOR CODE]],LS[B/S],"S")</f>
        <v>0</v>
      </c>
      <c r="X232" s="33">
        <f>SUMIFS(SIP[BO UNIT TRANSFER],SIP[Investor ID],INVESTORS_LIST[[#This Row],[INVESTOR CODE]],SIP[B/S],"S")</f>
        <v>0</v>
      </c>
      <c r="Y232" s="33">
        <f>SUMIFS(SIP[BO UNIT TRANSFER],SIP[Investor ID],INVESTORS_LIST[[#This Row],[INVESTOR CODE]],SIP[B/S],"B")</f>
        <v>0</v>
      </c>
      <c r="Z23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32" s="119">
        <f>INVESTORS_LIST[[#This Row],[TOTAL UNITS BUY]]-INVESTORS_LIST[[#This Row],[TOTAL UNITS SOLD]]</f>
        <v>0</v>
      </c>
      <c r="AB232" s="119">
        <f>INVESTORS_LIST[[#This Row],[TOTAL CURRENT UNITS]]-INVESTORS_LIST[[#This Row],[BO UNITS HOLD]]</f>
        <v>0</v>
      </c>
      <c r="AC232" s="119" t="e">
        <f>INDEX([4]!Table_1[BO ID],MATCH(INVESTORS_LIST[[#This Row],[INVESTOR CODE]],[4]!Table_1[INVESTOR CODE],0))</f>
        <v>#REF!</v>
      </c>
      <c r="AD232" s="33">
        <f>INVESTORS_LIST[[#This Row],[LS_TOTAL COST VALUE OF CURRENT UNITS]]+INVESTORS_LIST[[#This Row],[SIP_TOTAL COST VALUE OF CURRENT UNITS]]</f>
        <v>0</v>
      </c>
      <c r="AE232" s="44">
        <f>IF(INVESTORS_LIST[[#This Row],[TOTAL CURRENT UNITS]]=0,0,INVESTORS_LIST[[#This Row],[LS_TOTAL CURRENT UNITS]]/INVESTORS_LIST[[#This Row],[TOTAL CURRENT UNITS]])</f>
        <v>0</v>
      </c>
      <c r="AF232" s="44">
        <f>IF(INVESTORS_LIST[[#This Row],[TOTAL CURRENT UNITS]]=0,0,INVESTORS_LIST[[#This Row],[SIP_TOTAL CURRENT UNITS]]/INVESTORS_LIST[[#This Row],[TOTAL CURRENT UNITS]])</f>
        <v>0</v>
      </c>
      <c r="AG232" s="4" cm="1">
        <f t="array" ref="AG2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32" s="4" cm="1">
        <f t="array" ref="AH2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3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32" s="178">
        <f t="shared" si="3"/>
        <v>12.552</v>
      </c>
      <c r="AK232" s="118">
        <f>IF(INVESTORS_LIST[[#This Row],[TOTAL CURRENT UNITS]]=0,0,INVESTORS_LIST[[#This Row],[TOTAL CURRENT UNITS]]*INVESTORS_LIST[[#This Row],[NAV]])</f>
        <v>0</v>
      </c>
      <c r="AL232" s="4">
        <f>IF(INVESTORS_LIST[[#This Row],[LS_TOTAL CURRENT UNITS]]=0,0,INVESTORS_LIST[[#This Row],[LS_TOTAL CURRENT UNITS]]*INVESTORS_LIST[[#This Row],[NAV]])</f>
        <v>0</v>
      </c>
      <c r="AM232" s="6">
        <f>IF(INVESTORS_LIST[[#This Row],[SIP_TOTAL CURRENT UNITS]]=0,0,INVESTORS_LIST[[#This Row],[SIP_TOTAL CURRENT UNITS]]*INVESTORS_LIST[[#This Row],[NAV]])</f>
        <v>0</v>
      </c>
      <c r="AO232" s="6">
        <f>IF(INVESTORS_LIST[[#This Row],[TOTAL SELLABLE UNITS]]=0,0,INVESTORS_LIST[[#This Row],[TOTAL SELLABLE UNITS]]*INVESTORS_LIST[[#This Row],[NAV]])</f>
        <v>0</v>
      </c>
      <c r="AP232" s="6">
        <f>INVESTORS_LIST[[#This Row],[LS_TOTAL REALIZED GAIN]]+INVESTORS_LIST[[#This Row],[SIP_TOTAL REALIZED GAIN]]</f>
        <v>0</v>
      </c>
      <c r="AQ232" s="6">
        <f>INVESTORS_LIST[[#This Row],[TOTAL MARKET VALUE]]-INVESTORS_LIST[[#This Row],[TOTAL COST VALUE OF CURRENT INVESTMENT]]</f>
        <v>0</v>
      </c>
      <c r="AR232" s="6">
        <f>SUMIFS(DivAndTax[Tax Amount],DivAndTax[Investor ID],INVESTORS_LIST[[#This Row],[INVESTOR CODE]])</f>
        <v>0</v>
      </c>
      <c r="AS232" s="6">
        <f>SUMIFS(DivAndTax[Gross Dividend],DivAndTax[Investor ID],INVESTORS_LIST[[#This Row],[INVESTOR CODE]])</f>
        <v>0</v>
      </c>
      <c r="AT232" s="5">
        <f>IFERROR(INVESTORS_LIST[[#This Row],[TOTAL CURRENT UNITS]]/SUM(INVESTORS_LIST[TOTAL CURRENT UNITS]),0)</f>
        <v>0</v>
      </c>
    </row>
    <row r="233" spans="1:46" hidden="1">
      <c r="A233" t="s">
        <v>323</v>
      </c>
      <c r="B233" t="s">
        <v>324</v>
      </c>
      <c r="C233" t="s">
        <v>536</v>
      </c>
      <c r="D233" s="8" t="s">
        <v>2</v>
      </c>
      <c r="E233" s="2">
        <f>SUMIFS(LS[Unit],LS[Investor ID],INVESTORS_LIST[[#This Row],[INVESTOR CODE]],LS[B/S],"B")</f>
        <v>0</v>
      </c>
      <c r="F233" s="2">
        <f>-SUMIFS(LS[Unit],LS[Investor ID],INVESTORS_LIST[[#This Row],[INVESTOR CODE]],LS[B/S],"S")</f>
        <v>0</v>
      </c>
      <c r="G233" s="2">
        <f>IF(INVESTORS_LIST[[#This Row],[LS_TOTAL UNITS BUY]]=0,0,INVESTORS_LIST[[#This Row],[LS_TOTAL UNITS BUY]]-INVESTORS_LIST[[#This Row],[LS_TOTAL UNITS SOLD]])</f>
        <v>0</v>
      </c>
      <c r="H233" s="4">
        <f>IF(INVESTORS_LIST[[#This Row],[LS_TOTAL UNITS BUY]]=0,0,SUMIFS(LS[Amount],LS[Investor ID],INVESTORS_LIST[[#This Row],[INVESTOR CODE]],LS[B/S],"B"))</f>
        <v>0</v>
      </c>
      <c r="I233" s="6">
        <f>IF(INVESTORS_LIST[[#This Row],[LS_TOTAL UNITS SOLD]]=0,0,SUMIFS(LS[Cost of Units Sold],LS[Investor ID],INVESTORS_LIST[[#This Row],[INVESTOR CODE]],LS[B/S],"S"))</f>
        <v>0</v>
      </c>
      <c r="J233" s="6">
        <f>IF(INVESTORS_LIST[[#This Row],[LS_TOTAL CURRENT UNITS]]=0,0,INVESTORS_LIST[[#This Row],[LS_TOTAL CURRENT UNITS]]*INVESTORS_LIST[[#This Row],[LS_AVERAGE COST]])</f>
        <v>0</v>
      </c>
      <c r="K233" s="4">
        <f>IF(INVESTORS_LIST[[#This Row],[LS_TOTAL UNITS SOLD]]=0,0,SUMIFS(LS[Realized Gain],LS[Investor ID],INVESTORS_LIST[[#This Row],[INVESTOR CODE]],LS[B/S],"S"))</f>
        <v>0</v>
      </c>
      <c r="L233" s="2">
        <f>SUMIFS(SIP[Unit],SIP[Investor ID],INVESTORS_LIST[[#This Row],[INVESTOR CODE]],SIP[B/S],"B")</f>
        <v>0</v>
      </c>
      <c r="M233" s="2">
        <f>-SUMIFS(SIP[Unit],SIP[Investor ID],INVESTORS_LIST[[#This Row],[INVESTOR CODE]],SIP[B/S],"S")</f>
        <v>0</v>
      </c>
      <c r="N233" s="33">
        <f>IF(INVESTORS_LIST[[#This Row],[SIP_TOTAL UNITS BUY]]=0,0,INVESTORS_LIST[[#This Row],[SIP_TOTAL UNITS BUY]]-INVESTORS_LIST[[#This Row],[SIP_TOTAL UNITS SOLD]])</f>
        <v>0</v>
      </c>
      <c r="O233" s="4">
        <f>IF(INVESTORS_LIST[[#This Row],[SIP_TOTAL UNITS BUY]]=0,0,SUMIFS(SIP[Amount],SIP[Investor ID],INVESTORS_LIST[[#This Row],[INVESTOR CODE]],SIP[B/S],"B"))</f>
        <v>0</v>
      </c>
      <c r="P233" s="4">
        <f>IF(INVESTORS_LIST[[#This Row],[SIP_TOTAL UNITS SOLD]]=0,0,SUMIFS(SIP[Cost of Units Sold],SIP[Investor ID],INVESTORS_LIST[[#This Row],[INVESTOR CODE]],SIP[B/S],"S"))</f>
        <v>0</v>
      </c>
      <c r="Q233" s="6">
        <f>IF(INVESTORS_LIST[[#This Row],[SIP_TOTAL CURRENT UNITS]]=0,0,INVESTORS_LIST[[#This Row],[SIP_TOTAL CURRENT UNITS]]*INVESTORS_LIST[[#This Row],[SIP_AVERAGE COST]])</f>
        <v>0</v>
      </c>
      <c r="R233" s="6">
        <f>IF(INVESTORS_LIST[[#This Row],[SIP_TOTAL UNITS SOLD]]=0,0,SUMIFS(SIP[Realized Gain],SIP[Investor ID],INVESTORS_LIST[[#This Row],[INVESTOR CODE]],SIP[B/S],"S"))</f>
        <v>0</v>
      </c>
      <c r="S233" s="33">
        <f>INVESTORS_LIST[[#This Row],[LS_TOTAL UNITS BUY]]+INVESTORS_LIST[[#This Row],[SIP_TOTAL UNITS BUY]]</f>
        <v>0</v>
      </c>
      <c r="T233" s="33">
        <f>INVESTORS_LIST[[#This Row],[LS_TOTAL UNITS SOLD]]+INVESTORS_LIST[[#This Row],[SIP_TOTAL UNITS SOLD]]</f>
        <v>0</v>
      </c>
      <c r="U233" s="33">
        <v>0</v>
      </c>
      <c r="V233" s="33">
        <f>SUMIFS(LS[BO UNIT TRANSFER],LS[Investor ID],INVESTORS_LIST[[#This Row],[INVESTOR CODE]],LS[B/S],"B")</f>
        <v>0</v>
      </c>
      <c r="W233" s="33">
        <f>SUMIFS(LS[BO UNIT TRANSFER],LS[Investor ID],INVESTORS_LIST[[#This Row],[INVESTOR CODE]],LS[B/S],"S")</f>
        <v>0</v>
      </c>
      <c r="X233" s="33">
        <f>SUMIFS(SIP[BO UNIT TRANSFER],SIP[Investor ID],INVESTORS_LIST[[#This Row],[INVESTOR CODE]],SIP[B/S],"S")</f>
        <v>0</v>
      </c>
      <c r="Y233" s="33">
        <f>SUMIFS(SIP[BO UNIT TRANSFER],SIP[Investor ID],INVESTORS_LIST[[#This Row],[INVESTOR CODE]],SIP[B/S],"B")</f>
        <v>0</v>
      </c>
      <c r="Z23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33" s="119">
        <f>INVESTORS_LIST[[#This Row],[TOTAL UNITS BUY]]-INVESTORS_LIST[[#This Row],[TOTAL UNITS SOLD]]</f>
        <v>0</v>
      </c>
      <c r="AB233" s="119">
        <f>INVESTORS_LIST[[#This Row],[TOTAL CURRENT UNITS]]-INVESTORS_LIST[[#This Row],[BO UNITS HOLD]]</f>
        <v>0</v>
      </c>
      <c r="AC233" s="119" t="e">
        <f>INDEX([4]!Table_1[BO ID],MATCH(INVESTORS_LIST[[#This Row],[INVESTOR CODE]],[4]!Table_1[INVESTOR CODE],0))</f>
        <v>#REF!</v>
      </c>
      <c r="AD233" s="33">
        <f>INVESTORS_LIST[[#This Row],[LS_TOTAL COST VALUE OF CURRENT UNITS]]+INVESTORS_LIST[[#This Row],[SIP_TOTAL COST VALUE OF CURRENT UNITS]]</f>
        <v>0</v>
      </c>
      <c r="AE233" s="44">
        <f>IF(INVESTORS_LIST[[#This Row],[TOTAL CURRENT UNITS]]=0,0,INVESTORS_LIST[[#This Row],[LS_TOTAL CURRENT UNITS]]/INVESTORS_LIST[[#This Row],[TOTAL CURRENT UNITS]])</f>
        <v>0</v>
      </c>
      <c r="AF233" s="44">
        <f>IF(INVESTORS_LIST[[#This Row],[TOTAL CURRENT UNITS]]=0,0,INVESTORS_LIST[[#This Row],[SIP_TOTAL CURRENT UNITS]]/INVESTORS_LIST[[#This Row],[TOTAL CURRENT UNITS]])</f>
        <v>0</v>
      </c>
      <c r="AG233" s="4" cm="1">
        <f t="array" ref="AG2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33" s="4" cm="1">
        <f t="array" ref="AH2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3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33" s="178">
        <f t="shared" si="3"/>
        <v>12.552</v>
      </c>
      <c r="AK233" s="118">
        <f>IF(INVESTORS_LIST[[#This Row],[TOTAL CURRENT UNITS]]=0,0,INVESTORS_LIST[[#This Row],[TOTAL CURRENT UNITS]]*INVESTORS_LIST[[#This Row],[NAV]])</f>
        <v>0</v>
      </c>
      <c r="AL233" s="4">
        <f>IF(INVESTORS_LIST[[#This Row],[LS_TOTAL CURRENT UNITS]]=0,0,INVESTORS_LIST[[#This Row],[LS_TOTAL CURRENT UNITS]]*INVESTORS_LIST[[#This Row],[NAV]])</f>
        <v>0</v>
      </c>
      <c r="AM233" s="6">
        <f>IF(INVESTORS_LIST[[#This Row],[SIP_TOTAL CURRENT UNITS]]=0,0,INVESTORS_LIST[[#This Row],[SIP_TOTAL CURRENT UNITS]]*INVESTORS_LIST[[#This Row],[NAV]])</f>
        <v>0</v>
      </c>
      <c r="AO233" s="6">
        <f>IF(INVESTORS_LIST[[#This Row],[TOTAL SELLABLE UNITS]]=0,0,INVESTORS_LIST[[#This Row],[TOTAL SELLABLE UNITS]]*INVESTORS_LIST[[#This Row],[NAV]])</f>
        <v>0</v>
      </c>
      <c r="AP233" s="6">
        <f>INVESTORS_LIST[[#This Row],[LS_TOTAL REALIZED GAIN]]+INVESTORS_LIST[[#This Row],[SIP_TOTAL REALIZED GAIN]]</f>
        <v>0</v>
      </c>
      <c r="AQ233" s="6">
        <f>INVESTORS_LIST[[#This Row],[TOTAL MARKET VALUE]]-INVESTORS_LIST[[#This Row],[TOTAL COST VALUE OF CURRENT INVESTMENT]]</f>
        <v>0</v>
      </c>
      <c r="AR233" s="6">
        <f>SUMIFS(DivAndTax[Tax Amount],DivAndTax[Investor ID],INVESTORS_LIST[[#This Row],[INVESTOR CODE]])</f>
        <v>0</v>
      </c>
      <c r="AS233" s="6">
        <f>SUMIFS(DivAndTax[Gross Dividend],DivAndTax[Investor ID],INVESTORS_LIST[[#This Row],[INVESTOR CODE]])</f>
        <v>0</v>
      </c>
      <c r="AT233" s="5">
        <f>IFERROR(INVESTORS_LIST[[#This Row],[TOTAL CURRENT UNITS]]/SUM(INVESTORS_LIST[TOTAL CURRENT UNITS]),0)</f>
        <v>0</v>
      </c>
    </row>
    <row r="234" spans="1:46" hidden="1">
      <c r="A234" t="s">
        <v>635</v>
      </c>
      <c r="B234" t="s">
        <v>325</v>
      </c>
      <c r="C234" t="s">
        <v>536</v>
      </c>
      <c r="D234" s="8" t="s">
        <v>2</v>
      </c>
      <c r="E234" s="2">
        <f>SUMIFS(LS[Unit],LS[Investor ID],INVESTORS_LIST[[#This Row],[INVESTOR CODE]],LS[B/S],"B")</f>
        <v>0</v>
      </c>
      <c r="F234" s="2">
        <f>-SUMIFS(LS[Unit],LS[Investor ID],INVESTORS_LIST[[#This Row],[INVESTOR CODE]],LS[B/S],"S")</f>
        <v>0</v>
      </c>
      <c r="G234" s="2">
        <f>IF(INVESTORS_LIST[[#This Row],[LS_TOTAL UNITS BUY]]=0,0,INVESTORS_LIST[[#This Row],[LS_TOTAL UNITS BUY]]-INVESTORS_LIST[[#This Row],[LS_TOTAL UNITS SOLD]])</f>
        <v>0</v>
      </c>
      <c r="H234" s="4">
        <f>IF(INVESTORS_LIST[[#This Row],[LS_TOTAL UNITS BUY]]=0,0,SUMIFS(LS[Amount],LS[Investor ID],INVESTORS_LIST[[#This Row],[INVESTOR CODE]],LS[B/S],"B"))</f>
        <v>0</v>
      </c>
      <c r="I234" s="6">
        <f>IF(INVESTORS_LIST[[#This Row],[LS_TOTAL UNITS SOLD]]=0,0,SUMIFS(LS[Cost of Units Sold],LS[Investor ID],INVESTORS_LIST[[#This Row],[INVESTOR CODE]],LS[B/S],"S"))</f>
        <v>0</v>
      </c>
      <c r="J234" s="6">
        <f>IF(INVESTORS_LIST[[#This Row],[LS_TOTAL CURRENT UNITS]]=0,0,INVESTORS_LIST[[#This Row],[LS_TOTAL CURRENT UNITS]]*INVESTORS_LIST[[#This Row],[LS_AVERAGE COST]])</f>
        <v>0</v>
      </c>
      <c r="K234" s="4">
        <f>IF(INVESTORS_LIST[[#This Row],[LS_TOTAL UNITS SOLD]]=0,0,SUMIFS(LS[Realized Gain],LS[Investor ID],INVESTORS_LIST[[#This Row],[INVESTOR CODE]],LS[B/S],"S"))</f>
        <v>0</v>
      </c>
      <c r="L234" s="2">
        <f>SUMIFS(SIP[Unit],SIP[Investor ID],INVESTORS_LIST[[#This Row],[INVESTOR CODE]],SIP[B/S],"B")</f>
        <v>0</v>
      </c>
      <c r="M234" s="2">
        <f>-SUMIFS(SIP[Unit],SIP[Investor ID],INVESTORS_LIST[[#This Row],[INVESTOR CODE]],SIP[B/S],"S")</f>
        <v>0</v>
      </c>
      <c r="N234" s="33">
        <f>IF(INVESTORS_LIST[[#This Row],[SIP_TOTAL UNITS BUY]]=0,0,INVESTORS_LIST[[#This Row],[SIP_TOTAL UNITS BUY]]-INVESTORS_LIST[[#This Row],[SIP_TOTAL UNITS SOLD]])</f>
        <v>0</v>
      </c>
      <c r="O234" s="4">
        <f>IF(INVESTORS_LIST[[#This Row],[SIP_TOTAL UNITS BUY]]=0,0,SUMIFS(SIP[Amount],SIP[Investor ID],INVESTORS_LIST[[#This Row],[INVESTOR CODE]],SIP[B/S],"B"))</f>
        <v>0</v>
      </c>
      <c r="P234" s="4">
        <f>IF(INVESTORS_LIST[[#This Row],[SIP_TOTAL UNITS SOLD]]=0,0,SUMIFS(SIP[Cost of Units Sold],SIP[Investor ID],INVESTORS_LIST[[#This Row],[INVESTOR CODE]],SIP[B/S],"S"))</f>
        <v>0</v>
      </c>
      <c r="Q234" s="6">
        <f>IF(INVESTORS_LIST[[#This Row],[SIP_TOTAL CURRENT UNITS]]=0,0,INVESTORS_LIST[[#This Row],[SIP_TOTAL CURRENT UNITS]]*INVESTORS_LIST[[#This Row],[SIP_AVERAGE COST]])</f>
        <v>0</v>
      </c>
      <c r="R234" s="6">
        <f>IF(INVESTORS_LIST[[#This Row],[SIP_TOTAL UNITS SOLD]]=0,0,SUMIFS(SIP[Realized Gain],SIP[Investor ID],INVESTORS_LIST[[#This Row],[INVESTOR CODE]],SIP[B/S],"S"))</f>
        <v>0</v>
      </c>
      <c r="S234" s="33">
        <f>INVESTORS_LIST[[#This Row],[LS_TOTAL UNITS BUY]]+INVESTORS_LIST[[#This Row],[SIP_TOTAL UNITS BUY]]</f>
        <v>0</v>
      </c>
      <c r="T234" s="33">
        <f>INVESTORS_LIST[[#This Row],[LS_TOTAL UNITS SOLD]]+INVESTORS_LIST[[#This Row],[SIP_TOTAL UNITS SOLD]]</f>
        <v>0</v>
      </c>
      <c r="U234" s="33">
        <v>0</v>
      </c>
      <c r="V234" s="33">
        <f>SUMIFS(LS[BO UNIT TRANSFER],LS[Investor ID],INVESTORS_LIST[[#This Row],[INVESTOR CODE]],LS[B/S],"B")</f>
        <v>0</v>
      </c>
      <c r="W234" s="33">
        <f>SUMIFS(LS[BO UNIT TRANSFER],LS[Investor ID],INVESTORS_LIST[[#This Row],[INVESTOR CODE]],LS[B/S],"S")</f>
        <v>0</v>
      </c>
      <c r="X234" s="33">
        <f>SUMIFS(SIP[BO UNIT TRANSFER],SIP[Investor ID],INVESTORS_LIST[[#This Row],[INVESTOR CODE]],SIP[B/S],"S")</f>
        <v>0</v>
      </c>
      <c r="Y234" s="33">
        <f>SUMIFS(SIP[BO UNIT TRANSFER],SIP[Investor ID],INVESTORS_LIST[[#This Row],[INVESTOR CODE]],SIP[B/S],"B")</f>
        <v>0</v>
      </c>
      <c r="Z23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34" s="119">
        <f>INVESTORS_LIST[[#This Row],[TOTAL UNITS BUY]]-INVESTORS_LIST[[#This Row],[TOTAL UNITS SOLD]]</f>
        <v>0</v>
      </c>
      <c r="AB234" s="119">
        <f>INVESTORS_LIST[[#This Row],[TOTAL CURRENT UNITS]]-INVESTORS_LIST[[#This Row],[BO UNITS HOLD]]</f>
        <v>0</v>
      </c>
      <c r="AC234" s="119" t="e">
        <f>INDEX([4]!Table_1[BO ID],MATCH(INVESTORS_LIST[[#This Row],[INVESTOR CODE]],[4]!Table_1[INVESTOR CODE],0))</f>
        <v>#REF!</v>
      </c>
      <c r="AD234" s="33">
        <f>INVESTORS_LIST[[#This Row],[LS_TOTAL COST VALUE OF CURRENT UNITS]]+INVESTORS_LIST[[#This Row],[SIP_TOTAL COST VALUE OF CURRENT UNITS]]</f>
        <v>0</v>
      </c>
      <c r="AE234" s="44">
        <f>IF(INVESTORS_LIST[[#This Row],[TOTAL CURRENT UNITS]]=0,0,INVESTORS_LIST[[#This Row],[LS_TOTAL CURRENT UNITS]]/INVESTORS_LIST[[#This Row],[TOTAL CURRENT UNITS]])</f>
        <v>0</v>
      </c>
      <c r="AF234" s="44">
        <f>IF(INVESTORS_LIST[[#This Row],[TOTAL CURRENT UNITS]]=0,0,INVESTORS_LIST[[#This Row],[SIP_TOTAL CURRENT UNITS]]/INVESTORS_LIST[[#This Row],[TOTAL CURRENT UNITS]])</f>
        <v>0</v>
      </c>
      <c r="AG234" s="4" cm="1">
        <f t="array" ref="AG23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34" s="4" cm="1">
        <f t="array" ref="AH2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3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34" s="178">
        <f t="shared" si="3"/>
        <v>12.552</v>
      </c>
      <c r="AK234" s="118">
        <f>IF(INVESTORS_LIST[[#This Row],[TOTAL CURRENT UNITS]]=0,0,INVESTORS_LIST[[#This Row],[TOTAL CURRENT UNITS]]*INVESTORS_LIST[[#This Row],[NAV]])</f>
        <v>0</v>
      </c>
      <c r="AL234" s="4">
        <f>IF(INVESTORS_LIST[[#This Row],[LS_TOTAL CURRENT UNITS]]=0,0,INVESTORS_LIST[[#This Row],[LS_TOTAL CURRENT UNITS]]*INVESTORS_LIST[[#This Row],[NAV]])</f>
        <v>0</v>
      </c>
      <c r="AM234" s="6">
        <f>IF(INVESTORS_LIST[[#This Row],[SIP_TOTAL CURRENT UNITS]]=0,0,INVESTORS_LIST[[#This Row],[SIP_TOTAL CURRENT UNITS]]*INVESTORS_LIST[[#This Row],[NAV]])</f>
        <v>0</v>
      </c>
      <c r="AO234" s="6">
        <f>IF(INVESTORS_LIST[[#This Row],[TOTAL SELLABLE UNITS]]=0,0,INVESTORS_LIST[[#This Row],[TOTAL SELLABLE UNITS]]*INVESTORS_LIST[[#This Row],[NAV]])</f>
        <v>0</v>
      </c>
      <c r="AP234" s="6">
        <f>INVESTORS_LIST[[#This Row],[LS_TOTAL REALIZED GAIN]]+INVESTORS_LIST[[#This Row],[SIP_TOTAL REALIZED GAIN]]</f>
        <v>0</v>
      </c>
      <c r="AQ234" s="6">
        <f>INVESTORS_LIST[[#This Row],[TOTAL MARKET VALUE]]-INVESTORS_LIST[[#This Row],[TOTAL COST VALUE OF CURRENT INVESTMENT]]</f>
        <v>0</v>
      </c>
      <c r="AR234" s="6">
        <f>SUMIFS(DivAndTax[Tax Amount],DivAndTax[Investor ID],INVESTORS_LIST[[#This Row],[INVESTOR CODE]])</f>
        <v>0</v>
      </c>
      <c r="AS234" s="6">
        <f>SUMIFS(DivAndTax[Gross Dividend],DivAndTax[Investor ID],INVESTORS_LIST[[#This Row],[INVESTOR CODE]])</f>
        <v>0</v>
      </c>
      <c r="AT234" s="5">
        <f>IFERROR(INVESTORS_LIST[[#This Row],[TOTAL CURRENT UNITS]]/SUM(INVESTORS_LIST[TOTAL CURRENT UNITS]),0)</f>
        <v>0</v>
      </c>
    </row>
    <row r="235" spans="1:46" hidden="1">
      <c r="A235" t="s">
        <v>326</v>
      </c>
      <c r="B235" t="s">
        <v>327</v>
      </c>
      <c r="C235" t="s">
        <v>536</v>
      </c>
      <c r="D235" s="8" t="s">
        <v>2</v>
      </c>
      <c r="E235" s="2">
        <f>SUMIFS(LS[Unit],LS[Investor ID],INVESTORS_LIST[[#This Row],[INVESTOR CODE]],LS[B/S],"B")</f>
        <v>0</v>
      </c>
      <c r="F235" s="2">
        <f>-SUMIFS(LS[Unit],LS[Investor ID],INVESTORS_LIST[[#This Row],[INVESTOR CODE]],LS[B/S],"S")</f>
        <v>0</v>
      </c>
      <c r="G235" s="2">
        <f>IF(INVESTORS_LIST[[#This Row],[LS_TOTAL UNITS BUY]]=0,0,INVESTORS_LIST[[#This Row],[LS_TOTAL UNITS BUY]]-INVESTORS_LIST[[#This Row],[LS_TOTAL UNITS SOLD]])</f>
        <v>0</v>
      </c>
      <c r="H235" s="4">
        <f>IF(INVESTORS_LIST[[#This Row],[LS_TOTAL UNITS BUY]]=0,0,SUMIFS(LS[Amount],LS[Investor ID],INVESTORS_LIST[[#This Row],[INVESTOR CODE]],LS[B/S],"B"))</f>
        <v>0</v>
      </c>
      <c r="I235" s="6">
        <f>IF(INVESTORS_LIST[[#This Row],[LS_TOTAL UNITS SOLD]]=0,0,SUMIFS(LS[Cost of Units Sold],LS[Investor ID],INVESTORS_LIST[[#This Row],[INVESTOR CODE]],LS[B/S],"S"))</f>
        <v>0</v>
      </c>
      <c r="J235" s="6">
        <f>IF(INVESTORS_LIST[[#This Row],[LS_TOTAL CURRENT UNITS]]=0,0,INVESTORS_LIST[[#This Row],[LS_TOTAL CURRENT UNITS]]*INVESTORS_LIST[[#This Row],[LS_AVERAGE COST]])</f>
        <v>0</v>
      </c>
      <c r="K235" s="4">
        <f>IF(INVESTORS_LIST[[#This Row],[LS_TOTAL UNITS SOLD]]=0,0,SUMIFS(LS[Realized Gain],LS[Investor ID],INVESTORS_LIST[[#This Row],[INVESTOR CODE]],LS[B/S],"S"))</f>
        <v>0</v>
      </c>
      <c r="L235" s="2">
        <f>SUMIFS(SIP[Unit],SIP[Investor ID],INVESTORS_LIST[[#This Row],[INVESTOR CODE]],SIP[B/S],"B")</f>
        <v>0</v>
      </c>
      <c r="M235" s="2">
        <f>-SUMIFS(SIP[Unit],SIP[Investor ID],INVESTORS_LIST[[#This Row],[INVESTOR CODE]],SIP[B/S],"S")</f>
        <v>0</v>
      </c>
      <c r="N235" s="33">
        <f>IF(INVESTORS_LIST[[#This Row],[SIP_TOTAL UNITS BUY]]=0,0,INVESTORS_LIST[[#This Row],[SIP_TOTAL UNITS BUY]]-INVESTORS_LIST[[#This Row],[SIP_TOTAL UNITS SOLD]])</f>
        <v>0</v>
      </c>
      <c r="O235" s="4">
        <f>IF(INVESTORS_LIST[[#This Row],[SIP_TOTAL UNITS BUY]]=0,0,SUMIFS(SIP[Amount],SIP[Investor ID],INVESTORS_LIST[[#This Row],[INVESTOR CODE]],SIP[B/S],"B"))</f>
        <v>0</v>
      </c>
      <c r="P235" s="4">
        <f>IF(INVESTORS_LIST[[#This Row],[SIP_TOTAL UNITS SOLD]]=0,0,SUMIFS(SIP[Cost of Units Sold],SIP[Investor ID],INVESTORS_LIST[[#This Row],[INVESTOR CODE]],SIP[B/S],"S"))</f>
        <v>0</v>
      </c>
      <c r="Q235" s="6">
        <f>IF(INVESTORS_LIST[[#This Row],[SIP_TOTAL CURRENT UNITS]]=0,0,INVESTORS_LIST[[#This Row],[SIP_TOTAL CURRENT UNITS]]*INVESTORS_LIST[[#This Row],[SIP_AVERAGE COST]])</f>
        <v>0</v>
      </c>
      <c r="R235" s="6">
        <f>IF(INVESTORS_LIST[[#This Row],[SIP_TOTAL UNITS SOLD]]=0,0,SUMIFS(SIP[Realized Gain],SIP[Investor ID],INVESTORS_LIST[[#This Row],[INVESTOR CODE]],SIP[B/S],"S"))</f>
        <v>0</v>
      </c>
      <c r="S235" s="33">
        <f>INVESTORS_LIST[[#This Row],[LS_TOTAL UNITS BUY]]+INVESTORS_LIST[[#This Row],[SIP_TOTAL UNITS BUY]]</f>
        <v>0</v>
      </c>
      <c r="T235" s="33">
        <f>INVESTORS_LIST[[#This Row],[LS_TOTAL UNITS SOLD]]+INVESTORS_LIST[[#This Row],[SIP_TOTAL UNITS SOLD]]</f>
        <v>0</v>
      </c>
      <c r="U235" s="33">
        <v>0</v>
      </c>
      <c r="V235" s="33">
        <f>SUMIFS(LS[BO UNIT TRANSFER],LS[Investor ID],INVESTORS_LIST[[#This Row],[INVESTOR CODE]],LS[B/S],"B")</f>
        <v>0</v>
      </c>
      <c r="W235" s="33">
        <f>SUMIFS(LS[BO UNIT TRANSFER],LS[Investor ID],INVESTORS_LIST[[#This Row],[INVESTOR CODE]],LS[B/S],"S")</f>
        <v>0</v>
      </c>
      <c r="X235" s="33">
        <f>SUMIFS(SIP[BO UNIT TRANSFER],SIP[Investor ID],INVESTORS_LIST[[#This Row],[INVESTOR CODE]],SIP[B/S],"S")</f>
        <v>0</v>
      </c>
      <c r="Y235" s="33">
        <f>SUMIFS(SIP[BO UNIT TRANSFER],SIP[Investor ID],INVESTORS_LIST[[#This Row],[INVESTOR CODE]],SIP[B/S],"B")</f>
        <v>0</v>
      </c>
      <c r="Z23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35" s="119">
        <f>INVESTORS_LIST[[#This Row],[TOTAL UNITS BUY]]-INVESTORS_LIST[[#This Row],[TOTAL UNITS SOLD]]</f>
        <v>0</v>
      </c>
      <c r="AB235" s="119">
        <f>INVESTORS_LIST[[#This Row],[TOTAL CURRENT UNITS]]-INVESTORS_LIST[[#This Row],[BO UNITS HOLD]]</f>
        <v>0</v>
      </c>
      <c r="AC235" s="119" t="e">
        <f>INDEX([4]!Table_1[BO ID],MATCH(INVESTORS_LIST[[#This Row],[INVESTOR CODE]],[4]!Table_1[INVESTOR CODE],0))</f>
        <v>#REF!</v>
      </c>
      <c r="AD235" s="33">
        <f>INVESTORS_LIST[[#This Row],[LS_TOTAL COST VALUE OF CURRENT UNITS]]+INVESTORS_LIST[[#This Row],[SIP_TOTAL COST VALUE OF CURRENT UNITS]]</f>
        <v>0</v>
      </c>
      <c r="AE235" s="44">
        <f>IF(INVESTORS_LIST[[#This Row],[TOTAL CURRENT UNITS]]=0,0,INVESTORS_LIST[[#This Row],[LS_TOTAL CURRENT UNITS]]/INVESTORS_LIST[[#This Row],[TOTAL CURRENT UNITS]])</f>
        <v>0</v>
      </c>
      <c r="AF235" s="44">
        <f>IF(INVESTORS_LIST[[#This Row],[TOTAL CURRENT UNITS]]=0,0,INVESTORS_LIST[[#This Row],[SIP_TOTAL CURRENT UNITS]]/INVESTORS_LIST[[#This Row],[TOTAL CURRENT UNITS]])</f>
        <v>0</v>
      </c>
      <c r="AG235" s="4" cm="1">
        <f t="array" ref="AG2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35" s="4" cm="1">
        <f t="array" ref="AH2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3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35" s="178">
        <f t="shared" si="3"/>
        <v>12.552</v>
      </c>
      <c r="AK235" s="118">
        <f>IF(INVESTORS_LIST[[#This Row],[TOTAL CURRENT UNITS]]=0,0,INVESTORS_LIST[[#This Row],[TOTAL CURRENT UNITS]]*INVESTORS_LIST[[#This Row],[NAV]])</f>
        <v>0</v>
      </c>
      <c r="AL235" s="4">
        <f>IF(INVESTORS_LIST[[#This Row],[LS_TOTAL CURRENT UNITS]]=0,0,INVESTORS_LIST[[#This Row],[LS_TOTAL CURRENT UNITS]]*INVESTORS_LIST[[#This Row],[NAV]])</f>
        <v>0</v>
      </c>
      <c r="AM235" s="6">
        <f>IF(INVESTORS_LIST[[#This Row],[SIP_TOTAL CURRENT UNITS]]=0,0,INVESTORS_LIST[[#This Row],[SIP_TOTAL CURRENT UNITS]]*INVESTORS_LIST[[#This Row],[NAV]])</f>
        <v>0</v>
      </c>
      <c r="AO235" s="6">
        <f>IF(INVESTORS_LIST[[#This Row],[TOTAL SELLABLE UNITS]]=0,0,INVESTORS_LIST[[#This Row],[TOTAL SELLABLE UNITS]]*INVESTORS_LIST[[#This Row],[NAV]])</f>
        <v>0</v>
      </c>
      <c r="AP235" s="6">
        <f>INVESTORS_LIST[[#This Row],[LS_TOTAL REALIZED GAIN]]+INVESTORS_LIST[[#This Row],[SIP_TOTAL REALIZED GAIN]]</f>
        <v>0</v>
      </c>
      <c r="AQ235" s="6">
        <f>INVESTORS_LIST[[#This Row],[TOTAL MARKET VALUE]]-INVESTORS_LIST[[#This Row],[TOTAL COST VALUE OF CURRENT INVESTMENT]]</f>
        <v>0</v>
      </c>
      <c r="AR235" s="6">
        <f>SUMIFS(DivAndTax[Tax Amount],DivAndTax[Investor ID],INVESTORS_LIST[[#This Row],[INVESTOR CODE]])</f>
        <v>0</v>
      </c>
      <c r="AS235" s="6">
        <f>SUMIFS(DivAndTax[Gross Dividend],DivAndTax[Investor ID],INVESTORS_LIST[[#This Row],[INVESTOR CODE]])</f>
        <v>0</v>
      </c>
      <c r="AT235" s="5">
        <f>IFERROR(INVESTORS_LIST[[#This Row],[TOTAL CURRENT UNITS]]/SUM(INVESTORS_LIST[TOTAL CURRENT UNITS]),0)</f>
        <v>0</v>
      </c>
    </row>
    <row r="236" spans="1:46" hidden="1">
      <c r="A236" t="s">
        <v>328</v>
      </c>
      <c r="B236" t="s">
        <v>329</v>
      </c>
      <c r="C236" t="s">
        <v>536</v>
      </c>
      <c r="D236" s="8" t="s">
        <v>2</v>
      </c>
      <c r="E236" s="2">
        <f>SUMIFS(LS[Unit],LS[Investor ID],INVESTORS_LIST[[#This Row],[INVESTOR CODE]],LS[B/S],"B")</f>
        <v>0</v>
      </c>
      <c r="F236" s="2">
        <f>-SUMIFS(LS[Unit],LS[Investor ID],INVESTORS_LIST[[#This Row],[INVESTOR CODE]],LS[B/S],"S")</f>
        <v>0</v>
      </c>
      <c r="G236" s="2">
        <f>IF(INVESTORS_LIST[[#This Row],[LS_TOTAL UNITS BUY]]=0,0,INVESTORS_LIST[[#This Row],[LS_TOTAL UNITS BUY]]-INVESTORS_LIST[[#This Row],[LS_TOTAL UNITS SOLD]])</f>
        <v>0</v>
      </c>
      <c r="H236" s="4">
        <f>IF(INVESTORS_LIST[[#This Row],[LS_TOTAL UNITS BUY]]=0,0,SUMIFS(LS[Amount],LS[Investor ID],INVESTORS_LIST[[#This Row],[INVESTOR CODE]],LS[B/S],"B"))</f>
        <v>0</v>
      </c>
      <c r="I236" s="6">
        <f>IF(INVESTORS_LIST[[#This Row],[LS_TOTAL UNITS SOLD]]=0,0,SUMIFS(LS[Cost of Units Sold],LS[Investor ID],INVESTORS_LIST[[#This Row],[INVESTOR CODE]],LS[B/S],"S"))</f>
        <v>0</v>
      </c>
      <c r="J236" s="6">
        <f>IF(INVESTORS_LIST[[#This Row],[LS_TOTAL CURRENT UNITS]]=0,0,INVESTORS_LIST[[#This Row],[LS_TOTAL CURRENT UNITS]]*INVESTORS_LIST[[#This Row],[LS_AVERAGE COST]])</f>
        <v>0</v>
      </c>
      <c r="K236" s="4">
        <f>IF(INVESTORS_LIST[[#This Row],[LS_TOTAL UNITS SOLD]]=0,0,SUMIFS(LS[Realized Gain],LS[Investor ID],INVESTORS_LIST[[#This Row],[INVESTOR CODE]],LS[B/S],"S"))</f>
        <v>0</v>
      </c>
      <c r="L236" s="2">
        <f>SUMIFS(SIP[Unit],SIP[Investor ID],INVESTORS_LIST[[#This Row],[INVESTOR CODE]],SIP[B/S],"B")</f>
        <v>0</v>
      </c>
      <c r="M236" s="2">
        <f>-SUMIFS(SIP[Unit],SIP[Investor ID],INVESTORS_LIST[[#This Row],[INVESTOR CODE]],SIP[B/S],"S")</f>
        <v>0</v>
      </c>
      <c r="N236" s="33">
        <f>IF(INVESTORS_LIST[[#This Row],[SIP_TOTAL UNITS BUY]]=0,0,INVESTORS_LIST[[#This Row],[SIP_TOTAL UNITS BUY]]-INVESTORS_LIST[[#This Row],[SIP_TOTAL UNITS SOLD]])</f>
        <v>0</v>
      </c>
      <c r="O236" s="4">
        <f>IF(INVESTORS_LIST[[#This Row],[SIP_TOTAL UNITS BUY]]=0,0,SUMIFS(SIP[Amount],SIP[Investor ID],INVESTORS_LIST[[#This Row],[INVESTOR CODE]],SIP[B/S],"B"))</f>
        <v>0</v>
      </c>
      <c r="P236" s="4">
        <f>IF(INVESTORS_LIST[[#This Row],[SIP_TOTAL UNITS SOLD]]=0,0,SUMIFS(SIP[Cost of Units Sold],SIP[Investor ID],INVESTORS_LIST[[#This Row],[INVESTOR CODE]],SIP[B/S],"S"))</f>
        <v>0</v>
      </c>
      <c r="Q236" s="6">
        <f>IF(INVESTORS_LIST[[#This Row],[SIP_TOTAL CURRENT UNITS]]=0,0,INVESTORS_LIST[[#This Row],[SIP_TOTAL CURRENT UNITS]]*INVESTORS_LIST[[#This Row],[SIP_AVERAGE COST]])</f>
        <v>0</v>
      </c>
      <c r="R236" s="6">
        <f>IF(INVESTORS_LIST[[#This Row],[SIP_TOTAL UNITS SOLD]]=0,0,SUMIFS(SIP[Realized Gain],SIP[Investor ID],INVESTORS_LIST[[#This Row],[INVESTOR CODE]],SIP[B/S],"S"))</f>
        <v>0</v>
      </c>
      <c r="S236" s="33">
        <f>INVESTORS_LIST[[#This Row],[LS_TOTAL UNITS BUY]]+INVESTORS_LIST[[#This Row],[SIP_TOTAL UNITS BUY]]</f>
        <v>0</v>
      </c>
      <c r="T236" s="33">
        <f>INVESTORS_LIST[[#This Row],[LS_TOTAL UNITS SOLD]]+INVESTORS_LIST[[#This Row],[SIP_TOTAL UNITS SOLD]]</f>
        <v>0</v>
      </c>
      <c r="U236" s="33">
        <v>0</v>
      </c>
      <c r="V236" s="33">
        <f>SUMIFS(LS[BO UNIT TRANSFER],LS[Investor ID],INVESTORS_LIST[[#This Row],[INVESTOR CODE]],LS[B/S],"B")</f>
        <v>0</v>
      </c>
      <c r="W236" s="33">
        <f>SUMIFS(LS[BO UNIT TRANSFER],LS[Investor ID],INVESTORS_LIST[[#This Row],[INVESTOR CODE]],LS[B/S],"S")</f>
        <v>0</v>
      </c>
      <c r="X236" s="33">
        <f>SUMIFS(SIP[BO UNIT TRANSFER],SIP[Investor ID],INVESTORS_LIST[[#This Row],[INVESTOR CODE]],SIP[B/S],"S")</f>
        <v>0</v>
      </c>
      <c r="Y236" s="33">
        <f>SUMIFS(SIP[BO UNIT TRANSFER],SIP[Investor ID],INVESTORS_LIST[[#This Row],[INVESTOR CODE]],SIP[B/S],"B")</f>
        <v>0</v>
      </c>
      <c r="Z23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36" s="119">
        <f>INVESTORS_LIST[[#This Row],[TOTAL UNITS BUY]]-INVESTORS_LIST[[#This Row],[TOTAL UNITS SOLD]]</f>
        <v>0</v>
      </c>
      <c r="AB236" s="119">
        <f>INVESTORS_LIST[[#This Row],[TOTAL CURRENT UNITS]]-INVESTORS_LIST[[#This Row],[BO UNITS HOLD]]</f>
        <v>0</v>
      </c>
      <c r="AC236" s="119" t="e">
        <f>INDEX([4]!Table_1[BO ID],MATCH(INVESTORS_LIST[[#This Row],[INVESTOR CODE]],[4]!Table_1[INVESTOR CODE],0))</f>
        <v>#REF!</v>
      </c>
      <c r="AD236" s="33">
        <f>INVESTORS_LIST[[#This Row],[LS_TOTAL COST VALUE OF CURRENT UNITS]]+INVESTORS_LIST[[#This Row],[SIP_TOTAL COST VALUE OF CURRENT UNITS]]</f>
        <v>0</v>
      </c>
      <c r="AE236" s="44">
        <f>IF(INVESTORS_LIST[[#This Row],[TOTAL CURRENT UNITS]]=0,0,INVESTORS_LIST[[#This Row],[LS_TOTAL CURRENT UNITS]]/INVESTORS_LIST[[#This Row],[TOTAL CURRENT UNITS]])</f>
        <v>0</v>
      </c>
      <c r="AF236" s="44">
        <f>IF(INVESTORS_LIST[[#This Row],[TOTAL CURRENT UNITS]]=0,0,INVESTORS_LIST[[#This Row],[SIP_TOTAL CURRENT UNITS]]/INVESTORS_LIST[[#This Row],[TOTAL CURRENT UNITS]])</f>
        <v>0</v>
      </c>
      <c r="AG236" s="4" cm="1">
        <f t="array" ref="AG23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36" s="4" cm="1">
        <f t="array" ref="AH2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3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36" s="178">
        <f t="shared" si="3"/>
        <v>12.552</v>
      </c>
      <c r="AK236" s="118">
        <f>IF(INVESTORS_LIST[[#This Row],[TOTAL CURRENT UNITS]]=0,0,INVESTORS_LIST[[#This Row],[TOTAL CURRENT UNITS]]*INVESTORS_LIST[[#This Row],[NAV]])</f>
        <v>0</v>
      </c>
      <c r="AL236" s="4">
        <f>IF(INVESTORS_LIST[[#This Row],[LS_TOTAL CURRENT UNITS]]=0,0,INVESTORS_LIST[[#This Row],[LS_TOTAL CURRENT UNITS]]*INVESTORS_LIST[[#This Row],[NAV]])</f>
        <v>0</v>
      </c>
      <c r="AM236" s="6">
        <f>IF(INVESTORS_LIST[[#This Row],[SIP_TOTAL CURRENT UNITS]]=0,0,INVESTORS_LIST[[#This Row],[SIP_TOTAL CURRENT UNITS]]*INVESTORS_LIST[[#This Row],[NAV]])</f>
        <v>0</v>
      </c>
      <c r="AO236" s="6">
        <f>IF(INVESTORS_LIST[[#This Row],[TOTAL SELLABLE UNITS]]=0,0,INVESTORS_LIST[[#This Row],[TOTAL SELLABLE UNITS]]*INVESTORS_LIST[[#This Row],[NAV]])</f>
        <v>0</v>
      </c>
      <c r="AP236" s="6">
        <f>INVESTORS_LIST[[#This Row],[LS_TOTAL REALIZED GAIN]]+INVESTORS_LIST[[#This Row],[SIP_TOTAL REALIZED GAIN]]</f>
        <v>0</v>
      </c>
      <c r="AQ236" s="6">
        <f>INVESTORS_LIST[[#This Row],[TOTAL MARKET VALUE]]-INVESTORS_LIST[[#This Row],[TOTAL COST VALUE OF CURRENT INVESTMENT]]</f>
        <v>0</v>
      </c>
      <c r="AR236" s="6">
        <f>SUMIFS(DivAndTax[Tax Amount],DivAndTax[Investor ID],INVESTORS_LIST[[#This Row],[INVESTOR CODE]])</f>
        <v>0</v>
      </c>
      <c r="AS236" s="6">
        <f>SUMIFS(DivAndTax[Gross Dividend],DivAndTax[Investor ID],INVESTORS_LIST[[#This Row],[INVESTOR CODE]])</f>
        <v>0</v>
      </c>
      <c r="AT236" s="5">
        <f>IFERROR(INVESTORS_LIST[[#This Row],[TOTAL CURRENT UNITS]]/SUM(INVESTORS_LIST[TOTAL CURRENT UNITS]),0)</f>
        <v>0</v>
      </c>
    </row>
    <row r="237" spans="1:46" hidden="1">
      <c r="A237" t="s">
        <v>331</v>
      </c>
      <c r="B237" t="s">
        <v>330</v>
      </c>
      <c r="C237" t="s">
        <v>539</v>
      </c>
      <c r="D237" s="8" t="s">
        <v>2</v>
      </c>
      <c r="E237" s="2">
        <f>SUMIFS(LS[Unit],LS[Investor ID],INVESTORS_LIST[[#This Row],[INVESTOR CODE]],LS[B/S],"B")</f>
        <v>0</v>
      </c>
      <c r="F237" s="2">
        <f>-SUMIFS(LS[Unit],LS[Investor ID],INVESTORS_LIST[[#This Row],[INVESTOR CODE]],LS[B/S],"S")</f>
        <v>0</v>
      </c>
      <c r="G237" s="2">
        <f>IF(INVESTORS_LIST[[#This Row],[LS_TOTAL UNITS BUY]]=0,0,INVESTORS_LIST[[#This Row],[LS_TOTAL UNITS BUY]]-INVESTORS_LIST[[#This Row],[LS_TOTAL UNITS SOLD]])</f>
        <v>0</v>
      </c>
      <c r="H237" s="4">
        <f>IF(INVESTORS_LIST[[#This Row],[LS_TOTAL UNITS BUY]]=0,0,SUMIFS(LS[Amount],LS[Investor ID],INVESTORS_LIST[[#This Row],[INVESTOR CODE]],LS[B/S],"B"))</f>
        <v>0</v>
      </c>
      <c r="I237" s="6">
        <f>IF(INVESTORS_LIST[[#This Row],[LS_TOTAL UNITS SOLD]]=0,0,SUMIFS(LS[Cost of Units Sold],LS[Investor ID],INVESTORS_LIST[[#This Row],[INVESTOR CODE]],LS[B/S],"S"))</f>
        <v>0</v>
      </c>
      <c r="J237" s="6">
        <f>IF(INVESTORS_LIST[[#This Row],[LS_TOTAL CURRENT UNITS]]=0,0,INVESTORS_LIST[[#This Row],[LS_TOTAL CURRENT UNITS]]*INVESTORS_LIST[[#This Row],[LS_AVERAGE COST]])</f>
        <v>0</v>
      </c>
      <c r="K237" s="4">
        <f>IF(INVESTORS_LIST[[#This Row],[LS_TOTAL UNITS SOLD]]=0,0,SUMIFS(LS[Realized Gain],LS[Investor ID],INVESTORS_LIST[[#This Row],[INVESTOR CODE]],LS[B/S],"S"))</f>
        <v>0</v>
      </c>
      <c r="L237" s="2">
        <f>SUMIFS(SIP[Unit],SIP[Investor ID],INVESTORS_LIST[[#This Row],[INVESTOR CODE]],SIP[B/S],"B")</f>
        <v>0</v>
      </c>
      <c r="M237" s="2">
        <f>-SUMIFS(SIP[Unit],SIP[Investor ID],INVESTORS_LIST[[#This Row],[INVESTOR CODE]],SIP[B/S],"S")</f>
        <v>0</v>
      </c>
      <c r="N237" s="33">
        <f>IF(INVESTORS_LIST[[#This Row],[SIP_TOTAL UNITS BUY]]=0,0,INVESTORS_LIST[[#This Row],[SIP_TOTAL UNITS BUY]]-INVESTORS_LIST[[#This Row],[SIP_TOTAL UNITS SOLD]])</f>
        <v>0</v>
      </c>
      <c r="O237" s="4">
        <f>IF(INVESTORS_LIST[[#This Row],[SIP_TOTAL UNITS BUY]]=0,0,SUMIFS(SIP[Amount],SIP[Investor ID],INVESTORS_LIST[[#This Row],[INVESTOR CODE]],SIP[B/S],"B"))</f>
        <v>0</v>
      </c>
      <c r="P237" s="4">
        <f>IF(INVESTORS_LIST[[#This Row],[SIP_TOTAL UNITS SOLD]]=0,0,SUMIFS(SIP[Cost of Units Sold],SIP[Investor ID],INVESTORS_LIST[[#This Row],[INVESTOR CODE]],SIP[B/S],"S"))</f>
        <v>0</v>
      </c>
      <c r="Q237" s="6">
        <f>IF(INVESTORS_LIST[[#This Row],[SIP_TOTAL CURRENT UNITS]]=0,0,INVESTORS_LIST[[#This Row],[SIP_TOTAL CURRENT UNITS]]*INVESTORS_LIST[[#This Row],[SIP_AVERAGE COST]])</f>
        <v>0</v>
      </c>
      <c r="R237" s="6">
        <f>IF(INVESTORS_LIST[[#This Row],[SIP_TOTAL UNITS SOLD]]=0,0,SUMIFS(SIP[Realized Gain],SIP[Investor ID],INVESTORS_LIST[[#This Row],[INVESTOR CODE]],SIP[B/S],"S"))</f>
        <v>0</v>
      </c>
      <c r="S237" s="33">
        <f>INVESTORS_LIST[[#This Row],[LS_TOTAL UNITS BUY]]+INVESTORS_LIST[[#This Row],[SIP_TOTAL UNITS BUY]]</f>
        <v>0</v>
      </c>
      <c r="T237" s="33">
        <f>INVESTORS_LIST[[#This Row],[LS_TOTAL UNITS SOLD]]+INVESTORS_LIST[[#This Row],[SIP_TOTAL UNITS SOLD]]</f>
        <v>0</v>
      </c>
      <c r="U237" s="33">
        <v>0</v>
      </c>
      <c r="V237" s="33">
        <f>SUMIFS(LS[BO UNIT TRANSFER],LS[Investor ID],INVESTORS_LIST[[#This Row],[INVESTOR CODE]],LS[B/S],"B")</f>
        <v>0</v>
      </c>
      <c r="W237" s="33">
        <f>SUMIFS(LS[BO UNIT TRANSFER],LS[Investor ID],INVESTORS_LIST[[#This Row],[INVESTOR CODE]],LS[B/S],"S")</f>
        <v>0</v>
      </c>
      <c r="X237" s="33">
        <f>SUMIFS(SIP[BO UNIT TRANSFER],SIP[Investor ID],INVESTORS_LIST[[#This Row],[INVESTOR CODE]],SIP[B/S],"S")</f>
        <v>0</v>
      </c>
      <c r="Y237" s="33">
        <f>SUMIFS(SIP[BO UNIT TRANSFER],SIP[Investor ID],INVESTORS_LIST[[#This Row],[INVESTOR CODE]],SIP[B/S],"B")</f>
        <v>0</v>
      </c>
      <c r="Z23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37" s="119">
        <f>INVESTORS_LIST[[#This Row],[TOTAL UNITS BUY]]-INVESTORS_LIST[[#This Row],[TOTAL UNITS SOLD]]</f>
        <v>0</v>
      </c>
      <c r="AB237" s="119">
        <f>INVESTORS_LIST[[#This Row],[TOTAL CURRENT UNITS]]-INVESTORS_LIST[[#This Row],[BO UNITS HOLD]]</f>
        <v>0</v>
      </c>
      <c r="AC237" s="119" t="e">
        <f>INDEX([4]!Table_1[BO ID],MATCH(INVESTORS_LIST[[#This Row],[INVESTOR CODE]],[4]!Table_1[INVESTOR CODE],0))</f>
        <v>#REF!</v>
      </c>
      <c r="AD237" s="33">
        <f>INVESTORS_LIST[[#This Row],[LS_TOTAL COST VALUE OF CURRENT UNITS]]+INVESTORS_LIST[[#This Row],[SIP_TOTAL COST VALUE OF CURRENT UNITS]]</f>
        <v>0</v>
      </c>
      <c r="AE237" s="44">
        <f>IF(INVESTORS_LIST[[#This Row],[TOTAL CURRENT UNITS]]=0,0,INVESTORS_LIST[[#This Row],[LS_TOTAL CURRENT UNITS]]/INVESTORS_LIST[[#This Row],[TOTAL CURRENT UNITS]])</f>
        <v>0</v>
      </c>
      <c r="AF237" s="44">
        <f>IF(INVESTORS_LIST[[#This Row],[TOTAL CURRENT UNITS]]=0,0,INVESTORS_LIST[[#This Row],[SIP_TOTAL CURRENT UNITS]]/INVESTORS_LIST[[#This Row],[TOTAL CURRENT UNITS]])</f>
        <v>0</v>
      </c>
      <c r="AG237" s="4" cm="1">
        <f t="array" ref="AG2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37" s="4" cm="1">
        <f t="array" ref="AH2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3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37" s="178">
        <f t="shared" si="3"/>
        <v>12.552</v>
      </c>
      <c r="AK237" s="118">
        <f>IF(INVESTORS_LIST[[#This Row],[TOTAL CURRENT UNITS]]=0,0,INVESTORS_LIST[[#This Row],[TOTAL CURRENT UNITS]]*INVESTORS_LIST[[#This Row],[NAV]])</f>
        <v>0</v>
      </c>
      <c r="AL237" s="4">
        <f>IF(INVESTORS_LIST[[#This Row],[LS_TOTAL CURRENT UNITS]]=0,0,INVESTORS_LIST[[#This Row],[LS_TOTAL CURRENT UNITS]]*INVESTORS_LIST[[#This Row],[NAV]])</f>
        <v>0</v>
      </c>
      <c r="AM237" s="6">
        <f>IF(INVESTORS_LIST[[#This Row],[SIP_TOTAL CURRENT UNITS]]=0,0,INVESTORS_LIST[[#This Row],[SIP_TOTAL CURRENT UNITS]]*INVESTORS_LIST[[#This Row],[NAV]])</f>
        <v>0</v>
      </c>
      <c r="AO237" s="6">
        <f>IF(INVESTORS_LIST[[#This Row],[TOTAL SELLABLE UNITS]]=0,0,INVESTORS_LIST[[#This Row],[TOTAL SELLABLE UNITS]]*INVESTORS_LIST[[#This Row],[NAV]])</f>
        <v>0</v>
      </c>
      <c r="AP237" s="6">
        <f>INVESTORS_LIST[[#This Row],[LS_TOTAL REALIZED GAIN]]+INVESTORS_LIST[[#This Row],[SIP_TOTAL REALIZED GAIN]]</f>
        <v>0</v>
      </c>
      <c r="AQ237" s="6">
        <f>INVESTORS_LIST[[#This Row],[TOTAL MARKET VALUE]]-INVESTORS_LIST[[#This Row],[TOTAL COST VALUE OF CURRENT INVESTMENT]]</f>
        <v>0</v>
      </c>
      <c r="AR237" s="6">
        <f>SUMIFS(DivAndTax[Tax Amount],DivAndTax[Investor ID],INVESTORS_LIST[[#This Row],[INVESTOR CODE]])</f>
        <v>0</v>
      </c>
      <c r="AS237" s="6">
        <f>SUMIFS(DivAndTax[Gross Dividend],DivAndTax[Investor ID],INVESTORS_LIST[[#This Row],[INVESTOR CODE]])</f>
        <v>0</v>
      </c>
      <c r="AT237" s="5">
        <f>IFERROR(INVESTORS_LIST[[#This Row],[TOTAL CURRENT UNITS]]/SUM(INVESTORS_LIST[TOTAL CURRENT UNITS]),0)</f>
        <v>0</v>
      </c>
    </row>
    <row r="238" spans="1:46" hidden="1">
      <c r="A238" t="s">
        <v>332</v>
      </c>
      <c r="B238" t="s">
        <v>333</v>
      </c>
      <c r="C238" t="s">
        <v>539</v>
      </c>
      <c r="D238" s="8" t="s">
        <v>2</v>
      </c>
      <c r="E238" s="2">
        <f>SUMIFS(LS[Unit],LS[Investor ID],INVESTORS_LIST[[#This Row],[INVESTOR CODE]],LS[B/S],"B")</f>
        <v>0</v>
      </c>
      <c r="F238" s="2">
        <f>-SUMIFS(LS[Unit],LS[Investor ID],INVESTORS_LIST[[#This Row],[INVESTOR CODE]],LS[B/S],"S")</f>
        <v>0</v>
      </c>
      <c r="G238" s="2">
        <f>IF(INVESTORS_LIST[[#This Row],[LS_TOTAL UNITS BUY]]=0,0,INVESTORS_LIST[[#This Row],[LS_TOTAL UNITS BUY]]-INVESTORS_LIST[[#This Row],[LS_TOTAL UNITS SOLD]])</f>
        <v>0</v>
      </c>
      <c r="H238" s="4">
        <f>IF(INVESTORS_LIST[[#This Row],[LS_TOTAL UNITS BUY]]=0,0,SUMIFS(LS[Amount],LS[Investor ID],INVESTORS_LIST[[#This Row],[INVESTOR CODE]],LS[B/S],"B"))</f>
        <v>0</v>
      </c>
      <c r="I238" s="6">
        <f>IF(INVESTORS_LIST[[#This Row],[LS_TOTAL UNITS SOLD]]=0,0,SUMIFS(LS[Cost of Units Sold],LS[Investor ID],INVESTORS_LIST[[#This Row],[INVESTOR CODE]],LS[B/S],"S"))</f>
        <v>0</v>
      </c>
      <c r="J238" s="6">
        <f>IF(INVESTORS_LIST[[#This Row],[LS_TOTAL CURRENT UNITS]]=0,0,INVESTORS_LIST[[#This Row],[LS_TOTAL CURRENT UNITS]]*INVESTORS_LIST[[#This Row],[LS_AVERAGE COST]])</f>
        <v>0</v>
      </c>
      <c r="K238" s="4">
        <f>IF(INVESTORS_LIST[[#This Row],[LS_TOTAL UNITS SOLD]]=0,0,SUMIFS(LS[Realized Gain],LS[Investor ID],INVESTORS_LIST[[#This Row],[INVESTOR CODE]],LS[B/S],"S"))</f>
        <v>0</v>
      </c>
      <c r="L238" s="2">
        <f>SUMIFS(SIP[Unit],SIP[Investor ID],INVESTORS_LIST[[#This Row],[INVESTOR CODE]],SIP[B/S],"B")</f>
        <v>0</v>
      </c>
      <c r="M238" s="2">
        <f>-SUMIFS(SIP[Unit],SIP[Investor ID],INVESTORS_LIST[[#This Row],[INVESTOR CODE]],SIP[B/S],"S")</f>
        <v>0</v>
      </c>
      <c r="N238" s="33">
        <f>IF(INVESTORS_LIST[[#This Row],[SIP_TOTAL UNITS BUY]]=0,0,INVESTORS_LIST[[#This Row],[SIP_TOTAL UNITS BUY]]-INVESTORS_LIST[[#This Row],[SIP_TOTAL UNITS SOLD]])</f>
        <v>0</v>
      </c>
      <c r="O238" s="4">
        <f>IF(INVESTORS_LIST[[#This Row],[SIP_TOTAL UNITS BUY]]=0,0,SUMIFS(SIP[Amount],SIP[Investor ID],INVESTORS_LIST[[#This Row],[INVESTOR CODE]],SIP[B/S],"B"))</f>
        <v>0</v>
      </c>
      <c r="P238" s="4">
        <f>IF(INVESTORS_LIST[[#This Row],[SIP_TOTAL UNITS SOLD]]=0,0,SUMIFS(SIP[Cost of Units Sold],SIP[Investor ID],INVESTORS_LIST[[#This Row],[INVESTOR CODE]],SIP[B/S],"S"))</f>
        <v>0</v>
      </c>
      <c r="Q238" s="6">
        <f>IF(INVESTORS_LIST[[#This Row],[SIP_TOTAL CURRENT UNITS]]=0,0,INVESTORS_LIST[[#This Row],[SIP_TOTAL CURRENT UNITS]]*INVESTORS_LIST[[#This Row],[SIP_AVERAGE COST]])</f>
        <v>0</v>
      </c>
      <c r="R238" s="6">
        <f>IF(INVESTORS_LIST[[#This Row],[SIP_TOTAL UNITS SOLD]]=0,0,SUMIFS(SIP[Realized Gain],SIP[Investor ID],INVESTORS_LIST[[#This Row],[INVESTOR CODE]],SIP[B/S],"S"))</f>
        <v>0</v>
      </c>
      <c r="S238" s="33">
        <f>INVESTORS_LIST[[#This Row],[LS_TOTAL UNITS BUY]]+INVESTORS_LIST[[#This Row],[SIP_TOTAL UNITS BUY]]</f>
        <v>0</v>
      </c>
      <c r="T238" s="33">
        <f>INVESTORS_LIST[[#This Row],[LS_TOTAL UNITS SOLD]]+INVESTORS_LIST[[#This Row],[SIP_TOTAL UNITS SOLD]]</f>
        <v>0</v>
      </c>
      <c r="U238" s="33">
        <v>0</v>
      </c>
      <c r="V238" s="33">
        <f>SUMIFS(LS[BO UNIT TRANSFER],LS[Investor ID],INVESTORS_LIST[[#This Row],[INVESTOR CODE]],LS[B/S],"B")</f>
        <v>0</v>
      </c>
      <c r="W238" s="33">
        <f>SUMIFS(LS[BO UNIT TRANSFER],LS[Investor ID],INVESTORS_LIST[[#This Row],[INVESTOR CODE]],LS[B/S],"S")</f>
        <v>0</v>
      </c>
      <c r="X238" s="33">
        <f>SUMIFS(SIP[BO UNIT TRANSFER],SIP[Investor ID],INVESTORS_LIST[[#This Row],[INVESTOR CODE]],SIP[B/S],"S")</f>
        <v>0</v>
      </c>
      <c r="Y238" s="33">
        <f>SUMIFS(SIP[BO UNIT TRANSFER],SIP[Investor ID],INVESTORS_LIST[[#This Row],[INVESTOR CODE]],SIP[B/S],"B")</f>
        <v>0</v>
      </c>
      <c r="Z23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38" s="119">
        <f>INVESTORS_LIST[[#This Row],[TOTAL UNITS BUY]]-INVESTORS_LIST[[#This Row],[TOTAL UNITS SOLD]]</f>
        <v>0</v>
      </c>
      <c r="AB238" s="119">
        <f>INVESTORS_LIST[[#This Row],[TOTAL CURRENT UNITS]]-INVESTORS_LIST[[#This Row],[BO UNITS HOLD]]</f>
        <v>0</v>
      </c>
      <c r="AC238" s="119" t="e">
        <f>INDEX([4]!Table_1[BO ID],MATCH(INVESTORS_LIST[[#This Row],[INVESTOR CODE]],[4]!Table_1[INVESTOR CODE],0))</f>
        <v>#REF!</v>
      </c>
      <c r="AD238" s="33">
        <f>INVESTORS_LIST[[#This Row],[LS_TOTAL COST VALUE OF CURRENT UNITS]]+INVESTORS_LIST[[#This Row],[SIP_TOTAL COST VALUE OF CURRENT UNITS]]</f>
        <v>0</v>
      </c>
      <c r="AE238" s="44">
        <f>IF(INVESTORS_LIST[[#This Row],[TOTAL CURRENT UNITS]]=0,0,INVESTORS_LIST[[#This Row],[LS_TOTAL CURRENT UNITS]]/INVESTORS_LIST[[#This Row],[TOTAL CURRENT UNITS]])</f>
        <v>0</v>
      </c>
      <c r="AF238" s="44">
        <f>IF(INVESTORS_LIST[[#This Row],[TOTAL CURRENT UNITS]]=0,0,INVESTORS_LIST[[#This Row],[SIP_TOTAL CURRENT UNITS]]/INVESTORS_LIST[[#This Row],[TOTAL CURRENT UNITS]])</f>
        <v>0</v>
      </c>
      <c r="AG238" s="4" cm="1">
        <f t="array" ref="AG23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38" s="4" cm="1">
        <f t="array" ref="AH2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3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38" s="178">
        <f t="shared" si="3"/>
        <v>12.552</v>
      </c>
      <c r="AK238" s="118">
        <f>IF(INVESTORS_LIST[[#This Row],[TOTAL CURRENT UNITS]]=0,0,INVESTORS_LIST[[#This Row],[TOTAL CURRENT UNITS]]*INVESTORS_LIST[[#This Row],[NAV]])</f>
        <v>0</v>
      </c>
      <c r="AL238" s="4">
        <f>IF(INVESTORS_LIST[[#This Row],[LS_TOTAL CURRENT UNITS]]=0,0,INVESTORS_LIST[[#This Row],[LS_TOTAL CURRENT UNITS]]*INVESTORS_LIST[[#This Row],[NAV]])</f>
        <v>0</v>
      </c>
      <c r="AM238" s="6">
        <f>IF(INVESTORS_LIST[[#This Row],[SIP_TOTAL CURRENT UNITS]]=0,0,INVESTORS_LIST[[#This Row],[SIP_TOTAL CURRENT UNITS]]*INVESTORS_LIST[[#This Row],[NAV]])</f>
        <v>0</v>
      </c>
      <c r="AO238" s="6">
        <f>IF(INVESTORS_LIST[[#This Row],[TOTAL SELLABLE UNITS]]=0,0,INVESTORS_LIST[[#This Row],[TOTAL SELLABLE UNITS]]*INVESTORS_LIST[[#This Row],[NAV]])</f>
        <v>0</v>
      </c>
      <c r="AP238" s="6">
        <f>INVESTORS_LIST[[#This Row],[LS_TOTAL REALIZED GAIN]]+INVESTORS_LIST[[#This Row],[SIP_TOTAL REALIZED GAIN]]</f>
        <v>0</v>
      </c>
      <c r="AQ238" s="6">
        <f>INVESTORS_LIST[[#This Row],[TOTAL MARKET VALUE]]-INVESTORS_LIST[[#This Row],[TOTAL COST VALUE OF CURRENT INVESTMENT]]</f>
        <v>0</v>
      </c>
      <c r="AR238" s="6">
        <f>SUMIFS(DivAndTax[Tax Amount],DivAndTax[Investor ID],INVESTORS_LIST[[#This Row],[INVESTOR CODE]])</f>
        <v>0</v>
      </c>
      <c r="AS238" s="6">
        <f>SUMIFS(DivAndTax[Gross Dividend],DivAndTax[Investor ID],INVESTORS_LIST[[#This Row],[INVESTOR CODE]])</f>
        <v>0</v>
      </c>
      <c r="AT238" s="5">
        <f>IFERROR(INVESTORS_LIST[[#This Row],[TOTAL CURRENT UNITS]]/SUM(INVESTORS_LIST[TOTAL CURRENT UNITS]),0)</f>
        <v>0</v>
      </c>
    </row>
    <row r="239" spans="1:46" hidden="1">
      <c r="A239" t="s">
        <v>334</v>
      </c>
      <c r="B239" t="s">
        <v>335</v>
      </c>
      <c r="C239" t="s">
        <v>536</v>
      </c>
      <c r="D239" s="8" t="s">
        <v>2</v>
      </c>
      <c r="E239" s="2">
        <f>SUMIFS(LS[Unit],LS[Investor ID],INVESTORS_LIST[[#This Row],[INVESTOR CODE]],LS[B/S],"B")</f>
        <v>0</v>
      </c>
      <c r="F239" s="2">
        <f>-SUMIFS(LS[Unit],LS[Investor ID],INVESTORS_LIST[[#This Row],[INVESTOR CODE]],LS[B/S],"S")</f>
        <v>0</v>
      </c>
      <c r="G239" s="2">
        <f>IF(INVESTORS_LIST[[#This Row],[LS_TOTAL UNITS BUY]]=0,0,INVESTORS_LIST[[#This Row],[LS_TOTAL UNITS BUY]]-INVESTORS_LIST[[#This Row],[LS_TOTAL UNITS SOLD]])</f>
        <v>0</v>
      </c>
      <c r="H239" s="4">
        <f>IF(INVESTORS_LIST[[#This Row],[LS_TOTAL UNITS BUY]]=0,0,SUMIFS(LS[Amount],LS[Investor ID],INVESTORS_LIST[[#This Row],[INVESTOR CODE]],LS[B/S],"B"))</f>
        <v>0</v>
      </c>
      <c r="I239" s="6">
        <f>IF(INVESTORS_LIST[[#This Row],[LS_TOTAL UNITS SOLD]]=0,0,SUMIFS(LS[Cost of Units Sold],LS[Investor ID],INVESTORS_LIST[[#This Row],[INVESTOR CODE]],LS[B/S],"S"))</f>
        <v>0</v>
      </c>
      <c r="J239" s="6">
        <f>IF(INVESTORS_LIST[[#This Row],[LS_TOTAL CURRENT UNITS]]=0,0,INVESTORS_LIST[[#This Row],[LS_TOTAL CURRENT UNITS]]*INVESTORS_LIST[[#This Row],[LS_AVERAGE COST]])</f>
        <v>0</v>
      </c>
      <c r="K239" s="4">
        <f>IF(INVESTORS_LIST[[#This Row],[LS_TOTAL UNITS SOLD]]=0,0,SUMIFS(LS[Realized Gain],LS[Investor ID],INVESTORS_LIST[[#This Row],[INVESTOR CODE]],LS[B/S],"S"))</f>
        <v>0</v>
      </c>
      <c r="L239" s="2">
        <f>SUMIFS(SIP[Unit],SIP[Investor ID],INVESTORS_LIST[[#This Row],[INVESTOR CODE]],SIP[B/S],"B")</f>
        <v>0</v>
      </c>
      <c r="M239" s="2">
        <f>-SUMIFS(SIP[Unit],SIP[Investor ID],INVESTORS_LIST[[#This Row],[INVESTOR CODE]],SIP[B/S],"S")</f>
        <v>0</v>
      </c>
      <c r="N239" s="33">
        <f>IF(INVESTORS_LIST[[#This Row],[SIP_TOTAL UNITS BUY]]=0,0,INVESTORS_LIST[[#This Row],[SIP_TOTAL UNITS BUY]]-INVESTORS_LIST[[#This Row],[SIP_TOTAL UNITS SOLD]])</f>
        <v>0</v>
      </c>
      <c r="O239" s="4">
        <f>IF(INVESTORS_LIST[[#This Row],[SIP_TOTAL UNITS BUY]]=0,0,SUMIFS(SIP[Amount],SIP[Investor ID],INVESTORS_LIST[[#This Row],[INVESTOR CODE]],SIP[B/S],"B"))</f>
        <v>0</v>
      </c>
      <c r="P239" s="4">
        <f>IF(INVESTORS_LIST[[#This Row],[SIP_TOTAL UNITS SOLD]]=0,0,SUMIFS(SIP[Cost of Units Sold],SIP[Investor ID],INVESTORS_LIST[[#This Row],[INVESTOR CODE]],SIP[B/S],"S"))</f>
        <v>0</v>
      </c>
      <c r="Q239" s="6">
        <f>IF(INVESTORS_LIST[[#This Row],[SIP_TOTAL CURRENT UNITS]]=0,0,INVESTORS_LIST[[#This Row],[SIP_TOTAL CURRENT UNITS]]*INVESTORS_LIST[[#This Row],[SIP_AVERAGE COST]])</f>
        <v>0</v>
      </c>
      <c r="R239" s="6">
        <f>IF(INVESTORS_LIST[[#This Row],[SIP_TOTAL UNITS SOLD]]=0,0,SUMIFS(SIP[Realized Gain],SIP[Investor ID],INVESTORS_LIST[[#This Row],[INVESTOR CODE]],SIP[B/S],"S"))</f>
        <v>0</v>
      </c>
      <c r="S239" s="33">
        <f>INVESTORS_LIST[[#This Row],[LS_TOTAL UNITS BUY]]+INVESTORS_LIST[[#This Row],[SIP_TOTAL UNITS BUY]]</f>
        <v>0</v>
      </c>
      <c r="T239" s="33">
        <f>INVESTORS_LIST[[#This Row],[LS_TOTAL UNITS SOLD]]+INVESTORS_LIST[[#This Row],[SIP_TOTAL UNITS SOLD]]</f>
        <v>0</v>
      </c>
      <c r="U239" s="33">
        <v>0</v>
      </c>
      <c r="V239" s="33">
        <f>SUMIFS(LS[BO UNIT TRANSFER],LS[Investor ID],INVESTORS_LIST[[#This Row],[INVESTOR CODE]],LS[B/S],"B")</f>
        <v>0</v>
      </c>
      <c r="W239" s="33">
        <f>SUMIFS(LS[BO UNIT TRANSFER],LS[Investor ID],INVESTORS_LIST[[#This Row],[INVESTOR CODE]],LS[B/S],"S")</f>
        <v>0</v>
      </c>
      <c r="X239" s="33">
        <f>SUMIFS(SIP[BO UNIT TRANSFER],SIP[Investor ID],INVESTORS_LIST[[#This Row],[INVESTOR CODE]],SIP[B/S],"S")</f>
        <v>0</v>
      </c>
      <c r="Y239" s="33">
        <f>SUMIFS(SIP[BO UNIT TRANSFER],SIP[Investor ID],INVESTORS_LIST[[#This Row],[INVESTOR CODE]],SIP[B/S],"B")</f>
        <v>0</v>
      </c>
      <c r="Z23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39" s="119">
        <f>INVESTORS_LIST[[#This Row],[TOTAL UNITS BUY]]-INVESTORS_LIST[[#This Row],[TOTAL UNITS SOLD]]</f>
        <v>0</v>
      </c>
      <c r="AB239" s="119">
        <f>INVESTORS_LIST[[#This Row],[TOTAL CURRENT UNITS]]-INVESTORS_LIST[[#This Row],[BO UNITS HOLD]]</f>
        <v>0</v>
      </c>
      <c r="AC239" s="119" t="e">
        <f>INDEX([4]!Table_1[BO ID],MATCH(INVESTORS_LIST[[#This Row],[INVESTOR CODE]],[4]!Table_1[INVESTOR CODE],0))</f>
        <v>#REF!</v>
      </c>
      <c r="AD239" s="33">
        <f>INVESTORS_LIST[[#This Row],[LS_TOTAL COST VALUE OF CURRENT UNITS]]+INVESTORS_LIST[[#This Row],[SIP_TOTAL COST VALUE OF CURRENT UNITS]]</f>
        <v>0</v>
      </c>
      <c r="AE239" s="44">
        <f>IF(INVESTORS_LIST[[#This Row],[TOTAL CURRENT UNITS]]=0,0,INVESTORS_LIST[[#This Row],[LS_TOTAL CURRENT UNITS]]/INVESTORS_LIST[[#This Row],[TOTAL CURRENT UNITS]])</f>
        <v>0</v>
      </c>
      <c r="AF239" s="44">
        <f>IF(INVESTORS_LIST[[#This Row],[TOTAL CURRENT UNITS]]=0,0,INVESTORS_LIST[[#This Row],[SIP_TOTAL CURRENT UNITS]]/INVESTORS_LIST[[#This Row],[TOTAL CURRENT UNITS]])</f>
        <v>0</v>
      </c>
      <c r="AG239" s="4" cm="1">
        <f t="array" ref="AG2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39" s="4" cm="1">
        <f t="array" ref="AH2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3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39" s="178">
        <f t="shared" si="3"/>
        <v>12.552</v>
      </c>
      <c r="AK239" s="118">
        <f>IF(INVESTORS_LIST[[#This Row],[TOTAL CURRENT UNITS]]=0,0,INVESTORS_LIST[[#This Row],[TOTAL CURRENT UNITS]]*INVESTORS_LIST[[#This Row],[NAV]])</f>
        <v>0</v>
      </c>
      <c r="AL239" s="4">
        <f>IF(INVESTORS_LIST[[#This Row],[LS_TOTAL CURRENT UNITS]]=0,0,INVESTORS_LIST[[#This Row],[LS_TOTAL CURRENT UNITS]]*INVESTORS_LIST[[#This Row],[NAV]])</f>
        <v>0</v>
      </c>
      <c r="AM239" s="6">
        <f>IF(INVESTORS_LIST[[#This Row],[SIP_TOTAL CURRENT UNITS]]=0,0,INVESTORS_LIST[[#This Row],[SIP_TOTAL CURRENT UNITS]]*INVESTORS_LIST[[#This Row],[NAV]])</f>
        <v>0</v>
      </c>
      <c r="AO239" s="6">
        <f>IF(INVESTORS_LIST[[#This Row],[TOTAL SELLABLE UNITS]]=0,0,INVESTORS_LIST[[#This Row],[TOTAL SELLABLE UNITS]]*INVESTORS_LIST[[#This Row],[NAV]])</f>
        <v>0</v>
      </c>
      <c r="AP239" s="6">
        <f>INVESTORS_LIST[[#This Row],[LS_TOTAL REALIZED GAIN]]+INVESTORS_LIST[[#This Row],[SIP_TOTAL REALIZED GAIN]]</f>
        <v>0</v>
      </c>
      <c r="AQ239" s="6">
        <f>INVESTORS_LIST[[#This Row],[TOTAL MARKET VALUE]]-INVESTORS_LIST[[#This Row],[TOTAL COST VALUE OF CURRENT INVESTMENT]]</f>
        <v>0</v>
      </c>
      <c r="AR239" s="6">
        <f>SUMIFS(DivAndTax[Tax Amount],DivAndTax[Investor ID],INVESTORS_LIST[[#This Row],[INVESTOR CODE]])</f>
        <v>0</v>
      </c>
      <c r="AS239" s="6">
        <f>SUMIFS(DivAndTax[Gross Dividend],DivAndTax[Investor ID],INVESTORS_LIST[[#This Row],[INVESTOR CODE]])</f>
        <v>0</v>
      </c>
      <c r="AT239" s="5">
        <f>IFERROR(INVESTORS_LIST[[#This Row],[TOTAL CURRENT UNITS]]/SUM(INVESTORS_LIST[TOTAL CURRENT UNITS]),0)</f>
        <v>0</v>
      </c>
    </row>
    <row r="240" spans="1:46" hidden="1">
      <c r="A240" t="s">
        <v>336</v>
      </c>
      <c r="B240" t="s">
        <v>337</v>
      </c>
      <c r="C240" t="s">
        <v>538</v>
      </c>
      <c r="D240" s="8" t="s">
        <v>2</v>
      </c>
      <c r="E240" s="2">
        <f>SUMIFS(LS[Unit],LS[Investor ID],INVESTORS_LIST[[#This Row],[INVESTOR CODE]],LS[B/S],"B")</f>
        <v>50000</v>
      </c>
      <c r="F240" s="2">
        <f>-SUMIFS(LS[Unit],LS[Investor ID],INVESTORS_LIST[[#This Row],[INVESTOR CODE]],LS[B/S],"S")</f>
        <v>50000</v>
      </c>
      <c r="G240" s="2">
        <f>IF(INVESTORS_LIST[[#This Row],[LS_TOTAL UNITS BUY]]=0,0,INVESTORS_LIST[[#This Row],[LS_TOTAL UNITS BUY]]-INVESTORS_LIST[[#This Row],[LS_TOTAL UNITS SOLD]])</f>
        <v>0</v>
      </c>
      <c r="H240" s="4">
        <f>IF(INVESTORS_LIST[[#This Row],[LS_TOTAL UNITS BUY]]=0,0,SUMIFS(LS[Amount],LS[Investor ID],INVESTORS_LIST[[#This Row],[INVESTOR CODE]],LS[B/S],"B"))</f>
        <v>500000</v>
      </c>
      <c r="I240" s="6">
        <f>IF(INVESTORS_LIST[[#This Row],[LS_TOTAL UNITS SOLD]]=0,0,SUMIFS(LS[Cost of Units Sold],LS[Investor ID],INVESTORS_LIST[[#This Row],[INVESTOR CODE]],LS[B/S],"S"))</f>
        <v>500000</v>
      </c>
      <c r="J240" s="6">
        <f>IF(INVESTORS_LIST[[#This Row],[LS_TOTAL CURRENT UNITS]]=0,0,INVESTORS_LIST[[#This Row],[LS_TOTAL CURRENT UNITS]]*INVESTORS_LIST[[#This Row],[LS_AVERAGE COST]])</f>
        <v>0</v>
      </c>
      <c r="K240" s="4">
        <f>IF(INVESTORS_LIST[[#This Row],[LS_TOTAL UNITS SOLD]]=0,0,SUMIFS(LS[Realized Gain],LS[Investor ID],INVESTORS_LIST[[#This Row],[INVESTOR CODE]],LS[B/S],"S"))</f>
        <v>15399.999999999991</v>
      </c>
      <c r="L240" s="2">
        <f>SUMIFS(SIP[Unit],SIP[Investor ID],INVESTORS_LIST[[#This Row],[INVESTOR CODE]],SIP[B/S],"B")</f>
        <v>0</v>
      </c>
      <c r="M240" s="2">
        <f>-SUMIFS(SIP[Unit],SIP[Investor ID],INVESTORS_LIST[[#This Row],[INVESTOR CODE]],SIP[B/S],"S")</f>
        <v>0</v>
      </c>
      <c r="N240" s="33">
        <f>IF(INVESTORS_LIST[[#This Row],[SIP_TOTAL UNITS BUY]]=0,0,INVESTORS_LIST[[#This Row],[SIP_TOTAL UNITS BUY]]-INVESTORS_LIST[[#This Row],[SIP_TOTAL UNITS SOLD]])</f>
        <v>0</v>
      </c>
      <c r="O240" s="4">
        <f>IF(INVESTORS_LIST[[#This Row],[SIP_TOTAL UNITS BUY]]=0,0,SUMIFS(SIP[Amount],SIP[Investor ID],INVESTORS_LIST[[#This Row],[INVESTOR CODE]],SIP[B/S],"B"))</f>
        <v>0</v>
      </c>
      <c r="P240" s="4">
        <f>IF(INVESTORS_LIST[[#This Row],[SIP_TOTAL UNITS SOLD]]=0,0,SUMIFS(SIP[Cost of Units Sold],SIP[Investor ID],INVESTORS_LIST[[#This Row],[INVESTOR CODE]],SIP[B/S],"S"))</f>
        <v>0</v>
      </c>
      <c r="Q240" s="6">
        <f>IF(INVESTORS_LIST[[#This Row],[SIP_TOTAL CURRENT UNITS]]=0,0,INVESTORS_LIST[[#This Row],[SIP_TOTAL CURRENT UNITS]]*INVESTORS_LIST[[#This Row],[SIP_AVERAGE COST]])</f>
        <v>0</v>
      </c>
      <c r="R240" s="6">
        <f>IF(INVESTORS_LIST[[#This Row],[SIP_TOTAL UNITS SOLD]]=0,0,SUMIFS(SIP[Realized Gain],SIP[Investor ID],INVESTORS_LIST[[#This Row],[INVESTOR CODE]],SIP[B/S],"S"))</f>
        <v>0</v>
      </c>
      <c r="S240" s="33">
        <f>INVESTORS_LIST[[#This Row],[LS_TOTAL UNITS BUY]]+INVESTORS_LIST[[#This Row],[SIP_TOTAL UNITS BUY]]</f>
        <v>50000</v>
      </c>
      <c r="T240" s="33">
        <f>INVESTORS_LIST[[#This Row],[LS_TOTAL UNITS SOLD]]+INVESTORS_LIST[[#This Row],[SIP_TOTAL UNITS SOLD]]</f>
        <v>50000</v>
      </c>
      <c r="U240" s="33">
        <v>0</v>
      </c>
      <c r="V240" s="33">
        <f>SUMIFS(LS[BO UNIT TRANSFER],LS[Investor ID],INVESTORS_LIST[[#This Row],[INVESTOR CODE]],LS[B/S],"B")</f>
        <v>0</v>
      </c>
      <c r="W240" s="33">
        <f>SUMIFS(LS[BO UNIT TRANSFER],LS[Investor ID],INVESTORS_LIST[[#This Row],[INVESTOR CODE]],LS[B/S],"S")</f>
        <v>0</v>
      </c>
      <c r="X240" s="33">
        <f>SUMIFS(SIP[BO UNIT TRANSFER],SIP[Investor ID],INVESTORS_LIST[[#This Row],[INVESTOR CODE]],SIP[B/S],"S")</f>
        <v>0</v>
      </c>
      <c r="Y240" s="33">
        <f>SUMIFS(SIP[BO UNIT TRANSFER],SIP[Investor ID],INVESTORS_LIST[[#This Row],[INVESTOR CODE]],SIP[B/S],"B")</f>
        <v>0</v>
      </c>
      <c r="Z24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40" s="119">
        <f>INVESTORS_LIST[[#This Row],[TOTAL UNITS BUY]]-INVESTORS_LIST[[#This Row],[TOTAL UNITS SOLD]]</f>
        <v>0</v>
      </c>
      <c r="AB240" s="119">
        <f>INVESTORS_LIST[[#This Row],[TOTAL CURRENT UNITS]]-INVESTORS_LIST[[#This Row],[BO UNITS HOLD]]</f>
        <v>0</v>
      </c>
      <c r="AC240" s="119" t="e">
        <f>INDEX([4]!Table_1[BO ID],MATCH(INVESTORS_LIST[[#This Row],[INVESTOR CODE]],[4]!Table_1[INVESTOR CODE],0))</f>
        <v>#REF!</v>
      </c>
      <c r="AD240" s="33">
        <f>INVESTORS_LIST[[#This Row],[LS_TOTAL COST VALUE OF CURRENT UNITS]]+INVESTORS_LIST[[#This Row],[SIP_TOTAL COST VALUE OF CURRENT UNITS]]</f>
        <v>0</v>
      </c>
      <c r="AE240" s="44">
        <f>IF(INVESTORS_LIST[[#This Row],[TOTAL CURRENT UNITS]]=0,0,INVESTORS_LIST[[#This Row],[LS_TOTAL CURRENT UNITS]]/INVESTORS_LIST[[#This Row],[TOTAL CURRENT UNITS]])</f>
        <v>0</v>
      </c>
      <c r="AF240" s="44">
        <f>IF(INVESTORS_LIST[[#This Row],[TOTAL CURRENT UNITS]]=0,0,INVESTORS_LIST[[#This Row],[SIP_TOTAL CURRENT UNITS]]/INVESTORS_LIST[[#This Row],[TOTAL CURRENT UNITS]])</f>
        <v>0</v>
      </c>
      <c r="AG240" s="4" cm="1">
        <f t="array" ref="AG2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40" s="4" cm="1">
        <f t="array" ref="AH2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4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40" s="178">
        <f t="shared" si="3"/>
        <v>12.552</v>
      </c>
      <c r="AK240" s="118">
        <f>IF(INVESTORS_LIST[[#This Row],[TOTAL CURRENT UNITS]]=0,0,INVESTORS_LIST[[#This Row],[TOTAL CURRENT UNITS]]*INVESTORS_LIST[[#This Row],[NAV]])</f>
        <v>0</v>
      </c>
      <c r="AL240" s="4">
        <f>IF(INVESTORS_LIST[[#This Row],[LS_TOTAL CURRENT UNITS]]=0,0,INVESTORS_LIST[[#This Row],[LS_TOTAL CURRENT UNITS]]*INVESTORS_LIST[[#This Row],[NAV]])</f>
        <v>0</v>
      </c>
      <c r="AM240" s="6">
        <f>IF(INVESTORS_LIST[[#This Row],[SIP_TOTAL CURRENT UNITS]]=0,0,INVESTORS_LIST[[#This Row],[SIP_TOTAL CURRENT UNITS]]*INVESTORS_LIST[[#This Row],[NAV]])</f>
        <v>0</v>
      </c>
      <c r="AO240" s="6">
        <f>IF(INVESTORS_LIST[[#This Row],[TOTAL SELLABLE UNITS]]=0,0,INVESTORS_LIST[[#This Row],[TOTAL SELLABLE UNITS]]*INVESTORS_LIST[[#This Row],[NAV]])</f>
        <v>0</v>
      </c>
      <c r="AP240" s="6">
        <f>INVESTORS_LIST[[#This Row],[LS_TOTAL REALIZED GAIN]]+INVESTORS_LIST[[#This Row],[SIP_TOTAL REALIZED GAIN]]</f>
        <v>15399.999999999991</v>
      </c>
      <c r="AQ240" s="6">
        <f>INVESTORS_LIST[[#This Row],[TOTAL MARKET VALUE]]-INVESTORS_LIST[[#This Row],[TOTAL COST VALUE OF CURRENT INVESTMENT]]</f>
        <v>0</v>
      </c>
      <c r="AR240" s="6">
        <f>SUMIFS(DivAndTax[Tax Amount],DivAndTax[Investor ID],INVESTORS_LIST[[#This Row],[INVESTOR CODE]])</f>
        <v>0</v>
      </c>
      <c r="AS240" s="6">
        <f>SUMIFS(DivAndTax[Gross Dividend],DivAndTax[Investor ID],INVESTORS_LIST[[#This Row],[INVESTOR CODE]])</f>
        <v>0</v>
      </c>
      <c r="AT240" s="5">
        <f>IFERROR(INVESTORS_LIST[[#This Row],[TOTAL CURRENT UNITS]]/SUM(INVESTORS_LIST[TOTAL CURRENT UNITS]),0)</f>
        <v>0</v>
      </c>
    </row>
    <row r="241" spans="1:46" hidden="1">
      <c r="A241" t="s">
        <v>341</v>
      </c>
      <c r="B241" t="s">
        <v>338</v>
      </c>
      <c r="C241" t="s">
        <v>536</v>
      </c>
      <c r="D241" s="8" t="s">
        <v>2</v>
      </c>
      <c r="E241" s="2">
        <f>SUMIFS(LS[Unit],LS[Investor ID],INVESTORS_LIST[[#This Row],[INVESTOR CODE]],LS[B/S],"B")</f>
        <v>0</v>
      </c>
      <c r="F241" s="2">
        <f>-SUMIFS(LS[Unit],LS[Investor ID],INVESTORS_LIST[[#This Row],[INVESTOR CODE]],LS[B/S],"S")</f>
        <v>0</v>
      </c>
      <c r="G241" s="2">
        <f>IF(INVESTORS_LIST[[#This Row],[LS_TOTAL UNITS BUY]]=0,0,INVESTORS_LIST[[#This Row],[LS_TOTAL UNITS BUY]]-INVESTORS_LIST[[#This Row],[LS_TOTAL UNITS SOLD]])</f>
        <v>0</v>
      </c>
      <c r="H241" s="4">
        <f>IF(INVESTORS_LIST[[#This Row],[LS_TOTAL UNITS BUY]]=0,0,SUMIFS(LS[Amount],LS[Investor ID],INVESTORS_LIST[[#This Row],[INVESTOR CODE]],LS[B/S],"B"))</f>
        <v>0</v>
      </c>
      <c r="I241" s="6">
        <f>IF(INVESTORS_LIST[[#This Row],[LS_TOTAL UNITS SOLD]]=0,0,SUMIFS(LS[Cost of Units Sold],LS[Investor ID],INVESTORS_LIST[[#This Row],[INVESTOR CODE]],LS[B/S],"S"))</f>
        <v>0</v>
      </c>
      <c r="J241" s="6">
        <f>IF(INVESTORS_LIST[[#This Row],[LS_TOTAL CURRENT UNITS]]=0,0,INVESTORS_LIST[[#This Row],[LS_TOTAL CURRENT UNITS]]*INVESTORS_LIST[[#This Row],[LS_AVERAGE COST]])</f>
        <v>0</v>
      </c>
      <c r="K241" s="4">
        <f>IF(INVESTORS_LIST[[#This Row],[LS_TOTAL UNITS SOLD]]=0,0,SUMIFS(LS[Realized Gain],LS[Investor ID],INVESTORS_LIST[[#This Row],[INVESTOR CODE]],LS[B/S],"S"))</f>
        <v>0</v>
      </c>
      <c r="L241" s="2">
        <f>SUMIFS(SIP[Unit],SIP[Investor ID],INVESTORS_LIST[[#This Row],[INVESTOR CODE]],SIP[B/S],"B")</f>
        <v>0</v>
      </c>
      <c r="M241" s="2">
        <f>-SUMIFS(SIP[Unit],SIP[Investor ID],INVESTORS_LIST[[#This Row],[INVESTOR CODE]],SIP[B/S],"S")</f>
        <v>0</v>
      </c>
      <c r="N241" s="33">
        <f>IF(INVESTORS_LIST[[#This Row],[SIP_TOTAL UNITS BUY]]=0,0,INVESTORS_LIST[[#This Row],[SIP_TOTAL UNITS BUY]]-INVESTORS_LIST[[#This Row],[SIP_TOTAL UNITS SOLD]])</f>
        <v>0</v>
      </c>
      <c r="O241" s="4">
        <f>IF(INVESTORS_LIST[[#This Row],[SIP_TOTAL UNITS BUY]]=0,0,SUMIFS(SIP[Amount],SIP[Investor ID],INVESTORS_LIST[[#This Row],[INVESTOR CODE]],SIP[B/S],"B"))</f>
        <v>0</v>
      </c>
      <c r="P241" s="4">
        <f>IF(INVESTORS_LIST[[#This Row],[SIP_TOTAL UNITS SOLD]]=0,0,SUMIFS(SIP[Cost of Units Sold],SIP[Investor ID],INVESTORS_LIST[[#This Row],[INVESTOR CODE]],SIP[B/S],"S"))</f>
        <v>0</v>
      </c>
      <c r="Q241" s="6">
        <f>IF(INVESTORS_LIST[[#This Row],[SIP_TOTAL CURRENT UNITS]]=0,0,INVESTORS_LIST[[#This Row],[SIP_TOTAL CURRENT UNITS]]*INVESTORS_LIST[[#This Row],[SIP_AVERAGE COST]])</f>
        <v>0</v>
      </c>
      <c r="R241" s="6">
        <f>IF(INVESTORS_LIST[[#This Row],[SIP_TOTAL UNITS SOLD]]=0,0,SUMIFS(SIP[Realized Gain],SIP[Investor ID],INVESTORS_LIST[[#This Row],[INVESTOR CODE]],SIP[B/S],"S"))</f>
        <v>0</v>
      </c>
      <c r="S241" s="33">
        <f>INVESTORS_LIST[[#This Row],[LS_TOTAL UNITS BUY]]+INVESTORS_LIST[[#This Row],[SIP_TOTAL UNITS BUY]]</f>
        <v>0</v>
      </c>
      <c r="T241" s="33">
        <f>INVESTORS_LIST[[#This Row],[LS_TOTAL UNITS SOLD]]+INVESTORS_LIST[[#This Row],[SIP_TOTAL UNITS SOLD]]</f>
        <v>0</v>
      </c>
      <c r="U241" s="33">
        <v>0</v>
      </c>
      <c r="V241" s="33">
        <f>SUMIFS(LS[BO UNIT TRANSFER],LS[Investor ID],INVESTORS_LIST[[#This Row],[INVESTOR CODE]],LS[B/S],"B")</f>
        <v>0</v>
      </c>
      <c r="W241" s="33">
        <f>SUMIFS(LS[BO UNIT TRANSFER],LS[Investor ID],INVESTORS_LIST[[#This Row],[INVESTOR CODE]],LS[B/S],"S")</f>
        <v>0</v>
      </c>
      <c r="X241" s="33">
        <f>SUMIFS(SIP[BO UNIT TRANSFER],SIP[Investor ID],INVESTORS_LIST[[#This Row],[INVESTOR CODE]],SIP[B/S],"S")</f>
        <v>0</v>
      </c>
      <c r="Y241" s="33">
        <f>SUMIFS(SIP[BO UNIT TRANSFER],SIP[Investor ID],INVESTORS_LIST[[#This Row],[INVESTOR CODE]],SIP[B/S],"B")</f>
        <v>0</v>
      </c>
      <c r="Z24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41" s="119">
        <f>INVESTORS_LIST[[#This Row],[TOTAL UNITS BUY]]-INVESTORS_LIST[[#This Row],[TOTAL UNITS SOLD]]</f>
        <v>0</v>
      </c>
      <c r="AB241" s="119">
        <f>INVESTORS_LIST[[#This Row],[TOTAL CURRENT UNITS]]-INVESTORS_LIST[[#This Row],[BO UNITS HOLD]]</f>
        <v>0</v>
      </c>
      <c r="AC241" s="119" t="e">
        <f>INDEX([4]!Table_1[BO ID],MATCH(INVESTORS_LIST[[#This Row],[INVESTOR CODE]],[4]!Table_1[INVESTOR CODE],0))</f>
        <v>#REF!</v>
      </c>
      <c r="AD241" s="33">
        <f>INVESTORS_LIST[[#This Row],[LS_TOTAL COST VALUE OF CURRENT UNITS]]+INVESTORS_LIST[[#This Row],[SIP_TOTAL COST VALUE OF CURRENT UNITS]]</f>
        <v>0</v>
      </c>
      <c r="AE241" s="44">
        <f>IF(INVESTORS_LIST[[#This Row],[TOTAL CURRENT UNITS]]=0,0,INVESTORS_LIST[[#This Row],[LS_TOTAL CURRENT UNITS]]/INVESTORS_LIST[[#This Row],[TOTAL CURRENT UNITS]])</f>
        <v>0</v>
      </c>
      <c r="AF241" s="44">
        <f>IF(INVESTORS_LIST[[#This Row],[TOTAL CURRENT UNITS]]=0,0,INVESTORS_LIST[[#This Row],[SIP_TOTAL CURRENT UNITS]]/INVESTORS_LIST[[#This Row],[TOTAL CURRENT UNITS]])</f>
        <v>0</v>
      </c>
      <c r="AG241" s="4" cm="1">
        <f t="array" ref="AG2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41" s="4" cm="1">
        <f t="array" ref="AH2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4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41" s="178">
        <f t="shared" si="3"/>
        <v>12.552</v>
      </c>
      <c r="AK241" s="118">
        <f>IF(INVESTORS_LIST[[#This Row],[TOTAL CURRENT UNITS]]=0,0,INVESTORS_LIST[[#This Row],[TOTAL CURRENT UNITS]]*INVESTORS_LIST[[#This Row],[NAV]])</f>
        <v>0</v>
      </c>
      <c r="AL241" s="4">
        <f>IF(INVESTORS_LIST[[#This Row],[LS_TOTAL CURRENT UNITS]]=0,0,INVESTORS_LIST[[#This Row],[LS_TOTAL CURRENT UNITS]]*INVESTORS_LIST[[#This Row],[NAV]])</f>
        <v>0</v>
      </c>
      <c r="AM241" s="6">
        <f>IF(INVESTORS_LIST[[#This Row],[SIP_TOTAL CURRENT UNITS]]=0,0,INVESTORS_LIST[[#This Row],[SIP_TOTAL CURRENT UNITS]]*INVESTORS_LIST[[#This Row],[NAV]])</f>
        <v>0</v>
      </c>
      <c r="AO241" s="6">
        <f>IF(INVESTORS_LIST[[#This Row],[TOTAL SELLABLE UNITS]]=0,0,INVESTORS_LIST[[#This Row],[TOTAL SELLABLE UNITS]]*INVESTORS_LIST[[#This Row],[NAV]])</f>
        <v>0</v>
      </c>
      <c r="AP241" s="6">
        <f>INVESTORS_LIST[[#This Row],[LS_TOTAL REALIZED GAIN]]+INVESTORS_LIST[[#This Row],[SIP_TOTAL REALIZED GAIN]]</f>
        <v>0</v>
      </c>
      <c r="AQ241" s="6">
        <f>INVESTORS_LIST[[#This Row],[TOTAL MARKET VALUE]]-INVESTORS_LIST[[#This Row],[TOTAL COST VALUE OF CURRENT INVESTMENT]]</f>
        <v>0</v>
      </c>
      <c r="AR241" s="6">
        <f>SUMIFS(DivAndTax[Tax Amount],DivAndTax[Investor ID],INVESTORS_LIST[[#This Row],[INVESTOR CODE]])</f>
        <v>0</v>
      </c>
      <c r="AS241" s="6">
        <f>SUMIFS(DivAndTax[Gross Dividend],DivAndTax[Investor ID],INVESTORS_LIST[[#This Row],[INVESTOR CODE]])</f>
        <v>0</v>
      </c>
      <c r="AT241" s="5">
        <f>IFERROR(INVESTORS_LIST[[#This Row],[TOTAL CURRENT UNITS]]/SUM(INVESTORS_LIST[TOTAL CURRENT UNITS]),0)</f>
        <v>0</v>
      </c>
    </row>
    <row r="242" spans="1:46" hidden="1">
      <c r="A242" t="s">
        <v>339</v>
      </c>
      <c r="B242" t="s">
        <v>340</v>
      </c>
      <c r="C242" t="s">
        <v>536</v>
      </c>
      <c r="D242" s="8" t="s">
        <v>2</v>
      </c>
      <c r="E242" s="2">
        <f>SUMIFS(LS[Unit],LS[Investor ID],INVESTORS_LIST[[#This Row],[INVESTOR CODE]],LS[B/S],"B")</f>
        <v>0</v>
      </c>
      <c r="F242" s="2">
        <f>-SUMIFS(LS[Unit],LS[Investor ID],INVESTORS_LIST[[#This Row],[INVESTOR CODE]],LS[B/S],"S")</f>
        <v>0</v>
      </c>
      <c r="G242" s="2">
        <f>IF(INVESTORS_LIST[[#This Row],[LS_TOTAL UNITS BUY]]=0,0,INVESTORS_LIST[[#This Row],[LS_TOTAL UNITS BUY]]-INVESTORS_LIST[[#This Row],[LS_TOTAL UNITS SOLD]])</f>
        <v>0</v>
      </c>
      <c r="H242" s="4">
        <f>IF(INVESTORS_LIST[[#This Row],[LS_TOTAL UNITS BUY]]=0,0,SUMIFS(LS[Amount],LS[Investor ID],INVESTORS_LIST[[#This Row],[INVESTOR CODE]],LS[B/S],"B"))</f>
        <v>0</v>
      </c>
      <c r="I242" s="6">
        <f>IF(INVESTORS_LIST[[#This Row],[LS_TOTAL UNITS SOLD]]=0,0,SUMIFS(LS[Cost of Units Sold],LS[Investor ID],INVESTORS_LIST[[#This Row],[INVESTOR CODE]],LS[B/S],"S"))</f>
        <v>0</v>
      </c>
      <c r="J242" s="6">
        <f>IF(INVESTORS_LIST[[#This Row],[LS_TOTAL CURRENT UNITS]]=0,0,INVESTORS_LIST[[#This Row],[LS_TOTAL CURRENT UNITS]]*INVESTORS_LIST[[#This Row],[LS_AVERAGE COST]])</f>
        <v>0</v>
      </c>
      <c r="K242" s="4">
        <f>IF(INVESTORS_LIST[[#This Row],[LS_TOTAL UNITS SOLD]]=0,0,SUMIFS(LS[Realized Gain],LS[Investor ID],INVESTORS_LIST[[#This Row],[INVESTOR CODE]],LS[B/S],"S"))</f>
        <v>0</v>
      </c>
      <c r="L242" s="2">
        <f>SUMIFS(SIP[Unit],SIP[Investor ID],INVESTORS_LIST[[#This Row],[INVESTOR CODE]],SIP[B/S],"B")</f>
        <v>0</v>
      </c>
      <c r="M242" s="2">
        <f>-SUMIFS(SIP[Unit],SIP[Investor ID],INVESTORS_LIST[[#This Row],[INVESTOR CODE]],SIP[B/S],"S")</f>
        <v>0</v>
      </c>
      <c r="N242" s="33">
        <f>IF(INVESTORS_LIST[[#This Row],[SIP_TOTAL UNITS BUY]]=0,0,INVESTORS_LIST[[#This Row],[SIP_TOTAL UNITS BUY]]-INVESTORS_LIST[[#This Row],[SIP_TOTAL UNITS SOLD]])</f>
        <v>0</v>
      </c>
      <c r="O242" s="4">
        <f>IF(INVESTORS_LIST[[#This Row],[SIP_TOTAL UNITS BUY]]=0,0,SUMIFS(SIP[Amount],SIP[Investor ID],INVESTORS_LIST[[#This Row],[INVESTOR CODE]],SIP[B/S],"B"))</f>
        <v>0</v>
      </c>
      <c r="P242" s="4">
        <f>IF(INVESTORS_LIST[[#This Row],[SIP_TOTAL UNITS SOLD]]=0,0,SUMIFS(SIP[Cost of Units Sold],SIP[Investor ID],INVESTORS_LIST[[#This Row],[INVESTOR CODE]],SIP[B/S],"S"))</f>
        <v>0</v>
      </c>
      <c r="Q242" s="6">
        <f>IF(INVESTORS_LIST[[#This Row],[SIP_TOTAL CURRENT UNITS]]=0,0,INVESTORS_LIST[[#This Row],[SIP_TOTAL CURRENT UNITS]]*INVESTORS_LIST[[#This Row],[SIP_AVERAGE COST]])</f>
        <v>0</v>
      </c>
      <c r="R242" s="6">
        <f>IF(INVESTORS_LIST[[#This Row],[SIP_TOTAL UNITS SOLD]]=0,0,SUMIFS(SIP[Realized Gain],SIP[Investor ID],INVESTORS_LIST[[#This Row],[INVESTOR CODE]],SIP[B/S],"S"))</f>
        <v>0</v>
      </c>
      <c r="S242" s="33">
        <f>INVESTORS_LIST[[#This Row],[LS_TOTAL UNITS BUY]]+INVESTORS_LIST[[#This Row],[SIP_TOTAL UNITS BUY]]</f>
        <v>0</v>
      </c>
      <c r="T242" s="33">
        <f>INVESTORS_LIST[[#This Row],[LS_TOTAL UNITS SOLD]]+INVESTORS_LIST[[#This Row],[SIP_TOTAL UNITS SOLD]]</f>
        <v>0</v>
      </c>
      <c r="U242" s="33">
        <v>0</v>
      </c>
      <c r="V242" s="33">
        <f>SUMIFS(LS[BO UNIT TRANSFER],LS[Investor ID],INVESTORS_LIST[[#This Row],[INVESTOR CODE]],LS[B/S],"B")</f>
        <v>0</v>
      </c>
      <c r="W242" s="33">
        <f>SUMIFS(LS[BO UNIT TRANSFER],LS[Investor ID],INVESTORS_LIST[[#This Row],[INVESTOR CODE]],LS[B/S],"S")</f>
        <v>0</v>
      </c>
      <c r="X242" s="33">
        <f>SUMIFS(SIP[BO UNIT TRANSFER],SIP[Investor ID],INVESTORS_LIST[[#This Row],[INVESTOR CODE]],SIP[B/S],"S")</f>
        <v>0</v>
      </c>
      <c r="Y242" s="33">
        <f>SUMIFS(SIP[BO UNIT TRANSFER],SIP[Investor ID],INVESTORS_LIST[[#This Row],[INVESTOR CODE]],SIP[B/S],"B")</f>
        <v>0</v>
      </c>
      <c r="Z24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42" s="119">
        <f>INVESTORS_LIST[[#This Row],[TOTAL UNITS BUY]]-INVESTORS_LIST[[#This Row],[TOTAL UNITS SOLD]]</f>
        <v>0</v>
      </c>
      <c r="AB242" s="119">
        <f>INVESTORS_LIST[[#This Row],[TOTAL CURRENT UNITS]]-INVESTORS_LIST[[#This Row],[BO UNITS HOLD]]</f>
        <v>0</v>
      </c>
      <c r="AC242" s="119" t="e">
        <f>INDEX([4]!Table_1[BO ID],MATCH(INVESTORS_LIST[[#This Row],[INVESTOR CODE]],[4]!Table_1[INVESTOR CODE],0))</f>
        <v>#REF!</v>
      </c>
      <c r="AD242" s="33">
        <f>INVESTORS_LIST[[#This Row],[LS_TOTAL COST VALUE OF CURRENT UNITS]]+INVESTORS_LIST[[#This Row],[SIP_TOTAL COST VALUE OF CURRENT UNITS]]</f>
        <v>0</v>
      </c>
      <c r="AE242" s="44">
        <f>IF(INVESTORS_LIST[[#This Row],[TOTAL CURRENT UNITS]]=0,0,INVESTORS_LIST[[#This Row],[LS_TOTAL CURRENT UNITS]]/INVESTORS_LIST[[#This Row],[TOTAL CURRENT UNITS]])</f>
        <v>0</v>
      </c>
      <c r="AF242" s="44">
        <f>IF(INVESTORS_LIST[[#This Row],[TOTAL CURRENT UNITS]]=0,0,INVESTORS_LIST[[#This Row],[SIP_TOTAL CURRENT UNITS]]/INVESTORS_LIST[[#This Row],[TOTAL CURRENT UNITS]])</f>
        <v>0</v>
      </c>
      <c r="AG242" s="4" cm="1">
        <f t="array" ref="AG24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42" s="4" cm="1">
        <f t="array" ref="AH24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4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42" s="178">
        <f t="shared" si="3"/>
        <v>12.552</v>
      </c>
      <c r="AK242" s="118">
        <f>IF(INVESTORS_LIST[[#This Row],[TOTAL CURRENT UNITS]]=0,0,INVESTORS_LIST[[#This Row],[TOTAL CURRENT UNITS]]*INVESTORS_LIST[[#This Row],[NAV]])</f>
        <v>0</v>
      </c>
      <c r="AL242" s="4">
        <f>IF(INVESTORS_LIST[[#This Row],[LS_TOTAL CURRENT UNITS]]=0,0,INVESTORS_LIST[[#This Row],[LS_TOTAL CURRENT UNITS]]*INVESTORS_LIST[[#This Row],[NAV]])</f>
        <v>0</v>
      </c>
      <c r="AM242" s="6">
        <f>IF(INVESTORS_LIST[[#This Row],[SIP_TOTAL CURRENT UNITS]]=0,0,INVESTORS_LIST[[#This Row],[SIP_TOTAL CURRENT UNITS]]*INVESTORS_LIST[[#This Row],[NAV]])</f>
        <v>0</v>
      </c>
      <c r="AO242" s="6">
        <f>IF(INVESTORS_LIST[[#This Row],[TOTAL SELLABLE UNITS]]=0,0,INVESTORS_LIST[[#This Row],[TOTAL SELLABLE UNITS]]*INVESTORS_LIST[[#This Row],[NAV]])</f>
        <v>0</v>
      </c>
      <c r="AP242" s="6">
        <f>INVESTORS_LIST[[#This Row],[LS_TOTAL REALIZED GAIN]]+INVESTORS_LIST[[#This Row],[SIP_TOTAL REALIZED GAIN]]</f>
        <v>0</v>
      </c>
      <c r="AQ242" s="6">
        <f>INVESTORS_LIST[[#This Row],[TOTAL MARKET VALUE]]-INVESTORS_LIST[[#This Row],[TOTAL COST VALUE OF CURRENT INVESTMENT]]</f>
        <v>0</v>
      </c>
      <c r="AR242" s="6">
        <f>SUMIFS(DivAndTax[Tax Amount],DivAndTax[Investor ID],INVESTORS_LIST[[#This Row],[INVESTOR CODE]])</f>
        <v>0</v>
      </c>
      <c r="AS242" s="6">
        <f>SUMIFS(DivAndTax[Gross Dividend],DivAndTax[Investor ID],INVESTORS_LIST[[#This Row],[INVESTOR CODE]])</f>
        <v>0</v>
      </c>
      <c r="AT242" s="5">
        <f>IFERROR(INVESTORS_LIST[[#This Row],[TOTAL CURRENT UNITS]]/SUM(INVESTORS_LIST[TOTAL CURRENT UNITS]),0)</f>
        <v>0</v>
      </c>
    </row>
    <row r="243" spans="1:46" hidden="1">
      <c r="A243" t="s">
        <v>342</v>
      </c>
      <c r="B243" t="s">
        <v>343</v>
      </c>
      <c r="C243" t="s">
        <v>536</v>
      </c>
      <c r="D243" s="8" t="s">
        <v>2</v>
      </c>
      <c r="E243" s="2">
        <f>SUMIFS(LS[Unit],LS[Investor ID],INVESTORS_LIST[[#This Row],[INVESTOR CODE]],LS[B/S],"B")</f>
        <v>0</v>
      </c>
      <c r="F243" s="2">
        <f>-SUMIFS(LS[Unit],LS[Investor ID],INVESTORS_LIST[[#This Row],[INVESTOR CODE]],LS[B/S],"S")</f>
        <v>0</v>
      </c>
      <c r="G243" s="2">
        <f>IF(INVESTORS_LIST[[#This Row],[LS_TOTAL UNITS BUY]]=0,0,INVESTORS_LIST[[#This Row],[LS_TOTAL UNITS BUY]]-INVESTORS_LIST[[#This Row],[LS_TOTAL UNITS SOLD]])</f>
        <v>0</v>
      </c>
      <c r="H243" s="4">
        <f>IF(INVESTORS_LIST[[#This Row],[LS_TOTAL UNITS BUY]]=0,0,SUMIFS(LS[Amount],LS[Investor ID],INVESTORS_LIST[[#This Row],[INVESTOR CODE]],LS[B/S],"B"))</f>
        <v>0</v>
      </c>
      <c r="I243" s="6">
        <f>IF(INVESTORS_LIST[[#This Row],[LS_TOTAL UNITS SOLD]]=0,0,SUMIFS(LS[Cost of Units Sold],LS[Investor ID],INVESTORS_LIST[[#This Row],[INVESTOR CODE]],LS[B/S],"S"))</f>
        <v>0</v>
      </c>
      <c r="J243" s="6">
        <f>IF(INVESTORS_LIST[[#This Row],[LS_TOTAL CURRENT UNITS]]=0,0,INVESTORS_LIST[[#This Row],[LS_TOTAL CURRENT UNITS]]*INVESTORS_LIST[[#This Row],[LS_AVERAGE COST]])</f>
        <v>0</v>
      </c>
      <c r="K243" s="4">
        <f>IF(INVESTORS_LIST[[#This Row],[LS_TOTAL UNITS SOLD]]=0,0,SUMIFS(LS[Realized Gain],LS[Investor ID],INVESTORS_LIST[[#This Row],[INVESTOR CODE]],LS[B/S],"S"))</f>
        <v>0</v>
      </c>
      <c r="L243" s="2">
        <f>SUMIFS(SIP[Unit],SIP[Investor ID],INVESTORS_LIST[[#This Row],[INVESTOR CODE]],SIP[B/S],"B")</f>
        <v>0</v>
      </c>
      <c r="M243" s="2">
        <f>-SUMIFS(SIP[Unit],SIP[Investor ID],INVESTORS_LIST[[#This Row],[INVESTOR CODE]],SIP[B/S],"S")</f>
        <v>0</v>
      </c>
      <c r="N243" s="33">
        <f>IF(INVESTORS_LIST[[#This Row],[SIP_TOTAL UNITS BUY]]=0,0,INVESTORS_LIST[[#This Row],[SIP_TOTAL UNITS BUY]]-INVESTORS_LIST[[#This Row],[SIP_TOTAL UNITS SOLD]])</f>
        <v>0</v>
      </c>
      <c r="O243" s="4">
        <f>IF(INVESTORS_LIST[[#This Row],[SIP_TOTAL UNITS BUY]]=0,0,SUMIFS(SIP[Amount],SIP[Investor ID],INVESTORS_LIST[[#This Row],[INVESTOR CODE]],SIP[B/S],"B"))</f>
        <v>0</v>
      </c>
      <c r="P243" s="4">
        <f>IF(INVESTORS_LIST[[#This Row],[SIP_TOTAL UNITS SOLD]]=0,0,SUMIFS(SIP[Cost of Units Sold],SIP[Investor ID],INVESTORS_LIST[[#This Row],[INVESTOR CODE]],SIP[B/S],"S"))</f>
        <v>0</v>
      </c>
      <c r="Q243" s="6">
        <f>IF(INVESTORS_LIST[[#This Row],[SIP_TOTAL CURRENT UNITS]]=0,0,INVESTORS_LIST[[#This Row],[SIP_TOTAL CURRENT UNITS]]*INVESTORS_LIST[[#This Row],[SIP_AVERAGE COST]])</f>
        <v>0</v>
      </c>
      <c r="R243" s="6">
        <f>IF(INVESTORS_LIST[[#This Row],[SIP_TOTAL UNITS SOLD]]=0,0,SUMIFS(SIP[Realized Gain],SIP[Investor ID],INVESTORS_LIST[[#This Row],[INVESTOR CODE]],SIP[B/S],"S"))</f>
        <v>0</v>
      </c>
      <c r="S243" s="33">
        <f>INVESTORS_LIST[[#This Row],[LS_TOTAL UNITS BUY]]+INVESTORS_LIST[[#This Row],[SIP_TOTAL UNITS BUY]]</f>
        <v>0</v>
      </c>
      <c r="T243" s="33">
        <f>INVESTORS_LIST[[#This Row],[LS_TOTAL UNITS SOLD]]+INVESTORS_LIST[[#This Row],[SIP_TOTAL UNITS SOLD]]</f>
        <v>0</v>
      </c>
      <c r="U243" s="33">
        <v>0</v>
      </c>
      <c r="V243" s="33">
        <f>SUMIFS(LS[BO UNIT TRANSFER],LS[Investor ID],INVESTORS_LIST[[#This Row],[INVESTOR CODE]],LS[B/S],"B")</f>
        <v>0</v>
      </c>
      <c r="W243" s="33">
        <f>SUMIFS(LS[BO UNIT TRANSFER],LS[Investor ID],INVESTORS_LIST[[#This Row],[INVESTOR CODE]],LS[B/S],"S")</f>
        <v>0</v>
      </c>
      <c r="X243" s="33">
        <f>SUMIFS(SIP[BO UNIT TRANSFER],SIP[Investor ID],INVESTORS_LIST[[#This Row],[INVESTOR CODE]],SIP[B/S],"S")</f>
        <v>0</v>
      </c>
      <c r="Y243" s="33">
        <f>SUMIFS(SIP[BO UNIT TRANSFER],SIP[Investor ID],INVESTORS_LIST[[#This Row],[INVESTOR CODE]],SIP[B/S],"B")</f>
        <v>0</v>
      </c>
      <c r="Z24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43" s="119">
        <f>INVESTORS_LIST[[#This Row],[TOTAL UNITS BUY]]-INVESTORS_LIST[[#This Row],[TOTAL UNITS SOLD]]</f>
        <v>0</v>
      </c>
      <c r="AB243" s="119">
        <f>INVESTORS_LIST[[#This Row],[TOTAL CURRENT UNITS]]-INVESTORS_LIST[[#This Row],[BO UNITS HOLD]]</f>
        <v>0</v>
      </c>
      <c r="AC243" s="119" t="e">
        <f>INDEX([4]!Table_1[BO ID],MATCH(INVESTORS_LIST[[#This Row],[INVESTOR CODE]],[4]!Table_1[INVESTOR CODE],0))</f>
        <v>#REF!</v>
      </c>
      <c r="AD243" s="33">
        <f>INVESTORS_LIST[[#This Row],[LS_TOTAL COST VALUE OF CURRENT UNITS]]+INVESTORS_LIST[[#This Row],[SIP_TOTAL COST VALUE OF CURRENT UNITS]]</f>
        <v>0</v>
      </c>
      <c r="AE243" s="44">
        <f>IF(INVESTORS_LIST[[#This Row],[TOTAL CURRENT UNITS]]=0,0,INVESTORS_LIST[[#This Row],[LS_TOTAL CURRENT UNITS]]/INVESTORS_LIST[[#This Row],[TOTAL CURRENT UNITS]])</f>
        <v>0</v>
      </c>
      <c r="AF243" s="44">
        <f>IF(INVESTORS_LIST[[#This Row],[TOTAL CURRENT UNITS]]=0,0,INVESTORS_LIST[[#This Row],[SIP_TOTAL CURRENT UNITS]]/INVESTORS_LIST[[#This Row],[TOTAL CURRENT UNITS]])</f>
        <v>0</v>
      </c>
      <c r="AG243" s="4" cm="1">
        <f t="array" ref="AG24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43" s="4" cm="1">
        <f t="array" ref="AH2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4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43" s="178">
        <f t="shared" si="3"/>
        <v>12.552</v>
      </c>
      <c r="AK243" s="118">
        <f>IF(INVESTORS_LIST[[#This Row],[TOTAL CURRENT UNITS]]=0,0,INVESTORS_LIST[[#This Row],[TOTAL CURRENT UNITS]]*INVESTORS_LIST[[#This Row],[NAV]])</f>
        <v>0</v>
      </c>
      <c r="AL243" s="4">
        <f>IF(INVESTORS_LIST[[#This Row],[LS_TOTAL CURRENT UNITS]]=0,0,INVESTORS_LIST[[#This Row],[LS_TOTAL CURRENT UNITS]]*INVESTORS_LIST[[#This Row],[NAV]])</f>
        <v>0</v>
      </c>
      <c r="AM243" s="6">
        <f>IF(INVESTORS_LIST[[#This Row],[SIP_TOTAL CURRENT UNITS]]=0,0,INVESTORS_LIST[[#This Row],[SIP_TOTAL CURRENT UNITS]]*INVESTORS_LIST[[#This Row],[NAV]])</f>
        <v>0</v>
      </c>
      <c r="AO243" s="6">
        <f>IF(INVESTORS_LIST[[#This Row],[TOTAL SELLABLE UNITS]]=0,0,INVESTORS_LIST[[#This Row],[TOTAL SELLABLE UNITS]]*INVESTORS_LIST[[#This Row],[NAV]])</f>
        <v>0</v>
      </c>
      <c r="AP243" s="6">
        <f>INVESTORS_LIST[[#This Row],[LS_TOTAL REALIZED GAIN]]+INVESTORS_LIST[[#This Row],[SIP_TOTAL REALIZED GAIN]]</f>
        <v>0</v>
      </c>
      <c r="AQ243" s="6">
        <f>INVESTORS_LIST[[#This Row],[TOTAL MARKET VALUE]]-INVESTORS_LIST[[#This Row],[TOTAL COST VALUE OF CURRENT INVESTMENT]]</f>
        <v>0</v>
      </c>
      <c r="AR243" s="6">
        <f>SUMIFS(DivAndTax[Tax Amount],DivAndTax[Investor ID],INVESTORS_LIST[[#This Row],[INVESTOR CODE]])</f>
        <v>0</v>
      </c>
      <c r="AS243" s="6">
        <f>SUMIFS(DivAndTax[Gross Dividend],DivAndTax[Investor ID],INVESTORS_LIST[[#This Row],[INVESTOR CODE]])</f>
        <v>0</v>
      </c>
      <c r="AT243" s="5">
        <f>IFERROR(INVESTORS_LIST[[#This Row],[TOTAL CURRENT UNITS]]/SUM(INVESTORS_LIST[TOTAL CURRENT UNITS]),0)</f>
        <v>0</v>
      </c>
    </row>
    <row r="244" spans="1:46">
      <c r="A244" t="s">
        <v>344</v>
      </c>
      <c r="B244" t="s">
        <v>345</v>
      </c>
      <c r="C244" t="s">
        <v>541</v>
      </c>
      <c r="D244" s="8" t="s">
        <v>2</v>
      </c>
      <c r="E244" s="2">
        <f>SUMIFS(LS[Unit],LS[Investor ID],INVESTORS_LIST[[#This Row],[INVESTOR CODE]],LS[B/S],"B")</f>
        <v>88920</v>
      </c>
      <c r="F244" s="2">
        <f>-SUMIFS(LS[Unit],LS[Investor ID],INVESTORS_LIST[[#This Row],[INVESTOR CODE]],LS[B/S],"S")</f>
        <v>47000</v>
      </c>
      <c r="G244" s="2">
        <f>IF(INVESTORS_LIST[[#This Row],[LS_TOTAL UNITS BUY]]=0,0,INVESTORS_LIST[[#This Row],[LS_TOTAL UNITS BUY]]-INVESTORS_LIST[[#This Row],[LS_TOTAL UNITS SOLD]])</f>
        <v>41920</v>
      </c>
      <c r="H244" s="4">
        <f>IF(INVESTORS_LIST[[#This Row],[LS_TOTAL UNITS BUY]]=0,0,SUMIFS(LS[Amount],LS[Investor ID],INVESTORS_LIST[[#This Row],[INVESTOR CODE]],LS[B/S],"B"))</f>
        <v>1000000</v>
      </c>
      <c r="I244" s="6">
        <f>IF(INVESTORS_LIST[[#This Row],[LS_TOTAL UNITS SOLD]]=0,0,SUMIFS(LS[Cost of Units Sold],LS[Investor ID],INVESTORS_LIST[[#This Row],[INVESTOR CODE]],LS[B/S],"S"))</f>
        <v>470000</v>
      </c>
      <c r="J244" s="6">
        <f>IF(INVESTORS_LIST[[#This Row],[LS_TOTAL CURRENT UNITS]]=0,0,INVESTORS_LIST[[#This Row],[LS_TOTAL CURRENT UNITS]]*INVESTORS_LIST[[#This Row],[LS_AVERAGE COST]])</f>
        <v>530000</v>
      </c>
      <c r="K244" s="4">
        <f>IF(INVESTORS_LIST[[#This Row],[LS_TOTAL UNITS SOLD]]=0,0,SUMIFS(LS[Realized Gain],LS[Investor ID],INVESTORS_LIST[[#This Row],[INVESTOR CODE]],LS[B/S],"S"))</f>
        <v>16308.999999999978</v>
      </c>
      <c r="L244" s="2">
        <f>SUMIFS(SIP[Unit],SIP[Investor ID],INVESTORS_LIST[[#This Row],[INVESTOR CODE]],SIP[B/S],"B")</f>
        <v>0</v>
      </c>
      <c r="M244" s="2">
        <f>-SUMIFS(SIP[Unit],SIP[Investor ID],INVESTORS_LIST[[#This Row],[INVESTOR CODE]],SIP[B/S],"S")</f>
        <v>0</v>
      </c>
      <c r="N244" s="33">
        <f>IF(INVESTORS_LIST[[#This Row],[SIP_TOTAL UNITS BUY]]=0,0,INVESTORS_LIST[[#This Row],[SIP_TOTAL UNITS BUY]]-INVESTORS_LIST[[#This Row],[SIP_TOTAL UNITS SOLD]])</f>
        <v>0</v>
      </c>
      <c r="O244" s="4">
        <f>IF(INVESTORS_LIST[[#This Row],[SIP_TOTAL UNITS BUY]]=0,0,SUMIFS(SIP[Amount],SIP[Investor ID],INVESTORS_LIST[[#This Row],[INVESTOR CODE]],SIP[B/S],"B"))</f>
        <v>0</v>
      </c>
      <c r="P244" s="4">
        <f>IF(INVESTORS_LIST[[#This Row],[SIP_TOTAL UNITS SOLD]]=0,0,SUMIFS(SIP[Cost of Units Sold],SIP[Investor ID],INVESTORS_LIST[[#This Row],[INVESTOR CODE]],SIP[B/S],"S"))</f>
        <v>0</v>
      </c>
      <c r="Q244" s="6">
        <f>IF(INVESTORS_LIST[[#This Row],[SIP_TOTAL CURRENT UNITS]]=0,0,INVESTORS_LIST[[#This Row],[SIP_TOTAL CURRENT UNITS]]*INVESTORS_LIST[[#This Row],[SIP_AVERAGE COST]])</f>
        <v>0</v>
      </c>
      <c r="R244" s="6">
        <f>IF(INVESTORS_LIST[[#This Row],[SIP_TOTAL UNITS SOLD]]=0,0,SUMIFS(SIP[Realized Gain],SIP[Investor ID],INVESTORS_LIST[[#This Row],[INVESTOR CODE]],SIP[B/S],"S"))</f>
        <v>0</v>
      </c>
      <c r="S244" s="33">
        <f>INVESTORS_LIST[[#This Row],[LS_TOTAL UNITS BUY]]+INVESTORS_LIST[[#This Row],[SIP_TOTAL UNITS BUY]]</f>
        <v>88920</v>
      </c>
      <c r="T244" s="33">
        <f>INVESTORS_LIST[[#This Row],[LS_TOTAL UNITS SOLD]]+INVESTORS_LIST[[#This Row],[SIP_TOTAL UNITS SOLD]]</f>
        <v>47000</v>
      </c>
      <c r="U244" s="33">
        <v>50000</v>
      </c>
      <c r="V244" s="33">
        <f>SUMIFS(LS[BO UNIT TRANSFER],LS[Investor ID],INVESTORS_LIST[[#This Row],[INVESTOR CODE]],LS[B/S],"B")</f>
        <v>0</v>
      </c>
      <c r="W244" s="33">
        <f>SUMIFS(LS[BO UNIT TRANSFER],LS[Investor ID],INVESTORS_LIST[[#This Row],[INVESTOR CODE]],LS[B/S],"S")</f>
        <v>0</v>
      </c>
      <c r="X244" s="33">
        <f>SUMIFS(SIP[BO UNIT TRANSFER],SIP[Investor ID],INVESTORS_LIST[[#This Row],[INVESTOR CODE]],SIP[B/S],"S")</f>
        <v>0</v>
      </c>
      <c r="Y244" s="33">
        <f>SUMIFS(SIP[BO UNIT TRANSFER],SIP[Investor ID],INVESTORS_LIST[[#This Row],[INVESTOR CODE]],SIP[B/S],"B")</f>
        <v>0</v>
      </c>
      <c r="Z24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50000</v>
      </c>
      <c r="AA244" s="119">
        <f>INVESTORS_LIST[[#This Row],[TOTAL UNITS BUY]]-INVESTORS_LIST[[#This Row],[TOTAL UNITS SOLD]]</f>
        <v>41920</v>
      </c>
      <c r="AB244" s="119">
        <f>INVESTORS_LIST[[#This Row],[TOTAL CURRENT UNITS]]-INVESTORS_LIST[[#This Row],[BO UNITS HOLD]]</f>
        <v>-8080</v>
      </c>
      <c r="AC244" s="119" t="e">
        <f>INDEX([4]!Table_1[BO ID],MATCH(INVESTORS_LIST[[#This Row],[INVESTOR CODE]],[4]!Table_1[INVESTOR CODE],0))</f>
        <v>#REF!</v>
      </c>
      <c r="AD244" s="33">
        <f>INVESTORS_LIST[[#This Row],[LS_TOTAL COST VALUE OF CURRENT UNITS]]+INVESTORS_LIST[[#This Row],[SIP_TOTAL COST VALUE OF CURRENT UNITS]]</f>
        <v>530000</v>
      </c>
      <c r="AE244" s="44">
        <f>IF(INVESTORS_LIST[[#This Row],[TOTAL CURRENT UNITS]]=0,0,INVESTORS_LIST[[#This Row],[LS_TOTAL CURRENT UNITS]]/INVESTORS_LIST[[#This Row],[TOTAL CURRENT UNITS]])</f>
        <v>1</v>
      </c>
      <c r="AF244" s="44">
        <f>IF(INVESTORS_LIST[[#This Row],[TOTAL CURRENT UNITS]]=0,0,INVESTORS_LIST[[#This Row],[SIP_TOTAL CURRENT UNITS]]/INVESTORS_LIST[[#This Row],[TOTAL CURRENT UNITS]])</f>
        <v>0</v>
      </c>
      <c r="AG244" s="4" cm="1">
        <f t="array" ref="AG244">IF(INVESTORS_LIST[[#This Row],[LS_TOTAL UNITS BUY]]&gt;0,INDEX(LS[NAV at Cost (Average)],MATCH(CONCATENATE(COUNTIFS(LS[Investor ID],INVESTORS_LIST[[#This Row],[INVESTOR CODE]]),INVESTORS_LIST[[#This Row],[INVESTOR CODE]]),LS[Unique Code],0),),0)</f>
        <v>12.643129770992367</v>
      </c>
      <c r="AH244" s="4" cm="1">
        <f t="array" ref="AH24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44" s="178">
        <f>IF(INVESTORS_LIST[[#This Row],[TOTAL CURRENT UNITS]]=0,0,(INVESTORS_LIST[[#This Row],[LS_WEIGHT]]*INVESTORS_LIST[[#This Row],[LS_AVERAGE COST]])+(INVESTORS_LIST[[#This Row],[SIP_WEIGHT]]*INVESTORS_LIST[[#This Row],[SIP_AVERAGE COST]]))</f>
        <v>12.643129770992367</v>
      </c>
      <c r="AJ244" s="178">
        <f t="shared" si="3"/>
        <v>12.552</v>
      </c>
      <c r="AK244" s="118">
        <f>IF(INVESTORS_LIST[[#This Row],[TOTAL CURRENT UNITS]]=0,0,INVESTORS_LIST[[#This Row],[TOTAL CURRENT UNITS]]*INVESTORS_LIST[[#This Row],[NAV]])</f>
        <v>526179.83999999997</v>
      </c>
      <c r="AL244" s="4">
        <f>IF(INVESTORS_LIST[[#This Row],[LS_TOTAL CURRENT UNITS]]=0,0,INVESTORS_LIST[[#This Row],[LS_TOTAL CURRENT UNITS]]*INVESTORS_LIST[[#This Row],[NAV]])</f>
        <v>526179.83999999997</v>
      </c>
      <c r="AM244" s="6">
        <f>IF(INVESTORS_LIST[[#This Row],[SIP_TOTAL CURRENT UNITS]]=0,0,INVESTORS_LIST[[#This Row],[SIP_TOTAL CURRENT UNITS]]*INVESTORS_LIST[[#This Row],[NAV]])</f>
        <v>0</v>
      </c>
      <c r="AO244" s="6">
        <f>IF(INVESTORS_LIST[[#This Row],[TOTAL SELLABLE UNITS]]=0,0,INVESTORS_LIST[[#This Row],[TOTAL SELLABLE UNITS]]*INVESTORS_LIST[[#This Row],[NAV]])</f>
        <v>0</v>
      </c>
      <c r="AP244" s="6">
        <f>INVESTORS_LIST[[#This Row],[LS_TOTAL REALIZED GAIN]]+INVESTORS_LIST[[#This Row],[SIP_TOTAL REALIZED GAIN]]</f>
        <v>16308.999999999978</v>
      </c>
      <c r="AQ244" s="6">
        <f>INVESTORS_LIST[[#This Row],[TOTAL MARKET VALUE]]-INVESTORS_LIST[[#This Row],[TOTAL COST VALUE OF CURRENT INVESTMENT]]</f>
        <v>-3820.1600000000326</v>
      </c>
      <c r="AR244" s="6">
        <f>SUMIFS(DivAndTax[Tax Amount],DivAndTax[Investor ID],INVESTORS_LIST[[#This Row],[INVESTOR CODE]])</f>
        <v>1505</v>
      </c>
      <c r="AS244" s="6">
        <f>SUMIFS(DivAndTax[Gross Dividend],DivAndTax[Investor ID],INVESTORS_LIST[[#This Row],[INVESTOR CODE]])</f>
        <v>15050</v>
      </c>
      <c r="AT244" s="5">
        <f>IFERROR(INVESTORS_LIST[[#This Row],[TOTAL CURRENT UNITS]]/SUM(INVESTORS_LIST[TOTAL CURRENT UNITS]),0)</f>
        <v>2.0098474855618923E-3</v>
      </c>
    </row>
    <row r="245" spans="1:46" hidden="1">
      <c r="A245" t="s">
        <v>346</v>
      </c>
      <c r="B245" t="s">
        <v>347</v>
      </c>
      <c r="C245" t="s">
        <v>536</v>
      </c>
      <c r="D245" s="8" t="s">
        <v>2</v>
      </c>
      <c r="E245" s="2">
        <f>SUMIFS(LS[Unit],LS[Investor ID],INVESTORS_LIST[[#This Row],[INVESTOR CODE]],LS[B/S],"B")</f>
        <v>0</v>
      </c>
      <c r="F245" s="2">
        <f>-SUMIFS(LS[Unit],LS[Investor ID],INVESTORS_LIST[[#This Row],[INVESTOR CODE]],LS[B/S],"S")</f>
        <v>0</v>
      </c>
      <c r="G245" s="2">
        <f>IF(INVESTORS_LIST[[#This Row],[LS_TOTAL UNITS BUY]]=0,0,INVESTORS_LIST[[#This Row],[LS_TOTAL UNITS BUY]]-INVESTORS_LIST[[#This Row],[LS_TOTAL UNITS SOLD]])</f>
        <v>0</v>
      </c>
      <c r="H245" s="4">
        <f>IF(INVESTORS_LIST[[#This Row],[LS_TOTAL UNITS BUY]]=0,0,SUMIFS(LS[Amount],LS[Investor ID],INVESTORS_LIST[[#This Row],[INVESTOR CODE]],LS[B/S],"B"))</f>
        <v>0</v>
      </c>
      <c r="I245" s="6">
        <f>IF(INVESTORS_LIST[[#This Row],[LS_TOTAL UNITS SOLD]]=0,0,SUMIFS(LS[Cost of Units Sold],LS[Investor ID],INVESTORS_LIST[[#This Row],[INVESTOR CODE]],LS[B/S],"S"))</f>
        <v>0</v>
      </c>
      <c r="J245" s="6">
        <f>IF(INVESTORS_LIST[[#This Row],[LS_TOTAL CURRENT UNITS]]=0,0,INVESTORS_LIST[[#This Row],[LS_TOTAL CURRENT UNITS]]*INVESTORS_LIST[[#This Row],[LS_AVERAGE COST]])</f>
        <v>0</v>
      </c>
      <c r="K245" s="4">
        <f>IF(INVESTORS_LIST[[#This Row],[LS_TOTAL UNITS SOLD]]=0,0,SUMIFS(LS[Realized Gain],LS[Investor ID],INVESTORS_LIST[[#This Row],[INVESTOR CODE]],LS[B/S],"S"))</f>
        <v>0</v>
      </c>
      <c r="L245" s="2">
        <f>SUMIFS(SIP[Unit],SIP[Investor ID],INVESTORS_LIST[[#This Row],[INVESTOR CODE]],SIP[B/S],"B")</f>
        <v>0</v>
      </c>
      <c r="M245" s="2">
        <f>-SUMIFS(SIP[Unit],SIP[Investor ID],INVESTORS_LIST[[#This Row],[INVESTOR CODE]],SIP[B/S],"S")</f>
        <v>0</v>
      </c>
      <c r="N245" s="33">
        <f>IF(INVESTORS_LIST[[#This Row],[SIP_TOTAL UNITS BUY]]=0,0,INVESTORS_LIST[[#This Row],[SIP_TOTAL UNITS BUY]]-INVESTORS_LIST[[#This Row],[SIP_TOTAL UNITS SOLD]])</f>
        <v>0</v>
      </c>
      <c r="O245" s="4">
        <f>IF(INVESTORS_LIST[[#This Row],[SIP_TOTAL UNITS BUY]]=0,0,SUMIFS(SIP[Amount],SIP[Investor ID],INVESTORS_LIST[[#This Row],[INVESTOR CODE]],SIP[B/S],"B"))</f>
        <v>0</v>
      </c>
      <c r="P245" s="4">
        <f>IF(INVESTORS_LIST[[#This Row],[SIP_TOTAL UNITS SOLD]]=0,0,SUMIFS(SIP[Cost of Units Sold],SIP[Investor ID],INVESTORS_LIST[[#This Row],[INVESTOR CODE]],SIP[B/S],"S"))</f>
        <v>0</v>
      </c>
      <c r="Q245" s="6">
        <f>IF(INVESTORS_LIST[[#This Row],[SIP_TOTAL CURRENT UNITS]]=0,0,INVESTORS_LIST[[#This Row],[SIP_TOTAL CURRENT UNITS]]*INVESTORS_LIST[[#This Row],[SIP_AVERAGE COST]])</f>
        <v>0</v>
      </c>
      <c r="R245" s="6">
        <f>IF(INVESTORS_LIST[[#This Row],[SIP_TOTAL UNITS SOLD]]=0,0,SUMIFS(SIP[Realized Gain],SIP[Investor ID],INVESTORS_LIST[[#This Row],[INVESTOR CODE]],SIP[B/S],"S"))</f>
        <v>0</v>
      </c>
      <c r="S245" s="33">
        <f>INVESTORS_LIST[[#This Row],[LS_TOTAL UNITS BUY]]+INVESTORS_LIST[[#This Row],[SIP_TOTAL UNITS BUY]]</f>
        <v>0</v>
      </c>
      <c r="T245" s="33">
        <f>INVESTORS_LIST[[#This Row],[LS_TOTAL UNITS SOLD]]+INVESTORS_LIST[[#This Row],[SIP_TOTAL UNITS SOLD]]</f>
        <v>0</v>
      </c>
      <c r="U245" s="33">
        <v>0</v>
      </c>
      <c r="V245" s="33">
        <f>SUMIFS(LS[BO UNIT TRANSFER],LS[Investor ID],INVESTORS_LIST[[#This Row],[INVESTOR CODE]],LS[B/S],"B")</f>
        <v>0</v>
      </c>
      <c r="W245" s="33">
        <f>SUMIFS(LS[BO UNIT TRANSFER],LS[Investor ID],INVESTORS_LIST[[#This Row],[INVESTOR CODE]],LS[B/S],"S")</f>
        <v>0</v>
      </c>
      <c r="X245" s="33">
        <f>SUMIFS(SIP[BO UNIT TRANSFER],SIP[Investor ID],INVESTORS_LIST[[#This Row],[INVESTOR CODE]],SIP[B/S],"S")</f>
        <v>0</v>
      </c>
      <c r="Y245" s="33">
        <f>SUMIFS(SIP[BO UNIT TRANSFER],SIP[Investor ID],INVESTORS_LIST[[#This Row],[INVESTOR CODE]],SIP[B/S],"B")</f>
        <v>0</v>
      </c>
      <c r="Z24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45" s="119">
        <f>INVESTORS_LIST[[#This Row],[TOTAL UNITS BUY]]-INVESTORS_LIST[[#This Row],[TOTAL UNITS SOLD]]</f>
        <v>0</v>
      </c>
      <c r="AB245" s="119">
        <f>INVESTORS_LIST[[#This Row],[TOTAL CURRENT UNITS]]-INVESTORS_LIST[[#This Row],[BO UNITS HOLD]]</f>
        <v>0</v>
      </c>
      <c r="AC245" s="119" t="e">
        <f>INDEX([4]!Table_1[BO ID],MATCH(INVESTORS_LIST[[#This Row],[INVESTOR CODE]],[4]!Table_1[INVESTOR CODE],0))</f>
        <v>#REF!</v>
      </c>
      <c r="AD245" s="33">
        <f>INVESTORS_LIST[[#This Row],[LS_TOTAL COST VALUE OF CURRENT UNITS]]+INVESTORS_LIST[[#This Row],[SIP_TOTAL COST VALUE OF CURRENT UNITS]]</f>
        <v>0</v>
      </c>
      <c r="AE245" s="44">
        <f>IF(INVESTORS_LIST[[#This Row],[TOTAL CURRENT UNITS]]=0,0,INVESTORS_LIST[[#This Row],[LS_TOTAL CURRENT UNITS]]/INVESTORS_LIST[[#This Row],[TOTAL CURRENT UNITS]])</f>
        <v>0</v>
      </c>
      <c r="AF245" s="44">
        <f>IF(INVESTORS_LIST[[#This Row],[TOTAL CURRENT UNITS]]=0,0,INVESTORS_LIST[[#This Row],[SIP_TOTAL CURRENT UNITS]]/INVESTORS_LIST[[#This Row],[TOTAL CURRENT UNITS]])</f>
        <v>0</v>
      </c>
      <c r="AG245" s="4" cm="1">
        <f t="array" ref="AG24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45" s="4" cm="1">
        <f t="array" ref="AH2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4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45" s="178">
        <f t="shared" si="3"/>
        <v>12.552</v>
      </c>
      <c r="AK245" s="118">
        <f>IF(INVESTORS_LIST[[#This Row],[TOTAL CURRENT UNITS]]=0,0,INVESTORS_LIST[[#This Row],[TOTAL CURRENT UNITS]]*INVESTORS_LIST[[#This Row],[NAV]])</f>
        <v>0</v>
      </c>
      <c r="AL245" s="4">
        <f>IF(INVESTORS_LIST[[#This Row],[LS_TOTAL CURRENT UNITS]]=0,0,INVESTORS_LIST[[#This Row],[LS_TOTAL CURRENT UNITS]]*INVESTORS_LIST[[#This Row],[NAV]])</f>
        <v>0</v>
      </c>
      <c r="AM245" s="6">
        <f>IF(INVESTORS_LIST[[#This Row],[SIP_TOTAL CURRENT UNITS]]=0,0,INVESTORS_LIST[[#This Row],[SIP_TOTAL CURRENT UNITS]]*INVESTORS_LIST[[#This Row],[NAV]])</f>
        <v>0</v>
      </c>
      <c r="AO245" s="6">
        <f>IF(INVESTORS_LIST[[#This Row],[TOTAL SELLABLE UNITS]]=0,0,INVESTORS_LIST[[#This Row],[TOTAL SELLABLE UNITS]]*INVESTORS_LIST[[#This Row],[NAV]])</f>
        <v>0</v>
      </c>
      <c r="AP245" s="6">
        <f>INVESTORS_LIST[[#This Row],[LS_TOTAL REALIZED GAIN]]+INVESTORS_LIST[[#This Row],[SIP_TOTAL REALIZED GAIN]]</f>
        <v>0</v>
      </c>
      <c r="AQ245" s="6">
        <f>INVESTORS_LIST[[#This Row],[TOTAL MARKET VALUE]]-INVESTORS_LIST[[#This Row],[TOTAL COST VALUE OF CURRENT INVESTMENT]]</f>
        <v>0</v>
      </c>
      <c r="AR245" s="6">
        <f>SUMIFS(DivAndTax[Tax Amount],DivAndTax[Investor ID],INVESTORS_LIST[[#This Row],[INVESTOR CODE]])</f>
        <v>0</v>
      </c>
      <c r="AS245" s="6">
        <f>SUMIFS(DivAndTax[Gross Dividend],DivAndTax[Investor ID],INVESTORS_LIST[[#This Row],[INVESTOR CODE]])</f>
        <v>0</v>
      </c>
      <c r="AT245" s="5">
        <f>IFERROR(INVESTORS_LIST[[#This Row],[TOTAL CURRENT UNITS]]/SUM(INVESTORS_LIST[TOTAL CURRENT UNITS]),0)</f>
        <v>0</v>
      </c>
    </row>
    <row r="246" spans="1:46" hidden="1">
      <c r="A246" t="s">
        <v>348</v>
      </c>
      <c r="B246" t="s">
        <v>349</v>
      </c>
      <c r="C246" t="s">
        <v>537</v>
      </c>
      <c r="D246" s="8" t="s">
        <v>11</v>
      </c>
      <c r="E246" s="2">
        <f>SUMIFS(LS[Unit],LS[Investor ID],INVESTORS_LIST[[#This Row],[INVESTOR CODE]],LS[B/S],"B")</f>
        <v>200000</v>
      </c>
      <c r="F246" s="2">
        <f>-SUMIFS(LS[Unit],LS[Investor ID],INVESTORS_LIST[[#This Row],[INVESTOR CODE]],LS[B/S],"S")</f>
        <v>200000</v>
      </c>
      <c r="G246" s="2">
        <f>IF(INVESTORS_LIST[[#This Row],[LS_TOTAL UNITS BUY]]=0,0,INVESTORS_LIST[[#This Row],[LS_TOTAL UNITS BUY]]-INVESTORS_LIST[[#This Row],[LS_TOTAL UNITS SOLD]])</f>
        <v>0</v>
      </c>
      <c r="H246" s="4">
        <f>IF(INVESTORS_LIST[[#This Row],[LS_TOTAL UNITS BUY]]=0,0,SUMIFS(LS[Amount],LS[Investor ID],INVESTORS_LIST[[#This Row],[INVESTOR CODE]],LS[B/S],"B"))</f>
        <v>2000000</v>
      </c>
      <c r="I246" s="6">
        <f>IF(INVESTORS_LIST[[#This Row],[LS_TOTAL UNITS SOLD]]=0,0,SUMIFS(LS[Cost of Units Sold],LS[Investor ID],INVESTORS_LIST[[#This Row],[INVESTOR CODE]],LS[B/S],"S"))</f>
        <v>2000000</v>
      </c>
      <c r="J246" s="6">
        <f>IF(INVESTORS_LIST[[#This Row],[LS_TOTAL CURRENT UNITS]]=0,0,INVESTORS_LIST[[#This Row],[LS_TOTAL CURRENT UNITS]]*INVESTORS_LIST[[#This Row],[LS_AVERAGE COST]])</f>
        <v>0</v>
      </c>
      <c r="K246" s="4">
        <f>IF(INVESTORS_LIST[[#This Row],[LS_TOTAL UNITS SOLD]]=0,0,SUMIFS(LS[Realized Gain],LS[Investor ID],INVESTORS_LIST[[#This Row],[INVESTOR CODE]],LS[B/S],"S"))</f>
        <v>-12000.0000000001</v>
      </c>
      <c r="L246" s="2">
        <f>SUMIFS(SIP[Unit],SIP[Investor ID],INVESTORS_LIST[[#This Row],[INVESTOR CODE]],SIP[B/S],"B")</f>
        <v>0</v>
      </c>
      <c r="M246" s="2">
        <f>-SUMIFS(SIP[Unit],SIP[Investor ID],INVESTORS_LIST[[#This Row],[INVESTOR CODE]],SIP[B/S],"S")</f>
        <v>0</v>
      </c>
      <c r="N246" s="33">
        <f>IF(INVESTORS_LIST[[#This Row],[SIP_TOTAL UNITS BUY]]=0,0,INVESTORS_LIST[[#This Row],[SIP_TOTAL UNITS BUY]]-INVESTORS_LIST[[#This Row],[SIP_TOTAL UNITS SOLD]])</f>
        <v>0</v>
      </c>
      <c r="O246" s="4">
        <f>IF(INVESTORS_LIST[[#This Row],[SIP_TOTAL UNITS BUY]]=0,0,SUMIFS(SIP[Amount],SIP[Investor ID],INVESTORS_LIST[[#This Row],[INVESTOR CODE]],SIP[B/S],"B"))</f>
        <v>0</v>
      </c>
      <c r="P246" s="4">
        <f>IF(INVESTORS_LIST[[#This Row],[SIP_TOTAL UNITS SOLD]]=0,0,SUMIFS(SIP[Cost of Units Sold],SIP[Investor ID],INVESTORS_LIST[[#This Row],[INVESTOR CODE]],SIP[B/S],"S"))</f>
        <v>0</v>
      </c>
      <c r="Q246" s="6">
        <f>IF(INVESTORS_LIST[[#This Row],[SIP_TOTAL CURRENT UNITS]]=0,0,INVESTORS_LIST[[#This Row],[SIP_TOTAL CURRENT UNITS]]*INVESTORS_LIST[[#This Row],[SIP_AVERAGE COST]])</f>
        <v>0</v>
      </c>
      <c r="R246" s="6">
        <f>IF(INVESTORS_LIST[[#This Row],[SIP_TOTAL UNITS SOLD]]=0,0,SUMIFS(SIP[Realized Gain],SIP[Investor ID],INVESTORS_LIST[[#This Row],[INVESTOR CODE]],SIP[B/S],"S"))</f>
        <v>0</v>
      </c>
      <c r="S246" s="33">
        <f>INVESTORS_LIST[[#This Row],[LS_TOTAL UNITS BUY]]+INVESTORS_LIST[[#This Row],[SIP_TOTAL UNITS BUY]]</f>
        <v>200000</v>
      </c>
      <c r="T246" s="33">
        <f>INVESTORS_LIST[[#This Row],[LS_TOTAL UNITS SOLD]]+INVESTORS_LIST[[#This Row],[SIP_TOTAL UNITS SOLD]]</f>
        <v>200000</v>
      </c>
      <c r="U246" s="33">
        <v>0</v>
      </c>
      <c r="V246" s="33">
        <f>SUMIFS(LS[BO UNIT TRANSFER],LS[Investor ID],INVESTORS_LIST[[#This Row],[INVESTOR CODE]],LS[B/S],"B")</f>
        <v>0</v>
      </c>
      <c r="W246" s="33">
        <f>SUMIFS(LS[BO UNIT TRANSFER],LS[Investor ID],INVESTORS_LIST[[#This Row],[INVESTOR CODE]],LS[B/S],"S")</f>
        <v>0</v>
      </c>
      <c r="X246" s="33">
        <f>SUMIFS(SIP[BO UNIT TRANSFER],SIP[Investor ID],INVESTORS_LIST[[#This Row],[INVESTOR CODE]],SIP[B/S],"S")</f>
        <v>0</v>
      </c>
      <c r="Y246" s="33">
        <f>SUMIFS(SIP[BO UNIT TRANSFER],SIP[Investor ID],INVESTORS_LIST[[#This Row],[INVESTOR CODE]],SIP[B/S],"B")</f>
        <v>0</v>
      </c>
      <c r="Z24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46" s="119">
        <f>INVESTORS_LIST[[#This Row],[TOTAL UNITS BUY]]-INVESTORS_LIST[[#This Row],[TOTAL UNITS SOLD]]</f>
        <v>0</v>
      </c>
      <c r="AB246" s="119">
        <f>INVESTORS_LIST[[#This Row],[TOTAL CURRENT UNITS]]-INVESTORS_LIST[[#This Row],[BO UNITS HOLD]]</f>
        <v>0</v>
      </c>
      <c r="AC246" s="119" t="e">
        <f>INDEX([4]!Table_1[BO ID],MATCH(INVESTORS_LIST[[#This Row],[INVESTOR CODE]],[4]!Table_1[INVESTOR CODE],0))</f>
        <v>#REF!</v>
      </c>
      <c r="AD246" s="33">
        <f>INVESTORS_LIST[[#This Row],[LS_TOTAL COST VALUE OF CURRENT UNITS]]+INVESTORS_LIST[[#This Row],[SIP_TOTAL COST VALUE OF CURRENT UNITS]]</f>
        <v>0</v>
      </c>
      <c r="AE246" s="44">
        <f>IF(INVESTORS_LIST[[#This Row],[TOTAL CURRENT UNITS]]=0,0,INVESTORS_LIST[[#This Row],[LS_TOTAL CURRENT UNITS]]/INVESTORS_LIST[[#This Row],[TOTAL CURRENT UNITS]])</f>
        <v>0</v>
      </c>
      <c r="AF246" s="44">
        <f>IF(INVESTORS_LIST[[#This Row],[TOTAL CURRENT UNITS]]=0,0,INVESTORS_LIST[[#This Row],[SIP_TOTAL CURRENT UNITS]]/INVESTORS_LIST[[#This Row],[TOTAL CURRENT UNITS]])</f>
        <v>0</v>
      </c>
      <c r="AG246" s="4" cm="1">
        <f t="array" ref="AG24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46" s="4" cm="1">
        <f t="array" ref="AH2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4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46" s="178">
        <f t="shared" si="3"/>
        <v>12.552</v>
      </c>
      <c r="AK246" s="118">
        <f>IF(INVESTORS_LIST[[#This Row],[TOTAL CURRENT UNITS]]=0,0,INVESTORS_LIST[[#This Row],[TOTAL CURRENT UNITS]]*INVESTORS_LIST[[#This Row],[NAV]])</f>
        <v>0</v>
      </c>
      <c r="AL246" s="4">
        <f>IF(INVESTORS_LIST[[#This Row],[LS_TOTAL CURRENT UNITS]]=0,0,INVESTORS_LIST[[#This Row],[LS_TOTAL CURRENT UNITS]]*INVESTORS_LIST[[#This Row],[NAV]])</f>
        <v>0</v>
      </c>
      <c r="AM246" s="6">
        <f>IF(INVESTORS_LIST[[#This Row],[SIP_TOTAL CURRENT UNITS]]=0,0,INVESTORS_LIST[[#This Row],[SIP_TOTAL CURRENT UNITS]]*INVESTORS_LIST[[#This Row],[NAV]])</f>
        <v>0</v>
      </c>
      <c r="AO246" s="6">
        <f>IF(INVESTORS_LIST[[#This Row],[TOTAL SELLABLE UNITS]]=0,0,INVESTORS_LIST[[#This Row],[TOTAL SELLABLE UNITS]]*INVESTORS_LIST[[#This Row],[NAV]])</f>
        <v>0</v>
      </c>
      <c r="AP246" s="6">
        <f>INVESTORS_LIST[[#This Row],[LS_TOTAL REALIZED GAIN]]+INVESTORS_LIST[[#This Row],[SIP_TOTAL REALIZED GAIN]]</f>
        <v>-12000.0000000001</v>
      </c>
      <c r="AQ246" s="6">
        <f>INVESTORS_LIST[[#This Row],[TOTAL MARKET VALUE]]-INVESTORS_LIST[[#This Row],[TOTAL COST VALUE OF CURRENT INVESTMENT]]</f>
        <v>0</v>
      </c>
      <c r="AR246" s="6">
        <f>SUMIFS(DivAndTax[Tax Amount],DivAndTax[Investor ID],INVESTORS_LIST[[#This Row],[INVESTOR CODE]])</f>
        <v>0</v>
      </c>
      <c r="AS246" s="6">
        <f>SUMIFS(DivAndTax[Gross Dividend],DivAndTax[Investor ID],INVESTORS_LIST[[#This Row],[INVESTOR CODE]])</f>
        <v>0</v>
      </c>
      <c r="AT246" s="5">
        <f>IFERROR(INVESTORS_LIST[[#This Row],[TOTAL CURRENT UNITS]]/SUM(INVESTORS_LIST[TOTAL CURRENT UNITS]),0)</f>
        <v>0</v>
      </c>
    </row>
    <row r="247" spans="1:46">
      <c r="A247" t="s">
        <v>350</v>
      </c>
      <c r="B247" t="s">
        <v>351</v>
      </c>
      <c r="C247" t="s">
        <v>539</v>
      </c>
      <c r="D247" s="8" t="s">
        <v>2</v>
      </c>
      <c r="E247" s="2">
        <f>SUMIFS(LS[Unit],LS[Investor ID],INVESTORS_LIST[[#This Row],[INVESTOR CODE]],LS[B/S],"B")</f>
        <v>104997</v>
      </c>
      <c r="F247" s="2">
        <f>-SUMIFS(LS[Unit],LS[Investor ID],INVESTORS_LIST[[#This Row],[INVESTOR CODE]],LS[B/S],"S")</f>
        <v>0</v>
      </c>
      <c r="G247" s="2">
        <f>IF(INVESTORS_LIST[[#This Row],[LS_TOTAL UNITS BUY]]=0,0,INVESTORS_LIST[[#This Row],[LS_TOTAL UNITS BUY]]-INVESTORS_LIST[[#This Row],[LS_TOTAL UNITS SOLD]])</f>
        <v>104997</v>
      </c>
      <c r="H247" s="4">
        <f>IF(INVESTORS_LIST[[#This Row],[LS_TOTAL UNITS BUY]]=0,0,SUMIFS(LS[Amount],LS[Investor ID],INVESTORS_LIST[[#This Row],[INVESTOR CODE]],LS[B/S],"B"))</f>
        <v>1058299.3999999999</v>
      </c>
      <c r="I247" s="6">
        <f>IF(INVESTORS_LIST[[#This Row],[LS_TOTAL UNITS SOLD]]=0,0,SUMIFS(LS[Cost of Units Sold],LS[Investor ID],INVESTORS_LIST[[#This Row],[INVESTOR CODE]],LS[B/S],"S"))</f>
        <v>0</v>
      </c>
      <c r="J247" s="6">
        <f>IF(INVESTORS_LIST[[#This Row],[LS_TOTAL CURRENT UNITS]]=0,0,INVESTORS_LIST[[#This Row],[LS_TOTAL CURRENT UNITS]]*INVESTORS_LIST[[#This Row],[LS_AVERAGE COST]])</f>
        <v>1058299.3999999999</v>
      </c>
      <c r="K247" s="4">
        <f>IF(INVESTORS_LIST[[#This Row],[LS_TOTAL UNITS SOLD]]=0,0,SUMIFS(LS[Realized Gain],LS[Investor ID],INVESTORS_LIST[[#This Row],[INVESTOR CODE]],LS[B/S],"S"))</f>
        <v>0</v>
      </c>
      <c r="L247" s="2">
        <f>SUMIFS(SIP[Unit],SIP[Investor ID],INVESTORS_LIST[[#This Row],[INVESTOR CODE]],SIP[B/S],"B")</f>
        <v>0</v>
      </c>
      <c r="M247" s="2">
        <f>-SUMIFS(SIP[Unit],SIP[Investor ID],INVESTORS_LIST[[#This Row],[INVESTOR CODE]],SIP[B/S],"S")</f>
        <v>0</v>
      </c>
      <c r="N247" s="33">
        <f>IF(INVESTORS_LIST[[#This Row],[SIP_TOTAL UNITS BUY]]=0,0,INVESTORS_LIST[[#This Row],[SIP_TOTAL UNITS BUY]]-INVESTORS_LIST[[#This Row],[SIP_TOTAL UNITS SOLD]])</f>
        <v>0</v>
      </c>
      <c r="O247" s="4">
        <f>IF(INVESTORS_LIST[[#This Row],[SIP_TOTAL UNITS BUY]]=0,0,SUMIFS(SIP[Amount],SIP[Investor ID],INVESTORS_LIST[[#This Row],[INVESTOR CODE]],SIP[B/S],"B"))</f>
        <v>0</v>
      </c>
      <c r="P247" s="4">
        <f>IF(INVESTORS_LIST[[#This Row],[SIP_TOTAL UNITS SOLD]]=0,0,SUMIFS(SIP[Cost of Units Sold],SIP[Investor ID],INVESTORS_LIST[[#This Row],[INVESTOR CODE]],SIP[B/S],"S"))</f>
        <v>0</v>
      </c>
      <c r="Q247" s="6">
        <f>IF(INVESTORS_LIST[[#This Row],[SIP_TOTAL CURRENT UNITS]]=0,0,INVESTORS_LIST[[#This Row],[SIP_TOTAL CURRENT UNITS]]*INVESTORS_LIST[[#This Row],[SIP_AVERAGE COST]])</f>
        <v>0</v>
      </c>
      <c r="R247" s="6">
        <f>IF(INVESTORS_LIST[[#This Row],[SIP_TOTAL UNITS SOLD]]=0,0,SUMIFS(SIP[Realized Gain],SIP[Investor ID],INVESTORS_LIST[[#This Row],[INVESTOR CODE]],SIP[B/S],"S"))</f>
        <v>0</v>
      </c>
      <c r="S247" s="33">
        <f>INVESTORS_LIST[[#This Row],[LS_TOTAL UNITS BUY]]+INVESTORS_LIST[[#This Row],[SIP_TOTAL UNITS BUY]]</f>
        <v>104997</v>
      </c>
      <c r="T247" s="33">
        <f>INVESTORS_LIST[[#This Row],[LS_TOTAL UNITS SOLD]]+INVESTORS_LIST[[#This Row],[SIP_TOTAL UNITS SOLD]]</f>
        <v>0</v>
      </c>
      <c r="U247" s="33">
        <v>100000</v>
      </c>
      <c r="V247" s="33">
        <f>SUMIFS(LS[BO UNIT TRANSFER],LS[Investor ID],INVESTORS_LIST[[#This Row],[INVESTOR CODE]],LS[B/S],"B")</f>
        <v>0</v>
      </c>
      <c r="W247" s="33">
        <f>SUMIFS(LS[BO UNIT TRANSFER],LS[Investor ID],INVESTORS_LIST[[#This Row],[INVESTOR CODE]],LS[B/S],"S")</f>
        <v>0</v>
      </c>
      <c r="X247" s="33">
        <f>SUMIFS(SIP[BO UNIT TRANSFER],SIP[Investor ID],INVESTORS_LIST[[#This Row],[INVESTOR CODE]],SIP[B/S],"S")</f>
        <v>0</v>
      </c>
      <c r="Y247" s="33">
        <f>SUMIFS(SIP[BO UNIT TRANSFER],SIP[Investor ID],INVESTORS_LIST[[#This Row],[INVESTOR CODE]],SIP[B/S],"B")</f>
        <v>0</v>
      </c>
      <c r="Z24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100000</v>
      </c>
      <c r="AA247" s="119">
        <f>INVESTORS_LIST[[#This Row],[TOTAL UNITS BUY]]-INVESTORS_LIST[[#This Row],[TOTAL UNITS SOLD]]</f>
        <v>104997</v>
      </c>
      <c r="AB247" s="119">
        <f>INVESTORS_LIST[[#This Row],[TOTAL CURRENT UNITS]]-INVESTORS_LIST[[#This Row],[BO UNITS HOLD]]</f>
        <v>4997</v>
      </c>
      <c r="AC247" s="119" t="e">
        <f>INDEX([4]!Table_1[BO ID],MATCH(INVESTORS_LIST[[#This Row],[INVESTOR CODE]],[4]!Table_1[INVESTOR CODE],0))</f>
        <v>#REF!</v>
      </c>
      <c r="AD247" s="33">
        <f>INVESTORS_LIST[[#This Row],[LS_TOTAL COST VALUE OF CURRENT UNITS]]+INVESTORS_LIST[[#This Row],[SIP_TOTAL COST VALUE OF CURRENT UNITS]]</f>
        <v>1058299.3999999999</v>
      </c>
      <c r="AE247" s="44">
        <f>IF(INVESTORS_LIST[[#This Row],[TOTAL CURRENT UNITS]]=0,0,INVESTORS_LIST[[#This Row],[LS_TOTAL CURRENT UNITS]]/INVESTORS_LIST[[#This Row],[TOTAL CURRENT UNITS]])</f>
        <v>1</v>
      </c>
      <c r="AF247" s="44">
        <f>IF(INVESTORS_LIST[[#This Row],[TOTAL CURRENT UNITS]]=0,0,INVESTORS_LIST[[#This Row],[SIP_TOTAL CURRENT UNITS]]/INVESTORS_LIST[[#This Row],[TOTAL CURRENT UNITS]])</f>
        <v>0</v>
      </c>
      <c r="AG247" s="4" cm="1">
        <f t="array" ref="AG247">IF(INVESTORS_LIST[[#This Row],[LS_TOTAL UNITS BUY]]&gt;0,INDEX(LS[NAV at Cost (Average)],MATCH(CONCATENATE(COUNTIFS(LS[Investor ID],INVESTORS_LIST[[#This Row],[INVESTOR CODE]]),INVESTORS_LIST[[#This Row],[INVESTOR CODE]]),LS[Unique Code],0),),0)</f>
        <v>10.079329885615779</v>
      </c>
      <c r="AH247" s="4" cm="1">
        <f t="array" ref="AH2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47" s="178">
        <f>IF(INVESTORS_LIST[[#This Row],[TOTAL CURRENT UNITS]]=0,0,(INVESTORS_LIST[[#This Row],[LS_WEIGHT]]*INVESTORS_LIST[[#This Row],[LS_AVERAGE COST]])+(INVESTORS_LIST[[#This Row],[SIP_WEIGHT]]*INVESTORS_LIST[[#This Row],[SIP_AVERAGE COST]]))</f>
        <v>10.079329885615779</v>
      </c>
      <c r="AJ247" s="178">
        <f t="shared" si="3"/>
        <v>12.552</v>
      </c>
      <c r="AK247" s="118">
        <f>IF(INVESTORS_LIST[[#This Row],[TOTAL CURRENT UNITS]]=0,0,INVESTORS_LIST[[#This Row],[TOTAL CURRENT UNITS]]*INVESTORS_LIST[[#This Row],[NAV]])</f>
        <v>1317922.344</v>
      </c>
      <c r="AL247" s="4">
        <f>IF(INVESTORS_LIST[[#This Row],[LS_TOTAL CURRENT UNITS]]=0,0,INVESTORS_LIST[[#This Row],[LS_TOTAL CURRENT UNITS]]*INVESTORS_LIST[[#This Row],[NAV]])</f>
        <v>1317922.344</v>
      </c>
      <c r="AM247" s="6">
        <f>IF(INVESTORS_LIST[[#This Row],[SIP_TOTAL CURRENT UNITS]]=0,0,INVESTORS_LIST[[#This Row],[SIP_TOTAL CURRENT UNITS]]*INVESTORS_LIST[[#This Row],[NAV]])</f>
        <v>0</v>
      </c>
      <c r="AO247" s="6">
        <f>IF(INVESTORS_LIST[[#This Row],[TOTAL SELLABLE UNITS]]=0,0,INVESTORS_LIST[[#This Row],[TOTAL SELLABLE UNITS]]*INVESTORS_LIST[[#This Row],[NAV]])</f>
        <v>0</v>
      </c>
      <c r="AP247" s="6">
        <f>INVESTORS_LIST[[#This Row],[LS_TOTAL REALIZED GAIN]]+INVESTORS_LIST[[#This Row],[SIP_TOTAL REALIZED GAIN]]</f>
        <v>0</v>
      </c>
      <c r="AQ247" s="6">
        <f>INVESTORS_LIST[[#This Row],[TOTAL MARKET VALUE]]-INVESTORS_LIST[[#This Row],[TOTAL COST VALUE OF CURRENT INVESTMENT]]</f>
        <v>259622.94400000013</v>
      </c>
      <c r="AR247" s="6">
        <f>SUMIFS(DivAndTax[Tax Amount],DivAndTax[Investor ID],INVESTORS_LIST[[#This Row],[INVESTOR CODE]])</f>
        <v>11194.14</v>
      </c>
      <c r="AS247" s="6">
        <f>SUMIFS(DivAndTax[Gross Dividend],DivAndTax[Investor ID],INVESTORS_LIST[[#This Row],[INVESTOR CODE]])</f>
        <v>111941.4</v>
      </c>
      <c r="AT247" s="5">
        <f>IFERROR(INVESTORS_LIST[[#This Row],[TOTAL CURRENT UNITS]]/SUM(INVESTORS_LIST[TOTAL CURRENT UNITS]),0)</f>
        <v>5.0340638464108304E-3</v>
      </c>
    </row>
    <row r="248" spans="1:46">
      <c r="A248" t="s">
        <v>352</v>
      </c>
      <c r="B248" t="s">
        <v>353</v>
      </c>
      <c r="C248" t="s">
        <v>536</v>
      </c>
      <c r="D248" s="8" t="s">
        <v>2</v>
      </c>
      <c r="E248" s="2">
        <f>SUMIFS(LS[Unit],LS[Investor ID],INVESTORS_LIST[[#This Row],[INVESTOR CODE]],LS[B/S],"B")</f>
        <v>273703</v>
      </c>
      <c r="F248" s="2">
        <f>-SUMIFS(LS[Unit],LS[Investor ID],INVESTORS_LIST[[#This Row],[INVESTOR CODE]],LS[B/S],"S")</f>
        <v>0</v>
      </c>
      <c r="G248" s="2">
        <f>IF(INVESTORS_LIST[[#This Row],[LS_TOTAL UNITS BUY]]=0,0,INVESTORS_LIST[[#This Row],[LS_TOTAL UNITS BUY]]-INVESTORS_LIST[[#This Row],[LS_TOTAL UNITS SOLD]])</f>
        <v>273703</v>
      </c>
      <c r="H248" s="4">
        <f>IF(INVESTORS_LIST[[#This Row],[LS_TOTAL UNITS BUY]]=0,0,SUMIFS(LS[Amount],LS[Investor ID],INVESTORS_LIST[[#This Row],[INVESTOR CODE]],LS[B/S],"B"))</f>
        <v>2764640.35</v>
      </c>
      <c r="I248" s="6">
        <f>IF(INVESTORS_LIST[[#This Row],[LS_TOTAL UNITS SOLD]]=0,0,SUMIFS(LS[Cost of Units Sold],LS[Investor ID],INVESTORS_LIST[[#This Row],[INVESTOR CODE]],LS[B/S],"S"))</f>
        <v>0</v>
      </c>
      <c r="J248" s="6">
        <f>IF(INVESTORS_LIST[[#This Row],[LS_TOTAL CURRENT UNITS]]=0,0,INVESTORS_LIST[[#This Row],[LS_TOTAL CURRENT UNITS]]*INVESTORS_LIST[[#This Row],[LS_AVERAGE COST]])</f>
        <v>2764640.3500000006</v>
      </c>
      <c r="K248" s="4">
        <f>IF(INVESTORS_LIST[[#This Row],[LS_TOTAL UNITS SOLD]]=0,0,SUMIFS(LS[Realized Gain],LS[Investor ID],INVESTORS_LIST[[#This Row],[INVESTOR CODE]],LS[B/S],"S"))</f>
        <v>0</v>
      </c>
      <c r="L248" s="2">
        <f>SUMIFS(SIP[Unit],SIP[Investor ID],INVESTORS_LIST[[#This Row],[INVESTOR CODE]],SIP[B/S],"B")</f>
        <v>0</v>
      </c>
      <c r="M248" s="2">
        <f>-SUMIFS(SIP[Unit],SIP[Investor ID],INVESTORS_LIST[[#This Row],[INVESTOR CODE]],SIP[B/S],"S")</f>
        <v>0</v>
      </c>
      <c r="N248" s="33">
        <f>IF(INVESTORS_LIST[[#This Row],[SIP_TOTAL UNITS BUY]]=0,0,INVESTORS_LIST[[#This Row],[SIP_TOTAL UNITS BUY]]-INVESTORS_LIST[[#This Row],[SIP_TOTAL UNITS SOLD]])</f>
        <v>0</v>
      </c>
      <c r="O248" s="4">
        <f>IF(INVESTORS_LIST[[#This Row],[SIP_TOTAL UNITS BUY]]=0,0,SUMIFS(SIP[Amount],SIP[Investor ID],INVESTORS_LIST[[#This Row],[INVESTOR CODE]],SIP[B/S],"B"))</f>
        <v>0</v>
      </c>
      <c r="P248" s="4">
        <f>IF(INVESTORS_LIST[[#This Row],[SIP_TOTAL UNITS SOLD]]=0,0,SUMIFS(SIP[Cost of Units Sold],SIP[Investor ID],INVESTORS_LIST[[#This Row],[INVESTOR CODE]],SIP[B/S],"S"))</f>
        <v>0</v>
      </c>
      <c r="Q248" s="6">
        <f>IF(INVESTORS_LIST[[#This Row],[SIP_TOTAL CURRENT UNITS]]=0,0,INVESTORS_LIST[[#This Row],[SIP_TOTAL CURRENT UNITS]]*INVESTORS_LIST[[#This Row],[SIP_AVERAGE COST]])</f>
        <v>0</v>
      </c>
      <c r="R248" s="6">
        <f>IF(INVESTORS_LIST[[#This Row],[SIP_TOTAL UNITS SOLD]]=0,0,SUMIFS(SIP[Realized Gain],SIP[Investor ID],INVESTORS_LIST[[#This Row],[INVESTOR CODE]],SIP[B/S],"S"))</f>
        <v>0</v>
      </c>
      <c r="S248" s="33">
        <f>INVESTORS_LIST[[#This Row],[LS_TOTAL UNITS BUY]]+INVESTORS_LIST[[#This Row],[SIP_TOTAL UNITS BUY]]</f>
        <v>273703</v>
      </c>
      <c r="T248" s="33">
        <f>INVESTORS_LIST[[#This Row],[LS_TOTAL UNITS SOLD]]+INVESTORS_LIST[[#This Row],[SIP_TOTAL UNITS SOLD]]</f>
        <v>0</v>
      </c>
      <c r="U248" s="33">
        <v>250000</v>
      </c>
      <c r="V248" s="33">
        <f>SUMIFS(LS[BO UNIT TRANSFER],LS[Investor ID],INVESTORS_LIST[[#This Row],[INVESTOR CODE]],LS[B/S],"B")</f>
        <v>0</v>
      </c>
      <c r="W248" s="33">
        <f>SUMIFS(LS[BO UNIT TRANSFER],LS[Investor ID],INVESTORS_LIST[[#This Row],[INVESTOR CODE]],LS[B/S],"S")</f>
        <v>0</v>
      </c>
      <c r="X248" s="33">
        <f>SUMIFS(SIP[BO UNIT TRANSFER],SIP[Investor ID],INVESTORS_LIST[[#This Row],[INVESTOR CODE]],SIP[B/S],"S")</f>
        <v>0</v>
      </c>
      <c r="Y248" s="33">
        <f>SUMIFS(SIP[BO UNIT TRANSFER],SIP[Investor ID],INVESTORS_LIST[[#This Row],[INVESTOR CODE]],SIP[B/S],"B")</f>
        <v>0</v>
      </c>
      <c r="Z24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250000</v>
      </c>
      <c r="AA248" s="119">
        <f>INVESTORS_LIST[[#This Row],[TOTAL UNITS BUY]]-INVESTORS_LIST[[#This Row],[TOTAL UNITS SOLD]]</f>
        <v>273703</v>
      </c>
      <c r="AB248" s="119">
        <f>INVESTORS_LIST[[#This Row],[TOTAL CURRENT UNITS]]-INVESTORS_LIST[[#This Row],[BO UNITS HOLD]]</f>
        <v>23703</v>
      </c>
      <c r="AC248" s="119" t="e">
        <f>INDEX([4]!Table_1[BO ID],MATCH(INVESTORS_LIST[[#This Row],[INVESTOR CODE]],[4]!Table_1[INVESTOR CODE],0))</f>
        <v>#REF!</v>
      </c>
      <c r="AD248" s="33">
        <f>INVESTORS_LIST[[#This Row],[LS_TOTAL COST VALUE OF CURRENT UNITS]]+INVESTORS_LIST[[#This Row],[SIP_TOTAL COST VALUE OF CURRENT UNITS]]</f>
        <v>2764640.3500000006</v>
      </c>
      <c r="AE248" s="44">
        <f>IF(INVESTORS_LIST[[#This Row],[TOTAL CURRENT UNITS]]=0,0,INVESTORS_LIST[[#This Row],[LS_TOTAL CURRENT UNITS]]/INVESTORS_LIST[[#This Row],[TOTAL CURRENT UNITS]])</f>
        <v>1</v>
      </c>
      <c r="AF248" s="44">
        <f>IF(INVESTORS_LIST[[#This Row],[TOTAL CURRENT UNITS]]=0,0,INVESTORS_LIST[[#This Row],[SIP_TOTAL CURRENT UNITS]]/INVESTORS_LIST[[#This Row],[TOTAL CURRENT UNITS]])</f>
        <v>0</v>
      </c>
      <c r="AG248" s="4" cm="1">
        <f t="array" ref="AG248">IF(INVESTORS_LIST[[#This Row],[LS_TOTAL UNITS BUY]]&gt;0,INDEX(LS[NAV at Cost (Average)],MATCH(CONCATENATE(COUNTIFS(LS[Investor ID],INVESTORS_LIST[[#This Row],[INVESTOR CODE]]),INVESTORS_LIST[[#This Row],[INVESTOR CODE]]),LS[Unique Code],0),),0)</f>
        <v>10.100877045556683</v>
      </c>
      <c r="AH248" s="4" cm="1">
        <f t="array" ref="AH2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48" s="178">
        <f>IF(INVESTORS_LIST[[#This Row],[TOTAL CURRENT UNITS]]=0,0,(INVESTORS_LIST[[#This Row],[LS_WEIGHT]]*INVESTORS_LIST[[#This Row],[LS_AVERAGE COST]])+(INVESTORS_LIST[[#This Row],[SIP_WEIGHT]]*INVESTORS_LIST[[#This Row],[SIP_AVERAGE COST]]))</f>
        <v>10.100877045556683</v>
      </c>
      <c r="AJ248" s="178">
        <f t="shared" si="3"/>
        <v>12.552</v>
      </c>
      <c r="AK248" s="118">
        <f>IF(INVESTORS_LIST[[#This Row],[TOTAL CURRENT UNITS]]=0,0,INVESTORS_LIST[[#This Row],[TOTAL CURRENT UNITS]]*INVESTORS_LIST[[#This Row],[NAV]])</f>
        <v>3435520.0559999999</v>
      </c>
      <c r="AL248" s="4">
        <f>IF(INVESTORS_LIST[[#This Row],[LS_TOTAL CURRENT UNITS]]=0,0,INVESTORS_LIST[[#This Row],[LS_TOTAL CURRENT UNITS]]*INVESTORS_LIST[[#This Row],[NAV]])</f>
        <v>3435520.0559999999</v>
      </c>
      <c r="AM248" s="6">
        <f>IF(INVESTORS_LIST[[#This Row],[SIP_TOTAL CURRENT UNITS]]=0,0,INVESTORS_LIST[[#This Row],[SIP_TOTAL CURRENT UNITS]]*INVESTORS_LIST[[#This Row],[NAV]])</f>
        <v>0</v>
      </c>
      <c r="AO248" s="6">
        <f>IF(INVESTORS_LIST[[#This Row],[TOTAL SELLABLE UNITS]]=0,0,INVESTORS_LIST[[#This Row],[TOTAL SELLABLE UNITS]]*INVESTORS_LIST[[#This Row],[NAV]])</f>
        <v>0</v>
      </c>
      <c r="AP248" s="6">
        <f>INVESTORS_LIST[[#This Row],[LS_TOTAL REALIZED GAIN]]+INVESTORS_LIST[[#This Row],[SIP_TOTAL REALIZED GAIN]]</f>
        <v>0</v>
      </c>
      <c r="AQ248" s="6">
        <f>INVESTORS_LIST[[#This Row],[TOTAL MARKET VALUE]]-INVESTORS_LIST[[#This Row],[TOTAL COST VALUE OF CURRENT INVESTMENT]]</f>
        <v>670879.70599999931</v>
      </c>
      <c r="AR248" s="6">
        <f>SUMIFS(DivAndTax[Tax Amount],DivAndTax[Investor ID],INVESTORS_LIST[[#This Row],[INVESTOR CODE]])</f>
        <v>28367.59</v>
      </c>
      <c r="AS248" s="6">
        <f>SUMIFS(DivAndTax[Gross Dividend],DivAndTax[Investor ID],INVESTORS_LIST[[#This Row],[INVESTOR CODE]])</f>
        <v>283675.84999999998</v>
      </c>
      <c r="AT248" s="5">
        <f>IFERROR(INVESTORS_LIST[[#This Row],[TOTAL CURRENT UNITS]]/SUM(INVESTORS_LIST[TOTAL CURRENT UNITS]),0)</f>
        <v>1.3122645189426208E-2</v>
      </c>
    </row>
    <row r="249" spans="1:46" hidden="1">
      <c r="A249" t="s">
        <v>354</v>
      </c>
      <c r="B249" t="s">
        <v>355</v>
      </c>
      <c r="C249" t="s">
        <v>539</v>
      </c>
      <c r="D249" s="8" t="s">
        <v>2</v>
      </c>
      <c r="E249" s="2">
        <f>SUMIFS(LS[Unit],LS[Investor ID],INVESTORS_LIST[[#This Row],[INVESTOR CODE]],LS[B/S],"B")</f>
        <v>0</v>
      </c>
      <c r="F249" s="2">
        <f>-SUMIFS(LS[Unit],LS[Investor ID],INVESTORS_LIST[[#This Row],[INVESTOR CODE]],LS[B/S],"S")</f>
        <v>0</v>
      </c>
      <c r="G249" s="2">
        <f>IF(INVESTORS_LIST[[#This Row],[LS_TOTAL UNITS BUY]]=0,0,INVESTORS_LIST[[#This Row],[LS_TOTAL UNITS BUY]]-INVESTORS_LIST[[#This Row],[LS_TOTAL UNITS SOLD]])</f>
        <v>0</v>
      </c>
      <c r="H249" s="4">
        <f>IF(INVESTORS_LIST[[#This Row],[LS_TOTAL UNITS BUY]]=0,0,SUMIFS(LS[Amount],LS[Investor ID],INVESTORS_LIST[[#This Row],[INVESTOR CODE]],LS[B/S],"B"))</f>
        <v>0</v>
      </c>
      <c r="I249" s="6">
        <f>IF(INVESTORS_LIST[[#This Row],[LS_TOTAL UNITS SOLD]]=0,0,SUMIFS(LS[Cost of Units Sold],LS[Investor ID],INVESTORS_LIST[[#This Row],[INVESTOR CODE]],LS[B/S],"S"))</f>
        <v>0</v>
      </c>
      <c r="J249" s="6">
        <f>IF(INVESTORS_LIST[[#This Row],[LS_TOTAL CURRENT UNITS]]=0,0,INVESTORS_LIST[[#This Row],[LS_TOTAL CURRENT UNITS]]*INVESTORS_LIST[[#This Row],[LS_AVERAGE COST]])</f>
        <v>0</v>
      </c>
      <c r="K249" s="4">
        <f>IF(INVESTORS_LIST[[#This Row],[LS_TOTAL UNITS SOLD]]=0,0,SUMIFS(LS[Realized Gain],LS[Investor ID],INVESTORS_LIST[[#This Row],[INVESTOR CODE]],LS[B/S],"S"))</f>
        <v>0</v>
      </c>
      <c r="L249" s="2">
        <f>SUMIFS(SIP[Unit],SIP[Investor ID],INVESTORS_LIST[[#This Row],[INVESTOR CODE]],SIP[B/S],"B")</f>
        <v>0</v>
      </c>
      <c r="M249" s="2">
        <f>-SUMIFS(SIP[Unit],SIP[Investor ID],INVESTORS_LIST[[#This Row],[INVESTOR CODE]],SIP[B/S],"S")</f>
        <v>0</v>
      </c>
      <c r="N249" s="33">
        <f>IF(INVESTORS_LIST[[#This Row],[SIP_TOTAL UNITS BUY]]=0,0,INVESTORS_LIST[[#This Row],[SIP_TOTAL UNITS BUY]]-INVESTORS_LIST[[#This Row],[SIP_TOTAL UNITS SOLD]])</f>
        <v>0</v>
      </c>
      <c r="O249" s="4">
        <f>IF(INVESTORS_LIST[[#This Row],[SIP_TOTAL UNITS BUY]]=0,0,SUMIFS(SIP[Amount],SIP[Investor ID],INVESTORS_LIST[[#This Row],[INVESTOR CODE]],SIP[B/S],"B"))</f>
        <v>0</v>
      </c>
      <c r="P249" s="4">
        <f>IF(INVESTORS_LIST[[#This Row],[SIP_TOTAL UNITS SOLD]]=0,0,SUMIFS(SIP[Cost of Units Sold],SIP[Investor ID],INVESTORS_LIST[[#This Row],[INVESTOR CODE]],SIP[B/S],"S"))</f>
        <v>0</v>
      </c>
      <c r="Q249" s="6">
        <f>IF(INVESTORS_LIST[[#This Row],[SIP_TOTAL CURRENT UNITS]]=0,0,INVESTORS_LIST[[#This Row],[SIP_TOTAL CURRENT UNITS]]*INVESTORS_LIST[[#This Row],[SIP_AVERAGE COST]])</f>
        <v>0</v>
      </c>
      <c r="R249" s="6">
        <f>IF(INVESTORS_LIST[[#This Row],[SIP_TOTAL UNITS SOLD]]=0,0,SUMIFS(SIP[Realized Gain],SIP[Investor ID],INVESTORS_LIST[[#This Row],[INVESTOR CODE]],SIP[B/S],"S"))</f>
        <v>0</v>
      </c>
      <c r="S249" s="33">
        <f>INVESTORS_LIST[[#This Row],[LS_TOTAL UNITS BUY]]+INVESTORS_LIST[[#This Row],[SIP_TOTAL UNITS BUY]]</f>
        <v>0</v>
      </c>
      <c r="T249" s="33">
        <f>INVESTORS_LIST[[#This Row],[LS_TOTAL UNITS SOLD]]+INVESTORS_LIST[[#This Row],[SIP_TOTAL UNITS SOLD]]</f>
        <v>0</v>
      </c>
      <c r="U249" s="33">
        <v>0</v>
      </c>
      <c r="V249" s="33">
        <f>SUMIFS(LS[BO UNIT TRANSFER],LS[Investor ID],INVESTORS_LIST[[#This Row],[INVESTOR CODE]],LS[B/S],"B")</f>
        <v>0</v>
      </c>
      <c r="W249" s="33">
        <f>SUMIFS(LS[BO UNIT TRANSFER],LS[Investor ID],INVESTORS_LIST[[#This Row],[INVESTOR CODE]],LS[B/S],"S")</f>
        <v>0</v>
      </c>
      <c r="X249" s="33">
        <f>SUMIFS(SIP[BO UNIT TRANSFER],SIP[Investor ID],INVESTORS_LIST[[#This Row],[INVESTOR CODE]],SIP[B/S],"S")</f>
        <v>0</v>
      </c>
      <c r="Y249" s="33">
        <f>SUMIFS(SIP[BO UNIT TRANSFER],SIP[Investor ID],INVESTORS_LIST[[#This Row],[INVESTOR CODE]],SIP[B/S],"B")</f>
        <v>0</v>
      </c>
      <c r="Z24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49" s="119">
        <f>INVESTORS_LIST[[#This Row],[TOTAL UNITS BUY]]-INVESTORS_LIST[[#This Row],[TOTAL UNITS SOLD]]</f>
        <v>0</v>
      </c>
      <c r="AB249" s="119">
        <f>INVESTORS_LIST[[#This Row],[TOTAL CURRENT UNITS]]-INVESTORS_LIST[[#This Row],[BO UNITS HOLD]]</f>
        <v>0</v>
      </c>
      <c r="AC249" s="119" t="e">
        <f>INDEX([4]!Table_1[BO ID],MATCH(INVESTORS_LIST[[#This Row],[INVESTOR CODE]],[4]!Table_1[INVESTOR CODE],0))</f>
        <v>#REF!</v>
      </c>
      <c r="AD249" s="33">
        <f>INVESTORS_LIST[[#This Row],[LS_TOTAL COST VALUE OF CURRENT UNITS]]+INVESTORS_LIST[[#This Row],[SIP_TOTAL COST VALUE OF CURRENT UNITS]]</f>
        <v>0</v>
      </c>
      <c r="AE249" s="44">
        <f>IF(INVESTORS_LIST[[#This Row],[TOTAL CURRENT UNITS]]=0,0,INVESTORS_LIST[[#This Row],[LS_TOTAL CURRENT UNITS]]/INVESTORS_LIST[[#This Row],[TOTAL CURRENT UNITS]])</f>
        <v>0</v>
      </c>
      <c r="AF249" s="44">
        <f>IF(INVESTORS_LIST[[#This Row],[TOTAL CURRENT UNITS]]=0,0,INVESTORS_LIST[[#This Row],[SIP_TOTAL CURRENT UNITS]]/INVESTORS_LIST[[#This Row],[TOTAL CURRENT UNITS]])</f>
        <v>0</v>
      </c>
      <c r="AG249" s="4" cm="1">
        <f t="array" ref="AG24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49" s="4" cm="1">
        <f t="array" ref="AH2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4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49" s="178">
        <f t="shared" si="3"/>
        <v>12.552</v>
      </c>
      <c r="AK249" s="118">
        <f>IF(INVESTORS_LIST[[#This Row],[TOTAL CURRENT UNITS]]=0,0,INVESTORS_LIST[[#This Row],[TOTAL CURRENT UNITS]]*INVESTORS_LIST[[#This Row],[NAV]])</f>
        <v>0</v>
      </c>
      <c r="AL249" s="4">
        <f>IF(INVESTORS_LIST[[#This Row],[LS_TOTAL CURRENT UNITS]]=0,0,INVESTORS_LIST[[#This Row],[LS_TOTAL CURRENT UNITS]]*INVESTORS_LIST[[#This Row],[NAV]])</f>
        <v>0</v>
      </c>
      <c r="AM249" s="6">
        <f>IF(INVESTORS_LIST[[#This Row],[SIP_TOTAL CURRENT UNITS]]=0,0,INVESTORS_LIST[[#This Row],[SIP_TOTAL CURRENT UNITS]]*INVESTORS_LIST[[#This Row],[NAV]])</f>
        <v>0</v>
      </c>
      <c r="AO249" s="6">
        <f>IF(INVESTORS_LIST[[#This Row],[TOTAL SELLABLE UNITS]]=0,0,INVESTORS_LIST[[#This Row],[TOTAL SELLABLE UNITS]]*INVESTORS_LIST[[#This Row],[NAV]])</f>
        <v>0</v>
      </c>
      <c r="AP249" s="6">
        <f>INVESTORS_LIST[[#This Row],[LS_TOTAL REALIZED GAIN]]+INVESTORS_LIST[[#This Row],[SIP_TOTAL REALIZED GAIN]]</f>
        <v>0</v>
      </c>
      <c r="AQ249" s="6">
        <f>INVESTORS_LIST[[#This Row],[TOTAL MARKET VALUE]]-INVESTORS_LIST[[#This Row],[TOTAL COST VALUE OF CURRENT INVESTMENT]]</f>
        <v>0</v>
      </c>
      <c r="AR249" s="6">
        <f>SUMIFS(DivAndTax[Tax Amount],DivAndTax[Investor ID],INVESTORS_LIST[[#This Row],[INVESTOR CODE]])</f>
        <v>0</v>
      </c>
      <c r="AS249" s="6">
        <f>SUMIFS(DivAndTax[Gross Dividend],DivAndTax[Investor ID],INVESTORS_LIST[[#This Row],[INVESTOR CODE]])</f>
        <v>0</v>
      </c>
      <c r="AT249" s="5">
        <f>IFERROR(INVESTORS_LIST[[#This Row],[TOTAL CURRENT UNITS]]/SUM(INVESTORS_LIST[TOTAL CURRENT UNITS]),0)</f>
        <v>0</v>
      </c>
    </row>
    <row r="250" spans="1:46">
      <c r="A250" t="s">
        <v>356</v>
      </c>
      <c r="B250" t="s">
        <v>357</v>
      </c>
      <c r="C250" t="s">
        <v>536</v>
      </c>
      <c r="D250" s="8" t="s">
        <v>2</v>
      </c>
      <c r="E250" s="2">
        <f>SUMIFS(LS[Unit],LS[Investor ID],INVESTORS_LIST[[#This Row],[INVESTOR CODE]],LS[B/S],"B")</f>
        <v>10000</v>
      </c>
      <c r="F250" s="2">
        <f>-SUMIFS(LS[Unit],LS[Investor ID],INVESTORS_LIST[[#This Row],[INVESTOR CODE]],LS[B/S],"S")</f>
        <v>13</v>
      </c>
      <c r="G250" s="2">
        <f>IF(INVESTORS_LIST[[#This Row],[LS_TOTAL UNITS BUY]]=0,0,INVESTORS_LIST[[#This Row],[LS_TOTAL UNITS BUY]]-INVESTORS_LIST[[#This Row],[LS_TOTAL UNITS SOLD]])</f>
        <v>9987</v>
      </c>
      <c r="H250" s="4">
        <f>IF(INVESTORS_LIST[[#This Row],[LS_TOTAL UNITS BUY]]=0,0,SUMIFS(LS[Amount],LS[Investor ID],INVESTORS_LIST[[#This Row],[INVESTOR CODE]],LS[B/S],"B"))</f>
        <v>100000</v>
      </c>
      <c r="I250" s="6">
        <f>IF(INVESTORS_LIST[[#This Row],[LS_TOTAL UNITS SOLD]]=0,0,SUMIFS(LS[Cost of Units Sold],LS[Investor ID],INVESTORS_LIST[[#This Row],[INVESTOR CODE]],LS[B/S],"S"))</f>
        <v>130</v>
      </c>
      <c r="J250" s="6">
        <f>IF(INVESTORS_LIST[[#This Row],[LS_TOTAL CURRENT UNITS]]=0,0,INVESTORS_LIST[[#This Row],[LS_TOTAL CURRENT UNITS]]*INVESTORS_LIST[[#This Row],[LS_AVERAGE COST]])</f>
        <v>99870</v>
      </c>
      <c r="K250" s="4">
        <f>IF(INVESTORS_LIST[[#This Row],[LS_TOTAL UNITS SOLD]]=0,0,SUMIFS(LS[Realized Gain],LS[Investor ID],INVESTORS_LIST[[#This Row],[INVESTOR CODE]],LS[B/S],"S"))</f>
        <v>-5.0000000000000053</v>
      </c>
      <c r="L250" s="2">
        <f>SUMIFS(SIP[Unit],SIP[Investor ID],INVESTORS_LIST[[#This Row],[INVESTOR CODE]],SIP[B/S],"B")</f>
        <v>0</v>
      </c>
      <c r="M250" s="2">
        <f>-SUMIFS(SIP[Unit],SIP[Investor ID],INVESTORS_LIST[[#This Row],[INVESTOR CODE]],SIP[B/S],"S")</f>
        <v>0</v>
      </c>
      <c r="N250" s="33">
        <f>IF(INVESTORS_LIST[[#This Row],[SIP_TOTAL UNITS BUY]]=0,0,INVESTORS_LIST[[#This Row],[SIP_TOTAL UNITS BUY]]-INVESTORS_LIST[[#This Row],[SIP_TOTAL UNITS SOLD]])</f>
        <v>0</v>
      </c>
      <c r="O250" s="4">
        <f>IF(INVESTORS_LIST[[#This Row],[SIP_TOTAL UNITS BUY]]=0,0,SUMIFS(SIP[Amount],SIP[Investor ID],INVESTORS_LIST[[#This Row],[INVESTOR CODE]],SIP[B/S],"B"))</f>
        <v>0</v>
      </c>
      <c r="P250" s="4">
        <f>IF(INVESTORS_LIST[[#This Row],[SIP_TOTAL UNITS SOLD]]=0,0,SUMIFS(SIP[Cost of Units Sold],SIP[Investor ID],INVESTORS_LIST[[#This Row],[INVESTOR CODE]],SIP[B/S],"S"))</f>
        <v>0</v>
      </c>
      <c r="Q250" s="6">
        <f>IF(INVESTORS_LIST[[#This Row],[SIP_TOTAL CURRENT UNITS]]=0,0,INVESTORS_LIST[[#This Row],[SIP_TOTAL CURRENT UNITS]]*INVESTORS_LIST[[#This Row],[SIP_AVERAGE COST]])</f>
        <v>0</v>
      </c>
      <c r="R250" s="6">
        <f>IF(INVESTORS_LIST[[#This Row],[SIP_TOTAL UNITS SOLD]]=0,0,SUMIFS(SIP[Realized Gain],SIP[Investor ID],INVESTORS_LIST[[#This Row],[INVESTOR CODE]],SIP[B/S],"S"))</f>
        <v>0</v>
      </c>
      <c r="S250" s="33">
        <f>INVESTORS_LIST[[#This Row],[LS_TOTAL UNITS BUY]]+INVESTORS_LIST[[#This Row],[SIP_TOTAL UNITS BUY]]</f>
        <v>10000</v>
      </c>
      <c r="T250" s="33">
        <f>INVESTORS_LIST[[#This Row],[LS_TOTAL UNITS SOLD]]+INVESTORS_LIST[[#This Row],[SIP_TOTAL UNITS SOLD]]</f>
        <v>13</v>
      </c>
      <c r="U250" s="33">
        <v>0</v>
      </c>
      <c r="V250" s="33">
        <f>SUMIFS(LS[BO UNIT TRANSFER],LS[Investor ID],INVESTORS_LIST[[#This Row],[INVESTOR CODE]],LS[B/S],"B")</f>
        <v>0</v>
      </c>
      <c r="W250" s="33">
        <f>SUMIFS(LS[BO UNIT TRANSFER],LS[Investor ID],INVESTORS_LIST[[#This Row],[INVESTOR CODE]],LS[B/S],"S")</f>
        <v>0</v>
      </c>
      <c r="X250" s="33">
        <f>SUMIFS(SIP[BO UNIT TRANSFER],SIP[Investor ID],INVESTORS_LIST[[#This Row],[INVESTOR CODE]],SIP[B/S],"S")</f>
        <v>0</v>
      </c>
      <c r="Y250" s="33">
        <f>SUMIFS(SIP[BO UNIT TRANSFER],SIP[Investor ID],INVESTORS_LIST[[#This Row],[INVESTOR CODE]],SIP[B/S],"B")</f>
        <v>0</v>
      </c>
      <c r="Z25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50" s="119">
        <f>INVESTORS_LIST[[#This Row],[TOTAL UNITS BUY]]-INVESTORS_LIST[[#This Row],[TOTAL UNITS SOLD]]</f>
        <v>9987</v>
      </c>
      <c r="AB250" s="119">
        <f>INVESTORS_LIST[[#This Row],[TOTAL CURRENT UNITS]]-INVESTORS_LIST[[#This Row],[BO UNITS HOLD]]</f>
        <v>9987</v>
      </c>
      <c r="AC250" s="119" t="e">
        <f>INDEX([4]!Table_1[BO ID],MATCH(INVESTORS_LIST[[#This Row],[INVESTOR CODE]],[4]!Table_1[INVESTOR CODE],0))</f>
        <v>#REF!</v>
      </c>
      <c r="AD250" s="33">
        <f>INVESTORS_LIST[[#This Row],[LS_TOTAL COST VALUE OF CURRENT UNITS]]+INVESTORS_LIST[[#This Row],[SIP_TOTAL COST VALUE OF CURRENT UNITS]]</f>
        <v>99870</v>
      </c>
      <c r="AE250" s="44">
        <f>IF(INVESTORS_LIST[[#This Row],[TOTAL CURRENT UNITS]]=0,0,INVESTORS_LIST[[#This Row],[LS_TOTAL CURRENT UNITS]]/INVESTORS_LIST[[#This Row],[TOTAL CURRENT UNITS]])</f>
        <v>1</v>
      </c>
      <c r="AF250" s="44">
        <f>IF(INVESTORS_LIST[[#This Row],[TOTAL CURRENT UNITS]]=0,0,INVESTORS_LIST[[#This Row],[SIP_TOTAL CURRENT UNITS]]/INVESTORS_LIST[[#This Row],[TOTAL CURRENT UNITS]])</f>
        <v>0</v>
      </c>
      <c r="AG250" s="4" cm="1">
        <f t="array" ref="AG250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250" s="4" cm="1">
        <f t="array" ref="AH2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50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250" s="178">
        <f t="shared" si="3"/>
        <v>12.552</v>
      </c>
      <c r="AK250" s="118">
        <f>IF(INVESTORS_LIST[[#This Row],[TOTAL CURRENT UNITS]]=0,0,INVESTORS_LIST[[#This Row],[TOTAL CURRENT UNITS]]*INVESTORS_LIST[[#This Row],[NAV]])</f>
        <v>125356.82399999999</v>
      </c>
      <c r="AL250" s="4">
        <f>IF(INVESTORS_LIST[[#This Row],[LS_TOTAL CURRENT UNITS]]=0,0,INVESTORS_LIST[[#This Row],[LS_TOTAL CURRENT UNITS]]*INVESTORS_LIST[[#This Row],[NAV]])</f>
        <v>125356.82399999999</v>
      </c>
      <c r="AM250" s="6">
        <f>IF(INVESTORS_LIST[[#This Row],[SIP_TOTAL CURRENT UNITS]]=0,0,INVESTORS_LIST[[#This Row],[SIP_TOTAL CURRENT UNITS]]*INVESTORS_LIST[[#This Row],[NAV]])</f>
        <v>0</v>
      </c>
      <c r="AO250" s="6">
        <f>IF(INVESTORS_LIST[[#This Row],[TOTAL SELLABLE UNITS]]=0,0,INVESTORS_LIST[[#This Row],[TOTAL SELLABLE UNITS]]*INVESTORS_LIST[[#This Row],[NAV]])</f>
        <v>0</v>
      </c>
      <c r="AP250" s="6">
        <f>INVESTORS_LIST[[#This Row],[LS_TOTAL REALIZED GAIN]]+INVESTORS_LIST[[#This Row],[SIP_TOTAL REALIZED GAIN]]</f>
        <v>-5.0000000000000053</v>
      </c>
      <c r="AQ250" s="6">
        <f>INVESTORS_LIST[[#This Row],[TOTAL MARKET VALUE]]-INVESTORS_LIST[[#This Row],[TOTAL COST VALUE OF CURRENT INVESTMENT]]</f>
        <v>25486.823999999993</v>
      </c>
      <c r="AR250" s="6">
        <f>SUMIFS(DivAndTax[Tax Amount],DivAndTax[Investor ID],INVESTORS_LIST[[#This Row],[INVESTOR CODE]])</f>
        <v>1648.35</v>
      </c>
      <c r="AS250" s="6">
        <f>SUMIFS(DivAndTax[Gross Dividend],DivAndTax[Investor ID],INVESTORS_LIST[[#This Row],[INVESTOR CODE]])</f>
        <v>10988.95</v>
      </c>
      <c r="AT250" s="5">
        <f>IFERROR(INVESTORS_LIST[[#This Row],[TOTAL CURRENT UNITS]]/SUM(INVESTORS_LIST[TOTAL CURRENT UNITS]),0)</f>
        <v>4.7882506770769606E-4</v>
      </c>
    </row>
    <row r="251" spans="1:46" hidden="1">
      <c r="A251" t="s">
        <v>377</v>
      </c>
      <c r="B251" t="s">
        <v>358</v>
      </c>
      <c r="C251" t="s">
        <v>537</v>
      </c>
      <c r="D251" s="8" t="s">
        <v>2</v>
      </c>
      <c r="E251" s="2">
        <f>SUMIFS(LS[Unit],LS[Investor ID],INVESTORS_LIST[[#This Row],[INVESTOR CODE]],LS[B/S],"B")</f>
        <v>17412</v>
      </c>
      <c r="F251" s="2">
        <f>-SUMIFS(LS[Unit],LS[Investor ID],INVESTORS_LIST[[#This Row],[INVESTOR CODE]],LS[B/S],"S")</f>
        <v>17412</v>
      </c>
      <c r="G251" s="2">
        <f>IF(INVESTORS_LIST[[#This Row],[LS_TOTAL UNITS BUY]]=0,0,INVESTORS_LIST[[#This Row],[LS_TOTAL UNITS BUY]]-INVESTORS_LIST[[#This Row],[LS_TOTAL UNITS SOLD]])</f>
        <v>0</v>
      </c>
      <c r="H251" s="4">
        <f>IF(INVESTORS_LIST[[#This Row],[LS_TOTAL UNITS BUY]]=0,0,SUMIFS(LS[Amount],LS[Investor ID],INVESTORS_LIST[[#This Row],[INVESTOR CODE]],LS[B/S],"B"))</f>
        <v>174250</v>
      </c>
      <c r="I251" s="6">
        <f>IF(INVESTORS_LIST[[#This Row],[LS_TOTAL UNITS SOLD]]=0,0,SUMIFS(LS[Cost of Units Sold],LS[Investor ID],INVESTORS_LIST[[#This Row],[INVESTOR CODE]],LS[B/S],"S"))</f>
        <v>174250.00000000003</v>
      </c>
      <c r="J251" s="6">
        <f>IF(INVESTORS_LIST[[#This Row],[LS_TOTAL CURRENT UNITS]]=0,0,INVESTORS_LIST[[#This Row],[LS_TOTAL CURRENT UNITS]]*INVESTORS_LIST[[#This Row],[LS_AVERAGE COST]])</f>
        <v>0</v>
      </c>
      <c r="K251" s="4">
        <f>IF(INVESTORS_LIST[[#This Row],[LS_TOTAL UNITS SOLD]]=0,0,SUMIFS(LS[Realized Gain],LS[Investor ID],INVESTORS_LIST[[#This Row],[INVESTOR CODE]],LS[B/S],"S"))</f>
        <v>1546.9999999999807</v>
      </c>
      <c r="L251" s="2">
        <f>SUMIFS(SIP[Unit],SIP[Investor ID],INVESTORS_LIST[[#This Row],[INVESTOR CODE]],SIP[B/S],"B")</f>
        <v>0</v>
      </c>
      <c r="M251" s="2">
        <f>-SUMIFS(SIP[Unit],SIP[Investor ID],INVESTORS_LIST[[#This Row],[INVESTOR CODE]],SIP[B/S],"S")</f>
        <v>0</v>
      </c>
      <c r="N251" s="33">
        <f>IF(INVESTORS_LIST[[#This Row],[SIP_TOTAL UNITS BUY]]=0,0,INVESTORS_LIST[[#This Row],[SIP_TOTAL UNITS BUY]]-INVESTORS_LIST[[#This Row],[SIP_TOTAL UNITS SOLD]])</f>
        <v>0</v>
      </c>
      <c r="O251" s="4">
        <f>IF(INVESTORS_LIST[[#This Row],[SIP_TOTAL UNITS BUY]]=0,0,SUMIFS(SIP[Amount],SIP[Investor ID],INVESTORS_LIST[[#This Row],[INVESTOR CODE]],SIP[B/S],"B"))</f>
        <v>0</v>
      </c>
      <c r="P251" s="4">
        <f>IF(INVESTORS_LIST[[#This Row],[SIP_TOTAL UNITS SOLD]]=0,0,SUMIFS(SIP[Cost of Units Sold],SIP[Investor ID],INVESTORS_LIST[[#This Row],[INVESTOR CODE]],SIP[B/S],"S"))</f>
        <v>0</v>
      </c>
      <c r="Q251" s="6">
        <f>IF(INVESTORS_LIST[[#This Row],[SIP_TOTAL CURRENT UNITS]]=0,0,INVESTORS_LIST[[#This Row],[SIP_TOTAL CURRENT UNITS]]*INVESTORS_LIST[[#This Row],[SIP_AVERAGE COST]])</f>
        <v>0</v>
      </c>
      <c r="R251" s="6">
        <f>IF(INVESTORS_LIST[[#This Row],[SIP_TOTAL UNITS SOLD]]=0,0,SUMIFS(SIP[Realized Gain],SIP[Investor ID],INVESTORS_LIST[[#This Row],[INVESTOR CODE]],SIP[B/S],"S"))</f>
        <v>0</v>
      </c>
      <c r="S251" s="33">
        <f>INVESTORS_LIST[[#This Row],[LS_TOTAL UNITS BUY]]+INVESTORS_LIST[[#This Row],[SIP_TOTAL UNITS BUY]]</f>
        <v>17412</v>
      </c>
      <c r="T251" s="33">
        <f>INVESTORS_LIST[[#This Row],[LS_TOTAL UNITS SOLD]]+INVESTORS_LIST[[#This Row],[SIP_TOTAL UNITS SOLD]]</f>
        <v>17412</v>
      </c>
      <c r="U251" s="33">
        <v>0</v>
      </c>
      <c r="V251" s="33">
        <f>SUMIFS(LS[BO UNIT TRANSFER],LS[Investor ID],INVESTORS_LIST[[#This Row],[INVESTOR CODE]],LS[B/S],"B")</f>
        <v>0</v>
      </c>
      <c r="W251" s="33">
        <f>SUMIFS(LS[BO UNIT TRANSFER],LS[Investor ID],INVESTORS_LIST[[#This Row],[INVESTOR CODE]],LS[B/S],"S")</f>
        <v>0</v>
      </c>
      <c r="X251" s="33">
        <f>SUMIFS(SIP[BO UNIT TRANSFER],SIP[Investor ID],INVESTORS_LIST[[#This Row],[INVESTOR CODE]],SIP[B/S],"S")</f>
        <v>0</v>
      </c>
      <c r="Y251" s="33">
        <f>SUMIFS(SIP[BO UNIT TRANSFER],SIP[Investor ID],INVESTORS_LIST[[#This Row],[INVESTOR CODE]],SIP[B/S],"B")</f>
        <v>0</v>
      </c>
      <c r="Z25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51" s="119">
        <f>INVESTORS_LIST[[#This Row],[TOTAL UNITS BUY]]-INVESTORS_LIST[[#This Row],[TOTAL UNITS SOLD]]</f>
        <v>0</v>
      </c>
      <c r="AB251" s="119">
        <f>INVESTORS_LIST[[#This Row],[TOTAL CURRENT UNITS]]-INVESTORS_LIST[[#This Row],[BO UNITS HOLD]]</f>
        <v>0</v>
      </c>
      <c r="AC251" s="119" t="e">
        <f>INDEX([4]!Table_1[BO ID],MATCH(INVESTORS_LIST[[#This Row],[INVESTOR CODE]],[4]!Table_1[INVESTOR CODE],0))</f>
        <v>#REF!</v>
      </c>
      <c r="AD251" s="33">
        <f>INVESTORS_LIST[[#This Row],[LS_TOTAL COST VALUE OF CURRENT UNITS]]+INVESTORS_LIST[[#This Row],[SIP_TOTAL COST VALUE OF CURRENT UNITS]]</f>
        <v>0</v>
      </c>
      <c r="AE251" s="44">
        <f>IF(INVESTORS_LIST[[#This Row],[TOTAL CURRENT UNITS]]=0,0,INVESTORS_LIST[[#This Row],[LS_TOTAL CURRENT UNITS]]/INVESTORS_LIST[[#This Row],[TOTAL CURRENT UNITS]])</f>
        <v>0</v>
      </c>
      <c r="AF251" s="44">
        <f>IF(INVESTORS_LIST[[#This Row],[TOTAL CURRENT UNITS]]=0,0,INVESTORS_LIST[[#This Row],[SIP_TOTAL CURRENT UNITS]]/INVESTORS_LIST[[#This Row],[TOTAL CURRENT UNITS]])</f>
        <v>0</v>
      </c>
      <c r="AG251" s="4" cm="1">
        <f t="array" ref="AG25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51" s="4" cm="1">
        <f t="array" ref="AH2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5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51" s="178">
        <f t="shared" si="3"/>
        <v>12.552</v>
      </c>
      <c r="AK251" s="118">
        <f>IF(INVESTORS_LIST[[#This Row],[TOTAL CURRENT UNITS]]=0,0,INVESTORS_LIST[[#This Row],[TOTAL CURRENT UNITS]]*INVESTORS_LIST[[#This Row],[NAV]])</f>
        <v>0</v>
      </c>
      <c r="AL251" s="4">
        <f>IF(INVESTORS_LIST[[#This Row],[LS_TOTAL CURRENT UNITS]]=0,0,INVESTORS_LIST[[#This Row],[LS_TOTAL CURRENT UNITS]]*INVESTORS_LIST[[#This Row],[NAV]])</f>
        <v>0</v>
      </c>
      <c r="AM251" s="6">
        <f>IF(INVESTORS_LIST[[#This Row],[SIP_TOTAL CURRENT UNITS]]=0,0,INVESTORS_LIST[[#This Row],[SIP_TOTAL CURRENT UNITS]]*INVESTORS_LIST[[#This Row],[NAV]])</f>
        <v>0</v>
      </c>
      <c r="AO251" s="6">
        <f>IF(INVESTORS_LIST[[#This Row],[TOTAL SELLABLE UNITS]]=0,0,INVESTORS_LIST[[#This Row],[TOTAL SELLABLE UNITS]]*INVESTORS_LIST[[#This Row],[NAV]])</f>
        <v>0</v>
      </c>
      <c r="AP251" s="6">
        <f>INVESTORS_LIST[[#This Row],[LS_TOTAL REALIZED GAIN]]+INVESTORS_LIST[[#This Row],[SIP_TOTAL REALIZED GAIN]]</f>
        <v>1546.9999999999807</v>
      </c>
      <c r="AQ251" s="6">
        <f>INVESTORS_LIST[[#This Row],[TOTAL MARKET VALUE]]-INVESTORS_LIST[[#This Row],[TOTAL COST VALUE OF CURRENT INVESTMENT]]</f>
        <v>0</v>
      </c>
      <c r="AR251" s="6">
        <f>SUMIFS(DivAndTax[Tax Amount],DivAndTax[Investor ID],INVESTORS_LIST[[#This Row],[INVESTOR CODE]])</f>
        <v>0</v>
      </c>
      <c r="AS251" s="6">
        <f>SUMIFS(DivAndTax[Gross Dividend],DivAndTax[Investor ID],INVESTORS_LIST[[#This Row],[INVESTOR CODE]])</f>
        <v>4250</v>
      </c>
      <c r="AT251" s="5">
        <f>IFERROR(INVESTORS_LIST[[#This Row],[TOTAL CURRENT UNITS]]/SUM(INVESTORS_LIST[TOTAL CURRENT UNITS]),0)</f>
        <v>0</v>
      </c>
    </row>
    <row r="252" spans="1:46" hidden="1">
      <c r="A252" t="s">
        <v>359</v>
      </c>
      <c r="B252" t="s">
        <v>360</v>
      </c>
      <c r="C252" t="s">
        <v>536</v>
      </c>
      <c r="D252" s="8" t="s">
        <v>2</v>
      </c>
      <c r="E252" s="2">
        <f>SUMIFS(LS[Unit],LS[Investor ID],INVESTORS_LIST[[#This Row],[INVESTOR CODE]],LS[B/S],"B")</f>
        <v>4582</v>
      </c>
      <c r="F252" s="2">
        <f>-SUMIFS(LS[Unit],LS[Investor ID],INVESTORS_LIST[[#This Row],[INVESTOR CODE]],LS[B/S],"S")</f>
        <v>4582</v>
      </c>
      <c r="G252" s="2">
        <f>IF(INVESTORS_LIST[[#This Row],[LS_TOTAL UNITS BUY]]=0,0,INVESTORS_LIST[[#This Row],[LS_TOTAL UNITS BUY]]-INVESTORS_LIST[[#This Row],[LS_TOTAL UNITS SOLD]])</f>
        <v>0</v>
      </c>
      <c r="H252" s="4">
        <f>IF(INVESTORS_LIST[[#This Row],[LS_TOTAL UNITS BUY]]=0,0,SUMIFS(LS[Amount],LS[Investor ID],INVESTORS_LIST[[#This Row],[INVESTOR CODE]],LS[B/S],"B"))</f>
        <v>45000</v>
      </c>
      <c r="I252" s="6">
        <f>IF(INVESTORS_LIST[[#This Row],[LS_TOTAL UNITS SOLD]]=0,0,SUMIFS(LS[Cost of Units Sold],LS[Investor ID],INVESTORS_LIST[[#This Row],[INVESTOR CODE]],LS[B/S],"S"))</f>
        <v>45000</v>
      </c>
      <c r="J252" s="6">
        <f>IF(INVESTORS_LIST[[#This Row],[LS_TOTAL CURRENT UNITS]]=0,0,INVESTORS_LIST[[#This Row],[LS_TOTAL CURRENT UNITS]]*INVESTORS_LIST[[#This Row],[LS_AVERAGE COST]])</f>
        <v>0</v>
      </c>
      <c r="K252" s="4">
        <f>IF(INVESTORS_LIST[[#This Row],[LS_TOTAL UNITS SOLD]]=0,0,SUMIFS(LS[Realized Gain],LS[Investor ID],INVESTORS_LIST[[#This Row],[INVESTOR CODE]],LS[B/S],"S"))</f>
        <v>-142.22000000000486</v>
      </c>
      <c r="L252" s="2">
        <f>SUMIFS(SIP[Unit],SIP[Investor ID],INVESTORS_LIST[[#This Row],[INVESTOR CODE]],SIP[B/S],"B")</f>
        <v>0</v>
      </c>
      <c r="M252" s="2">
        <f>-SUMIFS(SIP[Unit],SIP[Investor ID],INVESTORS_LIST[[#This Row],[INVESTOR CODE]],SIP[B/S],"S")</f>
        <v>0</v>
      </c>
      <c r="N252" s="33">
        <f>IF(INVESTORS_LIST[[#This Row],[SIP_TOTAL UNITS BUY]]=0,0,INVESTORS_LIST[[#This Row],[SIP_TOTAL UNITS BUY]]-INVESTORS_LIST[[#This Row],[SIP_TOTAL UNITS SOLD]])</f>
        <v>0</v>
      </c>
      <c r="O252" s="4">
        <f>IF(INVESTORS_LIST[[#This Row],[SIP_TOTAL UNITS BUY]]=0,0,SUMIFS(SIP[Amount],SIP[Investor ID],INVESTORS_LIST[[#This Row],[INVESTOR CODE]],SIP[B/S],"B"))</f>
        <v>0</v>
      </c>
      <c r="P252" s="4">
        <f>IF(INVESTORS_LIST[[#This Row],[SIP_TOTAL UNITS SOLD]]=0,0,SUMIFS(SIP[Cost of Units Sold],SIP[Investor ID],INVESTORS_LIST[[#This Row],[INVESTOR CODE]],SIP[B/S],"S"))</f>
        <v>0</v>
      </c>
      <c r="Q252" s="6">
        <f>IF(INVESTORS_LIST[[#This Row],[SIP_TOTAL CURRENT UNITS]]=0,0,INVESTORS_LIST[[#This Row],[SIP_TOTAL CURRENT UNITS]]*INVESTORS_LIST[[#This Row],[SIP_AVERAGE COST]])</f>
        <v>0</v>
      </c>
      <c r="R252" s="6">
        <f>IF(INVESTORS_LIST[[#This Row],[SIP_TOTAL UNITS SOLD]]=0,0,SUMIFS(SIP[Realized Gain],SIP[Investor ID],INVESTORS_LIST[[#This Row],[INVESTOR CODE]],SIP[B/S],"S"))</f>
        <v>0</v>
      </c>
      <c r="S252" s="33">
        <f>INVESTORS_LIST[[#This Row],[LS_TOTAL UNITS BUY]]+INVESTORS_LIST[[#This Row],[SIP_TOTAL UNITS BUY]]</f>
        <v>4582</v>
      </c>
      <c r="T252" s="33">
        <f>INVESTORS_LIST[[#This Row],[LS_TOTAL UNITS SOLD]]+INVESTORS_LIST[[#This Row],[SIP_TOTAL UNITS SOLD]]</f>
        <v>4582</v>
      </c>
      <c r="U252" s="33">
        <v>0</v>
      </c>
      <c r="V252" s="33">
        <f>SUMIFS(LS[BO UNIT TRANSFER],LS[Investor ID],INVESTORS_LIST[[#This Row],[INVESTOR CODE]],LS[B/S],"B")</f>
        <v>0</v>
      </c>
      <c r="W252" s="33">
        <f>SUMIFS(LS[BO UNIT TRANSFER],LS[Investor ID],INVESTORS_LIST[[#This Row],[INVESTOR CODE]],LS[B/S],"S")</f>
        <v>0</v>
      </c>
      <c r="X252" s="33">
        <f>SUMIFS(SIP[BO UNIT TRANSFER],SIP[Investor ID],INVESTORS_LIST[[#This Row],[INVESTOR CODE]],SIP[B/S],"S")</f>
        <v>0</v>
      </c>
      <c r="Y252" s="33">
        <f>SUMIFS(SIP[BO UNIT TRANSFER],SIP[Investor ID],INVESTORS_LIST[[#This Row],[INVESTOR CODE]],SIP[B/S],"B")</f>
        <v>0</v>
      </c>
      <c r="Z25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52" s="119">
        <f>INVESTORS_LIST[[#This Row],[TOTAL UNITS BUY]]-INVESTORS_LIST[[#This Row],[TOTAL UNITS SOLD]]</f>
        <v>0</v>
      </c>
      <c r="AB252" s="119">
        <f>INVESTORS_LIST[[#This Row],[TOTAL CURRENT UNITS]]-INVESTORS_LIST[[#This Row],[BO UNITS HOLD]]</f>
        <v>0</v>
      </c>
      <c r="AC252" s="119" t="e">
        <f>INDEX([4]!Table_1[BO ID],MATCH(INVESTORS_LIST[[#This Row],[INVESTOR CODE]],[4]!Table_1[INVESTOR CODE],0))</f>
        <v>#REF!</v>
      </c>
      <c r="AD252" s="33">
        <f>INVESTORS_LIST[[#This Row],[LS_TOTAL COST VALUE OF CURRENT UNITS]]+INVESTORS_LIST[[#This Row],[SIP_TOTAL COST VALUE OF CURRENT UNITS]]</f>
        <v>0</v>
      </c>
      <c r="AE252" s="44">
        <f>IF(INVESTORS_LIST[[#This Row],[TOTAL CURRENT UNITS]]=0,0,INVESTORS_LIST[[#This Row],[LS_TOTAL CURRENT UNITS]]/INVESTORS_LIST[[#This Row],[TOTAL CURRENT UNITS]])</f>
        <v>0</v>
      </c>
      <c r="AF252" s="44">
        <f>IF(INVESTORS_LIST[[#This Row],[TOTAL CURRENT UNITS]]=0,0,INVESTORS_LIST[[#This Row],[SIP_TOTAL CURRENT UNITS]]/INVESTORS_LIST[[#This Row],[TOTAL CURRENT UNITS]])</f>
        <v>0</v>
      </c>
      <c r="AG252" s="4" cm="1">
        <f t="array" ref="AG25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52" s="4" cm="1">
        <f t="array" ref="AH2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5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52" s="178">
        <f t="shared" si="3"/>
        <v>12.552</v>
      </c>
      <c r="AK252" s="118">
        <f>IF(INVESTORS_LIST[[#This Row],[TOTAL CURRENT UNITS]]=0,0,INVESTORS_LIST[[#This Row],[TOTAL CURRENT UNITS]]*INVESTORS_LIST[[#This Row],[NAV]])</f>
        <v>0</v>
      </c>
      <c r="AL252" s="4">
        <f>IF(INVESTORS_LIST[[#This Row],[LS_TOTAL CURRENT UNITS]]=0,0,INVESTORS_LIST[[#This Row],[LS_TOTAL CURRENT UNITS]]*INVESTORS_LIST[[#This Row],[NAV]])</f>
        <v>0</v>
      </c>
      <c r="AM252" s="6">
        <f>IF(INVESTORS_LIST[[#This Row],[SIP_TOTAL CURRENT UNITS]]=0,0,INVESTORS_LIST[[#This Row],[SIP_TOTAL CURRENT UNITS]]*INVESTORS_LIST[[#This Row],[NAV]])</f>
        <v>0</v>
      </c>
      <c r="AO252" s="6">
        <f>IF(INVESTORS_LIST[[#This Row],[TOTAL SELLABLE UNITS]]=0,0,INVESTORS_LIST[[#This Row],[TOTAL SELLABLE UNITS]]*INVESTORS_LIST[[#This Row],[NAV]])</f>
        <v>0</v>
      </c>
      <c r="AP252" s="6">
        <f>INVESTORS_LIST[[#This Row],[LS_TOTAL REALIZED GAIN]]+INVESTORS_LIST[[#This Row],[SIP_TOTAL REALIZED GAIN]]</f>
        <v>-142.22000000000486</v>
      </c>
      <c r="AQ252" s="6">
        <f>INVESTORS_LIST[[#This Row],[TOTAL MARKET VALUE]]-INVESTORS_LIST[[#This Row],[TOTAL COST VALUE OF CURRENT INVESTMENT]]</f>
        <v>0</v>
      </c>
      <c r="AR252" s="6">
        <f>SUMIFS(DivAndTax[Tax Amount],DivAndTax[Investor ID],INVESTORS_LIST[[#This Row],[INVESTOR CODE]])</f>
        <v>0</v>
      </c>
      <c r="AS252" s="6">
        <f>SUMIFS(DivAndTax[Gross Dividend],DivAndTax[Investor ID],INVESTORS_LIST[[#This Row],[INVESTOR CODE]])</f>
        <v>0</v>
      </c>
      <c r="AT252" s="5">
        <f>IFERROR(INVESTORS_LIST[[#This Row],[TOTAL CURRENT UNITS]]/SUM(INVESTORS_LIST[TOTAL CURRENT UNITS]),0)</f>
        <v>0</v>
      </c>
    </row>
    <row r="253" spans="1:46" hidden="1">
      <c r="A253" t="s">
        <v>361</v>
      </c>
      <c r="B253" t="s">
        <v>362</v>
      </c>
      <c r="C253" t="s">
        <v>536</v>
      </c>
      <c r="D253" s="8" t="s">
        <v>2</v>
      </c>
      <c r="E253" s="2">
        <f>SUMIFS(LS[Unit],LS[Investor ID],INVESTORS_LIST[[#This Row],[INVESTOR CODE]],LS[B/S],"B")</f>
        <v>0</v>
      </c>
      <c r="F253" s="2">
        <f>-SUMIFS(LS[Unit],LS[Investor ID],INVESTORS_LIST[[#This Row],[INVESTOR CODE]],LS[B/S],"S")</f>
        <v>0</v>
      </c>
      <c r="G253" s="2">
        <f>IF(INVESTORS_LIST[[#This Row],[LS_TOTAL UNITS BUY]]=0,0,INVESTORS_LIST[[#This Row],[LS_TOTAL UNITS BUY]]-INVESTORS_LIST[[#This Row],[LS_TOTAL UNITS SOLD]])</f>
        <v>0</v>
      </c>
      <c r="H253" s="4">
        <f>IF(INVESTORS_LIST[[#This Row],[LS_TOTAL UNITS BUY]]=0,0,SUMIFS(LS[Amount],LS[Investor ID],INVESTORS_LIST[[#This Row],[INVESTOR CODE]],LS[B/S],"B"))</f>
        <v>0</v>
      </c>
      <c r="I253" s="6">
        <f>IF(INVESTORS_LIST[[#This Row],[LS_TOTAL UNITS SOLD]]=0,0,SUMIFS(LS[Cost of Units Sold],LS[Investor ID],INVESTORS_LIST[[#This Row],[INVESTOR CODE]],LS[B/S],"S"))</f>
        <v>0</v>
      </c>
      <c r="J253" s="6">
        <f>IF(INVESTORS_LIST[[#This Row],[LS_TOTAL CURRENT UNITS]]=0,0,INVESTORS_LIST[[#This Row],[LS_TOTAL CURRENT UNITS]]*INVESTORS_LIST[[#This Row],[LS_AVERAGE COST]])</f>
        <v>0</v>
      </c>
      <c r="K253" s="4">
        <f>IF(INVESTORS_LIST[[#This Row],[LS_TOTAL UNITS SOLD]]=0,0,SUMIFS(LS[Realized Gain],LS[Investor ID],INVESTORS_LIST[[#This Row],[INVESTOR CODE]],LS[B/S],"S"))</f>
        <v>0</v>
      </c>
      <c r="L253" s="2">
        <f>SUMIFS(SIP[Unit],SIP[Investor ID],INVESTORS_LIST[[#This Row],[INVESTOR CODE]],SIP[B/S],"B")</f>
        <v>0</v>
      </c>
      <c r="M253" s="2">
        <f>-SUMIFS(SIP[Unit],SIP[Investor ID],INVESTORS_LIST[[#This Row],[INVESTOR CODE]],SIP[B/S],"S")</f>
        <v>0</v>
      </c>
      <c r="N253" s="33">
        <f>IF(INVESTORS_LIST[[#This Row],[SIP_TOTAL UNITS BUY]]=0,0,INVESTORS_LIST[[#This Row],[SIP_TOTAL UNITS BUY]]-INVESTORS_LIST[[#This Row],[SIP_TOTAL UNITS SOLD]])</f>
        <v>0</v>
      </c>
      <c r="O253" s="4">
        <f>IF(INVESTORS_LIST[[#This Row],[SIP_TOTAL UNITS BUY]]=0,0,SUMIFS(SIP[Amount],SIP[Investor ID],INVESTORS_LIST[[#This Row],[INVESTOR CODE]],SIP[B/S],"B"))</f>
        <v>0</v>
      </c>
      <c r="P253" s="4">
        <f>IF(INVESTORS_LIST[[#This Row],[SIP_TOTAL UNITS SOLD]]=0,0,SUMIFS(SIP[Cost of Units Sold],SIP[Investor ID],INVESTORS_LIST[[#This Row],[INVESTOR CODE]],SIP[B/S],"S"))</f>
        <v>0</v>
      </c>
      <c r="Q253" s="6">
        <f>IF(INVESTORS_LIST[[#This Row],[SIP_TOTAL CURRENT UNITS]]=0,0,INVESTORS_LIST[[#This Row],[SIP_TOTAL CURRENT UNITS]]*INVESTORS_LIST[[#This Row],[SIP_AVERAGE COST]])</f>
        <v>0</v>
      </c>
      <c r="R253" s="6">
        <f>IF(INVESTORS_LIST[[#This Row],[SIP_TOTAL UNITS SOLD]]=0,0,SUMIFS(SIP[Realized Gain],SIP[Investor ID],INVESTORS_LIST[[#This Row],[INVESTOR CODE]],SIP[B/S],"S"))</f>
        <v>0</v>
      </c>
      <c r="S253" s="33">
        <f>INVESTORS_LIST[[#This Row],[LS_TOTAL UNITS BUY]]+INVESTORS_LIST[[#This Row],[SIP_TOTAL UNITS BUY]]</f>
        <v>0</v>
      </c>
      <c r="T253" s="33">
        <f>INVESTORS_LIST[[#This Row],[LS_TOTAL UNITS SOLD]]+INVESTORS_LIST[[#This Row],[SIP_TOTAL UNITS SOLD]]</f>
        <v>0</v>
      </c>
      <c r="U253" s="33">
        <v>0</v>
      </c>
      <c r="V253" s="33">
        <f>SUMIFS(LS[BO UNIT TRANSFER],LS[Investor ID],INVESTORS_LIST[[#This Row],[INVESTOR CODE]],LS[B/S],"B")</f>
        <v>0</v>
      </c>
      <c r="W253" s="33">
        <f>SUMIFS(LS[BO UNIT TRANSFER],LS[Investor ID],INVESTORS_LIST[[#This Row],[INVESTOR CODE]],LS[B/S],"S")</f>
        <v>0</v>
      </c>
      <c r="X253" s="33">
        <f>SUMIFS(SIP[BO UNIT TRANSFER],SIP[Investor ID],INVESTORS_LIST[[#This Row],[INVESTOR CODE]],SIP[B/S],"S")</f>
        <v>0</v>
      </c>
      <c r="Y253" s="33">
        <f>SUMIFS(SIP[BO UNIT TRANSFER],SIP[Investor ID],INVESTORS_LIST[[#This Row],[INVESTOR CODE]],SIP[B/S],"B")</f>
        <v>0</v>
      </c>
      <c r="Z25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53" s="119">
        <f>INVESTORS_LIST[[#This Row],[TOTAL UNITS BUY]]-INVESTORS_LIST[[#This Row],[TOTAL UNITS SOLD]]</f>
        <v>0</v>
      </c>
      <c r="AB253" s="119">
        <f>INVESTORS_LIST[[#This Row],[TOTAL CURRENT UNITS]]-INVESTORS_LIST[[#This Row],[BO UNITS HOLD]]</f>
        <v>0</v>
      </c>
      <c r="AC253" s="119" t="e">
        <f>INDEX([4]!Table_1[BO ID],MATCH(INVESTORS_LIST[[#This Row],[INVESTOR CODE]],[4]!Table_1[INVESTOR CODE],0))</f>
        <v>#REF!</v>
      </c>
      <c r="AD253" s="33">
        <f>INVESTORS_LIST[[#This Row],[LS_TOTAL COST VALUE OF CURRENT UNITS]]+INVESTORS_LIST[[#This Row],[SIP_TOTAL COST VALUE OF CURRENT UNITS]]</f>
        <v>0</v>
      </c>
      <c r="AE253" s="44">
        <f>IF(INVESTORS_LIST[[#This Row],[TOTAL CURRENT UNITS]]=0,0,INVESTORS_LIST[[#This Row],[LS_TOTAL CURRENT UNITS]]/INVESTORS_LIST[[#This Row],[TOTAL CURRENT UNITS]])</f>
        <v>0</v>
      </c>
      <c r="AF253" s="44">
        <f>IF(INVESTORS_LIST[[#This Row],[TOTAL CURRENT UNITS]]=0,0,INVESTORS_LIST[[#This Row],[SIP_TOTAL CURRENT UNITS]]/INVESTORS_LIST[[#This Row],[TOTAL CURRENT UNITS]])</f>
        <v>0</v>
      </c>
      <c r="AG253" s="4" cm="1">
        <f t="array" ref="AG25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53" s="4" cm="1">
        <f t="array" ref="AH2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5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53" s="178">
        <f t="shared" si="3"/>
        <v>12.552</v>
      </c>
      <c r="AK253" s="118">
        <f>IF(INVESTORS_LIST[[#This Row],[TOTAL CURRENT UNITS]]=0,0,INVESTORS_LIST[[#This Row],[TOTAL CURRENT UNITS]]*INVESTORS_LIST[[#This Row],[NAV]])</f>
        <v>0</v>
      </c>
      <c r="AL253" s="4">
        <f>IF(INVESTORS_LIST[[#This Row],[LS_TOTAL CURRENT UNITS]]=0,0,INVESTORS_LIST[[#This Row],[LS_TOTAL CURRENT UNITS]]*INVESTORS_LIST[[#This Row],[NAV]])</f>
        <v>0</v>
      </c>
      <c r="AM253" s="6">
        <f>IF(INVESTORS_LIST[[#This Row],[SIP_TOTAL CURRENT UNITS]]=0,0,INVESTORS_LIST[[#This Row],[SIP_TOTAL CURRENT UNITS]]*INVESTORS_LIST[[#This Row],[NAV]])</f>
        <v>0</v>
      </c>
      <c r="AO253" s="6">
        <f>IF(INVESTORS_LIST[[#This Row],[TOTAL SELLABLE UNITS]]=0,0,INVESTORS_LIST[[#This Row],[TOTAL SELLABLE UNITS]]*INVESTORS_LIST[[#This Row],[NAV]])</f>
        <v>0</v>
      </c>
      <c r="AP253" s="6">
        <f>INVESTORS_LIST[[#This Row],[LS_TOTAL REALIZED GAIN]]+INVESTORS_LIST[[#This Row],[SIP_TOTAL REALIZED GAIN]]</f>
        <v>0</v>
      </c>
      <c r="AQ253" s="6">
        <f>INVESTORS_LIST[[#This Row],[TOTAL MARKET VALUE]]-INVESTORS_LIST[[#This Row],[TOTAL COST VALUE OF CURRENT INVESTMENT]]</f>
        <v>0</v>
      </c>
      <c r="AR253" s="6">
        <f>SUMIFS(DivAndTax[Tax Amount],DivAndTax[Investor ID],INVESTORS_LIST[[#This Row],[INVESTOR CODE]])</f>
        <v>0</v>
      </c>
      <c r="AS253" s="6">
        <f>SUMIFS(DivAndTax[Gross Dividend],DivAndTax[Investor ID],INVESTORS_LIST[[#This Row],[INVESTOR CODE]])</f>
        <v>0</v>
      </c>
      <c r="AT253" s="5">
        <f>IFERROR(INVESTORS_LIST[[#This Row],[TOTAL CURRENT UNITS]]/SUM(INVESTORS_LIST[TOTAL CURRENT UNITS]),0)</f>
        <v>0</v>
      </c>
    </row>
    <row r="254" spans="1:46" hidden="1">
      <c r="A254" t="s">
        <v>363</v>
      </c>
      <c r="B254" t="s">
        <v>364</v>
      </c>
      <c r="C254" t="s">
        <v>536</v>
      </c>
      <c r="D254" s="8" t="s">
        <v>2</v>
      </c>
      <c r="E254" s="2">
        <f>SUMIFS(LS[Unit],LS[Investor ID],INVESTORS_LIST[[#This Row],[INVESTOR CODE]],LS[B/S],"B")</f>
        <v>200000</v>
      </c>
      <c r="F254" s="2">
        <f>-SUMIFS(LS[Unit],LS[Investor ID],INVESTORS_LIST[[#This Row],[INVESTOR CODE]],LS[B/S],"S")</f>
        <v>200000</v>
      </c>
      <c r="G254" s="2">
        <f>IF(INVESTORS_LIST[[#This Row],[LS_TOTAL UNITS BUY]]=0,0,INVESTORS_LIST[[#This Row],[LS_TOTAL UNITS BUY]]-INVESTORS_LIST[[#This Row],[LS_TOTAL UNITS SOLD]])</f>
        <v>0</v>
      </c>
      <c r="H254" s="4">
        <f>IF(INVESTORS_LIST[[#This Row],[LS_TOTAL UNITS BUY]]=0,0,SUMIFS(LS[Amount],LS[Investor ID],INVESTORS_LIST[[#This Row],[INVESTOR CODE]],LS[B/S],"B"))</f>
        <v>2000000</v>
      </c>
      <c r="I254" s="6">
        <f>IF(INVESTORS_LIST[[#This Row],[LS_TOTAL UNITS SOLD]]=0,0,SUMIFS(LS[Cost of Units Sold],LS[Investor ID],INVESTORS_LIST[[#This Row],[INVESTOR CODE]],LS[B/S],"S"))</f>
        <v>2000000</v>
      </c>
      <c r="J254" s="6">
        <f>IF(INVESTORS_LIST[[#This Row],[LS_TOTAL CURRENT UNITS]]=0,0,INVESTORS_LIST[[#This Row],[LS_TOTAL CURRENT UNITS]]*INVESTORS_LIST[[#This Row],[LS_AVERAGE COST]])</f>
        <v>0</v>
      </c>
      <c r="K254" s="4">
        <f>IF(INVESTORS_LIST[[#This Row],[LS_TOTAL UNITS SOLD]]=0,0,SUMIFS(LS[Realized Gain],LS[Investor ID],INVESTORS_LIST[[#This Row],[INVESTOR CODE]],LS[B/S],"S"))</f>
        <v>17999.999999999971</v>
      </c>
      <c r="L254" s="2">
        <f>SUMIFS(SIP[Unit],SIP[Investor ID],INVESTORS_LIST[[#This Row],[INVESTOR CODE]],SIP[B/S],"B")</f>
        <v>0</v>
      </c>
      <c r="M254" s="2">
        <f>-SUMIFS(SIP[Unit],SIP[Investor ID],INVESTORS_LIST[[#This Row],[INVESTOR CODE]],SIP[B/S],"S")</f>
        <v>0</v>
      </c>
      <c r="N254" s="33">
        <f>IF(INVESTORS_LIST[[#This Row],[SIP_TOTAL UNITS BUY]]=0,0,INVESTORS_LIST[[#This Row],[SIP_TOTAL UNITS BUY]]-INVESTORS_LIST[[#This Row],[SIP_TOTAL UNITS SOLD]])</f>
        <v>0</v>
      </c>
      <c r="O254" s="4">
        <f>IF(INVESTORS_LIST[[#This Row],[SIP_TOTAL UNITS BUY]]=0,0,SUMIFS(SIP[Amount],SIP[Investor ID],INVESTORS_LIST[[#This Row],[INVESTOR CODE]],SIP[B/S],"B"))</f>
        <v>0</v>
      </c>
      <c r="P254" s="4">
        <f>IF(INVESTORS_LIST[[#This Row],[SIP_TOTAL UNITS SOLD]]=0,0,SUMIFS(SIP[Cost of Units Sold],SIP[Investor ID],INVESTORS_LIST[[#This Row],[INVESTOR CODE]],SIP[B/S],"S"))</f>
        <v>0</v>
      </c>
      <c r="Q254" s="6">
        <f>IF(INVESTORS_LIST[[#This Row],[SIP_TOTAL CURRENT UNITS]]=0,0,INVESTORS_LIST[[#This Row],[SIP_TOTAL CURRENT UNITS]]*INVESTORS_LIST[[#This Row],[SIP_AVERAGE COST]])</f>
        <v>0</v>
      </c>
      <c r="R254" s="6">
        <f>IF(INVESTORS_LIST[[#This Row],[SIP_TOTAL UNITS SOLD]]=0,0,SUMIFS(SIP[Realized Gain],SIP[Investor ID],INVESTORS_LIST[[#This Row],[INVESTOR CODE]],SIP[B/S],"S"))</f>
        <v>0</v>
      </c>
      <c r="S254" s="33">
        <f>INVESTORS_LIST[[#This Row],[LS_TOTAL UNITS BUY]]+INVESTORS_LIST[[#This Row],[SIP_TOTAL UNITS BUY]]</f>
        <v>200000</v>
      </c>
      <c r="T254" s="33">
        <f>INVESTORS_LIST[[#This Row],[LS_TOTAL UNITS SOLD]]+INVESTORS_LIST[[#This Row],[SIP_TOTAL UNITS SOLD]]</f>
        <v>200000</v>
      </c>
      <c r="U254" s="33">
        <v>0</v>
      </c>
      <c r="V254" s="33">
        <f>SUMIFS(LS[BO UNIT TRANSFER],LS[Investor ID],INVESTORS_LIST[[#This Row],[INVESTOR CODE]],LS[B/S],"B")</f>
        <v>0</v>
      </c>
      <c r="W254" s="33">
        <f>SUMIFS(LS[BO UNIT TRANSFER],LS[Investor ID],INVESTORS_LIST[[#This Row],[INVESTOR CODE]],LS[B/S],"S")</f>
        <v>0</v>
      </c>
      <c r="X254" s="33">
        <f>SUMIFS(SIP[BO UNIT TRANSFER],SIP[Investor ID],INVESTORS_LIST[[#This Row],[INVESTOR CODE]],SIP[B/S],"S")</f>
        <v>0</v>
      </c>
      <c r="Y254" s="33">
        <f>SUMIFS(SIP[BO UNIT TRANSFER],SIP[Investor ID],INVESTORS_LIST[[#This Row],[INVESTOR CODE]],SIP[B/S],"B")</f>
        <v>0</v>
      </c>
      <c r="Z25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54" s="119">
        <f>INVESTORS_LIST[[#This Row],[TOTAL UNITS BUY]]-INVESTORS_LIST[[#This Row],[TOTAL UNITS SOLD]]</f>
        <v>0</v>
      </c>
      <c r="AB254" s="119">
        <f>INVESTORS_LIST[[#This Row],[TOTAL CURRENT UNITS]]-INVESTORS_LIST[[#This Row],[BO UNITS HOLD]]</f>
        <v>0</v>
      </c>
      <c r="AC254" s="119" t="e">
        <f>INDEX([4]!Table_1[BO ID],MATCH(INVESTORS_LIST[[#This Row],[INVESTOR CODE]],[4]!Table_1[INVESTOR CODE],0))</f>
        <v>#REF!</v>
      </c>
      <c r="AD254" s="33">
        <f>INVESTORS_LIST[[#This Row],[LS_TOTAL COST VALUE OF CURRENT UNITS]]+INVESTORS_LIST[[#This Row],[SIP_TOTAL COST VALUE OF CURRENT UNITS]]</f>
        <v>0</v>
      </c>
      <c r="AE254" s="44">
        <f>IF(INVESTORS_LIST[[#This Row],[TOTAL CURRENT UNITS]]=0,0,INVESTORS_LIST[[#This Row],[LS_TOTAL CURRENT UNITS]]/INVESTORS_LIST[[#This Row],[TOTAL CURRENT UNITS]])</f>
        <v>0</v>
      </c>
      <c r="AF254" s="44">
        <f>IF(INVESTORS_LIST[[#This Row],[TOTAL CURRENT UNITS]]=0,0,INVESTORS_LIST[[#This Row],[SIP_TOTAL CURRENT UNITS]]/INVESTORS_LIST[[#This Row],[TOTAL CURRENT UNITS]])</f>
        <v>0</v>
      </c>
      <c r="AG254" s="4" cm="1">
        <f t="array" ref="AG25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54" s="4" cm="1">
        <f t="array" ref="AH2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5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54" s="178">
        <f t="shared" si="3"/>
        <v>12.552</v>
      </c>
      <c r="AK254" s="118">
        <f>IF(INVESTORS_LIST[[#This Row],[TOTAL CURRENT UNITS]]=0,0,INVESTORS_LIST[[#This Row],[TOTAL CURRENT UNITS]]*INVESTORS_LIST[[#This Row],[NAV]])</f>
        <v>0</v>
      </c>
      <c r="AL254" s="4">
        <f>IF(INVESTORS_LIST[[#This Row],[LS_TOTAL CURRENT UNITS]]=0,0,INVESTORS_LIST[[#This Row],[LS_TOTAL CURRENT UNITS]]*INVESTORS_LIST[[#This Row],[NAV]])</f>
        <v>0</v>
      </c>
      <c r="AM254" s="6">
        <f>IF(INVESTORS_LIST[[#This Row],[SIP_TOTAL CURRENT UNITS]]=0,0,INVESTORS_LIST[[#This Row],[SIP_TOTAL CURRENT UNITS]]*INVESTORS_LIST[[#This Row],[NAV]])</f>
        <v>0</v>
      </c>
      <c r="AO254" s="6">
        <f>IF(INVESTORS_LIST[[#This Row],[TOTAL SELLABLE UNITS]]=0,0,INVESTORS_LIST[[#This Row],[TOTAL SELLABLE UNITS]]*INVESTORS_LIST[[#This Row],[NAV]])</f>
        <v>0</v>
      </c>
      <c r="AP254" s="6">
        <f>INVESTORS_LIST[[#This Row],[LS_TOTAL REALIZED GAIN]]+INVESTORS_LIST[[#This Row],[SIP_TOTAL REALIZED GAIN]]</f>
        <v>17999.999999999971</v>
      </c>
      <c r="AQ254" s="6">
        <f>INVESTORS_LIST[[#This Row],[TOTAL MARKET VALUE]]-INVESTORS_LIST[[#This Row],[TOTAL COST VALUE OF CURRENT INVESTMENT]]</f>
        <v>0</v>
      </c>
      <c r="AR254" s="6">
        <f>SUMIFS(DivAndTax[Tax Amount],DivAndTax[Investor ID],INVESTORS_LIST[[#This Row],[INVESTOR CODE]])</f>
        <v>0</v>
      </c>
      <c r="AS254" s="6">
        <f>SUMIFS(DivAndTax[Gross Dividend],DivAndTax[Investor ID],INVESTORS_LIST[[#This Row],[INVESTOR CODE]])</f>
        <v>0</v>
      </c>
      <c r="AT254" s="5">
        <f>IFERROR(INVESTORS_LIST[[#This Row],[TOTAL CURRENT UNITS]]/SUM(INVESTORS_LIST[TOTAL CURRENT UNITS]),0)</f>
        <v>0</v>
      </c>
    </row>
    <row r="255" spans="1:46" hidden="1">
      <c r="A255" t="s">
        <v>365</v>
      </c>
      <c r="B255" t="s">
        <v>366</v>
      </c>
      <c r="C255" t="s">
        <v>536</v>
      </c>
      <c r="D255" s="8" t="s">
        <v>2</v>
      </c>
      <c r="E255" s="2">
        <f>SUMIFS(LS[Unit],LS[Investor ID],INVESTORS_LIST[[#This Row],[INVESTOR CODE]],LS[B/S],"B")</f>
        <v>0</v>
      </c>
      <c r="F255" s="2">
        <f>-SUMIFS(LS[Unit],LS[Investor ID],INVESTORS_LIST[[#This Row],[INVESTOR CODE]],LS[B/S],"S")</f>
        <v>0</v>
      </c>
      <c r="G255" s="2">
        <f>IF(INVESTORS_LIST[[#This Row],[LS_TOTAL UNITS BUY]]=0,0,INVESTORS_LIST[[#This Row],[LS_TOTAL UNITS BUY]]-INVESTORS_LIST[[#This Row],[LS_TOTAL UNITS SOLD]])</f>
        <v>0</v>
      </c>
      <c r="H255" s="4">
        <f>IF(INVESTORS_LIST[[#This Row],[LS_TOTAL UNITS BUY]]=0,0,SUMIFS(LS[Amount],LS[Investor ID],INVESTORS_LIST[[#This Row],[INVESTOR CODE]],LS[B/S],"B"))</f>
        <v>0</v>
      </c>
      <c r="I255" s="6">
        <f>IF(INVESTORS_LIST[[#This Row],[LS_TOTAL UNITS SOLD]]=0,0,SUMIFS(LS[Cost of Units Sold],LS[Investor ID],INVESTORS_LIST[[#This Row],[INVESTOR CODE]],LS[B/S],"S"))</f>
        <v>0</v>
      </c>
      <c r="J255" s="6">
        <f>IF(INVESTORS_LIST[[#This Row],[LS_TOTAL CURRENT UNITS]]=0,0,INVESTORS_LIST[[#This Row],[LS_TOTAL CURRENT UNITS]]*INVESTORS_LIST[[#This Row],[LS_AVERAGE COST]])</f>
        <v>0</v>
      </c>
      <c r="K255" s="4">
        <f>IF(INVESTORS_LIST[[#This Row],[LS_TOTAL UNITS SOLD]]=0,0,SUMIFS(LS[Realized Gain],LS[Investor ID],INVESTORS_LIST[[#This Row],[INVESTOR CODE]],LS[B/S],"S"))</f>
        <v>0</v>
      </c>
      <c r="L255" s="2">
        <f>SUMIFS(SIP[Unit],SIP[Investor ID],INVESTORS_LIST[[#This Row],[INVESTOR CODE]],SIP[B/S],"B")</f>
        <v>0</v>
      </c>
      <c r="M255" s="2">
        <f>-SUMIFS(SIP[Unit],SIP[Investor ID],INVESTORS_LIST[[#This Row],[INVESTOR CODE]],SIP[B/S],"S")</f>
        <v>0</v>
      </c>
      <c r="N255" s="33">
        <f>IF(INVESTORS_LIST[[#This Row],[SIP_TOTAL UNITS BUY]]=0,0,INVESTORS_LIST[[#This Row],[SIP_TOTAL UNITS BUY]]-INVESTORS_LIST[[#This Row],[SIP_TOTAL UNITS SOLD]])</f>
        <v>0</v>
      </c>
      <c r="O255" s="4">
        <f>IF(INVESTORS_LIST[[#This Row],[SIP_TOTAL UNITS BUY]]=0,0,SUMIFS(SIP[Amount],SIP[Investor ID],INVESTORS_LIST[[#This Row],[INVESTOR CODE]],SIP[B/S],"B"))</f>
        <v>0</v>
      </c>
      <c r="P255" s="4">
        <f>IF(INVESTORS_LIST[[#This Row],[SIP_TOTAL UNITS SOLD]]=0,0,SUMIFS(SIP[Cost of Units Sold],SIP[Investor ID],INVESTORS_LIST[[#This Row],[INVESTOR CODE]],SIP[B/S],"S"))</f>
        <v>0</v>
      </c>
      <c r="Q255" s="6">
        <f>IF(INVESTORS_LIST[[#This Row],[SIP_TOTAL CURRENT UNITS]]=0,0,INVESTORS_LIST[[#This Row],[SIP_TOTAL CURRENT UNITS]]*INVESTORS_LIST[[#This Row],[SIP_AVERAGE COST]])</f>
        <v>0</v>
      </c>
      <c r="R255" s="6">
        <f>IF(INVESTORS_LIST[[#This Row],[SIP_TOTAL UNITS SOLD]]=0,0,SUMIFS(SIP[Realized Gain],SIP[Investor ID],INVESTORS_LIST[[#This Row],[INVESTOR CODE]],SIP[B/S],"S"))</f>
        <v>0</v>
      </c>
      <c r="S255" s="33">
        <f>INVESTORS_LIST[[#This Row],[LS_TOTAL UNITS BUY]]+INVESTORS_LIST[[#This Row],[SIP_TOTAL UNITS BUY]]</f>
        <v>0</v>
      </c>
      <c r="T255" s="33">
        <f>INVESTORS_LIST[[#This Row],[LS_TOTAL UNITS SOLD]]+INVESTORS_LIST[[#This Row],[SIP_TOTAL UNITS SOLD]]</f>
        <v>0</v>
      </c>
      <c r="U255" s="33">
        <v>0</v>
      </c>
      <c r="V255" s="33">
        <f>SUMIFS(LS[BO UNIT TRANSFER],LS[Investor ID],INVESTORS_LIST[[#This Row],[INVESTOR CODE]],LS[B/S],"B")</f>
        <v>0</v>
      </c>
      <c r="W255" s="33">
        <f>SUMIFS(LS[BO UNIT TRANSFER],LS[Investor ID],INVESTORS_LIST[[#This Row],[INVESTOR CODE]],LS[B/S],"S")</f>
        <v>0</v>
      </c>
      <c r="X255" s="33">
        <f>SUMIFS(SIP[BO UNIT TRANSFER],SIP[Investor ID],INVESTORS_LIST[[#This Row],[INVESTOR CODE]],SIP[B/S],"S")</f>
        <v>0</v>
      </c>
      <c r="Y255" s="33">
        <f>SUMIFS(SIP[BO UNIT TRANSFER],SIP[Investor ID],INVESTORS_LIST[[#This Row],[INVESTOR CODE]],SIP[B/S],"B")</f>
        <v>0</v>
      </c>
      <c r="Z25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55" s="119">
        <f>INVESTORS_LIST[[#This Row],[TOTAL UNITS BUY]]-INVESTORS_LIST[[#This Row],[TOTAL UNITS SOLD]]</f>
        <v>0</v>
      </c>
      <c r="AB255" s="119">
        <f>INVESTORS_LIST[[#This Row],[TOTAL CURRENT UNITS]]-INVESTORS_LIST[[#This Row],[BO UNITS HOLD]]</f>
        <v>0</v>
      </c>
      <c r="AC255" s="119" t="e">
        <f>INDEX([4]!Table_1[BO ID],MATCH(INVESTORS_LIST[[#This Row],[INVESTOR CODE]],[4]!Table_1[INVESTOR CODE],0))</f>
        <v>#REF!</v>
      </c>
      <c r="AD255" s="33">
        <f>INVESTORS_LIST[[#This Row],[LS_TOTAL COST VALUE OF CURRENT UNITS]]+INVESTORS_LIST[[#This Row],[SIP_TOTAL COST VALUE OF CURRENT UNITS]]</f>
        <v>0</v>
      </c>
      <c r="AE255" s="44">
        <f>IF(INVESTORS_LIST[[#This Row],[TOTAL CURRENT UNITS]]=0,0,INVESTORS_LIST[[#This Row],[LS_TOTAL CURRENT UNITS]]/INVESTORS_LIST[[#This Row],[TOTAL CURRENT UNITS]])</f>
        <v>0</v>
      </c>
      <c r="AF255" s="44">
        <f>IF(INVESTORS_LIST[[#This Row],[TOTAL CURRENT UNITS]]=0,0,INVESTORS_LIST[[#This Row],[SIP_TOTAL CURRENT UNITS]]/INVESTORS_LIST[[#This Row],[TOTAL CURRENT UNITS]])</f>
        <v>0</v>
      </c>
      <c r="AG255" s="4" cm="1">
        <f t="array" ref="AG25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55" s="4" cm="1">
        <f t="array" ref="AH2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5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55" s="178">
        <f t="shared" si="3"/>
        <v>12.552</v>
      </c>
      <c r="AK255" s="118">
        <f>IF(INVESTORS_LIST[[#This Row],[TOTAL CURRENT UNITS]]=0,0,INVESTORS_LIST[[#This Row],[TOTAL CURRENT UNITS]]*INVESTORS_LIST[[#This Row],[NAV]])</f>
        <v>0</v>
      </c>
      <c r="AL255" s="4">
        <f>IF(INVESTORS_LIST[[#This Row],[LS_TOTAL CURRENT UNITS]]=0,0,INVESTORS_LIST[[#This Row],[LS_TOTAL CURRENT UNITS]]*INVESTORS_LIST[[#This Row],[NAV]])</f>
        <v>0</v>
      </c>
      <c r="AM255" s="6">
        <f>IF(INVESTORS_LIST[[#This Row],[SIP_TOTAL CURRENT UNITS]]=0,0,INVESTORS_LIST[[#This Row],[SIP_TOTAL CURRENT UNITS]]*INVESTORS_LIST[[#This Row],[NAV]])</f>
        <v>0</v>
      </c>
      <c r="AO255" s="6">
        <f>IF(INVESTORS_LIST[[#This Row],[TOTAL SELLABLE UNITS]]=0,0,INVESTORS_LIST[[#This Row],[TOTAL SELLABLE UNITS]]*INVESTORS_LIST[[#This Row],[NAV]])</f>
        <v>0</v>
      </c>
      <c r="AP255" s="6">
        <f>INVESTORS_LIST[[#This Row],[LS_TOTAL REALIZED GAIN]]+INVESTORS_LIST[[#This Row],[SIP_TOTAL REALIZED GAIN]]</f>
        <v>0</v>
      </c>
      <c r="AQ255" s="6">
        <f>INVESTORS_LIST[[#This Row],[TOTAL MARKET VALUE]]-INVESTORS_LIST[[#This Row],[TOTAL COST VALUE OF CURRENT INVESTMENT]]</f>
        <v>0</v>
      </c>
      <c r="AR255" s="6">
        <f>SUMIFS(DivAndTax[Tax Amount],DivAndTax[Investor ID],INVESTORS_LIST[[#This Row],[INVESTOR CODE]])</f>
        <v>0</v>
      </c>
      <c r="AS255" s="6">
        <f>SUMIFS(DivAndTax[Gross Dividend],DivAndTax[Investor ID],INVESTORS_LIST[[#This Row],[INVESTOR CODE]])</f>
        <v>0</v>
      </c>
      <c r="AT255" s="5">
        <f>IFERROR(INVESTORS_LIST[[#This Row],[TOTAL CURRENT UNITS]]/SUM(INVESTORS_LIST[TOTAL CURRENT UNITS]),0)</f>
        <v>0</v>
      </c>
    </row>
    <row r="256" spans="1:46">
      <c r="A256" t="s">
        <v>367</v>
      </c>
      <c r="B256" t="s">
        <v>368</v>
      </c>
      <c r="C256" t="s">
        <v>536</v>
      </c>
      <c r="D256" s="8" t="s">
        <v>2</v>
      </c>
      <c r="E256" s="2">
        <f>SUMIFS(LS[Unit],LS[Investor ID],INVESTORS_LIST[[#This Row],[INVESTOR CODE]],LS[B/S],"B")</f>
        <v>24956</v>
      </c>
      <c r="F256" s="2">
        <f>-SUMIFS(LS[Unit],LS[Investor ID],INVESTORS_LIST[[#This Row],[INVESTOR CODE]],LS[B/S],"S")</f>
        <v>0</v>
      </c>
      <c r="G256" s="2">
        <f>IF(INVESTORS_LIST[[#This Row],[LS_TOTAL UNITS BUY]]=0,0,INVESTORS_LIST[[#This Row],[LS_TOTAL UNITS BUY]]-INVESTORS_LIST[[#This Row],[LS_TOTAL UNITS SOLD]])</f>
        <v>24956</v>
      </c>
      <c r="H256" s="4">
        <f>IF(INVESTORS_LIST[[#This Row],[LS_TOTAL UNITS BUY]]=0,0,SUMIFS(LS[Amount],LS[Investor ID],INVESTORS_LIST[[#This Row],[INVESTOR CODE]],LS[B/S],"B"))</f>
        <v>308508.84999999998</v>
      </c>
      <c r="I256" s="6">
        <f>IF(INVESTORS_LIST[[#This Row],[LS_TOTAL UNITS SOLD]]=0,0,SUMIFS(LS[Cost of Units Sold],LS[Investor ID],INVESTORS_LIST[[#This Row],[INVESTOR CODE]],LS[B/S],"S"))</f>
        <v>0</v>
      </c>
      <c r="J256" s="6">
        <f>IF(INVESTORS_LIST[[#This Row],[LS_TOTAL CURRENT UNITS]]=0,0,INVESTORS_LIST[[#This Row],[LS_TOTAL CURRENT UNITS]]*INVESTORS_LIST[[#This Row],[LS_AVERAGE COST]])</f>
        <v>308508.85000000003</v>
      </c>
      <c r="K256" s="4">
        <f>IF(INVESTORS_LIST[[#This Row],[LS_TOTAL UNITS SOLD]]=0,0,SUMIFS(LS[Realized Gain],LS[Investor ID],INVESTORS_LIST[[#This Row],[INVESTOR CODE]],LS[B/S],"S"))</f>
        <v>0</v>
      </c>
      <c r="L256" s="2">
        <f>SUMIFS(SIP[Unit],SIP[Investor ID],INVESTORS_LIST[[#This Row],[INVESTOR CODE]],SIP[B/S],"B")</f>
        <v>0</v>
      </c>
      <c r="M256" s="2">
        <f>-SUMIFS(SIP[Unit],SIP[Investor ID],INVESTORS_LIST[[#This Row],[INVESTOR CODE]],SIP[B/S],"S")</f>
        <v>0</v>
      </c>
      <c r="N256" s="33">
        <f>IF(INVESTORS_LIST[[#This Row],[SIP_TOTAL UNITS BUY]]=0,0,INVESTORS_LIST[[#This Row],[SIP_TOTAL UNITS BUY]]-INVESTORS_LIST[[#This Row],[SIP_TOTAL UNITS SOLD]])</f>
        <v>0</v>
      </c>
      <c r="O256" s="4">
        <f>IF(INVESTORS_LIST[[#This Row],[SIP_TOTAL UNITS BUY]]=0,0,SUMIFS(SIP[Amount],SIP[Investor ID],INVESTORS_LIST[[#This Row],[INVESTOR CODE]],SIP[B/S],"B"))</f>
        <v>0</v>
      </c>
      <c r="P256" s="4">
        <f>IF(INVESTORS_LIST[[#This Row],[SIP_TOTAL UNITS SOLD]]=0,0,SUMIFS(SIP[Cost of Units Sold],SIP[Investor ID],INVESTORS_LIST[[#This Row],[INVESTOR CODE]],SIP[B/S],"S"))</f>
        <v>0</v>
      </c>
      <c r="Q256" s="6">
        <f>IF(INVESTORS_LIST[[#This Row],[SIP_TOTAL CURRENT UNITS]]=0,0,INVESTORS_LIST[[#This Row],[SIP_TOTAL CURRENT UNITS]]*INVESTORS_LIST[[#This Row],[SIP_AVERAGE COST]])</f>
        <v>0</v>
      </c>
      <c r="R256" s="6">
        <f>IF(INVESTORS_LIST[[#This Row],[SIP_TOTAL UNITS SOLD]]=0,0,SUMIFS(SIP[Realized Gain],SIP[Investor ID],INVESTORS_LIST[[#This Row],[INVESTOR CODE]],SIP[B/S],"S"))</f>
        <v>0</v>
      </c>
      <c r="S256" s="33">
        <f>INVESTORS_LIST[[#This Row],[LS_TOTAL UNITS BUY]]+INVESTORS_LIST[[#This Row],[SIP_TOTAL UNITS BUY]]</f>
        <v>24956</v>
      </c>
      <c r="T256" s="33">
        <f>INVESTORS_LIST[[#This Row],[LS_TOTAL UNITS SOLD]]+INVESTORS_LIST[[#This Row],[SIP_TOTAL UNITS SOLD]]</f>
        <v>0</v>
      </c>
      <c r="U256" s="33">
        <v>0</v>
      </c>
      <c r="V256" s="33">
        <f>SUMIFS(LS[BO UNIT TRANSFER],LS[Investor ID],INVESTORS_LIST[[#This Row],[INVESTOR CODE]],LS[B/S],"B")</f>
        <v>24956</v>
      </c>
      <c r="W256" s="33">
        <f>SUMIFS(LS[BO UNIT TRANSFER],LS[Investor ID],INVESTORS_LIST[[#This Row],[INVESTOR CODE]],LS[B/S],"S")</f>
        <v>0</v>
      </c>
      <c r="X256" s="33">
        <f>SUMIFS(SIP[BO UNIT TRANSFER],SIP[Investor ID],INVESTORS_LIST[[#This Row],[INVESTOR CODE]],SIP[B/S],"S")</f>
        <v>0</v>
      </c>
      <c r="Y256" s="33">
        <f>SUMIFS(SIP[BO UNIT TRANSFER],SIP[Investor ID],INVESTORS_LIST[[#This Row],[INVESTOR CODE]],SIP[B/S],"B")</f>
        <v>0</v>
      </c>
      <c r="Z25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24956</v>
      </c>
      <c r="AA256" s="119">
        <f>INVESTORS_LIST[[#This Row],[TOTAL UNITS BUY]]-INVESTORS_LIST[[#This Row],[TOTAL UNITS SOLD]]</f>
        <v>24956</v>
      </c>
      <c r="AB256" s="119">
        <f>INVESTORS_LIST[[#This Row],[TOTAL CURRENT UNITS]]-INVESTORS_LIST[[#This Row],[BO UNITS HOLD]]</f>
        <v>0</v>
      </c>
      <c r="AC256" s="119" t="e">
        <f>INDEX([4]!Table_1[BO ID],MATCH(INVESTORS_LIST[[#This Row],[INVESTOR CODE]],[4]!Table_1[INVESTOR CODE],0))</f>
        <v>#REF!</v>
      </c>
      <c r="AD256" s="33">
        <f>INVESTORS_LIST[[#This Row],[LS_TOTAL COST VALUE OF CURRENT UNITS]]+INVESTORS_LIST[[#This Row],[SIP_TOTAL COST VALUE OF CURRENT UNITS]]</f>
        <v>308508.85000000003</v>
      </c>
      <c r="AE256" s="44">
        <f>IF(INVESTORS_LIST[[#This Row],[TOTAL CURRENT UNITS]]=0,0,INVESTORS_LIST[[#This Row],[LS_TOTAL CURRENT UNITS]]/INVESTORS_LIST[[#This Row],[TOTAL CURRENT UNITS]])</f>
        <v>1</v>
      </c>
      <c r="AF256" s="44">
        <f>IF(INVESTORS_LIST[[#This Row],[TOTAL CURRENT UNITS]]=0,0,INVESTORS_LIST[[#This Row],[SIP_TOTAL CURRENT UNITS]]/INVESTORS_LIST[[#This Row],[TOTAL CURRENT UNITS]])</f>
        <v>0</v>
      </c>
      <c r="AG256" s="4" cm="1">
        <f t="array" ref="AG256">IF(INVESTORS_LIST[[#This Row],[LS_TOTAL UNITS BUY]]&gt;0,INDEX(LS[NAV at Cost (Average)],MATCH(CONCATENATE(COUNTIFS(LS[Investor ID],INVESTORS_LIST[[#This Row],[INVESTOR CODE]]),INVESTORS_LIST[[#This Row],[INVESTOR CODE]]),LS[Unique Code],0),),0)</f>
        <v>12.362111315916014</v>
      </c>
      <c r="AH256" s="4" cm="1">
        <f t="array" ref="AH25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56" s="178">
        <f>IF(INVESTORS_LIST[[#This Row],[TOTAL CURRENT UNITS]]=0,0,(INVESTORS_LIST[[#This Row],[LS_WEIGHT]]*INVESTORS_LIST[[#This Row],[LS_AVERAGE COST]])+(INVESTORS_LIST[[#This Row],[SIP_WEIGHT]]*INVESTORS_LIST[[#This Row],[SIP_AVERAGE COST]]))</f>
        <v>12.362111315916014</v>
      </c>
      <c r="AJ256" s="178">
        <f t="shared" si="3"/>
        <v>12.552</v>
      </c>
      <c r="AK256" s="118">
        <f>IF(INVESTORS_LIST[[#This Row],[TOTAL CURRENT UNITS]]=0,0,INVESTORS_LIST[[#This Row],[TOTAL CURRENT UNITS]]*INVESTORS_LIST[[#This Row],[NAV]])</f>
        <v>313247.712</v>
      </c>
      <c r="AL256" s="4">
        <f>IF(INVESTORS_LIST[[#This Row],[LS_TOTAL CURRENT UNITS]]=0,0,INVESTORS_LIST[[#This Row],[LS_TOTAL CURRENT UNITS]]*INVESTORS_LIST[[#This Row],[NAV]])</f>
        <v>313247.712</v>
      </c>
      <c r="AM256" s="6">
        <f>IF(INVESTORS_LIST[[#This Row],[SIP_TOTAL CURRENT UNITS]]=0,0,INVESTORS_LIST[[#This Row],[SIP_TOTAL CURRENT UNITS]]*INVESTORS_LIST[[#This Row],[NAV]])</f>
        <v>0</v>
      </c>
      <c r="AO256" s="6">
        <f>IF(INVESTORS_LIST[[#This Row],[TOTAL SELLABLE UNITS]]=0,0,INVESTORS_LIST[[#This Row],[TOTAL SELLABLE UNITS]]*INVESTORS_LIST[[#This Row],[NAV]])</f>
        <v>0</v>
      </c>
      <c r="AP256" s="6">
        <f>INVESTORS_LIST[[#This Row],[LS_TOTAL REALIZED GAIN]]+INVESTORS_LIST[[#This Row],[SIP_TOTAL REALIZED GAIN]]</f>
        <v>0</v>
      </c>
      <c r="AQ256" s="6">
        <f>INVESTORS_LIST[[#This Row],[TOTAL MARKET VALUE]]-INVESTORS_LIST[[#This Row],[TOTAL COST VALUE OF CURRENT INVESTMENT]]</f>
        <v>4738.8619999999646</v>
      </c>
      <c r="AR256" s="6">
        <f>SUMIFS(DivAndTax[Tax Amount],DivAndTax[Investor ID],INVESTORS_LIST[[#This Row],[INVESTOR CODE]])</f>
        <v>1276.33</v>
      </c>
      <c r="AS256" s="6">
        <f>SUMIFS(DivAndTax[Gross Dividend],DivAndTax[Investor ID],INVESTORS_LIST[[#This Row],[INVESTOR CODE]])</f>
        <v>8508.85</v>
      </c>
      <c r="AT256" s="5">
        <f>IFERROR(INVESTORS_LIST[[#This Row],[TOTAL CURRENT UNITS]]/SUM(INVESTORS_LIST[TOTAL CURRENT UNITS]),0)</f>
        <v>1.1965113036660922E-3</v>
      </c>
    </row>
    <row r="257" spans="1:46" hidden="1">
      <c r="A257" t="s">
        <v>369</v>
      </c>
      <c r="B257" t="s">
        <v>370</v>
      </c>
      <c r="C257" t="s">
        <v>536</v>
      </c>
      <c r="D257" s="8" t="s">
        <v>2</v>
      </c>
      <c r="E257" s="2">
        <f>SUMIFS(LS[Unit],LS[Investor ID],INVESTORS_LIST[[#This Row],[INVESTOR CODE]],LS[B/S],"B")</f>
        <v>0</v>
      </c>
      <c r="F257" s="2">
        <f>-SUMIFS(LS[Unit],LS[Investor ID],INVESTORS_LIST[[#This Row],[INVESTOR CODE]],LS[B/S],"S")</f>
        <v>0</v>
      </c>
      <c r="G257" s="2">
        <f>IF(INVESTORS_LIST[[#This Row],[LS_TOTAL UNITS BUY]]=0,0,INVESTORS_LIST[[#This Row],[LS_TOTAL UNITS BUY]]-INVESTORS_LIST[[#This Row],[LS_TOTAL UNITS SOLD]])</f>
        <v>0</v>
      </c>
      <c r="H257" s="4">
        <f>IF(INVESTORS_LIST[[#This Row],[LS_TOTAL UNITS BUY]]=0,0,SUMIFS(LS[Amount],LS[Investor ID],INVESTORS_LIST[[#This Row],[INVESTOR CODE]],LS[B/S],"B"))</f>
        <v>0</v>
      </c>
      <c r="I257" s="6">
        <f>IF(INVESTORS_LIST[[#This Row],[LS_TOTAL UNITS SOLD]]=0,0,SUMIFS(LS[Cost of Units Sold],LS[Investor ID],INVESTORS_LIST[[#This Row],[INVESTOR CODE]],LS[B/S],"S"))</f>
        <v>0</v>
      </c>
      <c r="J257" s="6">
        <f>IF(INVESTORS_LIST[[#This Row],[LS_TOTAL CURRENT UNITS]]=0,0,INVESTORS_LIST[[#This Row],[LS_TOTAL CURRENT UNITS]]*INVESTORS_LIST[[#This Row],[LS_AVERAGE COST]])</f>
        <v>0</v>
      </c>
      <c r="K257" s="4">
        <f>IF(INVESTORS_LIST[[#This Row],[LS_TOTAL UNITS SOLD]]=0,0,SUMIFS(LS[Realized Gain],LS[Investor ID],INVESTORS_LIST[[#This Row],[INVESTOR CODE]],LS[B/S],"S"))</f>
        <v>0</v>
      </c>
      <c r="L257" s="2">
        <f>SUMIFS(SIP[Unit],SIP[Investor ID],INVESTORS_LIST[[#This Row],[INVESTOR CODE]],SIP[B/S],"B")</f>
        <v>0</v>
      </c>
      <c r="M257" s="2">
        <f>-SUMIFS(SIP[Unit],SIP[Investor ID],INVESTORS_LIST[[#This Row],[INVESTOR CODE]],SIP[B/S],"S")</f>
        <v>0</v>
      </c>
      <c r="N257" s="33">
        <f>IF(INVESTORS_LIST[[#This Row],[SIP_TOTAL UNITS BUY]]=0,0,INVESTORS_LIST[[#This Row],[SIP_TOTAL UNITS BUY]]-INVESTORS_LIST[[#This Row],[SIP_TOTAL UNITS SOLD]])</f>
        <v>0</v>
      </c>
      <c r="O257" s="4">
        <f>IF(INVESTORS_LIST[[#This Row],[SIP_TOTAL UNITS BUY]]=0,0,SUMIFS(SIP[Amount],SIP[Investor ID],INVESTORS_LIST[[#This Row],[INVESTOR CODE]],SIP[B/S],"B"))</f>
        <v>0</v>
      </c>
      <c r="P257" s="4">
        <f>IF(INVESTORS_LIST[[#This Row],[SIP_TOTAL UNITS SOLD]]=0,0,SUMIFS(SIP[Cost of Units Sold],SIP[Investor ID],INVESTORS_LIST[[#This Row],[INVESTOR CODE]],SIP[B/S],"S"))</f>
        <v>0</v>
      </c>
      <c r="Q257" s="6">
        <f>IF(INVESTORS_LIST[[#This Row],[SIP_TOTAL CURRENT UNITS]]=0,0,INVESTORS_LIST[[#This Row],[SIP_TOTAL CURRENT UNITS]]*INVESTORS_LIST[[#This Row],[SIP_AVERAGE COST]])</f>
        <v>0</v>
      </c>
      <c r="R257" s="6">
        <f>IF(INVESTORS_LIST[[#This Row],[SIP_TOTAL UNITS SOLD]]=0,0,SUMIFS(SIP[Realized Gain],SIP[Investor ID],INVESTORS_LIST[[#This Row],[INVESTOR CODE]],SIP[B/S],"S"))</f>
        <v>0</v>
      </c>
      <c r="S257" s="33">
        <f>INVESTORS_LIST[[#This Row],[LS_TOTAL UNITS BUY]]+INVESTORS_LIST[[#This Row],[SIP_TOTAL UNITS BUY]]</f>
        <v>0</v>
      </c>
      <c r="T257" s="33">
        <f>INVESTORS_LIST[[#This Row],[LS_TOTAL UNITS SOLD]]+INVESTORS_LIST[[#This Row],[SIP_TOTAL UNITS SOLD]]</f>
        <v>0</v>
      </c>
      <c r="U257" s="33">
        <v>0</v>
      </c>
      <c r="V257" s="33">
        <f>SUMIFS(LS[BO UNIT TRANSFER],LS[Investor ID],INVESTORS_LIST[[#This Row],[INVESTOR CODE]],LS[B/S],"B")</f>
        <v>0</v>
      </c>
      <c r="W257" s="33">
        <f>SUMIFS(LS[BO UNIT TRANSFER],LS[Investor ID],INVESTORS_LIST[[#This Row],[INVESTOR CODE]],LS[B/S],"S")</f>
        <v>0</v>
      </c>
      <c r="X257" s="33">
        <f>SUMIFS(SIP[BO UNIT TRANSFER],SIP[Investor ID],INVESTORS_LIST[[#This Row],[INVESTOR CODE]],SIP[B/S],"S")</f>
        <v>0</v>
      </c>
      <c r="Y257" s="33">
        <f>SUMIFS(SIP[BO UNIT TRANSFER],SIP[Investor ID],INVESTORS_LIST[[#This Row],[INVESTOR CODE]],SIP[B/S],"B")</f>
        <v>0</v>
      </c>
      <c r="Z25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57" s="119">
        <f>INVESTORS_LIST[[#This Row],[TOTAL UNITS BUY]]-INVESTORS_LIST[[#This Row],[TOTAL UNITS SOLD]]</f>
        <v>0</v>
      </c>
      <c r="AB257" s="119">
        <f>INVESTORS_LIST[[#This Row],[TOTAL CURRENT UNITS]]-INVESTORS_LIST[[#This Row],[BO UNITS HOLD]]</f>
        <v>0</v>
      </c>
      <c r="AC257" s="119" t="e">
        <f>INDEX([4]!Table_1[BO ID],MATCH(INVESTORS_LIST[[#This Row],[INVESTOR CODE]],[4]!Table_1[INVESTOR CODE],0))</f>
        <v>#REF!</v>
      </c>
      <c r="AD257" s="33">
        <f>INVESTORS_LIST[[#This Row],[LS_TOTAL COST VALUE OF CURRENT UNITS]]+INVESTORS_LIST[[#This Row],[SIP_TOTAL COST VALUE OF CURRENT UNITS]]</f>
        <v>0</v>
      </c>
      <c r="AE257" s="44">
        <f>IF(INVESTORS_LIST[[#This Row],[TOTAL CURRENT UNITS]]=0,0,INVESTORS_LIST[[#This Row],[LS_TOTAL CURRENT UNITS]]/INVESTORS_LIST[[#This Row],[TOTAL CURRENT UNITS]])</f>
        <v>0</v>
      </c>
      <c r="AF257" s="44">
        <f>IF(INVESTORS_LIST[[#This Row],[TOTAL CURRENT UNITS]]=0,0,INVESTORS_LIST[[#This Row],[SIP_TOTAL CURRENT UNITS]]/INVESTORS_LIST[[#This Row],[TOTAL CURRENT UNITS]])</f>
        <v>0</v>
      </c>
      <c r="AG257" s="4" cm="1">
        <f t="array" ref="AG25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57" s="4" cm="1">
        <f t="array" ref="AH2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5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57" s="178">
        <f t="shared" si="3"/>
        <v>12.552</v>
      </c>
      <c r="AK257" s="118">
        <f>IF(INVESTORS_LIST[[#This Row],[TOTAL CURRENT UNITS]]=0,0,INVESTORS_LIST[[#This Row],[TOTAL CURRENT UNITS]]*INVESTORS_LIST[[#This Row],[NAV]])</f>
        <v>0</v>
      </c>
      <c r="AL257" s="4">
        <f>IF(INVESTORS_LIST[[#This Row],[LS_TOTAL CURRENT UNITS]]=0,0,INVESTORS_LIST[[#This Row],[LS_TOTAL CURRENT UNITS]]*INVESTORS_LIST[[#This Row],[NAV]])</f>
        <v>0</v>
      </c>
      <c r="AM257" s="6">
        <f>IF(INVESTORS_LIST[[#This Row],[SIP_TOTAL CURRENT UNITS]]=0,0,INVESTORS_LIST[[#This Row],[SIP_TOTAL CURRENT UNITS]]*INVESTORS_LIST[[#This Row],[NAV]])</f>
        <v>0</v>
      </c>
      <c r="AO257" s="6">
        <f>IF(INVESTORS_LIST[[#This Row],[TOTAL SELLABLE UNITS]]=0,0,INVESTORS_LIST[[#This Row],[TOTAL SELLABLE UNITS]]*INVESTORS_LIST[[#This Row],[NAV]])</f>
        <v>0</v>
      </c>
      <c r="AP257" s="6">
        <f>INVESTORS_LIST[[#This Row],[LS_TOTAL REALIZED GAIN]]+INVESTORS_LIST[[#This Row],[SIP_TOTAL REALIZED GAIN]]</f>
        <v>0</v>
      </c>
      <c r="AQ257" s="6">
        <f>INVESTORS_LIST[[#This Row],[TOTAL MARKET VALUE]]-INVESTORS_LIST[[#This Row],[TOTAL COST VALUE OF CURRENT INVESTMENT]]</f>
        <v>0</v>
      </c>
      <c r="AR257" s="6">
        <f>SUMIFS(DivAndTax[Tax Amount],DivAndTax[Investor ID],INVESTORS_LIST[[#This Row],[INVESTOR CODE]])</f>
        <v>0</v>
      </c>
      <c r="AS257" s="6">
        <f>SUMIFS(DivAndTax[Gross Dividend],DivAndTax[Investor ID],INVESTORS_LIST[[#This Row],[INVESTOR CODE]])</f>
        <v>0</v>
      </c>
      <c r="AT257" s="5">
        <f>IFERROR(INVESTORS_LIST[[#This Row],[TOTAL CURRENT UNITS]]/SUM(INVESTORS_LIST[TOTAL CURRENT UNITS]),0)</f>
        <v>0</v>
      </c>
    </row>
    <row r="258" spans="1:46" hidden="1">
      <c r="A258" t="s">
        <v>371</v>
      </c>
      <c r="B258" t="s">
        <v>372</v>
      </c>
      <c r="C258" t="s">
        <v>536</v>
      </c>
      <c r="D258" s="8" t="s">
        <v>2</v>
      </c>
      <c r="E258" s="2">
        <f>SUMIFS(LS[Unit],LS[Investor ID],INVESTORS_LIST[[#This Row],[INVESTOR CODE]],LS[B/S],"B")</f>
        <v>0</v>
      </c>
      <c r="F258" s="2">
        <f>-SUMIFS(LS[Unit],LS[Investor ID],INVESTORS_LIST[[#This Row],[INVESTOR CODE]],LS[B/S],"S")</f>
        <v>0</v>
      </c>
      <c r="G258" s="2">
        <f>IF(INVESTORS_LIST[[#This Row],[LS_TOTAL UNITS BUY]]=0,0,INVESTORS_LIST[[#This Row],[LS_TOTAL UNITS BUY]]-INVESTORS_LIST[[#This Row],[LS_TOTAL UNITS SOLD]])</f>
        <v>0</v>
      </c>
      <c r="H258" s="4">
        <f>IF(INVESTORS_LIST[[#This Row],[LS_TOTAL UNITS BUY]]=0,0,SUMIFS(LS[Amount],LS[Investor ID],INVESTORS_LIST[[#This Row],[INVESTOR CODE]],LS[B/S],"B"))</f>
        <v>0</v>
      </c>
      <c r="I258" s="6">
        <f>IF(INVESTORS_LIST[[#This Row],[LS_TOTAL UNITS SOLD]]=0,0,SUMIFS(LS[Cost of Units Sold],LS[Investor ID],INVESTORS_LIST[[#This Row],[INVESTOR CODE]],LS[B/S],"S"))</f>
        <v>0</v>
      </c>
      <c r="J258" s="6">
        <f>IF(INVESTORS_LIST[[#This Row],[LS_TOTAL CURRENT UNITS]]=0,0,INVESTORS_LIST[[#This Row],[LS_TOTAL CURRENT UNITS]]*INVESTORS_LIST[[#This Row],[LS_AVERAGE COST]])</f>
        <v>0</v>
      </c>
      <c r="K258" s="4">
        <f>IF(INVESTORS_LIST[[#This Row],[LS_TOTAL UNITS SOLD]]=0,0,SUMIFS(LS[Realized Gain],LS[Investor ID],INVESTORS_LIST[[#This Row],[INVESTOR CODE]],LS[B/S],"S"))</f>
        <v>0</v>
      </c>
      <c r="L258" s="2">
        <f>SUMIFS(SIP[Unit],SIP[Investor ID],INVESTORS_LIST[[#This Row],[INVESTOR CODE]],SIP[B/S],"B")</f>
        <v>0</v>
      </c>
      <c r="M258" s="2">
        <f>-SUMIFS(SIP[Unit],SIP[Investor ID],INVESTORS_LIST[[#This Row],[INVESTOR CODE]],SIP[B/S],"S")</f>
        <v>0</v>
      </c>
      <c r="N258" s="33">
        <f>IF(INVESTORS_LIST[[#This Row],[SIP_TOTAL UNITS BUY]]=0,0,INVESTORS_LIST[[#This Row],[SIP_TOTAL UNITS BUY]]-INVESTORS_LIST[[#This Row],[SIP_TOTAL UNITS SOLD]])</f>
        <v>0</v>
      </c>
      <c r="O258" s="4">
        <f>IF(INVESTORS_LIST[[#This Row],[SIP_TOTAL UNITS BUY]]=0,0,SUMIFS(SIP[Amount],SIP[Investor ID],INVESTORS_LIST[[#This Row],[INVESTOR CODE]],SIP[B/S],"B"))</f>
        <v>0</v>
      </c>
      <c r="P258" s="4">
        <f>IF(INVESTORS_LIST[[#This Row],[SIP_TOTAL UNITS SOLD]]=0,0,SUMIFS(SIP[Cost of Units Sold],SIP[Investor ID],INVESTORS_LIST[[#This Row],[INVESTOR CODE]],SIP[B/S],"S"))</f>
        <v>0</v>
      </c>
      <c r="Q258" s="6">
        <f>IF(INVESTORS_LIST[[#This Row],[SIP_TOTAL CURRENT UNITS]]=0,0,INVESTORS_LIST[[#This Row],[SIP_TOTAL CURRENT UNITS]]*INVESTORS_LIST[[#This Row],[SIP_AVERAGE COST]])</f>
        <v>0</v>
      </c>
      <c r="R258" s="6">
        <f>IF(INVESTORS_LIST[[#This Row],[SIP_TOTAL UNITS SOLD]]=0,0,SUMIFS(SIP[Realized Gain],SIP[Investor ID],INVESTORS_LIST[[#This Row],[INVESTOR CODE]],SIP[B/S],"S"))</f>
        <v>0</v>
      </c>
      <c r="S258" s="33">
        <f>INVESTORS_LIST[[#This Row],[LS_TOTAL UNITS BUY]]+INVESTORS_LIST[[#This Row],[SIP_TOTAL UNITS BUY]]</f>
        <v>0</v>
      </c>
      <c r="T258" s="33">
        <f>INVESTORS_LIST[[#This Row],[LS_TOTAL UNITS SOLD]]+INVESTORS_LIST[[#This Row],[SIP_TOTAL UNITS SOLD]]</f>
        <v>0</v>
      </c>
      <c r="U258" s="33">
        <v>0</v>
      </c>
      <c r="V258" s="33">
        <f>SUMIFS(LS[BO UNIT TRANSFER],LS[Investor ID],INVESTORS_LIST[[#This Row],[INVESTOR CODE]],LS[B/S],"B")</f>
        <v>0</v>
      </c>
      <c r="W258" s="33">
        <f>SUMIFS(LS[BO UNIT TRANSFER],LS[Investor ID],INVESTORS_LIST[[#This Row],[INVESTOR CODE]],LS[B/S],"S")</f>
        <v>0</v>
      </c>
      <c r="X258" s="33">
        <f>SUMIFS(SIP[BO UNIT TRANSFER],SIP[Investor ID],INVESTORS_LIST[[#This Row],[INVESTOR CODE]],SIP[B/S],"S")</f>
        <v>0</v>
      </c>
      <c r="Y258" s="33">
        <f>SUMIFS(SIP[BO UNIT TRANSFER],SIP[Investor ID],INVESTORS_LIST[[#This Row],[INVESTOR CODE]],SIP[B/S],"B")</f>
        <v>0</v>
      </c>
      <c r="Z25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58" s="119">
        <f>INVESTORS_LIST[[#This Row],[TOTAL UNITS BUY]]-INVESTORS_LIST[[#This Row],[TOTAL UNITS SOLD]]</f>
        <v>0</v>
      </c>
      <c r="AB258" s="119">
        <f>INVESTORS_LIST[[#This Row],[TOTAL CURRENT UNITS]]-INVESTORS_LIST[[#This Row],[BO UNITS HOLD]]</f>
        <v>0</v>
      </c>
      <c r="AC258" s="119" t="e">
        <f>INDEX([4]!Table_1[BO ID],MATCH(INVESTORS_LIST[[#This Row],[INVESTOR CODE]],[4]!Table_1[INVESTOR CODE],0))</f>
        <v>#REF!</v>
      </c>
      <c r="AD258" s="33">
        <f>INVESTORS_LIST[[#This Row],[LS_TOTAL COST VALUE OF CURRENT UNITS]]+INVESTORS_LIST[[#This Row],[SIP_TOTAL COST VALUE OF CURRENT UNITS]]</f>
        <v>0</v>
      </c>
      <c r="AE258" s="44">
        <f>IF(INVESTORS_LIST[[#This Row],[TOTAL CURRENT UNITS]]=0,0,INVESTORS_LIST[[#This Row],[LS_TOTAL CURRENT UNITS]]/INVESTORS_LIST[[#This Row],[TOTAL CURRENT UNITS]])</f>
        <v>0</v>
      </c>
      <c r="AF258" s="44">
        <f>IF(INVESTORS_LIST[[#This Row],[TOTAL CURRENT UNITS]]=0,0,INVESTORS_LIST[[#This Row],[SIP_TOTAL CURRENT UNITS]]/INVESTORS_LIST[[#This Row],[TOTAL CURRENT UNITS]])</f>
        <v>0</v>
      </c>
      <c r="AG258" s="4" cm="1">
        <f t="array" ref="AG25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58" s="4" cm="1">
        <f t="array" ref="AH2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5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58" s="178">
        <f t="shared" ref="AJ258:AJ321" si="4">NAV_MKT</f>
        <v>12.552</v>
      </c>
      <c r="AK258" s="118">
        <f>IF(INVESTORS_LIST[[#This Row],[TOTAL CURRENT UNITS]]=0,0,INVESTORS_LIST[[#This Row],[TOTAL CURRENT UNITS]]*INVESTORS_LIST[[#This Row],[NAV]])</f>
        <v>0</v>
      </c>
      <c r="AL258" s="4">
        <f>IF(INVESTORS_LIST[[#This Row],[LS_TOTAL CURRENT UNITS]]=0,0,INVESTORS_LIST[[#This Row],[LS_TOTAL CURRENT UNITS]]*INVESTORS_LIST[[#This Row],[NAV]])</f>
        <v>0</v>
      </c>
      <c r="AM258" s="6">
        <f>IF(INVESTORS_LIST[[#This Row],[SIP_TOTAL CURRENT UNITS]]=0,0,INVESTORS_LIST[[#This Row],[SIP_TOTAL CURRENT UNITS]]*INVESTORS_LIST[[#This Row],[NAV]])</f>
        <v>0</v>
      </c>
      <c r="AO258" s="6">
        <f>IF(INVESTORS_LIST[[#This Row],[TOTAL SELLABLE UNITS]]=0,0,INVESTORS_LIST[[#This Row],[TOTAL SELLABLE UNITS]]*INVESTORS_LIST[[#This Row],[NAV]])</f>
        <v>0</v>
      </c>
      <c r="AP258" s="6">
        <f>INVESTORS_LIST[[#This Row],[LS_TOTAL REALIZED GAIN]]+INVESTORS_LIST[[#This Row],[SIP_TOTAL REALIZED GAIN]]</f>
        <v>0</v>
      </c>
      <c r="AQ258" s="6">
        <f>INVESTORS_LIST[[#This Row],[TOTAL MARKET VALUE]]-INVESTORS_LIST[[#This Row],[TOTAL COST VALUE OF CURRENT INVESTMENT]]</f>
        <v>0</v>
      </c>
      <c r="AR258" s="6">
        <f>SUMIFS(DivAndTax[Tax Amount],DivAndTax[Investor ID],INVESTORS_LIST[[#This Row],[INVESTOR CODE]])</f>
        <v>0</v>
      </c>
      <c r="AS258" s="6">
        <f>SUMIFS(DivAndTax[Gross Dividend],DivAndTax[Investor ID],INVESTORS_LIST[[#This Row],[INVESTOR CODE]])</f>
        <v>0</v>
      </c>
      <c r="AT258" s="5">
        <f>IFERROR(INVESTORS_LIST[[#This Row],[TOTAL CURRENT UNITS]]/SUM(INVESTORS_LIST[TOTAL CURRENT UNITS]),0)</f>
        <v>0</v>
      </c>
    </row>
    <row r="259" spans="1:46" hidden="1">
      <c r="A259" t="s">
        <v>373</v>
      </c>
      <c r="B259" t="s">
        <v>374</v>
      </c>
      <c r="C259" t="s">
        <v>536</v>
      </c>
      <c r="D259" s="8" t="s">
        <v>2</v>
      </c>
      <c r="E259" s="2">
        <f>SUMIFS(LS[Unit],LS[Investor ID],INVESTORS_LIST[[#This Row],[INVESTOR CODE]],LS[B/S],"B")</f>
        <v>29283</v>
      </c>
      <c r="F259" s="2">
        <f>-SUMIFS(LS[Unit],LS[Investor ID],INVESTORS_LIST[[#This Row],[INVESTOR CODE]],LS[B/S],"S")</f>
        <v>29283</v>
      </c>
      <c r="G259" s="2">
        <f>IF(INVESTORS_LIST[[#This Row],[LS_TOTAL UNITS BUY]]=0,0,INVESTORS_LIST[[#This Row],[LS_TOTAL UNITS BUY]]-INVESTORS_LIST[[#This Row],[LS_TOTAL UNITS SOLD]])</f>
        <v>0</v>
      </c>
      <c r="H259" s="4">
        <f>IF(INVESTORS_LIST[[#This Row],[LS_TOTAL UNITS BUY]]=0,0,SUMIFS(LS[Amount],LS[Investor ID],INVESTORS_LIST[[#This Row],[INVESTOR CODE]],LS[B/S],"B"))</f>
        <v>300000</v>
      </c>
      <c r="I259" s="6">
        <f>IF(INVESTORS_LIST[[#This Row],[LS_TOTAL UNITS SOLD]]=0,0,SUMIFS(LS[Cost of Units Sold],LS[Investor ID],INVESTORS_LIST[[#This Row],[INVESTOR CODE]],LS[B/S],"S"))</f>
        <v>300000</v>
      </c>
      <c r="J259" s="6">
        <f>IF(INVESTORS_LIST[[#This Row],[LS_TOTAL CURRENT UNITS]]=0,0,INVESTORS_LIST[[#This Row],[LS_TOTAL CURRENT UNITS]]*INVESTORS_LIST[[#This Row],[LS_AVERAGE COST]])</f>
        <v>0</v>
      </c>
      <c r="K259" s="4">
        <f>IF(INVESTORS_LIST[[#This Row],[LS_TOTAL UNITS SOLD]]=0,0,SUMIFS(LS[Realized Gain],LS[Investor ID],INVESTORS_LIST[[#This Row],[INVESTOR CODE]],LS[B/S],"S"))</f>
        <v>912.10999999999501</v>
      </c>
      <c r="L259" s="2">
        <f>SUMIFS(SIP[Unit],SIP[Investor ID],INVESTORS_LIST[[#This Row],[INVESTOR CODE]],SIP[B/S],"B")</f>
        <v>0</v>
      </c>
      <c r="M259" s="2">
        <f>-SUMIFS(SIP[Unit],SIP[Investor ID],INVESTORS_LIST[[#This Row],[INVESTOR CODE]],SIP[B/S],"S")</f>
        <v>0</v>
      </c>
      <c r="N259" s="33">
        <f>IF(INVESTORS_LIST[[#This Row],[SIP_TOTAL UNITS BUY]]=0,0,INVESTORS_LIST[[#This Row],[SIP_TOTAL UNITS BUY]]-INVESTORS_LIST[[#This Row],[SIP_TOTAL UNITS SOLD]])</f>
        <v>0</v>
      </c>
      <c r="O259" s="4">
        <f>IF(INVESTORS_LIST[[#This Row],[SIP_TOTAL UNITS BUY]]=0,0,SUMIFS(SIP[Amount],SIP[Investor ID],INVESTORS_LIST[[#This Row],[INVESTOR CODE]],SIP[B/S],"B"))</f>
        <v>0</v>
      </c>
      <c r="P259" s="4">
        <f>IF(INVESTORS_LIST[[#This Row],[SIP_TOTAL UNITS SOLD]]=0,0,SUMIFS(SIP[Cost of Units Sold],SIP[Investor ID],INVESTORS_LIST[[#This Row],[INVESTOR CODE]],SIP[B/S],"S"))</f>
        <v>0</v>
      </c>
      <c r="Q259" s="6">
        <f>IF(INVESTORS_LIST[[#This Row],[SIP_TOTAL CURRENT UNITS]]=0,0,INVESTORS_LIST[[#This Row],[SIP_TOTAL CURRENT UNITS]]*INVESTORS_LIST[[#This Row],[SIP_AVERAGE COST]])</f>
        <v>0</v>
      </c>
      <c r="R259" s="6">
        <f>IF(INVESTORS_LIST[[#This Row],[SIP_TOTAL UNITS SOLD]]=0,0,SUMIFS(SIP[Realized Gain],SIP[Investor ID],INVESTORS_LIST[[#This Row],[INVESTOR CODE]],SIP[B/S],"S"))</f>
        <v>0</v>
      </c>
      <c r="S259" s="33">
        <f>INVESTORS_LIST[[#This Row],[LS_TOTAL UNITS BUY]]+INVESTORS_LIST[[#This Row],[SIP_TOTAL UNITS BUY]]</f>
        <v>29283</v>
      </c>
      <c r="T259" s="33">
        <f>INVESTORS_LIST[[#This Row],[LS_TOTAL UNITS SOLD]]+INVESTORS_LIST[[#This Row],[SIP_TOTAL UNITS SOLD]]</f>
        <v>29283</v>
      </c>
      <c r="U259" s="33">
        <v>0</v>
      </c>
      <c r="V259" s="33">
        <f>SUMIFS(LS[BO UNIT TRANSFER],LS[Investor ID],INVESTORS_LIST[[#This Row],[INVESTOR CODE]],LS[B/S],"B")</f>
        <v>0</v>
      </c>
      <c r="W259" s="33">
        <f>SUMIFS(LS[BO UNIT TRANSFER],LS[Investor ID],INVESTORS_LIST[[#This Row],[INVESTOR CODE]],LS[B/S],"S")</f>
        <v>0</v>
      </c>
      <c r="X259" s="33">
        <f>SUMIFS(SIP[BO UNIT TRANSFER],SIP[Investor ID],INVESTORS_LIST[[#This Row],[INVESTOR CODE]],SIP[B/S],"S")</f>
        <v>0</v>
      </c>
      <c r="Y259" s="33">
        <f>SUMIFS(SIP[BO UNIT TRANSFER],SIP[Investor ID],INVESTORS_LIST[[#This Row],[INVESTOR CODE]],SIP[B/S],"B")</f>
        <v>0</v>
      </c>
      <c r="Z25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59" s="119">
        <f>INVESTORS_LIST[[#This Row],[TOTAL UNITS BUY]]-INVESTORS_LIST[[#This Row],[TOTAL UNITS SOLD]]</f>
        <v>0</v>
      </c>
      <c r="AB259" s="119">
        <f>INVESTORS_LIST[[#This Row],[TOTAL CURRENT UNITS]]-INVESTORS_LIST[[#This Row],[BO UNITS HOLD]]</f>
        <v>0</v>
      </c>
      <c r="AC259" s="119" t="e">
        <f>INDEX([4]!Table_1[BO ID],MATCH(INVESTORS_LIST[[#This Row],[INVESTOR CODE]],[4]!Table_1[INVESTOR CODE],0))</f>
        <v>#REF!</v>
      </c>
      <c r="AD259" s="33">
        <f>INVESTORS_LIST[[#This Row],[LS_TOTAL COST VALUE OF CURRENT UNITS]]+INVESTORS_LIST[[#This Row],[SIP_TOTAL COST VALUE OF CURRENT UNITS]]</f>
        <v>0</v>
      </c>
      <c r="AE259" s="44">
        <f>IF(INVESTORS_LIST[[#This Row],[TOTAL CURRENT UNITS]]=0,0,INVESTORS_LIST[[#This Row],[LS_TOTAL CURRENT UNITS]]/INVESTORS_LIST[[#This Row],[TOTAL CURRENT UNITS]])</f>
        <v>0</v>
      </c>
      <c r="AF259" s="44">
        <f>IF(INVESTORS_LIST[[#This Row],[TOTAL CURRENT UNITS]]=0,0,INVESTORS_LIST[[#This Row],[SIP_TOTAL CURRENT UNITS]]/INVESTORS_LIST[[#This Row],[TOTAL CURRENT UNITS]])</f>
        <v>0</v>
      </c>
      <c r="AG259" s="4" cm="1">
        <f t="array" ref="AG25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59" s="4" cm="1">
        <f t="array" ref="AH2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5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59" s="178">
        <f t="shared" si="4"/>
        <v>12.552</v>
      </c>
      <c r="AK259" s="118">
        <f>IF(INVESTORS_LIST[[#This Row],[TOTAL CURRENT UNITS]]=0,0,INVESTORS_LIST[[#This Row],[TOTAL CURRENT UNITS]]*INVESTORS_LIST[[#This Row],[NAV]])</f>
        <v>0</v>
      </c>
      <c r="AL259" s="4">
        <f>IF(INVESTORS_LIST[[#This Row],[LS_TOTAL CURRENT UNITS]]=0,0,INVESTORS_LIST[[#This Row],[LS_TOTAL CURRENT UNITS]]*INVESTORS_LIST[[#This Row],[NAV]])</f>
        <v>0</v>
      </c>
      <c r="AM259" s="6">
        <f>IF(INVESTORS_LIST[[#This Row],[SIP_TOTAL CURRENT UNITS]]=0,0,INVESTORS_LIST[[#This Row],[SIP_TOTAL CURRENT UNITS]]*INVESTORS_LIST[[#This Row],[NAV]])</f>
        <v>0</v>
      </c>
      <c r="AO259" s="6">
        <f>IF(INVESTORS_LIST[[#This Row],[TOTAL SELLABLE UNITS]]=0,0,INVESTORS_LIST[[#This Row],[TOTAL SELLABLE UNITS]]*INVESTORS_LIST[[#This Row],[NAV]])</f>
        <v>0</v>
      </c>
      <c r="AP259" s="6">
        <f>INVESTORS_LIST[[#This Row],[LS_TOTAL REALIZED GAIN]]+INVESTORS_LIST[[#This Row],[SIP_TOTAL REALIZED GAIN]]</f>
        <v>912.10999999999501</v>
      </c>
      <c r="AQ259" s="6">
        <f>INVESTORS_LIST[[#This Row],[TOTAL MARKET VALUE]]-INVESTORS_LIST[[#This Row],[TOTAL COST VALUE OF CURRENT INVESTMENT]]</f>
        <v>0</v>
      </c>
      <c r="AR259" s="6">
        <f>SUMIFS(DivAndTax[Tax Amount],DivAndTax[Investor ID],INVESTORS_LIST[[#This Row],[INVESTOR CODE]])</f>
        <v>0</v>
      </c>
      <c r="AS259" s="6">
        <f>SUMIFS(DivAndTax[Gross Dividend],DivAndTax[Investor ID],INVESTORS_LIST[[#This Row],[INVESTOR CODE]])</f>
        <v>0</v>
      </c>
      <c r="AT259" s="5">
        <f>IFERROR(INVESTORS_LIST[[#This Row],[TOTAL CURRENT UNITS]]/SUM(INVESTORS_LIST[TOTAL CURRENT UNITS]),0)</f>
        <v>0</v>
      </c>
    </row>
    <row r="260" spans="1:46" hidden="1">
      <c r="A260" t="s">
        <v>375</v>
      </c>
      <c r="B260" t="s">
        <v>376</v>
      </c>
      <c r="C260" t="s">
        <v>536</v>
      </c>
      <c r="D260" s="8" t="s">
        <v>2</v>
      </c>
      <c r="E260" s="2">
        <f>SUMIFS(LS[Unit],LS[Investor ID],INVESTORS_LIST[[#This Row],[INVESTOR CODE]],LS[B/S],"B")</f>
        <v>0</v>
      </c>
      <c r="F260" s="2">
        <f>-SUMIFS(LS[Unit],LS[Investor ID],INVESTORS_LIST[[#This Row],[INVESTOR CODE]],LS[B/S],"S")</f>
        <v>0</v>
      </c>
      <c r="G260" s="2">
        <f>IF(INVESTORS_LIST[[#This Row],[LS_TOTAL UNITS BUY]]=0,0,INVESTORS_LIST[[#This Row],[LS_TOTAL UNITS BUY]]-INVESTORS_LIST[[#This Row],[LS_TOTAL UNITS SOLD]])</f>
        <v>0</v>
      </c>
      <c r="H260" s="4">
        <f>IF(INVESTORS_LIST[[#This Row],[LS_TOTAL UNITS BUY]]=0,0,SUMIFS(LS[Amount],LS[Investor ID],INVESTORS_LIST[[#This Row],[INVESTOR CODE]],LS[B/S],"B"))</f>
        <v>0</v>
      </c>
      <c r="I260" s="6">
        <f>IF(INVESTORS_LIST[[#This Row],[LS_TOTAL UNITS SOLD]]=0,0,SUMIFS(LS[Cost of Units Sold],LS[Investor ID],INVESTORS_LIST[[#This Row],[INVESTOR CODE]],LS[B/S],"S"))</f>
        <v>0</v>
      </c>
      <c r="J260" s="6">
        <f>IF(INVESTORS_LIST[[#This Row],[LS_TOTAL CURRENT UNITS]]=0,0,INVESTORS_LIST[[#This Row],[LS_TOTAL CURRENT UNITS]]*INVESTORS_LIST[[#This Row],[LS_AVERAGE COST]])</f>
        <v>0</v>
      </c>
      <c r="K260" s="4">
        <f>IF(INVESTORS_LIST[[#This Row],[LS_TOTAL UNITS SOLD]]=0,0,SUMIFS(LS[Realized Gain],LS[Investor ID],INVESTORS_LIST[[#This Row],[INVESTOR CODE]],LS[B/S],"S"))</f>
        <v>0</v>
      </c>
      <c r="L260" s="2">
        <f>SUMIFS(SIP[Unit],SIP[Investor ID],INVESTORS_LIST[[#This Row],[INVESTOR CODE]],SIP[B/S],"B")</f>
        <v>0</v>
      </c>
      <c r="M260" s="2">
        <f>-SUMIFS(SIP[Unit],SIP[Investor ID],INVESTORS_LIST[[#This Row],[INVESTOR CODE]],SIP[B/S],"S")</f>
        <v>0</v>
      </c>
      <c r="N260" s="33">
        <f>IF(INVESTORS_LIST[[#This Row],[SIP_TOTAL UNITS BUY]]=0,0,INVESTORS_LIST[[#This Row],[SIP_TOTAL UNITS BUY]]-INVESTORS_LIST[[#This Row],[SIP_TOTAL UNITS SOLD]])</f>
        <v>0</v>
      </c>
      <c r="O260" s="4">
        <f>IF(INVESTORS_LIST[[#This Row],[SIP_TOTAL UNITS BUY]]=0,0,SUMIFS(SIP[Amount],SIP[Investor ID],INVESTORS_LIST[[#This Row],[INVESTOR CODE]],SIP[B/S],"B"))</f>
        <v>0</v>
      </c>
      <c r="P260" s="4">
        <f>IF(INVESTORS_LIST[[#This Row],[SIP_TOTAL UNITS SOLD]]=0,0,SUMIFS(SIP[Cost of Units Sold],SIP[Investor ID],INVESTORS_LIST[[#This Row],[INVESTOR CODE]],SIP[B/S],"S"))</f>
        <v>0</v>
      </c>
      <c r="Q260" s="6">
        <f>IF(INVESTORS_LIST[[#This Row],[SIP_TOTAL CURRENT UNITS]]=0,0,INVESTORS_LIST[[#This Row],[SIP_TOTAL CURRENT UNITS]]*INVESTORS_LIST[[#This Row],[SIP_AVERAGE COST]])</f>
        <v>0</v>
      </c>
      <c r="R260" s="6">
        <f>IF(INVESTORS_LIST[[#This Row],[SIP_TOTAL UNITS SOLD]]=0,0,SUMIFS(SIP[Realized Gain],SIP[Investor ID],INVESTORS_LIST[[#This Row],[INVESTOR CODE]],SIP[B/S],"S"))</f>
        <v>0</v>
      </c>
      <c r="S260" s="33">
        <f>INVESTORS_LIST[[#This Row],[LS_TOTAL UNITS BUY]]+INVESTORS_LIST[[#This Row],[SIP_TOTAL UNITS BUY]]</f>
        <v>0</v>
      </c>
      <c r="T260" s="33">
        <f>INVESTORS_LIST[[#This Row],[LS_TOTAL UNITS SOLD]]+INVESTORS_LIST[[#This Row],[SIP_TOTAL UNITS SOLD]]</f>
        <v>0</v>
      </c>
      <c r="U260" s="33">
        <v>0</v>
      </c>
      <c r="V260" s="33">
        <f>SUMIFS(LS[BO UNIT TRANSFER],LS[Investor ID],INVESTORS_LIST[[#This Row],[INVESTOR CODE]],LS[B/S],"B")</f>
        <v>0</v>
      </c>
      <c r="W260" s="33">
        <f>SUMIFS(LS[BO UNIT TRANSFER],LS[Investor ID],INVESTORS_LIST[[#This Row],[INVESTOR CODE]],LS[B/S],"S")</f>
        <v>0</v>
      </c>
      <c r="X260" s="33">
        <f>SUMIFS(SIP[BO UNIT TRANSFER],SIP[Investor ID],INVESTORS_LIST[[#This Row],[INVESTOR CODE]],SIP[B/S],"S")</f>
        <v>0</v>
      </c>
      <c r="Y260" s="33">
        <f>SUMIFS(SIP[BO UNIT TRANSFER],SIP[Investor ID],INVESTORS_LIST[[#This Row],[INVESTOR CODE]],SIP[B/S],"B")</f>
        <v>0</v>
      </c>
      <c r="Z26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60" s="119">
        <f>INVESTORS_LIST[[#This Row],[TOTAL UNITS BUY]]-INVESTORS_LIST[[#This Row],[TOTAL UNITS SOLD]]</f>
        <v>0</v>
      </c>
      <c r="AB260" s="119">
        <f>INVESTORS_LIST[[#This Row],[TOTAL CURRENT UNITS]]-INVESTORS_LIST[[#This Row],[BO UNITS HOLD]]</f>
        <v>0</v>
      </c>
      <c r="AC260" s="119" t="e">
        <f>INDEX([4]!Table_1[BO ID],MATCH(INVESTORS_LIST[[#This Row],[INVESTOR CODE]],[4]!Table_1[INVESTOR CODE],0))</f>
        <v>#REF!</v>
      </c>
      <c r="AD260" s="33">
        <f>INVESTORS_LIST[[#This Row],[LS_TOTAL COST VALUE OF CURRENT UNITS]]+INVESTORS_LIST[[#This Row],[SIP_TOTAL COST VALUE OF CURRENT UNITS]]</f>
        <v>0</v>
      </c>
      <c r="AE260" s="44">
        <f>IF(INVESTORS_LIST[[#This Row],[TOTAL CURRENT UNITS]]=0,0,INVESTORS_LIST[[#This Row],[LS_TOTAL CURRENT UNITS]]/INVESTORS_LIST[[#This Row],[TOTAL CURRENT UNITS]])</f>
        <v>0</v>
      </c>
      <c r="AF260" s="44">
        <f>IF(INVESTORS_LIST[[#This Row],[TOTAL CURRENT UNITS]]=0,0,INVESTORS_LIST[[#This Row],[SIP_TOTAL CURRENT UNITS]]/INVESTORS_LIST[[#This Row],[TOTAL CURRENT UNITS]])</f>
        <v>0</v>
      </c>
      <c r="AG260" s="4" cm="1">
        <f t="array" ref="AG26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60" s="4" cm="1">
        <f t="array" ref="AH26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6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60" s="178">
        <f t="shared" si="4"/>
        <v>12.552</v>
      </c>
      <c r="AK260" s="118">
        <f>IF(INVESTORS_LIST[[#This Row],[TOTAL CURRENT UNITS]]=0,0,INVESTORS_LIST[[#This Row],[TOTAL CURRENT UNITS]]*INVESTORS_LIST[[#This Row],[NAV]])</f>
        <v>0</v>
      </c>
      <c r="AL260" s="4">
        <f>IF(INVESTORS_LIST[[#This Row],[LS_TOTAL CURRENT UNITS]]=0,0,INVESTORS_LIST[[#This Row],[LS_TOTAL CURRENT UNITS]]*INVESTORS_LIST[[#This Row],[NAV]])</f>
        <v>0</v>
      </c>
      <c r="AM260" s="6">
        <f>IF(INVESTORS_LIST[[#This Row],[SIP_TOTAL CURRENT UNITS]]=0,0,INVESTORS_LIST[[#This Row],[SIP_TOTAL CURRENT UNITS]]*INVESTORS_LIST[[#This Row],[NAV]])</f>
        <v>0</v>
      </c>
      <c r="AO260" s="6">
        <f>IF(INVESTORS_LIST[[#This Row],[TOTAL SELLABLE UNITS]]=0,0,INVESTORS_LIST[[#This Row],[TOTAL SELLABLE UNITS]]*INVESTORS_LIST[[#This Row],[NAV]])</f>
        <v>0</v>
      </c>
      <c r="AP260" s="6">
        <f>INVESTORS_LIST[[#This Row],[LS_TOTAL REALIZED GAIN]]+INVESTORS_LIST[[#This Row],[SIP_TOTAL REALIZED GAIN]]</f>
        <v>0</v>
      </c>
      <c r="AQ260" s="6">
        <f>INVESTORS_LIST[[#This Row],[TOTAL MARKET VALUE]]-INVESTORS_LIST[[#This Row],[TOTAL COST VALUE OF CURRENT INVESTMENT]]</f>
        <v>0</v>
      </c>
      <c r="AR260" s="6">
        <f>SUMIFS(DivAndTax[Tax Amount],DivAndTax[Investor ID],INVESTORS_LIST[[#This Row],[INVESTOR CODE]])</f>
        <v>0</v>
      </c>
      <c r="AS260" s="6">
        <f>SUMIFS(DivAndTax[Gross Dividend],DivAndTax[Investor ID],INVESTORS_LIST[[#This Row],[INVESTOR CODE]])</f>
        <v>0</v>
      </c>
      <c r="AT260" s="5">
        <f>IFERROR(INVESTORS_LIST[[#This Row],[TOTAL CURRENT UNITS]]/SUM(INVESTORS_LIST[TOTAL CURRENT UNITS]),0)</f>
        <v>0</v>
      </c>
    </row>
    <row r="261" spans="1:46" hidden="1">
      <c r="A261" t="s">
        <v>378</v>
      </c>
      <c r="B261" t="s">
        <v>379</v>
      </c>
      <c r="C261" t="s">
        <v>539</v>
      </c>
      <c r="D261" s="8" t="s">
        <v>2</v>
      </c>
      <c r="E261" s="2">
        <f>SUMIFS(LS[Unit],LS[Investor ID],INVESTORS_LIST[[#This Row],[INVESTOR CODE]],LS[B/S],"B")</f>
        <v>0</v>
      </c>
      <c r="F261" s="2">
        <f>-SUMIFS(LS[Unit],LS[Investor ID],INVESTORS_LIST[[#This Row],[INVESTOR CODE]],LS[B/S],"S")</f>
        <v>0</v>
      </c>
      <c r="G261" s="2">
        <f>IF(INVESTORS_LIST[[#This Row],[LS_TOTAL UNITS BUY]]=0,0,INVESTORS_LIST[[#This Row],[LS_TOTAL UNITS BUY]]-INVESTORS_LIST[[#This Row],[LS_TOTAL UNITS SOLD]])</f>
        <v>0</v>
      </c>
      <c r="H261" s="4">
        <f>IF(INVESTORS_LIST[[#This Row],[LS_TOTAL UNITS BUY]]=0,0,SUMIFS(LS[Amount],LS[Investor ID],INVESTORS_LIST[[#This Row],[INVESTOR CODE]],LS[B/S],"B"))</f>
        <v>0</v>
      </c>
      <c r="I261" s="6">
        <f>IF(INVESTORS_LIST[[#This Row],[LS_TOTAL UNITS SOLD]]=0,0,SUMIFS(LS[Cost of Units Sold],LS[Investor ID],INVESTORS_LIST[[#This Row],[INVESTOR CODE]],LS[B/S],"S"))</f>
        <v>0</v>
      </c>
      <c r="J261" s="6">
        <f>IF(INVESTORS_LIST[[#This Row],[LS_TOTAL CURRENT UNITS]]=0,0,INVESTORS_LIST[[#This Row],[LS_TOTAL CURRENT UNITS]]*INVESTORS_LIST[[#This Row],[LS_AVERAGE COST]])</f>
        <v>0</v>
      </c>
      <c r="K261" s="4">
        <f>IF(INVESTORS_LIST[[#This Row],[LS_TOTAL UNITS SOLD]]=0,0,SUMIFS(LS[Realized Gain],LS[Investor ID],INVESTORS_LIST[[#This Row],[INVESTOR CODE]],LS[B/S],"S"))</f>
        <v>0</v>
      </c>
      <c r="L261" s="2">
        <f>SUMIFS(SIP[Unit],SIP[Investor ID],INVESTORS_LIST[[#This Row],[INVESTOR CODE]],SIP[B/S],"B")</f>
        <v>0</v>
      </c>
      <c r="M261" s="2">
        <f>-SUMIFS(SIP[Unit],SIP[Investor ID],INVESTORS_LIST[[#This Row],[INVESTOR CODE]],SIP[B/S],"S")</f>
        <v>0</v>
      </c>
      <c r="N261" s="33">
        <f>IF(INVESTORS_LIST[[#This Row],[SIP_TOTAL UNITS BUY]]=0,0,INVESTORS_LIST[[#This Row],[SIP_TOTAL UNITS BUY]]-INVESTORS_LIST[[#This Row],[SIP_TOTAL UNITS SOLD]])</f>
        <v>0</v>
      </c>
      <c r="O261" s="4">
        <f>IF(INVESTORS_LIST[[#This Row],[SIP_TOTAL UNITS BUY]]=0,0,SUMIFS(SIP[Amount],SIP[Investor ID],INVESTORS_LIST[[#This Row],[INVESTOR CODE]],SIP[B/S],"B"))</f>
        <v>0</v>
      </c>
      <c r="P261" s="4">
        <f>IF(INVESTORS_LIST[[#This Row],[SIP_TOTAL UNITS SOLD]]=0,0,SUMIFS(SIP[Cost of Units Sold],SIP[Investor ID],INVESTORS_LIST[[#This Row],[INVESTOR CODE]],SIP[B/S],"S"))</f>
        <v>0</v>
      </c>
      <c r="Q261" s="6">
        <f>IF(INVESTORS_LIST[[#This Row],[SIP_TOTAL CURRENT UNITS]]=0,0,INVESTORS_LIST[[#This Row],[SIP_TOTAL CURRENT UNITS]]*INVESTORS_LIST[[#This Row],[SIP_AVERAGE COST]])</f>
        <v>0</v>
      </c>
      <c r="R261" s="6">
        <f>IF(INVESTORS_LIST[[#This Row],[SIP_TOTAL UNITS SOLD]]=0,0,SUMIFS(SIP[Realized Gain],SIP[Investor ID],INVESTORS_LIST[[#This Row],[INVESTOR CODE]],SIP[B/S],"S"))</f>
        <v>0</v>
      </c>
      <c r="S261" s="33">
        <f>INVESTORS_LIST[[#This Row],[LS_TOTAL UNITS BUY]]+INVESTORS_LIST[[#This Row],[SIP_TOTAL UNITS BUY]]</f>
        <v>0</v>
      </c>
      <c r="T261" s="33">
        <f>INVESTORS_LIST[[#This Row],[LS_TOTAL UNITS SOLD]]+INVESTORS_LIST[[#This Row],[SIP_TOTAL UNITS SOLD]]</f>
        <v>0</v>
      </c>
      <c r="U261" s="33">
        <v>0</v>
      </c>
      <c r="V261" s="33">
        <f>SUMIFS(LS[BO UNIT TRANSFER],LS[Investor ID],INVESTORS_LIST[[#This Row],[INVESTOR CODE]],LS[B/S],"B")</f>
        <v>0</v>
      </c>
      <c r="W261" s="33">
        <f>SUMIFS(LS[BO UNIT TRANSFER],LS[Investor ID],INVESTORS_LIST[[#This Row],[INVESTOR CODE]],LS[B/S],"S")</f>
        <v>0</v>
      </c>
      <c r="X261" s="33">
        <f>SUMIFS(SIP[BO UNIT TRANSFER],SIP[Investor ID],INVESTORS_LIST[[#This Row],[INVESTOR CODE]],SIP[B/S],"S")</f>
        <v>0</v>
      </c>
      <c r="Y261" s="33">
        <f>SUMIFS(SIP[BO UNIT TRANSFER],SIP[Investor ID],INVESTORS_LIST[[#This Row],[INVESTOR CODE]],SIP[B/S],"B")</f>
        <v>0</v>
      </c>
      <c r="Z26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61" s="119">
        <f>INVESTORS_LIST[[#This Row],[TOTAL UNITS BUY]]-INVESTORS_LIST[[#This Row],[TOTAL UNITS SOLD]]</f>
        <v>0</v>
      </c>
      <c r="AB261" s="119">
        <f>INVESTORS_LIST[[#This Row],[TOTAL CURRENT UNITS]]-INVESTORS_LIST[[#This Row],[BO UNITS HOLD]]</f>
        <v>0</v>
      </c>
      <c r="AC261" s="119" t="e">
        <f>INDEX([4]!Table_1[BO ID],MATCH(INVESTORS_LIST[[#This Row],[INVESTOR CODE]],[4]!Table_1[INVESTOR CODE],0))</f>
        <v>#REF!</v>
      </c>
      <c r="AD261" s="33">
        <f>INVESTORS_LIST[[#This Row],[LS_TOTAL COST VALUE OF CURRENT UNITS]]+INVESTORS_LIST[[#This Row],[SIP_TOTAL COST VALUE OF CURRENT UNITS]]</f>
        <v>0</v>
      </c>
      <c r="AE261" s="44">
        <f>IF(INVESTORS_LIST[[#This Row],[TOTAL CURRENT UNITS]]=0,0,INVESTORS_LIST[[#This Row],[LS_TOTAL CURRENT UNITS]]/INVESTORS_LIST[[#This Row],[TOTAL CURRENT UNITS]])</f>
        <v>0</v>
      </c>
      <c r="AF261" s="44">
        <f>IF(INVESTORS_LIST[[#This Row],[TOTAL CURRENT UNITS]]=0,0,INVESTORS_LIST[[#This Row],[SIP_TOTAL CURRENT UNITS]]/INVESTORS_LIST[[#This Row],[TOTAL CURRENT UNITS]])</f>
        <v>0</v>
      </c>
      <c r="AG261" s="4" cm="1">
        <f t="array" ref="AG26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61" s="4" cm="1">
        <f t="array" ref="AH2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6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61" s="178">
        <f t="shared" si="4"/>
        <v>12.552</v>
      </c>
      <c r="AK261" s="118">
        <f>IF(INVESTORS_LIST[[#This Row],[TOTAL CURRENT UNITS]]=0,0,INVESTORS_LIST[[#This Row],[TOTAL CURRENT UNITS]]*INVESTORS_LIST[[#This Row],[NAV]])</f>
        <v>0</v>
      </c>
      <c r="AL261" s="4">
        <f>IF(INVESTORS_LIST[[#This Row],[LS_TOTAL CURRENT UNITS]]=0,0,INVESTORS_LIST[[#This Row],[LS_TOTAL CURRENT UNITS]]*INVESTORS_LIST[[#This Row],[NAV]])</f>
        <v>0</v>
      </c>
      <c r="AM261" s="6">
        <f>IF(INVESTORS_LIST[[#This Row],[SIP_TOTAL CURRENT UNITS]]=0,0,INVESTORS_LIST[[#This Row],[SIP_TOTAL CURRENT UNITS]]*INVESTORS_LIST[[#This Row],[NAV]])</f>
        <v>0</v>
      </c>
      <c r="AO261" s="6">
        <f>IF(INVESTORS_LIST[[#This Row],[TOTAL SELLABLE UNITS]]=0,0,INVESTORS_LIST[[#This Row],[TOTAL SELLABLE UNITS]]*INVESTORS_LIST[[#This Row],[NAV]])</f>
        <v>0</v>
      </c>
      <c r="AP261" s="6">
        <f>INVESTORS_LIST[[#This Row],[LS_TOTAL REALIZED GAIN]]+INVESTORS_LIST[[#This Row],[SIP_TOTAL REALIZED GAIN]]</f>
        <v>0</v>
      </c>
      <c r="AQ261" s="6">
        <f>INVESTORS_LIST[[#This Row],[TOTAL MARKET VALUE]]-INVESTORS_LIST[[#This Row],[TOTAL COST VALUE OF CURRENT INVESTMENT]]</f>
        <v>0</v>
      </c>
      <c r="AR261" s="6">
        <f>SUMIFS(DivAndTax[Tax Amount],DivAndTax[Investor ID],INVESTORS_LIST[[#This Row],[INVESTOR CODE]])</f>
        <v>0</v>
      </c>
      <c r="AS261" s="6">
        <f>SUMIFS(DivAndTax[Gross Dividend],DivAndTax[Investor ID],INVESTORS_LIST[[#This Row],[INVESTOR CODE]])</f>
        <v>0</v>
      </c>
      <c r="AT261" s="5">
        <f>IFERROR(INVESTORS_LIST[[#This Row],[TOTAL CURRENT UNITS]]/SUM(INVESTORS_LIST[TOTAL CURRENT UNITS]),0)</f>
        <v>0</v>
      </c>
    </row>
    <row r="262" spans="1:46" hidden="1">
      <c r="A262" t="s">
        <v>380</v>
      </c>
      <c r="B262" t="s">
        <v>381</v>
      </c>
      <c r="C262" t="s">
        <v>539</v>
      </c>
      <c r="D262" s="8" t="s">
        <v>2</v>
      </c>
      <c r="E262" s="2">
        <f>SUMIFS(LS[Unit],LS[Investor ID],INVESTORS_LIST[[#This Row],[INVESTOR CODE]],LS[B/S],"B")</f>
        <v>20008</v>
      </c>
      <c r="F262" s="2">
        <f>-SUMIFS(LS[Unit],LS[Investor ID],INVESTORS_LIST[[#This Row],[INVESTOR CODE]],LS[B/S],"S")</f>
        <v>20008</v>
      </c>
      <c r="G262" s="2">
        <f>IF(INVESTORS_LIST[[#This Row],[LS_TOTAL UNITS BUY]]=0,0,INVESTORS_LIST[[#This Row],[LS_TOTAL UNITS BUY]]-INVESTORS_LIST[[#This Row],[LS_TOTAL UNITS SOLD]])</f>
        <v>0</v>
      </c>
      <c r="H262" s="4">
        <f>IF(INVESTORS_LIST[[#This Row],[LS_TOTAL UNITS BUY]]=0,0,SUMIFS(LS[Amount],LS[Investor ID],INVESTORS_LIST[[#This Row],[INVESTOR CODE]],LS[B/S],"B"))</f>
        <v>204812.75</v>
      </c>
      <c r="I262" s="6">
        <f>IF(INVESTORS_LIST[[#This Row],[LS_TOTAL UNITS SOLD]]=0,0,SUMIFS(LS[Cost of Units Sold],LS[Investor ID],INVESTORS_LIST[[#This Row],[INVESTOR CODE]],LS[B/S],"S"))</f>
        <v>204812.75</v>
      </c>
      <c r="J262" s="6">
        <f>IF(INVESTORS_LIST[[#This Row],[LS_TOTAL CURRENT UNITS]]=0,0,INVESTORS_LIST[[#This Row],[LS_TOTAL CURRENT UNITS]]*INVESTORS_LIST[[#This Row],[LS_AVERAGE COST]])</f>
        <v>0</v>
      </c>
      <c r="K262" s="4">
        <f>IF(INVESTORS_LIST[[#This Row],[LS_TOTAL UNITS SOLD]]=0,0,SUMIFS(LS[Realized Gain],LS[Investor ID],INVESTORS_LIST[[#This Row],[INVESTOR CODE]],LS[B/S],"S"))</f>
        <v>2803.6600000000167</v>
      </c>
      <c r="L262" s="2">
        <f>SUMIFS(SIP[Unit],SIP[Investor ID],INVESTORS_LIST[[#This Row],[INVESTOR CODE]],SIP[B/S],"B")</f>
        <v>0</v>
      </c>
      <c r="M262" s="2">
        <f>-SUMIFS(SIP[Unit],SIP[Investor ID],INVESTORS_LIST[[#This Row],[INVESTOR CODE]],SIP[B/S],"S")</f>
        <v>0</v>
      </c>
      <c r="N262" s="33">
        <f>IF(INVESTORS_LIST[[#This Row],[SIP_TOTAL UNITS BUY]]=0,0,INVESTORS_LIST[[#This Row],[SIP_TOTAL UNITS BUY]]-INVESTORS_LIST[[#This Row],[SIP_TOTAL UNITS SOLD]])</f>
        <v>0</v>
      </c>
      <c r="O262" s="4">
        <f>IF(INVESTORS_LIST[[#This Row],[SIP_TOTAL UNITS BUY]]=0,0,SUMIFS(SIP[Amount],SIP[Investor ID],INVESTORS_LIST[[#This Row],[INVESTOR CODE]],SIP[B/S],"B"))</f>
        <v>0</v>
      </c>
      <c r="P262" s="4">
        <f>IF(INVESTORS_LIST[[#This Row],[SIP_TOTAL UNITS SOLD]]=0,0,SUMIFS(SIP[Cost of Units Sold],SIP[Investor ID],INVESTORS_LIST[[#This Row],[INVESTOR CODE]],SIP[B/S],"S"))</f>
        <v>0</v>
      </c>
      <c r="Q262" s="6">
        <f>IF(INVESTORS_LIST[[#This Row],[SIP_TOTAL CURRENT UNITS]]=0,0,INVESTORS_LIST[[#This Row],[SIP_TOTAL CURRENT UNITS]]*INVESTORS_LIST[[#This Row],[SIP_AVERAGE COST]])</f>
        <v>0</v>
      </c>
      <c r="R262" s="6">
        <f>IF(INVESTORS_LIST[[#This Row],[SIP_TOTAL UNITS SOLD]]=0,0,SUMIFS(SIP[Realized Gain],SIP[Investor ID],INVESTORS_LIST[[#This Row],[INVESTOR CODE]],SIP[B/S],"S"))</f>
        <v>0</v>
      </c>
      <c r="S262" s="33">
        <f>INVESTORS_LIST[[#This Row],[LS_TOTAL UNITS BUY]]+INVESTORS_LIST[[#This Row],[SIP_TOTAL UNITS BUY]]</f>
        <v>20008</v>
      </c>
      <c r="T262" s="33">
        <f>INVESTORS_LIST[[#This Row],[LS_TOTAL UNITS SOLD]]+INVESTORS_LIST[[#This Row],[SIP_TOTAL UNITS SOLD]]</f>
        <v>20008</v>
      </c>
      <c r="U262" s="33">
        <v>0</v>
      </c>
      <c r="V262" s="33">
        <f>SUMIFS(LS[BO UNIT TRANSFER],LS[Investor ID],INVESTORS_LIST[[#This Row],[INVESTOR CODE]],LS[B/S],"B")</f>
        <v>0</v>
      </c>
      <c r="W262" s="33">
        <f>SUMIFS(LS[BO UNIT TRANSFER],LS[Investor ID],INVESTORS_LIST[[#This Row],[INVESTOR CODE]],LS[B/S],"S")</f>
        <v>0</v>
      </c>
      <c r="X262" s="33">
        <f>SUMIFS(SIP[BO UNIT TRANSFER],SIP[Investor ID],INVESTORS_LIST[[#This Row],[INVESTOR CODE]],SIP[B/S],"S")</f>
        <v>0</v>
      </c>
      <c r="Y262" s="33">
        <f>SUMIFS(SIP[BO UNIT TRANSFER],SIP[Investor ID],INVESTORS_LIST[[#This Row],[INVESTOR CODE]],SIP[B/S],"B")</f>
        <v>0</v>
      </c>
      <c r="Z26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62" s="119">
        <f>INVESTORS_LIST[[#This Row],[TOTAL UNITS BUY]]-INVESTORS_LIST[[#This Row],[TOTAL UNITS SOLD]]</f>
        <v>0</v>
      </c>
      <c r="AB262" s="119">
        <f>INVESTORS_LIST[[#This Row],[TOTAL CURRENT UNITS]]-INVESTORS_LIST[[#This Row],[BO UNITS HOLD]]</f>
        <v>0</v>
      </c>
      <c r="AC262" s="119" t="e">
        <f>INDEX([4]!Table_1[BO ID],MATCH(INVESTORS_LIST[[#This Row],[INVESTOR CODE]],[4]!Table_1[INVESTOR CODE],0))</f>
        <v>#REF!</v>
      </c>
      <c r="AD262" s="33">
        <f>INVESTORS_LIST[[#This Row],[LS_TOTAL COST VALUE OF CURRENT UNITS]]+INVESTORS_LIST[[#This Row],[SIP_TOTAL COST VALUE OF CURRENT UNITS]]</f>
        <v>0</v>
      </c>
      <c r="AE262" s="44">
        <f>IF(INVESTORS_LIST[[#This Row],[TOTAL CURRENT UNITS]]=0,0,INVESTORS_LIST[[#This Row],[LS_TOTAL CURRENT UNITS]]/INVESTORS_LIST[[#This Row],[TOTAL CURRENT UNITS]])</f>
        <v>0</v>
      </c>
      <c r="AF262" s="44">
        <f>IF(INVESTORS_LIST[[#This Row],[TOTAL CURRENT UNITS]]=0,0,INVESTORS_LIST[[#This Row],[SIP_TOTAL CURRENT UNITS]]/INVESTORS_LIST[[#This Row],[TOTAL CURRENT UNITS]])</f>
        <v>0</v>
      </c>
      <c r="AG262" s="4" cm="1">
        <f t="array" ref="AG26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62" s="4" cm="1">
        <f t="array" ref="AH2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6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62" s="178">
        <f t="shared" si="4"/>
        <v>12.552</v>
      </c>
      <c r="AK262" s="118">
        <f>IF(INVESTORS_LIST[[#This Row],[TOTAL CURRENT UNITS]]=0,0,INVESTORS_LIST[[#This Row],[TOTAL CURRENT UNITS]]*INVESTORS_LIST[[#This Row],[NAV]])</f>
        <v>0</v>
      </c>
      <c r="AL262" s="4">
        <f>IF(INVESTORS_LIST[[#This Row],[LS_TOTAL CURRENT UNITS]]=0,0,INVESTORS_LIST[[#This Row],[LS_TOTAL CURRENT UNITS]]*INVESTORS_LIST[[#This Row],[NAV]])</f>
        <v>0</v>
      </c>
      <c r="AM262" s="6">
        <f>IF(INVESTORS_LIST[[#This Row],[SIP_TOTAL CURRENT UNITS]]=0,0,INVESTORS_LIST[[#This Row],[SIP_TOTAL CURRENT UNITS]]*INVESTORS_LIST[[#This Row],[NAV]])</f>
        <v>0</v>
      </c>
      <c r="AO262" s="6">
        <f>IF(INVESTORS_LIST[[#This Row],[TOTAL SELLABLE UNITS]]=0,0,INVESTORS_LIST[[#This Row],[TOTAL SELLABLE UNITS]]*INVESTORS_LIST[[#This Row],[NAV]])</f>
        <v>0</v>
      </c>
      <c r="AP262" s="6">
        <f>INVESTORS_LIST[[#This Row],[LS_TOTAL REALIZED GAIN]]+INVESTORS_LIST[[#This Row],[SIP_TOTAL REALIZED GAIN]]</f>
        <v>2803.6600000000167</v>
      </c>
      <c r="AQ262" s="6">
        <f>INVESTORS_LIST[[#This Row],[TOTAL MARKET VALUE]]-INVESTORS_LIST[[#This Row],[TOTAL COST VALUE OF CURRENT INVESTMENT]]</f>
        <v>0</v>
      </c>
      <c r="AR262" s="6">
        <f>SUMIFS(DivAndTax[Tax Amount],DivAndTax[Investor ID],INVESTORS_LIST[[#This Row],[INVESTOR CODE]])</f>
        <v>534.75</v>
      </c>
      <c r="AS262" s="6">
        <f>SUMIFS(DivAndTax[Gross Dividend],DivAndTax[Investor ID],INVESTORS_LIST[[#This Row],[INVESTOR CODE]])</f>
        <v>5347.5</v>
      </c>
      <c r="AT262" s="5">
        <f>IFERROR(INVESTORS_LIST[[#This Row],[TOTAL CURRENT UNITS]]/SUM(INVESTORS_LIST[TOTAL CURRENT UNITS]),0)</f>
        <v>0</v>
      </c>
    </row>
    <row r="263" spans="1:46" hidden="1">
      <c r="A263" t="s">
        <v>382</v>
      </c>
      <c r="B263" t="s">
        <v>383</v>
      </c>
      <c r="C263" t="s">
        <v>539</v>
      </c>
      <c r="D263" s="8" t="s">
        <v>2</v>
      </c>
      <c r="E263" s="2">
        <f>SUMIFS(LS[Unit],LS[Investor ID],INVESTORS_LIST[[#This Row],[INVESTOR CODE]],LS[B/S],"B")</f>
        <v>722200</v>
      </c>
      <c r="F263" s="2">
        <f>-SUMIFS(LS[Unit],LS[Investor ID],INVESTORS_LIST[[#This Row],[INVESTOR CODE]],LS[B/S],"S")</f>
        <v>722200</v>
      </c>
      <c r="G263" s="2">
        <f>IF(INVESTORS_LIST[[#This Row],[LS_TOTAL UNITS BUY]]=0,0,INVESTORS_LIST[[#This Row],[LS_TOTAL UNITS BUY]]-INVESTORS_LIST[[#This Row],[LS_TOTAL UNITS SOLD]])</f>
        <v>0</v>
      </c>
      <c r="H263" s="4">
        <f>IF(INVESTORS_LIST[[#This Row],[LS_TOTAL UNITS BUY]]=0,0,SUMIFS(LS[Amount],LS[Investor ID],INVESTORS_LIST[[#This Row],[INVESTOR CODE]],LS[B/S],"B"))</f>
        <v>7198000</v>
      </c>
      <c r="I263" s="6">
        <f>IF(INVESTORS_LIST[[#This Row],[LS_TOTAL UNITS SOLD]]=0,0,SUMIFS(LS[Cost of Units Sold],LS[Investor ID],INVESTORS_LIST[[#This Row],[INVESTOR CODE]],LS[B/S],"S"))</f>
        <v>7198000</v>
      </c>
      <c r="J263" s="6">
        <f>IF(INVESTORS_LIST[[#This Row],[LS_TOTAL CURRENT UNITS]]=0,0,INVESTORS_LIST[[#This Row],[LS_TOTAL CURRENT UNITS]]*INVESTORS_LIST[[#This Row],[LS_AVERAGE COST]])</f>
        <v>0</v>
      </c>
      <c r="K263" s="4">
        <f>IF(INVESTORS_LIST[[#This Row],[LS_TOTAL UNITS SOLD]]=0,0,SUMIFS(LS[Realized Gain],LS[Investor ID],INVESTORS_LIST[[#This Row],[INVESTOR CODE]],LS[B/S],"S"))</f>
        <v>73160.40000000014</v>
      </c>
      <c r="L263" s="2">
        <f>SUMIFS(SIP[Unit],SIP[Investor ID],INVESTORS_LIST[[#This Row],[INVESTOR CODE]],SIP[B/S],"B")</f>
        <v>0</v>
      </c>
      <c r="M263" s="2">
        <f>-SUMIFS(SIP[Unit],SIP[Investor ID],INVESTORS_LIST[[#This Row],[INVESTOR CODE]],SIP[B/S],"S")</f>
        <v>0</v>
      </c>
      <c r="N263" s="33">
        <f>IF(INVESTORS_LIST[[#This Row],[SIP_TOTAL UNITS BUY]]=0,0,INVESTORS_LIST[[#This Row],[SIP_TOTAL UNITS BUY]]-INVESTORS_LIST[[#This Row],[SIP_TOTAL UNITS SOLD]])</f>
        <v>0</v>
      </c>
      <c r="O263" s="4">
        <f>IF(INVESTORS_LIST[[#This Row],[SIP_TOTAL UNITS BUY]]=0,0,SUMIFS(SIP[Amount],SIP[Investor ID],INVESTORS_LIST[[#This Row],[INVESTOR CODE]],SIP[B/S],"B"))</f>
        <v>0</v>
      </c>
      <c r="P263" s="4">
        <f>IF(INVESTORS_LIST[[#This Row],[SIP_TOTAL UNITS SOLD]]=0,0,SUMIFS(SIP[Cost of Units Sold],SIP[Investor ID],INVESTORS_LIST[[#This Row],[INVESTOR CODE]],SIP[B/S],"S"))</f>
        <v>0</v>
      </c>
      <c r="Q263" s="6">
        <f>IF(INVESTORS_LIST[[#This Row],[SIP_TOTAL CURRENT UNITS]]=0,0,INVESTORS_LIST[[#This Row],[SIP_TOTAL CURRENT UNITS]]*INVESTORS_LIST[[#This Row],[SIP_AVERAGE COST]])</f>
        <v>0</v>
      </c>
      <c r="R263" s="6">
        <f>IF(INVESTORS_LIST[[#This Row],[SIP_TOTAL UNITS SOLD]]=0,0,SUMIFS(SIP[Realized Gain],SIP[Investor ID],INVESTORS_LIST[[#This Row],[INVESTOR CODE]],SIP[B/S],"S"))</f>
        <v>0</v>
      </c>
      <c r="S263" s="33">
        <f>INVESTORS_LIST[[#This Row],[LS_TOTAL UNITS BUY]]+INVESTORS_LIST[[#This Row],[SIP_TOTAL UNITS BUY]]</f>
        <v>722200</v>
      </c>
      <c r="T263" s="33">
        <f>INVESTORS_LIST[[#This Row],[LS_TOTAL UNITS SOLD]]+INVESTORS_LIST[[#This Row],[SIP_TOTAL UNITS SOLD]]</f>
        <v>722200</v>
      </c>
      <c r="U263" s="33">
        <v>0</v>
      </c>
      <c r="V263" s="33">
        <f>SUMIFS(LS[BO UNIT TRANSFER],LS[Investor ID],INVESTORS_LIST[[#This Row],[INVESTOR CODE]],LS[B/S],"B")</f>
        <v>0</v>
      </c>
      <c r="W263" s="33">
        <f>SUMIFS(LS[BO UNIT TRANSFER],LS[Investor ID],INVESTORS_LIST[[#This Row],[INVESTOR CODE]],LS[B/S],"S")</f>
        <v>0</v>
      </c>
      <c r="X263" s="33">
        <f>SUMIFS(SIP[BO UNIT TRANSFER],SIP[Investor ID],INVESTORS_LIST[[#This Row],[INVESTOR CODE]],SIP[B/S],"S")</f>
        <v>0</v>
      </c>
      <c r="Y263" s="33">
        <f>SUMIFS(SIP[BO UNIT TRANSFER],SIP[Investor ID],INVESTORS_LIST[[#This Row],[INVESTOR CODE]],SIP[B/S],"B")</f>
        <v>0</v>
      </c>
      <c r="Z26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63" s="119">
        <f>INVESTORS_LIST[[#This Row],[TOTAL UNITS BUY]]-INVESTORS_LIST[[#This Row],[TOTAL UNITS SOLD]]</f>
        <v>0</v>
      </c>
      <c r="AB263" s="119">
        <f>INVESTORS_LIST[[#This Row],[TOTAL CURRENT UNITS]]-INVESTORS_LIST[[#This Row],[BO UNITS HOLD]]</f>
        <v>0</v>
      </c>
      <c r="AC263" s="119" t="e">
        <f>INDEX([4]!Table_1[BO ID],MATCH(INVESTORS_LIST[[#This Row],[INVESTOR CODE]],[4]!Table_1[INVESTOR CODE],0))</f>
        <v>#REF!</v>
      </c>
      <c r="AD263" s="33">
        <f>INVESTORS_LIST[[#This Row],[LS_TOTAL COST VALUE OF CURRENT UNITS]]+INVESTORS_LIST[[#This Row],[SIP_TOTAL COST VALUE OF CURRENT UNITS]]</f>
        <v>0</v>
      </c>
      <c r="AE263" s="44">
        <f>IF(INVESTORS_LIST[[#This Row],[TOTAL CURRENT UNITS]]=0,0,INVESTORS_LIST[[#This Row],[LS_TOTAL CURRENT UNITS]]/INVESTORS_LIST[[#This Row],[TOTAL CURRENT UNITS]])</f>
        <v>0</v>
      </c>
      <c r="AF263" s="44">
        <f>IF(INVESTORS_LIST[[#This Row],[TOTAL CURRENT UNITS]]=0,0,INVESTORS_LIST[[#This Row],[SIP_TOTAL CURRENT UNITS]]/INVESTORS_LIST[[#This Row],[TOTAL CURRENT UNITS]])</f>
        <v>0</v>
      </c>
      <c r="AG263" s="4" cm="1">
        <f t="array" ref="AG26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63" s="4" cm="1">
        <f t="array" ref="AH2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6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63" s="178">
        <f t="shared" si="4"/>
        <v>12.552</v>
      </c>
      <c r="AK263" s="118">
        <f>IF(INVESTORS_LIST[[#This Row],[TOTAL CURRENT UNITS]]=0,0,INVESTORS_LIST[[#This Row],[TOTAL CURRENT UNITS]]*INVESTORS_LIST[[#This Row],[NAV]])</f>
        <v>0</v>
      </c>
      <c r="AL263" s="4">
        <f>IF(INVESTORS_LIST[[#This Row],[LS_TOTAL CURRENT UNITS]]=0,0,INVESTORS_LIST[[#This Row],[LS_TOTAL CURRENT UNITS]]*INVESTORS_LIST[[#This Row],[NAV]])</f>
        <v>0</v>
      </c>
      <c r="AM263" s="6">
        <f>IF(INVESTORS_LIST[[#This Row],[SIP_TOTAL CURRENT UNITS]]=0,0,INVESTORS_LIST[[#This Row],[SIP_TOTAL CURRENT UNITS]]*INVESTORS_LIST[[#This Row],[NAV]])</f>
        <v>0</v>
      </c>
      <c r="AO263" s="6">
        <f>IF(INVESTORS_LIST[[#This Row],[TOTAL SELLABLE UNITS]]=0,0,INVESTORS_LIST[[#This Row],[TOTAL SELLABLE UNITS]]*INVESTORS_LIST[[#This Row],[NAV]])</f>
        <v>0</v>
      </c>
      <c r="AP263" s="6">
        <f>INVESTORS_LIST[[#This Row],[LS_TOTAL REALIZED GAIN]]+INVESTORS_LIST[[#This Row],[SIP_TOTAL REALIZED GAIN]]</f>
        <v>73160.40000000014</v>
      </c>
      <c r="AQ263" s="6">
        <f>INVESTORS_LIST[[#This Row],[TOTAL MARKET VALUE]]-INVESTORS_LIST[[#This Row],[TOTAL COST VALUE OF CURRENT INVESTMENT]]</f>
        <v>0</v>
      </c>
      <c r="AR263" s="6">
        <f>SUMIFS(DivAndTax[Tax Amount],DivAndTax[Investor ID],INVESTORS_LIST[[#This Row],[INVESTOR CODE]])</f>
        <v>5555</v>
      </c>
      <c r="AS263" s="6">
        <f>SUMIFS(DivAndTax[Gross Dividend],DivAndTax[Investor ID],INVESTORS_LIST[[#This Row],[INVESTOR CODE]])</f>
        <v>55550</v>
      </c>
      <c r="AT263" s="5">
        <f>IFERROR(INVESTORS_LIST[[#This Row],[TOTAL CURRENT UNITS]]/SUM(INVESTORS_LIST[TOTAL CURRENT UNITS]),0)</f>
        <v>0</v>
      </c>
    </row>
    <row r="264" spans="1:46" hidden="1">
      <c r="A264" t="s">
        <v>384</v>
      </c>
      <c r="B264" t="s">
        <v>385</v>
      </c>
      <c r="C264" t="s">
        <v>536</v>
      </c>
      <c r="D264" s="8" t="s">
        <v>2</v>
      </c>
      <c r="E264" s="2">
        <f>SUMIFS(LS[Unit],LS[Investor ID],INVESTORS_LIST[[#This Row],[INVESTOR CODE]],LS[B/S],"B")</f>
        <v>0</v>
      </c>
      <c r="F264" s="2">
        <f>-SUMIFS(LS[Unit],LS[Investor ID],INVESTORS_LIST[[#This Row],[INVESTOR CODE]],LS[B/S],"S")</f>
        <v>0</v>
      </c>
      <c r="G264" s="2">
        <f>IF(INVESTORS_LIST[[#This Row],[LS_TOTAL UNITS BUY]]=0,0,INVESTORS_LIST[[#This Row],[LS_TOTAL UNITS BUY]]-INVESTORS_LIST[[#This Row],[LS_TOTAL UNITS SOLD]])</f>
        <v>0</v>
      </c>
      <c r="H264" s="4">
        <f>IF(INVESTORS_LIST[[#This Row],[LS_TOTAL UNITS BUY]]=0,0,SUMIFS(LS[Amount],LS[Investor ID],INVESTORS_LIST[[#This Row],[INVESTOR CODE]],LS[B/S],"B"))</f>
        <v>0</v>
      </c>
      <c r="I264" s="6">
        <f>IF(INVESTORS_LIST[[#This Row],[LS_TOTAL UNITS SOLD]]=0,0,SUMIFS(LS[Cost of Units Sold],LS[Investor ID],INVESTORS_LIST[[#This Row],[INVESTOR CODE]],LS[B/S],"S"))</f>
        <v>0</v>
      </c>
      <c r="J264" s="6">
        <f>IF(INVESTORS_LIST[[#This Row],[LS_TOTAL CURRENT UNITS]]=0,0,INVESTORS_LIST[[#This Row],[LS_TOTAL CURRENT UNITS]]*INVESTORS_LIST[[#This Row],[LS_AVERAGE COST]])</f>
        <v>0</v>
      </c>
      <c r="K264" s="4">
        <f>IF(INVESTORS_LIST[[#This Row],[LS_TOTAL UNITS SOLD]]=0,0,SUMIFS(LS[Realized Gain],LS[Investor ID],INVESTORS_LIST[[#This Row],[INVESTOR CODE]],LS[B/S],"S"))</f>
        <v>0</v>
      </c>
      <c r="L264" s="2">
        <f>SUMIFS(SIP[Unit],SIP[Investor ID],INVESTORS_LIST[[#This Row],[INVESTOR CODE]],SIP[B/S],"B")</f>
        <v>0</v>
      </c>
      <c r="M264" s="2">
        <f>-SUMIFS(SIP[Unit],SIP[Investor ID],INVESTORS_LIST[[#This Row],[INVESTOR CODE]],SIP[B/S],"S")</f>
        <v>0</v>
      </c>
      <c r="N264" s="33">
        <f>IF(INVESTORS_LIST[[#This Row],[SIP_TOTAL UNITS BUY]]=0,0,INVESTORS_LIST[[#This Row],[SIP_TOTAL UNITS BUY]]-INVESTORS_LIST[[#This Row],[SIP_TOTAL UNITS SOLD]])</f>
        <v>0</v>
      </c>
      <c r="O264" s="4">
        <f>IF(INVESTORS_LIST[[#This Row],[SIP_TOTAL UNITS BUY]]=0,0,SUMIFS(SIP[Amount],SIP[Investor ID],INVESTORS_LIST[[#This Row],[INVESTOR CODE]],SIP[B/S],"B"))</f>
        <v>0</v>
      </c>
      <c r="P264" s="4">
        <f>IF(INVESTORS_LIST[[#This Row],[SIP_TOTAL UNITS SOLD]]=0,0,SUMIFS(SIP[Cost of Units Sold],SIP[Investor ID],INVESTORS_LIST[[#This Row],[INVESTOR CODE]],SIP[B/S],"S"))</f>
        <v>0</v>
      </c>
      <c r="Q264" s="6">
        <f>IF(INVESTORS_LIST[[#This Row],[SIP_TOTAL CURRENT UNITS]]=0,0,INVESTORS_LIST[[#This Row],[SIP_TOTAL CURRENT UNITS]]*INVESTORS_LIST[[#This Row],[SIP_AVERAGE COST]])</f>
        <v>0</v>
      </c>
      <c r="R264" s="6">
        <f>IF(INVESTORS_LIST[[#This Row],[SIP_TOTAL UNITS SOLD]]=0,0,SUMIFS(SIP[Realized Gain],SIP[Investor ID],INVESTORS_LIST[[#This Row],[INVESTOR CODE]],SIP[B/S],"S"))</f>
        <v>0</v>
      </c>
      <c r="S264" s="33">
        <f>INVESTORS_LIST[[#This Row],[LS_TOTAL UNITS BUY]]+INVESTORS_LIST[[#This Row],[SIP_TOTAL UNITS BUY]]</f>
        <v>0</v>
      </c>
      <c r="T264" s="33">
        <f>INVESTORS_LIST[[#This Row],[LS_TOTAL UNITS SOLD]]+INVESTORS_LIST[[#This Row],[SIP_TOTAL UNITS SOLD]]</f>
        <v>0</v>
      </c>
      <c r="U264" s="33">
        <v>0</v>
      </c>
      <c r="V264" s="33">
        <f>SUMIFS(LS[BO UNIT TRANSFER],LS[Investor ID],INVESTORS_LIST[[#This Row],[INVESTOR CODE]],LS[B/S],"B")</f>
        <v>0</v>
      </c>
      <c r="W264" s="33">
        <f>SUMIFS(LS[BO UNIT TRANSFER],LS[Investor ID],INVESTORS_LIST[[#This Row],[INVESTOR CODE]],LS[B/S],"S")</f>
        <v>0</v>
      </c>
      <c r="X264" s="33">
        <f>SUMIFS(SIP[BO UNIT TRANSFER],SIP[Investor ID],INVESTORS_LIST[[#This Row],[INVESTOR CODE]],SIP[B/S],"S")</f>
        <v>0</v>
      </c>
      <c r="Y264" s="33">
        <f>SUMIFS(SIP[BO UNIT TRANSFER],SIP[Investor ID],INVESTORS_LIST[[#This Row],[INVESTOR CODE]],SIP[B/S],"B")</f>
        <v>0</v>
      </c>
      <c r="Z26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64" s="119">
        <f>INVESTORS_LIST[[#This Row],[TOTAL UNITS BUY]]-INVESTORS_LIST[[#This Row],[TOTAL UNITS SOLD]]</f>
        <v>0</v>
      </c>
      <c r="AB264" s="119">
        <f>INVESTORS_LIST[[#This Row],[TOTAL CURRENT UNITS]]-INVESTORS_LIST[[#This Row],[BO UNITS HOLD]]</f>
        <v>0</v>
      </c>
      <c r="AC264" s="119" t="e">
        <f>INDEX([4]!Table_1[BO ID],MATCH(INVESTORS_LIST[[#This Row],[INVESTOR CODE]],[4]!Table_1[INVESTOR CODE],0))</f>
        <v>#REF!</v>
      </c>
      <c r="AD264" s="33">
        <f>INVESTORS_LIST[[#This Row],[LS_TOTAL COST VALUE OF CURRENT UNITS]]+INVESTORS_LIST[[#This Row],[SIP_TOTAL COST VALUE OF CURRENT UNITS]]</f>
        <v>0</v>
      </c>
      <c r="AE264" s="44">
        <f>IF(INVESTORS_LIST[[#This Row],[TOTAL CURRENT UNITS]]=0,0,INVESTORS_LIST[[#This Row],[LS_TOTAL CURRENT UNITS]]/INVESTORS_LIST[[#This Row],[TOTAL CURRENT UNITS]])</f>
        <v>0</v>
      </c>
      <c r="AF264" s="44">
        <f>IF(INVESTORS_LIST[[#This Row],[TOTAL CURRENT UNITS]]=0,0,INVESTORS_LIST[[#This Row],[SIP_TOTAL CURRENT UNITS]]/INVESTORS_LIST[[#This Row],[TOTAL CURRENT UNITS]])</f>
        <v>0</v>
      </c>
      <c r="AG264" s="4" cm="1">
        <f t="array" ref="AG26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64" s="4" cm="1">
        <f t="array" ref="AH26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6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64" s="178">
        <f t="shared" si="4"/>
        <v>12.552</v>
      </c>
      <c r="AK264" s="118">
        <f>IF(INVESTORS_LIST[[#This Row],[TOTAL CURRENT UNITS]]=0,0,INVESTORS_LIST[[#This Row],[TOTAL CURRENT UNITS]]*INVESTORS_LIST[[#This Row],[NAV]])</f>
        <v>0</v>
      </c>
      <c r="AL264" s="4">
        <f>IF(INVESTORS_LIST[[#This Row],[LS_TOTAL CURRENT UNITS]]=0,0,INVESTORS_LIST[[#This Row],[LS_TOTAL CURRENT UNITS]]*INVESTORS_LIST[[#This Row],[NAV]])</f>
        <v>0</v>
      </c>
      <c r="AM264" s="6">
        <f>IF(INVESTORS_LIST[[#This Row],[SIP_TOTAL CURRENT UNITS]]=0,0,INVESTORS_LIST[[#This Row],[SIP_TOTAL CURRENT UNITS]]*INVESTORS_LIST[[#This Row],[NAV]])</f>
        <v>0</v>
      </c>
      <c r="AO264" s="6">
        <f>IF(INVESTORS_LIST[[#This Row],[TOTAL SELLABLE UNITS]]=0,0,INVESTORS_LIST[[#This Row],[TOTAL SELLABLE UNITS]]*INVESTORS_LIST[[#This Row],[NAV]])</f>
        <v>0</v>
      </c>
      <c r="AP264" s="6">
        <f>INVESTORS_LIST[[#This Row],[LS_TOTAL REALIZED GAIN]]+INVESTORS_LIST[[#This Row],[SIP_TOTAL REALIZED GAIN]]</f>
        <v>0</v>
      </c>
      <c r="AQ264" s="6">
        <f>INVESTORS_LIST[[#This Row],[TOTAL MARKET VALUE]]-INVESTORS_LIST[[#This Row],[TOTAL COST VALUE OF CURRENT INVESTMENT]]</f>
        <v>0</v>
      </c>
      <c r="AR264" s="6">
        <f>SUMIFS(DivAndTax[Tax Amount],DivAndTax[Investor ID],INVESTORS_LIST[[#This Row],[INVESTOR CODE]])</f>
        <v>0</v>
      </c>
      <c r="AS264" s="6">
        <f>SUMIFS(DivAndTax[Gross Dividend],DivAndTax[Investor ID],INVESTORS_LIST[[#This Row],[INVESTOR CODE]])</f>
        <v>0</v>
      </c>
      <c r="AT264" s="5">
        <f>IFERROR(INVESTORS_LIST[[#This Row],[TOTAL CURRENT UNITS]]/SUM(INVESTORS_LIST[TOTAL CURRENT UNITS]),0)</f>
        <v>0</v>
      </c>
    </row>
    <row r="265" spans="1:46" hidden="1">
      <c r="A265" t="s">
        <v>386</v>
      </c>
      <c r="B265" t="s">
        <v>387</v>
      </c>
      <c r="C265" t="s">
        <v>536</v>
      </c>
      <c r="D265" s="8" t="s">
        <v>2</v>
      </c>
      <c r="E265" s="2">
        <f>SUMIFS(LS[Unit],LS[Investor ID],INVESTORS_LIST[[#This Row],[INVESTOR CODE]],LS[B/S],"B")</f>
        <v>0</v>
      </c>
      <c r="F265" s="2">
        <f>-SUMIFS(LS[Unit],LS[Investor ID],INVESTORS_LIST[[#This Row],[INVESTOR CODE]],LS[B/S],"S")</f>
        <v>0</v>
      </c>
      <c r="G265" s="2">
        <f>IF(INVESTORS_LIST[[#This Row],[LS_TOTAL UNITS BUY]]=0,0,INVESTORS_LIST[[#This Row],[LS_TOTAL UNITS BUY]]-INVESTORS_LIST[[#This Row],[LS_TOTAL UNITS SOLD]])</f>
        <v>0</v>
      </c>
      <c r="H265" s="4">
        <f>IF(INVESTORS_LIST[[#This Row],[LS_TOTAL UNITS BUY]]=0,0,SUMIFS(LS[Amount],LS[Investor ID],INVESTORS_LIST[[#This Row],[INVESTOR CODE]],LS[B/S],"B"))</f>
        <v>0</v>
      </c>
      <c r="I265" s="6">
        <f>IF(INVESTORS_LIST[[#This Row],[LS_TOTAL UNITS SOLD]]=0,0,SUMIFS(LS[Cost of Units Sold],LS[Investor ID],INVESTORS_LIST[[#This Row],[INVESTOR CODE]],LS[B/S],"S"))</f>
        <v>0</v>
      </c>
      <c r="J265" s="6">
        <f>IF(INVESTORS_LIST[[#This Row],[LS_TOTAL CURRENT UNITS]]=0,0,INVESTORS_LIST[[#This Row],[LS_TOTAL CURRENT UNITS]]*INVESTORS_LIST[[#This Row],[LS_AVERAGE COST]])</f>
        <v>0</v>
      </c>
      <c r="K265" s="4">
        <f>IF(INVESTORS_LIST[[#This Row],[LS_TOTAL UNITS SOLD]]=0,0,SUMIFS(LS[Realized Gain],LS[Investor ID],INVESTORS_LIST[[#This Row],[INVESTOR CODE]],LS[B/S],"S"))</f>
        <v>0</v>
      </c>
      <c r="L265" s="2">
        <f>SUMIFS(SIP[Unit],SIP[Investor ID],INVESTORS_LIST[[#This Row],[INVESTOR CODE]],SIP[B/S],"B")</f>
        <v>0</v>
      </c>
      <c r="M265" s="2">
        <f>-SUMIFS(SIP[Unit],SIP[Investor ID],INVESTORS_LIST[[#This Row],[INVESTOR CODE]],SIP[B/S],"S")</f>
        <v>0</v>
      </c>
      <c r="N265" s="33">
        <f>IF(INVESTORS_LIST[[#This Row],[SIP_TOTAL UNITS BUY]]=0,0,INVESTORS_LIST[[#This Row],[SIP_TOTAL UNITS BUY]]-INVESTORS_LIST[[#This Row],[SIP_TOTAL UNITS SOLD]])</f>
        <v>0</v>
      </c>
      <c r="O265" s="4">
        <f>IF(INVESTORS_LIST[[#This Row],[SIP_TOTAL UNITS BUY]]=0,0,SUMIFS(SIP[Amount],SIP[Investor ID],INVESTORS_LIST[[#This Row],[INVESTOR CODE]],SIP[B/S],"B"))</f>
        <v>0</v>
      </c>
      <c r="P265" s="4">
        <f>IF(INVESTORS_LIST[[#This Row],[SIP_TOTAL UNITS SOLD]]=0,0,SUMIFS(SIP[Cost of Units Sold],SIP[Investor ID],INVESTORS_LIST[[#This Row],[INVESTOR CODE]],SIP[B/S],"S"))</f>
        <v>0</v>
      </c>
      <c r="Q265" s="6">
        <f>IF(INVESTORS_LIST[[#This Row],[SIP_TOTAL CURRENT UNITS]]=0,0,INVESTORS_LIST[[#This Row],[SIP_TOTAL CURRENT UNITS]]*INVESTORS_LIST[[#This Row],[SIP_AVERAGE COST]])</f>
        <v>0</v>
      </c>
      <c r="R265" s="6">
        <f>IF(INVESTORS_LIST[[#This Row],[SIP_TOTAL UNITS SOLD]]=0,0,SUMIFS(SIP[Realized Gain],SIP[Investor ID],INVESTORS_LIST[[#This Row],[INVESTOR CODE]],SIP[B/S],"S"))</f>
        <v>0</v>
      </c>
      <c r="S265" s="33">
        <f>INVESTORS_LIST[[#This Row],[LS_TOTAL UNITS BUY]]+INVESTORS_LIST[[#This Row],[SIP_TOTAL UNITS BUY]]</f>
        <v>0</v>
      </c>
      <c r="T265" s="33">
        <f>INVESTORS_LIST[[#This Row],[LS_TOTAL UNITS SOLD]]+INVESTORS_LIST[[#This Row],[SIP_TOTAL UNITS SOLD]]</f>
        <v>0</v>
      </c>
      <c r="U265" s="33">
        <v>0</v>
      </c>
      <c r="V265" s="33">
        <f>SUMIFS(LS[BO UNIT TRANSFER],LS[Investor ID],INVESTORS_LIST[[#This Row],[INVESTOR CODE]],LS[B/S],"B")</f>
        <v>0</v>
      </c>
      <c r="W265" s="33">
        <f>SUMIFS(LS[BO UNIT TRANSFER],LS[Investor ID],INVESTORS_LIST[[#This Row],[INVESTOR CODE]],LS[B/S],"S")</f>
        <v>0</v>
      </c>
      <c r="X265" s="33">
        <f>SUMIFS(SIP[BO UNIT TRANSFER],SIP[Investor ID],INVESTORS_LIST[[#This Row],[INVESTOR CODE]],SIP[B/S],"S")</f>
        <v>0</v>
      </c>
      <c r="Y265" s="33">
        <f>SUMIFS(SIP[BO UNIT TRANSFER],SIP[Investor ID],INVESTORS_LIST[[#This Row],[INVESTOR CODE]],SIP[B/S],"B")</f>
        <v>0</v>
      </c>
      <c r="Z26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65" s="119">
        <f>INVESTORS_LIST[[#This Row],[TOTAL UNITS BUY]]-INVESTORS_LIST[[#This Row],[TOTAL UNITS SOLD]]</f>
        <v>0</v>
      </c>
      <c r="AB265" s="119">
        <f>INVESTORS_LIST[[#This Row],[TOTAL CURRENT UNITS]]-INVESTORS_LIST[[#This Row],[BO UNITS HOLD]]</f>
        <v>0</v>
      </c>
      <c r="AC265" s="119" t="e">
        <f>INDEX([4]!Table_1[BO ID],MATCH(INVESTORS_LIST[[#This Row],[INVESTOR CODE]],[4]!Table_1[INVESTOR CODE],0))</f>
        <v>#REF!</v>
      </c>
      <c r="AD265" s="33">
        <f>INVESTORS_LIST[[#This Row],[LS_TOTAL COST VALUE OF CURRENT UNITS]]+INVESTORS_LIST[[#This Row],[SIP_TOTAL COST VALUE OF CURRENT UNITS]]</f>
        <v>0</v>
      </c>
      <c r="AE265" s="44">
        <f>IF(INVESTORS_LIST[[#This Row],[TOTAL CURRENT UNITS]]=0,0,INVESTORS_LIST[[#This Row],[LS_TOTAL CURRENT UNITS]]/INVESTORS_LIST[[#This Row],[TOTAL CURRENT UNITS]])</f>
        <v>0</v>
      </c>
      <c r="AF265" s="44">
        <f>IF(INVESTORS_LIST[[#This Row],[TOTAL CURRENT UNITS]]=0,0,INVESTORS_LIST[[#This Row],[SIP_TOTAL CURRENT UNITS]]/INVESTORS_LIST[[#This Row],[TOTAL CURRENT UNITS]])</f>
        <v>0</v>
      </c>
      <c r="AG265" s="4" cm="1">
        <f t="array" ref="AG26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65" s="4" cm="1">
        <f t="array" ref="AH2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6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65" s="178">
        <f t="shared" si="4"/>
        <v>12.552</v>
      </c>
      <c r="AK265" s="118">
        <f>IF(INVESTORS_LIST[[#This Row],[TOTAL CURRENT UNITS]]=0,0,INVESTORS_LIST[[#This Row],[TOTAL CURRENT UNITS]]*INVESTORS_LIST[[#This Row],[NAV]])</f>
        <v>0</v>
      </c>
      <c r="AL265" s="4">
        <f>IF(INVESTORS_LIST[[#This Row],[LS_TOTAL CURRENT UNITS]]=0,0,INVESTORS_LIST[[#This Row],[LS_TOTAL CURRENT UNITS]]*INVESTORS_LIST[[#This Row],[NAV]])</f>
        <v>0</v>
      </c>
      <c r="AM265" s="6">
        <f>IF(INVESTORS_LIST[[#This Row],[SIP_TOTAL CURRENT UNITS]]=0,0,INVESTORS_LIST[[#This Row],[SIP_TOTAL CURRENT UNITS]]*INVESTORS_LIST[[#This Row],[NAV]])</f>
        <v>0</v>
      </c>
      <c r="AO265" s="6">
        <f>IF(INVESTORS_LIST[[#This Row],[TOTAL SELLABLE UNITS]]=0,0,INVESTORS_LIST[[#This Row],[TOTAL SELLABLE UNITS]]*INVESTORS_LIST[[#This Row],[NAV]])</f>
        <v>0</v>
      </c>
      <c r="AP265" s="6">
        <f>INVESTORS_LIST[[#This Row],[LS_TOTAL REALIZED GAIN]]+INVESTORS_LIST[[#This Row],[SIP_TOTAL REALIZED GAIN]]</f>
        <v>0</v>
      </c>
      <c r="AQ265" s="6">
        <f>INVESTORS_LIST[[#This Row],[TOTAL MARKET VALUE]]-INVESTORS_LIST[[#This Row],[TOTAL COST VALUE OF CURRENT INVESTMENT]]</f>
        <v>0</v>
      </c>
      <c r="AR265" s="6">
        <f>SUMIFS(DivAndTax[Tax Amount],DivAndTax[Investor ID],INVESTORS_LIST[[#This Row],[INVESTOR CODE]])</f>
        <v>0</v>
      </c>
      <c r="AS265" s="6">
        <f>SUMIFS(DivAndTax[Gross Dividend],DivAndTax[Investor ID],INVESTORS_LIST[[#This Row],[INVESTOR CODE]])</f>
        <v>0</v>
      </c>
      <c r="AT265" s="5">
        <f>IFERROR(INVESTORS_LIST[[#This Row],[TOTAL CURRENT UNITS]]/SUM(INVESTORS_LIST[TOTAL CURRENT UNITS]),0)</f>
        <v>0</v>
      </c>
    </row>
    <row r="266" spans="1:46" hidden="1">
      <c r="A266" t="s">
        <v>388</v>
      </c>
      <c r="B266" t="s">
        <v>389</v>
      </c>
      <c r="C266" t="s">
        <v>536</v>
      </c>
      <c r="D266" s="8" t="s">
        <v>2</v>
      </c>
      <c r="E266" s="2">
        <f>SUMIFS(LS[Unit],LS[Investor ID],INVESTORS_LIST[[#This Row],[INVESTOR CODE]],LS[B/S],"B")</f>
        <v>0</v>
      </c>
      <c r="F266" s="2">
        <f>-SUMIFS(LS[Unit],LS[Investor ID],INVESTORS_LIST[[#This Row],[INVESTOR CODE]],LS[B/S],"S")</f>
        <v>0</v>
      </c>
      <c r="G266" s="2">
        <f>IF(INVESTORS_LIST[[#This Row],[LS_TOTAL UNITS BUY]]=0,0,INVESTORS_LIST[[#This Row],[LS_TOTAL UNITS BUY]]-INVESTORS_LIST[[#This Row],[LS_TOTAL UNITS SOLD]])</f>
        <v>0</v>
      </c>
      <c r="H266" s="4">
        <f>IF(INVESTORS_LIST[[#This Row],[LS_TOTAL UNITS BUY]]=0,0,SUMIFS(LS[Amount],LS[Investor ID],INVESTORS_LIST[[#This Row],[INVESTOR CODE]],LS[B/S],"B"))</f>
        <v>0</v>
      </c>
      <c r="I266" s="6">
        <f>IF(INVESTORS_LIST[[#This Row],[LS_TOTAL UNITS SOLD]]=0,0,SUMIFS(LS[Cost of Units Sold],LS[Investor ID],INVESTORS_LIST[[#This Row],[INVESTOR CODE]],LS[B/S],"S"))</f>
        <v>0</v>
      </c>
      <c r="J266" s="6">
        <f>IF(INVESTORS_LIST[[#This Row],[LS_TOTAL CURRENT UNITS]]=0,0,INVESTORS_LIST[[#This Row],[LS_TOTAL CURRENT UNITS]]*INVESTORS_LIST[[#This Row],[LS_AVERAGE COST]])</f>
        <v>0</v>
      </c>
      <c r="K266" s="4">
        <f>IF(INVESTORS_LIST[[#This Row],[LS_TOTAL UNITS SOLD]]=0,0,SUMIFS(LS[Realized Gain],LS[Investor ID],INVESTORS_LIST[[#This Row],[INVESTOR CODE]],LS[B/S],"S"))</f>
        <v>0</v>
      </c>
      <c r="L266" s="2">
        <f>SUMIFS(SIP[Unit],SIP[Investor ID],INVESTORS_LIST[[#This Row],[INVESTOR CODE]],SIP[B/S],"B")</f>
        <v>0</v>
      </c>
      <c r="M266" s="2">
        <f>-SUMIFS(SIP[Unit],SIP[Investor ID],INVESTORS_LIST[[#This Row],[INVESTOR CODE]],SIP[B/S],"S")</f>
        <v>0</v>
      </c>
      <c r="N266" s="33">
        <f>IF(INVESTORS_LIST[[#This Row],[SIP_TOTAL UNITS BUY]]=0,0,INVESTORS_LIST[[#This Row],[SIP_TOTAL UNITS BUY]]-INVESTORS_LIST[[#This Row],[SIP_TOTAL UNITS SOLD]])</f>
        <v>0</v>
      </c>
      <c r="O266" s="4">
        <f>IF(INVESTORS_LIST[[#This Row],[SIP_TOTAL UNITS BUY]]=0,0,SUMIFS(SIP[Amount],SIP[Investor ID],INVESTORS_LIST[[#This Row],[INVESTOR CODE]],SIP[B/S],"B"))</f>
        <v>0</v>
      </c>
      <c r="P266" s="4">
        <f>IF(INVESTORS_LIST[[#This Row],[SIP_TOTAL UNITS SOLD]]=0,0,SUMIFS(SIP[Cost of Units Sold],SIP[Investor ID],INVESTORS_LIST[[#This Row],[INVESTOR CODE]],SIP[B/S],"S"))</f>
        <v>0</v>
      </c>
      <c r="Q266" s="6">
        <f>IF(INVESTORS_LIST[[#This Row],[SIP_TOTAL CURRENT UNITS]]=0,0,INVESTORS_LIST[[#This Row],[SIP_TOTAL CURRENT UNITS]]*INVESTORS_LIST[[#This Row],[SIP_AVERAGE COST]])</f>
        <v>0</v>
      </c>
      <c r="R266" s="6">
        <f>IF(INVESTORS_LIST[[#This Row],[SIP_TOTAL UNITS SOLD]]=0,0,SUMIFS(SIP[Realized Gain],SIP[Investor ID],INVESTORS_LIST[[#This Row],[INVESTOR CODE]],SIP[B/S],"S"))</f>
        <v>0</v>
      </c>
      <c r="S266" s="33">
        <f>INVESTORS_LIST[[#This Row],[LS_TOTAL UNITS BUY]]+INVESTORS_LIST[[#This Row],[SIP_TOTAL UNITS BUY]]</f>
        <v>0</v>
      </c>
      <c r="T266" s="33">
        <f>INVESTORS_LIST[[#This Row],[LS_TOTAL UNITS SOLD]]+INVESTORS_LIST[[#This Row],[SIP_TOTAL UNITS SOLD]]</f>
        <v>0</v>
      </c>
      <c r="U266" s="33">
        <v>0</v>
      </c>
      <c r="V266" s="33">
        <f>SUMIFS(LS[BO UNIT TRANSFER],LS[Investor ID],INVESTORS_LIST[[#This Row],[INVESTOR CODE]],LS[B/S],"B")</f>
        <v>0</v>
      </c>
      <c r="W266" s="33">
        <f>SUMIFS(LS[BO UNIT TRANSFER],LS[Investor ID],INVESTORS_LIST[[#This Row],[INVESTOR CODE]],LS[B/S],"S")</f>
        <v>0</v>
      </c>
      <c r="X266" s="33">
        <f>SUMIFS(SIP[BO UNIT TRANSFER],SIP[Investor ID],INVESTORS_LIST[[#This Row],[INVESTOR CODE]],SIP[B/S],"S")</f>
        <v>0</v>
      </c>
      <c r="Y266" s="33">
        <f>SUMIFS(SIP[BO UNIT TRANSFER],SIP[Investor ID],INVESTORS_LIST[[#This Row],[INVESTOR CODE]],SIP[B/S],"B")</f>
        <v>0</v>
      </c>
      <c r="Z26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66" s="119">
        <f>INVESTORS_LIST[[#This Row],[TOTAL UNITS BUY]]-INVESTORS_LIST[[#This Row],[TOTAL UNITS SOLD]]</f>
        <v>0</v>
      </c>
      <c r="AB266" s="119">
        <f>INVESTORS_LIST[[#This Row],[TOTAL CURRENT UNITS]]-INVESTORS_LIST[[#This Row],[BO UNITS HOLD]]</f>
        <v>0</v>
      </c>
      <c r="AC266" s="119" t="e">
        <f>INDEX([4]!Table_1[BO ID],MATCH(INVESTORS_LIST[[#This Row],[INVESTOR CODE]],[4]!Table_1[INVESTOR CODE],0))</f>
        <v>#REF!</v>
      </c>
      <c r="AD266" s="33">
        <f>INVESTORS_LIST[[#This Row],[LS_TOTAL COST VALUE OF CURRENT UNITS]]+INVESTORS_LIST[[#This Row],[SIP_TOTAL COST VALUE OF CURRENT UNITS]]</f>
        <v>0</v>
      </c>
      <c r="AE266" s="44">
        <f>IF(INVESTORS_LIST[[#This Row],[TOTAL CURRENT UNITS]]=0,0,INVESTORS_LIST[[#This Row],[LS_TOTAL CURRENT UNITS]]/INVESTORS_LIST[[#This Row],[TOTAL CURRENT UNITS]])</f>
        <v>0</v>
      </c>
      <c r="AF266" s="44">
        <f>IF(INVESTORS_LIST[[#This Row],[TOTAL CURRENT UNITS]]=0,0,INVESTORS_LIST[[#This Row],[SIP_TOTAL CURRENT UNITS]]/INVESTORS_LIST[[#This Row],[TOTAL CURRENT UNITS]])</f>
        <v>0</v>
      </c>
      <c r="AG266" s="4" cm="1">
        <f t="array" ref="AG26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66" s="4" cm="1">
        <f t="array" ref="AH2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6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66" s="178">
        <f t="shared" si="4"/>
        <v>12.552</v>
      </c>
      <c r="AK266" s="118">
        <f>IF(INVESTORS_LIST[[#This Row],[TOTAL CURRENT UNITS]]=0,0,INVESTORS_LIST[[#This Row],[TOTAL CURRENT UNITS]]*INVESTORS_LIST[[#This Row],[NAV]])</f>
        <v>0</v>
      </c>
      <c r="AL266" s="4">
        <f>IF(INVESTORS_LIST[[#This Row],[LS_TOTAL CURRENT UNITS]]=0,0,INVESTORS_LIST[[#This Row],[LS_TOTAL CURRENT UNITS]]*INVESTORS_LIST[[#This Row],[NAV]])</f>
        <v>0</v>
      </c>
      <c r="AM266" s="6">
        <f>IF(INVESTORS_LIST[[#This Row],[SIP_TOTAL CURRENT UNITS]]=0,0,INVESTORS_LIST[[#This Row],[SIP_TOTAL CURRENT UNITS]]*INVESTORS_LIST[[#This Row],[NAV]])</f>
        <v>0</v>
      </c>
      <c r="AO266" s="6">
        <f>IF(INVESTORS_LIST[[#This Row],[TOTAL SELLABLE UNITS]]=0,0,INVESTORS_LIST[[#This Row],[TOTAL SELLABLE UNITS]]*INVESTORS_LIST[[#This Row],[NAV]])</f>
        <v>0</v>
      </c>
      <c r="AP266" s="6">
        <f>INVESTORS_LIST[[#This Row],[LS_TOTAL REALIZED GAIN]]+INVESTORS_LIST[[#This Row],[SIP_TOTAL REALIZED GAIN]]</f>
        <v>0</v>
      </c>
      <c r="AQ266" s="6">
        <f>INVESTORS_LIST[[#This Row],[TOTAL MARKET VALUE]]-INVESTORS_LIST[[#This Row],[TOTAL COST VALUE OF CURRENT INVESTMENT]]</f>
        <v>0</v>
      </c>
      <c r="AR266" s="6">
        <f>SUMIFS(DivAndTax[Tax Amount],DivAndTax[Investor ID],INVESTORS_LIST[[#This Row],[INVESTOR CODE]])</f>
        <v>0</v>
      </c>
      <c r="AS266" s="6">
        <f>SUMIFS(DivAndTax[Gross Dividend],DivAndTax[Investor ID],INVESTORS_LIST[[#This Row],[INVESTOR CODE]])</f>
        <v>0</v>
      </c>
      <c r="AT266" s="5">
        <f>IFERROR(INVESTORS_LIST[[#This Row],[TOTAL CURRENT UNITS]]/SUM(INVESTORS_LIST[TOTAL CURRENT UNITS]),0)</f>
        <v>0</v>
      </c>
    </row>
    <row r="267" spans="1:46" hidden="1">
      <c r="A267" t="s">
        <v>390</v>
      </c>
      <c r="B267" t="s">
        <v>391</v>
      </c>
      <c r="C267" t="s">
        <v>536</v>
      </c>
      <c r="D267" s="8" t="s">
        <v>2</v>
      </c>
      <c r="E267" s="2">
        <f>SUMIFS(LS[Unit],LS[Investor ID],INVESTORS_LIST[[#This Row],[INVESTOR CODE]],LS[B/S],"B")</f>
        <v>20367</v>
      </c>
      <c r="F267" s="2">
        <f>-SUMIFS(LS[Unit],LS[Investor ID],INVESTORS_LIST[[#This Row],[INVESTOR CODE]],LS[B/S],"S")</f>
        <v>20367</v>
      </c>
      <c r="G267" s="2">
        <f>IF(INVESTORS_LIST[[#This Row],[LS_TOTAL UNITS BUY]]=0,0,INVESTORS_LIST[[#This Row],[LS_TOTAL UNITS BUY]]-INVESTORS_LIST[[#This Row],[LS_TOTAL UNITS SOLD]])</f>
        <v>0</v>
      </c>
      <c r="H267" s="4">
        <f>IF(INVESTORS_LIST[[#This Row],[LS_TOTAL UNITS BUY]]=0,0,SUMIFS(LS[Amount],LS[Investor ID],INVESTORS_LIST[[#This Row],[INVESTOR CODE]],LS[B/S],"B"))</f>
        <v>200000</v>
      </c>
      <c r="I267" s="6">
        <f>IF(INVESTORS_LIST[[#This Row],[LS_TOTAL UNITS SOLD]]=0,0,SUMIFS(LS[Cost of Units Sold],LS[Investor ID],INVESTORS_LIST[[#This Row],[INVESTOR CODE]],LS[B/S],"S"))</f>
        <v>200000</v>
      </c>
      <c r="J267" s="6">
        <f>IF(INVESTORS_LIST[[#This Row],[LS_TOTAL CURRENT UNITS]]=0,0,INVESTORS_LIST[[#This Row],[LS_TOTAL CURRENT UNITS]]*INVESTORS_LIST[[#This Row],[LS_AVERAGE COST]])</f>
        <v>0</v>
      </c>
      <c r="K267" s="4">
        <f>IF(INVESTORS_LIST[[#This Row],[LS_TOTAL UNITS SOLD]]=0,0,SUMIFS(LS[Realized Gain],LS[Investor ID],INVESTORS_LIST[[#This Row],[INVESTOR CODE]],LS[B/S],"S"))</f>
        <v>3058.9899999999893</v>
      </c>
      <c r="L267" s="2">
        <f>SUMIFS(SIP[Unit],SIP[Investor ID],INVESTORS_LIST[[#This Row],[INVESTOR CODE]],SIP[B/S],"B")</f>
        <v>0</v>
      </c>
      <c r="M267" s="2">
        <f>-SUMIFS(SIP[Unit],SIP[Investor ID],INVESTORS_LIST[[#This Row],[INVESTOR CODE]],SIP[B/S],"S")</f>
        <v>0</v>
      </c>
      <c r="N267" s="33">
        <f>IF(INVESTORS_LIST[[#This Row],[SIP_TOTAL UNITS BUY]]=0,0,INVESTORS_LIST[[#This Row],[SIP_TOTAL UNITS BUY]]-INVESTORS_LIST[[#This Row],[SIP_TOTAL UNITS SOLD]])</f>
        <v>0</v>
      </c>
      <c r="O267" s="4">
        <f>IF(INVESTORS_LIST[[#This Row],[SIP_TOTAL UNITS BUY]]=0,0,SUMIFS(SIP[Amount],SIP[Investor ID],INVESTORS_LIST[[#This Row],[INVESTOR CODE]],SIP[B/S],"B"))</f>
        <v>0</v>
      </c>
      <c r="P267" s="4">
        <f>IF(INVESTORS_LIST[[#This Row],[SIP_TOTAL UNITS SOLD]]=0,0,SUMIFS(SIP[Cost of Units Sold],SIP[Investor ID],INVESTORS_LIST[[#This Row],[INVESTOR CODE]],SIP[B/S],"S"))</f>
        <v>0</v>
      </c>
      <c r="Q267" s="6">
        <f>IF(INVESTORS_LIST[[#This Row],[SIP_TOTAL CURRENT UNITS]]=0,0,INVESTORS_LIST[[#This Row],[SIP_TOTAL CURRENT UNITS]]*INVESTORS_LIST[[#This Row],[SIP_AVERAGE COST]])</f>
        <v>0</v>
      </c>
      <c r="R267" s="6">
        <f>IF(INVESTORS_LIST[[#This Row],[SIP_TOTAL UNITS SOLD]]=0,0,SUMIFS(SIP[Realized Gain],SIP[Investor ID],INVESTORS_LIST[[#This Row],[INVESTOR CODE]],SIP[B/S],"S"))</f>
        <v>0</v>
      </c>
      <c r="S267" s="33">
        <f>INVESTORS_LIST[[#This Row],[LS_TOTAL UNITS BUY]]+INVESTORS_LIST[[#This Row],[SIP_TOTAL UNITS BUY]]</f>
        <v>20367</v>
      </c>
      <c r="T267" s="33">
        <f>INVESTORS_LIST[[#This Row],[LS_TOTAL UNITS SOLD]]+INVESTORS_LIST[[#This Row],[SIP_TOTAL UNITS SOLD]]</f>
        <v>20367</v>
      </c>
      <c r="U267" s="33">
        <v>0</v>
      </c>
      <c r="V267" s="33">
        <f>SUMIFS(LS[BO UNIT TRANSFER],LS[Investor ID],INVESTORS_LIST[[#This Row],[INVESTOR CODE]],LS[B/S],"B")</f>
        <v>0</v>
      </c>
      <c r="W267" s="33">
        <f>SUMIFS(LS[BO UNIT TRANSFER],LS[Investor ID],INVESTORS_LIST[[#This Row],[INVESTOR CODE]],LS[B/S],"S")</f>
        <v>0</v>
      </c>
      <c r="X267" s="33">
        <f>SUMIFS(SIP[BO UNIT TRANSFER],SIP[Investor ID],INVESTORS_LIST[[#This Row],[INVESTOR CODE]],SIP[B/S],"S")</f>
        <v>0</v>
      </c>
      <c r="Y267" s="33">
        <f>SUMIFS(SIP[BO UNIT TRANSFER],SIP[Investor ID],INVESTORS_LIST[[#This Row],[INVESTOR CODE]],SIP[B/S],"B")</f>
        <v>0</v>
      </c>
      <c r="Z26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67" s="119">
        <f>INVESTORS_LIST[[#This Row],[TOTAL UNITS BUY]]-INVESTORS_LIST[[#This Row],[TOTAL UNITS SOLD]]</f>
        <v>0</v>
      </c>
      <c r="AB267" s="119">
        <f>INVESTORS_LIST[[#This Row],[TOTAL CURRENT UNITS]]-INVESTORS_LIST[[#This Row],[BO UNITS HOLD]]</f>
        <v>0</v>
      </c>
      <c r="AC267" s="119" t="e">
        <f>INDEX([4]!Table_1[BO ID],MATCH(INVESTORS_LIST[[#This Row],[INVESTOR CODE]],[4]!Table_1[INVESTOR CODE],0))</f>
        <v>#REF!</v>
      </c>
      <c r="AD267" s="33">
        <f>INVESTORS_LIST[[#This Row],[LS_TOTAL COST VALUE OF CURRENT UNITS]]+INVESTORS_LIST[[#This Row],[SIP_TOTAL COST VALUE OF CURRENT UNITS]]</f>
        <v>0</v>
      </c>
      <c r="AE267" s="44">
        <f>IF(INVESTORS_LIST[[#This Row],[TOTAL CURRENT UNITS]]=0,0,INVESTORS_LIST[[#This Row],[LS_TOTAL CURRENT UNITS]]/INVESTORS_LIST[[#This Row],[TOTAL CURRENT UNITS]])</f>
        <v>0</v>
      </c>
      <c r="AF267" s="44">
        <f>IF(INVESTORS_LIST[[#This Row],[TOTAL CURRENT UNITS]]=0,0,INVESTORS_LIST[[#This Row],[SIP_TOTAL CURRENT UNITS]]/INVESTORS_LIST[[#This Row],[TOTAL CURRENT UNITS]])</f>
        <v>0</v>
      </c>
      <c r="AG267" s="4" cm="1">
        <f t="array" ref="AG2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67" s="4" cm="1">
        <f t="array" ref="AH2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6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67" s="178">
        <f t="shared" si="4"/>
        <v>12.552</v>
      </c>
      <c r="AK267" s="118">
        <f>IF(INVESTORS_LIST[[#This Row],[TOTAL CURRENT UNITS]]=0,0,INVESTORS_LIST[[#This Row],[TOTAL CURRENT UNITS]]*INVESTORS_LIST[[#This Row],[NAV]])</f>
        <v>0</v>
      </c>
      <c r="AL267" s="4">
        <f>IF(INVESTORS_LIST[[#This Row],[LS_TOTAL CURRENT UNITS]]=0,0,INVESTORS_LIST[[#This Row],[LS_TOTAL CURRENT UNITS]]*INVESTORS_LIST[[#This Row],[NAV]])</f>
        <v>0</v>
      </c>
      <c r="AM267" s="6">
        <f>IF(INVESTORS_LIST[[#This Row],[SIP_TOTAL CURRENT UNITS]]=0,0,INVESTORS_LIST[[#This Row],[SIP_TOTAL CURRENT UNITS]]*INVESTORS_LIST[[#This Row],[NAV]])</f>
        <v>0</v>
      </c>
      <c r="AO267" s="6">
        <f>IF(INVESTORS_LIST[[#This Row],[TOTAL SELLABLE UNITS]]=0,0,INVESTORS_LIST[[#This Row],[TOTAL SELLABLE UNITS]]*INVESTORS_LIST[[#This Row],[NAV]])</f>
        <v>0</v>
      </c>
      <c r="AP267" s="6">
        <f>INVESTORS_LIST[[#This Row],[LS_TOTAL REALIZED GAIN]]+INVESTORS_LIST[[#This Row],[SIP_TOTAL REALIZED GAIN]]</f>
        <v>3058.9899999999893</v>
      </c>
      <c r="AQ267" s="6">
        <f>INVESTORS_LIST[[#This Row],[TOTAL MARKET VALUE]]-INVESTORS_LIST[[#This Row],[TOTAL COST VALUE OF CURRENT INVESTMENT]]</f>
        <v>0</v>
      </c>
      <c r="AR267" s="6">
        <f>SUMIFS(DivAndTax[Tax Amount],DivAndTax[Investor ID],INVESTORS_LIST[[#This Row],[INVESTOR CODE]])</f>
        <v>0</v>
      </c>
      <c r="AS267" s="6">
        <f>SUMIFS(DivAndTax[Gross Dividend],DivAndTax[Investor ID],INVESTORS_LIST[[#This Row],[INVESTOR CODE]])</f>
        <v>0</v>
      </c>
      <c r="AT267" s="5">
        <f>IFERROR(INVESTORS_LIST[[#This Row],[TOTAL CURRENT UNITS]]/SUM(INVESTORS_LIST[TOTAL CURRENT UNITS]),0)</f>
        <v>0</v>
      </c>
    </row>
    <row r="268" spans="1:46" hidden="1">
      <c r="A268" t="s">
        <v>392</v>
      </c>
      <c r="B268" t="s">
        <v>393</v>
      </c>
      <c r="C268" t="s">
        <v>539</v>
      </c>
      <c r="D268" s="8" t="s">
        <v>2</v>
      </c>
      <c r="E268" s="2">
        <f>SUMIFS(LS[Unit],LS[Investor ID],INVESTORS_LIST[[#This Row],[INVESTOR CODE]],LS[B/S],"B")</f>
        <v>55530</v>
      </c>
      <c r="F268" s="2">
        <f>-SUMIFS(LS[Unit],LS[Investor ID],INVESTORS_LIST[[#This Row],[INVESTOR CODE]],LS[B/S],"S")</f>
        <v>55530</v>
      </c>
      <c r="G268" s="2">
        <f>IF(INVESTORS_LIST[[#This Row],[LS_TOTAL UNITS BUY]]=0,0,INVESTORS_LIST[[#This Row],[LS_TOTAL UNITS BUY]]-INVESTORS_LIST[[#This Row],[LS_TOTAL UNITS SOLD]])</f>
        <v>0</v>
      </c>
      <c r="H268" s="4">
        <f>IF(INVESTORS_LIST[[#This Row],[LS_TOTAL UNITS BUY]]=0,0,SUMIFS(LS[Amount],LS[Investor ID],INVESTORS_LIST[[#This Row],[INVESTOR CODE]],LS[B/S],"B"))</f>
        <v>686468.25</v>
      </c>
      <c r="I268" s="6">
        <f>IF(INVESTORS_LIST[[#This Row],[LS_TOTAL UNITS SOLD]]=0,0,SUMIFS(LS[Cost of Units Sold],LS[Investor ID],INVESTORS_LIST[[#This Row],[INVESTOR CODE]],LS[B/S],"S"))</f>
        <v>686468.25</v>
      </c>
      <c r="J268" s="6">
        <f>IF(INVESTORS_LIST[[#This Row],[LS_TOTAL CURRENT UNITS]]=0,0,INVESTORS_LIST[[#This Row],[LS_TOTAL CURRENT UNITS]]*INVESTORS_LIST[[#This Row],[LS_AVERAGE COST]])</f>
        <v>0</v>
      </c>
      <c r="K268" s="4">
        <f>IF(INVESTORS_LIST[[#This Row],[LS_TOTAL UNITS SOLD]]=0,0,SUMIFS(LS[Realized Gain],LS[Investor ID],INVESTORS_LIST[[#This Row],[INVESTOR CODE]],LS[B/S],"S"))</f>
        <v>25043.290000000023</v>
      </c>
      <c r="L268" s="2">
        <f>SUMIFS(SIP[Unit],SIP[Investor ID],INVESTORS_LIST[[#This Row],[INVESTOR CODE]],SIP[B/S],"B")</f>
        <v>0</v>
      </c>
      <c r="M268" s="2">
        <f>-SUMIFS(SIP[Unit],SIP[Investor ID],INVESTORS_LIST[[#This Row],[INVESTOR CODE]],SIP[B/S],"S")</f>
        <v>0</v>
      </c>
      <c r="N268" s="33">
        <f>IF(INVESTORS_LIST[[#This Row],[SIP_TOTAL UNITS BUY]]=0,0,INVESTORS_LIST[[#This Row],[SIP_TOTAL UNITS BUY]]-INVESTORS_LIST[[#This Row],[SIP_TOTAL UNITS SOLD]])</f>
        <v>0</v>
      </c>
      <c r="O268" s="4">
        <f>IF(INVESTORS_LIST[[#This Row],[SIP_TOTAL UNITS BUY]]=0,0,SUMIFS(SIP[Amount],SIP[Investor ID],INVESTORS_LIST[[#This Row],[INVESTOR CODE]],SIP[B/S],"B"))</f>
        <v>0</v>
      </c>
      <c r="P268" s="4">
        <f>IF(INVESTORS_LIST[[#This Row],[SIP_TOTAL UNITS SOLD]]=0,0,SUMIFS(SIP[Cost of Units Sold],SIP[Investor ID],INVESTORS_LIST[[#This Row],[INVESTOR CODE]],SIP[B/S],"S"))</f>
        <v>0</v>
      </c>
      <c r="Q268" s="6">
        <f>IF(INVESTORS_LIST[[#This Row],[SIP_TOTAL CURRENT UNITS]]=0,0,INVESTORS_LIST[[#This Row],[SIP_TOTAL CURRENT UNITS]]*INVESTORS_LIST[[#This Row],[SIP_AVERAGE COST]])</f>
        <v>0</v>
      </c>
      <c r="R268" s="6">
        <f>IF(INVESTORS_LIST[[#This Row],[SIP_TOTAL UNITS SOLD]]=0,0,SUMIFS(SIP[Realized Gain],SIP[Investor ID],INVESTORS_LIST[[#This Row],[INVESTOR CODE]],SIP[B/S],"S"))</f>
        <v>0</v>
      </c>
      <c r="S268" s="33">
        <f>INVESTORS_LIST[[#This Row],[LS_TOTAL UNITS BUY]]+INVESTORS_LIST[[#This Row],[SIP_TOTAL UNITS BUY]]</f>
        <v>55530</v>
      </c>
      <c r="T268" s="33">
        <f>INVESTORS_LIST[[#This Row],[LS_TOTAL UNITS SOLD]]+INVESTORS_LIST[[#This Row],[SIP_TOTAL UNITS SOLD]]</f>
        <v>55530</v>
      </c>
      <c r="U268" s="33">
        <v>0</v>
      </c>
      <c r="V268" s="33">
        <f>SUMIFS(LS[BO UNIT TRANSFER],LS[Investor ID],INVESTORS_LIST[[#This Row],[INVESTOR CODE]],LS[B/S],"B")</f>
        <v>0</v>
      </c>
      <c r="W268" s="33">
        <f>SUMIFS(LS[BO UNIT TRANSFER],LS[Investor ID],INVESTORS_LIST[[#This Row],[INVESTOR CODE]],LS[B/S],"S")</f>
        <v>0</v>
      </c>
      <c r="X268" s="33">
        <f>SUMIFS(SIP[BO UNIT TRANSFER],SIP[Investor ID],INVESTORS_LIST[[#This Row],[INVESTOR CODE]],SIP[B/S],"S")</f>
        <v>0</v>
      </c>
      <c r="Y268" s="33">
        <f>SUMIFS(SIP[BO UNIT TRANSFER],SIP[Investor ID],INVESTORS_LIST[[#This Row],[INVESTOR CODE]],SIP[B/S],"B")</f>
        <v>0</v>
      </c>
      <c r="Z26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68" s="119">
        <f>INVESTORS_LIST[[#This Row],[TOTAL UNITS BUY]]-INVESTORS_LIST[[#This Row],[TOTAL UNITS SOLD]]</f>
        <v>0</v>
      </c>
      <c r="AB268" s="119">
        <f>INVESTORS_LIST[[#This Row],[TOTAL CURRENT UNITS]]-INVESTORS_LIST[[#This Row],[BO UNITS HOLD]]</f>
        <v>0</v>
      </c>
      <c r="AC268" s="119" t="e">
        <f>INDEX([4]!Table_1[BO ID],MATCH(INVESTORS_LIST[[#This Row],[INVESTOR CODE]],[4]!Table_1[INVESTOR CODE],0))</f>
        <v>#REF!</v>
      </c>
      <c r="AD268" s="33">
        <f>INVESTORS_LIST[[#This Row],[LS_TOTAL COST VALUE OF CURRENT UNITS]]+INVESTORS_LIST[[#This Row],[SIP_TOTAL COST VALUE OF CURRENT UNITS]]</f>
        <v>0</v>
      </c>
      <c r="AE268" s="44">
        <f>IF(INVESTORS_LIST[[#This Row],[TOTAL CURRENT UNITS]]=0,0,INVESTORS_LIST[[#This Row],[LS_TOTAL CURRENT UNITS]]/INVESTORS_LIST[[#This Row],[TOTAL CURRENT UNITS]])</f>
        <v>0</v>
      </c>
      <c r="AF268" s="44">
        <f>IF(INVESTORS_LIST[[#This Row],[TOTAL CURRENT UNITS]]=0,0,INVESTORS_LIST[[#This Row],[SIP_TOTAL CURRENT UNITS]]/INVESTORS_LIST[[#This Row],[TOTAL CURRENT UNITS]])</f>
        <v>0</v>
      </c>
      <c r="AG268" s="4" cm="1">
        <f t="array" ref="AG26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68" s="4" cm="1">
        <f t="array" ref="AH2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6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68" s="178">
        <f t="shared" si="4"/>
        <v>12.552</v>
      </c>
      <c r="AK268" s="118">
        <f>IF(INVESTORS_LIST[[#This Row],[TOTAL CURRENT UNITS]]=0,0,INVESTORS_LIST[[#This Row],[TOTAL CURRENT UNITS]]*INVESTORS_LIST[[#This Row],[NAV]])</f>
        <v>0</v>
      </c>
      <c r="AL268" s="4">
        <f>IF(INVESTORS_LIST[[#This Row],[LS_TOTAL CURRENT UNITS]]=0,0,INVESTORS_LIST[[#This Row],[LS_TOTAL CURRENT UNITS]]*INVESTORS_LIST[[#This Row],[NAV]])</f>
        <v>0</v>
      </c>
      <c r="AM268" s="6">
        <f>IF(INVESTORS_LIST[[#This Row],[SIP_TOTAL CURRENT UNITS]]=0,0,INVESTORS_LIST[[#This Row],[SIP_TOTAL CURRENT UNITS]]*INVESTORS_LIST[[#This Row],[NAV]])</f>
        <v>0</v>
      </c>
      <c r="AO268" s="6">
        <f>IF(INVESTORS_LIST[[#This Row],[TOTAL SELLABLE UNITS]]=0,0,INVESTORS_LIST[[#This Row],[TOTAL SELLABLE UNITS]]*INVESTORS_LIST[[#This Row],[NAV]])</f>
        <v>0</v>
      </c>
      <c r="AP268" s="6">
        <f>INVESTORS_LIST[[#This Row],[LS_TOTAL REALIZED GAIN]]+INVESTORS_LIST[[#This Row],[SIP_TOTAL REALIZED GAIN]]</f>
        <v>25043.290000000023</v>
      </c>
      <c r="AQ268" s="6">
        <f>INVESTORS_LIST[[#This Row],[TOTAL MARKET VALUE]]-INVESTORS_LIST[[#This Row],[TOTAL COST VALUE OF CURRENT INVESTMENT]]</f>
        <v>0</v>
      </c>
      <c r="AR268" s="6">
        <f>SUMIFS(DivAndTax[Tax Amount],DivAndTax[Investor ID],INVESTORS_LIST[[#This Row],[INVESTOR CODE]])</f>
        <v>2839.99</v>
      </c>
      <c r="AS268" s="6">
        <f>SUMIFS(DivAndTax[Gross Dividend],DivAndTax[Investor ID],INVESTORS_LIST[[#This Row],[INVESTOR CODE]])</f>
        <v>18933.25</v>
      </c>
      <c r="AT268" s="5">
        <f>IFERROR(INVESTORS_LIST[[#This Row],[TOTAL CURRENT UNITS]]/SUM(INVESTORS_LIST[TOTAL CURRENT UNITS]),0)</f>
        <v>0</v>
      </c>
    </row>
    <row r="269" spans="1:46" hidden="1">
      <c r="A269" t="s">
        <v>397</v>
      </c>
      <c r="B269" t="s">
        <v>394</v>
      </c>
      <c r="C269" t="s">
        <v>539</v>
      </c>
      <c r="D269" s="8" t="s">
        <v>2</v>
      </c>
      <c r="E269" s="2">
        <f>SUMIFS(LS[Unit],LS[Investor ID],INVESTORS_LIST[[#This Row],[INVESTOR CODE]],LS[B/S],"B")</f>
        <v>40733</v>
      </c>
      <c r="F269" s="2">
        <f>-SUMIFS(LS[Unit],LS[Investor ID],INVESTORS_LIST[[#This Row],[INVESTOR CODE]],LS[B/S],"S")</f>
        <v>40733</v>
      </c>
      <c r="G269" s="2">
        <f>IF(INVESTORS_LIST[[#This Row],[LS_TOTAL UNITS BUY]]=0,0,INVESTORS_LIST[[#This Row],[LS_TOTAL UNITS BUY]]-INVESTORS_LIST[[#This Row],[LS_TOTAL UNITS SOLD]])</f>
        <v>0</v>
      </c>
      <c r="H269" s="4">
        <f>IF(INVESTORS_LIST[[#This Row],[LS_TOTAL UNITS BUY]]=0,0,SUMIFS(LS[Amount],LS[Investor ID],INVESTORS_LIST[[#This Row],[INVESTOR CODE]],LS[B/S],"B"))</f>
        <v>400000</v>
      </c>
      <c r="I269" s="6">
        <f>IF(INVESTORS_LIST[[#This Row],[LS_TOTAL UNITS SOLD]]=0,0,SUMIFS(LS[Cost of Units Sold],LS[Investor ID],INVESTORS_LIST[[#This Row],[INVESTOR CODE]],LS[B/S],"S"))</f>
        <v>399999.99999999994</v>
      </c>
      <c r="J269" s="6">
        <f>IF(INVESTORS_LIST[[#This Row],[LS_TOTAL CURRENT UNITS]]=0,0,INVESTORS_LIST[[#This Row],[LS_TOTAL CURRENT UNITS]]*INVESTORS_LIST[[#This Row],[LS_AVERAGE COST]])</f>
        <v>0</v>
      </c>
      <c r="K269" s="4">
        <f>IF(INVESTORS_LIST[[#This Row],[LS_TOTAL UNITS SOLD]]=0,0,SUMIFS(LS[Realized Gain],LS[Investor ID],INVESTORS_LIST[[#This Row],[INVESTOR CODE]],LS[B/S],"S"))</f>
        <v>3256.7000000000444</v>
      </c>
      <c r="L269" s="2">
        <f>SUMIFS(SIP[Unit],SIP[Investor ID],INVESTORS_LIST[[#This Row],[INVESTOR CODE]],SIP[B/S],"B")</f>
        <v>0</v>
      </c>
      <c r="M269" s="2">
        <f>-SUMIFS(SIP[Unit],SIP[Investor ID],INVESTORS_LIST[[#This Row],[INVESTOR CODE]],SIP[B/S],"S")</f>
        <v>0</v>
      </c>
      <c r="N269" s="33">
        <f>IF(INVESTORS_LIST[[#This Row],[SIP_TOTAL UNITS BUY]]=0,0,INVESTORS_LIST[[#This Row],[SIP_TOTAL UNITS BUY]]-INVESTORS_LIST[[#This Row],[SIP_TOTAL UNITS SOLD]])</f>
        <v>0</v>
      </c>
      <c r="O269" s="4">
        <f>IF(INVESTORS_LIST[[#This Row],[SIP_TOTAL UNITS BUY]]=0,0,SUMIFS(SIP[Amount],SIP[Investor ID],INVESTORS_LIST[[#This Row],[INVESTOR CODE]],SIP[B/S],"B"))</f>
        <v>0</v>
      </c>
      <c r="P269" s="4">
        <f>IF(INVESTORS_LIST[[#This Row],[SIP_TOTAL UNITS SOLD]]=0,0,SUMIFS(SIP[Cost of Units Sold],SIP[Investor ID],INVESTORS_LIST[[#This Row],[INVESTOR CODE]],SIP[B/S],"S"))</f>
        <v>0</v>
      </c>
      <c r="Q269" s="6">
        <f>IF(INVESTORS_LIST[[#This Row],[SIP_TOTAL CURRENT UNITS]]=0,0,INVESTORS_LIST[[#This Row],[SIP_TOTAL CURRENT UNITS]]*INVESTORS_LIST[[#This Row],[SIP_AVERAGE COST]])</f>
        <v>0</v>
      </c>
      <c r="R269" s="6">
        <f>IF(INVESTORS_LIST[[#This Row],[SIP_TOTAL UNITS SOLD]]=0,0,SUMIFS(SIP[Realized Gain],SIP[Investor ID],INVESTORS_LIST[[#This Row],[INVESTOR CODE]],SIP[B/S],"S"))</f>
        <v>0</v>
      </c>
      <c r="S269" s="33">
        <f>INVESTORS_LIST[[#This Row],[LS_TOTAL UNITS BUY]]+INVESTORS_LIST[[#This Row],[SIP_TOTAL UNITS BUY]]</f>
        <v>40733</v>
      </c>
      <c r="T269" s="33">
        <f>INVESTORS_LIST[[#This Row],[LS_TOTAL UNITS SOLD]]+INVESTORS_LIST[[#This Row],[SIP_TOTAL UNITS SOLD]]</f>
        <v>40733</v>
      </c>
      <c r="U269" s="33">
        <v>0</v>
      </c>
      <c r="V269" s="33">
        <f>SUMIFS(LS[BO UNIT TRANSFER],LS[Investor ID],INVESTORS_LIST[[#This Row],[INVESTOR CODE]],LS[B/S],"B")</f>
        <v>0</v>
      </c>
      <c r="W269" s="33">
        <f>SUMIFS(LS[BO UNIT TRANSFER],LS[Investor ID],INVESTORS_LIST[[#This Row],[INVESTOR CODE]],LS[B/S],"S")</f>
        <v>0</v>
      </c>
      <c r="X269" s="33">
        <f>SUMIFS(SIP[BO UNIT TRANSFER],SIP[Investor ID],INVESTORS_LIST[[#This Row],[INVESTOR CODE]],SIP[B/S],"S")</f>
        <v>0</v>
      </c>
      <c r="Y269" s="33">
        <f>SUMIFS(SIP[BO UNIT TRANSFER],SIP[Investor ID],INVESTORS_LIST[[#This Row],[INVESTOR CODE]],SIP[B/S],"B")</f>
        <v>0</v>
      </c>
      <c r="Z26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69" s="119">
        <f>INVESTORS_LIST[[#This Row],[TOTAL UNITS BUY]]-INVESTORS_LIST[[#This Row],[TOTAL UNITS SOLD]]</f>
        <v>0</v>
      </c>
      <c r="AB269" s="119">
        <f>INVESTORS_LIST[[#This Row],[TOTAL CURRENT UNITS]]-INVESTORS_LIST[[#This Row],[BO UNITS HOLD]]</f>
        <v>0</v>
      </c>
      <c r="AC269" s="119" t="e">
        <f>INDEX([4]!Table_1[BO ID],MATCH(INVESTORS_LIST[[#This Row],[INVESTOR CODE]],[4]!Table_1[INVESTOR CODE],0))</f>
        <v>#REF!</v>
      </c>
      <c r="AD269" s="33">
        <f>INVESTORS_LIST[[#This Row],[LS_TOTAL COST VALUE OF CURRENT UNITS]]+INVESTORS_LIST[[#This Row],[SIP_TOTAL COST VALUE OF CURRENT UNITS]]</f>
        <v>0</v>
      </c>
      <c r="AE269" s="44">
        <f>IF(INVESTORS_LIST[[#This Row],[TOTAL CURRENT UNITS]]=0,0,INVESTORS_LIST[[#This Row],[LS_TOTAL CURRENT UNITS]]/INVESTORS_LIST[[#This Row],[TOTAL CURRENT UNITS]])</f>
        <v>0</v>
      </c>
      <c r="AF269" s="44">
        <f>IF(INVESTORS_LIST[[#This Row],[TOTAL CURRENT UNITS]]=0,0,INVESTORS_LIST[[#This Row],[SIP_TOTAL CURRENT UNITS]]/INVESTORS_LIST[[#This Row],[TOTAL CURRENT UNITS]])</f>
        <v>0</v>
      </c>
      <c r="AG269" s="4" cm="1">
        <f t="array" ref="AG26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69" s="4" cm="1">
        <f t="array" ref="AH26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6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69" s="178">
        <f t="shared" si="4"/>
        <v>12.552</v>
      </c>
      <c r="AK269" s="118">
        <f>IF(INVESTORS_LIST[[#This Row],[TOTAL CURRENT UNITS]]=0,0,INVESTORS_LIST[[#This Row],[TOTAL CURRENT UNITS]]*INVESTORS_LIST[[#This Row],[NAV]])</f>
        <v>0</v>
      </c>
      <c r="AL269" s="4">
        <f>IF(INVESTORS_LIST[[#This Row],[LS_TOTAL CURRENT UNITS]]=0,0,INVESTORS_LIST[[#This Row],[LS_TOTAL CURRENT UNITS]]*INVESTORS_LIST[[#This Row],[NAV]])</f>
        <v>0</v>
      </c>
      <c r="AM269" s="6">
        <f>IF(INVESTORS_LIST[[#This Row],[SIP_TOTAL CURRENT UNITS]]=0,0,INVESTORS_LIST[[#This Row],[SIP_TOTAL CURRENT UNITS]]*INVESTORS_LIST[[#This Row],[NAV]])</f>
        <v>0</v>
      </c>
      <c r="AO269" s="6">
        <f>IF(INVESTORS_LIST[[#This Row],[TOTAL SELLABLE UNITS]]=0,0,INVESTORS_LIST[[#This Row],[TOTAL SELLABLE UNITS]]*INVESTORS_LIST[[#This Row],[NAV]])</f>
        <v>0</v>
      </c>
      <c r="AP269" s="6">
        <f>INVESTORS_LIST[[#This Row],[LS_TOTAL REALIZED GAIN]]+INVESTORS_LIST[[#This Row],[SIP_TOTAL REALIZED GAIN]]</f>
        <v>3256.7000000000444</v>
      </c>
      <c r="AQ269" s="6">
        <f>INVESTORS_LIST[[#This Row],[TOTAL MARKET VALUE]]-INVESTORS_LIST[[#This Row],[TOTAL COST VALUE OF CURRENT INVESTMENT]]</f>
        <v>0</v>
      </c>
      <c r="AR269" s="6">
        <f>SUMIFS(DivAndTax[Tax Amount],DivAndTax[Investor ID],INVESTORS_LIST[[#This Row],[INVESTOR CODE]])</f>
        <v>0</v>
      </c>
      <c r="AS269" s="6">
        <f>SUMIFS(DivAndTax[Gross Dividend],DivAndTax[Investor ID],INVESTORS_LIST[[#This Row],[INVESTOR CODE]])</f>
        <v>0</v>
      </c>
      <c r="AT269" s="5">
        <f>IFERROR(INVESTORS_LIST[[#This Row],[TOTAL CURRENT UNITS]]/SUM(INVESTORS_LIST[TOTAL CURRENT UNITS]),0)</f>
        <v>0</v>
      </c>
    </row>
    <row r="270" spans="1:46" hidden="1">
      <c r="A270" t="s">
        <v>398</v>
      </c>
      <c r="B270" t="s">
        <v>395</v>
      </c>
      <c r="C270" t="s">
        <v>539</v>
      </c>
      <c r="D270" s="8" t="s">
        <v>2</v>
      </c>
      <c r="E270" s="2">
        <f>SUMIFS(LS[Unit],LS[Investor ID],INVESTORS_LIST[[#This Row],[INVESTOR CODE]],LS[B/S],"B")</f>
        <v>40733</v>
      </c>
      <c r="F270" s="2">
        <f>-SUMIFS(LS[Unit],LS[Investor ID],INVESTORS_LIST[[#This Row],[INVESTOR CODE]],LS[B/S],"S")</f>
        <v>40733</v>
      </c>
      <c r="G270" s="2">
        <f>IF(INVESTORS_LIST[[#This Row],[LS_TOTAL UNITS BUY]]=0,0,INVESTORS_LIST[[#This Row],[LS_TOTAL UNITS BUY]]-INVESTORS_LIST[[#This Row],[LS_TOTAL UNITS SOLD]])</f>
        <v>0</v>
      </c>
      <c r="H270" s="4">
        <f>IF(INVESTORS_LIST[[#This Row],[LS_TOTAL UNITS BUY]]=0,0,SUMIFS(LS[Amount],LS[Investor ID],INVESTORS_LIST[[#This Row],[INVESTOR CODE]],LS[B/S],"B"))</f>
        <v>400000</v>
      </c>
      <c r="I270" s="6">
        <f>IF(INVESTORS_LIST[[#This Row],[LS_TOTAL UNITS SOLD]]=0,0,SUMIFS(LS[Cost of Units Sold],LS[Investor ID],INVESTORS_LIST[[#This Row],[INVESTOR CODE]],LS[B/S],"S"))</f>
        <v>399999.99999999994</v>
      </c>
      <c r="J270" s="6">
        <f>IF(INVESTORS_LIST[[#This Row],[LS_TOTAL CURRENT UNITS]]=0,0,INVESTORS_LIST[[#This Row],[LS_TOTAL CURRENT UNITS]]*INVESTORS_LIST[[#This Row],[LS_AVERAGE COST]])</f>
        <v>0</v>
      </c>
      <c r="K270" s="4">
        <f>IF(INVESTORS_LIST[[#This Row],[LS_TOTAL UNITS SOLD]]=0,0,SUMIFS(LS[Realized Gain],LS[Investor ID],INVESTORS_LIST[[#This Row],[INVESTOR CODE]],LS[B/S],"S"))</f>
        <v>3256.7000000000444</v>
      </c>
      <c r="L270" s="2">
        <f>SUMIFS(SIP[Unit],SIP[Investor ID],INVESTORS_LIST[[#This Row],[INVESTOR CODE]],SIP[B/S],"B")</f>
        <v>0</v>
      </c>
      <c r="M270" s="2">
        <f>-SUMIFS(SIP[Unit],SIP[Investor ID],INVESTORS_LIST[[#This Row],[INVESTOR CODE]],SIP[B/S],"S")</f>
        <v>0</v>
      </c>
      <c r="N270" s="33">
        <f>IF(INVESTORS_LIST[[#This Row],[SIP_TOTAL UNITS BUY]]=0,0,INVESTORS_LIST[[#This Row],[SIP_TOTAL UNITS BUY]]-INVESTORS_LIST[[#This Row],[SIP_TOTAL UNITS SOLD]])</f>
        <v>0</v>
      </c>
      <c r="O270" s="4">
        <f>IF(INVESTORS_LIST[[#This Row],[SIP_TOTAL UNITS BUY]]=0,0,SUMIFS(SIP[Amount],SIP[Investor ID],INVESTORS_LIST[[#This Row],[INVESTOR CODE]],SIP[B/S],"B"))</f>
        <v>0</v>
      </c>
      <c r="P270" s="4">
        <f>IF(INVESTORS_LIST[[#This Row],[SIP_TOTAL UNITS SOLD]]=0,0,SUMIFS(SIP[Cost of Units Sold],SIP[Investor ID],INVESTORS_LIST[[#This Row],[INVESTOR CODE]],SIP[B/S],"S"))</f>
        <v>0</v>
      </c>
      <c r="Q270" s="6">
        <f>IF(INVESTORS_LIST[[#This Row],[SIP_TOTAL CURRENT UNITS]]=0,0,INVESTORS_LIST[[#This Row],[SIP_TOTAL CURRENT UNITS]]*INVESTORS_LIST[[#This Row],[SIP_AVERAGE COST]])</f>
        <v>0</v>
      </c>
      <c r="R270" s="6">
        <f>IF(INVESTORS_LIST[[#This Row],[SIP_TOTAL UNITS SOLD]]=0,0,SUMIFS(SIP[Realized Gain],SIP[Investor ID],INVESTORS_LIST[[#This Row],[INVESTOR CODE]],SIP[B/S],"S"))</f>
        <v>0</v>
      </c>
      <c r="S270" s="33">
        <f>INVESTORS_LIST[[#This Row],[LS_TOTAL UNITS BUY]]+INVESTORS_LIST[[#This Row],[SIP_TOTAL UNITS BUY]]</f>
        <v>40733</v>
      </c>
      <c r="T270" s="33">
        <f>INVESTORS_LIST[[#This Row],[LS_TOTAL UNITS SOLD]]+INVESTORS_LIST[[#This Row],[SIP_TOTAL UNITS SOLD]]</f>
        <v>40733</v>
      </c>
      <c r="U270" s="33">
        <v>0</v>
      </c>
      <c r="V270" s="33">
        <f>SUMIFS(LS[BO UNIT TRANSFER],LS[Investor ID],INVESTORS_LIST[[#This Row],[INVESTOR CODE]],LS[B/S],"B")</f>
        <v>0</v>
      </c>
      <c r="W270" s="33">
        <f>SUMIFS(LS[BO UNIT TRANSFER],LS[Investor ID],INVESTORS_LIST[[#This Row],[INVESTOR CODE]],LS[B/S],"S")</f>
        <v>0</v>
      </c>
      <c r="X270" s="33">
        <f>SUMIFS(SIP[BO UNIT TRANSFER],SIP[Investor ID],INVESTORS_LIST[[#This Row],[INVESTOR CODE]],SIP[B/S],"S")</f>
        <v>0</v>
      </c>
      <c r="Y270" s="33">
        <f>SUMIFS(SIP[BO UNIT TRANSFER],SIP[Investor ID],INVESTORS_LIST[[#This Row],[INVESTOR CODE]],SIP[B/S],"B")</f>
        <v>0</v>
      </c>
      <c r="Z27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70" s="119">
        <f>INVESTORS_LIST[[#This Row],[TOTAL UNITS BUY]]-INVESTORS_LIST[[#This Row],[TOTAL UNITS SOLD]]</f>
        <v>0</v>
      </c>
      <c r="AB270" s="119">
        <f>INVESTORS_LIST[[#This Row],[TOTAL CURRENT UNITS]]-INVESTORS_LIST[[#This Row],[BO UNITS HOLD]]</f>
        <v>0</v>
      </c>
      <c r="AC270" s="119" t="e">
        <f>INDEX([4]!Table_1[BO ID],MATCH(INVESTORS_LIST[[#This Row],[INVESTOR CODE]],[4]!Table_1[INVESTOR CODE],0))</f>
        <v>#REF!</v>
      </c>
      <c r="AD270" s="33">
        <f>INVESTORS_LIST[[#This Row],[LS_TOTAL COST VALUE OF CURRENT UNITS]]+INVESTORS_LIST[[#This Row],[SIP_TOTAL COST VALUE OF CURRENT UNITS]]</f>
        <v>0</v>
      </c>
      <c r="AE270" s="44">
        <f>IF(INVESTORS_LIST[[#This Row],[TOTAL CURRENT UNITS]]=0,0,INVESTORS_LIST[[#This Row],[LS_TOTAL CURRENT UNITS]]/INVESTORS_LIST[[#This Row],[TOTAL CURRENT UNITS]])</f>
        <v>0</v>
      </c>
      <c r="AF270" s="44">
        <f>IF(INVESTORS_LIST[[#This Row],[TOTAL CURRENT UNITS]]=0,0,INVESTORS_LIST[[#This Row],[SIP_TOTAL CURRENT UNITS]]/INVESTORS_LIST[[#This Row],[TOTAL CURRENT UNITS]])</f>
        <v>0</v>
      </c>
      <c r="AG270" s="4" cm="1">
        <f t="array" ref="AG27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70" s="4" cm="1">
        <f t="array" ref="AH27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7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70" s="178">
        <f t="shared" si="4"/>
        <v>12.552</v>
      </c>
      <c r="AK270" s="118">
        <f>IF(INVESTORS_LIST[[#This Row],[TOTAL CURRENT UNITS]]=0,0,INVESTORS_LIST[[#This Row],[TOTAL CURRENT UNITS]]*INVESTORS_LIST[[#This Row],[NAV]])</f>
        <v>0</v>
      </c>
      <c r="AL270" s="4">
        <f>IF(INVESTORS_LIST[[#This Row],[LS_TOTAL CURRENT UNITS]]=0,0,INVESTORS_LIST[[#This Row],[LS_TOTAL CURRENT UNITS]]*INVESTORS_LIST[[#This Row],[NAV]])</f>
        <v>0</v>
      </c>
      <c r="AM270" s="6">
        <f>IF(INVESTORS_LIST[[#This Row],[SIP_TOTAL CURRENT UNITS]]=0,0,INVESTORS_LIST[[#This Row],[SIP_TOTAL CURRENT UNITS]]*INVESTORS_LIST[[#This Row],[NAV]])</f>
        <v>0</v>
      </c>
      <c r="AO270" s="6">
        <f>IF(INVESTORS_LIST[[#This Row],[TOTAL SELLABLE UNITS]]=0,0,INVESTORS_LIST[[#This Row],[TOTAL SELLABLE UNITS]]*INVESTORS_LIST[[#This Row],[NAV]])</f>
        <v>0</v>
      </c>
      <c r="AP270" s="6">
        <f>INVESTORS_LIST[[#This Row],[LS_TOTAL REALIZED GAIN]]+INVESTORS_LIST[[#This Row],[SIP_TOTAL REALIZED GAIN]]</f>
        <v>3256.7000000000444</v>
      </c>
      <c r="AQ270" s="6">
        <f>INVESTORS_LIST[[#This Row],[TOTAL MARKET VALUE]]-INVESTORS_LIST[[#This Row],[TOTAL COST VALUE OF CURRENT INVESTMENT]]</f>
        <v>0</v>
      </c>
      <c r="AR270" s="6">
        <f>SUMIFS(DivAndTax[Tax Amount],DivAndTax[Investor ID],INVESTORS_LIST[[#This Row],[INVESTOR CODE]])</f>
        <v>0</v>
      </c>
      <c r="AS270" s="6">
        <f>SUMIFS(DivAndTax[Gross Dividend],DivAndTax[Investor ID],INVESTORS_LIST[[#This Row],[INVESTOR CODE]])</f>
        <v>0</v>
      </c>
      <c r="AT270" s="5">
        <f>IFERROR(INVESTORS_LIST[[#This Row],[TOTAL CURRENT UNITS]]/SUM(INVESTORS_LIST[TOTAL CURRENT UNITS]),0)</f>
        <v>0</v>
      </c>
    </row>
    <row r="271" spans="1:46" hidden="1">
      <c r="A271" t="s">
        <v>399</v>
      </c>
      <c r="B271" t="s">
        <v>400</v>
      </c>
      <c r="C271" t="s">
        <v>536</v>
      </c>
      <c r="D271" s="8" t="s">
        <v>2</v>
      </c>
      <c r="E271" s="2">
        <f>SUMIFS(LS[Unit],LS[Investor ID],INVESTORS_LIST[[#This Row],[INVESTOR CODE]],LS[B/S],"B")</f>
        <v>0</v>
      </c>
      <c r="F271" s="2">
        <f>-SUMIFS(LS[Unit],LS[Investor ID],INVESTORS_LIST[[#This Row],[INVESTOR CODE]],LS[B/S],"S")</f>
        <v>0</v>
      </c>
      <c r="G271" s="2">
        <f>IF(INVESTORS_LIST[[#This Row],[LS_TOTAL UNITS BUY]]=0,0,INVESTORS_LIST[[#This Row],[LS_TOTAL UNITS BUY]]-INVESTORS_LIST[[#This Row],[LS_TOTAL UNITS SOLD]])</f>
        <v>0</v>
      </c>
      <c r="H271" s="4">
        <f>IF(INVESTORS_LIST[[#This Row],[LS_TOTAL UNITS BUY]]=0,0,SUMIFS(LS[Amount],LS[Investor ID],INVESTORS_LIST[[#This Row],[INVESTOR CODE]],LS[B/S],"B"))</f>
        <v>0</v>
      </c>
      <c r="I271" s="6">
        <f>IF(INVESTORS_LIST[[#This Row],[LS_TOTAL UNITS SOLD]]=0,0,SUMIFS(LS[Cost of Units Sold],LS[Investor ID],INVESTORS_LIST[[#This Row],[INVESTOR CODE]],LS[B/S],"S"))</f>
        <v>0</v>
      </c>
      <c r="J271" s="6">
        <f>IF(INVESTORS_LIST[[#This Row],[LS_TOTAL CURRENT UNITS]]=0,0,INVESTORS_LIST[[#This Row],[LS_TOTAL CURRENT UNITS]]*INVESTORS_LIST[[#This Row],[LS_AVERAGE COST]])</f>
        <v>0</v>
      </c>
      <c r="K271" s="4">
        <f>IF(INVESTORS_LIST[[#This Row],[LS_TOTAL UNITS SOLD]]=0,0,SUMIFS(LS[Realized Gain],LS[Investor ID],INVESTORS_LIST[[#This Row],[INVESTOR CODE]],LS[B/S],"S"))</f>
        <v>0</v>
      </c>
      <c r="L271" s="2">
        <f>SUMIFS(SIP[Unit],SIP[Investor ID],INVESTORS_LIST[[#This Row],[INVESTOR CODE]],SIP[B/S],"B")</f>
        <v>0</v>
      </c>
      <c r="M271" s="2">
        <f>-SUMIFS(SIP[Unit],SIP[Investor ID],INVESTORS_LIST[[#This Row],[INVESTOR CODE]],SIP[B/S],"S")</f>
        <v>0</v>
      </c>
      <c r="N271" s="33">
        <f>IF(INVESTORS_LIST[[#This Row],[SIP_TOTAL UNITS BUY]]=0,0,INVESTORS_LIST[[#This Row],[SIP_TOTAL UNITS BUY]]-INVESTORS_LIST[[#This Row],[SIP_TOTAL UNITS SOLD]])</f>
        <v>0</v>
      </c>
      <c r="O271" s="4">
        <f>IF(INVESTORS_LIST[[#This Row],[SIP_TOTAL UNITS BUY]]=0,0,SUMIFS(SIP[Amount],SIP[Investor ID],INVESTORS_LIST[[#This Row],[INVESTOR CODE]],SIP[B/S],"B"))</f>
        <v>0</v>
      </c>
      <c r="P271" s="4">
        <f>IF(INVESTORS_LIST[[#This Row],[SIP_TOTAL UNITS SOLD]]=0,0,SUMIFS(SIP[Cost of Units Sold],SIP[Investor ID],INVESTORS_LIST[[#This Row],[INVESTOR CODE]],SIP[B/S],"S"))</f>
        <v>0</v>
      </c>
      <c r="Q271" s="6">
        <f>IF(INVESTORS_LIST[[#This Row],[SIP_TOTAL CURRENT UNITS]]=0,0,INVESTORS_LIST[[#This Row],[SIP_TOTAL CURRENT UNITS]]*INVESTORS_LIST[[#This Row],[SIP_AVERAGE COST]])</f>
        <v>0</v>
      </c>
      <c r="R271" s="6">
        <f>IF(INVESTORS_LIST[[#This Row],[SIP_TOTAL UNITS SOLD]]=0,0,SUMIFS(SIP[Realized Gain],SIP[Investor ID],INVESTORS_LIST[[#This Row],[INVESTOR CODE]],SIP[B/S],"S"))</f>
        <v>0</v>
      </c>
      <c r="S271" s="33">
        <f>INVESTORS_LIST[[#This Row],[LS_TOTAL UNITS BUY]]+INVESTORS_LIST[[#This Row],[SIP_TOTAL UNITS BUY]]</f>
        <v>0</v>
      </c>
      <c r="T271" s="33">
        <f>INVESTORS_LIST[[#This Row],[LS_TOTAL UNITS SOLD]]+INVESTORS_LIST[[#This Row],[SIP_TOTAL UNITS SOLD]]</f>
        <v>0</v>
      </c>
      <c r="U271" s="33">
        <v>0</v>
      </c>
      <c r="V271" s="33">
        <f>SUMIFS(LS[BO UNIT TRANSFER],LS[Investor ID],INVESTORS_LIST[[#This Row],[INVESTOR CODE]],LS[B/S],"B")</f>
        <v>0</v>
      </c>
      <c r="W271" s="33">
        <f>SUMIFS(LS[BO UNIT TRANSFER],LS[Investor ID],INVESTORS_LIST[[#This Row],[INVESTOR CODE]],LS[B/S],"S")</f>
        <v>0</v>
      </c>
      <c r="X271" s="33">
        <f>SUMIFS(SIP[BO UNIT TRANSFER],SIP[Investor ID],INVESTORS_LIST[[#This Row],[INVESTOR CODE]],SIP[B/S],"S")</f>
        <v>0</v>
      </c>
      <c r="Y271" s="33">
        <f>SUMIFS(SIP[BO UNIT TRANSFER],SIP[Investor ID],INVESTORS_LIST[[#This Row],[INVESTOR CODE]],SIP[B/S],"B")</f>
        <v>0</v>
      </c>
      <c r="Z27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71" s="119">
        <f>INVESTORS_LIST[[#This Row],[TOTAL UNITS BUY]]-INVESTORS_LIST[[#This Row],[TOTAL UNITS SOLD]]</f>
        <v>0</v>
      </c>
      <c r="AB271" s="119">
        <f>INVESTORS_LIST[[#This Row],[TOTAL CURRENT UNITS]]-INVESTORS_LIST[[#This Row],[BO UNITS HOLD]]</f>
        <v>0</v>
      </c>
      <c r="AC271" s="119" t="e">
        <f>INDEX([4]!Table_1[BO ID],MATCH(INVESTORS_LIST[[#This Row],[INVESTOR CODE]],[4]!Table_1[INVESTOR CODE],0))</f>
        <v>#REF!</v>
      </c>
      <c r="AD271" s="33">
        <f>INVESTORS_LIST[[#This Row],[LS_TOTAL COST VALUE OF CURRENT UNITS]]+INVESTORS_LIST[[#This Row],[SIP_TOTAL COST VALUE OF CURRENT UNITS]]</f>
        <v>0</v>
      </c>
      <c r="AE271" s="44">
        <f>IF(INVESTORS_LIST[[#This Row],[TOTAL CURRENT UNITS]]=0,0,INVESTORS_LIST[[#This Row],[LS_TOTAL CURRENT UNITS]]/INVESTORS_LIST[[#This Row],[TOTAL CURRENT UNITS]])</f>
        <v>0</v>
      </c>
      <c r="AF271" s="44">
        <f>IF(INVESTORS_LIST[[#This Row],[TOTAL CURRENT UNITS]]=0,0,INVESTORS_LIST[[#This Row],[SIP_TOTAL CURRENT UNITS]]/INVESTORS_LIST[[#This Row],[TOTAL CURRENT UNITS]])</f>
        <v>0</v>
      </c>
      <c r="AG271" s="4" cm="1">
        <f t="array" ref="AG27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71" s="4" cm="1">
        <f t="array" ref="AH27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7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71" s="178">
        <f t="shared" si="4"/>
        <v>12.552</v>
      </c>
      <c r="AK271" s="118">
        <f>IF(INVESTORS_LIST[[#This Row],[TOTAL CURRENT UNITS]]=0,0,INVESTORS_LIST[[#This Row],[TOTAL CURRENT UNITS]]*INVESTORS_LIST[[#This Row],[NAV]])</f>
        <v>0</v>
      </c>
      <c r="AL271" s="4">
        <f>IF(INVESTORS_LIST[[#This Row],[LS_TOTAL CURRENT UNITS]]=0,0,INVESTORS_LIST[[#This Row],[LS_TOTAL CURRENT UNITS]]*INVESTORS_LIST[[#This Row],[NAV]])</f>
        <v>0</v>
      </c>
      <c r="AM271" s="6">
        <f>IF(INVESTORS_LIST[[#This Row],[SIP_TOTAL CURRENT UNITS]]=0,0,INVESTORS_LIST[[#This Row],[SIP_TOTAL CURRENT UNITS]]*INVESTORS_LIST[[#This Row],[NAV]])</f>
        <v>0</v>
      </c>
      <c r="AO271" s="6">
        <f>IF(INVESTORS_LIST[[#This Row],[TOTAL SELLABLE UNITS]]=0,0,INVESTORS_LIST[[#This Row],[TOTAL SELLABLE UNITS]]*INVESTORS_LIST[[#This Row],[NAV]])</f>
        <v>0</v>
      </c>
      <c r="AP271" s="6">
        <f>INVESTORS_LIST[[#This Row],[LS_TOTAL REALIZED GAIN]]+INVESTORS_LIST[[#This Row],[SIP_TOTAL REALIZED GAIN]]</f>
        <v>0</v>
      </c>
      <c r="AQ271" s="6">
        <f>INVESTORS_LIST[[#This Row],[TOTAL MARKET VALUE]]-INVESTORS_LIST[[#This Row],[TOTAL COST VALUE OF CURRENT INVESTMENT]]</f>
        <v>0</v>
      </c>
      <c r="AR271" s="6">
        <f>SUMIFS(DivAndTax[Tax Amount],DivAndTax[Investor ID],INVESTORS_LIST[[#This Row],[INVESTOR CODE]])</f>
        <v>0</v>
      </c>
      <c r="AS271" s="6">
        <f>SUMIFS(DivAndTax[Gross Dividend],DivAndTax[Investor ID],INVESTORS_LIST[[#This Row],[INVESTOR CODE]])</f>
        <v>0</v>
      </c>
      <c r="AT271" s="5">
        <f>IFERROR(INVESTORS_LIST[[#This Row],[TOTAL CURRENT UNITS]]/SUM(INVESTORS_LIST[TOTAL CURRENT UNITS]),0)</f>
        <v>0</v>
      </c>
    </row>
    <row r="272" spans="1:46" hidden="1">
      <c r="A272" t="s">
        <v>401</v>
      </c>
      <c r="B272" t="s">
        <v>402</v>
      </c>
      <c r="C272" t="s">
        <v>536</v>
      </c>
      <c r="D272" s="8" t="s">
        <v>2</v>
      </c>
      <c r="E272" s="2">
        <f>SUMIFS(LS[Unit],LS[Investor ID],INVESTORS_LIST[[#This Row],[INVESTOR CODE]],LS[B/S],"B")</f>
        <v>0</v>
      </c>
      <c r="F272" s="2">
        <f>-SUMIFS(LS[Unit],LS[Investor ID],INVESTORS_LIST[[#This Row],[INVESTOR CODE]],LS[B/S],"S")</f>
        <v>0</v>
      </c>
      <c r="G272" s="2">
        <f>IF(INVESTORS_LIST[[#This Row],[LS_TOTAL UNITS BUY]]=0,0,INVESTORS_LIST[[#This Row],[LS_TOTAL UNITS BUY]]-INVESTORS_LIST[[#This Row],[LS_TOTAL UNITS SOLD]])</f>
        <v>0</v>
      </c>
      <c r="H272" s="4">
        <f>IF(INVESTORS_LIST[[#This Row],[LS_TOTAL UNITS BUY]]=0,0,SUMIFS(LS[Amount],LS[Investor ID],INVESTORS_LIST[[#This Row],[INVESTOR CODE]],LS[B/S],"B"))</f>
        <v>0</v>
      </c>
      <c r="I272" s="6">
        <f>IF(INVESTORS_LIST[[#This Row],[LS_TOTAL UNITS SOLD]]=0,0,SUMIFS(LS[Cost of Units Sold],LS[Investor ID],INVESTORS_LIST[[#This Row],[INVESTOR CODE]],LS[B/S],"S"))</f>
        <v>0</v>
      </c>
      <c r="J272" s="6">
        <f>IF(INVESTORS_LIST[[#This Row],[LS_TOTAL CURRENT UNITS]]=0,0,INVESTORS_LIST[[#This Row],[LS_TOTAL CURRENT UNITS]]*INVESTORS_LIST[[#This Row],[LS_AVERAGE COST]])</f>
        <v>0</v>
      </c>
      <c r="K272" s="4">
        <f>IF(INVESTORS_LIST[[#This Row],[LS_TOTAL UNITS SOLD]]=0,0,SUMIFS(LS[Realized Gain],LS[Investor ID],INVESTORS_LIST[[#This Row],[INVESTOR CODE]],LS[B/S],"S"))</f>
        <v>0</v>
      </c>
      <c r="L272" s="2">
        <f>SUMIFS(SIP[Unit],SIP[Investor ID],INVESTORS_LIST[[#This Row],[INVESTOR CODE]],SIP[B/S],"B")</f>
        <v>0</v>
      </c>
      <c r="M272" s="2">
        <f>-SUMIFS(SIP[Unit],SIP[Investor ID],INVESTORS_LIST[[#This Row],[INVESTOR CODE]],SIP[B/S],"S")</f>
        <v>0</v>
      </c>
      <c r="N272" s="33">
        <f>IF(INVESTORS_LIST[[#This Row],[SIP_TOTAL UNITS BUY]]=0,0,INVESTORS_LIST[[#This Row],[SIP_TOTAL UNITS BUY]]-INVESTORS_LIST[[#This Row],[SIP_TOTAL UNITS SOLD]])</f>
        <v>0</v>
      </c>
      <c r="O272" s="4">
        <f>IF(INVESTORS_LIST[[#This Row],[SIP_TOTAL UNITS BUY]]=0,0,SUMIFS(SIP[Amount],SIP[Investor ID],INVESTORS_LIST[[#This Row],[INVESTOR CODE]],SIP[B/S],"B"))</f>
        <v>0</v>
      </c>
      <c r="P272" s="4">
        <f>IF(INVESTORS_LIST[[#This Row],[SIP_TOTAL UNITS SOLD]]=0,0,SUMIFS(SIP[Cost of Units Sold],SIP[Investor ID],INVESTORS_LIST[[#This Row],[INVESTOR CODE]],SIP[B/S],"S"))</f>
        <v>0</v>
      </c>
      <c r="Q272" s="6">
        <f>IF(INVESTORS_LIST[[#This Row],[SIP_TOTAL CURRENT UNITS]]=0,0,INVESTORS_LIST[[#This Row],[SIP_TOTAL CURRENT UNITS]]*INVESTORS_LIST[[#This Row],[SIP_AVERAGE COST]])</f>
        <v>0</v>
      </c>
      <c r="R272" s="6">
        <f>IF(INVESTORS_LIST[[#This Row],[SIP_TOTAL UNITS SOLD]]=0,0,SUMIFS(SIP[Realized Gain],SIP[Investor ID],INVESTORS_LIST[[#This Row],[INVESTOR CODE]],SIP[B/S],"S"))</f>
        <v>0</v>
      </c>
      <c r="S272" s="33">
        <f>INVESTORS_LIST[[#This Row],[LS_TOTAL UNITS BUY]]+INVESTORS_LIST[[#This Row],[SIP_TOTAL UNITS BUY]]</f>
        <v>0</v>
      </c>
      <c r="T272" s="33">
        <f>INVESTORS_LIST[[#This Row],[LS_TOTAL UNITS SOLD]]+INVESTORS_LIST[[#This Row],[SIP_TOTAL UNITS SOLD]]</f>
        <v>0</v>
      </c>
      <c r="U272" s="33">
        <v>0</v>
      </c>
      <c r="V272" s="33">
        <f>SUMIFS(LS[BO UNIT TRANSFER],LS[Investor ID],INVESTORS_LIST[[#This Row],[INVESTOR CODE]],LS[B/S],"B")</f>
        <v>0</v>
      </c>
      <c r="W272" s="33">
        <f>SUMIFS(LS[BO UNIT TRANSFER],LS[Investor ID],INVESTORS_LIST[[#This Row],[INVESTOR CODE]],LS[B/S],"S")</f>
        <v>0</v>
      </c>
      <c r="X272" s="33">
        <f>SUMIFS(SIP[BO UNIT TRANSFER],SIP[Investor ID],INVESTORS_LIST[[#This Row],[INVESTOR CODE]],SIP[B/S],"S")</f>
        <v>0</v>
      </c>
      <c r="Y272" s="33">
        <f>SUMIFS(SIP[BO UNIT TRANSFER],SIP[Investor ID],INVESTORS_LIST[[#This Row],[INVESTOR CODE]],SIP[B/S],"B")</f>
        <v>0</v>
      </c>
      <c r="Z27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72" s="119">
        <f>INVESTORS_LIST[[#This Row],[TOTAL UNITS BUY]]-INVESTORS_LIST[[#This Row],[TOTAL UNITS SOLD]]</f>
        <v>0</v>
      </c>
      <c r="AB272" s="119">
        <f>INVESTORS_LIST[[#This Row],[TOTAL CURRENT UNITS]]-INVESTORS_LIST[[#This Row],[BO UNITS HOLD]]</f>
        <v>0</v>
      </c>
      <c r="AC272" s="119" t="e">
        <f>INDEX([4]!Table_1[BO ID],MATCH(INVESTORS_LIST[[#This Row],[INVESTOR CODE]],[4]!Table_1[INVESTOR CODE],0))</f>
        <v>#REF!</v>
      </c>
      <c r="AD272" s="33">
        <f>INVESTORS_LIST[[#This Row],[LS_TOTAL COST VALUE OF CURRENT UNITS]]+INVESTORS_LIST[[#This Row],[SIP_TOTAL COST VALUE OF CURRENT UNITS]]</f>
        <v>0</v>
      </c>
      <c r="AE272" s="44">
        <f>IF(INVESTORS_LIST[[#This Row],[TOTAL CURRENT UNITS]]=0,0,INVESTORS_LIST[[#This Row],[LS_TOTAL CURRENT UNITS]]/INVESTORS_LIST[[#This Row],[TOTAL CURRENT UNITS]])</f>
        <v>0</v>
      </c>
      <c r="AF272" s="44">
        <f>IF(INVESTORS_LIST[[#This Row],[TOTAL CURRENT UNITS]]=0,0,INVESTORS_LIST[[#This Row],[SIP_TOTAL CURRENT UNITS]]/INVESTORS_LIST[[#This Row],[TOTAL CURRENT UNITS]])</f>
        <v>0</v>
      </c>
      <c r="AG272" s="4" cm="1">
        <f t="array" ref="AG27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72" s="4" cm="1">
        <f t="array" ref="AH27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7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72" s="178">
        <f t="shared" si="4"/>
        <v>12.552</v>
      </c>
      <c r="AK272" s="118">
        <f>IF(INVESTORS_LIST[[#This Row],[TOTAL CURRENT UNITS]]=0,0,INVESTORS_LIST[[#This Row],[TOTAL CURRENT UNITS]]*INVESTORS_LIST[[#This Row],[NAV]])</f>
        <v>0</v>
      </c>
      <c r="AL272" s="4">
        <f>IF(INVESTORS_LIST[[#This Row],[LS_TOTAL CURRENT UNITS]]=0,0,INVESTORS_LIST[[#This Row],[LS_TOTAL CURRENT UNITS]]*INVESTORS_LIST[[#This Row],[NAV]])</f>
        <v>0</v>
      </c>
      <c r="AM272" s="6">
        <f>IF(INVESTORS_LIST[[#This Row],[SIP_TOTAL CURRENT UNITS]]=0,0,INVESTORS_LIST[[#This Row],[SIP_TOTAL CURRENT UNITS]]*INVESTORS_LIST[[#This Row],[NAV]])</f>
        <v>0</v>
      </c>
      <c r="AO272" s="6">
        <f>IF(INVESTORS_LIST[[#This Row],[TOTAL SELLABLE UNITS]]=0,0,INVESTORS_LIST[[#This Row],[TOTAL SELLABLE UNITS]]*INVESTORS_LIST[[#This Row],[NAV]])</f>
        <v>0</v>
      </c>
      <c r="AP272" s="6">
        <f>INVESTORS_LIST[[#This Row],[LS_TOTAL REALIZED GAIN]]+INVESTORS_LIST[[#This Row],[SIP_TOTAL REALIZED GAIN]]</f>
        <v>0</v>
      </c>
      <c r="AQ272" s="6">
        <f>INVESTORS_LIST[[#This Row],[TOTAL MARKET VALUE]]-INVESTORS_LIST[[#This Row],[TOTAL COST VALUE OF CURRENT INVESTMENT]]</f>
        <v>0</v>
      </c>
      <c r="AR272" s="6">
        <f>SUMIFS(DivAndTax[Tax Amount],DivAndTax[Investor ID],INVESTORS_LIST[[#This Row],[INVESTOR CODE]])</f>
        <v>0</v>
      </c>
      <c r="AS272" s="6">
        <f>SUMIFS(DivAndTax[Gross Dividend],DivAndTax[Investor ID],INVESTORS_LIST[[#This Row],[INVESTOR CODE]])</f>
        <v>0</v>
      </c>
      <c r="AT272" s="5">
        <f>IFERROR(INVESTORS_LIST[[#This Row],[TOTAL CURRENT UNITS]]/SUM(INVESTORS_LIST[TOTAL CURRENT UNITS]),0)</f>
        <v>0</v>
      </c>
    </row>
    <row r="273" spans="1:46" hidden="1">
      <c r="A273" t="s">
        <v>403</v>
      </c>
      <c r="B273" t="s">
        <v>404</v>
      </c>
      <c r="C273" t="s">
        <v>538</v>
      </c>
      <c r="D273" s="8" t="s">
        <v>2</v>
      </c>
      <c r="E273" s="2">
        <f>SUMIFS(LS[Unit],LS[Investor ID],INVESTORS_LIST[[#This Row],[INVESTOR CODE]],LS[B/S],"B")</f>
        <v>0</v>
      </c>
      <c r="F273" s="2">
        <f>-SUMIFS(LS[Unit],LS[Investor ID],INVESTORS_LIST[[#This Row],[INVESTOR CODE]],LS[B/S],"S")</f>
        <v>0</v>
      </c>
      <c r="G273" s="2">
        <f>IF(INVESTORS_LIST[[#This Row],[LS_TOTAL UNITS BUY]]=0,0,INVESTORS_LIST[[#This Row],[LS_TOTAL UNITS BUY]]-INVESTORS_LIST[[#This Row],[LS_TOTAL UNITS SOLD]])</f>
        <v>0</v>
      </c>
      <c r="H273" s="4">
        <f>IF(INVESTORS_LIST[[#This Row],[LS_TOTAL UNITS BUY]]=0,0,SUMIFS(LS[Amount],LS[Investor ID],INVESTORS_LIST[[#This Row],[INVESTOR CODE]],LS[B/S],"B"))</f>
        <v>0</v>
      </c>
      <c r="I273" s="6">
        <f>IF(INVESTORS_LIST[[#This Row],[LS_TOTAL UNITS SOLD]]=0,0,SUMIFS(LS[Cost of Units Sold],LS[Investor ID],INVESTORS_LIST[[#This Row],[INVESTOR CODE]],LS[B/S],"S"))</f>
        <v>0</v>
      </c>
      <c r="J273" s="6">
        <f>IF(INVESTORS_LIST[[#This Row],[LS_TOTAL CURRENT UNITS]]=0,0,INVESTORS_LIST[[#This Row],[LS_TOTAL CURRENT UNITS]]*INVESTORS_LIST[[#This Row],[LS_AVERAGE COST]])</f>
        <v>0</v>
      </c>
      <c r="K273" s="4">
        <f>IF(INVESTORS_LIST[[#This Row],[LS_TOTAL UNITS SOLD]]=0,0,SUMIFS(LS[Realized Gain],LS[Investor ID],INVESTORS_LIST[[#This Row],[INVESTOR CODE]],LS[B/S],"S"))</f>
        <v>0</v>
      </c>
      <c r="L273" s="2">
        <f>SUMIFS(SIP[Unit],SIP[Investor ID],INVESTORS_LIST[[#This Row],[INVESTOR CODE]],SIP[B/S],"B")</f>
        <v>0</v>
      </c>
      <c r="M273" s="2">
        <f>-SUMIFS(SIP[Unit],SIP[Investor ID],INVESTORS_LIST[[#This Row],[INVESTOR CODE]],SIP[B/S],"S")</f>
        <v>0</v>
      </c>
      <c r="N273" s="33">
        <f>IF(INVESTORS_LIST[[#This Row],[SIP_TOTAL UNITS BUY]]=0,0,INVESTORS_LIST[[#This Row],[SIP_TOTAL UNITS BUY]]-INVESTORS_LIST[[#This Row],[SIP_TOTAL UNITS SOLD]])</f>
        <v>0</v>
      </c>
      <c r="O273" s="4">
        <f>IF(INVESTORS_LIST[[#This Row],[SIP_TOTAL UNITS BUY]]=0,0,SUMIFS(SIP[Amount],SIP[Investor ID],INVESTORS_LIST[[#This Row],[INVESTOR CODE]],SIP[B/S],"B"))</f>
        <v>0</v>
      </c>
      <c r="P273" s="4">
        <f>IF(INVESTORS_LIST[[#This Row],[SIP_TOTAL UNITS SOLD]]=0,0,SUMIFS(SIP[Cost of Units Sold],SIP[Investor ID],INVESTORS_LIST[[#This Row],[INVESTOR CODE]],SIP[B/S],"S"))</f>
        <v>0</v>
      </c>
      <c r="Q273" s="6">
        <f>IF(INVESTORS_LIST[[#This Row],[SIP_TOTAL CURRENT UNITS]]=0,0,INVESTORS_LIST[[#This Row],[SIP_TOTAL CURRENT UNITS]]*INVESTORS_LIST[[#This Row],[SIP_AVERAGE COST]])</f>
        <v>0</v>
      </c>
      <c r="R273" s="6">
        <f>IF(INVESTORS_LIST[[#This Row],[SIP_TOTAL UNITS SOLD]]=0,0,SUMIFS(SIP[Realized Gain],SIP[Investor ID],INVESTORS_LIST[[#This Row],[INVESTOR CODE]],SIP[B/S],"S"))</f>
        <v>0</v>
      </c>
      <c r="S273" s="33">
        <f>INVESTORS_LIST[[#This Row],[LS_TOTAL UNITS BUY]]+INVESTORS_LIST[[#This Row],[SIP_TOTAL UNITS BUY]]</f>
        <v>0</v>
      </c>
      <c r="T273" s="33">
        <f>INVESTORS_LIST[[#This Row],[LS_TOTAL UNITS SOLD]]+INVESTORS_LIST[[#This Row],[SIP_TOTAL UNITS SOLD]]</f>
        <v>0</v>
      </c>
      <c r="U273" s="33">
        <v>0</v>
      </c>
      <c r="V273" s="33">
        <f>SUMIFS(LS[BO UNIT TRANSFER],LS[Investor ID],INVESTORS_LIST[[#This Row],[INVESTOR CODE]],LS[B/S],"B")</f>
        <v>0</v>
      </c>
      <c r="W273" s="33">
        <f>SUMIFS(LS[BO UNIT TRANSFER],LS[Investor ID],INVESTORS_LIST[[#This Row],[INVESTOR CODE]],LS[B/S],"S")</f>
        <v>0</v>
      </c>
      <c r="X273" s="33">
        <f>SUMIFS(SIP[BO UNIT TRANSFER],SIP[Investor ID],INVESTORS_LIST[[#This Row],[INVESTOR CODE]],SIP[B/S],"S")</f>
        <v>0</v>
      </c>
      <c r="Y273" s="33">
        <f>SUMIFS(SIP[BO UNIT TRANSFER],SIP[Investor ID],INVESTORS_LIST[[#This Row],[INVESTOR CODE]],SIP[B/S],"B")</f>
        <v>0</v>
      </c>
      <c r="Z27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73" s="119">
        <f>INVESTORS_LIST[[#This Row],[TOTAL UNITS BUY]]-INVESTORS_LIST[[#This Row],[TOTAL UNITS SOLD]]</f>
        <v>0</v>
      </c>
      <c r="AB273" s="119">
        <f>INVESTORS_LIST[[#This Row],[TOTAL CURRENT UNITS]]-INVESTORS_LIST[[#This Row],[BO UNITS HOLD]]</f>
        <v>0</v>
      </c>
      <c r="AC273" s="119" t="e">
        <f>INDEX([4]!Table_1[BO ID],MATCH(INVESTORS_LIST[[#This Row],[INVESTOR CODE]],[4]!Table_1[INVESTOR CODE],0))</f>
        <v>#REF!</v>
      </c>
      <c r="AD273" s="33">
        <f>INVESTORS_LIST[[#This Row],[LS_TOTAL COST VALUE OF CURRENT UNITS]]+INVESTORS_LIST[[#This Row],[SIP_TOTAL COST VALUE OF CURRENT UNITS]]</f>
        <v>0</v>
      </c>
      <c r="AE273" s="44">
        <f>IF(INVESTORS_LIST[[#This Row],[TOTAL CURRENT UNITS]]=0,0,INVESTORS_LIST[[#This Row],[LS_TOTAL CURRENT UNITS]]/INVESTORS_LIST[[#This Row],[TOTAL CURRENT UNITS]])</f>
        <v>0</v>
      </c>
      <c r="AF273" s="44">
        <f>IF(INVESTORS_LIST[[#This Row],[TOTAL CURRENT UNITS]]=0,0,INVESTORS_LIST[[#This Row],[SIP_TOTAL CURRENT UNITS]]/INVESTORS_LIST[[#This Row],[TOTAL CURRENT UNITS]])</f>
        <v>0</v>
      </c>
      <c r="AG273" s="4" cm="1">
        <f t="array" ref="AG27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73" s="4" cm="1">
        <f t="array" ref="AH2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7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73" s="178">
        <f t="shared" si="4"/>
        <v>12.552</v>
      </c>
      <c r="AK273" s="118">
        <f>IF(INVESTORS_LIST[[#This Row],[TOTAL CURRENT UNITS]]=0,0,INVESTORS_LIST[[#This Row],[TOTAL CURRENT UNITS]]*INVESTORS_LIST[[#This Row],[NAV]])</f>
        <v>0</v>
      </c>
      <c r="AL273" s="4">
        <f>IF(INVESTORS_LIST[[#This Row],[LS_TOTAL CURRENT UNITS]]=0,0,INVESTORS_LIST[[#This Row],[LS_TOTAL CURRENT UNITS]]*INVESTORS_LIST[[#This Row],[NAV]])</f>
        <v>0</v>
      </c>
      <c r="AM273" s="6">
        <f>IF(INVESTORS_LIST[[#This Row],[SIP_TOTAL CURRENT UNITS]]=0,0,INVESTORS_LIST[[#This Row],[SIP_TOTAL CURRENT UNITS]]*INVESTORS_LIST[[#This Row],[NAV]])</f>
        <v>0</v>
      </c>
      <c r="AO273" s="6">
        <f>IF(INVESTORS_LIST[[#This Row],[TOTAL SELLABLE UNITS]]=0,0,INVESTORS_LIST[[#This Row],[TOTAL SELLABLE UNITS]]*INVESTORS_LIST[[#This Row],[NAV]])</f>
        <v>0</v>
      </c>
      <c r="AP273" s="6">
        <f>INVESTORS_LIST[[#This Row],[LS_TOTAL REALIZED GAIN]]+INVESTORS_LIST[[#This Row],[SIP_TOTAL REALIZED GAIN]]</f>
        <v>0</v>
      </c>
      <c r="AQ273" s="6">
        <f>INVESTORS_LIST[[#This Row],[TOTAL MARKET VALUE]]-INVESTORS_LIST[[#This Row],[TOTAL COST VALUE OF CURRENT INVESTMENT]]</f>
        <v>0</v>
      </c>
      <c r="AR273" s="6">
        <f>SUMIFS(DivAndTax[Tax Amount],DivAndTax[Investor ID],INVESTORS_LIST[[#This Row],[INVESTOR CODE]])</f>
        <v>0</v>
      </c>
      <c r="AS273" s="6">
        <f>SUMIFS(DivAndTax[Gross Dividend],DivAndTax[Investor ID],INVESTORS_LIST[[#This Row],[INVESTOR CODE]])</f>
        <v>0</v>
      </c>
      <c r="AT273" s="5">
        <f>IFERROR(INVESTORS_LIST[[#This Row],[TOTAL CURRENT UNITS]]/SUM(INVESTORS_LIST[TOTAL CURRENT UNITS]),0)</f>
        <v>0</v>
      </c>
    </row>
    <row r="274" spans="1:46" hidden="1">
      <c r="A274" t="s">
        <v>405</v>
      </c>
      <c r="B274" t="s">
        <v>406</v>
      </c>
      <c r="C274" t="s">
        <v>536</v>
      </c>
      <c r="D274" s="8" t="s">
        <v>2</v>
      </c>
      <c r="E274" s="2">
        <f>SUMIFS(LS[Unit],LS[Investor ID],INVESTORS_LIST[[#This Row],[INVESTOR CODE]],LS[B/S],"B")</f>
        <v>0</v>
      </c>
      <c r="F274" s="2">
        <f>-SUMIFS(LS[Unit],LS[Investor ID],INVESTORS_LIST[[#This Row],[INVESTOR CODE]],LS[B/S],"S")</f>
        <v>0</v>
      </c>
      <c r="G274" s="2">
        <f>IF(INVESTORS_LIST[[#This Row],[LS_TOTAL UNITS BUY]]=0,0,INVESTORS_LIST[[#This Row],[LS_TOTAL UNITS BUY]]-INVESTORS_LIST[[#This Row],[LS_TOTAL UNITS SOLD]])</f>
        <v>0</v>
      </c>
      <c r="H274" s="4">
        <f>IF(INVESTORS_LIST[[#This Row],[LS_TOTAL UNITS BUY]]=0,0,SUMIFS(LS[Amount],LS[Investor ID],INVESTORS_LIST[[#This Row],[INVESTOR CODE]],LS[B/S],"B"))</f>
        <v>0</v>
      </c>
      <c r="I274" s="6">
        <f>IF(INVESTORS_LIST[[#This Row],[LS_TOTAL UNITS SOLD]]=0,0,SUMIFS(LS[Cost of Units Sold],LS[Investor ID],INVESTORS_LIST[[#This Row],[INVESTOR CODE]],LS[B/S],"S"))</f>
        <v>0</v>
      </c>
      <c r="J274" s="6">
        <f>IF(INVESTORS_LIST[[#This Row],[LS_TOTAL CURRENT UNITS]]=0,0,INVESTORS_LIST[[#This Row],[LS_TOTAL CURRENT UNITS]]*INVESTORS_LIST[[#This Row],[LS_AVERAGE COST]])</f>
        <v>0</v>
      </c>
      <c r="K274" s="4">
        <f>IF(INVESTORS_LIST[[#This Row],[LS_TOTAL UNITS SOLD]]=0,0,SUMIFS(LS[Realized Gain],LS[Investor ID],INVESTORS_LIST[[#This Row],[INVESTOR CODE]],LS[B/S],"S"))</f>
        <v>0</v>
      </c>
      <c r="L274" s="2">
        <f>SUMIFS(SIP[Unit],SIP[Investor ID],INVESTORS_LIST[[#This Row],[INVESTOR CODE]],SIP[B/S],"B")</f>
        <v>0</v>
      </c>
      <c r="M274" s="2">
        <f>-SUMIFS(SIP[Unit],SIP[Investor ID],INVESTORS_LIST[[#This Row],[INVESTOR CODE]],SIP[B/S],"S")</f>
        <v>0</v>
      </c>
      <c r="N274" s="33">
        <f>IF(INVESTORS_LIST[[#This Row],[SIP_TOTAL UNITS BUY]]=0,0,INVESTORS_LIST[[#This Row],[SIP_TOTAL UNITS BUY]]-INVESTORS_LIST[[#This Row],[SIP_TOTAL UNITS SOLD]])</f>
        <v>0</v>
      </c>
      <c r="O274" s="4">
        <f>IF(INVESTORS_LIST[[#This Row],[SIP_TOTAL UNITS BUY]]=0,0,SUMIFS(SIP[Amount],SIP[Investor ID],INVESTORS_LIST[[#This Row],[INVESTOR CODE]],SIP[B/S],"B"))</f>
        <v>0</v>
      </c>
      <c r="P274" s="4">
        <f>IF(INVESTORS_LIST[[#This Row],[SIP_TOTAL UNITS SOLD]]=0,0,SUMIFS(SIP[Cost of Units Sold],SIP[Investor ID],INVESTORS_LIST[[#This Row],[INVESTOR CODE]],SIP[B/S],"S"))</f>
        <v>0</v>
      </c>
      <c r="Q274" s="6">
        <f>IF(INVESTORS_LIST[[#This Row],[SIP_TOTAL CURRENT UNITS]]=0,0,INVESTORS_LIST[[#This Row],[SIP_TOTAL CURRENT UNITS]]*INVESTORS_LIST[[#This Row],[SIP_AVERAGE COST]])</f>
        <v>0</v>
      </c>
      <c r="R274" s="6">
        <f>IF(INVESTORS_LIST[[#This Row],[SIP_TOTAL UNITS SOLD]]=0,0,SUMIFS(SIP[Realized Gain],SIP[Investor ID],INVESTORS_LIST[[#This Row],[INVESTOR CODE]],SIP[B/S],"S"))</f>
        <v>0</v>
      </c>
      <c r="S274" s="33">
        <f>INVESTORS_LIST[[#This Row],[LS_TOTAL UNITS BUY]]+INVESTORS_LIST[[#This Row],[SIP_TOTAL UNITS BUY]]</f>
        <v>0</v>
      </c>
      <c r="T274" s="33">
        <f>INVESTORS_LIST[[#This Row],[LS_TOTAL UNITS SOLD]]+INVESTORS_LIST[[#This Row],[SIP_TOTAL UNITS SOLD]]</f>
        <v>0</v>
      </c>
      <c r="U274" s="33">
        <v>0</v>
      </c>
      <c r="V274" s="33">
        <f>SUMIFS(LS[BO UNIT TRANSFER],LS[Investor ID],INVESTORS_LIST[[#This Row],[INVESTOR CODE]],LS[B/S],"B")</f>
        <v>0</v>
      </c>
      <c r="W274" s="33">
        <f>SUMIFS(LS[BO UNIT TRANSFER],LS[Investor ID],INVESTORS_LIST[[#This Row],[INVESTOR CODE]],LS[B/S],"S")</f>
        <v>0</v>
      </c>
      <c r="X274" s="33">
        <f>SUMIFS(SIP[BO UNIT TRANSFER],SIP[Investor ID],INVESTORS_LIST[[#This Row],[INVESTOR CODE]],SIP[B/S],"S")</f>
        <v>0</v>
      </c>
      <c r="Y274" s="33">
        <f>SUMIFS(SIP[BO UNIT TRANSFER],SIP[Investor ID],INVESTORS_LIST[[#This Row],[INVESTOR CODE]],SIP[B/S],"B")</f>
        <v>0</v>
      </c>
      <c r="Z27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74" s="119">
        <f>INVESTORS_LIST[[#This Row],[TOTAL UNITS BUY]]-INVESTORS_LIST[[#This Row],[TOTAL UNITS SOLD]]</f>
        <v>0</v>
      </c>
      <c r="AB274" s="119">
        <f>INVESTORS_LIST[[#This Row],[TOTAL CURRENT UNITS]]-INVESTORS_LIST[[#This Row],[BO UNITS HOLD]]</f>
        <v>0</v>
      </c>
      <c r="AC274" s="119" t="e">
        <f>INDEX([4]!Table_1[BO ID],MATCH(INVESTORS_LIST[[#This Row],[INVESTOR CODE]],[4]!Table_1[INVESTOR CODE],0))</f>
        <v>#REF!</v>
      </c>
      <c r="AD274" s="33">
        <f>INVESTORS_LIST[[#This Row],[LS_TOTAL COST VALUE OF CURRENT UNITS]]+INVESTORS_LIST[[#This Row],[SIP_TOTAL COST VALUE OF CURRENT UNITS]]</f>
        <v>0</v>
      </c>
      <c r="AE274" s="44">
        <f>IF(INVESTORS_LIST[[#This Row],[TOTAL CURRENT UNITS]]=0,0,INVESTORS_LIST[[#This Row],[LS_TOTAL CURRENT UNITS]]/INVESTORS_LIST[[#This Row],[TOTAL CURRENT UNITS]])</f>
        <v>0</v>
      </c>
      <c r="AF274" s="44">
        <f>IF(INVESTORS_LIST[[#This Row],[TOTAL CURRENT UNITS]]=0,0,INVESTORS_LIST[[#This Row],[SIP_TOTAL CURRENT UNITS]]/INVESTORS_LIST[[#This Row],[TOTAL CURRENT UNITS]])</f>
        <v>0</v>
      </c>
      <c r="AG274" s="4" cm="1">
        <f t="array" ref="AG27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74" s="4" cm="1">
        <f t="array" ref="AH27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7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74" s="178">
        <f t="shared" si="4"/>
        <v>12.552</v>
      </c>
      <c r="AK274" s="118">
        <f>IF(INVESTORS_LIST[[#This Row],[TOTAL CURRENT UNITS]]=0,0,INVESTORS_LIST[[#This Row],[TOTAL CURRENT UNITS]]*INVESTORS_LIST[[#This Row],[NAV]])</f>
        <v>0</v>
      </c>
      <c r="AL274" s="4">
        <f>IF(INVESTORS_LIST[[#This Row],[LS_TOTAL CURRENT UNITS]]=0,0,INVESTORS_LIST[[#This Row],[LS_TOTAL CURRENT UNITS]]*INVESTORS_LIST[[#This Row],[NAV]])</f>
        <v>0</v>
      </c>
      <c r="AM274" s="6">
        <f>IF(INVESTORS_LIST[[#This Row],[SIP_TOTAL CURRENT UNITS]]=0,0,INVESTORS_LIST[[#This Row],[SIP_TOTAL CURRENT UNITS]]*INVESTORS_LIST[[#This Row],[NAV]])</f>
        <v>0</v>
      </c>
      <c r="AO274" s="6">
        <f>IF(INVESTORS_LIST[[#This Row],[TOTAL SELLABLE UNITS]]=0,0,INVESTORS_LIST[[#This Row],[TOTAL SELLABLE UNITS]]*INVESTORS_LIST[[#This Row],[NAV]])</f>
        <v>0</v>
      </c>
      <c r="AP274" s="6">
        <f>INVESTORS_LIST[[#This Row],[LS_TOTAL REALIZED GAIN]]+INVESTORS_LIST[[#This Row],[SIP_TOTAL REALIZED GAIN]]</f>
        <v>0</v>
      </c>
      <c r="AQ274" s="6">
        <f>INVESTORS_LIST[[#This Row],[TOTAL MARKET VALUE]]-INVESTORS_LIST[[#This Row],[TOTAL COST VALUE OF CURRENT INVESTMENT]]</f>
        <v>0</v>
      </c>
      <c r="AR274" s="6">
        <f>SUMIFS(DivAndTax[Tax Amount],DivAndTax[Investor ID],INVESTORS_LIST[[#This Row],[INVESTOR CODE]])</f>
        <v>0</v>
      </c>
      <c r="AS274" s="6">
        <f>SUMIFS(DivAndTax[Gross Dividend],DivAndTax[Investor ID],INVESTORS_LIST[[#This Row],[INVESTOR CODE]])</f>
        <v>0</v>
      </c>
      <c r="AT274" s="5">
        <f>IFERROR(INVESTORS_LIST[[#This Row],[TOTAL CURRENT UNITS]]/SUM(INVESTORS_LIST[TOTAL CURRENT UNITS]),0)</f>
        <v>0</v>
      </c>
    </row>
    <row r="275" spans="1:46" hidden="1">
      <c r="A275" t="s">
        <v>407</v>
      </c>
      <c r="B275" t="s">
        <v>408</v>
      </c>
      <c r="C275" t="s">
        <v>536</v>
      </c>
      <c r="D275" s="8" t="s">
        <v>2</v>
      </c>
      <c r="E275" s="2">
        <f>SUMIFS(LS[Unit],LS[Investor ID],INVESTORS_LIST[[#This Row],[INVESTOR CODE]],LS[B/S],"B")</f>
        <v>0</v>
      </c>
      <c r="F275" s="2">
        <f>-SUMIFS(LS[Unit],LS[Investor ID],INVESTORS_LIST[[#This Row],[INVESTOR CODE]],LS[B/S],"S")</f>
        <v>0</v>
      </c>
      <c r="G275" s="2">
        <f>IF(INVESTORS_LIST[[#This Row],[LS_TOTAL UNITS BUY]]=0,0,INVESTORS_LIST[[#This Row],[LS_TOTAL UNITS BUY]]-INVESTORS_LIST[[#This Row],[LS_TOTAL UNITS SOLD]])</f>
        <v>0</v>
      </c>
      <c r="H275" s="4">
        <f>IF(INVESTORS_LIST[[#This Row],[LS_TOTAL UNITS BUY]]=0,0,SUMIFS(LS[Amount],LS[Investor ID],INVESTORS_LIST[[#This Row],[INVESTOR CODE]],LS[B/S],"B"))</f>
        <v>0</v>
      </c>
      <c r="I275" s="6">
        <f>IF(INVESTORS_LIST[[#This Row],[LS_TOTAL UNITS SOLD]]=0,0,SUMIFS(LS[Cost of Units Sold],LS[Investor ID],INVESTORS_LIST[[#This Row],[INVESTOR CODE]],LS[B/S],"S"))</f>
        <v>0</v>
      </c>
      <c r="J275" s="6">
        <f>IF(INVESTORS_LIST[[#This Row],[LS_TOTAL CURRENT UNITS]]=0,0,INVESTORS_LIST[[#This Row],[LS_TOTAL CURRENT UNITS]]*INVESTORS_LIST[[#This Row],[LS_AVERAGE COST]])</f>
        <v>0</v>
      </c>
      <c r="K275" s="4">
        <f>IF(INVESTORS_LIST[[#This Row],[LS_TOTAL UNITS SOLD]]=0,0,SUMIFS(LS[Realized Gain],LS[Investor ID],INVESTORS_LIST[[#This Row],[INVESTOR CODE]],LS[B/S],"S"))</f>
        <v>0</v>
      </c>
      <c r="L275" s="2">
        <f>SUMIFS(SIP[Unit],SIP[Investor ID],INVESTORS_LIST[[#This Row],[INVESTOR CODE]],SIP[B/S],"B")</f>
        <v>0</v>
      </c>
      <c r="M275" s="2">
        <f>-SUMIFS(SIP[Unit],SIP[Investor ID],INVESTORS_LIST[[#This Row],[INVESTOR CODE]],SIP[B/S],"S")</f>
        <v>0</v>
      </c>
      <c r="N275" s="33">
        <f>IF(INVESTORS_LIST[[#This Row],[SIP_TOTAL UNITS BUY]]=0,0,INVESTORS_LIST[[#This Row],[SIP_TOTAL UNITS BUY]]-INVESTORS_LIST[[#This Row],[SIP_TOTAL UNITS SOLD]])</f>
        <v>0</v>
      </c>
      <c r="O275" s="4">
        <f>IF(INVESTORS_LIST[[#This Row],[SIP_TOTAL UNITS BUY]]=0,0,SUMIFS(SIP[Amount],SIP[Investor ID],INVESTORS_LIST[[#This Row],[INVESTOR CODE]],SIP[B/S],"B"))</f>
        <v>0</v>
      </c>
      <c r="P275" s="4">
        <f>IF(INVESTORS_LIST[[#This Row],[SIP_TOTAL UNITS SOLD]]=0,0,SUMIFS(SIP[Cost of Units Sold],SIP[Investor ID],INVESTORS_LIST[[#This Row],[INVESTOR CODE]],SIP[B/S],"S"))</f>
        <v>0</v>
      </c>
      <c r="Q275" s="6">
        <f>IF(INVESTORS_LIST[[#This Row],[SIP_TOTAL CURRENT UNITS]]=0,0,INVESTORS_LIST[[#This Row],[SIP_TOTAL CURRENT UNITS]]*INVESTORS_LIST[[#This Row],[SIP_AVERAGE COST]])</f>
        <v>0</v>
      </c>
      <c r="R275" s="6">
        <f>IF(INVESTORS_LIST[[#This Row],[SIP_TOTAL UNITS SOLD]]=0,0,SUMIFS(SIP[Realized Gain],SIP[Investor ID],INVESTORS_LIST[[#This Row],[INVESTOR CODE]],SIP[B/S],"S"))</f>
        <v>0</v>
      </c>
      <c r="S275" s="33">
        <f>INVESTORS_LIST[[#This Row],[LS_TOTAL UNITS BUY]]+INVESTORS_LIST[[#This Row],[SIP_TOTAL UNITS BUY]]</f>
        <v>0</v>
      </c>
      <c r="T275" s="33">
        <f>INVESTORS_LIST[[#This Row],[LS_TOTAL UNITS SOLD]]+INVESTORS_LIST[[#This Row],[SIP_TOTAL UNITS SOLD]]</f>
        <v>0</v>
      </c>
      <c r="U275" s="33">
        <v>0</v>
      </c>
      <c r="V275" s="33">
        <f>SUMIFS(LS[BO UNIT TRANSFER],LS[Investor ID],INVESTORS_LIST[[#This Row],[INVESTOR CODE]],LS[B/S],"B")</f>
        <v>0</v>
      </c>
      <c r="W275" s="33">
        <f>SUMIFS(LS[BO UNIT TRANSFER],LS[Investor ID],INVESTORS_LIST[[#This Row],[INVESTOR CODE]],LS[B/S],"S")</f>
        <v>0</v>
      </c>
      <c r="X275" s="33">
        <f>SUMIFS(SIP[BO UNIT TRANSFER],SIP[Investor ID],INVESTORS_LIST[[#This Row],[INVESTOR CODE]],SIP[B/S],"S")</f>
        <v>0</v>
      </c>
      <c r="Y275" s="33">
        <f>SUMIFS(SIP[BO UNIT TRANSFER],SIP[Investor ID],INVESTORS_LIST[[#This Row],[INVESTOR CODE]],SIP[B/S],"B")</f>
        <v>0</v>
      </c>
      <c r="Z27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75" s="119">
        <f>INVESTORS_LIST[[#This Row],[TOTAL UNITS BUY]]-INVESTORS_LIST[[#This Row],[TOTAL UNITS SOLD]]</f>
        <v>0</v>
      </c>
      <c r="AB275" s="119">
        <f>INVESTORS_LIST[[#This Row],[TOTAL CURRENT UNITS]]-INVESTORS_LIST[[#This Row],[BO UNITS HOLD]]</f>
        <v>0</v>
      </c>
      <c r="AC275" s="119" t="e">
        <f>INDEX([4]!Table_1[BO ID],MATCH(INVESTORS_LIST[[#This Row],[INVESTOR CODE]],[4]!Table_1[INVESTOR CODE],0))</f>
        <v>#REF!</v>
      </c>
      <c r="AD275" s="33">
        <f>INVESTORS_LIST[[#This Row],[LS_TOTAL COST VALUE OF CURRENT UNITS]]+INVESTORS_LIST[[#This Row],[SIP_TOTAL COST VALUE OF CURRENT UNITS]]</f>
        <v>0</v>
      </c>
      <c r="AE275" s="44">
        <f>IF(INVESTORS_LIST[[#This Row],[TOTAL CURRENT UNITS]]=0,0,INVESTORS_LIST[[#This Row],[LS_TOTAL CURRENT UNITS]]/INVESTORS_LIST[[#This Row],[TOTAL CURRENT UNITS]])</f>
        <v>0</v>
      </c>
      <c r="AF275" s="44">
        <f>IF(INVESTORS_LIST[[#This Row],[TOTAL CURRENT UNITS]]=0,0,INVESTORS_LIST[[#This Row],[SIP_TOTAL CURRENT UNITS]]/INVESTORS_LIST[[#This Row],[TOTAL CURRENT UNITS]])</f>
        <v>0</v>
      </c>
      <c r="AG275" s="4" cm="1">
        <f t="array" ref="AG27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75" s="4" cm="1">
        <f t="array" ref="AH27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7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75" s="178">
        <f t="shared" si="4"/>
        <v>12.552</v>
      </c>
      <c r="AK275" s="118">
        <f>IF(INVESTORS_LIST[[#This Row],[TOTAL CURRENT UNITS]]=0,0,INVESTORS_LIST[[#This Row],[TOTAL CURRENT UNITS]]*INVESTORS_LIST[[#This Row],[NAV]])</f>
        <v>0</v>
      </c>
      <c r="AL275" s="4">
        <f>IF(INVESTORS_LIST[[#This Row],[LS_TOTAL CURRENT UNITS]]=0,0,INVESTORS_LIST[[#This Row],[LS_TOTAL CURRENT UNITS]]*INVESTORS_LIST[[#This Row],[NAV]])</f>
        <v>0</v>
      </c>
      <c r="AM275" s="6">
        <f>IF(INVESTORS_LIST[[#This Row],[SIP_TOTAL CURRENT UNITS]]=0,0,INVESTORS_LIST[[#This Row],[SIP_TOTAL CURRENT UNITS]]*INVESTORS_LIST[[#This Row],[NAV]])</f>
        <v>0</v>
      </c>
      <c r="AO275" s="6">
        <f>IF(INVESTORS_LIST[[#This Row],[TOTAL SELLABLE UNITS]]=0,0,INVESTORS_LIST[[#This Row],[TOTAL SELLABLE UNITS]]*INVESTORS_LIST[[#This Row],[NAV]])</f>
        <v>0</v>
      </c>
      <c r="AP275" s="6">
        <f>INVESTORS_LIST[[#This Row],[LS_TOTAL REALIZED GAIN]]+INVESTORS_LIST[[#This Row],[SIP_TOTAL REALIZED GAIN]]</f>
        <v>0</v>
      </c>
      <c r="AQ275" s="6">
        <f>INVESTORS_LIST[[#This Row],[TOTAL MARKET VALUE]]-INVESTORS_LIST[[#This Row],[TOTAL COST VALUE OF CURRENT INVESTMENT]]</f>
        <v>0</v>
      </c>
      <c r="AR275" s="6">
        <f>SUMIFS(DivAndTax[Tax Amount],DivAndTax[Investor ID],INVESTORS_LIST[[#This Row],[INVESTOR CODE]])</f>
        <v>0</v>
      </c>
      <c r="AS275" s="6">
        <f>SUMIFS(DivAndTax[Gross Dividend],DivAndTax[Investor ID],INVESTORS_LIST[[#This Row],[INVESTOR CODE]])</f>
        <v>0</v>
      </c>
      <c r="AT275" s="5">
        <f>IFERROR(INVESTORS_LIST[[#This Row],[TOTAL CURRENT UNITS]]/SUM(INVESTORS_LIST[TOTAL CURRENT UNITS]),0)</f>
        <v>0</v>
      </c>
    </row>
    <row r="276" spans="1:46" hidden="1">
      <c r="A276" t="s">
        <v>409</v>
      </c>
      <c r="B276" t="s">
        <v>410</v>
      </c>
      <c r="C276" t="s">
        <v>536</v>
      </c>
      <c r="D276" s="8" t="s">
        <v>2</v>
      </c>
      <c r="E276" s="2">
        <f>SUMIFS(LS[Unit],LS[Investor ID],INVESTORS_LIST[[#This Row],[INVESTOR CODE]],LS[B/S],"B")</f>
        <v>0</v>
      </c>
      <c r="F276" s="2">
        <f>-SUMIFS(LS[Unit],LS[Investor ID],INVESTORS_LIST[[#This Row],[INVESTOR CODE]],LS[B/S],"S")</f>
        <v>0</v>
      </c>
      <c r="G276" s="2">
        <f>IF(INVESTORS_LIST[[#This Row],[LS_TOTAL UNITS BUY]]=0,0,INVESTORS_LIST[[#This Row],[LS_TOTAL UNITS BUY]]-INVESTORS_LIST[[#This Row],[LS_TOTAL UNITS SOLD]])</f>
        <v>0</v>
      </c>
      <c r="H276" s="4">
        <f>IF(INVESTORS_LIST[[#This Row],[LS_TOTAL UNITS BUY]]=0,0,SUMIFS(LS[Amount],LS[Investor ID],INVESTORS_LIST[[#This Row],[INVESTOR CODE]],LS[B/S],"B"))</f>
        <v>0</v>
      </c>
      <c r="I276" s="6">
        <f>IF(INVESTORS_LIST[[#This Row],[LS_TOTAL UNITS SOLD]]=0,0,SUMIFS(LS[Cost of Units Sold],LS[Investor ID],INVESTORS_LIST[[#This Row],[INVESTOR CODE]],LS[B/S],"S"))</f>
        <v>0</v>
      </c>
      <c r="J276" s="6">
        <f>IF(INVESTORS_LIST[[#This Row],[LS_TOTAL CURRENT UNITS]]=0,0,INVESTORS_LIST[[#This Row],[LS_TOTAL CURRENT UNITS]]*INVESTORS_LIST[[#This Row],[LS_AVERAGE COST]])</f>
        <v>0</v>
      </c>
      <c r="K276" s="4">
        <f>IF(INVESTORS_LIST[[#This Row],[LS_TOTAL UNITS SOLD]]=0,0,SUMIFS(LS[Realized Gain],LS[Investor ID],INVESTORS_LIST[[#This Row],[INVESTOR CODE]],LS[B/S],"S"))</f>
        <v>0</v>
      </c>
      <c r="L276" s="2">
        <f>SUMIFS(SIP[Unit],SIP[Investor ID],INVESTORS_LIST[[#This Row],[INVESTOR CODE]],SIP[B/S],"B")</f>
        <v>0</v>
      </c>
      <c r="M276" s="2">
        <f>-SUMIFS(SIP[Unit],SIP[Investor ID],INVESTORS_LIST[[#This Row],[INVESTOR CODE]],SIP[B/S],"S")</f>
        <v>0</v>
      </c>
      <c r="N276" s="33">
        <f>IF(INVESTORS_LIST[[#This Row],[SIP_TOTAL UNITS BUY]]=0,0,INVESTORS_LIST[[#This Row],[SIP_TOTAL UNITS BUY]]-INVESTORS_LIST[[#This Row],[SIP_TOTAL UNITS SOLD]])</f>
        <v>0</v>
      </c>
      <c r="O276" s="4">
        <f>IF(INVESTORS_LIST[[#This Row],[SIP_TOTAL UNITS BUY]]=0,0,SUMIFS(SIP[Amount],SIP[Investor ID],INVESTORS_LIST[[#This Row],[INVESTOR CODE]],SIP[B/S],"B"))</f>
        <v>0</v>
      </c>
      <c r="P276" s="4">
        <f>IF(INVESTORS_LIST[[#This Row],[SIP_TOTAL UNITS SOLD]]=0,0,SUMIFS(SIP[Cost of Units Sold],SIP[Investor ID],INVESTORS_LIST[[#This Row],[INVESTOR CODE]],SIP[B/S],"S"))</f>
        <v>0</v>
      </c>
      <c r="Q276" s="6">
        <f>IF(INVESTORS_LIST[[#This Row],[SIP_TOTAL CURRENT UNITS]]=0,0,INVESTORS_LIST[[#This Row],[SIP_TOTAL CURRENT UNITS]]*INVESTORS_LIST[[#This Row],[SIP_AVERAGE COST]])</f>
        <v>0</v>
      </c>
      <c r="R276" s="6">
        <f>IF(INVESTORS_LIST[[#This Row],[SIP_TOTAL UNITS SOLD]]=0,0,SUMIFS(SIP[Realized Gain],SIP[Investor ID],INVESTORS_LIST[[#This Row],[INVESTOR CODE]],SIP[B/S],"S"))</f>
        <v>0</v>
      </c>
      <c r="S276" s="33">
        <f>INVESTORS_LIST[[#This Row],[LS_TOTAL UNITS BUY]]+INVESTORS_LIST[[#This Row],[SIP_TOTAL UNITS BUY]]</f>
        <v>0</v>
      </c>
      <c r="T276" s="33">
        <f>INVESTORS_LIST[[#This Row],[LS_TOTAL UNITS SOLD]]+INVESTORS_LIST[[#This Row],[SIP_TOTAL UNITS SOLD]]</f>
        <v>0</v>
      </c>
      <c r="U276" s="33">
        <v>0</v>
      </c>
      <c r="V276" s="33">
        <f>SUMIFS(LS[BO UNIT TRANSFER],LS[Investor ID],INVESTORS_LIST[[#This Row],[INVESTOR CODE]],LS[B/S],"B")</f>
        <v>0</v>
      </c>
      <c r="W276" s="33">
        <f>SUMIFS(LS[BO UNIT TRANSFER],LS[Investor ID],INVESTORS_LIST[[#This Row],[INVESTOR CODE]],LS[B/S],"S")</f>
        <v>0</v>
      </c>
      <c r="X276" s="33">
        <f>SUMIFS(SIP[BO UNIT TRANSFER],SIP[Investor ID],INVESTORS_LIST[[#This Row],[INVESTOR CODE]],SIP[B/S],"S")</f>
        <v>0</v>
      </c>
      <c r="Y276" s="33">
        <f>SUMIFS(SIP[BO UNIT TRANSFER],SIP[Investor ID],INVESTORS_LIST[[#This Row],[INVESTOR CODE]],SIP[B/S],"B")</f>
        <v>0</v>
      </c>
      <c r="Z27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76" s="119">
        <f>INVESTORS_LIST[[#This Row],[TOTAL UNITS BUY]]-INVESTORS_LIST[[#This Row],[TOTAL UNITS SOLD]]</f>
        <v>0</v>
      </c>
      <c r="AB276" s="119">
        <f>INVESTORS_LIST[[#This Row],[TOTAL CURRENT UNITS]]-INVESTORS_LIST[[#This Row],[BO UNITS HOLD]]</f>
        <v>0</v>
      </c>
      <c r="AC276" s="119" t="e">
        <f>INDEX([4]!Table_1[BO ID],MATCH(INVESTORS_LIST[[#This Row],[INVESTOR CODE]],[4]!Table_1[INVESTOR CODE],0))</f>
        <v>#REF!</v>
      </c>
      <c r="AD276" s="33">
        <f>INVESTORS_LIST[[#This Row],[LS_TOTAL COST VALUE OF CURRENT UNITS]]+INVESTORS_LIST[[#This Row],[SIP_TOTAL COST VALUE OF CURRENT UNITS]]</f>
        <v>0</v>
      </c>
      <c r="AE276" s="44">
        <f>IF(INVESTORS_LIST[[#This Row],[TOTAL CURRENT UNITS]]=0,0,INVESTORS_LIST[[#This Row],[LS_TOTAL CURRENT UNITS]]/INVESTORS_LIST[[#This Row],[TOTAL CURRENT UNITS]])</f>
        <v>0</v>
      </c>
      <c r="AF276" s="44">
        <f>IF(INVESTORS_LIST[[#This Row],[TOTAL CURRENT UNITS]]=0,0,INVESTORS_LIST[[#This Row],[SIP_TOTAL CURRENT UNITS]]/INVESTORS_LIST[[#This Row],[TOTAL CURRENT UNITS]])</f>
        <v>0</v>
      </c>
      <c r="AG276" s="4" cm="1">
        <f t="array" ref="AG27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76" s="4" cm="1">
        <f t="array" ref="AH2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7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76" s="178">
        <f t="shared" si="4"/>
        <v>12.552</v>
      </c>
      <c r="AK276" s="118">
        <f>IF(INVESTORS_LIST[[#This Row],[TOTAL CURRENT UNITS]]=0,0,INVESTORS_LIST[[#This Row],[TOTAL CURRENT UNITS]]*INVESTORS_LIST[[#This Row],[NAV]])</f>
        <v>0</v>
      </c>
      <c r="AL276" s="4">
        <f>IF(INVESTORS_LIST[[#This Row],[LS_TOTAL CURRENT UNITS]]=0,0,INVESTORS_LIST[[#This Row],[LS_TOTAL CURRENT UNITS]]*INVESTORS_LIST[[#This Row],[NAV]])</f>
        <v>0</v>
      </c>
      <c r="AM276" s="6">
        <f>IF(INVESTORS_LIST[[#This Row],[SIP_TOTAL CURRENT UNITS]]=0,0,INVESTORS_LIST[[#This Row],[SIP_TOTAL CURRENT UNITS]]*INVESTORS_LIST[[#This Row],[NAV]])</f>
        <v>0</v>
      </c>
      <c r="AO276" s="6">
        <f>IF(INVESTORS_LIST[[#This Row],[TOTAL SELLABLE UNITS]]=0,0,INVESTORS_LIST[[#This Row],[TOTAL SELLABLE UNITS]]*INVESTORS_LIST[[#This Row],[NAV]])</f>
        <v>0</v>
      </c>
      <c r="AP276" s="6">
        <f>INVESTORS_LIST[[#This Row],[LS_TOTAL REALIZED GAIN]]+INVESTORS_LIST[[#This Row],[SIP_TOTAL REALIZED GAIN]]</f>
        <v>0</v>
      </c>
      <c r="AQ276" s="6">
        <f>INVESTORS_LIST[[#This Row],[TOTAL MARKET VALUE]]-INVESTORS_LIST[[#This Row],[TOTAL COST VALUE OF CURRENT INVESTMENT]]</f>
        <v>0</v>
      </c>
      <c r="AR276" s="6">
        <f>SUMIFS(DivAndTax[Tax Amount],DivAndTax[Investor ID],INVESTORS_LIST[[#This Row],[INVESTOR CODE]])</f>
        <v>0</v>
      </c>
      <c r="AS276" s="6">
        <f>SUMIFS(DivAndTax[Gross Dividend],DivAndTax[Investor ID],INVESTORS_LIST[[#This Row],[INVESTOR CODE]])</f>
        <v>0</v>
      </c>
      <c r="AT276" s="5">
        <f>IFERROR(INVESTORS_LIST[[#This Row],[TOTAL CURRENT UNITS]]/SUM(INVESTORS_LIST[TOTAL CURRENT UNITS]),0)</f>
        <v>0</v>
      </c>
    </row>
    <row r="277" spans="1:46" hidden="1">
      <c r="A277" t="s">
        <v>411</v>
      </c>
      <c r="B277" t="s">
        <v>412</v>
      </c>
      <c r="C277" t="s">
        <v>536</v>
      </c>
      <c r="D277" s="8" t="s">
        <v>2</v>
      </c>
      <c r="E277" s="2">
        <f>SUMIFS(LS[Unit],LS[Investor ID],INVESTORS_LIST[[#This Row],[INVESTOR CODE]],LS[B/S],"B")</f>
        <v>0</v>
      </c>
      <c r="F277" s="2">
        <f>-SUMIFS(LS[Unit],LS[Investor ID],INVESTORS_LIST[[#This Row],[INVESTOR CODE]],LS[B/S],"S")</f>
        <v>0</v>
      </c>
      <c r="G277" s="2">
        <f>IF(INVESTORS_LIST[[#This Row],[LS_TOTAL UNITS BUY]]=0,0,INVESTORS_LIST[[#This Row],[LS_TOTAL UNITS BUY]]-INVESTORS_LIST[[#This Row],[LS_TOTAL UNITS SOLD]])</f>
        <v>0</v>
      </c>
      <c r="H277" s="4">
        <f>IF(INVESTORS_LIST[[#This Row],[LS_TOTAL UNITS BUY]]=0,0,SUMIFS(LS[Amount],LS[Investor ID],INVESTORS_LIST[[#This Row],[INVESTOR CODE]],LS[B/S],"B"))</f>
        <v>0</v>
      </c>
      <c r="I277" s="6">
        <f>IF(INVESTORS_LIST[[#This Row],[LS_TOTAL UNITS SOLD]]=0,0,SUMIFS(LS[Cost of Units Sold],LS[Investor ID],INVESTORS_LIST[[#This Row],[INVESTOR CODE]],LS[B/S],"S"))</f>
        <v>0</v>
      </c>
      <c r="J277" s="6">
        <f>IF(INVESTORS_LIST[[#This Row],[LS_TOTAL CURRENT UNITS]]=0,0,INVESTORS_LIST[[#This Row],[LS_TOTAL CURRENT UNITS]]*INVESTORS_LIST[[#This Row],[LS_AVERAGE COST]])</f>
        <v>0</v>
      </c>
      <c r="K277" s="4">
        <f>IF(INVESTORS_LIST[[#This Row],[LS_TOTAL UNITS SOLD]]=0,0,SUMIFS(LS[Realized Gain],LS[Investor ID],INVESTORS_LIST[[#This Row],[INVESTOR CODE]],LS[B/S],"S"))</f>
        <v>0</v>
      </c>
      <c r="L277" s="2">
        <f>SUMIFS(SIP[Unit],SIP[Investor ID],INVESTORS_LIST[[#This Row],[INVESTOR CODE]],SIP[B/S],"B")</f>
        <v>0</v>
      </c>
      <c r="M277" s="2">
        <f>-SUMIFS(SIP[Unit],SIP[Investor ID],INVESTORS_LIST[[#This Row],[INVESTOR CODE]],SIP[B/S],"S")</f>
        <v>0</v>
      </c>
      <c r="N277" s="33">
        <f>IF(INVESTORS_LIST[[#This Row],[SIP_TOTAL UNITS BUY]]=0,0,INVESTORS_LIST[[#This Row],[SIP_TOTAL UNITS BUY]]-INVESTORS_LIST[[#This Row],[SIP_TOTAL UNITS SOLD]])</f>
        <v>0</v>
      </c>
      <c r="O277" s="4">
        <f>IF(INVESTORS_LIST[[#This Row],[SIP_TOTAL UNITS BUY]]=0,0,SUMIFS(SIP[Amount],SIP[Investor ID],INVESTORS_LIST[[#This Row],[INVESTOR CODE]],SIP[B/S],"B"))</f>
        <v>0</v>
      </c>
      <c r="P277" s="4">
        <f>IF(INVESTORS_LIST[[#This Row],[SIP_TOTAL UNITS SOLD]]=0,0,SUMIFS(SIP[Cost of Units Sold],SIP[Investor ID],INVESTORS_LIST[[#This Row],[INVESTOR CODE]],SIP[B/S],"S"))</f>
        <v>0</v>
      </c>
      <c r="Q277" s="6">
        <f>IF(INVESTORS_LIST[[#This Row],[SIP_TOTAL CURRENT UNITS]]=0,0,INVESTORS_LIST[[#This Row],[SIP_TOTAL CURRENT UNITS]]*INVESTORS_LIST[[#This Row],[SIP_AVERAGE COST]])</f>
        <v>0</v>
      </c>
      <c r="R277" s="6">
        <f>IF(INVESTORS_LIST[[#This Row],[SIP_TOTAL UNITS SOLD]]=0,0,SUMIFS(SIP[Realized Gain],SIP[Investor ID],INVESTORS_LIST[[#This Row],[INVESTOR CODE]],SIP[B/S],"S"))</f>
        <v>0</v>
      </c>
      <c r="S277" s="33">
        <f>INVESTORS_LIST[[#This Row],[LS_TOTAL UNITS BUY]]+INVESTORS_LIST[[#This Row],[SIP_TOTAL UNITS BUY]]</f>
        <v>0</v>
      </c>
      <c r="T277" s="33">
        <f>INVESTORS_LIST[[#This Row],[LS_TOTAL UNITS SOLD]]+INVESTORS_LIST[[#This Row],[SIP_TOTAL UNITS SOLD]]</f>
        <v>0</v>
      </c>
      <c r="U277" s="33">
        <v>0</v>
      </c>
      <c r="V277" s="33">
        <f>SUMIFS(LS[BO UNIT TRANSFER],LS[Investor ID],INVESTORS_LIST[[#This Row],[INVESTOR CODE]],LS[B/S],"B")</f>
        <v>0</v>
      </c>
      <c r="W277" s="33">
        <f>SUMIFS(LS[BO UNIT TRANSFER],LS[Investor ID],INVESTORS_LIST[[#This Row],[INVESTOR CODE]],LS[B/S],"S")</f>
        <v>0</v>
      </c>
      <c r="X277" s="33">
        <f>SUMIFS(SIP[BO UNIT TRANSFER],SIP[Investor ID],INVESTORS_LIST[[#This Row],[INVESTOR CODE]],SIP[B/S],"S")</f>
        <v>0</v>
      </c>
      <c r="Y277" s="33">
        <f>SUMIFS(SIP[BO UNIT TRANSFER],SIP[Investor ID],INVESTORS_LIST[[#This Row],[INVESTOR CODE]],SIP[B/S],"B")</f>
        <v>0</v>
      </c>
      <c r="Z27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77" s="119">
        <f>INVESTORS_LIST[[#This Row],[TOTAL UNITS BUY]]-INVESTORS_LIST[[#This Row],[TOTAL UNITS SOLD]]</f>
        <v>0</v>
      </c>
      <c r="AB277" s="119">
        <f>INVESTORS_LIST[[#This Row],[TOTAL CURRENT UNITS]]-INVESTORS_LIST[[#This Row],[BO UNITS HOLD]]</f>
        <v>0</v>
      </c>
      <c r="AC277" s="119" t="e">
        <f>INDEX([4]!Table_1[BO ID],MATCH(INVESTORS_LIST[[#This Row],[INVESTOR CODE]],[4]!Table_1[INVESTOR CODE],0))</f>
        <v>#REF!</v>
      </c>
      <c r="AD277" s="33">
        <f>INVESTORS_LIST[[#This Row],[LS_TOTAL COST VALUE OF CURRENT UNITS]]+INVESTORS_LIST[[#This Row],[SIP_TOTAL COST VALUE OF CURRENT UNITS]]</f>
        <v>0</v>
      </c>
      <c r="AE277" s="44">
        <f>IF(INVESTORS_LIST[[#This Row],[TOTAL CURRENT UNITS]]=0,0,INVESTORS_LIST[[#This Row],[LS_TOTAL CURRENT UNITS]]/INVESTORS_LIST[[#This Row],[TOTAL CURRENT UNITS]])</f>
        <v>0</v>
      </c>
      <c r="AF277" s="44">
        <f>IF(INVESTORS_LIST[[#This Row],[TOTAL CURRENT UNITS]]=0,0,INVESTORS_LIST[[#This Row],[SIP_TOTAL CURRENT UNITS]]/INVESTORS_LIST[[#This Row],[TOTAL CURRENT UNITS]])</f>
        <v>0</v>
      </c>
      <c r="AG277" s="4" cm="1">
        <f t="array" ref="AG27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77" s="4" cm="1">
        <f t="array" ref="AH2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7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77" s="178">
        <f t="shared" si="4"/>
        <v>12.552</v>
      </c>
      <c r="AK277" s="118">
        <f>IF(INVESTORS_LIST[[#This Row],[TOTAL CURRENT UNITS]]=0,0,INVESTORS_LIST[[#This Row],[TOTAL CURRENT UNITS]]*INVESTORS_LIST[[#This Row],[NAV]])</f>
        <v>0</v>
      </c>
      <c r="AL277" s="4">
        <f>IF(INVESTORS_LIST[[#This Row],[LS_TOTAL CURRENT UNITS]]=0,0,INVESTORS_LIST[[#This Row],[LS_TOTAL CURRENT UNITS]]*INVESTORS_LIST[[#This Row],[NAV]])</f>
        <v>0</v>
      </c>
      <c r="AM277" s="6">
        <f>IF(INVESTORS_LIST[[#This Row],[SIP_TOTAL CURRENT UNITS]]=0,0,INVESTORS_LIST[[#This Row],[SIP_TOTAL CURRENT UNITS]]*INVESTORS_LIST[[#This Row],[NAV]])</f>
        <v>0</v>
      </c>
      <c r="AO277" s="6">
        <f>IF(INVESTORS_LIST[[#This Row],[TOTAL SELLABLE UNITS]]=0,0,INVESTORS_LIST[[#This Row],[TOTAL SELLABLE UNITS]]*INVESTORS_LIST[[#This Row],[NAV]])</f>
        <v>0</v>
      </c>
      <c r="AP277" s="6">
        <f>INVESTORS_LIST[[#This Row],[LS_TOTAL REALIZED GAIN]]+INVESTORS_LIST[[#This Row],[SIP_TOTAL REALIZED GAIN]]</f>
        <v>0</v>
      </c>
      <c r="AQ277" s="6">
        <f>INVESTORS_LIST[[#This Row],[TOTAL MARKET VALUE]]-INVESTORS_LIST[[#This Row],[TOTAL COST VALUE OF CURRENT INVESTMENT]]</f>
        <v>0</v>
      </c>
      <c r="AR277" s="6">
        <f>SUMIFS(DivAndTax[Tax Amount],DivAndTax[Investor ID],INVESTORS_LIST[[#This Row],[INVESTOR CODE]])</f>
        <v>0</v>
      </c>
      <c r="AS277" s="6">
        <f>SUMIFS(DivAndTax[Gross Dividend],DivAndTax[Investor ID],INVESTORS_LIST[[#This Row],[INVESTOR CODE]])</f>
        <v>0</v>
      </c>
      <c r="AT277" s="5">
        <f>IFERROR(INVESTORS_LIST[[#This Row],[TOTAL CURRENT UNITS]]/SUM(INVESTORS_LIST[TOTAL CURRENT UNITS]),0)</f>
        <v>0</v>
      </c>
    </row>
    <row r="278" spans="1:46" hidden="1">
      <c r="A278" t="s">
        <v>414</v>
      </c>
      <c r="B278" t="s">
        <v>413</v>
      </c>
      <c r="C278" t="s">
        <v>536</v>
      </c>
      <c r="D278" s="8" t="s">
        <v>2</v>
      </c>
      <c r="E278" s="2">
        <f>SUMIFS(LS[Unit],LS[Investor ID],INVESTORS_LIST[[#This Row],[INVESTOR CODE]],LS[B/S],"B")</f>
        <v>0</v>
      </c>
      <c r="F278" s="2">
        <f>-SUMIFS(LS[Unit],LS[Investor ID],INVESTORS_LIST[[#This Row],[INVESTOR CODE]],LS[B/S],"S")</f>
        <v>0</v>
      </c>
      <c r="G278" s="2">
        <f>IF(INVESTORS_LIST[[#This Row],[LS_TOTAL UNITS BUY]]=0,0,INVESTORS_LIST[[#This Row],[LS_TOTAL UNITS BUY]]-INVESTORS_LIST[[#This Row],[LS_TOTAL UNITS SOLD]])</f>
        <v>0</v>
      </c>
      <c r="H278" s="4">
        <f>IF(INVESTORS_LIST[[#This Row],[LS_TOTAL UNITS BUY]]=0,0,SUMIFS(LS[Amount],LS[Investor ID],INVESTORS_LIST[[#This Row],[INVESTOR CODE]],LS[B/S],"B"))</f>
        <v>0</v>
      </c>
      <c r="I278" s="6">
        <f>IF(INVESTORS_LIST[[#This Row],[LS_TOTAL UNITS SOLD]]=0,0,SUMIFS(LS[Cost of Units Sold],LS[Investor ID],INVESTORS_LIST[[#This Row],[INVESTOR CODE]],LS[B/S],"S"))</f>
        <v>0</v>
      </c>
      <c r="J278" s="6">
        <f>IF(INVESTORS_LIST[[#This Row],[LS_TOTAL CURRENT UNITS]]=0,0,INVESTORS_LIST[[#This Row],[LS_TOTAL CURRENT UNITS]]*INVESTORS_LIST[[#This Row],[LS_AVERAGE COST]])</f>
        <v>0</v>
      </c>
      <c r="K278" s="4">
        <f>IF(INVESTORS_LIST[[#This Row],[LS_TOTAL UNITS SOLD]]=0,0,SUMIFS(LS[Realized Gain],LS[Investor ID],INVESTORS_LIST[[#This Row],[INVESTOR CODE]],LS[B/S],"S"))</f>
        <v>0</v>
      </c>
      <c r="L278" s="2">
        <f>SUMIFS(SIP[Unit],SIP[Investor ID],INVESTORS_LIST[[#This Row],[INVESTOR CODE]],SIP[B/S],"B")</f>
        <v>0</v>
      </c>
      <c r="M278" s="2">
        <f>-SUMIFS(SIP[Unit],SIP[Investor ID],INVESTORS_LIST[[#This Row],[INVESTOR CODE]],SIP[B/S],"S")</f>
        <v>0</v>
      </c>
      <c r="N278" s="33">
        <f>IF(INVESTORS_LIST[[#This Row],[SIP_TOTAL UNITS BUY]]=0,0,INVESTORS_LIST[[#This Row],[SIP_TOTAL UNITS BUY]]-INVESTORS_LIST[[#This Row],[SIP_TOTAL UNITS SOLD]])</f>
        <v>0</v>
      </c>
      <c r="O278" s="4">
        <f>IF(INVESTORS_LIST[[#This Row],[SIP_TOTAL UNITS BUY]]=0,0,SUMIFS(SIP[Amount],SIP[Investor ID],INVESTORS_LIST[[#This Row],[INVESTOR CODE]],SIP[B/S],"B"))</f>
        <v>0</v>
      </c>
      <c r="P278" s="4">
        <f>IF(INVESTORS_LIST[[#This Row],[SIP_TOTAL UNITS SOLD]]=0,0,SUMIFS(SIP[Cost of Units Sold],SIP[Investor ID],INVESTORS_LIST[[#This Row],[INVESTOR CODE]],SIP[B/S],"S"))</f>
        <v>0</v>
      </c>
      <c r="Q278" s="6">
        <f>IF(INVESTORS_LIST[[#This Row],[SIP_TOTAL CURRENT UNITS]]=0,0,INVESTORS_LIST[[#This Row],[SIP_TOTAL CURRENT UNITS]]*INVESTORS_LIST[[#This Row],[SIP_AVERAGE COST]])</f>
        <v>0</v>
      </c>
      <c r="R278" s="6">
        <f>IF(INVESTORS_LIST[[#This Row],[SIP_TOTAL UNITS SOLD]]=0,0,SUMIFS(SIP[Realized Gain],SIP[Investor ID],INVESTORS_LIST[[#This Row],[INVESTOR CODE]],SIP[B/S],"S"))</f>
        <v>0</v>
      </c>
      <c r="S278" s="33">
        <f>INVESTORS_LIST[[#This Row],[LS_TOTAL UNITS BUY]]+INVESTORS_LIST[[#This Row],[SIP_TOTAL UNITS BUY]]</f>
        <v>0</v>
      </c>
      <c r="T278" s="33">
        <f>INVESTORS_LIST[[#This Row],[LS_TOTAL UNITS SOLD]]+INVESTORS_LIST[[#This Row],[SIP_TOTAL UNITS SOLD]]</f>
        <v>0</v>
      </c>
      <c r="U278" s="33">
        <v>0</v>
      </c>
      <c r="V278" s="33">
        <f>SUMIFS(LS[BO UNIT TRANSFER],LS[Investor ID],INVESTORS_LIST[[#This Row],[INVESTOR CODE]],LS[B/S],"B")</f>
        <v>0</v>
      </c>
      <c r="W278" s="33">
        <f>SUMIFS(LS[BO UNIT TRANSFER],LS[Investor ID],INVESTORS_LIST[[#This Row],[INVESTOR CODE]],LS[B/S],"S")</f>
        <v>0</v>
      </c>
      <c r="X278" s="33">
        <f>SUMIFS(SIP[BO UNIT TRANSFER],SIP[Investor ID],INVESTORS_LIST[[#This Row],[INVESTOR CODE]],SIP[B/S],"S")</f>
        <v>0</v>
      </c>
      <c r="Y278" s="33">
        <f>SUMIFS(SIP[BO UNIT TRANSFER],SIP[Investor ID],INVESTORS_LIST[[#This Row],[INVESTOR CODE]],SIP[B/S],"B")</f>
        <v>0</v>
      </c>
      <c r="Z27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78" s="119">
        <f>INVESTORS_LIST[[#This Row],[TOTAL UNITS BUY]]-INVESTORS_LIST[[#This Row],[TOTAL UNITS SOLD]]</f>
        <v>0</v>
      </c>
      <c r="AB278" s="119">
        <f>INVESTORS_LIST[[#This Row],[TOTAL CURRENT UNITS]]-INVESTORS_LIST[[#This Row],[BO UNITS HOLD]]</f>
        <v>0</v>
      </c>
      <c r="AC278" s="119" t="e">
        <f>INDEX([4]!Table_1[BO ID],MATCH(INVESTORS_LIST[[#This Row],[INVESTOR CODE]],[4]!Table_1[INVESTOR CODE],0))</f>
        <v>#REF!</v>
      </c>
      <c r="AD278" s="33">
        <f>INVESTORS_LIST[[#This Row],[LS_TOTAL COST VALUE OF CURRENT UNITS]]+INVESTORS_LIST[[#This Row],[SIP_TOTAL COST VALUE OF CURRENT UNITS]]</f>
        <v>0</v>
      </c>
      <c r="AE278" s="44">
        <f>IF(INVESTORS_LIST[[#This Row],[TOTAL CURRENT UNITS]]=0,0,INVESTORS_LIST[[#This Row],[LS_TOTAL CURRENT UNITS]]/INVESTORS_LIST[[#This Row],[TOTAL CURRENT UNITS]])</f>
        <v>0</v>
      </c>
      <c r="AF278" s="44">
        <f>IF(INVESTORS_LIST[[#This Row],[TOTAL CURRENT UNITS]]=0,0,INVESTORS_LIST[[#This Row],[SIP_TOTAL CURRENT UNITS]]/INVESTORS_LIST[[#This Row],[TOTAL CURRENT UNITS]])</f>
        <v>0</v>
      </c>
      <c r="AG278" s="4" cm="1">
        <f t="array" ref="AG27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78" s="4" cm="1">
        <f t="array" ref="AH2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7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78" s="178">
        <f t="shared" si="4"/>
        <v>12.552</v>
      </c>
      <c r="AK278" s="118">
        <f>IF(INVESTORS_LIST[[#This Row],[TOTAL CURRENT UNITS]]=0,0,INVESTORS_LIST[[#This Row],[TOTAL CURRENT UNITS]]*INVESTORS_LIST[[#This Row],[NAV]])</f>
        <v>0</v>
      </c>
      <c r="AL278" s="4">
        <f>IF(INVESTORS_LIST[[#This Row],[LS_TOTAL CURRENT UNITS]]=0,0,INVESTORS_LIST[[#This Row],[LS_TOTAL CURRENT UNITS]]*INVESTORS_LIST[[#This Row],[NAV]])</f>
        <v>0</v>
      </c>
      <c r="AM278" s="6">
        <f>IF(INVESTORS_LIST[[#This Row],[SIP_TOTAL CURRENT UNITS]]=0,0,INVESTORS_LIST[[#This Row],[SIP_TOTAL CURRENT UNITS]]*INVESTORS_LIST[[#This Row],[NAV]])</f>
        <v>0</v>
      </c>
      <c r="AO278" s="6">
        <f>IF(INVESTORS_LIST[[#This Row],[TOTAL SELLABLE UNITS]]=0,0,INVESTORS_LIST[[#This Row],[TOTAL SELLABLE UNITS]]*INVESTORS_LIST[[#This Row],[NAV]])</f>
        <v>0</v>
      </c>
      <c r="AP278" s="6">
        <f>INVESTORS_LIST[[#This Row],[LS_TOTAL REALIZED GAIN]]+INVESTORS_LIST[[#This Row],[SIP_TOTAL REALIZED GAIN]]</f>
        <v>0</v>
      </c>
      <c r="AQ278" s="6">
        <f>INVESTORS_LIST[[#This Row],[TOTAL MARKET VALUE]]-INVESTORS_LIST[[#This Row],[TOTAL COST VALUE OF CURRENT INVESTMENT]]</f>
        <v>0</v>
      </c>
      <c r="AR278" s="6">
        <f>SUMIFS(DivAndTax[Tax Amount],DivAndTax[Investor ID],INVESTORS_LIST[[#This Row],[INVESTOR CODE]])</f>
        <v>0</v>
      </c>
      <c r="AS278" s="6">
        <f>SUMIFS(DivAndTax[Gross Dividend],DivAndTax[Investor ID],INVESTORS_LIST[[#This Row],[INVESTOR CODE]])</f>
        <v>0</v>
      </c>
      <c r="AT278" s="5">
        <f>IFERROR(INVESTORS_LIST[[#This Row],[TOTAL CURRENT UNITS]]/SUM(INVESTORS_LIST[TOTAL CURRENT UNITS]),0)</f>
        <v>0</v>
      </c>
    </row>
    <row r="279" spans="1:46" hidden="1">
      <c r="A279" t="s">
        <v>415</v>
      </c>
      <c r="B279" t="s">
        <v>416</v>
      </c>
      <c r="C279" t="s">
        <v>536</v>
      </c>
      <c r="D279" s="8" t="s">
        <v>2</v>
      </c>
      <c r="E279" s="2">
        <f>SUMIFS(LS[Unit],LS[Investor ID],INVESTORS_LIST[[#This Row],[INVESTOR CODE]],LS[B/S],"B")</f>
        <v>140000</v>
      </c>
      <c r="F279" s="2">
        <f>-SUMIFS(LS[Unit],LS[Investor ID],INVESTORS_LIST[[#This Row],[INVESTOR CODE]],LS[B/S],"S")</f>
        <v>140000</v>
      </c>
      <c r="G279" s="2">
        <f>IF(INVESTORS_LIST[[#This Row],[LS_TOTAL UNITS BUY]]=0,0,INVESTORS_LIST[[#This Row],[LS_TOTAL UNITS BUY]]-INVESTORS_LIST[[#This Row],[LS_TOTAL UNITS SOLD]])</f>
        <v>0</v>
      </c>
      <c r="H279" s="4">
        <f>IF(INVESTORS_LIST[[#This Row],[LS_TOTAL UNITS BUY]]=0,0,SUMIFS(LS[Amount],LS[Investor ID],INVESTORS_LIST[[#This Row],[INVESTOR CODE]],LS[B/S],"B"))</f>
        <v>1400000</v>
      </c>
      <c r="I279" s="6">
        <f>IF(INVESTORS_LIST[[#This Row],[LS_TOTAL UNITS SOLD]]=0,0,SUMIFS(LS[Cost of Units Sold],LS[Investor ID],INVESTORS_LIST[[#This Row],[INVESTOR CODE]],LS[B/S],"S"))</f>
        <v>1400000</v>
      </c>
      <c r="J279" s="6">
        <f>IF(INVESTORS_LIST[[#This Row],[LS_TOTAL CURRENT UNITS]]=0,0,INVESTORS_LIST[[#This Row],[LS_TOTAL CURRENT UNITS]]*INVESTORS_LIST[[#This Row],[LS_AVERAGE COST]])</f>
        <v>0</v>
      </c>
      <c r="K279" s="4">
        <f>IF(INVESTORS_LIST[[#This Row],[LS_TOTAL UNITS SOLD]]=0,0,SUMIFS(LS[Realized Gain],LS[Investor ID],INVESTORS_LIST[[#This Row],[INVESTOR CODE]],LS[B/S],"S"))</f>
        <v>-1399.9999999999702</v>
      </c>
      <c r="L279" s="2">
        <f>SUMIFS(SIP[Unit],SIP[Investor ID],INVESTORS_LIST[[#This Row],[INVESTOR CODE]],SIP[B/S],"B")</f>
        <v>0</v>
      </c>
      <c r="M279" s="2">
        <f>-SUMIFS(SIP[Unit],SIP[Investor ID],INVESTORS_LIST[[#This Row],[INVESTOR CODE]],SIP[B/S],"S")</f>
        <v>0</v>
      </c>
      <c r="N279" s="33">
        <f>IF(INVESTORS_LIST[[#This Row],[SIP_TOTAL UNITS BUY]]=0,0,INVESTORS_LIST[[#This Row],[SIP_TOTAL UNITS BUY]]-INVESTORS_LIST[[#This Row],[SIP_TOTAL UNITS SOLD]])</f>
        <v>0</v>
      </c>
      <c r="O279" s="4">
        <f>IF(INVESTORS_LIST[[#This Row],[SIP_TOTAL UNITS BUY]]=0,0,SUMIFS(SIP[Amount],SIP[Investor ID],INVESTORS_LIST[[#This Row],[INVESTOR CODE]],SIP[B/S],"B"))</f>
        <v>0</v>
      </c>
      <c r="P279" s="4">
        <f>IF(INVESTORS_LIST[[#This Row],[SIP_TOTAL UNITS SOLD]]=0,0,SUMIFS(SIP[Cost of Units Sold],SIP[Investor ID],INVESTORS_LIST[[#This Row],[INVESTOR CODE]],SIP[B/S],"S"))</f>
        <v>0</v>
      </c>
      <c r="Q279" s="6">
        <f>IF(INVESTORS_LIST[[#This Row],[SIP_TOTAL CURRENT UNITS]]=0,0,INVESTORS_LIST[[#This Row],[SIP_TOTAL CURRENT UNITS]]*INVESTORS_LIST[[#This Row],[SIP_AVERAGE COST]])</f>
        <v>0</v>
      </c>
      <c r="R279" s="6">
        <f>IF(INVESTORS_LIST[[#This Row],[SIP_TOTAL UNITS SOLD]]=0,0,SUMIFS(SIP[Realized Gain],SIP[Investor ID],INVESTORS_LIST[[#This Row],[INVESTOR CODE]],SIP[B/S],"S"))</f>
        <v>0</v>
      </c>
      <c r="S279" s="33">
        <f>INVESTORS_LIST[[#This Row],[LS_TOTAL UNITS BUY]]+INVESTORS_LIST[[#This Row],[SIP_TOTAL UNITS BUY]]</f>
        <v>140000</v>
      </c>
      <c r="T279" s="33">
        <f>INVESTORS_LIST[[#This Row],[LS_TOTAL UNITS SOLD]]+INVESTORS_LIST[[#This Row],[SIP_TOTAL UNITS SOLD]]</f>
        <v>140000</v>
      </c>
      <c r="U279" s="33">
        <v>0</v>
      </c>
      <c r="V279" s="33">
        <f>SUMIFS(LS[BO UNIT TRANSFER],LS[Investor ID],INVESTORS_LIST[[#This Row],[INVESTOR CODE]],LS[B/S],"B")</f>
        <v>0</v>
      </c>
      <c r="W279" s="33">
        <f>SUMIFS(LS[BO UNIT TRANSFER],LS[Investor ID],INVESTORS_LIST[[#This Row],[INVESTOR CODE]],LS[B/S],"S")</f>
        <v>0</v>
      </c>
      <c r="X279" s="33">
        <f>SUMIFS(SIP[BO UNIT TRANSFER],SIP[Investor ID],INVESTORS_LIST[[#This Row],[INVESTOR CODE]],SIP[B/S],"S")</f>
        <v>0</v>
      </c>
      <c r="Y279" s="33">
        <f>SUMIFS(SIP[BO UNIT TRANSFER],SIP[Investor ID],INVESTORS_LIST[[#This Row],[INVESTOR CODE]],SIP[B/S],"B")</f>
        <v>0</v>
      </c>
      <c r="Z27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79" s="119">
        <f>INVESTORS_LIST[[#This Row],[TOTAL UNITS BUY]]-INVESTORS_LIST[[#This Row],[TOTAL UNITS SOLD]]</f>
        <v>0</v>
      </c>
      <c r="AB279" s="119">
        <f>INVESTORS_LIST[[#This Row],[TOTAL CURRENT UNITS]]-INVESTORS_LIST[[#This Row],[BO UNITS HOLD]]</f>
        <v>0</v>
      </c>
      <c r="AC279" s="119" t="e">
        <f>INDEX([4]!Table_1[BO ID],MATCH(INVESTORS_LIST[[#This Row],[INVESTOR CODE]],[4]!Table_1[INVESTOR CODE],0))</f>
        <v>#REF!</v>
      </c>
      <c r="AD279" s="33">
        <f>INVESTORS_LIST[[#This Row],[LS_TOTAL COST VALUE OF CURRENT UNITS]]+INVESTORS_LIST[[#This Row],[SIP_TOTAL COST VALUE OF CURRENT UNITS]]</f>
        <v>0</v>
      </c>
      <c r="AE279" s="44">
        <f>IF(INVESTORS_LIST[[#This Row],[TOTAL CURRENT UNITS]]=0,0,INVESTORS_LIST[[#This Row],[LS_TOTAL CURRENT UNITS]]/INVESTORS_LIST[[#This Row],[TOTAL CURRENT UNITS]])</f>
        <v>0</v>
      </c>
      <c r="AF279" s="44">
        <f>IF(INVESTORS_LIST[[#This Row],[TOTAL CURRENT UNITS]]=0,0,INVESTORS_LIST[[#This Row],[SIP_TOTAL CURRENT UNITS]]/INVESTORS_LIST[[#This Row],[TOTAL CURRENT UNITS]])</f>
        <v>0</v>
      </c>
      <c r="AG279" s="4" cm="1">
        <f t="array" ref="AG2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79" s="4" cm="1">
        <f t="array" ref="AH2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7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79" s="178">
        <f t="shared" si="4"/>
        <v>12.552</v>
      </c>
      <c r="AK279" s="118">
        <f>IF(INVESTORS_LIST[[#This Row],[TOTAL CURRENT UNITS]]=0,0,INVESTORS_LIST[[#This Row],[TOTAL CURRENT UNITS]]*INVESTORS_LIST[[#This Row],[NAV]])</f>
        <v>0</v>
      </c>
      <c r="AL279" s="4">
        <f>IF(INVESTORS_LIST[[#This Row],[LS_TOTAL CURRENT UNITS]]=0,0,INVESTORS_LIST[[#This Row],[LS_TOTAL CURRENT UNITS]]*INVESTORS_LIST[[#This Row],[NAV]])</f>
        <v>0</v>
      </c>
      <c r="AM279" s="6">
        <f>IF(INVESTORS_LIST[[#This Row],[SIP_TOTAL CURRENT UNITS]]=0,0,INVESTORS_LIST[[#This Row],[SIP_TOTAL CURRENT UNITS]]*INVESTORS_LIST[[#This Row],[NAV]])</f>
        <v>0</v>
      </c>
      <c r="AO279" s="6">
        <f>IF(INVESTORS_LIST[[#This Row],[TOTAL SELLABLE UNITS]]=0,0,INVESTORS_LIST[[#This Row],[TOTAL SELLABLE UNITS]]*INVESTORS_LIST[[#This Row],[NAV]])</f>
        <v>0</v>
      </c>
      <c r="AP279" s="6">
        <f>INVESTORS_LIST[[#This Row],[LS_TOTAL REALIZED GAIN]]+INVESTORS_LIST[[#This Row],[SIP_TOTAL REALIZED GAIN]]</f>
        <v>-1399.9999999999702</v>
      </c>
      <c r="AQ279" s="6">
        <f>INVESTORS_LIST[[#This Row],[TOTAL MARKET VALUE]]-INVESTORS_LIST[[#This Row],[TOTAL COST VALUE OF CURRENT INVESTMENT]]</f>
        <v>0</v>
      </c>
      <c r="AR279" s="6">
        <f>SUMIFS(DivAndTax[Tax Amount],DivAndTax[Investor ID],INVESTORS_LIST[[#This Row],[INVESTOR CODE]])</f>
        <v>0</v>
      </c>
      <c r="AS279" s="6">
        <f>SUMIFS(DivAndTax[Gross Dividend],DivAndTax[Investor ID],INVESTORS_LIST[[#This Row],[INVESTOR CODE]])</f>
        <v>0</v>
      </c>
      <c r="AT279" s="5">
        <f>IFERROR(INVESTORS_LIST[[#This Row],[TOTAL CURRENT UNITS]]/SUM(INVESTORS_LIST[TOTAL CURRENT UNITS]),0)</f>
        <v>0</v>
      </c>
    </row>
    <row r="280" spans="1:46" hidden="1">
      <c r="A280" t="s">
        <v>417</v>
      </c>
      <c r="B280" t="s">
        <v>418</v>
      </c>
      <c r="C280" t="s">
        <v>536</v>
      </c>
      <c r="D280" s="8" t="s">
        <v>2</v>
      </c>
      <c r="E280" s="2">
        <f>SUMIFS(LS[Unit],LS[Investor ID],INVESTORS_LIST[[#This Row],[INVESTOR CODE]],LS[B/S],"B")</f>
        <v>0</v>
      </c>
      <c r="F280" s="2">
        <f>-SUMIFS(LS[Unit],LS[Investor ID],INVESTORS_LIST[[#This Row],[INVESTOR CODE]],LS[B/S],"S")</f>
        <v>0</v>
      </c>
      <c r="G280" s="2">
        <f>IF(INVESTORS_LIST[[#This Row],[LS_TOTAL UNITS BUY]]=0,0,INVESTORS_LIST[[#This Row],[LS_TOTAL UNITS BUY]]-INVESTORS_LIST[[#This Row],[LS_TOTAL UNITS SOLD]])</f>
        <v>0</v>
      </c>
      <c r="H280" s="4">
        <f>IF(INVESTORS_LIST[[#This Row],[LS_TOTAL UNITS BUY]]=0,0,SUMIFS(LS[Amount],LS[Investor ID],INVESTORS_LIST[[#This Row],[INVESTOR CODE]],LS[B/S],"B"))</f>
        <v>0</v>
      </c>
      <c r="I280" s="6">
        <f>IF(INVESTORS_LIST[[#This Row],[LS_TOTAL UNITS SOLD]]=0,0,SUMIFS(LS[Cost of Units Sold],LS[Investor ID],INVESTORS_LIST[[#This Row],[INVESTOR CODE]],LS[B/S],"S"))</f>
        <v>0</v>
      </c>
      <c r="J280" s="6">
        <f>IF(INVESTORS_LIST[[#This Row],[LS_TOTAL CURRENT UNITS]]=0,0,INVESTORS_LIST[[#This Row],[LS_TOTAL CURRENT UNITS]]*INVESTORS_LIST[[#This Row],[LS_AVERAGE COST]])</f>
        <v>0</v>
      </c>
      <c r="K280" s="4">
        <f>IF(INVESTORS_LIST[[#This Row],[LS_TOTAL UNITS SOLD]]=0,0,SUMIFS(LS[Realized Gain],LS[Investor ID],INVESTORS_LIST[[#This Row],[INVESTOR CODE]],LS[B/S],"S"))</f>
        <v>0</v>
      </c>
      <c r="L280" s="2">
        <f>SUMIFS(SIP[Unit],SIP[Investor ID],INVESTORS_LIST[[#This Row],[INVESTOR CODE]],SIP[B/S],"B")</f>
        <v>0</v>
      </c>
      <c r="M280" s="2">
        <f>-SUMIFS(SIP[Unit],SIP[Investor ID],INVESTORS_LIST[[#This Row],[INVESTOR CODE]],SIP[B/S],"S")</f>
        <v>0</v>
      </c>
      <c r="N280" s="33">
        <f>IF(INVESTORS_LIST[[#This Row],[SIP_TOTAL UNITS BUY]]=0,0,INVESTORS_LIST[[#This Row],[SIP_TOTAL UNITS BUY]]-INVESTORS_LIST[[#This Row],[SIP_TOTAL UNITS SOLD]])</f>
        <v>0</v>
      </c>
      <c r="O280" s="4">
        <f>IF(INVESTORS_LIST[[#This Row],[SIP_TOTAL UNITS BUY]]=0,0,SUMIFS(SIP[Amount],SIP[Investor ID],INVESTORS_LIST[[#This Row],[INVESTOR CODE]],SIP[B/S],"B"))</f>
        <v>0</v>
      </c>
      <c r="P280" s="4">
        <f>IF(INVESTORS_LIST[[#This Row],[SIP_TOTAL UNITS SOLD]]=0,0,SUMIFS(SIP[Cost of Units Sold],SIP[Investor ID],INVESTORS_LIST[[#This Row],[INVESTOR CODE]],SIP[B/S],"S"))</f>
        <v>0</v>
      </c>
      <c r="Q280" s="6">
        <f>IF(INVESTORS_LIST[[#This Row],[SIP_TOTAL CURRENT UNITS]]=0,0,INVESTORS_LIST[[#This Row],[SIP_TOTAL CURRENT UNITS]]*INVESTORS_LIST[[#This Row],[SIP_AVERAGE COST]])</f>
        <v>0</v>
      </c>
      <c r="R280" s="6">
        <f>IF(INVESTORS_LIST[[#This Row],[SIP_TOTAL UNITS SOLD]]=0,0,SUMIFS(SIP[Realized Gain],SIP[Investor ID],INVESTORS_LIST[[#This Row],[INVESTOR CODE]],SIP[B/S],"S"))</f>
        <v>0</v>
      </c>
      <c r="S280" s="33">
        <f>INVESTORS_LIST[[#This Row],[LS_TOTAL UNITS BUY]]+INVESTORS_LIST[[#This Row],[SIP_TOTAL UNITS BUY]]</f>
        <v>0</v>
      </c>
      <c r="T280" s="33">
        <f>INVESTORS_LIST[[#This Row],[LS_TOTAL UNITS SOLD]]+INVESTORS_LIST[[#This Row],[SIP_TOTAL UNITS SOLD]]</f>
        <v>0</v>
      </c>
      <c r="U280" s="33">
        <v>0</v>
      </c>
      <c r="V280" s="33">
        <f>SUMIFS(LS[BO UNIT TRANSFER],LS[Investor ID],INVESTORS_LIST[[#This Row],[INVESTOR CODE]],LS[B/S],"B")</f>
        <v>0</v>
      </c>
      <c r="W280" s="33">
        <f>SUMIFS(LS[BO UNIT TRANSFER],LS[Investor ID],INVESTORS_LIST[[#This Row],[INVESTOR CODE]],LS[B/S],"S")</f>
        <v>0</v>
      </c>
      <c r="X280" s="33">
        <f>SUMIFS(SIP[BO UNIT TRANSFER],SIP[Investor ID],INVESTORS_LIST[[#This Row],[INVESTOR CODE]],SIP[B/S],"S")</f>
        <v>0</v>
      </c>
      <c r="Y280" s="33">
        <f>SUMIFS(SIP[BO UNIT TRANSFER],SIP[Investor ID],INVESTORS_LIST[[#This Row],[INVESTOR CODE]],SIP[B/S],"B")</f>
        <v>0</v>
      </c>
      <c r="Z28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80" s="119">
        <f>INVESTORS_LIST[[#This Row],[TOTAL UNITS BUY]]-INVESTORS_LIST[[#This Row],[TOTAL UNITS SOLD]]</f>
        <v>0</v>
      </c>
      <c r="AB280" s="119">
        <f>INVESTORS_LIST[[#This Row],[TOTAL CURRENT UNITS]]-INVESTORS_LIST[[#This Row],[BO UNITS HOLD]]</f>
        <v>0</v>
      </c>
      <c r="AC280" s="119" t="e">
        <f>INDEX([4]!Table_1[BO ID],MATCH(INVESTORS_LIST[[#This Row],[INVESTOR CODE]],[4]!Table_1[INVESTOR CODE],0))</f>
        <v>#REF!</v>
      </c>
      <c r="AD280" s="33">
        <f>INVESTORS_LIST[[#This Row],[LS_TOTAL COST VALUE OF CURRENT UNITS]]+INVESTORS_LIST[[#This Row],[SIP_TOTAL COST VALUE OF CURRENT UNITS]]</f>
        <v>0</v>
      </c>
      <c r="AE280" s="44">
        <f>IF(INVESTORS_LIST[[#This Row],[TOTAL CURRENT UNITS]]=0,0,INVESTORS_LIST[[#This Row],[LS_TOTAL CURRENT UNITS]]/INVESTORS_LIST[[#This Row],[TOTAL CURRENT UNITS]])</f>
        <v>0</v>
      </c>
      <c r="AF280" s="44">
        <f>IF(INVESTORS_LIST[[#This Row],[TOTAL CURRENT UNITS]]=0,0,INVESTORS_LIST[[#This Row],[SIP_TOTAL CURRENT UNITS]]/INVESTORS_LIST[[#This Row],[TOTAL CURRENT UNITS]])</f>
        <v>0</v>
      </c>
      <c r="AG280" s="4" cm="1">
        <f t="array" ref="AG2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80" s="4" cm="1">
        <f t="array" ref="AH2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8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80" s="178">
        <f t="shared" si="4"/>
        <v>12.552</v>
      </c>
      <c r="AK280" s="118">
        <f>IF(INVESTORS_LIST[[#This Row],[TOTAL CURRENT UNITS]]=0,0,INVESTORS_LIST[[#This Row],[TOTAL CURRENT UNITS]]*INVESTORS_LIST[[#This Row],[NAV]])</f>
        <v>0</v>
      </c>
      <c r="AL280" s="4">
        <f>IF(INVESTORS_LIST[[#This Row],[LS_TOTAL CURRENT UNITS]]=0,0,INVESTORS_LIST[[#This Row],[LS_TOTAL CURRENT UNITS]]*INVESTORS_LIST[[#This Row],[NAV]])</f>
        <v>0</v>
      </c>
      <c r="AM280" s="6">
        <f>IF(INVESTORS_LIST[[#This Row],[SIP_TOTAL CURRENT UNITS]]=0,0,INVESTORS_LIST[[#This Row],[SIP_TOTAL CURRENT UNITS]]*INVESTORS_LIST[[#This Row],[NAV]])</f>
        <v>0</v>
      </c>
      <c r="AO280" s="6">
        <f>IF(INVESTORS_LIST[[#This Row],[TOTAL SELLABLE UNITS]]=0,0,INVESTORS_LIST[[#This Row],[TOTAL SELLABLE UNITS]]*INVESTORS_LIST[[#This Row],[NAV]])</f>
        <v>0</v>
      </c>
      <c r="AP280" s="6">
        <f>INVESTORS_LIST[[#This Row],[LS_TOTAL REALIZED GAIN]]+INVESTORS_LIST[[#This Row],[SIP_TOTAL REALIZED GAIN]]</f>
        <v>0</v>
      </c>
      <c r="AQ280" s="6">
        <f>INVESTORS_LIST[[#This Row],[TOTAL MARKET VALUE]]-INVESTORS_LIST[[#This Row],[TOTAL COST VALUE OF CURRENT INVESTMENT]]</f>
        <v>0</v>
      </c>
      <c r="AR280" s="6">
        <f>SUMIFS(DivAndTax[Tax Amount],DivAndTax[Investor ID],INVESTORS_LIST[[#This Row],[INVESTOR CODE]])</f>
        <v>0</v>
      </c>
      <c r="AS280" s="6">
        <f>SUMIFS(DivAndTax[Gross Dividend],DivAndTax[Investor ID],INVESTORS_LIST[[#This Row],[INVESTOR CODE]])</f>
        <v>0</v>
      </c>
      <c r="AT280" s="5">
        <f>IFERROR(INVESTORS_LIST[[#This Row],[TOTAL CURRENT UNITS]]/SUM(INVESTORS_LIST[TOTAL CURRENT UNITS]),0)</f>
        <v>0</v>
      </c>
    </row>
    <row r="281" spans="1:46" hidden="1">
      <c r="A281" t="s">
        <v>419</v>
      </c>
      <c r="B281" t="s">
        <v>420</v>
      </c>
      <c r="C281" t="s">
        <v>536</v>
      </c>
      <c r="D281" s="8" t="s">
        <v>2</v>
      </c>
      <c r="E281" s="2">
        <f>SUMIFS(LS[Unit],LS[Investor ID],INVESTORS_LIST[[#This Row],[INVESTOR CODE]],LS[B/S],"B")</f>
        <v>0</v>
      </c>
      <c r="F281" s="2">
        <f>-SUMIFS(LS[Unit],LS[Investor ID],INVESTORS_LIST[[#This Row],[INVESTOR CODE]],LS[B/S],"S")</f>
        <v>0</v>
      </c>
      <c r="G281" s="2">
        <f>IF(INVESTORS_LIST[[#This Row],[LS_TOTAL UNITS BUY]]=0,0,INVESTORS_LIST[[#This Row],[LS_TOTAL UNITS BUY]]-INVESTORS_LIST[[#This Row],[LS_TOTAL UNITS SOLD]])</f>
        <v>0</v>
      </c>
      <c r="H281" s="4">
        <f>IF(INVESTORS_LIST[[#This Row],[LS_TOTAL UNITS BUY]]=0,0,SUMIFS(LS[Amount],LS[Investor ID],INVESTORS_LIST[[#This Row],[INVESTOR CODE]],LS[B/S],"B"))</f>
        <v>0</v>
      </c>
      <c r="I281" s="6">
        <f>IF(INVESTORS_LIST[[#This Row],[LS_TOTAL UNITS SOLD]]=0,0,SUMIFS(LS[Cost of Units Sold],LS[Investor ID],INVESTORS_LIST[[#This Row],[INVESTOR CODE]],LS[B/S],"S"))</f>
        <v>0</v>
      </c>
      <c r="J281" s="6">
        <f>IF(INVESTORS_LIST[[#This Row],[LS_TOTAL CURRENT UNITS]]=0,0,INVESTORS_LIST[[#This Row],[LS_TOTAL CURRENT UNITS]]*INVESTORS_LIST[[#This Row],[LS_AVERAGE COST]])</f>
        <v>0</v>
      </c>
      <c r="K281" s="4">
        <f>IF(INVESTORS_LIST[[#This Row],[LS_TOTAL UNITS SOLD]]=0,0,SUMIFS(LS[Realized Gain],LS[Investor ID],INVESTORS_LIST[[#This Row],[INVESTOR CODE]],LS[B/S],"S"))</f>
        <v>0</v>
      </c>
      <c r="L281" s="2">
        <f>SUMIFS(SIP[Unit],SIP[Investor ID],INVESTORS_LIST[[#This Row],[INVESTOR CODE]],SIP[B/S],"B")</f>
        <v>0</v>
      </c>
      <c r="M281" s="2">
        <f>-SUMIFS(SIP[Unit],SIP[Investor ID],INVESTORS_LIST[[#This Row],[INVESTOR CODE]],SIP[B/S],"S")</f>
        <v>0</v>
      </c>
      <c r="N281" s="33">
        <f>IF(INVESTORS_LIST[[#This Row],[SIP_TOTAL UNITS BUY]]=0,0,INVESTORS_LIST[[#This Row],[SIP_TOTAL UNITS BUY]]-INVESTORS_LIST[[#This Row],[SIP_TOTAL UNITS SOLD]])</f>
        <v>0</v>
      </c>
      <c r="O281" s="4">
        <f>IF(INVESTORS_LIST[[#This Row],[SIP_TOTAL UNITS BUY]]=0,0,SUMIFS(SIP[Amount],SIP[Investor ID],INVESTORS_LIST[[#This Row],[INVESTOR CODE]],SIP[B/S],"B"))</f>
        <v>0</v>
      </c>
      <c r="P281" s="4">
        <f>IF(INVESTORS_LIST[[#This Row],[SIP_TOTAL UNITS SOLD]]=0,0,SUMIFS(SIP[Cost of Units Sold],SIP[Investor ID],INVESTORS_LIST[[#This Row],[INVESTOR CODE]],SIP[B/S],"S"))</f>
        <v>0</v>
      </c>
      <c r="Q281" s="6">
        <f>IF(INVESTORS_LIST[[#This Row],[SIP_TOTAL CURRENT UNITS]]=0,0,INVESTORS_LIST[[#This Row],[SIP_TOTAL CURRENT UNITS]]*INVESTORS_LIST[[#This Row],[SIP_AVERAGE COST]])</f>
        <v>0</v>
      </c>
      <c r="R281" s="6">
        <f>IF(INVESTORS_LIST[[#This Row],[SIP_TOTAL UNITS SOLD]]=0,0,SUMIFS(SIP[Realized Gain],SIP[Investor ID],INVESTORS_LIST[[#This Row],[INVESTOR CODE]],SIP[B/S],"S"))</f>
        <v>0</v>
      </c>
      <c r="S281" s="33">
        <f>INVESTORS_LIST[[#This Row],[LS_TOTAL UNITS BUY]]+INVESTORS_LIST[[#This Row],[SIP_TOTAL UNITS BUY]]</f>
        <v>0</v>
      </c>
      <c r="T281" s="33">
        <f>INVESTORS_LIST[[#This Row],[LS_TOTAL UNITS SOLD]]+INVESTORS_LIST[[#This Row],[SIP_TOTAL UNITS SOLD]]</f>
        <v>0</v>
      </c>
      <c r="U281" s="33">
        <v>0</v>
      </c>
      <c r="V281" s="33">
        <f>SUMIFS(LS[BO UNIT TRANSFER],LS[Investor ID],INVESTORS_LIST[[#This Row],[INVESTOR CODE]],LS[B/S],"B")</f>
        <v>0</v>
      </c>
      <c r="W281" s="33">
        <f>SUMIFS(LS[BO UNIT TRANSFER],LS[Investor ID],INVESTORS_LIST[[#This Row],[INVESTOR CODE]],LS[B/S],"S")</f>
        <v>0</v>
      </c>
      <c r="X281" s="33">
        <f>SUMIFS(SIP[BO UNIT TRANSFER],SIP[Investor ID],INVESTORS_LIST[[#This Row],[INVESTOR CODE]],SIP[B/S],"S")</f>
        <v>0</v>
      </c>
      <c r="Y281" s="33">
        <f>SUMIFS(SIP[BO UNIT TRANSFER],SIP[Investor ID],INVESTORS_LIST[[#This Row],[INVESTOR CODE]],SIP[B/S],"B")</f>
        <v>0</v>
      </c>
      <c r="Z28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81" s="119">
        <f>INVESTORS_LIST[[#This Row],[TOTAL UNITS BUY]]-INVESTORS_LIST[[#This Row],[TOTAL UNITS SOLD]]</f>
        <v>0</v>
      </c>
      <c r="AB281" s="119">
        <f>INVESTORS_LIST[[#This Row],[TOTAL CURRENT UNITS]]-INVESTORS_LIST[[#This Row],[BO UNITS HOLD]]</f>
        <v>0</v>
      </c>
      <c r="AC281" s="119" t="e">
        <f>INDEX([4]!Table_1[BO ID],MATCH(INVESTORS_LIST[[#This Row],[INVESTOR CODE]],[4]!Table_1[INVESTOR CODE],0))</f>
        <v>#REF!</v>
      </c>
      <c r="AD281" s="33">
        <f>INVESTORS_LIST[[#This Row],[LS_TOTAL COST VALUE OF CURRENT UNITS]]+INVESTORS_LIST[[#This Row],[SIP_TOTAL COST VALUE OF CURRENT UNITS]]</f>
        <v>0</v>
      </c>
      <c r="AE281" s="44">
        <f>IF(INVESTORS_LIST[[#This Row],[TOTAL CURRENT UNITS]]=0,0,INVESTORS_LIST[[#This Row],[LS_TOTAL CURRENT UNITS]]/INVESTORS_LIST[[#This Row],[TOTAL CURRENT UNITS]])</f>
        <v>0</v>
      </c>
      <c r="AF281" s="44">
        <f>IF(INVESTORS_LIST[[#This Row],[TOTAL CURRENT UNITS]]=0,0,INVESTORS_LIST[[#This Row],[SIP_TOTAL CURRENT UNITS]]/INVESTORS_LIST[[#This Row],[TOTAL CURRENT UNITS]])</f>
        <v>0</v>
      </c>
      <c r="AG281" s="4" cm="1">
        <f t="array" ref="AG28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81" s="4" cm="1">
        <f t="array" ref="AH2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8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81" s="178">
        <f t="shared" si="4"/>
        <v>12.552</v>
      </c>
      <c r="AK281" s="118">
        <f>IF(INVESTORS_LIST[[#This Row],[TOTAL CURRENT UNITS]]=0,0,INVESTORS_LIST[[#This Row],[TOTAL CURRENT UNITS]]*INVESTORS_LIST[[#This Row],[NAV]])</f>
        <v>0</v>
      </c>
      <c r="AL281" s="4">
        <f>IF(INVESTORS_LIST[[#This Row],[LS_TOTAL CURRENT UNITS]]=0,0,INVESTORS_LIST[[#This Row],[LS_TOTAL CURRENT UNITS]]*INVESTORS_LIST[[#This Row],[NAV]])</f>
        <v>0</v>
      </c>
      <c r="AM281" s="6">
        <f>IF(INVESTORS_LIST[[#This Row],[SIP_TOTAL CURRENT UNITS]]=0,0,INVESTORS_LIST[[#This Row],[SIP_TOTAL CURRENT UNITS]]*INVESTORS_LIST[[#This Row],[NAV]])</f>
        <v>0</v>
      </c>
      <c r="AO281" s="6">
        <f>IF(INVESTORS_LIST[[#This Row],[TOTAL SELLABLE UNITS]]=0,0,INVESTORS_LIST[[#This Row],[TOTAL SELLABLE UNITS]]*INVESTORS_LIST[[#This Row],[NAV]])</f>
        <v>0</v>
      </c>
      <c r="AP281" s="6">
        <f>INVESTORS_LIST[[#This Row],[LS_TOTAL REALIZED GAIN]]+INVESTORS_LIST[[#This Row],[SIP_TOTAL REALIZED GAIN]]</f>
        <v>0</v>
      </c>
      <c r="AQ281" s="6">
        <f>INVESTORS_LIST[[#This Row],[TOTAL MARKET VALUE]]-INVESTORS_LIST[[#This Row],[TOTAL COST VALUE OF CURRENT INVESTMENT]]</f>
        <v>0</v>
      </c>
      <c r="AR281" s="6">
        <f>SUMIFS(DivAndTax[Tax Amount],DivAndTax[Investor ID],INVESTORS_LIST[[#This Row],[INVESTOR CODE]])</f>
        <v>0</v>
      </c>
      <c r="AS281" s="6">
        <f>SUMIFS(DivAndTax[Gross Dividend],DivAndTax[Investor ID],INVESTORS_LIST[[#This Row],[INVESTOR CODE]])</f>
        <v>0</v>
      </c>
      <c r="AT281" s="5">
        <f>IFERROR(INVESTORS_LIST[[#This Row],[TOTAL CURRENT UNITS]]/SUM(INVESTORS_LIST[TOTAL CURRENT UNITS]),0)</f>
        <v>0</v>
      </c>
    </row>
    <row r="282" spans="1:46" hidden="1">
      <c r="A282" t="s">
        <v>421</v>
      </c>
      <c r="B282" t="s">
        <v>422</v>
      </c>
      <c r="C282" t="s">
        <v>539</v>
      </c>
      <c r="D282" s="8" t="s">
        <v>2</v>
      </c>
      <c r="E282" s="2">
        <f>SUMIFS(LS[Unit],LS[Investor ID],INVESTORS_LIST[[#This Row],[INVESTOR CODE]],LS[B/S],"B")</f>
        <v>0</v>
      </c>
      <c r="F282" s="2">
        <f>-SUMIFS(LS[Unit],LS[Investor ID],INVESTORS_LIST[[#This Row],[INVESTOR CODE]],LS[B/S],"S")</f>
        <v>0</v>
      </c>
      <c r="G282" s="2">
        <f>IF(INVESTORS_LIST[[#This Row],[LS_TOTAL UNITS BUY]]=0,0,INVESTORS_LIST[[#This Row],[LS_TOTAL UNITS BUY]]-INVESTORS_LIST[[#This Row],[LS_TOTAL UNITS SOLD]])</f>
        <v>0</v>
      </c>
      <c r="H282" s="4">
        <f>IF(INVESTORS_LIST[[#This Row],[LS_TOTAL UNITS BUY]]=0,0,SUMIFS(LS[Amount],LS[Investor ID],INVESTORS_LIST[[#This Row],[INVESTOR CODE]],LS[B/S],"B"))</f>
        <v>0</v>
      </c>
      <c r="I282" s="6">
        <f>IF(INVESTORS_LIST[[#This Row],[LS_TOTAL UNITS SOLD]]=0,0,SUMIFS(LS[Cost of Units Sold],LS[Investor ID],INVESTORS_LIST[[#This Row],[INVESTOR CODE]],LS[B/S],"S"))</f>
        <v>0</v>
      </c>
      <c r="J282" s="6">
        <f>IF(INVESTORS_LIST[[#This Row],[LS_TOTAL CURRENT UNITS]]=0,0,INVESTORS_LIST[[#This Row],[LS_TOTAL CURRENT UNITS]]*INVESTORS_LIST[[#This Row],[LS_AVERAGE COST]])</f>
        <v>0</v>
      </c>
      <c r="K282" s="4">
        <f>IF(INVESTORS_LIST[[#This Row],[LS_TOTAL UNITS SOLD]]=0,0,SUMIFS(LS[Realized Gain],LS[Investor ID],INVESTORS_LIST[[#This Row],[INVESTOR CODE]],LS[B/S],"S"))</f>
        <v>0</v>
      </c>
      <c r="L282" s="2">
        <f>SUMIFS(SIP[Unit],SIP[Investor ID],INVESTORS_LIST[[#This Row],[INVESTOR CODE]],SIP[B/S],"B")</f>
        <v>0</v>
      </c>
      <c r="M282" s="2">
        <f>-SUMIFS(SIP[Unit],SIP[Investor ID],INVESTORS_LIST[[#This Row],[INVESTOR CODE]],SIP[B/S],"S")</f>
        <v>0</v>
      </c>
      <c r="N282" s="33">
        <f>IF(INVESTORS_LIST[[#This Row],[SIP_TOTAL UNITS BUY]]=0,0,INVESTORS_LIST[[#This Row],[SIP_TOTAL UNITS BUY]]-INVESTORS_LIST[[#This Row],[SIP_TOTAL UNITS SOLD]])</f>
        <v>0</v>
      </c>
      <c r="O282" s="4">
        <f>IF(INVESTORS_LIST[[#This Row],[SIP_TOTAL UNITS BUY]]=0,0,SUMIFS(SIP[Amount],SIP[Investor ID],INVESTORS_LIST[[#This Row],[INVESTOR CODE]],SIP[B/S],"B"))</f>
        <v>0</v>
      </c>
      <c r="P282" s="4">
        <f>IF(INVESTORS_LIST[[#This Row],[SIP_TOTAL UNITS SOLD]]=0,0,SUMIFS(SIP[Cost of Units Sold],SIP[Investor ID],INVESTORS_LIST[[#This Row],[INVESTOR CODE]],SIP[B/S],"S"))</f>
        <v>0</v>
      </c>
      <c r="Q282" s="6">
        <f>IF(INVESTORS_LIST[[#This Row],[SIP_TOTAL CURRENT UNITS]]=0,0,INVESTORS_LIST[[#This Row],[SIP_TOTAL CURRENT UNITS]]*INVESTORS_LIST[[#This Row],[SIP_AVERAGE COST]])</f>
        <v>0</v>
      </c>
      <c r="R282" s="6">
        <f>IF(INVESTORS_LIST[[#This Row],[SIP_TOTAL UNITS SOLD]]=0,0,SUMIFS(SIP[Realized Gain],SIP[Investor ID],INVESTORS_LIST[[#This Row],[INVESTOR CODE]],SIP[B/S],"S"))</f>
        <v>0</v>
      </c>
      <c r="S282" s="33">
        <f>INVESTORS_LIST[[#This Row],[LS_TOTAL UNITS BUY]]+INVESTORS_LIST[[#This Row],[SIP_TOTAL UNITS BUY]]</f>
        <v>0</v>
      </c>
      <c r="T282" s="33">
        <f>INVESTORS_LIST[[#This Row],[LS_TOTAL UNITS SOLD]]+INVESTORS_LIST[[#This Row],[SIP_TOTAL UNITS SOLD]]</f>
        <v>0</v>
      </c>
      <c r="U282" s="33">
        <v>0</v>
      </c>
      <c r="V282" s="33">
        <f>SUMIFS(LS[BO UNIT TRANSFER],LS[Investor ID],INVESTORS_LIST[[#This Row],[INVESTOR CODE]],LS[B/S],"B")</f>
        <v>0</v>
      </c>
      <c r="W282" s="33">
        <f>SUMIFS(LS[BO UNIT TRANSFER],LS[Investor ID],INVESTORS_LIST[[#This Row],[INVESTOR CODE]],LS[B/S],"S")</f>
        <v>0</v>
      </c>
      <c r="X282" s="33">
        <f>SUMIFS(SIP[BO UNIT TRANSFER],SIP[Investor ID],INVESTORS_LIST[[#This Row],[INVESTOR CODE]],SIP[B/S],"S")</f>
        <v>0</v>
      </c>
      <c r="Y282" s="33">
        <f>SUMIFS(SIP[BO UNIT TRANSFER],SIP[Investor ID],INVESTORS_LIST[[#This Row],[INVESTOR CODE]],SIP[B/S],"B")</f>
        <v>0</v>
      </c>
      <c r="Z28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82" s="119">
        <f>INVESTORS_LIST[[#This Row],[TOTAL UNITS BUY]]-INVESTORS_LIST[[#This Row],[TOTAL UNITS SOLD]]</f>
        <v>0</v>
      </c>
      <c r="AB282" s="119">
        <f>INVESTORS_LIST[[#This Row],[TOTAL CURRENT UNITS]]-INVESTORS_LIST[[#This Row],[BO UNITS HOLD]]</f>
        <v>0</v>
      </c>
      <c r="AC282" s="119" t="e">
        <f>INDEX([4]!Table_1[BO ID],MATCH(INVESTORS_LIST[[#This Row],[INVESTOR CODE]],[4]!Table_1[INVESTOR CODE],0))</f>
        <v>#REF!</v>
      </c>
      <c r="AD282" s="33">
        <f>INVESTORS_LIST[[#This Row],[LS_TOTAL COST VALUE OF CURRENT UNITS]]+INVESTORS_LIST[[#This Row],[SIP_TOTAL COST VALUE OF CURRENT UNITS]]</f>
        <v>0</v>
      </c>
      <c r="AE282" s="44">
        <f>IF(INVESTORS_LIST[[#This Row],[TOTAL CURRENT UNITS]]=0,0,INVESTORS_LIST[[#This Row],[LS_TOTAL CURRENT UNITS]]/INVESTORS_LIST[[#This Row],[TOTAL CURRENT UNITS]])</f>
        <v>0</v>
      </c>
      <c r="AF282" s="44">
        <f>IF(INVESTORS_LIST[[#This Row],[TOTAL CURRENT UNITS]]=0,0,INVESTORS_LIST[[#This Row],[SIP_TOTAL CURRENT UNITS]]/INVESTORS_LIST[[#This Row],[TOTAL CURRENT UNITS]])</f>
        <v>0</v>
      </c>
      <c r="AG282" s="4" cm="1">
        <f t="array" ref="AG28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82" s="4" cm="1">
        <f t="array" ref="AH28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8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82" s="178">
        <f t="shared" si="4"/>
        <v>12.552</v>
      </c>
      <c r="AK282" s="118">
        <f>IF(INVESTORS_LIST[[#This Row],[TOTAL CURRENT UNITS]]=0,0,INVESTORS_LIST[[#This Row],[TOTAL CURRENT UNITS]]*INVESTORS_LIST[[#This Row],[NAV]])</f>
        <v>0</v>
      </c>
      <c r="AL282" s="4">
        <f>IF(INVESTORS_LIST[[#This Row],[LS_TOTAL CURRENT UNITS]]=0,0,INVESTORS_LIST[[#This Row],[LS_TOTAL CURRENT UNITS]]*INVESTORS_LIST[[#This Row],[NAV]])</f>
        <v>0</v>
      </c>
      <c r="AM282" s="6">
        <f>IF(INVESTORS_LIST[[#This Row],[SIP_TOTAL CURRENT UNITS]]=0,0,INVESTORS_LIST[[#This Row],[SIP_TOTAL CURRENT UNITS]]*INVESTORS_LIST[[#This Row],[NAV]])</f>
        <v>0</v>
      </c>
      <c r="AO282" s="6">
        <f>IF(INVESTORS_LIST[[#This Row],[TOTAL SELLABLE UNITS]]=0,0,INVESTORS_LIST[[#This Row],[TOTAL SELLABLE UNITS]]*INVESTORS_LIST[[#This Row],[NAV]])</f>
        <v>0</v>
      </c>
      <c r="AP282" s="6">
        <f>INVESTORS_LIST[[#This Row],[LS_TOTAL REALIZED GAIN]]+INVESTORS_LIST[[#This Row],[SIP_TOTAL REALIZED GAIN]]</f>
        <v>0</v>
      </c>
      <c r="AQ282" s="6">
        <f>INVESTORS_LIST[[#This Row],[TOTAL MARKET VALUE]]-INVESTORS_LIST[[#This Row],[TOTAL COST VALUE OF CURRENT INVESTMENT]]</f>
        <v>0</v>
      </c>
      <c r="AR282" s="6">
        <f>SUMIFS(DivAndTax[Tax Amount],DivAndTax[Investor ID],INVESTORS_LIST[[#This Row],[INVESTOR CODE]])</f>
        <v>0</v>
      </c>
      <c r="AS282" s="6">
        <f>SUMIFS(DivAndTax[Gross Dividend],DivAndTax[Investor ID],INVESTORS_LIST[[#This Row],[INVESTOR CODE]])</f>
        <v>0</v>
      </c>
      <c r="AT282" s="5">
        <f>IFERROR(INVESTORS_LIST[[#This Row],[TOTAL CURRENT UNITS]]/SUM(INVESTORS_LIST[TOTAL CURRENT UNITS]),0)</f>
        <v>0</v>
      </c>
    </row>
    <row r="283" spans="1:46" hidden="1">
      <c r="A283" t="s">
        <v>423</v>
      </c>
      <c r="B283" t="s">
        <v>424</v>
      </c>
      <c r="C283" t="s">
        <v>536</v>
      </c>
      <c r="D283" s="8" t="s">
        <v>2</v>
      </c>
      <c r="E283" s="2">
        <f>SUMIFS(LS[Unit],LS[Investor ID],INVESTORS_LIST[[#This Row],[INVESTOR CODE]],LS[B/S],"B")</f>
        <v>0</v>
      </c>
      <c r="F283" s="2">
        <f>-SUMIFS(LS[Unit],LS[Investor ID],INVESTORS_LIST[[#This Row],[INVESTOR CODE]],LS[B/S],"S")</f>
        <v>0</v>
      </c>
      <c r="G283" s="2">
        <f>IF(INVESTORS_LIST[[#This Row],[LS_TOTAL UNITS BUY]]=0,0,INVESTORS_LIST[[#This Row],[LS_TOTAL UNITS BUY]]-INVESTORS_LIST[[#This Row],[LS_TOTAL UNITS SOLD]])</f>
        <v>0</v>
      </c>
      <c r="H283" s="4">
        <f>IF(INVESTORS_LIST[[#This Row],[LS_TOTAL UNITS BUY]]=0,0,SUMIFS(LS[Amount],LS[Investor ID],INVESTORS_LIST[[#This Row],[INVESTOR CODE]],LS[B/S],"B"))</f>
        <v>0</v>
      </c>
      <c r="I283" s="6">
        <f>IF(INVESTORS_LIST[[#This Row],[LS_TOTAL UNITS SOLD]]=0,0,SUMIFS(LS[Cost of Units Sold],LS[Investor ID],INVESTORS_LIST[[#This Row],[INVESTOR CODE]],LS[B/S],"S"))</f>
        <v>0</v>
      </c>
      <c r="J283" s="6">
        <f>IF(INVESTORS_LIST[[#This Row],[LS_TOTAL CURRENT UNITS]]=0,0,INVESTORS_LIST[[#This Row],[LS_TOTAL CURRENT UNITS]]*INVESTORS_LIST[[#This Row],[LS_AVERAGE COST]])</f>
        <v>0</v>
      </c>
      <c r="K283" s="4">
        <f>IF(INVESTORS_LIST[[#This Row],[LS_TOTAL UNITS SOLD]]=0,0,SUMIFS(LS[Realized Gain],LS[Investor ID],INVESTORS_LIST[[#This Row],[INVESTOR CODE]],LS[B/S],"S"))</f>
        <v>0</v>
      </c>
      <c r="L283" s="2">
        <f>SUMIFS(SIP[Unit],SIP[Investor ID],INVESTORS_LIST[[#This Row],[INVESTOR CODE]],SIP[B/S],"B")</f>
        <v>0</v>
      </c>
      <c r="M283" s="2">
        <f>-SUMIFS(SIP[Unit],SIP[Investor ID],INVESTORS_LIST[[#This Row],[INVESTOR CODE]],SIP[B/S],"S")</f>
        <v>0</v>
      </c>
      <c r="N283" s="33">
        <f>IF(INVESTORS_LIST[[#This Row],[SIP_TOTAL UNITS BUY]]=0,0,INVESTORS_LIST[[#This Row],[SIP_TOTAL UNITS BUY]]-INVESTORS_LIST[[#This Row],[SIP_TOTAL UNITS SOLD]])</f>
        <v>0</v>
      </c>
      <c r="O283" s="4">
        <f>IF(INVESTORS_LIST[[#This Row],[SIP_TOTAL UNITS BUY]]=0,0,SUMIFS(SIP[Amount],SIP[Investor ID],INVESTORS_LIST[[#This Row],[INVESTOR CODE]],SIP[B/S],"B"))</f>
        <v>0</v>
      </c>
      <c r="P283" s="4">
        <f>IF(INVESTORS_LIST[[#This Row],[SIP_TOTAL UNITS SOLD]]=0,0,SUMIFS(SIP[Cost of Units Sold],SIP[Investor ID],INVESTORS_LIST[[#This Row],[INVESTOR CODE]],SIP[B/S],"S"))</f>
        <v>0</v>
      </c>
      <c r="Q283" s="6">
        <f>IF(INVESTORS_LIST[[#This Row],[SIP_TOTAL CURRENT UNITS]]=0,0,INVESTORS_LIST[[#This Row],[SIP_TOTAL CURRENT UNITS]]*INVESTORS_LIST[[#This Row],[SIP_AVERAGE COST]])</f>
        <v>0</v>
      </c>
      <c r="R283" s="6">
        <f>IF(INVESTORS_LIST[[#This Row],[SIP_TOTAL UNITS SOLD]]=0,0,SUMIFS(SIP[Realized Gain],SIP[Investor ID],INVESTORS_LIST[[#This Row],[INVESTOR CODE]],SIP[B/S],"S"))</f>
        <v>0</v>
      </c>
      <c r="S283" s="33">
        <f>INVESTORS_LIST[[#This Row],[LS_TOTAL UNITS BUY]]+INVESTORS_LIST[[#This Row],[SIP_TOTAL UNITS BUY]]</f>
        <v>0</v>
      </c>
      <c r="T283" s="33">
        <f>INVESTORS_LIST[[#This Row],[LS_TOTAL UNITS SOLD]]+INVESTORS_LIST[[#This Row],[SIP_TOTAL UNITS SOLD]]</f>
        <v>0</v>
      </c>
      <c r="U283" s="33">
        <v>0</v>
      </c>
      <c r="V283" s="33">
        <f>SUMIFS(LS[BO UNIT TRANSFER],LS[Investor ID],INVESTORS_LIST[[#This Row],[INVESTOR CODE]],LS[B/S],"B")</f>
        <v>0</v>
      </c>
      <c r="W283" s="33">
        <f>SUMIFS(LS[BO UNIT TRANSFER],LS[Investor ID],INVESTORS_LIST[[#This Row],[INVESTOR CODE]],LS[B/S],"S")</f>
        <v>0</v>
      </c>
      <c r="X283" s="33">
        <f>SUMIFS(SIP[BO UNIT TRANSFER],SIP[Investor ID],INVESTORS_LIST[[#This Row],[INVESTOR CODE]],SIP[B/S],"S")</f>
        <v>0</v>
      </c>
      <c r="Y283" s="33">
        <f>SUMIFS(SIP[BO UNIT TRANSFER],SIP[Investor ID],INVESTORS_LIST[[#This Row],[INVESTOR CODE]],SIP[B/S],"B")</f>
        <v>0</v>
      </c>
      <c r="Z28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83" s="119">
        <f>INVESTORS_LIST[[#This Row],[TOTAL UNITS BUY]]-INVESTORS_LIST[[#This Row],[TOTAL UNITS SOLD]]</f>
        <v>0</v>
      </c>
      <c r="AB283" s="119">
        <f>INVESTORS_LIST[[#This Row],[TOTAL CURRENT UNITS]]-INVESTORS_LIST[[#This Row],[BO UNITS HOLD]]</f>
        <v>0</v>
      </c>
      <c r="AC283" s="119" t="e">
        <f>INDEX([4]!Table_1[BO ID],MATCH(INVESTORS_LIST[[#This Row],[INVESTOR CODE]],[4]!Table_1[INVESTOR CODE],0))</f>
        <v>#REF!</v>
      </c>
      <c r="AD283" s="33">
        <f>INVESTORS_LIST[[#This Row],[LS_TOTAL COST VALUE OF CURRENT UNITS]]+INVESTORS_LIST[[#This Row],[SIP_TOTAL COST VALUE OF CURRENT UNITS]]</f>
        <v>0</v>
      </c>
      <c r="AE283" s="44">
        <f>IF(INVESTORS_LIST[[#This Row],[TOTAL CURRENT UNITS]]=0,0,INVESTORS_LIST[[#This Row],[LS_TOTAL CURRENT UNITS]]/INVESTORS_LIST[[#This Row],[TOTAL CURRENT UNITS]])</f>
        <v>0</v>
      </c>
      <c r="AF283" s="44">
        <f>IF(INVESTORS_LIST[[#This Row],[TOTAL CURRENT UNITS]]=0,0,INVESTORS_LIST[[#This Row],[SIP_TOTAL CURRENT UNITS]]/INVESTORS_LIST[[#This Row],[TOTAL CURRENT UNITS]])</f>
        <v>0</v>
      </c>
      <c r="AG283" s="4" cm="1">
        <f t="array" ref="AG28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83" s="4" cm="1">
        <f t="array" ref="AH28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8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83" s="178">
        <f t="shared" si="4"/>
        <v>12.552</v>
      </c>
      <c r="AK283" s="118">
        <f>IF(INVESTORS_LIST[[#This Row],[TOTAL CURRENT UNITS]]=0,0,INVESTORS_LIST[[#This Row],[TOTAL CURRENT UNITS]]*INVESTORS_LIST[[#This Row],[NAV]])</f>
        <v>0</v>
      </c>
      <c r="AL283" s="4">
        <f>IF(INVESTORS_LIST[[#This Row],[LS_TOTAL CURRENT UNITS]]=0,0,INVESTORS_LIST[[#This Row],[LS_TOTAL CURRENT UNITS]]*INVESTORS_LIST[[#This Row],[NAV]])</f>
        <v>0</v>
      </c>
      <c r="AM283" s="6">
        <f>IF(INVESTORS_LIST[[#This Row],[SIP_TOTAL CURRENT UNITS]]=0,0,INVESTORS_LIST[[#This Row],[SIP_TOTAL CURRENT UNITS]]*INVESTORS_LIST[[#This Row],[NAV]])</f>
        <v>0</v>
      </c>
      <c r="AO283" s="6">
        <f>IF(INVESTORS_LIST[[#This Row],[TOTAL SELLABLE UNITS]]=0,0,INVESTORS_LIST[[#This Row],[TOTAL SELLABLE UNITS]]*INVESTORS_LIST[[#This Row],[NAV]])</f>
        <v>0</v>
      </c>
      <c r="AP283" s="6">
        <f>INVESTORS_LIST[[#This Row],[LS_TOTAL REALIZED GAIN]]+INVESTORS_LIST[[#This Row],[SIP_TOTAL REALIZED GAIN]]</f>
        <v>0</v>
      </c>
      <c r="AQ283" s="6">
        <f>INVESTORS_LIST[[#This Row],[TOTAL MARKET VALUE]]-INVESTORS_LIST[[#This Row],[TOTAL COST VALUE OF CURRENT INVESTMENT]]</f>
        <v>0</v>
      </c>
      <c r="AR283" s="6">
        <f>SUMIFS(DivAndTax[Tax Amount],DivAndTax[Investor ID],INVESTORS_LIST[[#This Row],[INVESTOR CODE]])</f>
        <v>0</v>
      </c>
      <c r="AS283" s="6">
        <f>SUMIFS(DivAndTax[Gross Dividend],DivAndTax[Investor ID],INVESTORS_LIST[[#This Row],[INVESTOR CODE]])</f>
        <v>0</v>
      </c>
      <c r="AT283" s="5">
        <f>IFERROR(INVESTORS_LIST[[#This Row],[TOTAL CURRENT UNITS]]/SUM(INVESTORS_LIST[TOTAL CURRENT UNITS]),0)</f>
        <v>0</v>
      </c>
    </row>
    <row r="284" spans="1:46" hidden="1">
      <c r="A284" t="s">
        <v>425</v>
      </c>
      <c r="B284" t="s">
        <v>426</v>
      </c>
      <c r="C284" t="s">
        <v>536</v>
      </c>
      <c r="D284" s="8" t="s">
        <v>2</v>
      </c>
      <c r="E284" s="2">
        <f>SUMIFS(LS[Unit],LS[Investor ID],INVESTORS_LIST[[#This Row],[INVESTOR CODE]],LS[B/S],"B")</f>
        <v>0</v>
      </c>
      <c r="F284" s="2">
        <f>-SUMIFS(LS[Unit],LS[Investor ID],INVESTORS_LIST[[#This Row],[INVESTOR CODE]],LS[B/S],"S")</f>
        <v>0</v>
      </c>
      <c r="G284" s="2">
        <f>IF(INVESTORS_LIST[[#This Row],[LS_TOTAL UNITS BUY]]=0,0,INVESTORS_LIST[[#This Row],[LS_TOTAL UNITS BUY]]-INVESTORS_LIST[[#This Row],[LS_TOTAL UNITS SOLD]])</f>
        <v>0</v>
      </c>
      <c r="H284" s="4">
        <f>IF(INVESTORS_LIST[[#This Row],[LS_TOTAL UNITS BUY]]=0,0,SUMIFS(LS[Amount],LS[Investor ID],INVESTORS_LIST[[#This Row],[INVESTOR CODE]],LS[B/S],"B"))</f>
        <v>0</v>
      </c>
      <c r="I284" s="6">
        <f>IF(INVESTORS_LIST[[#This Row],[LS_TOTAL UNITS SOLD]]=0,0,SUMIFS(LS[Cost of Units Sold],LS[Investor ID],INVESTORS_LIST[[#This Row],[INVESTOR CODE]],LS[B/S],"S"))</f>
        <v>0</v>
      </c>
      <c r="J284" s="6">
        <f>IF(INVESTORS_LIST[[#This Row],[LS_TOTAL CURRENT UNITS]]=0,0,INVESTORS_LIST[[#This Row],[LS_TOTAL CURRENT UNITS]]*INVESTORS_LIST[[#This Row],[LS_AVERAGE COST]])</f>
        <v>0</v>
      </c>
      <c r="K284" s="4">
        <f>IF(INVESTORS_LIST[[#This Row],[LS_TOTAL UNITS SOLD]]=0,0,SUMIFS(LS[Realized Gain],LS[Investor ID],INVESTORS_LIST[[#This Row],[INVESTOR CODE]],LS[B/S],"S"))</f>
        <v>0</v>
      </c>
      <c r="L284" s="2">
        <f>SUMIFS(SIP[Unit],SIP[Investor ID],INVESTORS_LIST[[#This Row],[INVESTOR CODE]],SIP[B/S],"B")</f>
        <v>0</v>
      </c>
      <c r="M284" s="2">
        <f>-SUMIFS(SIP[Unit],SIP[Investor ID],INVESTORS_LIST[[#This Row],[INVESTOR CODE]],SIP[B/S],"S")</f>
        <v>0</v>
      </c>
      <c r="N284" s="33">
        <f>IF(INVESTORS_LIST[[#This Row],[SIP_TOTAL UNITS BUY]]=0,0,INVESTORS_LIST[[#This Row],[SIP_TOTAL UNITS BUY]]-INVESTORS_LIST[[#This Row],[SIP_TOTAL UNITS SOLD]])</f>
        <v>0</v>
      </c>
      <c r="O284" s="4">
        <f>IF(INVESTORS_LIST[[#This Row],[SIP_TOTAL UNITS BUY]]=0,0,SUMIFS(SIP[Amount],SIP[Investor ID],INVESTORS_LIST[[#This Row],[INVESTOR CODE]],SIP[B/S],"B"))</f>
        <v>0</v>
      </c>
      <c r="P284" s="4">
        <f>IF(INVESTORS_LIST[[#This Row],[SIP_TOTAL UNITS SOLD]]=0,0,SUMIFS(SIP[Cost of Units Sold],SIP[Investor ID],INVESTORS_LIST[[#This Row],[INVESTOR CODE]],SIP[B/S],"S"))</f>
        <v>0</v>
      </c>
      <c r="Q284" s="6">
        <f>IF(INVESTORS_LIST[[#This Row],[SIP_TOTAL CURRENT UNITS]]=0,0,INVESTORS_LIST[[#This Row],[SIP_TOTAL CURRENT UNITS]]*INVESTORS_LIST[[#This Row],[SIP_AVERAGE COST]])</f>
        <v>0</v>
      </c>
      <c r="R284" s="6">
        <f>IF(INVESTORS_LIST[[#This Row],[SIP_TOTAL UNITS SOLD]]=0,0,SUMIFS(SIP[Realized Gain],SIP[Investor ID],INVESTORS_LIST[[#This Row],[INVESTOR CODE]],SIP[B/S],"S"))</f>
        <v>0</v>
      </c>
      <c r="S284" s="33">
        <f>INVESTORS_LIST[[#This Row],[LS_TOTAL UNITS BUY]]+INVESTORS_LIST[[#This Row],[SIP_TOTAL UNITS BUY]]</f>
        <v>0</v>
      </c>
      <c r="T284" s="33">
        <f>INVESTORS_LIST[[#This Row],[LS_TOTAL UNITS SOLD]]+INVESTORS_LIST[[#This Row],[SIP_TOTAL UNITS SOLD]]</f>
        <v>0</v>
      </c>
      <c r="U284" s="33">
        <v>0</v>
      </c>
      <c r="V284" s="33">
        <f>SUMIFS(LS[BO UNIT TRANSFER],LS[Investor ID],INVESTORS_LIST[[#This Row],[INVESTOR CODE]],LS[B/S],"B")</f>
        <v>0</v>
      </c>
      <c r="W284" s="33">
        <f>SUMIFS(LS[BO UNIT TRANSFER],LS[Investor ID],INVESTORS_LIST[[#This Row],[INVESTOR CODE]],LS[B/S],"S")</f>
        <v>0</v>
      </c>
      <c r="X284" s="33">
        <f>SUMIFS(SIP[BO UNIT TRANSFER],SIP[Investor ID],INVESTORS_LIST[[#This Row],[INVESTOR CODE]],SIP[B/S],"S")</f>
        <v>0</v>
      </c>
      <c r="Y284" s="33">
        <f>SUMIFS(SIP[BO UNIT TRANSFER],SIP[Investor ID],INVESTORS_LIST[[#This Row],[INVESTOR CODE]],SIP[B/S],"B")</f>
        <v>0</v>
      </c>
      <c r="Z28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84" s="119">
        <f>INVESTORS_LIST[[#This Row],[TOTAL UNITS BUY]]-INVESTORS_LIST[[#This Row],[TOTAL UNITS SOLD]]</f>
        <v>0</v>
      </c>
      <c r="AB284" s="119">
        <f>INVESTORS_LIST[[#This Row],[TOTAL CURRENT UNITS]]-INVESTORS_LIST[[#This Row],[BO UNITS HOLD]]</f>
        <v>0</v>
      </c>
      <c r="AC284" s="119" t="e">
        <f>INDEX([4]!Table_1[BO ID],MATCH(INVESTORS_LIST[[#This Row],[INVESTOR CODE]],[4]!Table_1[INVESTOR CODE],0))</f>
        <v>#REF!</v>
      </c>
      <c r="AD284" s="33">
        <f>INVESTORS_LIST[[#This Row],[LS_TOTAL COST VALUE OF CURRENT UNITS]]+INVESTORS_LIST[[#This Row],[SIP_TOTAL COST VALUE OF CURRENT UNITS]]</f>
        <v>0</v>
      </c>
      <c r="AE284" s="44">
        <f>IF(INVESTORS_LIST[[#This Row],[TOTAL CURRENT UNITS]]=0,0,INVESTORS_LIST[[#This Row],[LS_TOTAL CURRENT UNITS]]/INVESTORS_LIST[[#This Row],[TOTAL CURRENT UNITS]])</f>
        <v>0</v>
      </c>
      <c r="AF284" s="44">
        <f>IF(INVESTORS_LIST[[#This Row],[TOTAL CURRENT UNITS]]=0,0,INVESTORS_LIST[[#This Row],[SIP_TOTAL CURRENT UNITS]]/INVESTORS_LIST[[#This Row],[TOTAL CURRENT UNITS]])</f>
        <v>0</v>
      </c>
      <c r="AG284" s="4" cm="1">
        <f t="array" ref="AG28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84" s="4" cm="1">
        <f t="array" ref="AH2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8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84" s="178">
        <f t="shared" si="4"/>
        <v>12.552</v>
      </c>
      <c r="AK284" s="118">
        <f>IF(INVESTORS_LIST[[#This Row],[TOTAL CURRENT UNITS]]=0,0,INVESTORS_LIST[[#This Row],[TOTAL CURRENT UNITS]]*INVESTORS_LIST[[#This Row],[NAV]])</f>
        <v>0</v>
      </c>
      <c r="AL284" s="4">
        <f>IF(INVESTORS_LIST[[#This Row],[LS_TOTAL CURRENT UNITS]]=0,0,INVESTORS_LIST[[#This Row],[LS_TOTAL CURRENT UNITS]]*INVESTORS_LIST[[#This Row],[NAV]])</f>
        <v>0</v>
      </c>
      <c r="AM284" s="6">
        <f>IF(INVESTORS_LIST[[#This Row],[SIP_TOTAL CURRENT UNITS]]=0,0,INVESTORS_LIST[[#This Row],[SIP_TOTAL CURRENT UNITS]]*INVESTORS_LIST[[#This Row],[NAV]])</f>
        <v>0</v>
      </c>
      <c r="AO284" s="6">
        <f>IF(INVESTORS_LIST[[#This Row],[TOTAL SELLABLE UNITS]]=0,0,INVESTORS_LIST[[#This Row],[TOTAL SELLABLE UNITS]]*INVESTORS_LIST[[#This Row],[NAV]])</f>
        <v>0</v>
      </c>
      <c r="AP284" s="6">
        <f>INVESTORS_LIST[[#This Row],[LS_TOTAL REALIZED GAIN]]+INVESTORS_LIST[[#This Row],[SIP_TOTAL REALIZED GAIN]]</f>
        <v>0</v>
      </c>
      <c r="AQ284" s="6">
        <f>INVESTORS_LIST[[#This Row],[TOTAL MARKET VALUE]]-INVESTORS_LIST[[#This Row],[TOTAL COST VALUE OF CURRENT INVESTMENT]]</f>
        <v>0</v>
      </c>
      <c r="AR284" s="6">
        <f>SUMIFS(DivAndTax[Tax Amount],DivAndTax[Investor ID],INVESTORS_LIST[[#This Row],[INVESTOR CODE]])</f>
        <v>0</v>
      </c>
      <c r="AS284" s="6">
        <f>SUMIFS(DivAndTax[Gross Dividend],DivAndTax[Investor ID],INVESTORS_LIST[[#This Row],[INVESTOR CODE]])</f>
        <v>0</v>
      </c>
      <c r="AT284" s="5">
        <f>IFERROR(INVESTORS_LIST[[#This Row],[TOTAL CURRENT UNITS]]/SUM(INVESTORS_LIST[TOTAL CURRENT UNITS]),0)</f>
        <v>0</v>
      </c>
    </row>
    <row r="285" spans="1:46" hidden="1">
      <c r="A285" t="s">
        <v>427</v>
      </c>
      <c r="B285" t="s">
        <v>428</v>
      </c>
      <c r="C285" t="s">
        <v>541</v>
      </c>
      <c r="D285" s="8" t="s">
        <v>2</v>
      </c>
      <c r="E285" s="2">
        <f>SUMIFS(LS[Unit],LS[Investor ID],INVESTORS_LIST[[#This Row],[INVESTOR CODE]],LS[B/S],"B")</f>
        <v>0</v>
      </c>
      <c r="F285" s="2">
        <f>-SUMIFS(LS[Unit],LS[Investor ID],INVESTORS_LIST[[#This Row],[INVESTOR CODE]],LS[B/S],"S")</f>
        <v>0</v>
      </c>
      <c r="G285" s="2">
        <f>IF(INVESTORS_LIST[[#This Row],[LS_TOTAL UNITS BUY]]=0,0,INVESTORS_LIST[[#This Row],[LS_TOTAL UNITS BUY]]-INVESTORS_LIST[[#This Row],[LS_TOTAL UNITS SOLD]])</f>
        <v>0</v>
      </c>
      <c r="H285" s="4">
        <f>IF(INVESTORS_LIST[[#This Row],[LS_TOTAL UNITS BUY]]=0,0,SUMIFS(LS[Amount],LS[Investor ID],INVESTORS_LIST[[#This Row],[INVESTOR CODE]],LS[B/S],"B"))</f>
        <v>0</v>
      </c>
      <c r="I285" s="6">
        <f>IF(INVESTORS_LIST[[#This Row],[LS_TOTAL UNITS SOLD]]=0,0,SUMIFS(LS[Cost of Units Sold],LS[Investor ID],INVESTORS_LIST[[#This Row],[INVESTOR CODE]],LS[B/S],"S"))</f>
        <v>0</v>
      </c>
      <c r="J285" s="6">
        <f>IF(INVESTORS_LIST[[#This Row],[LS_TOTAL CURRENT UNITS]]=0,0,INVESTORS_LIST[[#This Row],[LS_TOTAL CURRENT UNITS]]*INVESTORS_LIST[[#This Row],[LS_AVERAGE COST]])</f>
        <v>0</v>
      </c>
      <c r="K285" s="4">
        <f>IF(INVESTORS_LIST[[#This Row],[LS_TOTAL UNITS SOLD]]=0,0,SUMIFS(LS[Realized Gain],LS[Investor ID],INVESTORS_LIST[[#This Row],[INVESTOR CODE]],LS[B/S],"S"))</f>
        <v>0</v>
      </c>
      <c r="L285" s="2">
        <f>SUMIFS(SIP[Unit],SIP[Investor ID],INVESTORS_LIST[[#This Row],[INVESTOR CODE]],SIP[B/S],"B")</f>
        <v>0</v>
      </c>
      <c r="M285" s="2">
        <f>-SUMIFS(SIP[Unit],SIP[Investor ID],INVESTORS_LIST[[#This Row],[INVESTOR CODE]],SIP[B/S],"S")</f>
        <v>0</v>
      </c>
      <c r="N285" s="33">
        <f>IF(INVESTORS_LIST[[#This Row],[SIP_TOTAL UNITS BUY]]=0,0,INVESTORS_LIST[[#This Row],[SIP_TOTAL UNITS BUY]]-INVESTORS_LIST[[#This Row],[SIP_TOTAL UNITS SOLD]])</f>
        <v>0</v>
      </c>
      <c r="O285" s="4">
        <f>IF(INVESTORS_LIST[[#This Row],[SIP_TOTAL UNITS BUY]]=0,0,SUMIFS(SIP[Amount],SIP[Investor ID],INVESTORS_LIST[[#This Row],[INVESTOR CODE]],SIP[B/S],"B"))</f>
        <v>0</v>
      </c>
      <c r="P285" s="4">
        <f>IF(INVESTORS_LIST[[#This Row],[SIP_TOTAL UNITS SOLD]]=0,0,SUMIFS(SIP[Cost of Units Sold],SIP[Investor ID],INVESTORS_LIST[[#This Row],[INVESTOR CODE]],SIP[B/S],"S"))</f>
        <v>0</v>
      </c>
      <c r="Q285" s="6">
        <f>IF(INVESTORS_LIST[[#This Row],[SIP_TOTAL CURRENT UNITS]]=0,0,INVESTORS_LIST[[#This Row],[SIP_TOTAL CURRENT UNITS]]*INVESTORS_LIST[[#This Row],[SIP_AVERAGE COST]])</f>
        <v>0</v>
      </c>
      <c r="R285" s="6">
        <f>IF(INVESTORS_LIST[[#This Row],[SIP_TOTAL UNITS SOLD]]=0,0,SUMIFS(SIP[Realized Gain],SIP[Investor ID],INVESTORS_LIST[[#This Row],[INVESTOR CODE]],SIP[B/S],"S"))</f>
        <v>0</v>
      </c>
      <c r="S285" s="33">
        <f>INVESTORS_LIST[[#This Row],[LS_TOTAL UNITS BUY]]+INVESTORS_LIST[[#This Row],[SIP_TOTAL UNITS BUY]]</f>
        <v>0</v>
      </c>
      <c r="T285" s="33">
        <f>INVESTORS_LIST[[#This Row],[LS_TOTAL UNITS SOLD]]+INVESTORS_LIST[[#This Row],[SIP_TOTAL UNITS SOLD]]</f>
        <v>0</v>
      </c>
      <c r="U285" s="33">
        <v>0</v>
      </c>
      <c r="V285" s="33">
        <f>SUMIFS(LS[BO UNIT TRANSFER],LS[Investor ID],INVESTORS_LIST[[#This Row],[INVESTOR CODE]],LS[B/S],"B")</f>
        <v>0</v>
      </c>
      <c r="W285" s="33">
        <f>SUMIFS(LS[BO UNIT TRANSFER],LS[Investor ID],INVESTORS_LIST[[#This Row],[INVESTOR CODE]],LS[B/S],"S")</f>
        <v>0</v>
      </c>
      <c r="X285" s="33">
        <f>SUMIFS(SIP[BO UNIT TRANSFER],SIP[Investor ID],INVESTORS_LIST[[#This Row],[INVESTOR CODE]],SIP[B/S],"S")</f>
        <v>0</v>
      </c>
      <c r="Y285" s="33">
        <f>SUMIFS(SIP[BO UNIT TRANSFER],SIP[Investor ID],INVESTORS_LIST[[#This Row],[INVESTOR CODE]],SIP[B/S],"B")</f>
        <v>0</v>
      </c>
      <c r="Z28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85" s="119">
        <f>INVESTORS_LIST[[#This Row],[TOTAL UNITS BUY]]-INVESTORS_LIST[[#This Row],[TOTAL UNITS SOLD]]</f>
        <v>0</v>
      </c>
      <c r="AB285" s="119">
        <f>INVESTORS_LIST[[#This Row],[TOTAL CURRENT UNITS]]-INVESTORS_LIST[[#This Row],[BO UNITS HOLD]]</f>
        <v>0</v>
      </c>
      <c r="AC285" s="119" t="e">
        <f>INDEX([4]!Table_1[BO ID],MATCH(INVESTORS_LIST[[#This Row],[INVESTOR CODE]],[4]!Table_1[INVESTOR CODE],0))</f>
        <v>#REF!</v>
      </c>
      <c r="AD285" s="33">
        <f>INVESTORS_LIST[[#This Row],[LS_TOTAL COST VALUE OF CURRENT UNITS]]+INVESTORS_LIST[[#This Row],[SIP_TOTAL COST VALUE OF CURRENT UNITS]]</f>
        <v>0</v>
      </c>
      <c r="AE285" s="44">
        <f>IF(INVESTORS_LIST[[#This Row],[TOTAL CURRENT UNITS]]=0,0,INVESTORS_LIST[[#This Row],[LS_TOTAL CURRENT UNITS]]/INVESTORS_LIST[[#This Row],[TOTAL CURRENT UNITS]])</f>
        <v>0</v>
      </c>
      <c r="AF285" s="44">
        <f>IF(INVESTORS_LIST[[#This Row],[TOTAL CURRENT UNITS]]=0,0,INVESTORS_LIST[[#This Row],[SIP_TOTAL CURRENT UNITS]]/INVESTORS_LIST[[#This Row],[TOTAL CURRENT UNITS]])</f>
        <v>0</v>
      </c>
      <c r="AG285" s="4" cm="1">
        <f t="array" ref="AG2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85" s="4" cm="1">
        <f t="array" ref="AH28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8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85" s="178">
        <f t="shared" si="4"/>
        <v>12.552</v>
      </c>
      <c r="AK285" s="118">
        <f>IF(INVESTORS_LIST[[#This Row],[TOTAL CURRENT UNITS]]=0,0,INVESTORS_LIST[[#This Row],[TOTAL CURRENT UNITS]]*INVESTORS_LIST[[#This Row],[NAV]])</f>
        <v>0</v>
      </c>
      <c r="AL285" s="4">
        <f>IF(INVESTORS_LIST[[#This Row],[LS_TOTAL CURRENT UNITS]]=0,0,INVESTORS_LIST[[#This Row],[LS_TOTAL CURRENT UNITS]]*INVESTORS_LIST[[#This Row],[NAV]])</f>
        <v>0</v>
      </c>
      <c r="AM285" s="6">
        <f>IF(INVESTORS_LIST[[#This Row],[SIP_TOTAL CURRENT UNITS]]=0,0,INVESTORS_LIST[[#This Row],[SIP_TOTAL CURRENT UNITS]]*INVESTORS_LIST[[#This Row],[NAV]])</f>
        <v>0</v>
      </c>
      <c r="AO285" s="6">
        <f>IF(INVESTORS_LIST[[#This Row],[TOTAL SELLABLE UNITS]]=0,0,INVESTORS_LIST[[#This Row],[TOTAL SELLABLE UNITS]]*INVESTORS_LIST[[#This Row],[NAV]])</f>
        <v>0</v>
      </c>
      <c r="AP285" s="6">
        <f>INVESTORS_LIST[[#This Row],[LS_TOTAL REALIZED GAIN]]+INVESTORS_LIST[[#This Row],[SIP_TOTAL REALIZED GAIN]]</f>
        <v>0</v>
      </c>
      <c r="AQ285" s="6">
        <f>INVESTORS_LIST[[#This Row],[TOTAL MARKET VALUE]]-INVESTORS_LIST[[#This Row],[TOTAL COST VALUE OF CURRENT INVESTMENT]]</f>
        <v>0</v>
      </c>
      <c r="AR285" s="6">
        <f>SUMIFS(DivAndTax[Tax Amount],DivAndTax[Investor ID],INVESTORS_LIST[[#This Row],[INVESTOR CODE]])</f>
        <v>0</v>
      </c>
      <c r="AS285" s="6">
        <f>SUMIFS(DivAndTax[Gross Dividend],DivAndTax[Investor ID],INVESTORS_LIST[[#This Row],[INVESTOR CODE]])</f>
        <v>0</v>
      </c>
      <c r="AT285" s="5">
        <f>IFERROR(INVESTORS_LIST[[#This Row],[TOTAL CURRENT UNITS]]/SUM(INVESTORS_LIST[TOTAL CURRENT UNITS]),0)</f>
        <v>0</v>
      </c>
    </row>
    <row r="286" spans="1:46" hidden="1">
      <c r="A286" t="s">
        <v>429</v>
      </c>
      <c r="B286" t="s">
        <v>430</v>
      </c>
      <c r="C286" t="s">
        <v>536</v>
      </c>
      <c r="D286" s="8" t="s">
        <v>2</v>
      </c>
      <c r="E286" s="2">
        <f>SUMIFS(LS[Unit],LS[Investor ID],INVESTORS_LIST[[#This Row],[INVESTOR CODE]],LS[B/S],"B")</f>
        <v>0</v>
      </c>
      <c r="F286" s="2">
        <f>-SUMIFS(LS[Unit],LS[Investor ID],INVESTORS_LIST[[#This Row],[INVESTOR CODE]],LS[B/S],"S")</f>
        <v>0</v>
      </c>
      <c r="G286" s="2">
        <f>IF(INVESTORS_LIST[[#This Row],[LS_TOTAL UNITS BUY]]=0,0,INVESTORS_LIST[[#This Row],[LS_TOTAL UNITS BUY]]-INVESTORS_LIST[[#This Row],[LS_TOTAL UNITS SOLD]])</f>
        <v>0</v>
      </c>
      <c r="H286" s="4">
        <f>IF(INVESTORS_LIST[[#This Row],[LS_TOTAL UNITS BUY]]=0,0,SUMIFS(LS[Amount],LS[Investor ID],INVESTORS_LIST[[#This Row],[INVESTOR CODE]],LS[B/S],"B"))</f>
        <v>0</v>
      </c>
      <c r="I286" s="6">
        <f>IF(INVESTORS_LIST[[#This Row],[LS_TOTAL UNITS SOLD]]=0,0,SUMIFS(LS[Cost of Units Sold],LS[Investor ID],INVESTORS_LIST[[#This Row],[INVESTOR CODE]],LS[B/S],"S"))</f>
        <v>0</v>
      </c>
      <c r="J286" s="6">
        <f>IF(INVESTORS_LIST[[#This Row],[LS_TOTAL CURRENT UNITS]]=0,0,INVESTORS_LIST[[#This Row],[LS_TOTAL CURRENT UNITS]]*INVESTORS_LIST[[#This Row],[LS_AVERAGE COST]])</f>
        <v>0</v>
      </c>
      <c r="K286" s="4">
        <f>IF(INVESTORS_LIST[[#This Row],[LS_TOTAL UNITS SOLD]]=0,0,SUMIFS(LS[Realized Gain],LS[Investor ID],INVESTORS_LIST[[#This Row],[INVESTOR CODE]],LS[B/S],"S"))</f>
        <v>0</v>
      </c>
      <c r="L286" s="2">
        <f>SUMIFS(SIP[Unit],SIP[Investor ID],INVESTORS_LIST[[#This Row],[INVESTOR CODE]],SIP[B/S],"B")</f>
        <v>0</v>
      </c>
      <c r="M286" s="2">
        <f>-SUMIFS(SIP[Unit],SIP[Investor ID],INVESTORS_LIST[[#This Row],[INVESTOR CODE]],SIP[B/S],"S")</f>
        <v>0</v>
      </c>
      <c r="N286" s="33">
        <f>IF(INVESTORS_LIST[[#This Row],[SIP_TOTAL UNITS BUY]]=0,0,INVESTORS_LIST[[#This Row],[SIP_TOTAL UNITS BUY]]-INVESTORS_LIST[[#This Row],[SIP_TOTAL UNITS SOLD]])</f>
        <v>0</v>
      </c>
      <c r="O286" s="4">
        <f>IF(INVESTORS_LIST[[#This Row],[SIP_TOTAL UNITS BUY]]=0,0,SUMIFS(SIP[Amount],SIP[Investor ID],INVESTORS_LIST[[#This Row],[INVESTOR CODE]],SIP[B/S],"B"))</f>
        <v>0</v>
      </c>
      <c r="P286" s="4">
        <f>IF(INVESTORS_LIST[[#This Row],[SIP_TOTAL UNITS SOLD]]=0,0,SUMIFS(SIP[Cost of Units Sold],SIP[Investor ID],INVESTORS_LIST[[#This Row],[INVESTOR CODE]],SIP[B/S],"S"))</f>
        <v>0</v>
      </c>
      <c r="Q286" s="6">
        <f>IF(INVESTORS_LIST[[#This Row],[SIP_TOTAL CURRENT UNITS]]=0,0,INVESTORS_LIST[[#This Row],[SIP_TOTAL CURRENT UNITS]]*INVESTORS_LIST[[#This Row],[SIP_AVERAGE COST]])</f>
        <v>0</v>
      </c>
      <c r="R286" s="6">
        <f>IF(INVESTORS_LIST[[#This Row],[SIP_TOTAL UNITS SOLD]]=0,0,SUMIFS(SIP[Realized Gain],SIP[Investor ID],INVESTORS_LIST[[#This Row],[INVESTOR CODE]],SIP[B/S],"S"))</f>
        <v>0</v>
      </c>
      <c r="S286" s="33">
        <f>INVESTORS_LIST[[#This Row],[LS_TOTAL UNITS BUY]]+INVESTORS_LIST[[#This Row],[SIP_TOTAL UNITS BUY]]</f>
        <v>0</v>
      </c>
      <c r="T286" s="33">
        <f>INVESTORS_LIST[[#This Row],[LS_TOTAL UNITS SOLD]]+INVESTORS_LIST[[#This Row],[SIP_TOTAL UNITS SOLD]]</f>
        <v>0</v>
      </c>
      <c r="U286" s="33">
        <v>0</v>
      </c>
      <c r="V286" s="33">
        <f>SUMIFS(LS[BO UNIT TRANSFER],LS[Investor ID],INVESTORS_LIST[[#This Row],[INVESTOR CODE]],LS[B/S],"B")</f>
        <v>0</v>
      </c>
      <c r="W286" s="33">
        <f>SUMIFS(LS[BO UNIT TRANSFER],LS[Investor ID],INVESTORS_LIST[[#This Row],[INVESTOR CODE]],LS[B/S],"S")</f>
        <v>0</v>
      </c>
      <c r="X286" s="33">
        <f>SUMIFS(SIP[BO UNIT TRANSFER],SIP[Investor ID],INVESTORS_LIST[[#This Row],[INVESTOR CODE]],SIP[B/S],"S")</f>
        <v>0</v>
      </c>
      <c r="Y286" s="33">
        <f>SUMIFS(SIP[BO UNIT TRANSFER],SIP[Investor ID],INVESTORS_LIST[[#This Row],[INVESTOR CODE]],SIP[B/S],"B")</f>
        <v>0</v>
      </c>
      <c r="Z28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86" s="119">
        <f>INVESTORS_LIST[[#This Row],[TOTAL UNITS BUY]]-INVESTORS_LIST[[#This Row],[TOTAL UNITS SOLD]]</f>
        <v>0</v>
      </c>
      <c r="AB286" s="119">
        <f>INVESTORS_LIST[[#This Row],[TOTAL CURRENT UNITS]]-INVESTORS_LIST[[#This Row],[BO UNITS HOLD]]</f>
        <v>0</v>
      </c>
      <c r="AC286" s="119" t="e">
        <f>INDEX([4]!Table_1[BO ID],MATCH(INVESTORS_LIST[[#This Row],[INVESTOR CODE]],[4]!Table_1[INVESTOR CODE],0))</f>
        <v>#REF!</v>
      </c>
      <c r="AD286" s="33">
        <f>INVESTORS_LIST[[#This Row],[LS_TOTAL COST VALUE OF CURRENT UNITS]]+INVESTORS_LIST[[#This Row],[SIP_TOTAL COST VALUE OF CURRENT UNITS]]</f>
        <v>0</v>
      </c>
      <c r="AE286" s="44">
        <f>IF(INVESTORS_LIST[[#This Row],[TOTAL CURRENT UNITS]]=0,0,INVESTORS_LIST[[#This Row],[LS_TOTAL CURRENT UNITS]]/INVESTORS_LIST[[#This Row],[TOTAL CURRENT UNITS]])</f>
        <v>0</v>
      </c>
      <c r="AF286" s="44">
        <f>IF(INVESTORS_LIST[[#This Row],[TOTAL CURRENT UNITS]]=0,0,INVESTORS_LIST[[#This Row],[SIP_TOTAL CURRENT UNITS]]/INVESTORS_LIST[[#This Row],[TOTAL CURRENT UNITS]])</f>
        <v>0</v>
      </c>
      <c r="AG286" s="4" cm="1">
        <f t="array" ref="AG2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86" s="4" cm="1">
        <f t="array" ref="AH28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8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86" s="178">
        <f t="shared" si="4"/>
        <v>12.552</v>
      </c>
      <c r="AK286" s="118">
        <f>IF(INVESTORS_LIST[[#This Row],[TOTAL CURRENT UNITS]]=0,0,INVESTORS_LIST[[#This Row],[TOTAL CURRENT UNITS]]*INVESTORS_LIST[[#This Row],[NAV]])</f>
        <v>0</v>
      </c>
      <c r="AL286" s="4">
        <f>IF(INVESTORS_LIST[[#This Row],[LS_TOTAL CURRENT UNITS]]=0,0,INVESTORS_LIST[[#This Row],[LS_TOTAL CURRENT UNITS]]*INVESTORS_LIST[[#This Row],[NAV]])</f>
        <v>0</v>
      </c>
      <c r="AM286" s="6">
        <f>IF(INVESTORS_LIST[[#This Row],[SIP_TOTAL CURRENT UNITS]]=0,0,INVESTORS_LIST[[#This Row],[SIP_TOTAL CURRENT UNITS]]*INVESTORS_LIST[[#This Row],[NAV]])</f>
        <v>0</v>
      </c>
      <c r="AO286" s="6">
        <f>IF(INVESTORS_LIST[[#This Row],[TOTAL SELLABLE UNITS]]=0,0,INVESTORS_LIST[[#This Row],[TOTAL SELLABLE UNITS]]*INVESTORS_LIST[[#This Row],[NAV]])</f>
        <v>0</v>
      </c>
      <c r="AP286" s="6">
        <f>INVESTORS_LIST[[#This Row],[LS_TOTAL REALIZED GAIN]]+INVESTORS_LIST[[#This Row],[SIP_TOTAL REALIZED GAIN]]</f>
        <v>0</v>
      </c>
      <c r="AQ286" s="6">
        <f>INVESTORS_LIST[[#This Row],[TOTAL MARKET VALUE]]-INVESTORS_LIST[[#This Row],[TOTAL COST VALUE OF CURRENT INVESTMENT]]</f>
        <v>0</v>
      </c>
      <c r="AR286" s="6">
        <f>SUMIFS(DivAndTax[Tax Amount],DivAndTax[Investor ID],INVESTORS_LIST[[#This Row],[INVESTOR CODE]])</f>
        <v>0</v>
      </c>
      <c r="AS286" s="6">
        <f>SUMIFS(DivAndTax[Gross Dividend],DivAndTax[Investor ID],INVESTORS_LIST[[#This Row],[INVESTOR CODE]])</f>
        <v>0</v>
      </c>
      <c r="AT286" s="5">
        <f>IFERROR(INVESTORS_LIST[[#This Row],[TOTAL CURRENT UNITS]]/SUM(INVESTORS_LIST[TOTAL CURRENT UNITS]),0)</f>
        <v>0</v>
      </c>
    </row>
    <row r="287" spans="1:46" hidden="1">
      <c r="A287" t="s">
        <v>431</v>
      </c>
      <c r="B287" t="s">
        <v>432</v>
      </c>
      <c r="C287" t="s">
        <v>536</v>
      </c>
      <c r="D287" s="8" t="s">
        <v>2</v>
      </c>
      <c r="E287" s="2">
        <f>SUMIFS(LS[Unit],LS[Investor ID],INVESTORS_LIST[[#This Row],[INVESTOR CODE]],LS[B/S],"B")</f>
        <v>0</v>
      </c>
      <c r="F287" s="2">
        <f>-SUMIFS(LS[Unit],LS[Investor ID],INVESTORS_LIST[[#This Row],[INVESTOR CODE]],LS[B/S],"S")</f>
        <v>0</v>
      </c>
      <c r="G287" s="2">
        <f>IF(INVESTORS_LIST[[#This Row],[LS_TOTAL UNITS BUY]]=0,0,INVESTORS_LIST[[#This Row],[LS_TOTAL UNITS BUY]]-INVESTORS_LIST[[#This Row],[LS_TOTAL UNITS SOLD]])</f>
        <v>0</v>
      </c>
      <c r="H287" s="4">
        <f>IF(INVESTORS_LIST[[#This Row],[LS_TOTAL UNITS BUY]]=0,0,SUMIFS(LS[Amount],LS[Investor ID],INVESTORS_LIST[[#This Row],[INVESTOR CODE]],LS[B/S],"B"))</f>
        <v>0</v>
      </c>
      <c r="I287" s="6">
        <f>IF(INVESTORS_LIST[[#This Row],[LS_TOTAL UNITS SOLD]]=0,0,SUMIFS(LS[Cost of Units Sold],LS[Investor ID],INVESTORS_LIST[[#This Row],[INVESTOR CODE]],LS[B/S],"S"))</f>
        <v>0</v>
      </c>
      <c r="J287" s="6">
        <f>IF(INVESTORS_LIST[[#This Row],[LS_TOTAL CURRENT UNITS]]=0,0,INVESTORS_LIST[[#This Row],[LS_TOTAL CURRENT UNITS]]*INVESTORS_LIST[[#This Row],[LS_AVERAGE COST]])</f>
        <v>0</v>
      </c>
      <c r="K287" s="4">
        <f>IF(INVESTORS_LIST[[#This Row],[LS_TOTAL UNITS SOLD]]=0,0,SUMIFS(LS[Realized Gain],LS[Investor ID],INVESTORS_LIST[[#This Row],[INVESTOR CODE]],LS[B/S],"S"))</f>
        <v>0</v>
      </c>
      <c r="L287" s="2">
        <f>SUMIFS(SIP[Unit],SIP[Investor ID],INVESTORS_LIST[[#This Row],[INVESTOR CODE]],SIP[B/S],"B")</f>
        <v>0</v>
      </c>
      <c r="M287" s="2">
        <f>-SUMIFS(SIP[Unit],SIP[Investor ID],INVESTORS_LIST[[#This Row],[INVESTOR CODE]],SIP[B/S],"S")</f>
        <v>0</v>
      </c>
      <c r="N287" s="33">
        <f>IF(INVESTORS_LIST[[#This Row],[SIP_TOTAL UNITS BUY]]=0,0,INVESTORS_LIST[[#This Row],[SIP_TOTAL UNITS BUY]]-INVESTORS_LIST[[#This Row],[SIP_TOTAL UNITS SOLD]])</f>
        <v>0</v>
      </c>
      <c r="O287" s="4">
        <f>IF(INVESTORS_LIST[[#This Row],[SIP_TOTAL UNITS BUY]]=0,0,SUMIFS(SIP[Amount],SIP[Investor ID],INVESTORS_LIST[[#This Row],[INVESTOR CODE]],SIP[B/S],"B"))</f>
        <v>0</v>
      </c>
      <c r="P287" s="4">
        <f>IF(INVESTORS_LIST[[#This Row],[SIP_TOTAL UNITS SOLD]]=0,0,SUMIFS(SIP[Cost of Units Sold],SIP[Investor ID],INVESTORS_LIST[[#This Row],[INVESTOR CODE]],SIP[B/S],"S"))</f>
        <v>0</v>
      </c>
      <c r="Q287" s="6">
        <f>IF(INVESTORS_LIST[[#This Row],[SIP_TOTAL CURRENT UNITS]]=0,0,INVESTORS_LIST[[#This Row],[SIP_TOTAL CURRENT UNITS]]*INVESTORS_LIST[[#This Row],[SIP_AVERAGE COST]])</f>
        <v>0</v>
      </c>
      <c r="R287" s="6">
        <f>IF(INVESTORS_LIST[[#This Row],[SIP_TOTAL UNITS SOLD]]=0,0,SUMIFS(SIP[Realized Gain],SIP[Investor ID],INVESTORS_LIST[[#This Row],[INVESTOR CODE]],SIP[B/S],"S"))</f>
        <v>0</v>
      </c>
      <c r="S287" s="33">
        <f>INVESTORS_LIST[[#This Row],[LS_TOTAL UNITS BUY]]+INVESTORS_LIST[[#This Row],[SIP_TOTAL UNITS BUY]]</f>
        <v>0</v>
      </c>
      <c r="T287" s="33">
        <f>INVESTORS_LIST[[#This Row],[LS_TOTAL UNITS SOLD]]+INVESTORS_LIST[[#This Row],[SIP_TOTAL UNITS SOLD]]</f>
        <v>0</v>
      </c>
      <c r="U287" s="33">
        <v>0</v>
      </c>
      <c r="V287" s="33">
        <f>SUMIFS(LS[BO UNIT TRANSFER],LS[Investor ID],INVESTORS_LIST[[#This Row],[INVESTOR CODE]],LS[B/S],"B")</f>
        <v>0</v>
      </c>
      <c r="W287" s="33">
        <f>SUMIFS(LS[BO UNIT TRANSFER],LS[Investor ID],INVESTORS_LIST[[#This Row],[INVESTOR CODE]],LS[B/S],"S")</f>
        <v>0</v>
      </c>
      <c r="X287" s="33">
        <f>SUMIFS(SIP[BO UNIT TRANSFER],SIP[Investor ID],INVESTORS_LIST[[#This Row],[INVESTOR CODE]],SIP[B/S],"S")</f>
        <v>0</v>
      </c>
      <c r="Y287" s="33">
        <f>SUMIFS(SIP[BO UNIT TRANSFER],SIP[Investor ID],INVESTORS_LIST[[#This Row],[INVESTOR CODE]],SIP[B/S],"B")</f>
        <v>0</v>
      </c>
      <c r="Z28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87" s="119">
        <f>INVESTORS_LIST[[#This Row],[TOTAL UNITS BUY]]-INVESTORS_LIST[[#This Row],[TOTAL UNITS SOLD]]</f>
        <v>0</v>
      </c>
      <c r="AB287" s="119">
        <f>INVESTORS_LIST[[#This Row],[TOTAL CURRENT UNITS]]-INVESTORS_LIST[[#This Row],[BO UNITS HOLD]]</f>
        <v>0</v>
      </c>
      <c r="AC287" s="119" t="e">
        <f>INDEX([4]!Table_1[BO ID],MATCH(INVESTORS_LIST[[#This Row],[INVESTOR CODE]],[4]!Table_1[INVESTOR CODE],0))</f>
        <v>#REF!</v>
      </c>
      <c r="AD287" s="33">
        <f>INVESTORS_LIST[[#This Row],[LS_TOTAL COST VALUE OF CURRENT UNITS]]+INVESTORS_LIST[[#This Row],[SIP_TOTAL COST VALUE OF CURRENT UNITS]]</f>
        <v>0</v>
      </c>
      <c r="AE287" s="44">
        <f>IF(INVESTORS_LIST[[#This Row],[TOTAL CURRENT UNITS]]=0,0,INVESTORS_LIST[[#This Row],[LS_TOTAL CURRENT UNITS]]/INVESTORS_LIST[[#This Row],[TOTAL CURRENT UNITS]])</f>
        <v>0</v>
      </c>
      <c r="AF287" s="44">
        <f>IF(INVESTORS_LIST[[#This Row],[TOTAL CURRENT UNITS]]=0,0,INVESTORS_LIST[[#This Row],[SIP_TOTAL CURRENT UNITS]]/INVESTORS_LIST[[#This Row],[TOTAL CURRENT UNITS]])</f>
        <v>0</v>
      </c>
      <c r="AG287" s="4" cm="1">
        <f t="array" ref="AG28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87" s="4" cm="1">
        <f t="array" ref="AH28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8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87" s="178">
        <f t="shared" si="4"/>
        <v>12.552</v>
      </c>
      <c r="AK287" s="118">
        <f>IF(INVESTORS_LIST[[#This Row],[TOTAL CURRENT UNITS]]=0,0,INVESTORS_LIST[[#This Row],[TOTAL CURRENT UNITS]]*INVESTORS_LIST[[#This Row],[NAV]])</f>
        <v>0</v>
      </c>
      <c r="AL287" s="4">
        <f>IF(INVESTORS_LIST[[#This Row],[LS_TOTAL CURRENT UNITS]]=0,0,INVESTORS_LIST[[#This Row],[LS_TOTAL CURRENT UNITS]]*INVESTORS_LIST[[#This Row],[NAV]])</f>
        <v>0</v>
      </c>
      <c r="AM287" s="6">
        <f>IF(INVESTORS_LIST[[#This Row],[SIP_TOTAL CURRENT UNITS]]=0,0,INVESTORS_LIST[[#This Row],[SIP_TOTAL CURRENT UNITS]]*INVESTORS_LIST[[#This Row],[NAV]])</f>
        <v>0</v>
      </c>
      <c r="AO287" s="6">
        <f>IF(INVESTORS_LIST[[#This Row],[TOTAL SELLABLE UNITS]]=0,0,INVESTORS_LIST[[#This Row],[TOTAL SELLABLE UNITS]]*INVESTORS_LIST[[#This Row],[NAV]])</f>
        <v>0</v>
      </c>
      <c r="AP287" s="6">
        <f>INVESTORS_LIST[[#This Row],[LS_TOTAL REALIZED GAIN]]+INVESTORS_LIST[[#This Row],[SIP_TOTAL REALIZED GAIN]]</f>
        <v>0</v>
      </c>
      <c r="AQ287" s="6">
        <f>INVESTORS_LIST[[#This Row],[TOTAL MARKET VALUE]]-INVESTORS_LIST[[#This Row],[TOTAL COST VALUE OF CURRENT INVESTMENT]]</f>
        <v>0</v>
      </c>
      <c r="AR287" s="6">
        <f>SUMIFS(DivAndTax[Tax Amount],DivAndTax[Investor ID],INVESTORS_LIST[[#This Row],[INVESTOR CODE]])</f>
        <v>0</v>
      </c>
      <c r="AS287" s="6">
        <f>SUMIFS(DivAndTax[Gross Dividend],DivAndTax[Investor ID],INVESTORS_LIST[[#This Row],[INVESTOR CODE]])</f>
        <v>0</v>
      </c>
      <c r="AT287" s="5">
        <f>IFERROR(INVESTORS_LIST[[#This Row],[TOTAL CURRENT UNITS]]/SUM(INVESTORS_LIST[TOTAL CURRENT UNITS]),0)</f>
        <v>0</v>
      </c>
    </row>
    <row r="288" spans="1:46" hidden="1">
      <c r="A288" t="s">
        <v>433</v>
      </c>
      <c r="B288" t="s">
        <v>434</v>
      </c>
      <c r="C288" t="s">
        <v>536</v>
      </c>
      <c r="D288" s="8" t="s">
        <v>2</v>
      </c>
      <c r="E288" s="2">
        <f>SUMIFS(LS[Unit],LS[Investor ID],INVESTORS_LIST[[#This Row],[INVESTOR CODE]],LS[B/S],"B")</f>
        <v>0</v>
      </c>
      <c r="F288" s="2">
        <f>-SUMIFS(LS[Unit],LS[Investor ID],INVESTORS_LIST[[#This Row],[INVESTOR CODE]],LS[B/S],"S")</f>
        <v>0</v>
      </c>
      <c r="G288" s="2">
        <f>IF(INVESTORS_LIST[[#This Row],[LS_TOTAL UNITS BUY]]=0,0,INVESTORS_LIST[[#This Row],[LS_TOTAL UNITS BUY]]-INVESTORS_LIST[[#This Row],[LS_TOTAL UNITS SOLD]])</f>
        <v>0</v>
      </c>
      <c r="H288" s="4">
        <f>IF(INVESTORS_LIST[[#This Row],[LS_TOTAL UNITS BUY]]=0,0,SUMIFS(LS[Amount],LS[Investor ID],INVESTORS_LIST[[#This Row],[INVESTOR CODE]],LS[B/S],"B"))</f>
        <v>0</v>
      </c>
      <c r="I288" s="6">
        <f>IF(INVESTORS_LIST[[#This Row],[LS_TOTAL UNITS SOLD]]=0,0,SUMIFS(LS[Cost of Units Sold],LS[Investor ID],INVESTORS_LIST[[#This Row],[INVESTOR CODE]],LS[B/S],"S"))</f>
        <v>0</v>
      </c>
      <c r="J288" s="6">
        <f>IF(INVESTORS_LIST[[#This Row],[LS_TOTAL CURRENT UNITS]]=0,0,INVESTORS_LIST[[#This Row],[LS_TOTAL CURRENT UNITS]]*INVESTORS_LIST[[#This Row],[LS_AVERAGE COST]])</f>
        <v>0</v>
      </c>
      <c r="K288" s="4">
        <f>IF(INVESTORS_LIST[[#This Row],[LS_TOTAL UNITS SOLD]]=0,0,SUMIFS(LS[Realized Gain],LS[Investor ID],INVESTORS_LIST[[#This Row],[INVESTOR CODE]],LS[B/S],"S"))</f>
        <v>0</v>
      </c>
      <c r="L288" s="2">
        <f>SUMIFS(SIP[Unit],SIP[Investor ID],INVESTORS_LIST[[#This Row],[INVESTOR CODE]],SIP[B/S],"B")</f>
        <v>0</v>
      </c>
      <c r="M288" s="2">
        <f>-SUMIFS(SIP[Unit],SIP[Investor ID],INVESTORS_LIST[[#This Row],[INVESTOR CODE]],SIP[B/S],"S")</f>
        <v>0</v>
      </c>
      <c r="N288" s="33">
        <f>IF(INVESTORS_LIST[[#This Row],[SIP_TOTAL UNITS BUY]]=0,0,INVESTORS_LIST[[#This Row],[SIP_TOTAL UNITS BUY]]-INVESTORS_LIST[[#This Row],[SIP_TOTAL UNITS SOLD]])</f>
        <v>0</v>
      </c>
      <c r="O288" s="4">
        <f>IF(INVESTORS_LIST[[#This Row],[SIP_TOTAL UNITS BUY]]=0,0,SUMIFS(SIP[Amount],SIP[Investor ID],INVESTORS_LIST[[#This Row],[INVESTOR CODE]],SIP[B/S],"B"))</f>
        <v>0</v>
      </c>
      <c r="P288" s="4">
        <f>IF(INVESTORS_LIST[[#This Row],[SIP_TOTAL UNITS SOLD]]=0,0,SUMIFS(SIP[Cost of Units Sold],SIP[Investor ID],INVESTORS_LIST[[#This Row],[INVESTOR CODE]],SIP[B/S],"S"))</f>
        <v>0</v>
      </c>
      <c r="Q288" s="6">
        <f>IF(INVESTORS_LIST[[#This Row],[SIP_TOTAL CURRENT UNITS]]=0,0,INVESTORS_LIST[[#This Row],[SIP_TOTAL CURRENT UNITS]]*INVESTORS_LIST[[#This Row],[SIP_AVERAGE COST]])</f>
        <v>0</v>
      </c>
      <c r="R288" s="6">
        <f>IF(INVESTORS_LIST[[#This Row],[SIP_TOTAL UNITS SOLD]]=0,0,SUMIFS(SIP[Realized Gain],SIP[Investor ID],INVESTORS_LIST[[#This Row],[INVESTOR CODE]],SIP[B/S],"S"))</f>
        <v>0</v>
      </c>
      <c r="S288" s="33">
        <f>INVESTORS_LIST[[#This Row],[LS_TOTAL UNITS BUY]]+INVESTORS_LIST[[#This Row],[SIP_TOTAL UNITS BUY]]</f>
        <v>0</v>
      </c>
      <c r="T288" s="33">
        <f>INVESTORS_LIST[[#This Row],[LS_TOTAL UNITS SOLD]]+INVESTORS_LIST[[#This Row],[SIP_TOTAL UNITS SOLD]]</f>
        <v>0</v>
      </c>
      <c r="U288" s="33">
        <v>0</v>
      </c>
      <c r="V288" s="33">
        <f>SUMIFS(LS[BO UNIT TRANSFER],LS[Investor ID],INVESTORS_LIST[[#This Row],[INVESTOR CODE]],LS[B/S],"B")</f>
        <v>0</v>
      </c>
      <c r="W288" s="33">
        <f>SUMIFS(LS[BO UNIT TRANSFER],LS[Investor ID],INVESTORS_LIST[[#This Row],[INVESTOR CODE]],LS[B/S],"S")</f>
        <v>0</v>
      </c>
      <c r="X288" s="33">
        <f>SUMIFS(SIP[BO UNIT TRANSFER],SIP[Investor ID],INVESTORS_LIST[[#This Row],[INVESTOR CODE]],SIP[B/S],"S")</f>
        <v>0</v>
      </c>
      <c r="Y288" s="33">
        <f>SUMIFS(SIP[BO UNIT TRANSFER],SIP[Investor ID],INVESTORS_LIST[[#This Row],[INVESTOR CODE]],SIP[B/S],"B")</f>
        <v>0</v>
      </c>
      <c r="Z28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88" s="119">
        <f>INVESTORS_LIST[[#This Row],[TOTAL UNITS BUY]]-INVESTORS_LIST[[#This Row],[TOTAL UNITS SOLD]]</f>
        <v>0</v>
      </c>
      <c r="AB288" s="119">
        <f>INVESTORS_LIST[[#This Row],[TOTAL CURRENT UNITS]]-INVESTORS_LIST[[#This Row],[BO UNITS HOLD]]</f>
        <v>0</v>
      </c>
      <c r="AC288" s="119" t="e">
        <f>INDEX([4]!Table_1[BO ID],MATCH(INVESTORS_LIST[[#This Row],[INVESTOR CODE]],[4]!Table_1[INVESTOR CODE],0))</f>
        <v>#REF!</v>
      </c>
      <c r="AD288" s="33">
        <f>INVESTORS_LIST[[#This Row],[LS_TOTAL COST VALUE OF CURRENT UNITS]]+INVESTORS_LIST[[#This Row],[SIP_TOTAL COST VALUE OF CURRENT UNITS]]</f>
        <v>0</v>
      </c>
      <c r="AE288" s="44">
        <f>IF(INVESTORS_LIST[[#This Row],[TOTAL CURRENT UNITS]]=0,0,INVESTORS_LIST[[#This Row],[LS_TOTAL CURRENT UNITS]]/INVESTORS_LIST[[#This Row],[TOTAL CURRENT UNITS]])</f>
        <v>0</v>
      </c>
      <c r="AF288" s="44">
        <f>IF(INVESTORS_LIST[[#This Row],[TOTAL CURRENT UNITS]]=0,0,INVESTORS_LIST[[#This Row],[SIP_TOTAL CURRENT UNITS]]/INVESTORS_LIST[[#This Row],[TOTAL CURRENT UNITS]])</f>
        <v>0</v>
      </c>
      <c r="AG288" s="4" cm="1">
        <f t="array" ref="AG28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88" s="4" cm="1">
        <f t="array" ref="AH28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8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88" s="178">
        <f t="shared" si="4"/>
        <v>12.552</v>
      </c>
      <c r="AK288" s="118">
        <f>IF(INVESTORS_LIST[[#This Row],[TOTAL CURRENT UNITS]]=0,0,INVESTORS_LIST[[#This Row],[TOTAL CURRENT UNITS]]*INVESTORS_LIST[[#This Row],[NAV]])</f>
        <v>0</v>
      </c>
      <c r="AL288" s="4">
        <f>IF(INVESTORS_LIST[[#This Row],[LS_TOTAL CURRENT UNITS]]=0,0,INVESTORS_LIST[[#This Row],[LS_TOTAL CURRENT UNITS]]*INVESTORS_LIST[[#This Row],[NAV]])</f>
        <v>0</v>
      </c>
      <c r="AM288" s="6">
        <f>IF(INVESTORS_LIST[[#This Row],[SIP_TOTAL CURRENT UNITS]]=0,0,INVESTORS_LIST[[#This Row],[SIP_TOTAL CURRENT UNITS]]*INVESTORS_LIST[[#This Row],[NAV]])</f>
        <v>0</v>
      </c>
      <c r="AO288" s="6">
        <f>IF(INVESTORS_LIST[[#This Row],[TOTAL SELLABLE UNITS]]=0,0,INVESTORS_LIST[[#This Row],[TOTAL SELLABLE UNITS]]*INVESTORS_LIST[[#This Row],[NAV]])</f>
        <v>0</v>
      </c>
      <c r="AP288" s="6">
        <f>INVESTORS_LIST[[#This Row],[LS_TOTAL REALIZED GAIN]]+INVESTORS_LIST[[#This Row],[SIP_TOTAL REALIZED GAIN]]</f>
        <v>0</v>
      </c>
      <c r="AQ288" s="6">
        <f>INVESTORS_LIST[[#This Row],[TOTAL MARKET VALUE]]-INVESTORS_LIST[[#This Row],[TOTAL COST VALUE OF CURRENT INVESTMENT]]</f>
        <v>0</v>
      </c>
      <c r="AR288" s="6">
        <f>SUMIFS(DivAndTax[Tax Amount],DivAndTax[Investor ID],INVESTORS_LIST[[#This Row],[INVESTOR CODE]])</f>
        <v>0</v>
      </c>
      <c r="AS288" s="6">
        <f>SUMIFS(DivAndTax[Gross Dividend],DivAndTax[Investor ID],INVESTORS_LIST[[#This Row],[INVESTOR CODE]])</f>
        <v>0</v>
      </c>
      <c r="AT288" s="5">
        <f>IFERROR(INVESTORS_LIST[[#This Row],[TOTAL CURRENT UNITS]]/SUM(INVESTORS_LIST[TOTAL CURRENT UNITS]),0)</f>
        <v>0</v>
      </c>
    </row>
    <row r="289" spans="1:46">
      <c r="A289" t="s">
        <v>435</v>
      </c>
      <c r="B289" t="s">
        <v>436</v>
      </c>
      <c r="C289" t="s">
        <v>536</v>
      </c>
      <c r="D289" s="8" t="s">
        <v>2</v>
      </c>
      <c r="E289" s="2">
        <f>SUMIFS(LS[Unit],LS[Investor ID],INVESTORS_LIST[[#This Row],[INVESTOR CODE]],LS[B/S],"B")</f>
        <v>0</v>
      </c>
      <c r="F289" s="2">
        <f>-SUMIFS(LS[Unit],LS[Investor ID],INVESTORS_LIST[[#This Row],[INVESTOR CODE]],LS[B/S],"S")</f>
        <v>0</v>
      </c>
      <c r="G289" s="2">
        <f>IF(INVESTORS_LIST[[#This Row],[LS_TOTAL UNITS BUY]]=0,0,INVESTORS_LIST[[#This Row],[LS_TOTAL UNITS BUY]]-INVESTORS_LIST[[#This Row],[LS_TOTAL UNITS SOLD]])</f>
        <v>0</v>
      </c>
      <c r="H289" s="4">
        <f>IF(INVESTORS_LIST[[#This Row],[LS_TOTAL UNITS BUY]]=0,0,SUMIFS(LS[Amount],LS[Investor ID],INVESTORS_LIST[[#This Row],[INVESTOR CODE]],LS[B/S],"B"))</f>
        <v>0</v>
      </c>
      <c r="I289" s="6">
        <f>IF(INVESTORS_LIST[[#This Row],[LS_TOTAL UNITS SOLD]]=0,0,SUMIFS(LS[Cost of Units Sold],LS[Investor ID],INVESTORS_LIST[[#This Row],[INVESTOR CODE]],LS[B/S],"S"))</f>
        <v>0</v>
      </c>
      <c r="J289" s="6">
        <f>IF(INVESTORS_LIST[[#This Row],[LS_TOTAL CURRENT UNITS]]=0,0,INVESTORS_LIST[[#This Row],[LS_TOTAL CURRENT UNITS]]*INVESTORS_LIST[[#This Row],[LS_AVERAGE COST]])</f>
        <v>0</v>
      </c>
      <c r="K289" s="4">
        <f>IF(INVESTORS_LIST[[#This Row],[LS_TOTAL UNITS SOLD]]=0,0,SUMIFS(LS[Realized Gain],LS[Investor ID],INVESTORS_LIST[[#This Row],[INVESTOR CODE]],LS[B/S],"S"))</f>
        <v>0</v>
      </c>
      <c r="L289" s="2">
        <f>SUMIFS(SIP[Unit],SIP[Investor ID],INVESTORS_LIST[[#This Row],[INVESTOR CODE]],SIP[B/S],"B")</f>
        <v>379</v>
      </c>
      <c r="M289" s="2">
        <f>-SUMIFS(SIP[Unit],SIP[Investor ID],INVESTORS_LIST[[#This Row],[INVESTOR CODE]],SIP[B/S],"S")</f>
        <v>0</v>
      </c>
      <c r="N289" s="33">
        <f>IF(INVESTORS_LIST[[#This Row],[SIP_TOTAL UNITS BUY]]=0,0,INVESTORS_LIST[[#This Row],[SIP_TOTAL UNITS BUY]]-INVESTORS_LIST[[#This Row],[SIP_TOTAL UNITS SOLD]])</f>
        <v>379</v>
      </c>
      <c r="O289" s="4">
        <f>IF(INVESTORS_LIST[[#This Row],[SIP_TOTAL UNITS BUY]]=0,0,SUMIFS(SIP[Amount],SIP[Investor ID],INVESTORS_LIST[[#This Row],[INVESTOR CODE]],SIP[B/S],"B"))</f>
        <v>5000</v>
      </c>
      <c r="P289" s="4">
        <f>IF(INVESTORS_LIST[[#This Row],[SIP_TOTAL UNITS SOLD]]=0,0,SUMIFS(SIP[Cost of Units Sold],SIP[Investor ID],INVESTORS_LIST[[#This Row],[INVESTOR CODE]],SIP[B/S],"S"))</f>
        <v>0</v>
      </c>
      <c r="Q289" s="6">
        <f>IF(INVESTORS_LIST[[#This Row],[SIP_TOTAL CURRENT UNITS]]=0,0,INVESTORS_LIST[[#This Row],[SIP_TOTAL CURRENT UNITS]]*INVESTORS_LIST[[#This Row],[SIP_AVERAGE COST]])</f>
        <v>5000</v>
      </c>
      <c r="R289" s="6">
        <f>IF(INVESTORS_LIST[[#This Row],[SIP_TOTAL UNITS SOLD]]=0,0,SUMIFS(SIP[Realized Gain],SIP[Investor ID],INVESTORS_LIST[[#This Row],[INVESTOR CODE]],SIP[B/S],"S"))</f>
        <v>0</v>
      </c>
      <c r="S289" s="33">
        <f>INVESTORS_LIST[[#This Row],[LS_TOTAL UNITS BUY]]+INVESTORS_LIST[[#This Row],[SIP_TOTAL UNITS BUY]]</f>
        <v>379</v>
      </c>
      <c r="T289" s="33">
        <f>INVESTORS_LIST[[#This Row],[LS_TOTAL UNITS SOLD]]+INVESTORS_LIST[[#This Row],[SIP_TOTAL UNITS SOLD]]</f>
        <v>0</v>
      </c>
      <c r="U289" s="33">
        <v>0</v>
      </c>
      <c r="V289" s="33">
        <f>SUMIFS(LS[BO UNIT TRANSFER],LS[Investor ID],INVESTORS_LIST[[#This Row],[INVESTOR CODE]],LS[B/S],"B")</f>
        <v>0</v>
      </c>
      <c r="W289" s="33">
        <f>SUMIFS(LS[BO UNIT TRANSFER],LS[Investor ID],INVESTORS_LIST[[#This Row],[INVESTOR CODE]],LS[B/S],"S")</f>
        <v>0</v>
      </c>
      <c r="X289" s="33">
        <f>SUMIFS(SIP[BO UNIT TRANSFER],SIP[Investor ID],INVESTORS_LIST[[#This Row],[INVESTOR CODE]],SIP[B/S],"S")</f>
        <v>0</v>
      </c>
      <c r="Y289" s="33">
        <f>SUMIFS(SIP[BO UNIT TRANSFER],SIP[Investor ID],INVESTORS_LIST[[#This Row],[INVESTOR CODE]],SIP[B/S],"B")</f>
        <v>0</v>
      </c>
      <c r="Z28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89" s="119">
        <f>INVESTORS_LIST[[#This Row],[TOTAL UNITS BUY]]-INVESTORS_LIST[[#This Row],[TOTAL UNITS SOLD]]</f>
        <v>379</v>
      </c>
      <c r="AB289" s="119">
        <f>INVESTORS_LIST[[#This Row],[TOTAL CURRENT UNITS]]-INVESTORS_LIST[[#This Row],[BO UNITS HOLD]]</f>
        <v>379</v>
      </c>
      <c r="AC289" s="119" t="e">
        <f>INDEX([4]!Table_1[BO ID],MATCH(INVESTORS_LIST[[#This Row],[INVESTOR CODE]],[4]!Table_1[INVESTOR CODE],0))</f>
        <v>#REF!</v>
      </c>
      <c r="AD289" s="33">
        <f>INVESTORS_LIST[[#This Row],[LS_TOTAL COST VALUE OF CURRENT UNITS]]+INVESTORS_LIST[[#This Row],[SIP_TOTAL COST VALUE OF CURRENT UNITS]]</f>
        <v>5000</v>
      </c>
      <c r="AE289" s="44">
        <f>IF(INVESTORS_LIST[[#This Row],[TOTAL CURRENT UNITS]]=0,0,INVESTORS_LIST[[#This Row],[LS_TOTAL CURRENT UNITS]]/INVESTORS_LIST[[#This Row],[TOTAL CURRENT UNITS]])</f>
        <v>0</v>
      </c>
      <c r="AF289" s="44">
        <f>IF(INVESTORS_LIST[[#This Row],[TOTAL CURRENT UNITS]]=0,0,INVESTORS_LIST[[#This Row],[SIP_TOTAL CURRENT UNITS]]/INVESTORS_LIST[[#This Row],[TOTAL CURRENT UNITS]])</f>
        <v>1</v>
      </c>
      <c r="AG289" s="4" cm="1">
        <f t="array" ref="AG28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89" s="4" cm="1">
        <f t="array" ref="AH289">IF(INVESTORS_LIST[[#This Row],[SIP_TOTAL UNITS BUY]]&gt;0,INDEX(SIP[NAV at Cost (Average)],MATCH(CONCATENATE(COUNTIFS(SIP[Investor ID],INVESTORS_LIST[[#This Row],[INVESTOR CODE]]),INVESTORS_LIST[[#This Row],[INVESTOR CODE]]),SIP[Unique Code],0),),0)</f>
        <v>13.192612137203167</v>
      </c>
      <c r="AI289" s="178">
        <f>IF(INVESTORS_LIST[[#This Row],[TOTAL CURRENT UNITS]]=0,0,(INVESTORS_LIST[[#This Row],[LS_WEIGHT]]*INVESTORS_LIST[[#This Row],[LS_AVERAGE COST]])+(INVESTORS_LIST[[#This Row],[SIP_WEIGHT]]*INVESTORS_LIST[[#This Row],[SIP_AVERAGE COST]]))</f>
        <v>13.192612137203167</v>
      </c>
      <c r="AJ289" s="178">
        <f t="shared" si="4"/>
        <v>12.552</v>
      </c>
      <c r="AK289" s="118">
        <f>IF(INVESTORS_LIST[[#This Row],[TOTAL CURRENT UNITS]]=0,0,INVESTORS_LIST[[#This Row],[TOTAL CURRENT UNITS]]*INVESTORS_LIST[[#This Row],[NAV]])</f>
        <v>4757.2079999999996</v>
      </c>
      <c r="AL289" s="4">
        <f>IF(INVESTORS_LIST[[#This Row],[LS_TOTAL CURRENT UNITS]]=0,0,INVESTORS_LIST[[#This Row],[LS_TOTAL CURRENT UNITS]]*INVESTORS_LIST[[#This Row],[NAV]])</f>
        <v>0</v>
      </c>
      <c r="AM289" s="6">
        <f>IF(INVESTORS_LIST[[#This Row],[SIP_TOTAL CURRENT UNITS]]=0,0,INVESTORS_LIST[[#This Row],[SIP_TOTAL CURRENT UNITS]]*INVESTORS_LIST[[#This Row],[NAV]])</f>
        <v>4757.2079999999996</v>
      </c>
      <c r="AO289" s="6">
        <f>IF(INVESTORS_LIST[[#This Row],[TOTAL SELLABLE UNITS]]=0,0,INVESTORS_LIST[[#This Row],[TOTAL SELLABLE UNITS]]*INVESTORS_LIST[[#This Row],[NAV]])</f>
        <v>0</v>
      </c>
      <c r="AP289" s="6">
        <f>INVESTORS_LIST[[#This Row],[LS_TOTAL REALIZED GAIN]]+INVESTORS_LIST[[#This Row],[SIP_TOTAL REALIZED GAIN]]</f>
        <v>0</v>
      </c>
      <c r="AQ289" s="6">
        <f>INVESTORS_LIST[[#This Row],[TOTAL MARKET VALUE]]-INVESTORS_LIST[[#This Row],[TOTAL COST VALUE OF CURRENT INVESTMENT]]</f>
        <v>-242.79200000000037</v>
      </c>
      <c r="AR289" s="6">
        <f>SUMIFS(DivAndTax[Tax Amount],DivAndTax[Investor ID],INVESTORS_LIST[[#This Row],[INVESTOR CODE]])</f>
        <v>0</v>
      </c>
      <c r="AS289" s="6">
        <f>SUMIFS(DivAndTax[Gross Dividend],DivAndTax[Investor ID],INVESTORS_LIST[[#This Row],[INVESTOR CODE]])</f>
        <v>0</v>
      </c>
      <c r="AT289" s="5">
        <f>IFERROR(INVESTORS_LIST[[#This Row],[TOTAL CURRENT UNITS]]/SUM(INVESTORS_LIST[TOTAL CURRENT UNITS]),0)</f>
        <v>1.8171092486353942E-5</v>
      </c>
    </row>
    <row r="290" spans="1:46" hidden="1">
      <c r="A290" t="s">
        <v>437</v>
      </c>
      <c r="B290" t="s">
        <v>438</v>
      </c>
      <c r="C290" t="s">
        <v>536</v>
      </c>
      <c r="D290" s="8" t="s">
        <v>2</v>
      </c>
      <c r="E290" s="2">
        <f>SUMIFS(LS[Unit],LS[Investor ID],INVESTORS_LIST[[#This Row],[INVESTOR CODE]],LS[B/S],"B")</f>
        <v>0</v>
      </c>
      <c r="F290" s="2">
        <f>-SUMIFS(LS[Unit],LS[Investor ID],INVESTORS_LIST[[#This Row],[INVESTOR CODE]],LS[B/S],"S")</f>
        <v>0</v>
      </c>
      <c r="G290" s="2">
        <f>IF(INVESTORS_LIST[[#This Row],[LS_TOTAL UNITS BUY]]=0,0,INVESTORS_LIST[[#This Row],[LS_TOTAL UNITS BUY]]-INVESTORS_LIST[[#This Row],[LS_TOTAL UNITS SOLD]])</f>
        <v>0</v>
      </c>
      <c r="H290" s="4">
        <f>IF(INVESTORS_LIST[[#This Row],[LS_TOTAL UNITS BUY]]=0,0,SUMIFS(LS[Amount],LS[Investor ID],INVESTORS_LIST[[#This Row],[INVESTOR CODE]],LS[B/S],"B"))</f>
        <v>0</v>
      </c>
      <c r="I290" s="6">
        <f>IF(INVESTORS_LIST[[#This Row],[LS_TOTAL UNITS SOLD]]=0,0,SUMIFS(LS[Cost of Units Sold],LS[Investor ID],INVESTORS_LIST[[#This Row],[INVESTOR CODE]],LS[B/S],"S"))</f>
        <v>0</v>
      </c>
      <c r="J290" s="6">
        <f>IF(INVESTORS_LIST[[#This Row],[LS_TOTAL CURRENT UNITS]]=0,0,INVESTORS_LIST[[#This Row],[LS_TOTAL CURRENT UNITS]]*INVESTORS_LIST[[#This Row],[LS_AVERAGE COST]])</f>
        <v>0</v>
      </c>
      <c r="K290" s="4">
        <f>IF(INVESTORS_LIST[[#This Row],[LS_TOTAL UNITS SOLD]]=0,0,SUMIFS(LS[Realized Gain],LS[Investor ID],INVESTORS_LIST[[#This Row],[INVESTOR CODE]],LS[B/S],"S"))</f>
        <v>0</v>
      </c>
      <c r="L290" s="2">
        <f>SUMIFS(SIP[Unit],SIP[Investor ID],INVESTORS_LIST[[#This Row],[INVESTOR CODE]],SIP[B/S],"B")</f>
        <v>0</v>
      </c>
      <c r="M290" s="2">
        <f>-SUMIFS(SIP[Unit],SIP[Investor ID],INVESTORS_LIST[[#This Row],[INVESTOR CODE]],SIP[B/S],"S")</f>
        <v>0</v>
      </c>
      <c r="N290" s="33">
        <f>IF(INVESTORS_LIST[[#This Row],[SIP_TOTAL UNITS BUY]]=0,0,INVESTORS_LIST[[#This Row],[SIP_TOTAL UNITS BUY]]-INVESTORS_LIST[[#This Row],[SIP_TOTAL UNITS SOLD]])</f>
        <v>0</v>
      </c>
      <c r="O290" s="4">
        <f>IF(INVESTORS_LIST[[#This Row],[SIP_TOTAL UNITS BUY]]=0,0,SUMIFS(SIP[Amount],SIP[Investor ID],INVESTORS_LIST[[#This Row],[INVESTOR CODE]],SIP[B/S],"B"))</f>
        <v>0</v>
      </c>
      <c r="P290" s="4">
        <f>IF(INVESTORS_LIST[[#This Row],[SIP_TOTAL UNITS SOLD]]=0,0,SUMIFS(SIP[Cost of Units Sold],SIP[Investor ID],INVESTORS_LIST[[#This Row],[INVESTOR CODE]],SIP[B/S],"S"))</f>
        <v>0</v>
      </c>
      <c r="Q290" s="6">
        <f>IF(INVESTORS_LIST[[#This Row],[SIP_TOTAL CURRENT UNITS]]=0,0,INVESTORS_LIST[[#This Row],[SIP_TOTAL CURRENT UNITS]]*INVESTORS_LIST[[#This Row],[SIP_AVERAGE COST]])</f>
        <v>0</v>
      </c>
      <c r="R290" s="6">
        <f>IF(INVESTORS_LIST[[#This Row],[SIP_TOTAL UNITS SOLD]]=0,0,SUMIFS(SIP[Realized Gain],SIP[Investor ID],INVESTORS_LIST[[#This Row],[INVESTOR CODE]],SIP[B/S],"S"))</f>
        <v>0</v>
      </c>
      <c r="S290" s="33">
        <f>INVESTORS_LIST[[#This Row],[LS_TOTAL UNITS BUY]]+INVESTORS_LIST[[#This Row],[SIP_TOTAL UNITS BUY]]</f>
        <v>0</v>
      </c>
      <c r="T290" s="33">
        <f>INVESTORS_LIST[[#This Row],[LS_TOTAL UNITS SOLD]]+INVESTORS_LIST[[#This Row],[SIP_TOTAL UNITS SOLD]]</f>
        <v>0</v>
      </c>
      <c r="U290" s="33">
        <v>0</v>
      </c>
      <c r="V290" s="33">
        <f>SUMIFS(LS[BO UNIT TRANSFER],LS[Investor ID],INVESTORS_LIST[[#This Row],[INVESTOR CODE]],LS[B/S],"B")</f>
        <v>0</v>
      </c>
      <c r="W290" s="33">
        <f>SUMIFS(LS[BO UNIT TRANSFER],LS[Investor ID],INVESTORS_LIST[[#This Row],[INVESTOR CODE]],LS[B/S],"S")</f>
        <v>0</v>
      </c>
      <c r="X290" s="33">
        <f>SUMIFS(SIP[BO UNIT TRANSFER],SIP[Investor ID],INVESTORS_LIST[[#This Row],[INVESTOR CODE]],SIP[B/S],"S")</f>
        <v>0</v>
      </c>
      <c r="Y290" s="33">
        <f>SUMIFS(SIP[BO UNIT TRANSFER],SIP[Investor ID],INVESTORS_LIST[[#This Row],[INVESTOR CODE]],SIP[B/S],"B")</f>
        <v>0</v>
      </c>
      <c r="Z29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90" s="119">
        <f>INVESTORS_LIST[[#This Row],[TOTAL UNITS BUY]]-INVESTORS_LIST[[#This Row],[TOTAL UNITS SOLD]]</f>
        <v>0</v>
      </c>
      <c r="AB290" s="119">
        <f>INVESTORS_LIST[[#This Row],[TOTAL CURRENT UNITS]]-INVESTORS_LIST[[#This Row],[BO UNITS HOLD]]</f>
        <v>0</v>
      </c>
      <c r="AC290" s="119" t="e">
        <f>INDEX([4]!Table_1[BO ID],MATCH(INVESTORS_LIST[[#This Row],[INVESTOR CODE]],[4]!Table_1[INVESTOR CODE],0))</f>
        <v>#REF!</v>
      </c>
      <c r="AD290" s="33">
        <f>INVESTORS_LIST[[#This Row],[LS_TOTAL COST VALUE OF CURRENT UNITS]]+INVESTORS_LIST[[#This Row],[SIP_TOTAL COST VALUE OF CURRENT UNITS]]</f>
        <v>0</v>
      </c>
      <c r="AE290" s="44">
        <f>IF(INVESTORS_LIST[[#This Row],[TOTAL CURRENT UNITS]]=0,0,INVESTORS_LIST[[#This Row],[LS_TOTAL CURRENT UNITS]]/INVESTORS_LIST[[#This Row],[TOTAL CURRENT UNITS]])</f>
        <v>0</v>
      </c>
      <c r="AF290" s="44">
        <f>IF(INVESTORS_LIST[[#This Row],[TOTAL CURRENT UNITS]]=0,0,INVESTORS_LIST[[#This Row],[SIP_TOTAL CURRENT UNITS]]/INVESTORS_LIST[[#This Row],[TOTAL CURRENT UNITS]])</f>
        <v>0</v>
      </c>
      <c r="AG290" s="4" cm="1">
        <f t="array" ref="AG29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90" s="4" cm="1">
        <f t="array" ref="AH2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9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90" s="178">
        <f t="shared" si="4"/>
        <v>12.552</v>
      </c>
      <c r="AK290" s="118">
        <f>IF(INVESTORS_LIST[[#This Row],[TOTAL CURRENT UNITS]]=0,0,INVESTORS_LIST[[#This Row],[TOTAL CURRENT UNITS]]*INVESTORS_LIST[[#This Row],[NAV]])</f>
        <v>0</v>
      </c>
      <c r="AL290" s="4">
        <f>IF(INVESTORS_LIST[[#This Row],[LS_TOTAL CURRENT UNITS]]=0,0,INVESTORS_LIST[[#This Row],[LS_TOTAL CURRENT UNITS]]*INVESTORS_LIST[[#This Row],[NAV]])</f>
        <v>0</v>
      </c>
      <c r="AM290" s="6">
        <f>IF(INVESTORS_LIST[[#This Row],[SIP_TOTAL CURRENT UNITS]]=0,0,INVESTORS_LIST[[#This Row],[SIP_TOTAL CURRENT UNITS]]*INVESTORS_LIST[[#This Row],[NAV]])</f>
        <v>0</v>
      </c>
      <c r="AO290" s="6">
        <f>IF(INVESTORS_LIST[[#This Row],[TOTAL SELLABLE UNITS]]=0,0,INVESTORS_LIST[[#This Row],[TOTAL SELLABLE UNITS]]*INVESTORS_LIST[[#This Row],[NAV]])</f>
        <v>0</v>
      </c>
      <c r="AP290" s="6">
        <f>INVESTORS_LIST[[#This Row],[LS_TOTAL REALIZED GAIN]]+INVESTORS_LIST[[#This Row],[SIP_TOTAL REALIZED GAIN]]</f>
        <v>0</v>
      </c>
      <c r="AQ290" s="6">
        <f>INVESTORS_LIST[[#This Row],[TOTAL MARKET VALUE]]-INVESTORS_LIST[[#This Row],[TOTAL COST VALUE OF CURRENT INVESTMENT]]</f>
        <v>0</v>
      </c>
      <c r="AR290" s="6">
        <f>SUMIFS(DivAndTax[Tax Amount],DivAndTax[Investor ID],INVESTORS_LIST[[#This Row],[INVESTOR CODE]])</f>
        <v>0</v>
      </c>
      <c r="AS290" s="6">
        <f>SUMIFS(DivAndTax[Gross Dividend],DivAndTax[Investor ID],INVESTORS_LIST[[#This Row],[INVESTOR CODE]])</f>
        <v>0</v>
      </c>
      <c r="AT290" s="5">
        <f>IFERROR(INVESTORS_LIST[[#This Row],[TOTAL CURRENT UNITS]]/SUM(INVESTORS_LIST[TOTAL CURRENT UNITS]),0)</f>
        <v>0</v>
      </c>
    </row>
    <row r="291" spans="1:46" hidden="1">
      <c r="A291" t="s">
        <v>439</v>
      </c>
      <c r="B291" t="s">
        <v>440</v>
      </c>
      <c r="C291" t="s">
        <v>536</v>
      </c>
      <c r="D291" s="8" t="s">
        <v>2</v>
      </c>
      <c r="E291" s="2">
        <f>SUMIFS(LS[Unit],LS[Investor ID],INVESTORS_LIST[[#This Row],[INVESTOR CODE]],LS[B/S],"B")</f>
        <v>0</v>
      </c>
      <c r="F291" s="2">
        <f>-SUMIFS(LS[Unit],LS[Investor ID],INVESTORS_LIST[[#This Row],[INVESTOR CODE]],LS[B/S],"S")</f>
        <v>0</v>
      </c>
      <c r="G291" s="2">
        <f>IF(INVESTORS_LIST[[#This Row],[LS_TOTAL UNITS BUY]]=0,0,INVESTORS_LIST[[#This Row],[LS_TOTAL UNITS BUY]]-INVESTORS_LIST[[#This Row],[LS_TOTAL UNITS SOLD]])</f>
        <v>0</v>
      </c>
      <c r="H291" s="4">
        <f>IF(INVESTORS_LIST[[#This Row],[LS_TOTAL UNITS BUY]]=0,0,SUMIFS(LS[Amount],LS[Investor ID],INVESTORS_LIST[[#This Row],[INVESTOR CODE]],LS[B/S],"B"))</f>
        <v>0</v>
      </c>
      <c r="I291" s="6">
        <f>IF(INVESTORS_LIST[[#This Row],[LS_TOTAL UNITS SOLD]]=0,0,SUMIFS(LS[Cost of Units Sold],LS[Investor ID],INVESTORS_LIST[[#This Row],[INVESTOR CODE]],LS[B/S],"S"))</f>
        <v>0</v>
      </c>
      <c r="J291" s="6">
        <f>IF(INVESTORS_LIST[[#This Row],[LS_TOTAL CURRENT UNITS]]=0,0,INVESTORS_LIST[[#This Row],[LS_TOTAL CURRENT UNITS]]*INVESTORS_LIST[[#This Row],[LS_AVERAGE COST]])</f>
        <v>0</v>
      </c>
      <c r="K291" s="4">
        <f>IF(INVESTORS_LIST[[#This Row],[LS_TOTAL UNITS SOLD]]=0,0,SUMIFS(LS[Realized Gain],LS[Investor ID],INVESTORS_LIST[[#This Row],[INVESTOR CODE]],LS[B/S],"S"))</f>
        <v>0</v>
      </c>
      <c r="L291" s="2">
        <f>SUMIFS(SIP[Unit],SIP[Investor ID],INVESTORS_LIST[[#This Row],[INVESTOR CODE]],SIP[B/S],"B")</f>
        <v>0</v>
      </c>
      <c r="M291" s="2">
        <f>-SUMIFS(SIP[Unit],SIP[Investor ID],INVESTORS_LIST[[#This Row],[INVESTOR CODE]],SIP[B/S],"S")</f>
        <v>0</v>
      </c>
      <c r="N291" s="33">
        <f>IF(INVESTORS_LIST[[#This Row],[SIP_TOTAL UNITS BUY]]=0,0,INVESTORS_LIST[[#This Row],[SIP_TOTAL UNITS BUY]]-INVESTORS_LIST[[#This Row],[SIP_TOTAL UNITS SOLD]])</f>
        <v>0</v>
      </c>
      <c r="O291" s="4">
        <f>IF(INVESTORS_LIST[[#This Row],[SIP_TOTAL UNITS BUY]]=0,0,SUMIFS(SIP[Amount],SIP[Investor ID],INVESTORS_LIST[[#This Row],[INVESTOR CODE]],SIP[B/S],"B"))</f>
        <v>0</v>
      </c>
      <c r="P291" s="4">
        <f>IF(INVESTORS_LIST[[#This Row],[SIP_TOTAL UNITS SOLD]]=0,0,SUMIFS(SIP[Cost of Units Sold],SIP[Investor ID],INVESTORS_LIST[[#This Row],[INVESTOR CODE]],SIP[B/S],"S"))</f>
        <v>0</v>
      </c>
      <c r="Q291" s="6">
        <f>IF(INVESTORS_LIST[[#This Row],[SIP_TOTAL CURRENT UNITS]]=0,0,INVESTORS_LIST[[#This Row],[SIP_TOTAL CURRENT UNITS]]*INVESTORS_LIST[[#This Row],[SIP_AVERAGE COST]])</f>
        <v>0</v>
      </c>
      <c r="R291" s="6">
        <f>IF(INVESTORS_LIST[[#This Row],[SIP_TOTAL UNITS SOLD]]=0,0,SUMIFS(SIP[Realized Gain],SIP[Investor ID],INVESTORS_LIST[[#This Row],[INVESTOR CODE]],SIP[B/S],"S"))</f>
        <v>0</v>
      </c>
      <c r="S291" s="33">
        <f>INVESTORS_LIST[[#This Row],[LS_TOTAL UNITS BUY]]+INVESTORS_LIST[[#This Row],[SIP_TOTAL UNITS BUY]]</f>
        <v>0</v>
      </c>
      <c r="T291" s="33">
        <f>INVESTORS_LIST[[#This Row],[LS_TOTAL UNITS SOLD]]+INVESTORS_LIST[[#This Row],[SIP_TOTAL UNITS SOLD]]</f>
        <v>0</v>
      </c>
      <c r="U291" s="33">
        <v>0</v>
      </c>
      <c r="V291" s="33">
        <f>SUMIFS(LS[BO UNIT TRANSFER],LS[Investor ID],INVESTORS_LIST[[#This Row],[INVESTOR CODE]],LS[B/S],"B")</f>
        <v>0</v>
      </c>
      <c r="W291" s="33">
        <f>SUMIFS(LS[BO UNIT TRANSFER],LS[Investor ID],INVESTORS_LIST[[#This Row],[INVESTOR CODE]],LS[B/S],"S")</f>
        <v>0</v>
      </c>
      <c r="X291" s="33">
        <f>SUMIFS(SIP[BO UNIT TRANSFER],SIP[Investor ID],INVESTORS_LIST[[#This Row],[INVESTOR CODE]],SIP[B/S],"S")</f>
        <v>0</v>
      </c>
      <c r="Y291" s="33">
        <f>SUMIFS(SIP[BO UNIT TRANSFER],SIP[Investor ID],INVESTORS_LIST[[#This Row],[INVESTOR CODE]],SIP[B/S],"B")</f>
        <v>0</v>
      </c>
      <c r="Z29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91" s="119">
        <f>INVESTORS_LIST[[#This Row],[TOTAL UNITS BUY]]-INVESTORS_LIST[[#This Row],[TOTAL UNITS SOLD]]</f>
        <v>0</v>
      </c>
      <c r="AB291" s="119">
        <f>INVESTORS_LIST[[#This Row],[TOTAL CURRENT UNITS]]-INVESTORS_LIST[[#This Row],[BO UNITS HOLD]]</f>
        <v>0</v>
      </c>
      <c r="AC291" s="119" t="e">
        <f>INDEX([4]!Table_1[BO ID],MATCH(INVESTORS_LIST[[#This Row],[INVESTOR CODE]],[4]!Table_1[INVESTOR CODE],0))</f>
        <v>#REF!</v>
      </c>
      <c r="AD291" s="33">
        <f>INVESTORS_LIST[[#This Row],[LS_TOTAL COST VALUE OF CURRENT UNITS]]+INVESTORS_LIST[[#This Row],[SIP_TOTAL COST VALUE OF CURRENT UNITS]]</f>
        <v>0</v>
      </c>
      <c r="AE291" s="44">
        <f>IF(INVESTORS_LIST[[#This Row],[TOTAL CURRENT UNITS]]=0,0,INVESTORS_LIST[[#This Row],[LS_TOTAL CURRENT UNITS]]/INVESTORS_LIST[[#This Row],[TOTAL CURRENT UNITS]])</f>
        <v>0</v>
      </c>
      <c r="AF291" s="44">
        <f>IF(INVESTORS_LIST[[#This Row],[TOTAL CURRENT UNITS]]=0,0,INVESTORS_LIST[[#This Row],[SIP_TOTAL CURRENT UNITS]]/INVESTORS_LIST[[#This Row],[TOTAL CURRENT UNITS]])</f>
        <v>0</v>
      </c>
      <c r="AG291" s="4" cm="1">
        <f t="array" ref="AG2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91" s="4" cm="1">
        <f t="array" ref="AH2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9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91" s="178">
        <f t="shared" si="4"/>
        <v>12.552</v>
      </c>
      <c r="AK291" s="118">
        <f>IF(INVESTORS_LIST[[#This Row],[TOTAL CURRENT UNITS]]=0,0,INVESTORS_LIST[[#This Row],[TOTAL CURRENT UNITS]]*INVESTORS_LIST[[#This Row],[NAV]])</f>
        <v>0</v>
      </c>
      <c r="AL291" s="4">
        <f>IF(INVESTORS_LIST[[#This Row],[LS_TOTAL CURRENT UNITS]]=0,0,INVESTORS_LIST[[#This Row],[LS_TOTAL CURRENT UNITS]]*INVESTORS_LIST[[#This Row],[NAV]])</f>
        <v>0</v>
      </c>
      <c r="AM291" s="6">
        <f>IF(INVESTORS_LIST[[#This Row],[SIP_TOTAL CURRENT UNITS]]=0,0,INVESTORS_LIST[[#This Row],[SIP_TOTAL CURRENT UNITS]]*INVESTORS_LIST[[#This Row],[NAV]])</f>
        <v>0</v>
      </c>
      <c r="AO291" s="6">
        <f>IF(INVESTORS_LIST[[#This Row],[TOTAL SELLABLE UNITS]]=0,0,INVESTORS_LIST[[#This Row],[TOTAL SELLABLE UNITS]]*INVESTORS_LIST[[#This Row],[NAV]])</f>
        <v>0</v>
      </c>
      <c r="AP291" s="6">
        <f>INVESTORS_LIST[[#This Row],[LS_TOTAL REALIZED GAIN]]+INVESTORS_LIST[[#This Row],[SIP_TOTAL REALIZED GAIN]]</f>
        <v>0</v>
      </c>
      <c r="AQ291" s="6">
        <f>INVESTORS_LIST[[#This Row],[TOTAL MARKET VALUE]]-INVESTORS_LIST[[#This Row],[TOTAL COST VALUE OF CURRENT INVESTMENT]]</f>
        <v>0</v>
      </c>
      <c r="AR291" s="6">
        <f>SUMIFS(DivAndTax[Tax Amount],DivAndTax[Investor ID],INVESTORS_LIST[[#This Row],[INVESTOR CODE]])</f>
        <v>0</v>
      </c>
      <c r="AS291" s="6">
        <f>SUMIFS(DivAndTax[Gross Dividend],DivAndTax[Investor ID],INVESTORS_LIST[[#This Row],[INVESTOR CODE]])</f>
        <v>0</v>
      </c>
      <c r="AT291" s="5">
        <f>IFERROR(INVESTORS_LIST[[#This Row],[TOTAL CURRENT UNITS]]/SUM(INVESTORS_LIST[TOTAL CURRENT UNITS]),0)</f>
        <v>0</v>
      </c>
    </row>
    <row r="292" spans="1:46" hidden="1">
      <c r="A292" t="s">
        <v>441</v>
      </c>
      <c r="B292" t="s">
        <v>442</v>
      </c>
      <c r="C292" t="s">
        <v>536</v>
      </c>
      <c r="D292" s="8" t="s">
        <v>2</v>
      </c>
      <c r="E292" s="2">
        <f>SUMIFS(LS[Unit],LS[Investor ID],INVESTORS_LIST[[#This Row],[INVESTOR CODE]],LS[B/S],"B")</f>
        <v>50000</v>
      </c>
      <c r="F292" s="2">
        <f>-SUMIFS(LS[Unit],LS[Investor ID],INVESTORS_LIST[[#This Row],[INVESTOR CODE]],LS[B/S],"S")</f>
        <v>50000</v>
      </c>
      <c r="G292" s="2">
        <f>IF(INVESTORS_LIST[[#This Row],[LS_TOTAL UNITS BUY]]=0,0,INVESTORS_LIST[[#This Row],[LS_TOTAL UNITS BUY]]-INVESTORS_LIST[[#This Row],[LS_TOTAL UNITS SOLD]])</f>
        <v>0</v>
      </c>
      <c r="H292" s="4">
        <f>IF(INVESTORS_LIST[[#This Row],[LS_TOTAL UNITS BUY]]=0,0,SUMIFS(LS[Amount],LS[Investor ID],INVESTORS_LIST[[#This Row],[INVESTOR CODE]],LS[B/S],"B"))</f>
        <v>500000</v>
      </c>
      <c r="I292" s="6">
        <f>IF(INVESTORS_LIST[[#This Row],[LS_TOTAL UNITS SOLD]]=0,0,SUMIFS(LS[Cost of Units Sold],LS[Investor ID],INVESTORS_LIST[[#This Row],[INVESTOR CODE]],LS[B/S],"S"))</f>
        <v>500000</v>
      </c>
      <c r="J292" s="6">
        <f>IF(INVESTORS_LIST[[#This Row],[LS_TOTAL CURRENT UNITS]]=0,0,INVESTORS_LIST[[#This Row],[LS_TOTAL CURRENT UNITS]]*INVESTORS_LIST[[#This Row],[LS_AVERAGE COST]])</f>
        <v>0</v>
      </c>
      <c r="K292" s="4">
        <f>IF(INVESTORS_LIST[[#This Row],[LS_TOTAL UNITS SOLD]]=0,0,SUMIFS(LS[Realized Gain],LS[Investor ID],INVESTORS_LIST[[#This Row],[INVESTOR CODE]],LS[B/S],"S"))</f>
        <v>-999.99999999997863</v>
      </c>
      <c r="L292" s="2">
        <f>SUMIFS(SIP[Unit],SIP[Investor ID],INVESTORS_LIST[[#This Row],[INVESTOR CODE]],SIP[B/S],"B")</f>
        <v>0</v>
      </c>
      <c r="M292" s="2">
        <f>-SUMIFS(SIP[Unit],SIP[Investor ID],INVESTORS_LIST[[#This Row],[INVESTOR CODE]],SIP[B/S],"S")</f>
        <v>0</v>
      </c>
      <c r="N292" s="33">
        <f>IF(INVESTORS_LIST[[#This Row],[SIP_TOTAL UNITS BUY]]=0,0,INVESTORS_LIST[[#This Row],[SIP_TOTAL UNITS BUY]]-INVESTORS_LIST[[#This Row],[SIP_TOTAL UNITS SOLD]])</f>
        <v>0</v>
      </c>
      <c r="O292" s="4">
        <f>IF(INVESTORS_LIST[[#This Row],[SIP_TOTAL UNITS BUY]]=0,0,SUMIFS(SIP[Amount],SIP[Investor ID],INVESTORS_LIST[[#This Row],[INVESTOR CODE]],SIP[B/S],"B"))</f>
        <v>0</v>
      </c>
      <c r="P292" s="4">
        <f>IF(INVESTORS_LIST[[#This Row],[SIP_TOTAL UNITS SOLD]]=0,0,SUMIFS(SIP[Cost of Units Sold],SIP[Investor ID],INVESTORS_LIST[[#This Row],[INVESTOR CODE]],SIP[B/S],"S"))</f>
        <v>0</v>
      </c>
      <c r="Q292" s="6">
        <f>IF(INVESTORS_LIST[[#This Row],[SIP_TOTAL CURRENT UNITS]]=0,0,INVESTORS_LIST[[#This Row],[SIP_TOTAL CURRENT UNITS]]*INVESTORS_LIST[[#This Row],[SIP_AVERAGE COST]])</f>
        <v>0</v>
      </c>
      <c r="R292" s="6">
        <f>IF(INVESTORS_LIST[[#This Row],[SIP_TOTAL UNITS SOLD]]=0,0,SUMIFS(SIP[Realized Gain],SIP[Investor ID],INVESTORS_LIST[[#This Row],[INVESTOR CODE]],SIP[B/S],"S"))</f>
        <v>0</v>
      </c>
      <c r="S292" s="33">
        <f>INVESTORS_LIST[[#This Row],[LS_TOTAL UNITS BUY]]+INVESTORS_LIST[[#This Row],[SIP_TOTAL UNITS BUY]]</f>
        <v>50000</v>
      </c>
      <c r="T292" s="33">
        <f>INVESTORS_LIST[[#This Row],[LS_TOTAL UNITS SOLD]]+INVESTORS_LIST[[#This Row],[SIP_TOTAL UNITS SOLD]]</f>
        <v>50000</v>
      </c>
      <c r="U292" s="33">
        <v>0</v>
      </c>
      <c r="V292" s="33">
        <f>SUMIFS(LS[BO UNIT TRANSFER],LS[Investor ID],INVESTORS_LIST[[#This Row],[INVESTOR CODE]],LS[B/S],"B")</f>
        <v>0</v>
      </c>
      <c r="W292" s="33">
        <f>SUMIFS(LS[BO UNIT TRANSFER],LS[Investor ID],INVESTORS_LIST[[#This Row],[INVESTOR CODE]],LS[B/S],"S")</f>
        <v>0</v>
      </c>
      <c r="X292" s="33">
        <f>SUMIFS(SIP[BO UNIT TRANSFER],SIP[Investor ID],INVESTORS_LIST[[#This Row],[INVESTOR CODE]],SIP[B/S],"S")</f>
        <v>0</v>
      </c>
      <c r="Y292" s="33">
        <f>SUMIFS(SIP[BO UNIT TRANSFER],SIP[Investor ID],INVESTORS_LIST[[#This Row],[INVESTOR CODE]],SIP[B/S],"B")</f>
        <v>0</v>
      </c>
      <c r="Z29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92" s="119">
        <f>INVESTORS_LIST[[#This Row],[TOTAL UNITS BUY]]-INVESTORS_LIST[[#This Row],[TOTAL UNITS SOLD]]</f>
        <v>0</v>
      </c>
      <c r="AB292" s="119">
        <f>INVESTORS_LIST[[#This Row],[TOTAL CURRENT UNITS]]-INVESTORS_LIST[[#This Row],[BO UNITS HOLD]]</f>
        <v>0</v>
      </c>
      <c r="AC292" s="119" t="e">
        <f>INDEX([4]!Table_1[BO ID],MATCH(INVESTORS_LIST[[#This Row],[INVESTOR CODE]],[4]!Table_1[INVESTOR CODE],0))</f>
        <v>#REF!</v>
      </c>
      <c r="AD292" s="33">
        <f>INVESTORS_LIST[[#This Row],[LS_TOTAL COST VALUE OF CURRENT UNITS]]+INVESTORS_LIST[[#This Row],[SIP_TOTAL COST VALUE OF CURRENT UNITS]]</f>
        <v>0</v>
      </c>
      <c r="AE292" s="44">
        <f>IF(INVESTORS_LIST[[#This Row],[TOTAL CURRENT UNITS]]=0,0,INVESTORS_LIST[[#This Row],[LS_TOTAL CURRENT UNITS]]/INVESTORS_LIST[[#This Row],[TOTAL CURRENT UNITS]])</f>
        <v>0</v>
      </c>
      <c r="AF292" s="44">
        <f>IF(INVESTORS_LIST[[#This Row],[TOTAL CURRENT UNITS]]=0,0,INVESTORS_LIST[[#This Row],[SIP_TOTAL CURRENT UNITS]]/INVESTORS_LIST[[#This Row],[TOTAL CURRENT UNITS]])</f>
        <v>0</v>
      </c>
      <c r="AG292" s="4" cm="1">
        <f t="array" ref="AG29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92" s="4" cm="1">
        <f t="array" ref="AH29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9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92" s="178">
        <f t="shared" si="4"/>
        <v>12.552</v>
      </c>
      <c r="AK292" s="118">
        <f>IF(INVESTORS_LIST[[#This Row],[TOTAL CURRENT UNITS]]=0,0,INVESTORS_LIST[[#This Row],[TOTAL CURRENT UNITS]]*INVESTORS_LIST[[#This Row],[NAV]])</f>
        <v>0</v>
      </c>
      <c r="AL292" s="4">
        <f>IF(INVESTORS_LIST[[#This Row],[LS_TOTAL CURRENT UNITS]]=0,0,INVESTORS_LIST[[#This Row],[LS_TOTAL CURRENT UNITS]]*INVESTORS_LIST[[#This Row],[NAV]])</f>
        <v>0</v>
      </c>
      <c r="AM292" s="6">
        <f>IF(INVESTORS_LIST[[#This Row],[SIP_TOTAL CURRENT UNITS]]=0,0,INVESTORS_LIST[[#This Row],[SIP_TOTAL CURRENT UNITS]]*INVESTORS_LIST[[#This Row],[NAV]])</f>
        <v>0</v>
      </c>
      <c r="AO292" s="6">
        <f>IF(INVESTORS_LIST[[#This Row],[TOTAL SELLABLE UNITS]]=0,0,INVESTORS_LIST[[#This Row],[TOTAL SELLABLE UNITS]]*INVESTORS_LIST[[#This Row],[NAV]])</f>
        <v>0</v>
      </c>
      <c r="AP292" s="6">
        <f>INVESTORS_LIST[[#This Row],[LS_TOTAL REALIZED GAIN]]+INVESTORS_LIST[[#This Row],[SIP_TOTAL REALIZED GAIN]]</f>
        <v>-999.99999999997863</v>
      </c>
      <c r="AQ292" s="6">
        <f>INVESTORS_LIST[[#This Row],[TOTAL MARKET VALUE]]-INVESTORS_LIST[[#This Row],[TOTAL COST VALUE OF CURRENT INVESTMENT]]</f>
        <v>0</v>
      </c>
      <c r="AR292" s="6">
        <f>SUMIFS(DivAndTax[Tax Amount],DivAndTax[Investor ID],INVESTORS_LIST[[#This Row],[INVESTOR CODE]])</f>
        <v>0</v>
      </c>
      <c r="AS292" s="6">
        <f>SUMIFS(DivAndTax[Gross Dividend],DivAndTax[Investor ID],INVESTORS_LIST[[#This Row],[INVESTOR CODE]])</f>
        <v>0</v>
      </c>
      <c r="AT292" s="5">
        <f>IFERROR(INVESTORS_LIST[[#This Row],[TOTAL CURRENT UNITS]]/SUM(INVESTORS_LIST[TOTAL CURRENT UNITS]),0)</f>
        <v>0</v>
      </c>
    </row>
    <row r="293" spans="1:46" hidden="1">
      <c r="A293" t="s">
        <v>443</v>
      </c>
      <c r="B293" t="s">
        <v>444</v>
      </c>
      <c r="C293" t="s">
        <v>541</v>
      </c>
      <c r="D293" s="8" t="s">
        <v>2</v>
      </c>
      <c r="E293" s="2">
        <f>SUMIFS(LS[Unit],LS[Investor ID],INVESTORS_LIST[[#This Row],[INVESTOR CODE]],LS[B/S],"B")</f>
        <v>0</v>
      </c>
      <c r="F293" s="2">
        <f>-SUMIFS(LS[Unit],LS[Investor ID],INVESTORS_LIST[[#This Row],[INVESTOR CODE]],LS[B/S],"S")</f>
        <v>0</v>
      </c>
      <c r="G293" s="2">
        <f>IF(INVESTORS_LIST[[#This Row],[LS_TOTAL UNITS BUY]]=0,0,INVESTORS_LIST[[#This Row],[LS_TOTAL UNITS BUY]]-INVESTORS_LIST[[#This Row],[LS_TOTAL UNITS SOLD]])</f>
        <v>0</v>
      </c>
      <c r="H293" s="4">
        <f>IF(INVESTORS_LIST[[#This Row],[LS_TOTAL UNITS BUY]]=0,0,SUMIFS(LS[Amount],LS[Investor ID],INVESTORS_LIST[[#This Row],[INVESTOR CODE]],LS[B/S],"B"))</f>
        <v>0</v>
      </c>
      <c r="I293" s="6">
        <f>IF(INVESTORS_LIST[[#This Row],[LS_TOTAL UNITS SOLD]]=0,0,SUMIFS(LS[Cost of Units Sold],LS[Investor ID],INVESTORS_LIST[[#This Row],[INVESTOR CODE]],LS[B/S],"S"))</f>
        <v>0</v>
      </c>
      <c r="J293" s="6">
        <f>IF(INVESTORS_LIST[[#This Row],[LS_TOTAL CURRENT UNITS]]=0,0,INVESTORS_LIST[[#This Row],[LS_TOTAL CURRENT UNITS]]*INVESTORS_LIST[[#This Row],[LS_AVERAGE COST]])</f>
        <v>0</v>
      </c>
      <c r="K293" s="4">
        <f>IF(INVESTORS_LIST[[#This Row],[LS_TOTAL UNITS SOLD]]=0,0,SUMIFS(LS[Realized Gain],LS[Investor ID],INVESTORS_LIST[[#This Row],[INVESTOR CODE]],LS[B/S],"S"))</f>
        <v>0</v>
      </c>
      <c r="L293" s="2">
        <f>SUMIFS(SIP[Unit],SIP[Investor ID],INVESTORS_LIST[[#This Row],[INVESTOR CODE]],SIP[B/S],"B")</f>
        <v>0</v>
      </c>
      <c r="M293" s="2">
        <f>-SUMIFS(SIP[Unit],SIP[Investor ID],INVESTORS_LIST[[#This Row],[INVESTOR CODE]],SIP[B/S],"S")</f>
        <v>0</v>
      </c>
      <c r="N293" s="33">
        <f>IF(INVESTORS_LIST[[#This Row],[SIP_TOTAL UNITS BUY]]=0,0,INVESTORS_LIST[[#This Row],[SIP_TOTAL UNITS BUY]]-INVESTORS_LIST[[#This Row],[SIP_TOTAL UNITS SOLD]])</f>
        <v>0</v>
      </c>
      <c r="O293" s="4">
        <f>IF(INVESTORS_LIST[[#This Row],[SIP_TOTAL UNITS BUY]]=0,0,SUMIFS(SIP[Amount],SIP[Investor ID],INVESTORS_LIST[[#This Row],[INVESTOR CODE]],SIP[B/S],"B"))</f>
        <v>0</v>
      </c>
      <c r="P293" s="4">
        <f>IF(INVESTORS_LIST[[#This Row],[SIP_TOTAL UNITS SOLD]]=0,0,SUMIFS(SIP[Cost of Units Sold],SIP[Investor ID],INVESTORS_LIST[[#This Row],[INVESTOR CODE]],SIP[B/S],"S"))</f>
        <v>0</v>
      </c>
      <c r="Q293" s="6">
        <f>IF(INVESTORS_LIST[[#This Row],[SIP_TOTAL CURRENT UNITS]]=0,0,INVESTORS_LIST[[#This Row],[SIP_TOTAL CURRENT UNITS]]*INVESTORS_LIST[[#This Row],[SIP_AVERAGE COST]])</f>
        <v>0</v>
      </c>
      <c r="R293" s="6">
        <f>IF(INVESTORS_LIST[[#This Row],[SIP_TOTAL UNITS SOLD]]=0,0,SUMIFS(SIP[Realized Gain],SIP[Investor ID],INVESTORS_LIST[[#This Row],[INVESTOR CODE]],SIP[B/S],"S"))</f>
        <v>0</v>
      </c>
      <c r="S293" s="33">
        <f>INVESTORS_LIST[[#This Row],[LS_TOTAL UNITS BUY]]+INVESTORS_LIST[[#This Row],[SIP_TOTAL UNITS BUY]]</f>
        <v>0</v>
      </c>
      <c r="T293" s="33">
        <f>INVESTORS_LIST[[#This Row],[LS_TOTAL UNITS SOLD]]+INVESTORS_LIST[[#This Row],[SIP_TOTAL UNITS SOLD]]</f>
        <v>0</v>
      </c>
      <c r="U293" s="33">
        <v>0</v>
      </c>
      <c r="V293" s="33">
        <f>SUMIFS(LS[BO UNIT TRANSFER],LS[Investor ID],INVESTORS_LIST[[#This Row],[INVESTOR CODE]],LS[B/S],"B")</f>
        <v>0</v>
      </c>
      <c r="W293" s="33">
        <f>SUMIFS(LS[BO UNIT TRANSFER],LS[Investor ID],INVESTORS_LIST[[#This Row],[INVESTOR CODE]],LS[B/S],"S")</f>
        <v>0</v>
      </c>
      <c r="X293" s="33">
        <f>SUMIFS(SIP[BO UNIT TRANSFER],SIP[Investor ID],INVESTORS_LIST[[#This Row],[INVESTOR CODE]],SIP[B/S],"S")</f>
        <v>0</v>
      </c>
      <c r="Y293" s="33">
        <f>SUMIFS(SIP[BO UNIT TRANSFER],SIP[Investor ID],INVESTORS_LIST[[#This Row],[INVESTOR CODE]],SIP[B/S],"B")</f>
        <v>0</v>
      </c>
      <c r="Z29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93" s="119">
        <f>INVESTORS_LIST[[#This Row],[TOTAL UNITS BUY]]-INVESTORS_LIST[[#This Row],[TOTAL UNITS SOLD]]</f>
        <v>0</v>
      </c>
      <c r="AB293" s="119">
        <f>INVESTORS_LIST[[#This Row],[TOTAL CURRENT UNITS]]-INVESTORS_LIST[[#This Row],[BO UNITS HOLD]]</f>
        <v>0</v>
      </c>
      <c r="AC293" s="119" t="e">
        <f>INDEX([4]!Table_1[BO ID],MATCH(INVESTORS_LIST[[#This Row],[INVESTOR CODE]],[4]!Table_1[INVESTOR CODE],0))</f>
        <v>#REF!</v>
      </c>
      <c r="AD293" s="33">
        <f>INVESTORS_LIST[[#This Row],[LS_TOTAL COST VALUE OF CURRENT UNITS]]+INVESTORS_LIST[[#This Row],[SIP_TOTAL COST VALUE OF CURRENT UNITS]]</f>
        <v>0</v>
      </c>
      <c r="AE293" s="44">
        <f>IF(INVESTORS_LIST[[#This Row],[TOTAL CURRENT UNITS]]=0,0,INVESTORS_LIST[[#This Row],[LS_TOTAL CURRENT UNITS]]/INVESTORS_LIST[[#This Row],[TOTAL CURRENT UNITS]])</f>
        <v>0</v>
      </c>
      <c r="AF293" s="44">
        <f>IF(INVESTORS_LIST[[#This Row],[TOTAL CURRENT UNITS]]=0,0,INVESTORS_LIST[[#This Row],[SIP_TOTAL CURRENT UNITS]]/INVESTORS_LIST[[#This Row],[TOTAL CURRENT UNITS]])</f>
        <v>0</v>
      </c>
      <c r="AG293" s="4" cm="1">
        <f t="array" ref="AG29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93" s="4" cm="1">
        <f t="array" ref="AH29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9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93" s="178">
        <f t="shared" si="4"/>
        <v>12.552</v>
      </c>
      <c r="AK293" s="118">
        <f>IF(INVESTORS_LIST[[#This Row],[TOTAL CURRENT UNITS]]=0,0,INVESTORS_LIST[[#This Row],[TOTAL CURRENT UNITS]]*INVESTORS_LIST[[#This Row],[NAV]])</f>
        <v>0</v>
      </c>
      <c r="AL293" s="4">
        <f>IF(INVESTORS_LIST[[#This Row],[LS_TOTAL CURRENT UNITS]]=0,0,INVESTORS_LIST[[#This Row],[LS_TOTAL CURRENT UNITS]]*INVESTORS_LIST[[#This Row],[NAV]])</f>
        <v>0</v>
      </c>
      <c r="AM293" s="6">
        <f>IF(INVESTORS_LIST[[#This Row],[SIP_TOTAL CURRENT UNITS]]=0,0,INVESTORS_LIST[[#This Row],[SIP_TOTAL CURRENT UNITS]]*INVESTORS_LIST[[#This Row],[NAV]])</f>
        <v>0</v>
      </c>
      <c r="AO293" s="6">
        <f>IF(INVESTORS_LIST[[#This Row],[TOTAL SELLABLE UNITS]]=0,0,INVESTORS_LIST[[#This Row],[TOTAL SELLABLE UNITS]]*INVESTORS_LIST[[#This Row],[NAV]])</f>
        <v>0</v>
      </c>
      <c r="AP293" s="6">
        <f>INVESTORS_LIST[[#This Row],[LS_TOTAL REALIZED GAIN]]+INVESTORS_LIST[[#This Row],[SIP_TOTAL REALIZED GAIN]]</f>
        <v>0</v>
      </c>
      <c r="AQ293" s="6">
        <f>INVESTORS_LIST[[#This Row],[TOTAL MARKET VALUE]]-INVESTORS_LIST[[#This Row],[TOTAL COST VALUE OF CURRENT INVESTMENT]]</f>
        <v>0</v>
      </c>
      <c r="AR293" s="6">
        <f>SUMIFS(DivAndTax[Tax Amount],DivAndTax[Investor ID],INVESTORS_LIST[[#This Row],[INVESTOR CODE]])</f>
        <v>0</v>
      </c>
      <c r="AS293" s="6">
        <f>SUMIFS(DivAndTax[Gross Dividend],DivAndTax[Investor ID],INVESTORS_LIST[[#This Row],[INVESTOR CODE]])</f>
        <v>0</v>
      </c>
      <c r="AT293" s="5">
        <f>IFERROR(INVESTORS_LIST[[#This Row],[TOTAL CURRENT UNITS]]/SUM(INVESTORS_LIST[TOTAL CURRENT UNITS]),0)</f>
        <v>0</v>
      </c>
    </row>
    <row r="294" spans="1:46" hidden="1">
      <c r="A294" t="s">
        <v>445</v>
      </c>
      <c r="B294" t="s">
        <v>446</v>
      </c>
      <c r="C294" t="s">
        <v>539</v>
      </c>
      <c r="D294" s="8" t="s">
        <v>2</v>
      </c>
      <c r="E294" s="2">
        <f>SUMIFS(LS[Unit],LS[Investor ID],INVESTORS_LIST[[#This Row],[INVESTOR CODE]],LS[B/S],"B")</f>
        <v>0</v>
      </c>
      <c r="F294" s="2">
        <f>-SUMIFS(LS[Unit],LS[Investor ID],INVESTORS_LIST[[#This Row],[INVESTOR CODE]],LS[B/S],"S")</f>
        <v>0</v>
      </c>
      <c r="G294" s="2">
        <f>IF(INVESTORS_LIST[[#This Row],[LS_TOTAL UNITS BUY]]=0,0,INVESTORS_LIST[[#This Row],[LS_TOTAL UNITS BUY]]-INVESTORS_LIST[[#This Row],[LS_TOTAL UNITS SOLD]])</f>
        <v>0</v>
      </c>
      <c r="H294" s="4">
        <f>IF(INVESTORS_LIST[[#This Row],[LS_TOTAL UNITS BUY]]=0,0,SUMIFS(LS[Amount],LS[Investor ID],INVESTORS_LIST[[#This Row],[INVESTOR CODE]],LS[B/S],"B"))</f>
        <v>0</v>
      </c>
      <c r="I294" s="6">
        <f>IF(INVESTORS_LIST[[#This Row],[LS_TOTAL UNITS SOLD]]=0,0,SUMIFS(LS[Cost of Units Sold],LS[Investor ID],INVESTORS_LIST[[#This Row],[INVESTOR CODE]],LS[B/S],"S"))</f>
        <v>0</v>
      </c>
      <c r="J294" s="6">
        <f>IF(INVESTORS_LIST[[#This Row],[LS_TOTAL CURRENT UNITS]]=0,0,INVESTORS_LIST[[#This Row],[LS_TOTAL CURRENT UNITS]]*INVESTORS_LIST[[#This Row],[LS_AVERAGE COST]])</f>
        <v>0</v>
      </c>
      <c r="K294" s="4">
        <f>IF(INVESTORS_LIST[[#This Row],[LS_TOTAL UNITS SOLD]]=0,0,SUMIFS(LS[Realized Gain],LS[Investor ID],INVESTORS_LIST[[#This Row],[INVESTOR CODE]],LS[B/S],"S"))</f>
        <v>0</v>
      </c>
      <c r="L294" s="2">
        <f>SUMIFS(SIP[Unit],SIP[Investor ID],INVESTORS_LIST[[#This Row],[INVESTOR CODE]],SIP[B/S],"B")</f>
        <v>0</v>
      </c>
      <c r="M294" s="2">
        <f>-SUMIFS(SIP[Unit],SIP[Investor ID],INVESTORS_LIST[[#This Row],[INVESTOR CODE]],SIP[B/S],"S")</f>
        <v>0</v>
      </c>
      <c r="N294" s="33">
        <f>IF(INVESTORS_LIST[[#This Row],[SIP_TOTAL UNITS BUY]]=0,0,INVESTORS_LIST[[#This Row],[SIP_TOTAL UNITS BUY]]-INVESTORS_LIST[[#This Row],[SIP_TOTAL UNITS SOLD]])</f>
        <v>0</v>
      </c>
      <c r="O294" s="4">
        <f>IF(INVESTORS_LIST[[#This Row],[SIP_TOTAL UNITS BUY]]=0,0,SUMIFS(SIP[Amount],SIP[Investor ID],INVESTORS_LIST[[#This Row],[INVESTOR CODE]],SIP[B/S],"B"))</f>
        <v>0</v>
      </c>
      <c r="P294" s="4">
        <f>IF(INVESTORS_LIST[[#This Row],[SIP_TOTAL UNITS SOLD]]=0,0,SUMIFS(SIP[Cost of Units Sold],SIP[Investor ID],INVESTORS_LIST[[#This Row],[INVESTOR CODE]],SIP[B/S],"S"))</f>
        <v>0</v>
      </c>
      <c r="Q294" s="6">
        <f>IF(INVESTORS_LIST[[#This Row],[SIP_TOTAL CURRENT UNITS]]=0,0,INVESTORS_LIST[[#This Row],[SIP_TOTAL CURRENT UNITS]]*INVESTORS_LIST[[#This Row],[SIP_AVERAGE COST]])</f>
        <v>0</v>
      </c>
      <c r="R294" s="6">
        <f>IF(INVESTORS_LIST[[#This Row],[SIP_TOTAL UNITS SOLD]]=0,0,SUMIFS(SIP[Realized Gain],SIP[Investor ID],INVESTORS_LIST[[#This Row],[INVESTOR CODE]],SIP[B/S],"S"))</f>
        <v>0</v>
      </c>
      <c r="S294" s="33">
        <f>INVESTORS_LIST[[#This Row],[LS_TOTAL UNITS BUY]]+INVESTORS_LIST[[#This Row],[SIP_TOTAL UNITS BUY]]</f>
        <v>0</v>
      </c>
      <c r="T294" s="33">
        <f>INVESTORS_LIST[[#This Row],[LS_TOTAL UNITS SOLD]]+INVESTORS_LIST[[#This Row],[SIP_TOTAL UNITS SOLD]]</f>
        <v>0</v>
      </c>
      <c r="U294" s="33">
        <v>0</v>
      </c>
      <c r="V294" s="33">
        <f>SUMIFS(LS[BO UNIT TRANSFER],LS[Investor ID],INVESTORS_LIST[[#This Row],[INVESTOR CODE]],LS[B/S],"B")</f>
        <v>0</v>
      </c>
      <c r="W294" s="33">
        <f>SUMIFS(LS[BO UNIT TRANSFER],LS[Investor ID],INVESTORS_LIST[[#This Row],[INVESTOR CODE]],LS[B/S],"S")</f>
        <v>0</v>
      </c>
      <c r="X294" s="33">
        <f>SUMIFS(SIP[BO UNIT TRANSFER],SIP[Investor ID],INVESTORS_LIST[[#This Row],[INVESTOR CODE]],SIP[B/S],"S")</f>
        <v>0</v>
      </c>
      <c r="Y294" s="33">
        <f>SUMIFS(SIP[BO UNIT TRANSFER],SIP[Investor ID],INVESTORS_LIST[[#This Row],[INVESTOR CODE]],SIP[B/S],"B")</f>
        <v>0</v>
      </c>
      <c r="Z29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94" s="119">
        <f>INVESTORS_LIST[[#This Row],[TOTAL UNITS BUY]]-INVESTORS_LIST[[#This Row],[TOTAL UNITS SOLD]]</f>
        <v>0</v>
      </c>
      <c r="AB294" s="119">
        <f>INVESTORS_LIST[[#This Row],[TOTAL CURRENT UNITS]]-INVESTORS_LIST[[#This Row],[BO UNITS HOLD]]</f>
        <v>0</v>
      </c>
      <c r="AC294" s="119" t="e">
        <f>INDEX([4]!Table_1[BO ID],MATCH(INVESTORS_LIST[[#This Row],[INVESTOR CODE]],[4]!Table_1[INVESTOR CODE],0))</f>
        <v>#REF!</v>
      </c>
      <c r="AD294" s="33">
        <f>INVESTORS_LIST[[#This Row],[LS_TOTAL COST VALUE OF CURRENT UNITS]]+INVESTORS_LIST[[#This Row],[SIP_TOTAL COST VALUE OF CURRENT UNITS]]</f>
        <v>0</v>
      </c>
      <c r="AE294" s="44">
        <f>IF(INVESTORS_LIST[[#This Row],[TOTAL CURRENT UNITS]]=0,0,INVESTORS_LIST[[#This Row],[LS_TOTAL CURRENT UNITS]]/INVESTORS_LIST[[#This Row],[TOTAL CURRENT UNITS]])</f>
        <v>0</v>
      </c>
      <c r="AF294" s="44">
        <f>IF(INVESTORS_LIST[[#This Row],[TOTAL CURRENT UNITS]]=0,0,INVESTORS_LIST[[#This Row],[SIP_TOTAL CURRENT UNITS]]/INVESTORS_LIST[[#This Row],[TOTAL CURRENT UNITS]])</f>
        <v>0</v>
      </c>
      <c r="AG294" s="4" cm="1">
        <f t="array" ref="AG29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94" s="4" cm="1">
        <f t="array" ref="AH29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9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94" s="178">
        <f t="shared" si="4"/>
        <v>12.552</v>
      </c>
      <c r="AK294" s="118">
        <f>IF(INVESTORS_LIST[[#This Row],[TOTAL CURRENT UNITS]]=0,0,INVESTORS_LIST[[#This Row],[TOTAL CURRENT UNITS]]*INVESTORS_LIST[[#This Row],[NAV]])</f>
        <v>0</v>
      </c>
      <c r="AL294" s="4">
        <f>IF(INVESTORS_LIST[[#This Row],[LS_TOTAL CURRENT UNITS]]=0,0,INVESTORS_LIST[[#This Row],[LS_TOTAL CURRENT UNITS]]*INVESTORS_LIST[[#This Row],[NAV]])</f>
        <v>0</v>
      </c>
      <c r="AM294" s="6">
        <f>IF(INVESTORS_LIST[[#This Row],[SIP_TOTAL CURRENT UNITS]]=0,0,INVESTORS_LIST[[#This Row],[SIP_TOTAL CURRENT UNITS]]*INVESTORS_LIST[[#This Row],[NAV]])</f>
        <v>0</v>
      </c>
      <c r="AO294" s="6">
        <f>IF(INVESTORS_LIST[[#This Row],[TOTAL SELLABLE UNITS]]=0,0,INVESTORS_LIST[[#This Row],[TOTAL SELLABLE UNITS]]*INVESTORS_LIST[[#This Row],[NAV]])</f>
        <v>0</v>
      </c>
      <c r="AP294" s="6">
        <f>INVESTORS_LIST[[#This Row],[LS_TOTAL REALIZED GAIN]]+INVESTORS_LIST[[#This Row],[SIP_TOTAL REALIZED GAIN]]</f>
        <v>0</v>
      </c>
      <c r="AQ294" s="6">
        <f>INVESTORS_LIST[[#This Row],[TOTAL MARKET VALUE]]-INVESTORS_LIST[[#This Row],[TOTAL COST VALUE OF CURRENT INVESTMENT]]</f>
        <v>0</v>
      </c>
      <c r="AR294" s="6">
        <f>SUMIFS(DivAndTax[Tax Amount],DivAndTax[Investor ID],INVESTORS_LIST[[#This Row],[INVESTOR CODE]])</f>
        <v>0</v>
      </c>
      <c r="AS294" s="6">
        <f>SUMIFS(DivAndTax[Gross Dividend],DivAndTax[Investor ID],INVESTORS_LIST[[#This Row],[INVESTOR CODE]])</f>
        <v>0</v>
      </c>
      <c r="AT294" s="5">
        <f>IFERROR(INVESTORS_LIST[[#This Row],[TOTAL CURRENT UNITS]]/SUM(INVESTORS_LIST[TOTAL CURRENT UNITS]),0)</f>
        <v>0</v>
      </c>
    </row>
    <row r="295" spans="1:46" hidden="1">
      <c r="A295" t="s">
        <v>450</v>
      </c>
      <c r="B295" t="s">
        <v>451</v>
      </c>
      <c r="C295" t="s">
        <v>541</v>
      </c>
      <c r="D295" s="8" t="s">
        <v>2</v>
      </c>
      <c r="E295" s="2">
        <f>SUMIFS(LS[Unit],LS[Investor ID],INVESTORS_LIST[[#This Row],[INVESTOR CODE]],LS[B/S],"B")</f>
        <v>0</v>
      </c>
      <c r="F295" s="2">
        <f>-SUMIFS(LS[Unit],LS[Investor ID],INVESTORS_LIST[[#This Row],[INVESTOR CODE]],LS[B/S],"S")</f>
        <v>0</v>
      </c>
      <c r="G295" s="2">
        <f>IF(INVESTORS_LIST[[#This Row],[LS_TOTAL UNITS BUY]]=0,0,INVESTORS_LIST[[#This Row],[LS_TOTAL UNITS BUY]]-INVESTORS_LIST[[#This Row],[LS_TOTAL UNITS SOLD]])</f>
        <v>0</v>
      </c>
      <c r="H295" s="4">
        <f>IF(INVESTORS_LIST[[#This Row],[LS_TOTAL UNITS BUY]]=0,0,SUMIFS(LS[Amount],LS[Investor ID],INVESTORS_LIST[[#This Row],[INVESTOR CODE]],LS[B/S],"B"))</f>
        <v>0</v>
      </c>
      <c r="I295" s="6">
        <f>IF(INVESTORS_LIST[[#This Row],[LS_TOTAL UNITS SOLD]]=0,0,SUMIFS(LS[Cost of Units Sold],LS[Investor ID],INVESTORS_LIST[[#This Row],[INVESTOR CODE]],LS[B/S],"S"))</f>
        <v>0</v>
      </c>
      <c r="J295" s="6">
        <f>IF(INVESTORS_LIST[[#This Row],[LS_TOTAL CURRENT UNITS]]=0,0,INVESTORS_LIST[[#This Row],[LS_TOTAL CURRENT UNITS]]*INVESTORS_LIST[[#This Row],[LS_AVERAGE COST]])</f>
        <v>0</v>
      </c>
      <c r="K295" s="4">
        <f>IF(INVESTORS_LIST[[#This Row],[LS_TOTAL UNITS SOLD]]=0,0,SUMIFS(LS[Realized Gain],LS[Investor ID],INVESTORS_LIST[[#This Row],[INVESTOR CODE]],LS[B/S],"S"))</f>
        <v>0</v>
      </c>
      <c r="L295" s="2">
        <f>SUMIFS(SIP[Unit],SIP[Investor ID],INVESTORS_LIST[[#This Row],[INVESTOR CODE]],SIP[B/S],"B")</f>
        <v>0</v>
      </c>
      <c r="M295" s="2">
        <f>-SUMIFS(SIP[Unit],SIP[Investor ID],INVESTORS_LIST[[#This Row],[INVESTOR CODE]],SIP[B/S],"S")</f>
        <v>0</v>
      </c>
      <c r="N295" s="33">
        <f>IF(INVESTORS_LIST[[#This Row],[SIP_TOTAL UNITS BUY]]=0,0,INVESTORS_LIST[[#This Row],[SIP_TOTAL UNITS BUY]]-INVESTORS_LIST[[#This Row],[SIP_TOTAL UNITS SOLD]])</f>
        <v>0</v>
      </c>
      <c r="O295" s="4">
        <f>IF(INVESTORS_LIST[[#This Row],[SIP_TOTAL UNITS BUY]]=0,0,SUMIFS(SIP[Amount],SIP[Investor ID],INVESTORS_LIST[[#This Row],[INVESTOR CODE]],SIP[B/S],"B"))</f>
        <v>0</v>
      </c>
      <c r="P295" s="4">
        <f>IF(INVESTORS_LIST[[#This Row],[SIP_TOTAL UNITS SOLD]]=0,0,SUMIFS(SIP[Cost of Units Sold],SIP[Investor ID],INVESTORS_LIST[[#This Row],[INVESTOR CODE]],SIP[B/S],"S"))</f>
        <v>0</v>
      </c>
      <c r="Q295" s="6">
        <f>IF(INVESTORS_LIST[[#This Row],[SIP_TOTAL CURRENT UNITS]]=0,0,INVESTORS_LIST[[#This Row],[SIP_TOTAL CURRENT UNITS]]*INVESTORS_LIST[[#This Row],[SIP_AVERAGE COST]])</f>
        <v>0</v>
      </c>
      <c r="R295" s="6">
        <f>IF(INVESTORS_LIST[[#This Row],[SIP_TOTAL UNITS SOLD]]=0,0,SUMIFS(SIP[Realized Gain],SIP[Investor ID],INVESTORS_LIST[[#This Row],[INVESTOR CODE]],SIP[B/S],"S"))</f>
        <v>0</v>
      </c>
      <c r="S295" s="33">
        <f>INVESTORS_LIST[[#This Row],[LS_TOTAL UNITS BUY]]+INVESTORS_LIST[[#This Row],[SIP_TOTAL UNITS BUY]]</f>
        <v>0</v>
      </c>
      <c r="T295" s="33">
        <f>INVESTORS_LIST[[#This Row],[LS_TOTAL UNITS SOLD]]+INVESTORS_LIST[[#This Row],[SIP_TOTAL UNITS SOLD]]</f>
        <v>0</v>
      </c>
      <c r="U295" s="33">
        <v>0</v>
      </c>
      <c r="V295" s="33">
        <f>SUMIFS(LS[BO UNIT TRANSFER],LS[Investor ID],INVESTORS_LIST[[#This Row],[INVESTOR CODE]],LS[B/S],"B")</f>
        <v>0</v>
      </c>
      <c r="W295" s="33">
        <f>SUMIFS(LS[BO UNIT TRANSFER],LS[Investor ID],INVESTORS_LIST[[#This Row],[INVESTOR CODE]],LS[B/S],"S")</f>
        <v>0</v>
      </c>
      <c r="X295" s="33">
        <f>SUMIFS(SIP[BO UNIT TRANSFER],SIP[Investor ID],INVESTORS_LIST[[#This Row],[INVESTOR CODE]],SIP[B/S],"S")</f>
        <v>0</v>
      </c>
      <c r="Y295" s="33">
        <f>SUMIFS(SIP[BO UNIT TRANSFER],SIP[Investor ID],INVESTORS_LIST[[#This Row],[INVESTOR CODE]],SIP[B/S],"B")</f>
        <v>0</v>
      </c>
      <c r="Z29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95" s="119">
        <f>INVESTORS_LIST[[#This Row],[TOTAL UNITS BUY]]-INVESTORS_LIST[[#This Row],[TOTAL UNITS SOLD]]</f>
        <v>0</v>
      </c>
      <c r="AB295" s="119">
        <f>INVESTORS_LIST[[#This Row],[TOTAL CURRENT UNITS]]-INVESTORS_LIST[[#This Row],[BO UNITS HOLD]]</f>
        <v>0</v>
      </c>
      <c r="AC295" s="119" t="e">
        <f>INDEX([4]!Table_1[BO ID],MATCH(INVESTORS_LIST[[#This Row],[INVESTOR CODE]],[4]!Table_1[INVESTOR CODE],0))</f>
        <v>#REF!</v>
      </c>
      <c r="AD295" s="33">
        <f>INVESTORS_LIST[[#This Row],[LS_TOTAL COST VALUE OF CURRENT UNITS]]+INVESTORS_LIST[[#This Row],[SIP_TOTAL COST VALUE OF CURRENT UNITS]]</f>
        <v>0</v>
      </c>
      <c r="AE295" s="44">
        <f>IF(INVESTORS_LIST[[#This Row],[TOTAL CURRENT UNITS]]=0,0,INVESTORS_LIST[[#This Row],[LS_TOTAL CURRENT UNITS]]/INVESTORS_LIST[[#This Row],[TOTAL CURRENT UNITS]])</f>
        <v>0</v>
      </c>
      <c r="AF295" s="44">
        <f>IF(INVESTORS_LIST[[#This Row],[TOTAL CURRENT UNITS]]=0,0,INVESTORS_LIST[[#This Row],[SIP_TOTAL CURRENT UNITS]]/INVESTORS_LIST[[#This Row],[TOTAL CURRENT UNITS]])</f>
        <v>0</v>
      </c>
      <c r="AG295" s="4" cm="1">
        <f t="array" ref="AG29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95" s="4" cm="1">
        <f t="array" ref="AH2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9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95" s="178">
        <f t="shared" si="4"/>
        <v>12.552</v>
      </c>
      <c r="AK295" s="118">
        <f>IF(INVESTORS_LIST[[#This Row],[TOTAL CURRENT UNITS]]=0,0,INVESTORS_LIST[[#This Row],[TOTAL CURRENT UNITS]]*INVESTORS_LIST[[#This Row],[NAV]])</f>
        <v>0</v>
      </c>
      <c r="AL295" s="4">
        <f>IF(INVESTORS_LIST[[#This Row],[LS_TOTAL CURRENT UNITS]]=0,0,INVESTORS_LIST[[#This Row],[LS_TOTAL CURRENT UNITS]]*INVESTORS_LIST[[#This Row],[NAV]])</f>
        <v>0</v>
      </c>
      <c r="AM295" s="6">
        <f>IF(INVESTORS_LIST[[#This Row],[SIP_TOTAL CURRENT UNITS]]=0,0,INVESTORS_LIST[[#This Row],[SIP_TOTAL CURRENT UNITS]]*INVESTORS_LIST[[#This Row],[NAV]])</f>
        <v>0</v>
      </c>
      <c r="AO295" s="6">
        <f>IF(INVESTORS_LIST[[#This Row],[TOTAL SELLABLE UNITS]]=0,0,INVESTORS_LIST[[#This Row],[TOTAL SELLABLE UNITS]]*INVESTORS_LIST[[#This Row],[NAV]])</f>
        <v>0</v>
      </c>
      <c r="AP295" s="6">
        <f>INVESTORS_LIST[[#This Row],[LS_TOTAL REALIZED GAIN]]+INVESTORS_LIST[[#This Row],[SIP_TOTAL REALIZED GAIN]]</f>
        <v>0</v>
      </c>
      <c r="AQ295" s="6">
        <f>INVESTORS_LIST[[#This Row],[TOTAL MARKET VALUE]]-INVESTORS_LIST[[#This Row],[TOTAL COST VALUE OF CURRENT INVESTMENT]]</f>
        <v>0</v>
      </c>
      <c r="AR295" s="6">
        <f>SUMIFS(DivAndTax[Tax Amount],DivAndTax[Investor ID],INVESTORS_LIST[[#This Row],[INVESTOR CODE]])</f>
        <v>0</v>
      </c>
      <c r="AS295" s="6">
        <f>SUMIFS(DivAndTax[Gross Dividend],DivAndTax[Investor ID],INVESTORS_LIST[[#This Row],[INVESTOR CODE]])</f>
        <v>0</v>
      </c>
      <c r="AT295" s="5">
        <f>IFERROR(INVESTORS_LIST[[#This Row],[TOTAL CURRENT UNITS]]/SUM(INVESTORS_LIST[TOTAL CURRENT UNITS]),0)</f>
        <v>0</v>
      </c>
    </row>
    <row r="296" spans="1:46" hidden="1">
      <c r="A296" t="s">
        <v>454</v>
      </c>
      <c r="B296" t="s">
        <v>455</v>
      </c>
      <c r="C296" t="s">
        <v>536</v>
      </c>
      <c r="D296" s="8" t="s">
        <v>2</v>
      </c>
      <c r="E296" s="2">
        <f>SUMIFS(LS[Unit],LS[Investor ID],INVESTORS_LIST[[#This Row],[INVESTOR CODE]],LS[B/S],"B")</f>
        <v>0</v>
      </c>
      <c r="F296" s="2">
        <f>-SUMIFS(LS[Unit],LS[Investor ID],INVESTORS_LIST[[#This Row],[INVESTOR CODE]],LS[B/S],"S")</f>
        <v>0</v>
      </c>
      <c r="G296" s="2">
        <f>IF(INVESTORS_LIST[[#This Row],[LS_TOTAL UNITS BUY]]=0,0,INVESTORS_LIST[[#This Row],[LS_TOTAL UNITS BUY]]-INVESTORS_LIST[[#This Row],[LS_TOTAL UNITS SOLD]])</f>
        <v>0</v>
      </c>
      <c r="H296" s="4">
        <f>IF(INVESTORS_LIST[[#This Row],[LS_TOTAL UNITS BUY]]=0,0,SUMIFS(LS[Amount],LS[Investor ID],INVESTORS_LIST[[#This Row],[INVESTOR CODE]],LS[B/S],"B"))</f>
        <v>0</v>
      </c>
      <c r="I296" s="6">
        <f>IF(INVESTORS_LIST[[#This Row],[LS_TOTAL UNITS SOLD]]=0,0,SUMIFS(LS[Cost of Units Sold],LS[Investor ID],INVESTORS_LIST[[#This Row],[INVESTOR CODE]],LS[B/S],"S"))</f>
        <v>0</v>
      </c>
      <c r="J296" s="6">
        <f>IF(INVESTORS_LIST[[#This Row],[LS_TOTAL CURRENT UNITS]]=0,0,INVESTORS_LIST[[#This Row],[LS_TOTAL CURRENT UNITS]]*INVESTORS_LIST[[#This Row],[LS_AVERAGE COST]])</f>
        <v>0</v>
      </c>
      <c r="K296" s="4">
        <f>IF(INVESTORS_LIST[[#This Row],[LS_TOTAL UNITS SOLD]]=0,0,SUMIFS(LS[Realized Gain],LS[Investor ID],INVESTORS_LIST[[#This Row],[INVESTOR CODE]],LS[B/S],"S"))</f>
        <v>0</v>
      </c>
      <c r="L296" s="2">
        <f>SUMIFS(SIP[Unit],SIP[Investor ID],INVESTORS_LIST[[#This Row],[INVESTOR CODE]],SIP[B/S],"B")</f>
        <v>0</v>
      </c>
      <c r="M296" s="2">
        <f>-SUMIFS(SIP[Unit],SIP[Investor ID],INVESTORS_LIST[[#This Row],[INVESTOR CODE]],SIP[B/S],"S")</f>
        <v>0</v>
      </c>
      <c r="N296" s="33">
        <f>IF(INVESTORS_LIST[[#This Row],[SIP_TOTAL UNITS BUY]]=0,0,INVESTORS_LIST[[#This Row],[SIP_TOTAL UNITS BUY]]-INVESTORS_LIST[[#This Row],[SIP_TOTAL UNITS SOLD]])</f>
        <v>0</v>
      </c>
      <c r="O296" s="4">
        <f>IF(INVESTORS_LIST[[#This Row],[SIP_TOTAL UNITS BUY]]=0,0,SUMIFS(SIP[Amount],SIP[Investor ID],INVESTORS_LIST[[#This Row],[INVESTOR CODE]],SIP[B/S],"B"))</f>
        <v>0</v>
      </c>
      <c r="P296" s="4">
        <f>IF(INVESTORS_LIST[[#This Row],[SIP_TOTAL UNITS SOLD]]=0,0,SUMIFS(SIP[Cost of Units Sold],SIP[Investor ID],INVESTORS_LIST[[#This Row],[INVESTOR CODE]],SIP[B/S],"S"))</f>
        <v>0</v>
      </c>
      <c r="Q296" s="6">
        <f>IF(INVESTORS_LIST[[#This Row],[SIP_TOTAL CURRENT UNITS]]=0,0,INVESTORS_LIST[[#This Row],[SIP_TOTAL CURRENT UNITS]]*INVESTORS_LIST[[#This Row],[SIP_AVERAGE COST]])</f>
        <v>0</v>
      </c>
      <c r="R296" s="6">
        <f>IF(INVESTORS_LIST[[#This Row],[SIP_TOTAL UNITS SOLD]]=0,0,SUMIFS(SIP[Realized Gain],SIP[Investor ID],INVESTORS_LIST[[#This Row],[INVESTOR CODE]],SIP[B/S],"S"))</f>
        <v>0</v>
      </c>
      <c r="S296" s="33">
        <f>INVESTORS_LIST[[#This Row],[LS_TOTAL UNITS BUY]]+INVESTORS_LIST[[#This Row],[SIP_TOTAL UNITS BUY]]</f>
        <v>0</v>
      </c>
      <c r="T296" s="33">
        <f>INVESTORS_LIST[[#This Row],[LS_TOTAL UNITS SOLD]]+INVESTORS_LIST[[#This Row],[SIP_TOTAL UNITS SOLD]]</f>
        <v>0</v>
      </c>
      <c r="U296" s="33">
        <v>0</v>
      </c>
      <c r="V296" s="33">
        <f>SUMIFS(LS[BO UNIT TRANSFER],LS[Investor ID],INVESTORS_LIST[[#This Row],[INVESTOR CODE]],LS[B/S],"B")</f>
        <v>0</v>
      </c>
      <c r="W296" s="33">
        <f>SUMIFS(LS[BO UNIT TRANSFER],LS[Investor ID],INVESTORS_LIST[[#This Row],[INVESTOR CODE]],LS[B/S],"S")</f>
        <v>0</v>
      </c>
      <c r="X296" s="33">
        <f>SUMIFS(SIP[BO UNIT TRANSFER],SIP[Investor ID],INVESTORS_LIST[[#This Row],[INVESTOR CODE]],SIP[B/S],"S")</f>
        <v>0</v>
      </c>
      <c r="Y296" s="33">
        <f>SUMIFS(SIP[BO UNIT TRANSFER],SIP[Investor ID],INVESTORS_LIST[[#This Row],[INVESTOR CODE]],SIP[B/S],"B")</f>
        <v>0</v>
      </c>
      <c r="Z29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96" s="119">
        <f>INVESTORS_LIST[[#This Row],[TOTAL UNITS BUY]]-INVESTORS_LIST[[#This Row],[TOTAL UNITS SOLD]]</f>
        <v>0</v>
      </c>
      <c r="AB296" s="119">
        <f>INVESTORS_LIST[[#This Row],[TOTAL CURRENT UNITS]]-INVESTORS_LIST[[#This Row],[BO UNITS HOLD]]</f>
        <v>0</v>
      </c>
      <c r="AC296" s="119" t="e">
        <f>INDEX([4]!Table_1[BO ID],MATCH(INVESTORS_LIST[[#This Row],[INVESTOR CODE]],[4]!Table_1[INVESTOR CODE],0))</f>
        <v>#REF!</v>
      </c>
      <c r="AD296" s="33">
        <f>INVESTORS_LIST[[#This Row],[LS_TOTAL COST VALUE OF CURRENT UNITS]]+INVESTORS_LIST[[#This Row],[SIP_TOTAL COST VALUE OF CURRENT UNITS]]</f>
        <v>0</v>
      </c>
      <c r="AE296" s="44">
        <f>IF(INVESTORS_LIST[[#This Row],[TOTAL CURRENT UNITS]]=0,0,INVESTORS_LIST[[#This Row],[LS_TOTAL CURRENT UNITS]]/INVESTORS_LIST[[#This Row],[TOTAL CURRENT UNITS]])</f>
        <v>0</v>
      </c>
      <c r="AF296" s="44">
        <f>IF(INVESTORS_LIST[[#This Row],[TOTAL CURRENT UNITS]]=0,0,INVESTORS_LIST[[#This Row],[SIP_TOTAL CURRENT UNITS]]/INVESTORS_LIST[[#This Row],[TOTAL CURRENT UNITS]])</f>
        <v>0</v>
      </c>
      <c r="AG296" s="4" cm="1">
        <f t="array" ref="AG29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96" s="4" cm="1">
        <f t="array" ref="AH29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9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96" s="178">
        <f t="shared" si="4"/>
        <v>12.552</v>
      </c>
      <c r="AK296" s="118">
        <f>IF(INVESTORS_LIST[[#This Row],[TOTAL CURRENT UNITS]]=0,0,INVESTORS_LIST[[#This Row],[TOTAL CURRENT UNITS]]*INVESTORS_LIST[[#This Row],[NAV]])</f>
        <v>0</v>
      </c>
      <c r="AL296" s="4">
        <f>IF(INVESTORS_LIST[[#This Row],[LS_TOTAL CURRENT UNITS]]=0,0,INVESTORS_LIST[[#This Row],[LS_TOTAL CURRENT UNITS]]*INVESTORS_LIST[[#This Row],[NAV]])</f>
        <v>0</v>
      </c>
      <c r="AM296" s="6">
        <f>IF(INVESTORS_LIST[[#This Row],[SIP_TOTAL CURRENT UNITS]]=0,0,INVESTORS_LIST[[#This Row],[SIP_TOTAL CURRENT UNITS]]*INVESTORS_LIST[[#This Row],[NAV]])</f>
        <v>0</v>
      </c>
      <c r="AO296" s="6">
        <f>IF(INVESTORS_LIST[[#This Row],[TOTAL SELLABLE UNITS]]=0,0,INVESTORS_LIST[[#This Row],[TOTAL SELLABLE UNITS]]*INVESTORS_LIST[[#This Row],[NAV]])</f>
        <v>0</v>
      </c>
      <c r="AP296" s="6">
        <f>INVESTORS_LIST[[#This Row],[LS_TOTAL REALIZED GAIN]]+INVESTORS_LIST[[#This Row],[SIP_TOTAL REALIZED GAIN]]</f>
        <v>0</v>
      </c>
      <c r="AQ296" s="6">
        <f>INVESTORS_LIST[[#This Row],[TOTAL MARKET VALUE]]-INVESTORS_LIST[[#This Row],[TOTAL COST VALUE OF CURRENT INVESTMENT]]</f>
        <v>0</v>
      </c>
      <c r="AR296" s="6">
        <f>SUMIFS(DivAndTax[Tax Amount],DivAndTax[Investor ID],INVESTORS_LIST[[#This Row],[INVESTOR CODE]])</f>
        <v>0</v>
      </c>
      <c r="AS296" s="6">
        <f>SUMIFS(DivAndTax[Gross Dividend],DivAndTax[Investor ID],INVESTORS_LIST[[#This Row],[INVESTOR CODE]])</f>
        <v>0</v>
      </c>
      <c r="AT296" s="5">
        <f>IFERROR(INVESTORS_LIST[[#This Row],[TOTAL CURRENT UNITS]]/SUM(INVESTORS_LIST[TOTAL CURRENT UNITS]),0)</f>
        <v>0</v>
      </c>
    </row>
    <row r="297" spans="1:46" hidden="1">
      <c r="A297" t="s">
        <v>456</v>
      </c>
      <c r="B297" t="s">
        <v>457</v>
      </c>
      <c r="C297" t="s">
        <v>536</v>
      </c>
      <c r="D297" s="8" t="s">
        <v>2</v>
      </c>
      <c r="E297" s="2">
        <f>SUMIFS(LS[Unit],LS[Investor ID],INVESTORS_LIST[[#This Row],[INVESTOR CODE]],LS[B/S],"B")</f>
        <v>0</v>
      </c>
      <c r="F297" s="2">
        <f>-SUMIFS(LS[Unit],LS[Investor ID],INVESTORS_LIST[[#This Row],[INVESTOR CODE]],LS[B/S],"S")</f>
        <v>0</v>
      </c>
      <c r="G297" s="2">
        <f>IF(INVESTORS_LIST[[#This Row],[LS_TOTAL UNITS BUY]]=0,0,INVESTORS_LIST[[#This Row],[LS_TOTAL UNITS BUY]]-INVESTORS_LIST[[#This Row],[LS_TOTAL UNITS SOLD]])</f>
        <v>0</v>
      </c>
      <c r="H297" s="4">
        <f>IF(INVESTORS_LIST[[#This Row],[LS_TOTAL UNITS BUY]]=0,0,SUMIFS(LS[Amount],LS[Investor ID],INVESTORS_LIST[[#This Row],[INVESTOR CODE]],LS[B/S],"B"))</f>
        <v>0</v>
      </c>
      <c r="I297" s="6">
        <f>IF(INVESTORS_LIST[[#This Row],[LS_TOTAL UNITS SOLD]]=0,0,SUMIFS(LS[Cost of Units Sold],LS[Investor ID],INVESTORS_LIST[[#This Row],[INVESTOR CODE]],LS[B/S],"S"))</f>
        <v>0</v>
      </c>
      <c r="J297" s="6">
        <f>IF(INVESTORS_LIST[[#This Row],[LS_TOTAL CURRENT UNITS]]=0,0,INVESTORS_LIST[[#This Row],[LS_TOTAL CURRENT UNITS]]*INVESTORS_LIST[[#This Row],[LS_AVERAGE COST]])</f>
        <v>0</v>
      </c>
      <c r="K297" s="4">
        <f>IF(INVESTORS_LIST[[#This Row],[LS_TOTAL UNITS SOLD]]=0,0,SUMIFS(LS[Realized Gain],LS[Investor ID],INVESTORS_LIST[[#This Row],[INVESTOR CODE]],LS[B/S],"S"))</f>
        <v>0</v>
      </c>
      <c r="L297" s="2">
        <f>SUMIFS(SIP[Unit],SIP[Investor ID],INVESTORS_LIST[[#This Row],[INVESTOR CODE]],SIP[B/S],"B")</f>
        <v>0</v>
      </c>
      <c r="M297" s="2">
        <f>-SUMIFS(SIP[Unit],SIP[Investor ID],INVESTORS_LIST[[#This Row],[INVESTOR CODE]],SIP[B/S],"S")</f>
        <v>0</v>
      </c>
      <c r="N297" s="33">
        <f>IF(INVESTORS_LIST[[#This Row],[SIP_TOTAL UNITS BUY]]=0,0,INVESTORS_LIST[[#This Row],[SIP_TOTAL UNITS BUY]]-INVESTORS_LIST[[#This Row],[SIP_TOTAL UNITS SOLD]])</f>
        <v>0</v>
      </c>
      <c r="O297" s="4">
        <f>IF(INVESTORS_LIST[[#This Row],[SIP_TOTAL UNITS BUY]]=0,0,SUMIFS(SIP[Amount],SIP[Investor ID],INVESTORS_LIST[[#This Row],[INVESTOR CODE]],SIP[B/S],"B"))</f>
        <v>0</v>
      </c>
      <c r="P297" s="4">
        <f>IF(INVESTORS_LIST[[#This Row],[SIP_TOTAL UNITS SOLD]]=0,0,SUMIFS(SIP[Cost of Units Sold],SIP[Investor ID],INVESTORS_LIST[[#This Row],[INVESTOR CODE]],SIP[B/S],"S"))</f>
        <v>0</v>
      </c>
      <c r="Q297" s="6">
        <f>IF(INVESTORS_LIST[[#This Row],[SIP_TOTAL CURRENT UNITS]]=0,0,INVESTORS_LIST[[#This Row],[SIP_TOTAL CURRENT UNITS]]*INVESTORS_LIST[[#This Row],[SIP_AVERAGE COST]])</f>
        <v>0</v>
      </c>
      <c r="R297" s="6">
        <f>IF(INVESTORS_LIST[[#This Row],[SIP_TOTAL UNITS SOLD]]=0,0,SUMIFS(SIP[Realized Gain],SIP[Investor ID],INVESTORS_LIST[[#This Row],[INVESTOR CODE]],SIP[B/S],"S"))</f>
        <v>0</v>
      </c>
      <c r="S297" s="33">
        <f>INVESTORS_LIST[[#This Row],[LS_TOTAL UNITS BUY]]+INVESTORS_LIST[[#This Row],[SIP_TOTAL UNITS BUY]]</f>
        <v>0</v>
      </c>
      <c r="T297" s="33">
        <f>INVESTORS_LIST[[#This Row],[LS_TOTAL UNITS SOLD]]+INVESTORS_LIST[[#This Row],[SIP_TOTAL UNITS SOLD]]</f>
        <v>0</v>
      </c>
      <c r="U297" s="33">
        <v>0</v>
      </c>
      <c r="V297" s="33">
        <f>SUMIFS(LS[BO UNIT TRANSFER],LS[Investor ID],INVESTORS_LIST[[#This Row],[INVESTOR CODE]],LS[B/S],"B")</f>
        <v>0</v>
      </c>
      <c r="W297" s="33">
        <f>SUMIFS(LS[BO UNIT TRANSFER],LS[Investor ID],INVESTORS_LIST[[#This Row],[INVESTOR CODE]],LS[B/S],"S")</f>
        <v>0</v>
      </c>
      <c r="X297" s="33">
        <f>SUMIFS(SIP[BO UNIT TRANSFER],SIP[Investor ID],INVESTORS_LIST[[#This Row],[INVESTOR CODE]],SIP[B/S],"S")</f>
        <v>0</v>
      </c>
      <c r="Y297" s="33">
        <f>SUMIFS(SIP[BO UNIT TRANSFER],SIP[Investor ID],INVESTORS_LIST[[#This Row],[INVESTOR CODE]],SIP[B/S],"B")</f>
        <v>0</v>
      </c>
      <c r="Z29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97" s="119">
        <f>INVESTORS_LIST[[#This Row],[TOTAL UNITS BUY]]-INVESTORS_LIST[[#This Row],[TOTAL UNITS SOLD]]</f>
        <v>0</v>
      </c>
      <c r="AB297" s="119">
        <f>INVESTORS_LIST[[#This Row],[TOTAL CURRENT UNITS]]-INVESTORS_LIST[[#This Row],[BO UNITS HOLD]]</f>
        <v>0</v>
      </c>
      <c r="AC297" s="119" t="e">
        <f>INDEX([4]!Table_1[BO ID],MATCH(INVESTORS_LIST[[#This Row],[INVESTOR CODE]],[4]!Table_1[INVESTOR CODE],0))</f>
        <v>#REF!</v>
      </c>
      <c r="AD297" s="33">
        <f>INVESTORS_LIST[[#This Row],[LS_TOTAL COST VALUE OF CURRENT UNITS]]+INVESTORS_LIST[[#This Row],[SIP_TOTAL COST VALUE OF CURRENT UNITS]]</f>
        <v>0</v>
      </c>
      <c r="AE297" s="44">
        <f>IF(INVESTORS_LIST[[#This Row],[TOTAL CURRENT UNITS]]=0,0,INVESTORS_LIST[[#This Row],[LS_TOTAL CURRENT UNITS]]/INVESTORS_LIST[[#This Row],[TOTAL CURRENT UNITS]])</f>
        <v>0</v>
      </c>
      <c r="AF297" s="44">
        <f>IF(INVESTORS_LIST[[#This Row],[TOTAL CURRENT UNITS]]=0,0,INVESTORS_LIST[[#This Row],[SIP_TOTAL CURRENT UNITS]]/INVESTORS_LIST[[#This Row],[TOTAL CURRENT UNITS]])</f>
        <v>0</v>
      </c>
      <c r="AG297" s="4" cm="1">
        <f t="array" ref="AG29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97" s="4" cm="1">
        <f t="array" ref="AH29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9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97" s="178">
        <f t="shared" si="4"/>
        <v>12.552</v>
      </c>
      <c r="AK297" s="118">
        <f>IF(INVESTORS_LIST[[#This Row],[TOTAL CURRENT UNITS]]=0,0,INVESTORS_LIST[[#This Row],[TOTAL CURRENT UNITS]]*INVESTORS_LIST[[#This Row],[NAV]])</f>
        <v>0</v>
      </c>
      <c r="AL297" s="4">
        <f>IF(INVESTORS_LIST[[#This Row],[LS_TOTAL CURRENT UNITS]]=0,0,INVESTORS_LIST[[#This Row],[LS_TOTAL CURRENT UNITS]]*INVESTORS_LIST[[#This Row],[NAV]])</f>
        <v>0</v>
      </c>
      <c r="AM297" s="6">
        <f>IF(INVESTORS_LIST[[#This Row],[SIP_TOTAL CURRENT UNITS]]=0,0,INVESTORS_LIST[[#This Row],[SIP_TOTAL CURRENT UNITS]]*INVESTORS_LIST[[#This Row],[NAV]])</f>
        <v>0</v>
      </c>
      <c r="AO297" s="6">
        <f>IF(INVESTORS_LIST[[#This Row],[TOTAL SELLABLE UNITS]]=0,0,INVESTORS_LIST[[#This Row],[TOTAL SELLABLE UNITS]]*INVESTORS_LIST[[#This Row],[NAV]])</f>
        <v>0</v>
      </c>
      <c r="AP297" s="6">
        <f>INVESTORS_LIST[[#This Row],[LS_TOTAL REALIZED GAIN]]+INVESTORS_LIST[[#This Row],[SIP_TOTAL REALIZED GAIN]]</f>
        <v>0</v>
      </c>
      <c r="AQ297" s="6">
        <f>INVESTORS_LIST[[#This Row],[TOTAL MARKET VALUE]]-INVESTORS_LIST[[#This Row],[TOTAL COST VALUE OF CURRENT INVESTMENT]]</f>
        <v>0</v>
      </c>
      <c r="AR297" s="6">
        <f>SUMIFS(DivAndTax[Tax Amount],DivAndTax[Investor ID],INVESTORS_LIST[[#This Row],[INVESTOR CODE]])</f>
        <v>0</v>
      </c>
      <c r="AS297" s="6">
        <f>SUMIFS(DivAndTax[Gross Dividend],DivAndTax[Investor ID],INVESTORS_LIST[[#This Row],[INVESTOR CODE]])</f>
        <v>0</v>
      </c>
      <c r="AT297" s="5">
        <f>IFERROR(INVESTORS_LIST[[#This Row],[TOTAL CURRENT UNITS]]/SUM(INVESTORS_LIST[TOTAL CURRENT UNITS]),0)</f>
        <v>0</v>
      </c>
    </row>
    <row r="298" spans="1:46" hidden="1">
      <c r="A298" t="s">
        <v>458</v>
      </c>
      <c r="B298" t="s">
        <v>459</v>
      </c>
      <c r="C298" t="s">
        <v>536</v>
      </c>
      <c r="D298" s="8" t="s">
        <v>2</v>
      </c>
      <c r="E298" s="2">
        <f>SUMIFS(LS[Unit],LS[Investor ID],INVESTORS_LIST[[#This Row],[INVESTOR CODE]],LS[B/S],"B")</f>
        <v>0</v>
      </c>
      <c r="F298" s="2">
        <f>-SUMIFS(LS[Unit],LS[Investor ID],INVESTORS_LIST[[#This Row],[INVESTOR CODE]],LS[B/S],"S")</f>
        <v>0</v>
      </c>
      <c r="G298" s="2">
        <f>IF(INVESTORS_LIST[[#This Row],[LS_TOTAL UNITS BUY]]=0,0,INVESTORS_LIST[[#This Row],[LS_TOTAL UNITS BUY]]-INVESTORS_LIST[[#This Row],[LS_TOTAL UNITS SOLD]])</f>
        <v>0</v>
      </c>
      <c r="H298" s="4">
        <f>IF(INVESTORS_LIST[[#This Row],[LS_TOTAL UNITS BUY]]=0,0,SUMIFS(LS[Amount],LS[Investor ID],INVESTORS_LIST[[#This Row],[INVESTOR CODE]],LS[B/S],"B"))</f>
        <v>0</v>
      </c>
      <c r="I298" s="6">
        <f>IF(INVESTORS_LIST[[#This Row],[LS_TOTAL UNITS SOLD]]=0,0,SUMIFS(LS[Cost of Units Sold],LS[Investor ID],INVESTORS_LIST[[#This Row],[INVESTOR CODE]],LS[B/S],"S"))</f>
        <v>0</v>
      </c>
      <c r="J298" s="6">
        <f>IF(INVESTORS_LIST[[#This Row],[LS_TOTAL CURRENT UNITS]]=0,0,INVESTORS_LIST[[#This Row],[LS_TOTAL CURRENT UNITS]]*INVESTORS_LIST[[#This Row],[LS_AVERAGE COST]])</f>
        <v>0</v>
      </c>
      <c r="K298" s="4">
        <f>IF(INVESTORS_LIST[[#This Row],[LS_TOTAL UNITS SOLD]]=0,0,SUMIFS(LS[Realized Gain],LS[Investor ID],INVESTORS_LIST[[#This Row],[INVESTOR CODE]],LS[B/S],"S"))</f>
        <v>0</v>
      </c>
      <c r="L298" s="2">
        <f>SUMIFS(SIP[Unit],SIP[Investor ID],INVESTORS_LIST[[#This Row],[INVESTOR CODE]],SIP[B/S],"B")</f>
        <v>0</v>
      </c>
      <c r="M298" s="2">
        <f>-SUMIFS(SIP[Unit],SIP[Investor ID],INVESTORS_LIST[[#This Row],[INVESTOR CODE]],SIP[B/S],"S")</f>
        <v>0</v>
      </c>
      <c r="N298" s="33">
        <f>IF(INVESTORS_LIST[[#This Row],[SIP_TOTAL UNITS BUY]]=0,0,INVESTORS_LIST[[#This Row],[SIP_TOTAL UNITS BUY]]-INVESTORS_LIST[[#This Row],[SIP_TOTAL UNITS SOLD]])</f>
        <v>0</v>
      </c>
      <c r="O298" s="4">
        <f>IF(INVESTORS_LIST[[#This Row],[SIP_TOTAL UNITS BUY]]=0,0,SUMIFS(SIP[Amount],SIP[Investor ID],INVESTORS_LIST[[#This Row],[INVESTOR CODE]],SIP[B/S],"B"))</f>
        <v>0</v>
      </c>
      <c r="P298" s="4">
        <f>IF(INVESTORS_LIST[[#This Row],[SIP_TOTAL UNITS SOLD]]=0,0,SUMIFS(SIP[Cost of Units Sold],SIP[Investor ID],INVESTORS_LIST[[#This Row],[INVESTOR CODE]],SIP[B/S],"S"))</f>
        <v>0</v>
      </c>
      <c r="Q298" s="6">
        <f>IF(INVESTORS_LIST[[#This Row],[SIP_TOTAL CURRENT UNITS]]=0,0,INVESTORS_LIST[[#This Row],[SIP_TOTAL CURRENT UNITS]]*INVESTORS_LIST[[#This Row],[SIP_AVERAGE COST]])</f>
        <v>0</v>
      </c>
      <c r="R298" s="6">
        <f>IF(INVESTORS_LIST[[#This Row],[SIP_TOTAL UNITS SOLD]]=0,0,SUMIFS(SIP[Realized Gain],SIP[Investor ID],INVESTORS_LIST[[#This Row],[INVESTOR CODE]],SIP[B/S],"S"))</f>
        <v>0</v>
      </c>
      <c r="S298" s="33">
        <f>INVESTORS_LIST[[#This Row],[LS_TOTAL UNITS BUY]]+INVESTORS_LIST[[#This Row],[SIP_TOTAL UNITS BUY]]</f>
        <v>0</v>
      </c>
      <c r="T298" s="33">
        <f>INVESTORS_LIST[[#This Row],[LS_TOTAL UNITS SOLD]]+INVESTORS_LIST[[#This Row],[SIP_TOTAL UNITS SOLD]]</f>
        <v>0</v>
      </c>
      <c r="U298" s="33">
        <v>0</v>
      </c>
      <c r="V298" s="33">
        <f>SUMIFS(LS[BO UNIT TRANSFER],LS[Investor ID],INVESTORS_LIST[[#This Row],[INVESTOR CODE]],LS[B/S],"B")</f>
        <v>0</v>
      </c>
      <c r="W298" s="33">
        <f>SUMIFS(LS[BO UNIT TRANSFER],LS[Investor ID],INVESTORS_LIST[[#This Row],[INVESTOR CODE]],LS[B/S],"S")</f>
        <v>0</v>
      </c>
      <c r="X298" s="33">
        <f>SUMIFS(SIP[BO UNIT TRANSFER],SIP[Investor ID],INVESTORS_LIST[[#This Row],[INVESTOR CODE]],SIP[B/S],"S")</f>
        <v>0</v>
      </c>
      <c r="Y298" s="33">
        <f>SUMIFS(SIP[BO UNIT TRANSFER],SIP[Investor ID],INVESTORS_LIST[[#This Row],[INVESTOR CODE]],SIP[B/S],"B")</f>
        <v>0</v>
      </c>
      <c r="Z29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98" s="119">
        <f>INVESTORS_LIST[[#This Row],[TOTAL UNITS BUY]]-INVESTORS_LIST[[#This Row],[TOTAL UNITS SOLD]]</f>
        <v>0</v>
      </c>
      <c r="AB298" s="119">
        <f>INVESTORS_LIST[[#This Row],[TOTAL CURRENT UNITS]]-INVESTORS_LIST[[#This Row],[BO UNITS HOLD]]</f>
        <v>0</v>
      </c>
      <c r="AC298" s="119" t="e">
        <f>INDEX([4]!Table_1[BO ID],MATCH(INVESTORS_LIST[[#This Row],[INVESTOR CODE]],[4]!Table_1[INVESTOR CODE],0))</f>
        <v>#REF!</v>
      </c>
      <c r="AD298" s="33">
        <f>INVESTORS_LIST[[#This Row],[LS_TOTAL COST VALUE OF CURRENT UNITS]]+INVESTORS_LIST[[#This Row],[SIP_TOTAL COST VALUE OF CURRENT UNITS]]</f>
        <v>0</v>
      </c>
      <c r="AE298" s="44">
        <f>IF(INVESTORS_LIST[[#This Row],[TOTAL CURRENT UNITS]]=0,0,INVESTORS_LIST[[#This Row],[LS_TOTAL CURRENT UNITS]]/INVESTORS_LIST[[#This Row],[TOTAL CURRENT UNITS]])</f>
        <v>0</v>
      </c>
      <c r="AF298" s="44">
        <f>IF(INVESTORS_LIST[[#This Row],[TOTAL CURRENT UNITS]]=0,0,INVESTORS_LIST[[#This Row],[SIP_TOTAL CURRENT UNITS]]/INVESTORS_LIST[[#This Row],[TOTAL CURRENT UNITS]])</f>
        <v>0</v>
      </c>
      <c r="AG298" s="4" cm="1">
        <f t="array" ref="AG29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98" s="4" cm="1">
        <f t="array" ref="AH2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9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98" s="178">
        <f t="shared" si="4"/>
        <v>12.552</v>
      </c>
      <c r="AK298" s="118">
        <f>IF(INVESTORS_LIST[[#This Row],[TOTAL CURRENT UNITS]]=0,0,INVESTORS_LIST[[#This Row],[TOTAL CURRENT UNITS]]*INVESTORS_LIST[[#This Row],[NAV]])</f>
        <v>0</v>
      </c>
      <c r="AL298" s="4">
        <f>IF(INVESTORS_LIST[[#This Row],[LS_TOTAL CURRENT UNITS]]=0,0,INVESTORS_LIST[[#This Row],[LS_TOTAL CURRENT UNITS]]*INVESTORS_LIST[[#This Row],[NAV]])</f>
        <v>0</v>
      </c>
      <c r="AM298" s="6">
        <f>IF(INVESTORS_LIST[[#This Row],[SIP_TOTAL CURRENT UNITS]]=0,0,INVESTORS_LIST[[#This Row],[SIP_TOTAL CURRENT UNITS]]*INVESTORS_LIST[[#This Row],[NAV]])</f>
        <v>0</v>
      </c>
      <c r="AO298" s="6">
        <f>IF(INVESTORS_LIST[[#This Row],[TOTAL SELLABLE UNITS]]=0,0,INVESTORS_LIST[[#This Row],[TOTAL SELLABLE UNITS]]*INVESTORS_LIST[[#This Row],[NAV]])</f>
        <v>0</v>
      </c>
      <c r="AP298" s="6">
        <f>INVESTORS_LIST[[#This Row],[LS_TOTAL REALIZED GAIN]]+INVESTORS_LIST[[#This Row],[SIP_TOTAL REALIZED GAIN]]</f>
        <v>0</v>
      </c>
      <c r="AQ298" s="6">
        <f>INVESTORS_LIST[[#This Row],[TOTAL MARKET VALUE]]-INVESTORS_LIST[[#This Row],[TOTAL COST VALUE OF CURRENT INVESTMENT]]</f>
        <v>0</v>
      </c>
      <c r="AR298" s="6">
        <f>SUMIFS(DivAndTax[Tax Amount],DivAndTax[Investor ID],INVESTORS_LIST[[#This Row],[INVESTOR CODE]])</f>
        <v>0</v>
      </c>
      <c r="AS298" s="6">
        <f>SUMIFS(DivAndTax[Gross Dividend],DivAndTax[Investor ID],INVESTORS_LIST[[#This Row],[INVESTOR CODE]])</f>
        <v>0</v>
      </c>
      <c r="AT298" s="5">
        <f>IFERROR(INVESTORS_LIST[[#This Row],[TOTAL CURRENT UNITS]]/SUM(INVESTORS_LIST[TOTAL CURRENT UNITS]),0)</f>
        <v>0</v>
      </c>
    </row>
    <row r="299" spans="1:46" hidden="1">
      <c r="A299" t="s">
        <v>461</v>
      </c>
      <c r="B299" t="s">
        <v>462</v>
      </c>
      <c r="C299" t="s">
        <v>536</v>
      </c>
      <c r="D299" s="8" t="s">
        <v>2</v>
      </c>
      <c r="E299" s="2">
        <f>SUMIFS(LS[Unit],LS[Investor ID],INVESTORS_LIST[[#This Row],[INVESTOR CODE]],LS[B/S],"B")</f>
        <v>0</v>
      </c>
      <c r="F299" s="2">
        <f>-SUMIFS(LS[Unit],LS[Investor ID],INVESTORS_LIST[[#This Row],[INVESTOR CODE]],LS[B/S],"S")</f>
        <v>0</v>
      </c>
      <c r="G299" s="2">
        <f>IF(INVESTORS_LIST[[#This Row],[LS_TOTAL UNITS BUY]]=0,0,INVESTORS_LIST[[#This Row],[LS_TOTAL UNITS BUY]]-INVESTORS_LIST[[#This Row],[LS_TOTAL UNITS SOLD]])</f>
        <v>0</v>
      </c>
      <c r="H299" s="4">
        <f>IF(INVESTORS_LIST[[#This Row],[LS_TOTAL UNITS BUY]]=0,0,SUMIFS(LS[Amount],LS[Investor ID],INVESTORS_LIST[[#This Row],[INVESTOR CODE]],LS[B/S],"B"))</f>
        <v>0</v>
      </c>
      <c r="I299" s="6">
        <f>IF(INVESTORS_LIST[[#This Row],[LS_TOTAL UNITS SOLD]]=0,0,SUMIFS(LS[Cost of Units Sold],LS[Investor ID],INVESTORS_LIST[[#This Row],[INVESTOR CODE]],LS[B/S],"S"))</f>
        <v>0</v>
      </c>
      <c r="J299" s="6">
        <f>IF(INVESTORS_LIST[[#This Row],[LS_TOTAL CURRENT UNITS]]=0,0,INVESTORS_LIST[[#This Row],[LS_TOTAL CURRENT UNITS]]*INVESTORS_LIST[[#This Row],[LS_AVERAGE COST]])</f>
        <v>0</v>
      </c>
      <c r="K299" s="4">
        <f>IF(INVESTORS_LIST[[#This Row],[LS_TOTAL UNITS SOLD]]=0,0,SUMIFS(LS[Realized Gain],LS[Investor ID],INVESTORS_LIST[[#This Row],[INVESTOR CODE]],LS[B/S],"S"))</f>
        <v>0</v>
      </c>
      <c r="L299" s="2">
        <f>SUMIFS(SIP[Unit],SIP[Investor ID],INVESTORS_LIST[[#This Row],[INVESTOR CODE]],SIP[B/S],"B")</f>
        <v>0</v>
      </c>
      <c r="M299" s="2">
        <f>-SUMIFS(SIP[Unit],SIP[Investor ID],INVESTORS_LIST[[#This Row],[INVESTOR CODE]],SIP[B/S],"S")</f>
        <v>0</v>
      </c>
      <c r="N299" s="33">
        <f>IF(INVESTORS_LIST[[#This Row],[SIP_TOTAL UNITS BUY]]=0,0,INVESTORS_LIST[[#This Row],[SIP_TOTAL UNITS BUY]]-INVESTORS_LIST[[#This Row],[SIP_TOTAL UNITS SOLD]])</f>
        <v>0</v>
      </c>
      <c r="O299" s="4">
        <f>IF(INVESTORS_LIST[[#This Row],[SIP_TOTAL UNITS BUY]]=0,0,SUMIFS(SIP[Amount],SIP[Investor ID],INVESTORS_LIST[[#This Row],[INVESTOR CODE]],SIP[B/S],"B"))</f>
        <v>0</v>
      </c>
      <c r="P299" s="4">
        <f>IF(INVESTORS_LIST[[#This Row],[SIP_TOTAL UNITS SOLD]]=0,0,SUMIFS(SIP[Cost of Units Sold],SIP[Investor ID],INVESTORS_LIST[[#This Row],[INVESTOR CODE]],SIP[B/S],"S"))</f>
        <v>0</v>
      </c>
      <c r="Q299" s="6">
        <f>IF(INVESTORS_LIST[[#This Row],[SIP_TOTAL CURRENT UNITS]]=0,0,INVESTORS_LIST[[#This Row],[SIP_TOTAL CURRENT UNITS]]*INVESTORS_LIST[[#This Row],[SIP_AVERAGE COST]])</f>
        <v>0</v>
      </c>
      <c r="R299" s="6">
        <f>IF(INVESTORS_LIST[[#This Row],[SIP_TOTAL UNITS SOLD]]=0,0,SUMIFS(SIP[Realized Gain],SIP[Investor ID],INVESTORS_LIST[[#This Row],[INVESTOR CODE]],SIP[B/S],"S"))</f>
        <v>0</v>
      </c>
      <c r="S299" s="33">
        <f>INVESTORS_LIST[[#This Row],[LS_TOTAL UNITS BUY]]+INVESTORS_LIST[[#This Row],[SIP_TOTAL UNITS BUY]]</f>
        <v>0</v>
      </c>
      <c r="T299" s="33">
        <f>INVESTORS_LIST[[#This Row],[LS_TOTAL UNITS SOLD]]+INVESTORS_LIST[[#This Row],[SIP_TOTAL UNITS SOLD]]</f>
        <v>0</v>
      </c>
      <c r="U299" s="33">
        <v>0</v>
      </c>
      <c r="V299" s="33">
        <f>SUMIFS(LS[BO UNIT TRANSFER],LS[Investor ID],INVESTORS_LIST[[#This Row],[INVESTOR CODE]],LS[B/S],"B")</f>
        <v>0</v>
      </c>
      <c r="W299" s="33">
        <f>SUMIFS(LS[BO UNIT TRANSFER],LS[Investor ID],INVESTORS_LIST[[#This Row],[INVESTOR CODE]],LS[B/S],"S")</f>
        <v>0</v>
      </c>
      <c r="X299" s="33">
        <f>SUMIFS(SIP[BO UNIT TRANSFER],SIP[Investor ID],INVESTORS_LIST[[#This Row],[INVESTOR CODE]],SIP[B/S],"S")</f>
        <v>0</v>
      </c>
      <c r="Y299" s="33">
        <f>SUMIFS(SIP[BO UNIT TRANSFER],SIP[Investor ID],INVESTORS_LIST[[#This Row],[INVESTOR CODE]],SIP[B/S],"B")</f>
        <v>0</v>
      </c>
      <c r="Z29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299" s="119">
        <f>INVESTORS_LIST[[#This Row],[TOTAL UNITS BUY]]-INVESTORS_LIST[[#This Row],[TOTAL UNITS SOLD]]</f>
        <v>0</v>
      </c>
      <c r="AB299" s="119">
        <f>INVESTORS_LIST[[#This Row],[TOTAL CURRENT UNITS]]-INVESTORS_LIST[[#This Row],[BO UNITS HOLD]]</f>
        <v>0</v>
      </c>
      <c r="AC299" s="119" t="e">
        <f>INDEX([4]!Table_1[BO ID],MATCH(INVESTORS_LIST[[#This Row],[INVESTOR CODE]],[4]!Table_1[INVESTOR CODE],0))</f>
        <v>#REF!</v>
      </c>
      <c r="AD299" s="33">
        <f>INVESTORS_LIST[[#This Row],[LS_TOTAL COST VALUE OF CURRENT UNITS]]+INVESTORS_LIST[[#This Row],[SIP_TOTAL COST VALUE OF CURRENT UNITS]]</f>
        <v>0</v>
      </c>
      <c r="AE299" s="44">
        <f>IF(INVESTORS_LIST[[#This Row],[TOTAL CURRENT UNITS]]=0,0,INVESTORS_LIST[[#This Row],[LS_TOTAL CURRENT UNITS]]/INVESTORS_LIST[[#This Row],[TOTAL CURRENT UNITS]])</f>
        <v>0</v>
      </c>
      <c r="AF299" s="44">
        <f>IF(INVESTORS_LIST[[#This Row],[TOTAL CURRENT UNITS]]=0,0,INVESTORS_LIST[[#This Row],[SIP_TOTAL CURRENT UNITS]]/INVESTORS_LIST[[#This Row],[TOTAL CURRENT UNITS]])</f>
        <v>0</v>
      </c>
      <c r="AG299" s="4" cm="1">
        <f t="array" ref="AG2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299" s="4" cm="1">
        <f t="array" ref="AH2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29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299" s="178">
        <f t="shared" si="4"/>
        <v>12.552</v>
      </c>
      <c r="AK299" s="118">
        <f>IF(INVESTORS_LIST[[#This Row],[TOTAL CURRENT UNITS]]=0,0,INVESTORS_LIST[[#This Row],[TOTAL CURRENT UNITS]]*INVESTORS_LIST[[#This Row],[NAV]])</f>
        <v>0</v>
      </c>
      <c r="AL299" s="4">
        <f>IF(INVESTORS_LIST[[#This Row],[LS_TOTAL CURRENT UNITS]]=0,0,INVESTORS_LIST[[#This Row],[LS_TOTAL CURRENT UNITS]]*INVESTORS_LIST[[#This Row],[NAV]])</f>
        <v>0</v>
      </c>
      <c r="AM299" s="6">
        <f>IF(INVESTORS_LIST[[#This Row],[SIP_TOTAL CURRENT UNITS]]=0,0,INVESTORS_LIST[[#This Row],[SIP_TOTAL CURRENT UNITS]]*INVESTORS_LIST[[#This Row],[NAV]])</f>
        <v>0</v>
      </c>
      <c r="AO299" s="6">
        <f>IF(INVESTORS_LIST[[#This Row],[TOTAL SELLABLE UNITS]]=0,0,INVESTORS_LIST[[#This Row],[TOTAL SELLABLE UNITS]]*INVESTORS_LIST[[#This Row],[NAV]])</f>
        <v>0</v>
      </c>
      <c r="AP299" s="6">
        <f>INVESTORS_LIST[[#This Row],[LS_TOTAL REALIZED GAIN]]+INVESTORS_LIST[[#This Row],[SIP_TOTAL REALIZED GAIN]]</f>
        <v>0</v>
      </c>
      <c r="AQ299" s="6">
        <f>INVESTORS_LIST[[#This Row],[TOTAL MARKET VALUE]]-INVESTORS_LIST[[#This Row],[TOTAL COST VALUE OF CURRENT INVESTMENT]]</f>
        <v>0</v>
      </c>
      <c r="AR299" s="6">
        <f>SUMIFS(DivAndTax[Tax Amount],DivAndTax[Investor ID],INVESTORS_LIST[[#This Row],[INVESTOR CODE]])</f>
        <v>0</v>
      </c>
      <c r="AS299" s="6">
        <f>SUMIFS(DivAndTax[Gross Dividend],DivAndTax[Investor ID],INVESTORS_LIST[[#This Row],[INVESTOR CODE]])</f>
        <v>0</v>
      </c>
      <c r="AT299" s="5">
        <f>IFERROR(INVESTORS_LIST[[#This Row],[TOTAL CURRENT UNITS]]/SUM(INVESTORS_LIST[TOTAL CURRENT UNITS]),0)</f>
        <v>0</v>
      </c>
    </row>
    <row r="300" spans="1:46" hidden="1">
      <c r="A300" t="s">
        <v>463</v>
      </c>
      <c r="B300" t="s">
        <v>464</v>
      </c>
      <c r="C300" t="s">
        <v>541</v>
      </c>
      <c r="D300" s="8" t="s">
        <v>2</v>
      </c>
      <c r="E300" s="2">
        <f>SUMIFS(LS[Unit],LS[Investor ID],INVESTORS_LIST[[#This Row],[INVESTOR CODE]],LS[B/S],"B")</f>
        <v>0</v>
      </c>
      <c r="F300" s="2">
        <f>-SUMIFS(LS[Unit],LS[Investor ID],INVESTORS_LIST[[#This Row],[INVESTOR CODE]],LS[B/S],"S")</f>
        <v>0</v>
      </c>
      <c r="G300" s="2">
        <f>IF(INVESTORS_LIST[[#This Row],[LS_TOTAL UNITS BUY]]=0,0,INVESTORS_LIST[[#This Row],[LS_TOTAL UNITS BUY]]-INVESTORS_LIST[[#This Row],[LS_TOTAL UNITS SOLD]])</f>
        <v>0</v>
      </c>
      <c r="H300" s="4">
        <f>IF(INVESTORS_LIST[[#This Row],[LS_TOTAL UNITS BUY]]=0,0,SUMIFS(LS[Amount],LS[Investor ID],INVESTORS_LIST[[#This Row],[INVESTOR CODE]],LS[B/S],"B"))</f>
        <v>0</v>
      </c>
      <c r="I300" s="6">
        <f>IF(INVESTORS_LIST[[#This Row],[LS_TOTAL UNITS SOLD]]=0,0,SUMIFS(LS[Cost of Units Sold],LS[Investor ID],INVESTORS_LIST[[#This Row],[INVESTOR CODE]],LS[B/S],"S"))</f>
        <v>0</v>
      </c>
      <c r="J300" s="6">
        <f>IF(INVESTORS_LIST[[#This Row],[LS_TOTAL CURRENT UNITS]]=0,0,INVESTORS_LIST[[#This Row],[LS_TOTAL CURRENT UNITS]]*INVESTORS_LIST[[#This Row],[LS_AVERAGE COST]])</f>
        <v>0</v>
      </c>
      <c r="K300" s="4">
        <f>IF(INVESTORS_LIST[[#This Row],[LS_TOTAL UNITS SOLD]]=0,0,SUMIFS(LS[Realized Gain],LS[Investor ID],INVESTORS_LIST[[#This Row],[INVESTOR CODE]],LS[B/S],"S"))</f>
        <v>0</v>
      </c>
      <c r="L300" s="2">
        <f>SUMIFS(SIP[Unit],SIP[Investor ID],INVESTORS_LIST[[#This Row],[INVESTOR CODE]],SIP[B/S],"B")</f>
        <v>0</v>
      </c>
      <c r="M300" s="2">
        <f>-SUMIFS(SIP[Unit],SIP[Investor ID],INVESTORS_LIST[[#This Row],[INVESTOR CODE]],SIP[B/S],"S")</f>
        <v>0</v>
      </c>
      <c r="N300" s="33">
        <f>IF(INVESTORS_LIST[[#This Row],[SIP_TOTAL UNITS BUY]]=0,0,INVESTORS_LIST[[#This Row],[SIP_TOTAL UNITS BUY]]-INVESTORS_LIST[[#This Row],[SIP_TOTAL UNITS SOLD]])</f>
        <v>0</v>
      </c>
      <c r="O300" s="4">
        <f>IF(INVESTORS_LIST[[#This Row],[SIP_TOTAL UNITS BUY]]=0,0,SUMIFS(SIP[Amount],SIP[Investor ID],INVESTORS_LIST[[#This Row],[INVESTOR CODE]],SIP[B/S],"B"))</f>
        <v>0</v>
      </c>
      <c r="P300" s="4">
        <f>IF(INVESTORS_LIST[[#This Row],[SIP_TOTAL UNITS SOLD]]=0,0,SUMIFS(SIP[Cost of Units Sold],SIP[Investor ID],INVESTORS_LIST[[#This Row],[INVESTOR CODE]],SIP[B/S],"S"))</f>
        <v>0</v>
      </c>
      <c r="Q300" s="6">
        <f>IF(INVESTORS_LIST[[#This Row],[SIP_TOTAL CURRENT UNITS]]=0,0,INVESTORS_LIST[[#This Row],[SIP_TOTAL CURRENT UNITS]]*INVESTORS_LIST[[#This Row],[SIP_AVERAGE COST]])</f>
        <v>0</v>
      </c>
      <c r="R300" s="6">
        <f>IF(INVESTORS_LIST[[#This Row],[SIP_TOTAL UNITS SOLD]]=0,0,SUMIFS(SIP[Realized Gain],SIP[Investor ID],INVESTORS_LIST[[#This Row],[INVESTOR CODE]],SIP[B/S],"S"))</f>
        <v>0</v>
      </c>
      <c r="S300" s="33">
        <f>INVESTORS_LIST[[#This Row],[LS_TOTAL UNITS BUY]]+INVESTORS_LIST[[#This Row],[SIP_TOTAL UNITS BUY]]</f>
        <v>0</v>
      </c>
      <c r="T300" s="33">
        <f>INVESTORS_LIST[[#This Row],[LS_TOTAL UNITS SOLD]]+INVESTORS_LIST[[#This Row],[SIP_TOTAL UNITS SOLD]]</f>
        <v>0</v>
      </c>
      <c r="U300" s="33">
        <v>0</v>
      </c>
      <c r="V300" s="33">
        <f>SUMIFS(LS[BO UNIT TRANSFER],LS[Investor ID],INVESTORS_LIST[[#This Row],[INVESTOR CODE]],LS[B/S],"B")</f>
        <v>0</v>
      </c>
      <c r="W300" s="33">
        <f>SUMIFS(LS[BO UNIT TRANSFER],LS[Investor ID],INVESTORS_LIST[[#This Row],[INVESTOR CODE]],LS[B/S],"S")</f>
        <v>0</v>
      </c>
      <c r="X300" s="33">
        <f>SUMIFS(SIP[BO UNIT TRANSFER],SIP[Investor ID],INVESTORS_LIST[[#This Row],[INVESTOR CODE]],SIP[B/S],"S")</f>
        <v>0</v>
      </c>
      <c r="Y300" s="33">
        <f>SUMIFS(SIP[BO UNIT TRANSFER],SIP[Investor ID],INVESTORS_LIST[[#This Row],[INVESTOR CODE]],SIP[B/S],"B")</f>
        <v>0</v>
      </c>
      <c r="Z30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00" s="119">
        <f>INVESTORS_LIST[[#This Row],[TOTAL UNITS BUY]]-INVESTORS_LIST[[#This Row],[TOTAL UNITS SOLD]]</f>
        <v>0</v>
      </c>
      <c r="AB300" s="119">
        <f>INVESTORS_LIST[[#This Row],[TOTAL CURRENT UNITS]]-INVESTORS_LIST[[#This Row],[BO UNITS HOLD]]</f>
        <v>0</v>
      </c>
      <c r="AC300" s="119" t="e">
        <f>INDEX([4]!Table_1[BO ID],MATCH(INVESTORS_LIST[[#This Row],[INVESTOR CODE]],[4]!Table_1[INVESTOR CODE],0))</f>
        <v>#REF!</v>
      </c>
      <c r="AD300" s="33">
        <f>INVESTORS_LIST[[#This Row],[LS_TOTAL COST VALUE OF CURRENT UNITS]]+INVESTORS_LIST[[#This Row],[SIP_TOTAL COST VALUE OF CURRENT UNITS]]</f>
        <v>0</v>
      </c>
      <c r="AE300" s="44">
        <f>IF(INVESTORS_LIST[[#This Row],[TOTAL CURRENT UNITS]]=0,0,INVESTORS_LIST[[#This Row],[LS_TOTAL CURRENT UNITS]]/INVESTORS_LIST[[#This Row],[TOTAL CURRENT UNITS]])</f>
        <v>0</v>
      </c>
      <c r="AF300" s="44">
        <f>IF(INVESTORS_LIST[[#This Row],[TOTAL CURRENT UNITS]]=0,0,INVESTORS_LIST[[#This Row],[SIP_TOTAL CURRENT UNITS]]/INVESTORS_LIST[[#This Row],[TOTAL CURRENT UNITS]])</f>
        <v>0</v>
      </c>
      <c r="AG300" s="4" cm="1">
        <f t="array" ref="AG3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00" s="4" cm="1">
        <f t="array" ref="AH3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0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00" s="178">
        <f t="shared" si="4"/>
        <v>12.552</v>
      </c>
      <c r="AK300" s="118">
        <f>IF(INVESTORS_LIST[[#This Row],[TOTAL CURRENT UNITS]]=0,0,INVESTORS_LIST[[#This Row],[TOTAL CURRENT UNITS]]*INVESTORS_LIST[[#This Row],[NAV]])</f>
        <v>0</v>
      </c>
      <c r="AL300" s="4">
        <f>IF(INVESTORS_LIST[[#This Row],[LS_TOTAL CURRENT UNITS]]=0,0,INVESTORS_LIST[[#This Row],[LS_TOTAL CURRENT UNITS]]*INVESTORS_LIST[[#This Row],[NAV]])</f>
        <v>0</v>
      </c>
      <c r="AM300" s="6">
        <f>IF(INVESTORS_LIST[[#This Row],[SIP_TOTAL CURRENT UNITS]]=0,0,INVESTORS_LIST[[#This Row],[SIP_TOTAL CURRENT UNITS]]*INVESTORS_LIST[[#This Row],[NAV]])</f>
        <v>0</v>
      </c>
      <c r="AO300" s="6">
        <f>IF(INVESTORS_LIST[[#This Row],[TOTAL SELLABLE UNITS]]=0,0,INVESTORS_LIST[[#This Row],[TOTAL SELLABLE UNITS]]*INVESTORS_LIST[[#This Row],[NAV]])</f>
        <v>0</v>
      </c>
      <c r="AP300" s="6">
        <f>INVESTORS_LIST[[#This Row],[LS_TOTAL REALIZED GAIN]]+INVESTORS_LIST[[#This Row],[SIP_TOTAL REALIZED GAIN]]</f>
        <v>0</v>
      </c>
      <c r="AQ300" s="6">
        <f>INVESTORS_LIST[[#This Row],[TOTAL MARKET VALUE]]-INVESTORS_LIST[[#This Row],[TOTAL COST VALUE OF CURRENT INVESTMENT]]</f>
        <v>0</v>
      </c>
      <c r="AR300" s="6">
        <f>SUMIFS(DivAndTax[Tax Amount],DivAndTax[Investor ID],INVESTORS_LIST[[#This Row],[INVESTOR CODE]])</f>
        <v>0</v>
      </c>
      <c r="AS300" s="6">
        <f>SUMIFS(DivAndTax[Gross Dividend],DivAndTax[Investor ID],INVESTORS_LIST[[#This Row],[INVESTOR CODE]])</f>
        <v>0</v>
      </c>
      <c r="AT300" s="5">
        <f>IFERROR(INVESTORS_LIST[[#This Row],[TOTAL CURRENT UNITS]]/SUM(INVESTORS_LIST[TOTAL CURRENT UNITS]),0)</f>
        <v>0</v>
      </c>
    </row>
    <row r="301" spans="1:46" hidden="1">
      <c r="A301" t="s">
        <v>465</v>
      </c>
      <c r="B301" t="s">
        <v>466</v>
      </c>
      <c r="C301" t="s">
        <v>539</v>
      </c>
      <c r="D301" s="8" t="s">
        <v>2</v>
      </c>
      <c r="E301" s="2">
        <f>SUMIFS(LS[Unit],LS[Investor ID],INVESTORS_LIST[[#This Row],[INVESTOR CODE]],LS[B/S],"B")</f>
        <v>20000</v>
      </c>
      <c r="F301" s="2">
        <f>-SUMIFS(LS[Unit],LS[Investor ID],INVESTORS_LIST[[#This Row],[INVESTOR CODE]],LS[B/S],"S")</f>
        <v>20000</v>
      </c>
      <c r="G301" s="2">
        <f>IF(INVESTORS_LIST[[#This Row],[LS_TOTAL UNITS BUY]]=0,0,INVESTORS_LIST[[#This Row],[LS_TOTAL UNITS BUY]]-INVESTORS_LIST[[#This Row],[LS_TOTAL UNITS SOLD]])</f>
        <v>0</v>
      </c>
      <c r="H301" s="4">
        <f>IF(INVESTORS_LIST[[#This Row],[LS_TOTAL UNITS BUY]]=0,0,SUMIFS(LS[Amount],LS[Investor ID],INVESTORS_LIST[[#This Row],[INVESTOR CODE]],LS[B/S],"B"))</f>
        <v>200000</v>
      </c>
      <c r="I301" s="6">
        <f>IF(INVESTORS_LIST[[#This Row],[LS_TOTAL UNITS SOLD]]=0,0,SUMIFS(LS[Cost of Units Sold],LS[Investor ID],INVESTORS_LIST[[#This Row],[INVESTOR CODE]],LS[B/S],"S"))</f>
        <v>200000</v>
      </c>
      <c r="J301" s="6">
        <f>IF(INVESTORS_LIST[[#This Row],[LS_TOTAL CURRENT UNITS]]=0,0,INVESTORS_LIST[[#This Row],[LS_TOTAL CURRENT UNITS]]*INVESTORS_LIST[[#This Row],[LS_AVERAGE COST]])</f>
        <v>0</v>
      </c>
      <c r="K301" s="4">
        <f>IF(INVESTORS_LIST[[#This Row],[LS_TOTAL UNITS SOLD]]=0,0,SUMIFS(LS[Realized Gain],LS[Investor ID],INVESTORS_LIST[[#This Row],[INVESTOR CODE]],LS[B/S],"S"))</f>
        <v>-1999.999999999993</v>
      </c>
      <c r="L301" s="2">
        <f>SUMIFS(SIP[Unit],SIP[Investor ID],INVESTORS_LIST[[#This Row],[INVESTOR CODE]],SIP[B/S],"B")</f>
        <v>0</v>
      </c>
      <c r="M301" s="2">
        <f>-SUMIFS(SIP[Unit],SIP[Investor ID],INVESTORS_LIST[[#This Row],[INVESTOR CODE]],SIP[B/S],"S")</f>
        <v>0</v>
      </c>
      <c r="N301" s="33">
        <f>IF(INVESTORS_LIST[[#This Row],[SIP_TOTAL UNITS BUY]]=0,0,INVESTORS_LIST[[#This Row],[SIP_TOTAL UNITS BUY]]-INVESTORS_LIST[[#This Row],[SIP_TOTAL UNITS SOLD]])</f>
        <v>0</v>
      </c>
      <c r="O301" s="4">
        <f>IF(INVESTORS_LIST[[#This Row],[SIP_TOTAL UNITS BUY]]=0,0,SUMIFS(SIP[Amount],SIP[Investor ID],INVESTORS_LIST[[#This Row],[INVESTOR CODE]],SIP[B/S],"B"))</f>
        <v>0</v>
      </c>
      <c r="P301" s="4">
        <f>IF(INVESTORS_LIST[[#This Row],[SIP_TOTAL UNITS SOLD]]=0,0,SUMIFS(SIP[Cost of Units Sold],SIP[Investor ID],INVESTORS_LIST[[#This Row],[INVESTOR CODE]],SIP[B/S],"S"))</f>
        <v>0</v>
      </c>
      <c r="Q301" s="6">
        <f>IF(INVESTORS_LIST[[#This Row],[SIP_TOTAL CURRENT UNITS]]=0,0,INVESTORS_LIST[[#This Row],[SIP_TOTAL CURRENT UNITS]]*INVESTORS_LIST[[#This Row],[SIP_AVERAGE COST]])</f>
        <v>0</v>
      </c>
      <c r="R301" s="6">
        <f>IF(INVESTORS_LIST[[#This Row],[SIP_TOTAL UNITS SOLD]]=0,0,SUMIFS(SIP[Realized Gain],SIP[Investor ID],INVESTORS_LIST[[#This Row],[INVESTOR CODE]],SIP[B/S],"S"))</f>
        <v>0</v>
      </c>
      <c r="S301" s="33">
        <f>INVESTORS_LIST[[#This Row],[LS_TOTAL UNITS BUY]]+INVESTORS_LIST[[#This Row],[SIP_TOTAL UNITS BUY]]</f>
        <v>20000</v>
      </c>
      <c r="T301" s="33">
        <f>INVESTORS_LIST[[#This Row],[LS_TOTAL UNITS SOLD]]+INVESTORS_LIST[[#This Row],[SIP_TOTAL UNITS SOLD]]</f>
        <v>20000</v>
      </c>
      <c r="U301" s="33">
        <v>0</v>
      </c>
      <c r="V301" s="33">
        <f>SUMIFS(LS[BO UNIT TRANSFER],LS[Investor ID],INVESTORS_LIST[[#This Row],[INVESTOR CODE]],LS[B/S],"B")</f>
        <v>0</v>
      </c>
      <c r="W301" s="33">
        <f>SUMIFS(LS[BO UNIT TRANSFER],LS[Investor ID],INVESTORS_LIST[[#This Row],[INVESTOR CODE]],LS[B/S],"S")</f>
        <v>0</v>
      </c>
      <c r="X301" s="33">
        <f>SUMIFS(SIP[BO UNIT TRANSFER],SIP[Investor ID],INVESTORS_LIST[[#This Row],[INVESTOR CODE]],SIP[B/S],"S")</f>
        <v>0</v>
      </c>
      <c r="Y301" s="33">
        <f>SUMIFS(SIP[BO UNIT TRANSFER],SIP[Investor ID],INVESTORS_LIST[[#This Row],[INVESTOR CODE]],SIP[B/S],"B")</f>
        <v>0</v>
      </c>
      <c r="Z30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01" s="119">
        <f>INVESTORS_LIST[[#This Row],[TOTAL UNITS BUY]]-INVESTORS_LIST[[#This Row],[TOTAL UNITS SOLD]]</f>
        <v>0</v>
      </c>
      <c r="AB301" s="119">
        <f>INVESTORS_LIST[[#This Row],[TOTAL CURRENT UNITS]]-INVESTORS_LIST[[#This Row],[BO UNITS HOLD]]</f>
        <v>0</v>
      </c>
      <c r="AC301" s="119" t="e">
        <f>INDEX([4]!Table_1[BO ID],MATCH(INVESTORS_LIST[[#This Row],[INVESTOR CODE]],[4]!Table_1[INVESTOR CODE],0))</f>
        <v>#REF!</v>
      </c>
      <c r="AD301" s="33">
        <f>INVESTORS_LIST[[#This Row],[LS_TOTAL COST VALUE OF CURRENT UNITS]]+INVESTORS_LIST[[#This Row],[SIP_TOTAL COST VALUE OF CURRENT UNITS]]</f>
        <v>0</v>
      </c>
      <c r="AE301" s="44">
        <f>IF(INVESTORS_LIST[[#This Row],[TOTAL CURRENT UNITS]]=0,0,INVESTORS_LIST[[#This Row],[LS_TOTAL CURRENT UNITS]]/INVESTORS_LIST[[#This Row],[TOTAL CURRENT UNITS]])</f>
        <v>0</v>
      </c>
      <c r="AF301" s="44">
        <f>IF(INVESTORS_LIST[[#This Row],[TOTAL CURRENT UNITS]]=0,0,INVESTORS_LIST[[#This Row],[SIP_TOTAL CURRENT UNITS]]/INVESTORS_LIST[[#This Row],[TOTAL CURRENT UNITS]])</f>
        <v>0</v>
      </c>
      <c r="AG301" s="4" cm="1">
        <f t="array" ref="AG30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01" s="4" cm="1">
        <f t="array" ref="AH3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0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01" s="178">
        <f t="shared" si="4"/>
        <v>12.552</v>
      </c>
      <c r="AK301" s="118">
        <f>IF(INVESTORS_LIST[[#This Row],[TOTAL CURRENT UNITS]]=0,0,INVESTORS_LIST[[#This Row],[TOTAL CURRENT UNITS]]*INVESTORS_LIST[[#This Row],[NAV]])</f>
        <v>0</v>
      </c>
      <c r="AL301" s="4">
        <f>IF(INVESTORS_LIST[[#This Row],[LS_TOTAL CURRENT UNITS]]=0,0,INVESTORS_LIST[[#This Row],[LS_TOTAL CURRENT UNITS]]*INVESTORS_LIST[[#This Row],[NAV]])</f>
        <v>0</v>
      </c>
      <c r="AM301" s="6">
        <f>IF(INVESTORS_LIST[[#This Row],[SIP_TOTAL CURRENT UNITS]]=0,0,INVESTORS_LIST[[#This Row],[SIP_TOTAL CURRENT UNITS]]*INVESTORS_LIST[[#This Row],[NAV]])</f>
        <v>0</v>
      </c>
      <c r="AO301" s="6">
        <f>IF(INVESTORS_LIST[[#This Row],[TOTAL SELLABLE UNITS]]=0,0,INVESTORS_LIST[[#This Row],[TOTAL SELLABLE UNITS]]*INVESTORS_LIST[[#This Row],[NAV]])</f>
        <v>0</v>
      </c>
      <c r="AP301" s="6">
        <f>INVESTORS_LIST[[#This Row],[LS_TOTAL REALIZED GAIN]]+INVESTORS_LIST[[#This Row],[SIP_TOTAL REALIZED GAIN]]</f>
        <v>-1999.999999999993</v>
      </c>
      <c r="AQ301" s="6">
        <f>INVESTORS_LIST[[#This Row],[TOTAL MARKET VALUE]]-INVESTORS_LIST[[#This Row],[TOTAL COST VALUE OF CURRENT INVESTMENT]]</f>
        <v>0</v>
      </c>
      <c r="AR301" s="6">
        <f>SUMIFS(DivAndTax[Tax Amount],DivAndTax[Investor ID],INVESTORS_LIST[[#This Row],[INVESTOR CODE]])</f>
        <v>0</v>
      </c>
      <c r="AS301" s="6">
        <f>SUMIFS(DivAndTax[Gross Dividend],DivAndTax[Investor ID],INVESTORS_LIST[[#This Row],[INVESTOR CODE]])</f>
        <v>0</v>
      </c>
      <c r="AT301" s="5">
        <f>IFERROR(INVESTORS_LIST[[#This Row],[TOTAL CURRENT UNITS]]/SUM(INVESTORS_LIST[TOTAL CURRENT UNITS]),0)</f>
        <v>0</v>
      </c>
    </row>
    <row r="302" spans="1:46" hidden="1">
      <c r="A302" t="s">
        <v>467</v>
      </c>
      <c r="B302" t="s">
        <v>468</v>
      </c>
      <c r="C302" t="s">
        <v>536</v>
      </c>
      <c r="D302" s="8" t="s">
        <v>2</v>
      </c>
      <c r="E302" s="2">
        <f>SUMIFS(LS[Unit],LS[Investor ID],INVESTORS_LIST[[#This Row],[INVESTOR CODE]],LS[B/S],"B")</f>
        <v>0</v>
      </c>
      <c r="F302" s="2">
        <f>-SUMIFS(LS[Unit],LS[Investor ID],INVESTORS_LIST[[#This Row],[INVESTOR CODE]],LS[B/S],"S")</f>
        <v>0</v>
      </c>
      <c r="G302" s="2">
        <f>IF(INVESTORS_LIST[[#This Row],[LS_TOTAL UNITS BUY]]=0,0,INVESTORS_LIST[[#This Row],[LS_TOTAL UNITS BUY]]-INVESTORS_LIST[[#This Row],[LS_TOTAL UNITS SOLD]])</f>
        <v>0</v>
      </c>
      <c r="H302" s="4">
        <f>IF(INVESTORS_LIST[[#This Row],[LS_TOTAL UNITS BUY]]=0,0,SUMIFS(LS[Amount],LS[Investor ID],INVESTORS_LIST[[#This Row],[INVESTOR CODE]],LS[B/S],"B"))</f>
        <v>0</v>
      </c>
      <c r="I302" s="6">
        <f>IF(INVESTORS_LIST[[#This Row],[LS_TOTAL UNITS SOLD]]=0,0,SUMIFS(LS[Cost of Units Sold],LS[Investor ID],INVESTORS_LIST[[#This Row],[INVESTOR CODE]],LS[B/S],"S"))</f>
        <v>0</v>
      </c>
      <c r="J302" s="6">
        <f>IF(INVESTORS_LIST[[#This Row],[LS_TOTAL CURRENT UNITS]]=0,0,INVESTORS_LIST[[#This Row],[LS_TOTAL CURRENT UNITS]]*INVESTORS_LIST[[#This Row],[LS_AVERAGE COST]])</f>
        <v>0</v>
      </c>
      <c r="K302" s="4">
        <f>IF(INVESTORS_LIST[[#This Row],[LS_TOTAL UNITS SOLD]]=0,0,SUMIFS(LS[Realized Gain],LS[Investor ID],INVESTORS_LIST[[#This Row],[INVESTOR CODE]],LS[B/S],"S"))</f>
        <v>0</v>
      </c>
      <c r="L302" s="2">
        <f>SUMIFS(SIP[Unit],SIP[Investor ID],INVESTORS_LIST[[#This Row],[INVESTOR CODE]],SIP[B/S],"B")</f>
        <v>0</v>
      </c>
      <c r="M302" s="2">
        <f>-SUMIFS(SIP[Unit],SIP[Investor ID],INVESTORS_LIST[[#This Row],[INVESTOR CODE]],SIP[B/S],"S")</f>
        <v>0</v>
      </c>
      <c r="N302" s="33">
        <f>IF(INVESTORS_LIST[[#This Row],[SIP_TOTAL UNITS BUY]]=0,0,INVESTORS_LIST[[#This Row],[SIP_TOTAL UNITS BUY]]-INVESTORS_LIST[[#This Row],[SIP_TOTAL UNITS SOLD]])</f>
        <v>0</v>
      </c>
      <c r="O302" s="4">
        <f>IF(INVESTORS_LIST[[#This Row],[SIP_TOTAL UNITS BUY]]=0,0,SUMIFS(SIP[Amount],SIP[Investor ID],INVESTORS_LIST[[#This Row],[INVESTOR CODE]],SIP[B/S],"B"))</f>
        <v>0</v>
      </c>
      <c r="P302" s="4">
        <f>IF(INVESTORS_LIST[[#This Row],[SIP_TOTAL UNITS SOLD]]=0,0,SUMIFS(SIP[Cost of Units Sold],SIP[Investor ID],INVESTORS_LIST[[#This Row],[INVESTOR CODE]],SIP[B/S],"S"))</f>
        <v>0</v>
      </c>
      <c r="Q302" s="6">
        <f>IF(INVESTORS_LIST[[#This Row],[SIP_TOTAL CURRENT UNITS]]=0,0,INVESTORS_LIST[[#This Row],[SIP_TOTAL CURRENT UNITS]]*INVESTORS_LIST[[#This Row],[SIP_AVERAGE COST]])</f>
        <v>0</v>
      </c>
      <c r="R302" s="6">
        <f>IF(INVESTORS_LIST[[#This Row],[SIP_TOTAL UNITS SOLD]]=0,0,SUMIFS(SIP[Realized Gain],SIP[Investor ID],INVESTORS_LIST[[#This Row],[INVESTOR CODE]],SIP[B/S],"S"))</f>
        <v>0</v>
      </c>
      <c r="S302" s="33">
        <f>INVESTORS_LIST[[#This Row],[LS_TOTAL UNITS BUY]]+INVESTORS_LIST[[#This Row],[SIP_TOTAL UNITS BUY]]</f>
        <v>0</v>
      </c>
      <c r="T302" s="33">
        <f>INVESTORS_LIST[[#This Row],[LS_TOTAL UNITS SOLD]]+INVESTORS_LIST[[#This Row],[SIP_TOTAL UNITS SOLD]]</f>
        <v>0</v>
      </c>
      <c r="U302" s="33">
        <v>0</v>
      </c>
      <c r="V302" s="33">
        <f>SUMIFS(LS[BO UNIT TRANSFER],LS[Investor ID],INVESTORS_LIST[[#This Row],[INVESTOR CODE]],LS[B/S],"B")</f>
        <v>0</v>
      </c>
      <c r="W302" s="33">
        <f>SUMIFS(LS[BO UNIT TRANSFER],LS[Investor ID],INVESTORS_LIST[[#This Row],[INVESTOR CODE]],LS[B/S],"S")</f>
        <v>0</v>
      </c>
      <c r="X302" s="33">
        <f>SUMIFS(SIP[BO UNIT TRANSFER],SIP[Investor ID],INVESTORS_LIST[[#This Row],[INVESTOR CODE]],SIP[B/S],"S")</f>
        <v>0</v>
      </c>
      <c r="Y302" s="33">
        <f>SUMIFS(SIP[BO UNIT TRANSFER],SIP[Investor ID],INVESTORS_LIST[[#This Row],[INVESTOR CODE]],SIP[B/S],"B")</f>
        <v>0</v>
      </c>
      <c r="Z30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02" s="119">
        <f>INVESTORS_LIST[[#This Row],[TOTAL UNITS BUY]]-INVESTORS_LIST[[#This Row],[TOTAL UNITS SOLD]]</f>
        <v>0</v>
      </c>
      <c r="AB302" s="119">
        <f>INVESTORS_LIST[[#This Row],[TOTAL CURRENT UNITS]]-INVESTORS_LIST[[#This Row],[BO UNITS HOLD]]</f>
        <v>0</v>
      </c>
      <c r="AC302" s="119" t="e">
        <f>INDEX([4]!Table_1[BO ID],MATCH(INVESTORS_LIST[[#This Row],[INVESTOR CODE]],[4]!Table_1[INVESTOR CODE],0))</f>
        <v>#REF!</v>
      </c>
      <c r="AD302" s="33">
        <f>INVESTORS_LIST[[#This Row],[LS_TOTAL COST VALUE OF CURRENT UNITS]]+INVESTORS_LIST[[#This Row],[SIP_TOTAL COST VALUE OF CURRENT UNITS]]</f>
        <v>0</v>
      </c>
      <c r="AE302" s="44">
        <f>IF(INVESTORS_LIST[[#This Row],[TOTAL CURRENT UNITS]]=0,0,INVESTORS_LIST[[#This Row],[LS_TOTAL CURRENT UNITS]]/INVESTORS_LIST[[#This Row],[TOTAL CURRENT UNITS]])</f>
        <v>0</v>
      </c>
      <c r="AF302" s="44">
        <f>IF(INVESTORS_LIST[[#This Row],[TOTAL CURRENT UNITS]]=0,0,INVESTORS_LIST[[#This Row],[SIP_TOTAL CURRENT UNITS]]/INVESTORS_LIST[[#This Row],[TOTAL CURRENT UNITS]])</f>
        <v>0</v>
      </c>
      <c r="AG302" s="4" cm="1">
        <f t="array" ref="AG30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02" s="4" cm="1">
        <f t="array" ref="AH3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0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02" s="178">
        <f t="shared" si="4"/>
        <v>12.552</v>
      </c>
      <c r="AK302" s="118">
        <f>IF(INVESTORS_LIST[[#This Row],[TOTAL CURRENT UNITS]]=0,0,INVESTORS_LIST[[#This Row],[TOTAL CURRENT UNITS]]*INVESTORS_LIST[[#This Row],[NAV]])</f>
        <v>0</v>
      </c>
      <c r="AL302" s="4">
        <f>IF(INVESTORS_LIST[[#This Row],[LS_TOTAL CURRENT UNITS]]=0,0,INVESTORS_LIST[[#This Row],[LS_TOTAL CURRENT UNITS]]*INVESTORS_LIST[[#This Row],[NAV]])</f>
        <v>0</v>
      </c>
      <c r="AM302" s="6">
        <f>IF(INVESTORS_LIST[[#This Row],[SIP_TOTAL CURRENT UNITS]]=0,0,INVESTORS_LIST[[#This Row],[SIP_TOTAL CURRENT UNITS]]*INVESTORS_LIST[[#This Row],[NAV]])</f>
        <v>0</v>
      </c>
      <c r="AO302" s="6">
        <f>IF(INVESTORS_LIST[[#This Row],[TOTAL SELLABLE UNITS]]=0,0,INVESTORS_LIST[[#This Row],[TOTAL SELLABLE UNITS]]*INVESTORS_LIST[[#This Row],[NAV]])</f>
        <v>0</v>
      </c>
      <c r="AP302" s="6">
        <f>INVESTORS_LIST[[#This Row],[LS_TOTAL REALIZED GAIN]]+INVESTORS_LIST[[#This Row],[SIP_TOTAL REALIZED GAIN]]</f>
        <v>0</v>
      </c>
      <c r="AQ302" s="6">
        <f>INVESTORS_LIST[[#This Row],[TOTAL MARKET VALUE]]-INVESTORS_LIST[[#This Row],[TOTAL COST VALUE OF CURRENT INVESTMENT]]</f>
        <v>0</v>
      </c>
      <c r="AR302" s="6">
        <f>SUMIFS(DivAndTax[Tax Amount],DivAndTax[Investor ID],INVESTORS_LIST[[#This Row],[INVESTOR CODE]])</f>
        <v>0</v>
      </c>
      <c r="AS302" s="6">
        <f>SUMIFS(DivAndTax[Gross Dividend],DivAndTax[Investor ID],INVESTORS_LIST[[#This Row],[INVESTOR CODE]])</f>
        <v>0</v>
      </c>
      <c r="AT302" s="5">
        <f>IFERROR(INVESTORS_LIST[[#This Row],[TOTAL CURRENT UNITS]]/SUM(INVESTORS_LIST[TOTAL CURRENT UNITS]),0)</f>
        <v>0</v>
      </c>
    </row>
    <row r="303" spans="1:46" hidden="1">
      <c r="A303" t="s">
        <v>469</v>
      </c>
      <c r="B303" t="s">
        <v>470</v>
      </c>
      <c r="C303" t="s">
        <v>536</v>
      </c>
      <c r="D303" s="8" t="s">
        <v>2</v>
      </c>
      <c r="E303" s="2">
        <f>SUMIFS(LS[Unit],LS[Investor ID],INVESTORS_LIST[[#This Row],[INVESTOR CODE]],LS[B/S],"B")</f>
        <v>0</v>
      </c>
      <c r="F303" s="2">
        <f>-SUMIFS(LS[Unit],LS[Investor ID],INVESTORS_LIST[[#This Row],[INVESTOR CODE]],LS[B/S],"S")</f>
        <v>0</v>
      </c>
      <c r="G303" s="2">
        <f>IF(INVESTORS_LIST[[#This Row],[LS_TOTAL UNITS BUY]]=0,0,INVESTORS_LIST[[#This Row],[LS_TOTAL UNITS BUY]]-INVESTORS_LIST[[#This Row],[LS_TOTAL UNITS SOLD]])</f>
        <v>0</v>
      </c>
      <c r="H303" s="4">
        <f>IF(INVESTORS_LIST[[#This Row],[LS_TOTAL UNITS BUY]]=0,0,SUMIFS(LS[Amount],LS[Investor ID],INVESTORS_LIST[[#This Row],[INVESTOR CODE]],LS[B/S],"B"))</f>
        <v>0</v>
      </c>
      <c r="I303" s="6">
        <f>IF(INVESTORS_LIST[[#This Row],[LS_TOTAL UNITS SOLD]]=0,0,SUMIFS(LS[Cost of Units Sold],LS[Investor ID],INVESTORS_LIST[[#This Row],[INVESTOR CODE]],LS[B/S],"S"))</f>
        <v>0</v>
      </c>
      <c r="J303" s="6">
        <f>IF(INVESTORS_LIST[[#This Row],[LS_TOTAL CURRENT UNITS]]=0,0,INVESTORS_LIST[[#This Row],[LS_TOTAL CURRENT UNITS]]*INVESTORS_LIST[[#This Row],[LS_AVERAGE COST]])</f>
        <v>0</v>
      </c>
      <c r="K303" s="4">
        <f>IF(INVESTORS_LIST[[#This Row],[LS_TOTAL UNITS SOLD]]=0,0,SUMIFS(LS[Realized Gain],LS[Investor ID],INVESTORS_LIST[[#This Row],[INVESTOR CODE]],LS[B/S],"S"))</f>
        <v>0</v>
      </c>
      <c r="L303" s="2">
        <f>SUMIFS(SIP[Unit],SIP[Investor ID],INVESTORS_LIST[[#This Row],[INVESTOR CODE]],SIP[B/S],"B")</f>
        <v>0</v>
      </c>
      <c r="M303" s="2">
        <f>-SUMIFS(SIP[Unit],SIP[Investor ID],INVESTORS_LIST[[#This Row],[INVESTOR CODE]],SIP[B/S],"S")</f>
        <v>0</v>
      </c>
      <c r="N303" s="33">
        <f>IF(INVESTORS_LIST[[#This Row],[SIP_TOTAL UNITS BUY]]=0,0,INVESTORS_LIST[[#This Row],[SIP_TOTAL UNITS BUY]]-INVESTORS_LIST[[#This Row],[SIP_TOTAL UNITS SOLD]])</f>
        <v>0</v>
      </c>
      <c r="O303" s="4">
        <f>IF(INVESTORS_LIST[[#This Row],[SIP_TOTAL UNITS BUY]]=0,0,SUMIFS(SIP[Amount],SIP[Investor ID],INVESTORS_LIST[[#This Row],[INVESTOR CODE]],SIP[B/S],"B"))</f>
        <v>0</v>
      </c>
      <c r="P303" s="4">
        <f>IF(INVESTORS_LIST[[#This Row],[SIP_TOTAL UNITS SOLD]]=0,0,SUMIFS(SIP[Cost of Units Sold],SIP[Investor ID],INVESTORS_LIST[[#This Row],[INVESTOR CODE]],SIP[B/S],"S"))</f>
        <v>0</v>
      </c>
      <c r="Q303" s="6">
        <f>IF(INVESTORS_LIST[[#This Row],[SIP_TOTAL CURRENT UNITS]]=0,0,INVESTORS_LIST[[#This Row],[SIP_TOTAL CURRENT UNITS]]*INVESTORS_LIST[[#This Row],[SIP_AVERAGE COST]])</f>
        <v>0</v>
      </c>
      <c r="R303" s="6">
        <f>IF(INVESTORS_LIST[[#This Row],[SIP_TOTAL UNITS SOLD]]=0,0,SUMIFS(SIP[Realized Gain],SIP[Investor ID],INVESTORS_LIST[[#This Row],[INVESTOR CODE]],SIP[B/S],"S"))</f>
        <v>0</v>
      </c>
      <c r="S303" s="33">
        <f>INVESTORS_LIST[[#This Row],[LS_TOTAL UNITS BUY]]+INVESTORS_LIST[[#This Row],[SIP_TOTAL UNITS BUY]]</f>
        <v>0</v>
      </c>
      <c r="T303" s="33">
        <f>INVESTORS_LIST[[#This Row],[LS_TOTAL UNITS SOLD]]+INVESTORS_LIST[[#This Row],[SIP_TOTAL UNITS SOLD]]</f>
        <v>0</v>
      </c>
      <c r="U303" s="33">
        <v>0</v>
      </c>
      <c r="V303" s="33">
        <f>SUMIFS(LS[BO UNIT TRANSFER],LS[Investor ID],INVESTORS_LIST[[#This Row],[INVESTOR CODE]],LS[B/S],"B")</f>
        <v>0</v>
      </c>
      <c r="W303" s="33">
        <f>SUMIFS(LS[BO UNIT TRANSFER],LS[Investor ID],INVESTORS_LIST[[#This Row],[INVESTOR CODE]],LS[B/S],"S")</f>
        <v>0</v>
      </c>
      <c r="X303" s="33">
        <f>SUMIFS(SIP[BO UNIT TRANSFER],SIP[Investor ID],INVESTORS_LIST[[#This Row],[INVESTOR CODE]],SIP[B/S],"S")</f>
        <v>0</v>
      </c>
      <c r="Y303" s="33">
        <f>SUMIFS(SIP[BO UNIT TRANSFER],SIP[Investor ID],INVESTORS_LIST[[#This Row],[INVESTOR CODE]],SIP[B/S],"B")</f>
        <v>0</v>
      </c>
      <c r="Z30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03" s="119">
        <f>INVESTORS_LIST[[#This Row],[TOTAL UNITS BUY]]-INVESTORS_LIST[[#This Row],[TOTAL UNITS SOLD]]</f>
        <v>0</v>
      </c>
      <c r="AB303" s="119">
        <f>INVESTORS_LIST[[#This Row],[TOTAL CURRENT UNITS]]-INVESTORS_LIST[[#This Row],[BO UNITS HOLD]]</f>
        <v>0</v>
      </c>
      <c r="AC303" s="119" t="e">
        <f>INDEX([4]!Table_1[BO ID],MATCH(INVESTORS_LIST[[#This Row],[INVESTOR CODE]],[4]!Table_1[INVESTOR CODE],0))</f>
        <v>#REF!</v>
      </c>
      <c r="AD303" s="33">
        <f>INVESTORS_LIST[[#This Row],[LS_TOTAL COST VALUE OF CURRENT UNITS]]+INVESTORS_LIST[[#This Row],[SIP_TOTAL COST VALUE OF CURRENT UNITS]]</f>
        <v>0</v>
      </c>
      <c r="AE303" s="44">
        <f>IF(INVESTORS_LIST[[#This Row],[TOTAL CURRENT UNITS]]=0,0,INVESTORS_LIST[[#This Row],[LS_TOTAL CURRENT UNITS]]/INVESTORS_LIST[[#This Row],[TOTAL CURRENT UNITS]])</f>
        <v>0</v>
      </c>
      <c r="AF303" s="44">
        <f>IF(INVESTORS_LIST[[#This Row],[TOTAL CURRENT UNITS]]=0,0,INVESTORS_LIST[[#This Row],[SIP_TOTAL CURRENT UNITS]]/INVESTORS_LIST[[#This Row],[TOTAL CURRENT UNITS]])</f>
        <v>0</v>
      </c>
      <c r="AG303" s="4" cm="1">
        <f t="array" ref="AG3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03" s="4" cm="1">
        <f t="array" ref="AH30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0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03" s="178">
        <f t="shared" si="4"/>
        <v>12.552</v>
      </c>
      <c r="AK303" s="118">
        <f>IF(INVESTORS_LIST[[#This Row],[TOTAL CURRENT UNITS]]=0,0,INVESTORS_LIST[[#This Row],[TOTAL CURRENT UNITS]]*INVESTORS_LIST[[#This Row],[NAV]])</f>
        <v>0</v>
      </c>
      <c r="AL303" s="4">
        <f>IF(INVESTORS_LIST[[#This Row],[LS_TOTAL CURRENT UNITS]]=0,0,INVESTORS_LIST[[#This Row],[LS_TOTAL CURRENT UNITS]]*INVESTORS_LIST[[#This Row],[NAV]])</f>
        <v>0</v>
      </c>
      <c r="AM303" s="6">
        <f>IF(INVESTORS_LIST[[#This Row],[SIP_TOTAL CURRENT UNITS]]=0,0,INVESTORS_LIST[[#This Row],[SIP_TOTAL CURRENT UNITS]]*INVESTORS_LIST[[#This Row],[NAV]])</f>
        <v>0</v>
      </c>
      <c r="AO303" s="6">
        <f>IF(INVESTORS_LIST[[#This Row],[TOTAL SELLABLE UNITS]]=0,0,INVESTORS_LIST[[#This Row],[TOTAL SELLABLE UNITS]]*INVESTORS_LIST[[#This Row],[NAV]])</f>
        <v>0</v>
      </c>
      <c r="AP303" s="6">
        <f>INVESTORS_LIST[[#This Row],[LS_TOTAL REALIZED GAIN]]+INVESTORS_LIST[[#This Row],[SIP_TOTAL REALIZED GAIN]]</f>
        <v>0</v>
      </c>
      <c r="AQ303" s="6">
        <f>INVESTORS_LIST[[#This Row],[TOTAL MARKET VALUE]]-INVESTORS_LIST[[#This Row],[TOTAL COST VALUE OF CURRENT INVESTMENT]]</f>
        <v>0</v>
      </c>
      <c r="AR303" s="6">
        <f>SUMIFS(DivAndTax[Tax Amount],DivAndTax[Investor ID],INVESTORS_LIST[[#This Row],[INVESTOR CODE]])</f>
        <v>0</v>
      </c>
      <c r="AS303" s="6">
        <f>SUMIFS(DivAndTax[Gross Dividend],DivAndTax[Investor ID],INVESTORS_LIST[[#This Row],[INVESTOR CODE]])</f>
        <v>0</v>
      </c>
      <c r="AT303" s="5">
        <f>IFERROR(INVESTORS_LIST[[#This Row],[TOTAL CURRENT UNITS]]/SUM(INVESTORS_LIST[TOTAL CURRENT UNITS]),0)</f>
        <v>0</v>
      </c>
    </row>
    <row r="304" spans="1:46" hidden="1">
      <c r="A304" t="s">
        <v>471</v>
      </c>
      <c r="B304" t="s">
        <v>472</v>
      </c>
      <c r="C304" t="s">
        <v>536</v>
      </c>
      <c r="D304" s="8" t="s">
        <v>2</v>
      </c>
      <c r="E304" s="2">
        <f>SUMIFS(LS[Unit],LS[Investor ID],INVESTORS_LIST[[#This Row],[INVESTOR CODE]],LS[B/S],"B")</f>
        <v>0</v>
      </c>
      <c r="F304" s="2">
        <f>-SUMIFS(LS[Unit],LS[Investor ID],INVESTORS_LIST[[#This Row],[INVESTOR CODE]],LS[B/S],"S")</f>
        <v>0</v>
      </c>
      <c r="G304" s="2">
        <f>IF(INVESTORS_LIST[[#This Row],[LS_TOTAL UNITS BUY]]=0,0,INVESTORS_LIST[[#This Row],[LS_TOTAL UNITS BUY]]-INVESTORS_LIST[[#This Row],[LS_TOTAL UNITS SOLD]])</f>
        <v>0</v>
      </c>
      <c r="H304" s="4">
        <f>IF(INVESTORS_LIST[[#This Row],[LS_TOTAL UNITS BUY]]=0,0,SUMIFS(LS[Amount],LS[Investor ID],INVESTORS_LIST[[#This Row],[INVESTOR CODE]],LS[B/S],"B"))</f>
        <v>0</v>
      </c>
      <c r="I304" s="6">
        <f>IF(INVESTORS_LIST[[#This Row],[LS_TOTAL UNITS SOLD]]=0,0,SUMIFS(LS[Cost of Units Sold],LS[Investor ID],INVESTORS_LIST[[#This Row],[INVESTOR CODE]],LS[B/S],"S"))</f>
        <v>0</v>
      </c>
      <c r="J304" s="6">
        <f>IF(INVESTORS_LIST[[#This Row],[LS_TOTAL CURRENT UNITS]]=0,0,INVESTORS_LIST[[#This Row],[LS_TOTAL CURRENT UNITS]]*INVESTORS_LIST[[#This Row],[LS_AVERAGE COST]])</f>
        <v>0</v>
      </c>
      <c r="K304" s="4">
        <f>IF(INVESTORS_LIST[[#This Row],[LS_TOTAL UNITS SOLD]]=0,0,SUMIFS(LS[Realized Gain],LS[Investor ID],INVESTORS_LIST[[#This Row],[INVESTOR CODE]],LS[B/S],"S"))</f>
        <v>0</v>
      </c>
      <c r="L304" s="2">
        <f>SUMIFS(SIP[Unit],SIP[Investor ID],INVESTORS_LIST[[#This Row],[INVESTOR CODE]],SIP[B/S],"B")</f>
        <v>0</v>
      </c>
      <c r="M304" s="2">
        <f>-SUMIFS(SIP[Unit],SIP[Investor ID],INVESTORS_LIST[[#This Row],[INVESTOR CODE]],SIP[B/S],"S")</f>
        <v>0</v>
      </c>
      <c r="N304" s="33">
        <f>IF(INVESTORS_LIST[[#This Row],[SIP_TOTAL UNITS BUY]]=0,0,INVESTORS_LIST[[#This Row],[SIP_TOTAL UNITS BUY]]-INVESTORS_LIST[[#This Row],[SIP_TOTAL UNITS SOLD]])</f>
        <v>0</v>
      </c>
      <c r="O304" s="4">
        <f>IF(INVESTORS_LIST[[#This Row],[SIP_TOTAL UNITS BUY]]=0,0,SUMIFS(SIP[Amount],SIP[Investor ID],INVESTORS_LIST[[#This Row],[INVESTOR CODE]],SIP[B/S],"B"))</f>
        <v>0</v>
      </c>
      <c r="P304" s="4">
        <f>IF(INVESTORS_LIST[[#This Row],[SIP_TOTAL UNITS SOLD]]=0,0,SUMIFS(SIP[Cost of Units Sold],SIP[Investor ID],INVESTORS_LIST[[#This Row],[INVESTOR CODE]],SIP[B/S],"S"))</f>
        <v>0</v>
      </c>
      <c r="Q304" s="6">
        <f>IF(INVESTORS_LIST[[#This Row],[SIP_TOTAL CURRENT UNITS]]=0,0,INVESTORS_LIST[[#This Row],[SIP_TOTAL CURRENT UNITS]]*INVESTORS_LIST[[#This Row],[SIP_AVERAGE COST]])</f>
        <v>0</v>
      </c>
      <c r="R304" s="6">
        <f>IF(INVESTORS_LIST[[#This Row],[SIP_TOTAL UNITS SOLD]]=0,0,SUMIFS(SIP[Realized Gain],SIP[Investor ID],INVESTORS_LIST[[#This Row],[INVESTOR CODE]],SIP[B/S],"S"))</f>
        <v>0</v>
      </c>
      <c r="S304" s="33">
        <f>INVESTORS_LIST[[#This Row],[LS_TOTAL UNITS BUY]]+INVESTORS_LIST[[#This Row],[SIP_TOTAL UNITS BUY]]</f>
        <v>0</v>
      </c>
      <c r="T304" s="33">
        <f>INVESTORS_LIST[[#This Row],[LS_TOTAL UNITS SOLD]]+INVESTORS_LIST[[#This Row],[SIP_TOTAL UNITS SOLD]]</f>
        <v>0</v>
      </c>
      <c r="U304" s="33">
        <v>0</v>
      </c>
      <c r="V304" s="33">
        <f>SUMIFS(LS[BO UNIT TRANSFER],LS[Investor ID],INVESTORS_LIST[[#This Row],[INVESTOR CODE]],LS[B/S],"B")</f>
        <v>0</v>
      </c>
      <c r="W304" s="33">
        <f>SUMIFS(LS[BO UNIT TRANSFER],LS[Investor ID],INVESTORS_LIST[[#This Row],[INVESTOR CODE]],LS[B/S],"S")</f>
        <v>0</v>
      </c>
      <c r="X304" s="33">
        <f>SUMIFS(SIP[BO UNIT TRANSFER],SIP[Investor ID],INVESTORS_LIST[[#This Row],[INVESTOR CODE]],SIP[B/S],"S")</f>
        <v>0</v>
      </c>
      <c r="Y304" s="33">
        <f>SUMIFS(SIP[BO UNIT TRANSFER],SIP[Investor ID],INVESTORS_LIST[[#This Row],[INVESTOR CODE]],SIP[B/S],"B")</f>
        <v>0</v>
      </c>
      <c r="Z30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04" s="119">
        <f>INVESTORS_LIST[[#This Row],[TOTAL UNITS BUY]]-INVESTORS_LIST[[#This Row],[TOTAL UNITS SOLD]]</f>
        <v>0</v>
      </c>
      <c r="AB304" s="119">
        <f>INVESTORS_LIST[[#This Row],[TOTAL CURRENT UNITS]]-INVESTORS_LIST[[#This Row],[BO UNITS HOLD]]</f>
        <v>0</v>
      </c>
      <c r="AC304" s="119" t="e">
        <f>INDEX([4]!Table_1[BO ID],MATCH(INVESTORS_LIST[[#This Row],[INVESTOR CODE]],[4]!Table_1[INVESTOR CODE],0))</f>
        <v>#REF!</v>
      </c>
      <c r="AD304" s="33">
        <f>INVESTORS_LIST[[#This Row],[LS_TOTAL COST VALUE OF CURRENT UNITS]]+INVESTORS_LIST[[#This Row],[SIP_TOTAL COST VALUE OF CURRENT UNITS]]</f>
        <v>0</v>
      </c>
      <c r="AE304" s="44">
        <f>IF(INVESTORS_LIST[[#This Row],[TOTAL CURRENT UNITS]]=0,0,INVESTORS_LIST[[#This Row],[LS_TOTAL CURRENT UNITS]]/INVESTORS_LIST[[#This Row],[TOTAL CURRENT UNITS]])</f>
        <v>0</v>
      </c>
      <c r="AF304" s="44">
        <f>IF(INVESTORS_LIST[[#This Row],[TOTAL CURRENT UNITS]]=0,0,INVESTORS_LIST[[#This Row],[SIP_TOTAL CURRENT UNITS]]/INVESTORS_LIST[[#This Row],[TOTAL CURRENT UNITS]])</f>
        <v>0</v>
      </c>
      <c r="AG304" s="4" cm="1">
        <f t="array" ref="AG30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04" s="4" cm="1">
        <f t="array" ref="AH3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0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04" s="178">
        <f t="shared" si="4"/>
        <v>12.552</v>
      </c>
      <c r="AK304" s="118">
        <f>IF(INVESTORS_LIST[[#This Row],[TOTAL CURRENT UNITS]]=0,0,INVESTORS_LIST[[#This Row],[TOTAL CURRENT UNITS]]*INVESTORS_LIST[[#This Row],[NAV]])</f>
        <v>0</v>
      </c>
      <c r="AL304" s="4">
        <f>IF(INVESTORS_LIST[[#This Row],[LS_TOTAL CURRENT UNITS]]=0,0,INVESTORS_LIST[[#This Row],[LS_TOTAL CURRENT UNITS]]*INVESTORS_LIST[[#This Row],[NAV]])</f>
        <v>0</v>
      </c>
      <c r="AM304" s="6">
        <f>IF(INVESTORS_LIST[[#This Row],[SIP_TOTAL CURRENT UNITS]]=0,0,INVESTORS_LIST[[#This Row],[SIP_TOTAL CURRENT UNITS]]*INVESTORS_LIST[[#This Row],[NAV]])</f>
        <v>0</v>
      </c>
      <c r="AO304" s="6">
        <f>IF(INVESTORS_LIST[[#This Row],[TOTAL SELLABLE UNITS]]=0,0,INVESTORS_LIST[[#This Row],[TOTAL SELLABLE UNITS]]*INVESTORS_LIST[[#This Row],[NAV]])</f>
        <v>0</v>
      </c>
      <c r="AP304" s="6">
        <f>INVESTORS_LIST[[#This Row],[LS_TOTAL REALIZED GAIN]]+INVESTORS_LIST[[#This Row],[SIP_TOTAL REALIZED GAIN]]</f>
        <v>0</v>
      </c>
      <c r="AQ304" s="6">
        <f>INVESTORS_LIST[[#This Row],[TOTAL MARKET VALUE]]-INVESTORS_LIST[[#This Row],[TOTAL COST VALUE OF CURRENT INVESTMENT]]</f>
        <v>0</v>
      </c>
      <c r="AR304" s="6">
        <f>SUMIFS(DivAndTax[Tax Amount],DivAndTax[Investor ID],INVESTORS_LIST[[#This Row],[INVESTOR CODE]])</f>
        <v>0</v>
      </c>
      <c r="AS304" s="6">
        <f>SUMIFS(DivAndTax[Gross Dividend],DivAndTax[Investor ID],INVESTORS_LIST[[#This Row],[INVESTOR CODE]])</f>
        <v>0</v>
      </c>
      <c r="AT304" s="5">
        <f>IFERROR(INVESTORS_LIST[[#This Row],[TOTAL CURRENT UNITS]]/SUM(INVESTORS_LIST[TOTAL CURRENT UNITS]),0)</f>
        <v>0</v>
      </c>
    </row>
    <row r="305" spans="1:46" hidden="1">
      <c r="A305" t="s">
        <v>498</v>
      </c>
      <c r="B305" t="s">
        <v>499</v>
      </c>
      <c r="C305" t="s">
        <v>539</v>
      </c>
      <c r="D305" s="8" t="s">
        <v>2</v>
      </c>
      <c r="E305" s="2">
        <f>SUMIFS(LS[Unit],LS[Investor ID],INVESTORS_LIST[[#This Row],[INVESTOR CODE]],LS[B/S],"B")</f>
        <v>0</v>
      </c>
      <c r="F305" s="2">
        <f>-SUMIFS(LS[Unit],LS[Investor ID],INVESTORS_LIST[[#This Row],[INVESTOR CODE]],LS[B/S],"S")</f>
        <v>0</v>
      </c>
      <c r="G305" s="2">
        <f>IF(INVESTORS_LIST[[#This Row],[LS_TOTAL UNITS BUY]]=0,0,INVESTORS_LIST[[#This Row],[LS_TOTAL UNITS BUY]]-INVESTORS_LIST[[#This Row],[LS_TOTAL UNITS SOLD]])</f>
        <v>0</v>
      </c>
      <c r="H305" s="4">
        <f>IF(INVESTORS_LIST[[#This Row],[LS_TOTAL UNITS BUY]]=0,0,SUMIFS(LS[Amount],LS[Investor ID],INVESTORS_LIST[[#This Row],[INVESTOR CODE]],LS[B/S],"B"))</f>
        <v>0</v>
      </c>
      <c r="I305" s="6">
        <f>IF(INVESTORS_LIST[[#This Row],[LS_TOTAL UNITS SOLD]]=0,0,SUMIFS(LS[Cost of Units Sold],LS[Investor ID],INVESTORS_LIST[[#This Row],[INVESTOR CODE]],LS[B/S],"S"))</f>
        <v>0</v>
      </c>
      <c r="J305" s="6">
        <f>IF(INVESTORS_LIST[[#This Row],[LS_TOTAL CURRENT UNITS]]=0,0,INVESTORS_LIST[[#This Row],[LS_TOTAL CURRENT UNITS]]*INVESTORS_LIST[[#This Row],[LS_AVERAGE COST]])</f>
        <v>0</v>
      </c>
      <c r="K305" s="4">
        <f>IF(INVESTORS_LIST[[#This Row],[LS_TOTAL UNITS SOLD]]=0,0,SUMIFS(LS[Realized Gain],LS[Investor ID],INVESTORS_LIST[[#This Row],[INVESTOR CODE]],LS[B/S],"S"))</f>
        <v>0</v>
      </c>
      <c r="L305" s="2">
        <f>SUMIFS(SIP[Unit],SIP[Investor ID],INVESTORS_LIST[[#This Row],[INVESTOR CODE]],SIP[B/S],"B")</f>
        <v>0</v>
      </c>
      <c r="M305" s="2">
        <f>-SUMIFS(SIP[Unit],SIP[Investor ID],INVESTORS_LIST[[#This Row],[INVESTOR CODE]],SIP[B/S],"S")</f>
        <v>0</v>
      </c>
      <c r="N305" s="33">
        <f>IF(INVESTORS_LIST[[#This Row],[SIP_TOTAL UNITS BUY]]=0,0,INVESTORS_LIST[[#This Row],[SIP_TOTAL UNITS BUY]]-INVESTORS_LIST[[#This Row],[SIP_TOTAL UNITS SOLD]])</f>
        <v>0</v>
      </c>
      <c r="O305" s="4">
        <f>IF(INVESTORS_LIST[[#This Row],[SIP_TOTAL UNITS BUY]]=0,0,SUMIFS(SIP[Amount],SIP[Investor ID],INVESTORS_LIST[[#This Row],[INVESTOR CODE]],SIP[B/S],"B"))</f>
        <v>0</v>
      </c>
      <c r="P305" s="4">
        <f>IF(INVESTORS_LIST[[#This Row],[SIP_TOTAL UNITS SOLD]]=0,0,SUMIFS(SIP[Cost of Units Sold],SIP[Investor ID],INVESTORS_LIST[[#This Row],[INVESTOR CODE]],SIP[B/S],"S"))</f>
        <v>0</v>
      </c>
      <c r="Q305" s="6">
        <f>IF(INVESTORS_LIST[[#This Row],[SIP_TOTAL CURRENT UNITS]]=0,0,INVESTORS_LIST[[#This Row],[SIP_TOTAL CURRENT UNITS]]*INVESTORS_LIST[[#This Row],[SIP_AVERAGE COST]])</f>
        <v>0</v>
      </c>
      <c r="R305" s="6">
        <f>IF(INVESTORS_LIST[[#This Row],[SIP_TOTAL UNITS SOLD]]=0,0,SUMIFS(SIP[Realized Gain],SIP[Investor ID],INVESTORS_LIST[[#This Row],[INVESTOR CODE]],SIP[B/S],"S"))</f>
        <v>0</v>
      </c>
      <c r="S305" s="33">
        <f>INVESTORS_LIST[[#This Row],[LS_TOTAL UNITS BUY]]+INVESTORS_LIST[[#This Row],[SIP_TOTAL UNITS BUY]]</f>
        <v>0</v>
      </c>
      <c r="T305" s="33">
        <f>INVESTORS_LIST[[#This Row],[LS_TOTAL UNITS SOLD]]+INVESTORS_LIST[[#This Row],[SIP_TOTAL UNITS SOLD]]</f>
        <v>0</v>
      </c>
      <c r="U305" s="33">
        <v>0</v>
      </c>
      <c r="V305" s="33">
        <f>SUMIFS(LS[BO UNIT TRANSFER],LS[Investor ID],INVESTORS_LIST[[#This Row],[INVESTOR CODE]],LS[B/S],"B")</f>
        <v>0</v>
      </c>
      <c r="W305" s="33">
        <f>SUMIFS(LS[BO UNIT TRANSFER],LS[Investor ID],INVESTORS_LIST[[#This Row],[INVESTOR CODE]],LS[B/S],"S")</f>
        <v>0</v>
      </c>
      <c r="X305" s="33">
        <f>SUMIFS(SIP[BO UNIT TRANSFER],SIP[Investor ID],INVESTORS_LIST[[#This Row],[INVESTOR CODE]],SIP[B/S],"S")</f>
        <v>0</v>
      </c>
      <c r="Y305" s="33">
        <f>SUMIFS(SIP[BO UNIT TRANSFER],SIP[Investor ID],INVESTORS_LIST[[#This Row],[INVESTOR CODE]],SIP[B/S],"B")</f>
        <v>0</v>
      </c>
      <c r="Z30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05" s="119">
        <f>INVESTORS_LIST[[#This Row],[TOTAL UNITS BUY]]-INVESTORS_LIST[[#This Row],[TOTAL UNITS SOLD]]</f>
        <v>0</v>
      </c>
      <c r="AB305" s="119">
        <f>INVESTORS_LIST[[#This Row],[TOTAL CURRENT UNITS]]-INVESTORS_LIST[[#This Row],[BO UNITS HOLD]]</f>
        <v>0</v>
      </c>
      <c r="AC305" s="119" t="e">
        <f>INDEX([4]!Table_1[BO ID],MATCH(INVESTORS_LIST[[#This Row],[INVESTOR CODE]],[4]!Table_1[INVESTOR CODE],0))</f>
        <v>#REF!</v>
      </c>
      <c r="AD305" s="33">
        <f>INVESTORS_LIST[[#This Row],[LS_TOTAL COST VALUE OF CURRENT UNITS]]+INVESTORS_LIST[[#This Row],[SIP_TOTAL COST VALUE OF CURRENT UNITS]]</f>
        <v>0</v>
      </c>
      <c r="AE305" s="44">
        <f>IF(INVESTORS_LIST[[#This Row],[TOTAL CURRENT UNITS]]=0,0,INVESTORS_LIST[[#This Row],[LS_TOTAL CURRENT UNITS]]/INVESTORS_LIST[[#This Row],[TOTAL CURRENT UNITS]])</f>
        <v>0</v>
      </c>
      <c r="AF305" s="44">
        <f>IF(INVESTORS_LIST[[#This Row],[TOTAL CURRENT UNITS]]=0,0,INVESTORS_LIST[[#This Row],[SIP_TOTAL CURRENT UNITS]]/INVESTORS_LIST[[#This Row],[TOTAL CURRENT UNITS]])</f>
        <v>0</v>
      </c>
      <c r="AG305" s="4" cm="1">
        <f t="array" ref="AG30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05" s="4" cm="1">
        <f t="array" ref="AH30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0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05" s="178">
        <f t="shared" si="4"/>
        <v>12.552</v>
      </c>
      <c r="AK305" s="118">
        <f>IF(INVESTORS_LIST[[#This Row],[TOTAL CURRENT UNITS]]=0,0,INVESTORS_LIST[[#This Row],[TOTAL CURRENT UNITS]]*INVESTORS_LIST[[#This Row],[NAV]])</f>
        <v>0</v>
      </c>
      <c r="AL305" s="4">
        <f>IF(INVESTORS_LIST[[#This Row],[LS_TOTAL CURRENT UNITS]]=0,0,INVESTORS_LIST[[#This Row],[LS_TOTAL CURRENT UNITS]]*INVESTORS_LIST[[#This Row],[NAV]])</f>
        <v>0</v>
      </c>
      <c r="AM305" s="6">
        <f>IF(INVESTORS_LIST[[#This Row],[SIP_TOTAL CURRENT UNITS]]=0,0,INVESTORS_LIST[[#This Row],[SIP_TOTAL CURRENT UNITS]]*INVESTORS_LIST[[#This Row],[NAV]])</f>
        <v>0</v>
      </c>
      <c r="AO305" s="6">
        <f>IF(INVESTORS_LIST[[#This Row],[TOTAL SELLABLE UNITS]]=0,0,INVESTORS_LIST[[#This Row],[TOTAL SELLABLE UNITS]]*INVESTORS_LIST[[#This Row],[NAV]])</f>
        <v>0</v>
      </c>
      <c r="AP305" s="6">
        <f>INVESTORS_LIST[[#This Row],[LS_TOTAL REALIZED GAIN]]+INVESTORS_LIST[[#This Row],[SIP_TOTAL REALIZED GAIN]]</f>
        <v>0</v>
      </c>
      <c r="AQ305" s="6">
        <f>INVESTORS_LIST[[#This Row],[TOTAL MARKET VALUE]]-INVESTORS_LIST[[#This Row],[TOTAL COST VALUE OF CURRENT INVESTMENT]]</f>
        <v>0</v>
      </c>
      <c r="AR305" s="6">
        <f>SUMIFS(DivAndTax[Tax Amount],DivAndTax[Investor ID],INVESTORS_LIST[[#This Row],[INVESTOR CODE]])</f>
        <v>0</v>
      </c>
      <c r="AS305" s="6">
        <f>SUMIFS(DivAndTax[Gross Dividend],DivAndTax[Investor ID],INVESTORS_LIST[[#This Row],[INVESTOR CODE]])</f>
        <v>0</v>
      </c>
      <c r="AT305" s="5">
        <f>IFERROR(INVESTORS_LIST[[#This Row],[TOTAL CURRENT UNITS]]/SUM(INVESTORS_LIST[TOTAL CURRENT UNITS]),0)</f>
        <v>0</v>
      </c>
    </row>
    <row r="306" spans="1:46" hidden="1">
      <c r="A306" t="s">
        <v>500</v>
      </c>
      <c r="B306" t="s">
        <v>501</v>
      </c>
      <c r="C306" t="s">
        <v>539</v>
      </c>
      <c r="D306" s="8" t="s">
        <v>2</v>
      </c>
      <c r="E306" s="2">
        <f>SUMIFS(LS[Unit],LS[Investor ID],INVESTORS_LIST[[#This Row],[INVESTOR CODE]],LS[B/S],"B")</f>
        <v>0</v>
      </c>
      <c r="F306" s="2">
        <f>-SUMIFS(LS[Unit],LS[Investor ID],INVESTORS_LIST[[#This Row],[INVESTOR CODE]],LS[B/S],"S")</f>
        <v>0</v>
      </c>
      <c r="G306" s="2">
        <f>IF(INVESTORS_LIST[[#This Row],[LS_TOTAL UNITS BUY]]=0,0,INVESTORS_LIST[[#This Row],[LS_TOTAL UNITS BUY]]-INVESTORS_LIST[[#This Row],[LS_TOTAL UNITS SOLD]])</f>
        <v>0</v>
      </c>
      <c r="H306" s="4">
        <f>IF(INVESTORS_LIST[[#This Row],[LS_TOTAL UNITS BUY]]=0,0,SUMIFS(LS[Amount],LS[Investor ID],INVESTORS_LIST[[#This Row],[INVESTOR CODE]],LS[B/S],"B"))</f>
        <v>0</v>
      </c>
      <c r="I306" s="6">
        <f>IF(INVESTORS_LIST[[#This Row],[LS_TOTAL UNITS SOLD]]=0,0,SUMIFS(LS[Cost of Units Sold],LS[Investor ID],INVESTORS_LIST[[#This Row],[INVESTOR CODE]],LS[B/S],"S"))</f>
        <v>0</v>
      </c>
      <c r="J306" s="6">
        <f>IF(INVESTORS_LIST[[#This Row],[LS_TOTAL CURRENT UNITS]]=0,0,INVESTORS_LIST[[#This Row],[LS_TOTAL CURRENT UNITS]]*INVESTORS_LIST[[#This Row],[LS_AVERAGE COST]])</f>
        <v>0</v>
      </c>
      <c r="K306" s="4">
        <f>IF(INVESTORS_LIST[[#This Row],[LS_TOTAL UNITS SOLD]]=0,0,SUMIFS(LS[Realized Gain],LS[Investor ID],INVESTORS_LIST[[#This Row],[INVESTOR CODE]],LS[B/S],"S"))</f>
        <v>0</v>
      </c>
      <c r="L306" s="2">
        <f>SUMIFS(SIP[Unit],SIP[Investor ID],INVESTORS_LIST[[#This Row],[INVESTOR CODE]],SIP[B/S],"B")</f>
        <v>0</v>
      </c>
      <c r="M306" s="2">
        <f>-SUMIFS(SIP[Unit],SIP[Investor ID],INVESTORS_LIST[[#This Row],[INVESTOR CODE]],SIP[B/S],"S")</f>
        <v>0</v>
      </c>
      <c r="N306" s="33">
        <f>IF(INVESTORS_LIST[[#This Row],[SIP_TOTAL UNITS BUY]]=0,0,INVESTORS_LIST[[#This Row],[SIP_TOTAL UNITS BUY]]-INVESTORS_LIST[[#This Row],[SIP_TOTAL UNITS SOLD]])</f>
        <v>0</v>
      </c>
      <c r="O306" s="4">
        <f>IF(INVESTORS_LIST[[#This Row],[SIP_TOTAL UNITS BUY]]=0,0,SUMIFS(SIP[Amount],SIP[Investor ID],INVESTORS_LIST[[#This Row],[INVESTOR CODE]],SIP[B/S],"B"))</f>
        <v>0</v>
      </c>
      <c r="P306" s="4">
        <f>IF(INVESTORS_LIST[[#This Row],[SIP_TOTAL UNITS SOLD]]=0,0,SUMIFS(SIP[Cost of Units Sold],SIP[Investor ID],INVESTORS_LIST[[#This Row],[INVESTOR CODE]],SIP[B/S],"S"))</f>
        <v>0</v>
      </c>
      <c r="Q306" s="6">
        <f>IF(INVESTORS_LIST[[#This Row],[SIP_TOTAL CURRENT UNITS]]=0,0,INVESTORS_LIST[[#This Row],[SIP_TOTAL CURRENT UNITS]]*INVESTORS_LIST[[#This Row],[SIP_AVERAGE COST]])</f>
        <v>0</v>
      </c>
      <c r="R306" s="6">
        <f>IF(INVESTORS_LIST[[#This Row],[SIP_TOTAL UNITS SOLD]]=0,0,SUMIFS(SIP[Realized Gain],SIP[Investor ID],INVESTORS_LIST[[#This Row],[INVESTOR CODE]],SIP[B/S],"S"))</f>
        <v>0</v>
      </c>
      <c r="S306" s="33">
        <f>INVESTORS_LIST[[#This Row],[LS_TOTAL UNITS BUY]]+INVESTORS_LIST[[#This Row],[SIP_TOTAL UNITS BUY]]</f>
        <v>0</v>
      </c>
      <c r="T306" s="33">
        <f>INVESTORS_LIST[[#This Row],[LS_TOTAL UNITS SOLD]]+INVESTORS_LIST[[#This Row],[SIP_TOTAL UNITS SOLD]]</f>
        <v>0</v>
      </c>
      <c r="U306" s="33">
        <v>0</v>
      </c>
      <c r="V306" s="33">
        <f>SUMIFS(LS[BO UNIT TRANSFER],LS[Investor ID],INVESTORS_LIST[[#This Row],[INVESTOR CODE]],LS[B/S],"B")</f>
        <v>0</v>
      </c>
      <c r="W306" s="33">
        <f>SUMIFS(LS[BO UNIT TRANSFER],LS[Investor ID],INVESTORS_LIST[[#This Row],[INVESTOR CODE]],LS[B/S],"S")</f>
        <v>0</v>
      </c>
      <c r="X306" s="33">
        <f>SUMIFS(SIP[BO UNIT TRANSFER],SIP[Investor ID],INVESTORS_LIST[[#This Row],[INVESTOR CODE]],SIP[B/S],"S")</f>
        <v>0</v>
      </c>
      <c r="Y306" s="33">
        <f>SUMIFS(SIP[BO UNIT TRANSFER],SIP[Investor ID],INVESTORS_LIST[[#This Row],[INVESTOR CODE]],SIP[B/S],"B")</f>
        <v>0</v>
      </c>
      <c r="Z30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06" s="119">
        <f>INVESTORS_LIST[[#This Row],[TOTAL UNITS BUY]]-INVESTORS_LIST[[#This Row],[TOTAL UNITS SOLD]]</f>
        <v>0</v>
      </c>
      <c r="AB306" s="119">
        <f>INVESTORS_LIST[[#This Row],[TOTAL CURRENT UNITS]]-INVESTORS_LIST[[#This Row],[BO UNITS HOLD]]</f>
        <v>0</v>
      </c>
      <c r="AC306" s="119" t="e">
        <f>INDEX([4]!Table_1[BO ID],MATCH(INVESTORS_LIST[[#This Row],[INVESTOR CODE]],[4]!Table_1[INVESTOR CODE],0))</f>
        <v>#REF!</v>
      </c>
      <c r="AD306" s="33">
        <f>INVESTORS_LIST[[#This Row],[LS_TOTAL COST VALUE OF CURRENT UNITS]]+INVESTORS_LIST[[#This Row],[SIP_TOTAL COST VALUE OF CURRENT UNITS]]</f>
        <v>0</v>
      </c>
      <c r="AE306" s="44">
        <f>IF(INVESTORS_LIST[[#This Row],[TOTAL CURRENT UNITS]]=0,0,INVESTORS_LIST[[#This Row],[LS_TOTAL CURRENT UNITS]]/INVESTORS_LIST[[#This Row],[TOTAL CURRENT UNITS]])</f>
        <v>0</v>
      </c>
      <c r="AF306" s="44">
        <f>IF(INVESTORS_LIST[[#This Row],[TOTAL CURRENT UNITS]]=0,0,INVESTORS_LIST[[#This Row],[SIP_TOTAL CURRENT UNITS]]/INVESTORS_LIST[[#This Row],[TOTAL CURRENT UNITS]])</f>
        <v>0</v>
      </c>
      <c r="AG306" s="4" cm="1">
        <f t="array" ref="AG3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06" s="4" cm="1">
        <f t="array" ref="AH3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0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06" s="178">
        <f t="shared" si="4"/>
        <v>12.552</v>
      </c>
      <c r="AK306" s="118">
        <f>IF(INVESTORS_LIST[[#This Row],[TOTAL CURRENT UNITS]]=0,0,INVESTORS_LIST[[#This Row],[TOTAL CURRENT UNITS]]*INVESTORS_LIST[[#This Row],[NAV]])</f>
        <v>0</v>
      </c>
      <c r="AL306" s="4">
        <f>IF(INVESTORS_LIST[[#This Row],[LS_TOTAL CURRENT UNITS]]=0,0,INVESTORS_LIST[[#This Row],[LS_TOTAL CURRENT UNITS]]*INVESTORS_LIST[[#This Row],[NAV]])</f>
        <v>0</v>
      </c>
      <c r="AM306" s="6">
        <f>IF(INVESTORS_LIST[[#This Row],[SIP_TOTAL CURRENT UNITS]]=0,0,INVESTORS_LIST[[#This Row],[SIP_TOTAL CURRENT UNITS]]*INVESTORS_LIST[[#This Row],[NAV]])</f>
        <v>0</v>
      </c>
      <c r="AO306" s="6">
        <f>IF(INVESTORS_LIST[[#This Row],[TOTAL SELLABLE UNITS]]=0,0,INVESTORS_LIST[[#This Row],[TOTAL SELLABLE UNITS]]*INVESTORS_LIST[[#This Row],[NAV]])</f>
        <v>0</v>
      </c>
      <c r="AP306" s="6">
        <f>INVESTORS_LIST[[#This Row],[LS_TOTAL REALIZED GAIN]]+INVESTORS_LIST[[#This Row],[SIP_TOTAL REALIZED GAIN]]</f>
        <v>0</v>
      </c>
      <c r="AQ306" s="6">
        <f>INVESTORS_LIST[[#This Row],[TOTAL MARKET VALUE]]-INVESTORS_LIST[[#This Row],[TOTAL COST VALUE OF CURRENT INVESTMENT]]</f>
        <v>0</v>
      </c>
      <c r="AR306" s="6">
        <f>SUMIFS(DivAndTax[Tax Amount],DivAndTax[Investor ID],INVESTORS_LIST[[#This Row],[INVESTOR CODE]])</f>
        <v>0</v>
      </c>
      <c r="AS306" s="6">
        <f>SUMIFS(DivAndTax[Gross Dividend],DivAndTax[Investor ID],INVESTORS_LIST[[#This Row],[INVESTOR CODE]])</f>
        <v>0</v>
      </c>
      <c r="AT306" s="5">
        <f>IFERROR(INVESTORS_LIST[[#This Row],[TOTAL CURRENT UNITS]]/SUM(INVESTORS_LIST[TOTAL CURRENT UNITS]),0)</f>
        <v>0</v>
      </c>
    </row>
    <row r="307" spans="1:46" hidden="1">
      <c r="A307" t="s">
        <v>503</v>
      </c>
      <c r="B307" t="s">
        <v>502</v>
      </c>
      <c r="C307" t="s">
        <v>536</v>
      </c>
      <c r="D307" s="8" t="s">
        <v>2</v>
      </c>
      <c r="E307" s="2">
        <f>SUMIFS(LS[Unit],LS[Investor ID],INVESTORS_LIST[[#This Row],[INVESTOR CODE]],LS[B/S],"B")</f>
        <v>0</v>
      </c>
      <c r="F307" s="2">
        <f>-SUMIFS(LS[Unit],LS[Investor ID],INVESTORS_LIST[[#This Row],[INVESTOR CODE]],LS[B/S],"S")</f>
        <v>0</v>
      </c>
      <c r="G307" s="2">
        <f>IF(INVESTORS_LIST[[#This Row],[LS_TOTAL UNITS BUY]]=0,0,INVESTORS_LIST[[#This Row],[LS_TOTAL UNITS BUY]]-INVESTORS_LIST[[#This Row],[LS_TOTAL UNITS SOLD]])</f>
        <v>0</v>
      </c>
      <c r="H307" s="4">
        <f>IF(INVESTORS_LIST[[#This Row],[LS_TOTAL UNITS BUY]]=0,0,SUMIFS(LS[Amount],LS[Investor ID],INVESTORS_LIST[[#This Row],[INVESTOR CODE]],LS[B/S],"B"))</f>
        <v>0</v>
      </c>
      <c r="I307" s="6">
        <f>IF(INVESTORS_LIST[[#This Row],[LS_TOTAL UNITS SOLD]]=0,0,SUMIFS(LS[Cost of Units Sold],LS[Investor ID],INVESTORS_LIST[[#This Row],[INVESTOR CODE]],LS[B/S],"S"))</f>
        <v>0</v>
      </c>
      <c r="J307" s="6">
        <f>IF(INVESTORS_LIST[[#This Row],[LS_TOTAL CURRENT UNITS]]=0,0,INVESTORS_LIST[[#This Row],[LS_TOTAL CURRENT UNITS]]*INVESTORS_LIST[[#This Row],[LS_AVERAGE COST]])</f>
        <v>0</v>
      </c>
      <c r="K307" s="4">
        <f>IF(INVESTORS_LIST[[#This Row],[LS_TOTAL UNITS SOLD]]=0,0,SUMIFS(LS[Realized Gain],LS[Investor ID],INVESTORS_LIST[[#This Row],[INVESTOR CODE]],LS[B/S],"S"))</f>
        <v>0</v>
      </c>
      <c r="L307" s="2">
        <f>SUMIFS(SIP[Unit],SIP[Investor ID],INVESTORS_LIST[[#This Row],[INVESTOR CODE]],SIP[B/S],"B")</f>
        <v>0</v>
      </c>
      <c r="M307" s="2">
        <f>-SUMIFS(SIP[Unit],SIP[Investor ID],INVESTORS_LIST[[#This Row],[INVESTOR CODE]],SIP[B/S],"S")</f>
        <v>0</v>
      </c>
      <c r="N307" s="33">
        <f>IF(INVESTORS_LIST[[#This Row],[SIP_TOTAL UNITS BUY]]=0,0,INVESTORS_LIST[[#This Row],[SIP_TOTAL UNITS BUY]]-INVESTORS_LIST[[#This Row],[SIP_TOTAL UNITS SOLD]])</f>
        <v>0</v>
      </c>
      <c r="O307" s="4">
        <f>IF(INVESTORS_LIST[[#This Row],[SIP_TOTAL UNITS BUY]]=0,0,SUMIFS(SIP[Amount],SIP[Investor ID],INVESTORS_LIST[[#This Row],[INVESTOR CODE]],SIP[B/S],"B"))</f>
        <v>0</v>
      </c>
      <c r="P307" s="4">
        <f>IF(INVESTORS_LIST[[#This Row],[SIP_TOTAL UNITS SOLD]]=0,0,SUMIFS(SIP[Cost of Units Sold],SIP[Investor ID],INVESTORS_LIST[[#This Row],[INVESTOR CODE]],SIP[B/S],"S"))</f>
        <v>0</v>
      </c>
      <c r="Q307" s="6">
        <f>IF(INVESTORS_LIST[[#This Row],[SIP_TOTAL CURRENT UNITS]]=0,0,INVESTORS_LIST[[#This Row],[SIP_TOTAL CURRENT UNITS]]*INVESTORS_LIST[[#This Row],[SIP_AVERAGE COST]])</f>
        <v>0</v>
      </c>
      <c r="R307" s="6">
        <f>IF(INVESTORS_LIST[[#This Row],[SIP_TOTAL UNITS SOLD]]=0,0,SUMIFS(SIP[Realized Gain],SIP[Investor ID],INVESTORS_LIST[[#This Row],[INVESTOR CODE]],SIP[B/S],"S"))</f>
        <v>0</v>
      </c>
      <c r="S307" s="33">
        <f>INVESTORS_LIST[[#This Row],[LS_TOTAL UNITS BUY]]+INVESTORS_LIST[[#This Row],[SIP_TOTAL UNITS BUY]]</f>
        <v>0</v>
      </c>
      <c r="T307" s="33">
        <f>INVESTORS_LIST[[#This Row],[LS_TOTAL UNITS SOLD]]+INVESTORS_LIST[[#This Row],[SIP_TOTAL UNITS SOLD]]</f>
        <v>0</v>
      </c>
      <c r="U307" s="33">
        <v>0</v>
      </c>
      <c r="V307" s="33">
        <f>SUMIFS(LS[BO UNIT TRANSFER],LS[Investor ID],INVESTORS_LIST[[#This Row],[INVESTOR CODE]],LS[B/S],"B")</f>
        <v>0</v>
      </c>
      <c r="W307" s="33">
        <f>SUMIFS(LS[BO UNIT TRANSFER],LS[Investor ID],INVESTORS_LIST[[#This Row],[INVESTOR CODE]],LS[B/S],"S")</f>
        <v>0</v>
      </c>
      <c r="X307" s="33">
        <f>SUMIFS(SIP[BO UNIT TRANSFER],SIP[Investor ID],INVESTORS_LIST[[#This Row],[INVESTOR CODE]],SIP[B/S],"S")</f>
        <v>0</v>
      </c>
      <c r="Y307" s="33">
        <f>SUMIFS(SIP[BO UNIT TRANSFER],SIP[Investor ID],INVESTORS_LIST[[#This Row],[INVESTOR CODE]],SIP[B/S],"B")</f>
        <v>0</v>
      </c>
      <c r="Z30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07" s="119">
        <f>INVESTORS_LIST[[#This Row],[TOTAL UNITS BUY]]-INVESTORS_LIST[[#This Row],[TOTAL UNITS SOLD]]</f>
        <v>0</v>
      </c>
      <c r="AB307" s="119">
        <f>INVESTORS_LIST[[#This Row],[TOTAL CURRENT UNITS]]-INVESTORS_LIST[[#This Row],[BO UNITS HOLD]]</f>
        <v>0</v>
      </c>
      <c r="AC307" s="119" t="e">
        <f>INDEX([4]!Table_1[BO ID],MATCH(INVESTORS_LIST[[#This Row],[INVESTOR CODE]],[4]!Table_1[INVESTOR CODE],0))</f>
        <v>#REF!</v>
      </c>
      <c r="AD307" s="33">
        <f>INVESTORS_LIST[[#This Row],[LS_TOTAL COST VALUE OF CURRENT UNITS]]+INVESTORS_LIST[[#This Row],[SIP_TOTAL COST VALUE OF CURRENT UNITS]]</f>
        <v>0</v>
      </c>
      <c r="AE307" s="44">
        <f>IF(INVESTORS_LIST[[#This Row],[TOTAL CURRENT UNITS]]=0,0,INVESTORS_LIST[[#This Row],[LS_TOTAL CURRENT UNITS]]/INVESTORS_LIST[[#This Row],[TOTAL CURRENT UNITS]])</f>
        <v>0</v>
      </c>
      <c r="AF307" s="44">
        <f>IF(INVESTORS_LIST[[#This Row],[TOTAL CURRENT UNITS]]=0,0,INVESTORS_LIST[[#This Row],[SIP_TOTAL CURRENT UNITS]]/INVESTORS_LIST[[#This Row],[TOTAL CURRENT UNITS]])</f>
        <v>0</v>
      </c>
      <c r="AG307" s="4" cm="1">
        <f t="array" ref="AG30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07" s="4" cm="1">
        <f t="array" ref="AH30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0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07" s="178">
        <f t="shared" si="4"/>
        <v>12.552</v>
      </c>
      <c r="AK307" s="118">
        <f>IF(INVESTORS_LIST[[#This Row],[TOTAL CURRENT UNITS]]=0,0,INVESTORS_LIST[[#This Row],[TOTAL CURRENT UNITS]]*INVESTORS_LIST[[#This Row],[NAV]])</f>
        <v>0</v>
      </c>
      <c r="AL307" s="4">
        <f>IF(INVESTORS_LIST[[#This Row],[LS_TOTAL CURRENT UNITS]]=0,0,INVESTORS_LIST[[#This Row],[LS_TOTAL CURRENT UNITS]]*INVESTORS_LIST[[#This Row],[NAV]])</f>
        <v>0</v>
      </c>
      <c r="AM307" s="6">
        <f>IF(INVESTORS_LIST[[#This Row],[SIP_TOTAL CURRENT UNITS]]=0,0,INVESTORS_LIST[[#This Row],[SIP_TOTAL CURRENT UNITS]]*INVESTORS_LIST[[#This Row],[NAV]])</f>
        <v>0</v>
      </c>
      <c r="AO307" s="6">
        <f>IF(INVESTORS_LIST[[#This Row],[TOTAL SELLABLE UNITS]]=0,0,INVESTORS_LIST[[#This Row],[TOTAL SELLABLE UNITS]]*INVESTORS_LIST[[#This Row],[NAV]])</f>
        <v>0</v>
      </c>
      <c r="AP307" s="6">
        <f>INVESTORS_LIST[[#This Row],[LS_TOTAL REALIZED GAIN]]+INVESTORS_LIST[[#This Row],[SIP_TOTAL REALIZED GAIN]]</f>
        <v>0</v>
      </c>
      <c r="AQ307" s="6">
        <f>INVESTORS_LIST[[#This Row],[TOTAL MARKET VALUE]]-INVESTORS_LIST[[#This Row],[TOTAL COST VALUE OF CURRENT INVESTMENT]]</f>
        <v>0</v>
      </c>
      <c r="AR307" s="6">
        <f>SUMIFS(DivAndTax[Tax Amount],DivAndTax[Investor ID],INVESTORS_LIST[[#This Row],[INVESTOR CODE]])</f>
        <v>0</v>
      </c>
      <c r="AS307" s="6">
        <f>SUMIFS(DivAndTax[Gross Dividend],DivAndTax[Investor ID],INVESTORS_LIST[[#This Row],[INVESTOR CODE]])</f>
        <v>0</v>
      </c>
      <c r="AT307" s="5">
        <f>IFERROR(INVESTORS_LIST[[#This Row],[TOTAL CURRENT UNITS]]/SUM(INVESTORS_LIST[TOTAL CURRENT UNITS]),0)</f>
        <v>0</v>
      </c>
    </row>
    <row r="308" spans="1:46" hidden="1">
      <c r="A308" t="s">
        <v>504</v>
      </c>
      <c r="B308" t="s">
        <v>505</v>
      </c>
      <c r="C308" t="s">
        <v>536</v>
      </c>
      <c r="D308" s="8" t="s">
        <v>2</v>
      </c>
      <c r="E308" s="2">
        <f>SUMIFS(LS[Unit],LS[Investor ID],INVESTORS_LIST[[#This Row],[INVESTOR CODE]],LS[B/S],"B")</f>
        <v>0</v>
      </c>
      <c r="F308" s="2">
        <f>-SUMIFS(LS[Unit],LS[Investor ID],INVESTORS_LIST[[#This Row],[INVESTOR CODE]],LS[B/S],"S")</f>
        <v>0</v>
      </c>
      <c r="G308" s="2">
        <f>IF(INVESTORS_LIST[[#This Row],[LS_TOTAL UNITS BUY]]=0,0,INVESTORS_LIST[[#This Row],[LS_TOTAL UNITS BUY]]-INVESTORS_LIST[[#This Row],[LS_TOTAL UNITS SOLD]])</f>
        <v>0</v>
      </c>
      <c r="H308" s="4">
        <f>IF(INVESTORS_LIST[[#This Row],[LS_TOTAL UNITS BUY]]=0,0,SUMIFS(LS[Amount],LS[Investor ID],INVESTORS_LIST[[#This Row],[INVESTOR CODE]],LS[B/S],"B"))</f>
        <v>0</v>
      </c>
      <c r="I308" s="6">
        <f>IF(INVESTORS_LIST[[#This Row],[LS_TOTAL UNITS SOLD]]=0,0,SUMIFS(LS[Cost of Units Sold],LS[Investor ID],INVESTORS_LIST[[#This Row],[INVESTOR CODE]],LS[B/S],"S"))</f>
        <v>0</v>
      </c>
      <c r="J308" s="6">
        <f>IF(INVESTORS_LIST[[#This Row],[LS_TOTAL CURRENT UNITS]]=0,0,INVESTORS_LIST[[#This Row],[LS_TOTAL CURRENT UNITS]]*INVESTORS_LIST[[#This Row],[LS_AVERAGE COST]])</f>
        <v>0</v>
      </c>
      <c r="K308" s="4">
        <f>IF(INVESTORS_LIST[[#This Row],[LS_TOTAL UNITS SOLD]]=0,0,SUMIFS(LS[Realized Gain],LS[Investor ID],INVESTORS_LIST[[#This Row],[INVESTOR CODE]],LS[B/S],"S"))</f>
        <v>0</v>
      </c>
      <c r="L308" s="2">
        <f>SUMIFS(SIP[Unit],SIP[Investor ID],INVESTORS_LIST[[#This Row],[INVESTOR CODE]],SIP[B/S],"B")</f>
        <v>0</v>
      </c>
      <c r="M308" s="2">
        <f>-SUMIFS(SIP[Unit],SIP[Investor ID],INVESTORS_LIST[[#This Row],[INVESTOR CODE]],SIP[B/S],"S")</f>
        <v>0</v>
      </c>
      <c r="N308" s="33">
        <f>IF(INVESTORS_LIST[[#This Row],[SIP_TOTAL UNITS BUY]]=0,0,INVESTORS_LIST[[#This Row],[SIP_TOTAL UNITS BUY]]-INVESTORS_LIST[[#This Row],[SIP_TOTAL UNITS SOLD]])</f>
        <v>0</v>
      </c>
      <c r="O308" s="4">
        <f>IF(INVESTORS_LIST[[#This Row],[SIP_TOTAL UNITS BUY]]=0,0,SUMIFS(SIP[Amount],SIP[Investor ID],INVESTORS_LIST[[#This Row],[INVESTOR CODE]],SIP[B/S],"B"))</f>
        <v>0</v>
      </c>
      <c r="P308" s="4">
        <f>IF(INVESTORS_LIST[[#This Row],[SIP_TOTAL UNITS SOLD]]=0,0,SUMIFS(SIP[Cost of Units Sold],SIP[Investor ID],INVESTORS_LIST[[#This Row],[INVESTOR CODE]],SIP[B/S],"S"))</f>
        <v>0</v>
      </c>
      <c r="Q308" s="6">
        <f>IF(INVESTORS_LIST[[#This Row],[SIP_TOTAL CURRENT UNITS]]=0,0,INVESTORS_LIST[[#This Row],[SIP_TOTAL CURRENT UNITS]]*INVESTORS_LIST[[#This Row],[SIP_AVERAGE COST]])</f>
        <v>0</v>
      </c>
      <c r="R308" s="6">
        <f>IF(INVESTORS_LIST[[#This Row],[SIP_TOTAL UNITS SOLD]]=0,0,SUMIFS(SIP[Realized Gain],SIP[Investor ID],INVESTORS_LIST[[#This Row],[INVESTOR CODE]],SIP[B/S],"S"))</f>
        <v>0</v>
      </c>
      <c r="S308" s="33">
        <f>INVESTORS_LIST[[#This Row],[LS_TOTAL UNITS BUY]]+INVESTORS_LIST[[#This Row],[SIP_TOTAL UNITS BUY]]</f>
        <v>0</v>
      </c>
      <c r="T308" s="33">
        <f>INVESTORS_LIST[[#This Row],[LS_TOTAL UNITS SOLD]]+INVESTORS_LIST[[#This Row],[SIP_TOTAL UNITS SOLD]]</f>
        <v>0</v>
      </c>
      <c r="U308" s="33">
        <v>0</v>
      </c>
      <c r="V308" s="33">
        <f>SUMIFS(LS[BO UNIT TRANSFER],LS[Investor ID],INVESTORS_LIST[[#This Row],[INVESTOR CODE]],LS[B/S],"B")</f>
        <v>0</v>
      </c>
      <c r="W308" s="33">
        <f>SUMIFS(LS[BO UNIT TRANSFER],LS[Investor ID],INVESTORS_LIST[[#This Row],[INVESTOR CODE]],LS[B/S],"S")</f>
        <v>0</v>
      </c>
      <c r="X308" s="33">
        <f>SUMIFS(SIP[BO UNIT TRANSFER],SIP[Investor ID],INVESTORS_LIST[[#This Row],[INVESTOR CODE]],SIP[B/S],"S")</f>
        <v>0</v>
      </c>
      <c r="Y308" s="33">
        <f>SUMIFS(SIP[BO UNIT TRANSFER],SIP[Investor ID],INVESTORS_LIST[[#This Row],[INVESTOR CODE]],SIP[B/S],"B")</f>
        <v>0</v>
      </c>
      <c r="Z30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08" s="119">
        <f>INVESTORS_LIST[[#This Row],[TOTAL UNITS BUY]]-INVESTORS_LIST[[#This Row],[TOTAL UNITS SOLD]]</f>
        <v>0</v>
      </c>
      <c r="AB308" s="119">
        <f>INVESTORS_LIST[[#This Row],[TOTAL CURRENT UNITS]]-INVESTORS_LIST[[#This Row],[BO UNITS HOLD]]</f>
        <v>0</v>
      </c>
      <c r="AC308" s="119" t="e">
        <f>INDEX([4]!Table_1[BO ID],MATCH(INVESTORS_LIST[[#This Row],[INVESTOR CODE]],[4]!Table_1[INVESTOR CODE],0))</f>
        <v>#REF!</v>
      </c>
      <c r="AD308" s="33">
        <f>INVESTORS_LIST[[#This Row],[LS_TOTAL COST VALUE OF CURRENT UNITS]]+INVESTORS_LIST[[#This Row],[SIP_TOTAL COST VALUE OF CURRENT UNITS]]</f>
        <v>0</v>
      </c>
      <c r="AE308" s="44">
        <f>IF(INVESTORS_LIST[[#This Row],[TOTAL CURRENT UNITS]]=0,0,INVESTORS_LIST[[#This Row],[LS_TOTAL CURRENT UNITS]]/INVESTORS_LIST[[#This Row],[TOTAL CURRENT UNITS]])</f>
        <v>0</v>
      </c>
      <c r="AF308" s="44">
        <f>IF(INVESTORS_LIST[[#This Row],[TOTAL CURRENT UNITS]]=0,0,INVESTORS_LIST[[#This Row],[SIP_TOTAL CURRENT UNITS]]/INVESTORS_LIST[[#This Row],[TOTAL CURRENT UNITS]])</f>
        <v>0</v>
      </c>
      <c r="AG308" s="4" cm="1">
        <f t="array" ref="AG3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08" s="4" cm="1">
        <f t="array" ref="AH30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0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08" s="178">
        <f t="shared" si="4"/>
        <v>12.552</v>
      </c>
      <c r="AK308" s="118">
        <f>IF(INVESTORS_LIST[[#This Row],[TOTAL CURRENT UNITS]]=0,0,INVESTORS_LIST[[#This Row],[TOTAL CURRENT UNITS]]*INVESTORS_LIST[[#This Row],[NAV]])</f>
        <v>0</v>
      </c>
      <c r="AL308" s="4">
        <f>IF(INVESTORS_LIST[[#This Row],[LS_TOTAL CURRENT UNITS]]=0,0,INVESTORS_LIST[[#This Row],[LS_TOTAL CURRENT UNITS]]*INVESTORS_LIST[[#This Row],[NAV]])</f>
        <v>0</v>
      </c>
      <c r="AM308" s="6">
        <f>IF(INVESTORS_LIST[[#This Row],[SIP_TOTAL CURRENT UNITS]]=0,0,INVESTORS_LIST[[#This Row],[SIP_TOTAL CURRENT UNITS]]*INVESTORS_LIST[[#This Row],[NAV]])</f>
        <v>0</v>
      </c>
      <c r="AO308" s="6">
        <f>IF(INVESTORS_LIST[[#This Row],[TOTAL SELLABLE UNITS]]=0,0,INVESTORS_LIST[[#This Row],[TOTAL SELLABLE UNITS]]*INVESTORS_LIST[[#This Row],[NAV]])</f>
        <v>0</v>
      </c>
      <c r="AP308" s="6">
        <f>INVESTORS_LIST[[#This Row],[LS_TOTAL REALIZED GAIN]]+INVESTORS_LIST[[#This Row],[SIP_TOTAL REALIZED GAIN]]</f>
        <v>0</v>
      </c>
      <c r="AQ308" s="6">
        <f>INVESTORS_LIST[[#This Row],[TOTAL MARKET VALUE]]-INVESTORS_LIST[[#This Row],[TOTAL COST VALUE OF CURRENT INVESTMENT]]</f>
        <v>0</v>
      </c>
      <c r="AR308" s="6">
        <f>SUMIFS(DivAndTax[Tax Amount],DivAndTax[Investor ID],INVESTORS_LIST[[#This Row],[INVESTOR CODE]])</f>
        <v>0</v>
      </c>
      <c r="AS308" s="6">
        <f>SUMIFS(DivAndTax[Gross Dividend],DivAndTax[Investor ID],INVESTORS_LIST[[#This Row],[INVESTOR CODE]])</f>
        <v>0</v>
      </c>
      <c r="AT308" s="5">
        <f>IFERROR(INVESTORS_LIST[[#This Row],[TOTAL CURRENT UNITS]]/SUM(INVESTORS_LIST[TOTAL CURRENT UNITS]),0)</f>
        <v>0</v>
      </c>
    </row>
    <row r="309" spans="1:46" hidden="1">
      <c r="A309" t="s">
        <v>506</v>
      </c>
      <c r="B309" t="s">
        <v>507</v>
      </c>
      <c r="C309" t="s">
        <v>541</v>
      </c>
      <c r="D309" s="8" t="s">
        <v>2</v>
      </c>
      <c r="E309" s="2">
        <f>SUMIFS(LS[Unit],LS[Investor ID],INVESTORS_LIST[[#This Row],[INVESTOR CODE]],LS[B/S],"B")</f>
        <v>0</v>
      </c>
      <c r="F309" s="2">
        <f>-SUMIFS(LS[Unit],LS[Investor ID],INVESTORS_LIST[[#This Row],[INVESTOR CODE]],LS[B/S],"S")</f>
        <v>0</v>
      </c>
      <c r="G309" s="2">
        <f>IF(INVESTORS_LIST[[#This Row],[LS_TOTAL UNITS BUY]]=0,0,INVESTORS_LIST[[#This Row],[LS_TOTAL UNITS BUY]]-INVESTORS_LIST[[#This Row],[LS_TOTAL UNITS SOLD]])</f>
        <v>0</v>
      </c>
      <c r="H309" s="4">
        <f>IF(INVESTORS_LIST[[#This Row],[LS_TOTAL UNITS BUY]]=0,0,SUMIFS(LS[Amount],LS[Investor ID],INVESTORS_LIST[[#This Row],[INVESTOR CODE]],LS[B/S],"B"))</f>
        <v>0</v>
      </c>
      <c r="I309" s="6">
        <f>IF(INVESTORS_LIST[[#This Row],[LS_TOTAL UNITS SOLD]]=0,0,SUMIFS(LS[Cost of Units Sold],LS[Investor ID],INVESTORS_LIST[[#This Row],[INVESTOR CODE]],LS[B/S],"S"))</f>
        <v>0</v>
      </c>
      <c r="J309" s="6">
        <f>IF(INVESTORS_LIST[[#This Row],[LS_TOTAL CURRENT UNITS]]=0,0,INVESTORS_LIST[[#This Row],[LS_TOTAL CURRENT UNITS]]*INVESTORS_LIST[[#This Row],[LS_AVERAGE COST]])</f>
        <v>0</v>
      </c>
      <c r="K309" s="4">
        <f>IF(INVESTORS_LIST[[#This Row],[LS_TOTAL UNITS SOLD]]=0,0,SUMIFS(LS[Realized Gain],LS[Investor ID],INVESTORS_LIST[[#This Row],[INVESTOR CODE]],LS[B/S],"S"))</f>
        <v>0</v>
      </c>
      <c r="L309" s="2">
        <f>SUMIFS(SIP[Unit],SIP[Investor ID],INVESTORS_LIST[[#This Row],[INVESTOR CODE]],SIP[B/S],"B")</f>
        <v>0</v>
      </c>
      <c r="M309" s="2">
        <f>-SUMIFS(SIP[Unit],SIP[Investor ID],INVESTORS_LIST[[#This Row],[INVESTOR CODE]],SIP[B/S],"S")</f>
        <v>0</v>
      </c>
      <c r="N309" s="33">
        <f>IF(INVESTORS_LIST[[#This Row],[SIP_TOTAL UNITS BUY]]=0,0,INVESTORS_LIST[[#This Row],[SIP_TOTAL UNITS BUY]]-INVESTORS_LIST[[#This Row],[SIP_TOTAL UNITS SOLD]])</f>
        <v>0</v>
      </c>
      <c r="O309" s="4">
        <f>IF(INVESTORS_LIST[[#This Row],[SIP_TOTAL UNITS BUY]]=0,0,SUMIFS(SIP[Amount],SIP[Investor ID],INVESTORS_LIST[[#This Row],[INVESTOR CODE]],SIP[B/S],"B"))</f>
        <v>0</v>
      </c>
      <c r="P309" s="4">
        <f>IF(INVESTORS_LIST[[#This Row],[SIP_TOTAL UNITS SOLD]]=0,0,SUMIFS(SIP[Cost of Units Sold],SIP[Investor ID],INVESTORS_LIST[[#This Row],[INVESTOR CODE]],SIP[B/S],"S"))</f>
        <v>0</v>
      </c>
      <c r="Q309" s="6">
        <f>IF(INVESTORS_LIST[[#This Row],[SIP_TOTAL CURRENT UNITS]]=0,0,INVESTORS_LIST[[#This Row],[SIP_TOTAL CURRENT UNITS]]*INVESTORS_LIST[[#This Row],[SIP_AVERAGE COST]])</f>
        <v>0</v>
      </c>
      <c r="R309" s="6">
        <f>IF(INVESTORS_LIST[[#This Row],[SIP_TOTAL UNITS SOLD]]=0,0,SUMIFS(SIP[Realized Gain],SIP[Investor ID],INVESTORS_LIST[[#This Row],[INVESTOR CODE]],SIP[B/S],"S"))</f>
        <v>0</v>
      </c>
      <c r="S309" s="33">
        <f>INVESTORS_LIST[[#This Row],[LS_TOTAL UNITS BUY]]+INVESTORS_LIST[[#This Row],[SIP_TOTAL UNITS BUY]]</f>
        <v>0</v>
      </c>
      <c r="T309" s="33">
        <f>INVESTORS_LIST[[#This Row],[LS_TOTAL UNITS SOLD]]+INVESTORS_LIST[[#This Row],[SIP_TOTAL UNITS SOLD]]</f>
        <v>0</v>
      </c>
      <c r="U309" s="33">
        <v>0</v>
      </c>
      <c r="V309" s="33">
        <f>SUMIFS(LS[BO UNIT TRANSFER],LS[Investor ID],INVESTORS_LIST[[#This Row],[INVESTOR CODE]],LS[B/S],"B")</f>
        <v>0</v>
      </c>
      <c r="W309" s="33">
        <f>SUMIFS(LS[BO UNIT TRANSFER],LS[Investor ID],INVESTORS_LIST[[#This Row],[INVESTOR CODE]],LS[B/S],"S")</f>
        <v>0</v>
      </c>
      <c r="X309" s="33">
        <f>SUMIFS(SIP[BO UNIT TRANSFER],SIP[Investor ID],INVESTORS_LIST[[#This Row],[INVESTOR CODE]],SIP[B/S],"S")</f>
        <v>0</v>
      </c>
      <c r="Y309" s="33">
        <f>SUMIFS(SIP[BO UNIT TRANSFER],SIP[Investor ID],INVESTORS_LIST[[#This Row],[INVESTOR CODE]],SIP[B/S],"B")</f>
        <v>0</v>
      </c>
      <c r="Z30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09" s="119">
        <f>INVESTORS_LIST[[#This Row],[TOTAL UNITS BUY]]-INVESTORS_LIST[[#This Row],[TOTAL UNITS SOLD]]</f>
        <v>0</v>
      </c>
      <c r="AB309" s="119">
        <f>INVESTORS_LIST[[#This Row],[TOTAL CURRENT UNITS]]-INVESTORS_LIST[[#This Row],[BO UNITS HOLD]]</f>
        <v>0</v>
      </c>
      <c r="AC309" s="119" t="e">
        <f>INDEX([4]!Table_1[BO ID],MATCH(INVESTORS_LIST[[#This Row],[INVESTOR CODE]],[4]!Table_1[INVESTOR CODE],0))</f>
        <v>#REF!</v>
      </c>
      <c r="AD309" s="33">
        <f>INVESTORS_LIST[[#This Row],[LS_TOTAL COST VALUE OF CURRENT UNITS]]+INVESTORS_LIST[[#This Row],[SIP_TOTAL COST VALUE OF CURRENT UNITS]]</f>
        <v>0</v>
      </c>
      <c r="AE309" s="44">
        <f>IF(INVESTORS_LIST[[#This Row],[TOTAL CURRENT UNITS]]=0,0,INVESTORS_LIST[[#This Row],[LS_TOTAL CURRENT UNITS]]/INVESTORS_LIST[[#This Row],[TOTAL CURRENT UNITS]])</f>
        <v>0</v>
      </c>
      <c r="AF309" s="44">
        <f>IF(INVESTORS_LIST[[#This Row],[TOTAL CURRENT UNITS]]=0,0,INVESTORS_LIST[[#This Row],[SIP_TOTAL CURRENT UNITS]]/INVESTORS_LIST[[#This Row],[TOTAL CURRENT UNITS]])</f>
        <v>0</v>
      </c>
      <c r="AG309" s="4" cm="1">
        <f t="array" ref="AG30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09" s="4" cm="1">
        <f t="array" ref="AH3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0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09" s="178">
        <f t="shared" si="4"/>
        <v>12.552</v>
      </c>
      <c r="AK309" s="118">
        <f>IF(INVESTORS_LIST[[#This Row],[TOTAL CURRENT UNITS]]=0,0,INVESTORS_LIST[[#This Row],[TOTAL CURRENT UNITS]]*INVESTORS_LIST[[#This Row],[NAV]])</f>
        <v>0</v>
      </c>
      <c r="AL309" s="4">
        <f>IF(INVESTORS_LIST[[#This Row],[LS_TOTAL CURRENT UNITS]]=0,0,INVESTORS_LIST[[#This Row],[LS_TOTAL CURRENT UNITS]]*INVESTORS_LIST[[#This Row],[NAV]])</f>
        <v>0</v>
      </c>
      <c r="AM309" s="6">
        <f>IF(INVESTORS_LIST[[#This Row],[SIP_TOTAL CURRENT UNITS]]=0,0,INVESTORS_LIST[[#This Row],[SIP_TOTAL CURRENT UNITS]]*INVESTORS_LIST[[#This Row],[NAV]])</f>
        <v>0</v>
      </c>
      <c r="AO309" s="6">
        <f>IF(INVESTORS_LIST[[#This Row],[TOTAL SELLABLE UNITS]]=0,0,INVESTORS_LIST[[#This Row],[TOTAL SELLABLE UNITS]]*INVESTORS_LIST[[#This Row],[NAV]])</f>
        <v>0</v>
      </c>
      <c r="AP309" s="6">
        <f>INVESTORS_LIST[[#This Row],[LS_TOTAL REALIZED GAIN]]+INVESTORS_LIST[[#This Row],[SIP_TOTAL REALIZED GAIN]]</f>
        <v>0</v>
      </c>
      <c r="AQ309" s="6">
        <f>INVESTORS_LIST[[#This Row],[TOTAL MARKET VALUE]]-INVESTORS_LIST[[#This Row],[TOTAL COST VALUE OF CURRENT INVESTMENT]]</f>
        <v>0</v>
      </c>
      <c r="AR309" s="6">
        <f>SUMIFS(DivAndTax[Tax Amount],DivAndTax[Investor ID],INVESTORS_LIST[[#This Row],[INVESTOR CODE]])</f>
        <v>0</v>
      </c>
      <c r="AS309" s="6">
        <f>SUMIFS(DivAndTax[Gross Dividend],DivAndTax[Investor ID],INVESTORS_LIST[[#This Row],[INVESTOR CODE]])</f>
        <v>0</v>
      </c>
      <c r="AT309" s="5">
        <f>IFERROR(INVESTORS_LIST[[#This Row],[TOTAL CURRENT UNITS]]/SUM(INVESTORS_LIST[TOTAL CURRENT UNITS]),0)</f>
        <v>0</v>
      </c>
    </row>
    <row r="310" spans="1:46" hidden="1">
      <c r="A310" t="s">
        <v>545</v>
      </c>
      <c r="B310" t="s">
        <v>546</v>
      </c>
      <c r="C310" t="s">
        <v>536</v>
      </c>
      <c r="D310" s="8" t="s">
        <v>2</v>
      </c>
      <c r="E310" s="2">
        <f>SUMIFS(LS[Unit],LS[Investor ID],INVESTORS_LIST[[#This Row],[INVESTOR CODE]],LS[B/S],"B")</f>
        <v>0</v>
      </c>
      <c r="F310" s="2">
        <f>-SUMIFS(LS[Unit],LS[Investor ID],INVESTORS_LIST[[#This Row],[INVESTOR CODE]],LS[B/S],"S")</f>
        <v>0</v>
      </c>
      <c r="G310" s="2">
        <f>IF(INVESTORS_LIST[[#This Row],[LS_TOTAL UNITS BUY]]=0,0,INVESTORS_LIST[[#This Row],[LS_TOTAL UNITS BUY]]-INVESTORS_LIST[[#This Row],[LS_TOTAL UNITS SOLD]])</f>
        <v>0</v>
      </c>
      <c r="H310" s="4">
        <f>IF(INVESTORS_LIST[[#This Row],[LS_TOTAL UNITS BUY]]=0,0,SUMIFS(LS[Amount],LS[Investor ID],INVESTORS_LIST[[#This Row],[INVESTOR CODE]],LS[B/S],"B"))</f>
        <v>0</v>
      </c>
      <c r="I310" s="6">
        <f>IF(INVESTORS_LIST[[#This Row],[LS_TOTAL UNITS SOLD]]=0,0,SUMIFS(LS[Cost of Units Sold],LS[Investor ID],INVESTORS_LIST[[#This Row],[INVESTOR CODE]],LS[B/S],"S"))</f>
        <v>0</v>
      </c>
      <c r="J310" s="6">
        <f>IF(INVESTORS_LIST[[#This Row],[LS_TOTAL CURRENT UNITS]]=0,0,INVESTORS_LIST[[#This Row],[LS_TOTAL CURRENT UNITS]]*INVESTORS_LIST[[#This Row],[LS_AVERAGE COST]])</f>
        <v>0</v>
      </c>
      <c r="K310" s="4">
        <f>IF(INVESTORS_LIST[[#This Row],[LS_TOTAL UNITS SOLD]]=0,0,SUMIFS(LS[Realized Gain],LS[Investor ID],INVESTORS_LIST[[#This Row],[INVESTOR CODE]],LS[B/S],"S"))</f>
        <v>0</v>
      </c>
      <c r="L310" s="2">
        <f>SUMIFS(SIP[Unit],SIP[Investor ID],INVESTORS_LIST[[#This Row],[INVESTOR CODE]],SIP[B/S],"B")</f>
        <v>0</v>
      </c>
      <c r="M310" s="2">
        <f>-SUMIFS(SIP[Unit],SIP[Investor ID],INVESTORS_LIST[[#This Row],[INVESTOR CODE]],SIP[B/S],"S")</f>
        <v>0</v>
      </c>
      <c r="N310" s="33">
        <f>IF(INVESTORS_LIST[[#This Row],[SIP_TOTAL UNITS BUY]]=0,0,INVESTORS_LIST[[#This Row],[SIP_TOTAL UNITS BUY]]-INVESTORS_LIST[[#This Row],[SIP_TOTAL UNITS SOLD]])</f>
        <v>0</v>
      </c>
      <c r="O310" s="4">
        <f>IF(INVESTORS_LIST[[#This Row],[SIP_TOTAL UNITS BUY]]=0,0,SUMIFS(SIP[Amount],SIP[Investor ID],INVESTORS_LIST[[#This Row],[INVESTOR CODE]],SIP[B/S],"B"))</f>
        <v>0</v>
      </c>
      <c r="P310" s="4">
        <f>IF(INVESTORS_LIST[[#This Row],[SIP_TOTAL UNITS SOLD]]=0,0,SUMIFS(SIP[Cost of Units Sold],SIP[Investor ID],INVESTORS_LIST[[#This Row],[INVESTOR CODE]],SIP[B/S],"S"))</f>
        <v>0</v>
      </c>
      <c r="Q310" s="6">
        <f>IF(INVESTORS_LIST[[#This Row],[SIP_TOTAL CURRENT UNITS]]=0,0,INVESTORS_LIST[[#This Row],[SIP_TOTAL CURRENT UNITS]]*INVESTORS_LIST[[#This Row],[SIP_AVERAGE COST]])</f>
        <v>0</v>
      </c>
      <c r="R310" s="6">
        <f>IF(INVESTORS_LIST[[#This Row],[SIP_TOTAL UNITS SOLD]]=0,0,SUMIFS(SIP[Realized Gain],SIP[Investor ID],INVESTORS_LIST[[#This Row],[INVESTOR CODE]],SIP[B/S],"S"))</f>
        <v>0</v>
      </c>
      <c r="S310" s="33">
        <f>INVESTORS_LIST[[#This Row],[LS_TOTAL UNITS BUY]]+INVESTORS_LIST[[#This Row],[SIP_TOTAL UNITS BUY]]</f>
        <v>0</v>
      </c>
      <c r="T310" s="33">
        <f>INVESTORS_LIST[[#This Row],[LS_TOTAL UNITS SOLD]]+INVESTORS_LIST[[#This Row],[SIP_TOTAL UNITS SOLD]]</f>
        <v>0</v>
      </c>
      <c r="U310" s="33">
        <v>0</v>
      </c>
      <c r="V310" s="33">
        <f>SUMIFS(LS[BO UNIT TRANSFER],LS[Investor ID],INVESTORS_LIST[[#This Row],[INVESTOR CODE]],LS[B/S],"B")</f>
        <v>0</v>
      </c>
      <c r="W310" s="33">
        <f>SUMIFS(LS[BO UNIT TRANSFER],LS[Investor ID],INVESTORS_LIST[[#This Row],[INVESTOR CODE]],LS[B/S],"S")</f>
        <v>0</v>
      </c>
      <c r="X310" s="33">
        <f>SUMIFS(SIP[BO UNIT TRANSFER],SIP[Investor ID],INVESTORS_LIST[[#This Row],[INVESTOR CODE]],SIP[B/S],"S")</f>
        <v>0</v>
      </c>
      <c r="Y310" s="33">
        <f>SUMIFS(SIP[BO UNIT TRANSFER],SIP[Investor ID],INVESTORS_LIST[[#This Row],[INVESTOR CODE]],SIP[B/S],"B")</f>
        <v>0</v>
      </c>
      <c r="Z31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10" s="119">
        <f>INVESTORS_LIST[[#This Row],[TOTAL UNITS BUY]]-INVESTORS_LIST[[#This Row],[TOTAL UNITS SOLD]]</f>
        <v>0</v>
      </c>
      <c r="AB310" s="119">
        <f>INVESTORS_LIST[[#This Row],[TOTAL CURRENT UNITS]]-INVESTORS_LIST[[#This Row],[BO UNITS HOLD]]</f>
        <v>0</v>
      </c>
      <c r="AC310" s="119" t="e">
        <f>INDEX([4]!Table_1[BO ID],MATCH(INVESTORS_LIST[[#This Row],[INVESTOR CODE]],[4]!Table_1[INVESTOR CODE],0))</f>
        <v>#REF!</v>
      </c>
      <c r="AD310" s="33">
        <f>INVESTORS_LIST[[#This Row],[LS_TOTAL COST VALUE OF CURRENT UNITS]]+INVESTORS_LIST[[#This Row],[SIP_TOTAL COST VALUE OF CURRENT UNITS]]</f>
        <v>0</v>
      </c>
      <c r="AE310" s="44">
        <f>IF(INVESTORS_LIST[[#This Row],[TOTAL CURRENT UNITS]]=0,0,INVESTORS_LIST[[#This Row],[LS_TOTAL CURRENT UNITS]]/INVESTORS_LIST[[#This Row],[TOTAL CURRENT UNITS]])</f>
        <v>0</v>
      </c>
      <c r="AF310" s="44">
        <f>IF(INVESTORS_LIST[[#This Row],[TOTAL CURRENT UNITS]]=0,0,INVESTORS_LIST[[#This Row],[SIP_TOTAL CURRENT UNITS]]/INVESTORS_LIST[[#This Row],[TOTAL CURRENT UNITS]])</f>
        <v>0</v>
      </c>
      <c r="AG310" s="4" cm="1">
        <f t="array" ref="AG3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10" s="4" cm="1">
        <f t="array" ref="AH3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1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10" s="178">
        <f t="shared" si="4"/>
        <v>12.552</v>
      </c>
      <c r="AK310" s="118">
        <f>IF(INVESTORS_LIST[[#This Row],[TOTAL CURRENT UNITS]]=0,0,INVESTORS_LIST[[#This Row],[TOTAL CURRENT UNITS]]*INVESTORS_LIST[[#This Row],[NAV]])</f>
        <v>0</v>
      </c>
      <c r="AL310" s="4">
        <f>IF(INVESTORS_LIST[[#This Row],[LS_TOTAL CURRENT UNITS]]=0,0,INVESTORS_LIST[[#This Row],[LS_TOTAL CURRENT UNITS]]*INVESTORS_LIST[[#This Row],[NAV]])</f>
        <v>0</v>
      </c>
      <c r="AM310" s="6">
        <f>IF(INVESTORS_LIST[[#This Row],[SIP_TOTAL CURRENT UNITS]]=0,0,INVESTORS_LIST[[#This Row],[SIP_TOTAL CURRENT UNITS]]*INVESTORS_LIST[[#This Row],[NAV]])</f>
        <v>0</v>
      </c>
      <c r="AO310" s="6">
        <f>IF(INVESTORS_LIST[[#This Row],[TOTAL SELLABLE UNITS]]=0,0,INVESTORS_LIST[[#This Row],[TOTAL SELLABLE UNITS]]*INVESTORS_LIST[[#This Row],[NAV]])</f>
        <v>0</v>
      </c>
      <c r="AP310" s="6">
        <f>INVESTORS_LIST[[#This Row],[LS_TOTAL REALIZED GAIN]]+INVESTORS_LIST[[#This Row],[SIP_TOTAL REALIZED GAIN]]</f>
        <v>0</v>
      </c>
      <c r="AQ310" s="6">
        <f>INVESTORS_LIST[[#This Row],[TOTAL MARKET VALUE]]-INVESTORS_LIST[[#This Row],[TOTAL COST VALUE OF CURRENT INVESTMENT]]</f>
        <v>0</v>
      </c>
      <c r="AR310" s="6">
        <f>SUMIFS(DivAndTax[Tax Amount],DivAndTax[Investor ID],INVESTORS_LIST[[#This Row],[INVESTOR CODE]])</f>
        <v>0</v>
      </c>
      <c r="AS310" s="6">
        <f>SUMIFS(DivAndTax[Gross Dividend],DivAndTax[Investor ID],INVESTORS_LIST[[#This Row],[INVESTOR CODE]])</f>
        <v>0</v>
      </c>
      <c r="AT310" s="5">
        <f>IFERROR(INVESTORS_LIST[[#This Row],[TOTAL CURRENT UNITS]]/SUM(INVESTORS_LIST[TOTAL CURRENT UNITS]),0)</f>
        <v>0</v>
      </c>
    </row>
    <row r="311" spans="1:46" hidden="1">
      <c r="A311" t="s">
        <v>547</v>
      </c>
      <c r="B311" t="s">
        <v>548</v>
      </c>
      <c r="C311" t="s">
        <v>539</v>
      </c>
      <c r="D311" s="8" t="s">
        <v>2</v>
      </c>
      <c r="E311" s="2">
        <f>SUMIFS(LS[Unit],LS[Investor ID],INVESTORS_LIST[[#This Row],[INVESTOR CODE]],LS[B/S],"B")</f>
        <v>0</v>
      </c>
      <c r="F311" s="2">
        <f>-SUMIFS(LS[Unit],LS[Investor ID],INVESTORS_LIST[[#This Row],[INVESTOR CODE]],LS[B/S],"S")</f>
        <v>0</v>
      </c>
      <c r="G311" s="2">
        <f>IF(INVESTORS_LIST[[#This Row],[LS_TOTAL UNITS BUY]]=0,0,INVESTORS_LIST[[#This Row],[LS_TOTAL UNITS BUY]]-INVESTORS_LIST[[#This Row],[LS_TOTAL UNITS SOLD]])</f>
        <v>0</v>
      </c>
      <c r="H311" s="4">
        <f>IF(INVESTORS_LIST[[#This Row],[LS_TOTAL UNITS BUY]]=0,0,SUMIFS(LS[Amount],LS[Investor ID],INVESTORS_LIST[[#This Row],[INVESTOR CODE]],LS[B/S],"B"))</f>
        <v>0</v>
      </c>
      <c r="I311" s="6">
        <f>IF(INVESTORS_LIST[[#This Row],[LS_TOTAL UNITS SOLD]]=0,0,SUMIFS(LS[Cost of Units Sold],LS[Investor ID],INVESTORS_LIST[[#This Row],[INVESTOR CODE]],LS[B/S],"S"))</f>
        <v>0</v>
      </c>
      <c r="J311" s="6">
        <f>IF(INVESTORS_LIST[[#This Row],[LS_TOTAL CURRENT UNITS]]=0,0,INVESTORS_LIST[[#This Row],[LS_TOTAL CURRENT UNITS]]*INVESTORS_LIST[[#This Row],[LS_AVERAGE COST]])</f>
        <v>0</v>
      </c>
      <c r="K311" s="4">
        <f>IF(INVESTORS_LIST[[#This Row],[LS_TOTAL UNITS SOLD]]=0,0,SUMIFS(LS[Realized Gain],LS[Investor ID],INVESTORS_LIST[[#This Row],[INVESTOR CODE]],LS[B/S],"S"))</f>
        <v>0</v>
      </c>
      <c r="L311" s="2">
        <f>SUMIFS(SIP[Unit],SIP[Investor ID],INVESTORS_LIST[[#This Row],[INVESTOR CODE]],SIP[B/S],"B")</f>
        <v>0</v>
      </c>
      <c r="M311" s="2">
        <f>-SUMIFS(SIP[Unit],SIP[Investor ID],INVESTORS_LIST[[#This Row],[INVESTOR CODE]],SIP[B/S],"S")</f>
        <v>0</v>
      </c>
      <c r="N311" s="33">
        <f>IF(INVESTORS_LIST[[#This Row],[SIP_TOTAL UNITS BUY]]=0,0,INVESTORS_LIST[[#This Row],[SIP_TOTAL UNITS BUY]]-INVESTORS_LIST[[#This Row],[SIP_TOTAL UNITS SOLD]])</f>
        <v>0</v>
      </c>
      <c r="O311" s="4">
        <f>IF(INVESTORS_LIST[[#This Row],[SIP_TOTAL UNITS BUY]]=0,0,SUMIFS(SIP[Amount],SIP[Investor ID],INVESTORS_LIST[[#This Row],[INVESTOR CODE]],SIP[B/S],"B"))</f>
        <v>0</v>
      </c>
      <c r="P311" s="4">
        <f>IF(INVESTORS_LIST[[#This Row],[SIP_TOTAL UNITS SOLD]]=0,0,SUMIFS(SIP[Cost of Units Sold],SIP[Investor ID],INVESTORS_LIST[[#This Row],[INVESTOR CODE]],SIP[B/S],"S"))</f>
        <v>0</v>
      </c>
      <c r="Q311" s="6">
        <f>IF(INVESTORS_LIST[[#This Row],[SIP_TOTAL CURRENT UNITS]]=0,0,INVESTORS_LIST[[#This Row],[SIP_TOTAL CURRENT UNITS]]*INVESTORS_LIST[[#This Row],[SIP_AVERAGE COST]])</f>
        <v>0</v>
      </c>
      <c r="R311" s="6">
        <f>IF(INVESTORS_LIST[[#This Row],[SIP_TOTAL UNITS SOLD]]=0,0,SUMIFS(SIP[Realized Gain],SIP[Investor ID],INVESTORS_LIST[[#This Row],[INVESTOR CODE]],SIP[B/S],"S"))</f>
        <v>0</v>
      </c>
      <c r="S311" s="33">
        <f>INVESTORS_LIST[[#This Row],[LS_TOTAL UNITS BUY]]+INVESTORS_LIST[[#This Row],[SIP_TOTAL UNITS BUY]]</f>
        <v>0</v>
      </c>
      <c r="T311" s="33">
        <f>INVESTORS_LIST[[#This Row],[LS_TOTAL UNITS SOLD]]+INVESTORS_LIST[[#This Row],[SIP_TOTAL UNITS SOLD]]</f>
        <v>0</v>
      </c>
      <c r="U311" s="33">
        <v>0</v>
      </c>
      <c r="V311" s="33">
        <f>SUMIFS(LS[BO UNIT TRANSFER],LS[Investor ID],INVESTORS_LIST[[#This Row],[INVESTOR CODE]],LS[B/S],"B")</f>
        <v>0</v>
      </c>
      <c r="W311" s="33">
        <f>SUMIFS(LS[BO UNIT TRANSFER],LS[Investor ID],INVESTORS_LIST[[#This Row],[INVESTOR CODE]],LS[B/S],"S")</f>
        <v>0</v>
      </c>
      <c r="X311" s="33">
        <f>SUMIFS(SIP[BO UNIT TRANSFER],SIP[Investor ID],INVESTORS_LIST[[#This Row],[INVESTOR CODE]],SIP[B/S],"S")</f>
        <v>0</v>
      </c>
      <c r="Y311" s="33">
        <f>SUMIFS(SIP[BO UNIT TRANSFER],SIP[Investor ID],INVESTORS_LIST[[#This Row],[INVESTOR CODE]],SIP[B/S],"B")</f>
        <v>0</v>
      </c>
      <c r="Z31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11" s="119">
        <f>INVESTORS_LIST[[#This Row],[TOTAL UNITS BUY]]-INVESTORS_LIST[[#This Row],[TOTAL UNITS SOLD]]</f>
        <v>0</v>
      </c>
      <c r="AB311" s="119">
        <f>INVESTORS_LIST[[#This Row],[TOTAL CURRENT UNITS]]-INVESTORS_LIST[[#This Row],[BO UNITS HOLD]]</f>
        <v>0</v>
      </c>
      <c r="AC311" s="119" t="e">
        <f>INDEX([4]!Table_1[BO ID],MATCH(INVESTORS_LIST[[#This Row],[INVESTOR CODE]],[4]!Table_1[INVESTOR CODE],0))</f>
        <v>#REF!</v>
      </c>
      <c r="AD311" s="33">
        <f>INVESTORS_LIST[[#This Row],[LS_TOTAL COST VALUE OF CURRENT UNITS]]+INVESTORS_LIST[[#This Row],[SIP_TOTAL COST VALUE OF CURRENT UNITS]]</f>
        <v>0</v>
      </c>
      <c r="AE311" s="44">
        <f>IF(INVESTORS_LIST[[#This Row],[TOTAL CURRENT UNITS]]=0,0,INVESTORS_LIST[[#This Row],[LS_TOTAL CURRENT UNITS]]/INVESTORS_LIST[[#This Row],[TOTAL CURRENT UNITS]])</f>
        <v>0</v>
      </c>
      <c r="AF311" s="44">
        <f>IF(INVESTORS_LIST[[#This Row],[TOTAL CURRENT UNITS]]=0,0,INVESTORS_LIST[[#This Row],[SIP_TOTAL CURRENT UNITS]]/INVESTORS_LIST[[#This Row],[TOTAL CURRENT UNITS]])</f>
        <v>0</v>
      </c>
      <c r="AG311" s="4" cm="1">
        <f t="array" ref="AG3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11" s="4" cm="1">
        <f t="array" ref="AH3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1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11" s="178">
        <f t="shared" si="4"/>
        <v>12.552</v>
      </c>
      <c r="AK311" s="118">
        <f>IF(INVESTORS_LIST[[#This Row],[TOTAL CURRENT UNITS]]=0,0,INVESTORS_LIST[[#This Row],[TOTAL CURRENT UNITS]]*INVESTORS_LIST[[#This Row],[NAV]])</f>
        <v>0</v>
      </c>
      <c r="AL311" s="4">
        <f>IF(INVESTORS_LIST[[#This Row],[LS_TOTAL CURRENT UNITS]]=0,0,INVESTORS_LIST[[#This Row],[LS_TOTAL CURRENT UNITS]]*INVESTORS_LIST[[#This Row],[NAV]])</f>
        <v>0</v>
      </c>
      <c r="AM311" s="6">
        <f>IF(INVESTORS_LIST[[#This Row],[SIP_TOTAL CURRENT UNITS]]=0,0,INVESTORS_LIST[[#This Row],[SIP_TOTAL CURRENT UNITS]]*INVESTORS_LIST[[#This Row],[NAV]])</f>
        <v>0</v>
      </c>
      <c r="AO311" s="6">
        <f>IF(INVESTORS_LIST[[#This Row],[TOTAL SELLABLE UNITS]]=0,0,INVESTORS_LIST[[#This Row],[TOTAL SELLABLE UNITS]]*INVESTORS_LIST[[#This Row],[NAV]])</f>
        <v>0</v>
      </c>
      <c r="AP311" s="6">
        <f>INVESTORS_LIST[[#This Row],[LS_TOTAL REALIZED GAIN]]+INVESTORS_LIST[[#This Row],[SIP_TOTAL REALIZED GAIN]]</f>
        <v>0</v>
      </c>
      <c r="AQ311" s="6">
        <f>INVESTORS_LIST[[#This Row],[TOTAL MARKET VALUE]]-INVESTORS_LIST[[#This Row],[TOTAL COST VALUE OF CURRENT INVESTMENT]]</f>
        <v>0</v>
      </c>
      <c r="AR311" s="6">
        <f>SUMIFS(DivAndTax[Tax Amount],DivAndTax[Investor ID],INVESTORS_LIST[[#This Row],[INVESTOR CODE]])</f>
        <v>0</v>
      </c>
      <c r="AS311" s="6">
        <f>SUMIFS(DivAndTax[Gross Dividend],DivAndTax[Investor ID],INVESTORS_LIST[[#This Row],[INVESTOR CODE]])</f>
        <v>0</v>
      </c>
      <c r="AT311" s="5">
        <f>IFERROR(INVESTORS_LIST[[#This Row],[TOTAL CURRENT UNITS]]/SUM(INVESTORS_LIST[TOTAL CURRENT UNITS]),0)</f>
        <v>0</v>
      </c>
    </row>
    <row r="312" spans="1:46" hidden="1">
      <c r="A312" t="s">
        <v>549</v>
      </c>
      <c r="B312" t="s">
        <v>550</v>
      </c>
      <c r="C312" t="s">
        <v>539</v>
      </c>
      <c r="D312" s="8" t="s">
        <v>2</v>
      </c>
      <c r="E312" s="2">
        <f>SUMIFS(LS[Unit],LS[Investor ID],INVESTORS_LIST[[#This Row],[INVESTOR CODE]],LS[B/S],"B")</f>
        <v>0</v>
      </c>
      <c r="F312" s="2">
        <f>-SUMIFS(LS[Unit],LS[Investor ID],INVESTORS_LIST[[#This Row],[INVESTOR CODE]],LS[B/S],"S")</f>
        <v>0</v>
      </c>
      <c r="G312" s="2">
        <f>IF(INVESTORS_LIST[[#This Row],[LS_TOTAL UNITS BUY]]=0,0,INVESTORS_LIST[[#This Row],[LS_TOTAL UNITS BUY]]-INVESTORS_LIST[[#This Row],[LS_TOTAL UNITS SOLD]])</f>
        <v>0</v>
      </c>
      <c r="H312" s="4">
        <f>IF(INVESTORS_LIST[[#This Row],[LS_TOTAL UNITS BUY]]=0,0,SUMIFS(LS[Amount],LS[Investor ID],INVESTORS_LIST[[#This Row],[INVESTOR CODE]],LS[B/S],"B"))</f>
        <v>0</v>
      </c>
      <c r="I312" s="6">
        <f>IF(INVESTORS_LIST[[#This Row],[LS_TOTAL UNITS SOLD]]=0,0,SUMIFS(LS[Cost of Units Sold],LS[Investor ID],INVESTORS_LIST[[#This Row],[INVESTOR CODE]],LS[B/S],"S"))</f>
        <v>0</v>
      </c>
      <c r="J312" s="6">
        <f>IF(INVESTORS_LIST[[#This Row],[LS_TOTAL CURRENT UNITS]]=0,0,INVESTORS_LIST[[#This Row],[LS_TOTAL CURRENT UNITS]]*INVESTORS_LIST[[#This Row],[LS_AVERAGE COST]])</f>
        <v>0</v>
      </c>
      <c r="K312" s="4">
        <f>IF(INVESTORS_LIST[[#This Row],[LS_TOTAL UNITS SOLD]]=0,0,SUMIFS(LS[Realized Gain],LS[Investor ID],INVESTORS_LIST[[#This Row],[INVESTOR CODE]],LS[B/S],"S"))</f>
        <v>0</v>
      </c>
      <c r="L312" s="2">
        <f>SUMIFS(SIP[Unit],SIP[Investor ID],INVESTORS_LIST[[#This Row],[INVESTOR CODE]],SIP[B/S],"B")</f>
        <v>0</v>
      </c>
      <c r="M312" s="2">
        <f>-SUMIFS(SIP[Unit],SIP[Investor ID],INVESTORS_LIST[[#This Row],[INVESTOR CODE]],SIP[B/S],"S")</f>
        <v>0</v>
      </c>
      <c r="N312" s="33">
        <f>IF(INVESTORS_LIST[[#This Row],[SIP_TOTAL UNITS BUY]]=0,0,INVESTORS_LIST[[#This Row],[SIP_TOTAL UNITS BUY]]-INVESTORS_LIST[[#This Row],[SIP_TOTAL UNITS SOLD]])</f>
        <v>0</v>
      </c>
      <c r="O312" s="4">
        <f>IF(INVESTORS_LIST[[#This Row],[SIP_TOTAL UNITS BUY]]=0,0,SUMIFS(SIP[Amount],SIP[Investor ID],INVESTORS_LIST[[#This Row],[INVESTOR CODE]],SIP[B/S],"B"))</f>
        <v>0</v>
      </c>
      <c r="P312" s="4">
        <f>IF(INVESTORS_LIST[[#This Row],[SIP_TOTAL UNITS SOLD]]=0,0,SUMIFS(SIP[Cost of Units Sold],SIP[Investor ID],INVESTORS_LIST[[#This Row],[INVESTOR CODE]],SIP[B/S],"S"))</f>
        <v>0</v>
      </c>
      <c r="Q312" s="6">
        <f>IF(INVESTORS_LIST[[#This Row],[SIP_TOTAL CURRENT UNITS]]=0,0,INVESTORS_LIST[[#This Row],[SIP_TOTAL CURRENT UNITS]]*INVESTORS_LIST[[#This Row],[SIP_AVERAGE COST]])</f>
        <v>0</v>
      </c>
      <c r="R312" s="6">
        <f>IF(INVESTORS_LIST[[#This Row],[SIP_TOTAL UNITS SOLD]]=0,0,SUMIFS(SIP[Realized Gain],SIP[Investor ID],INVESTORS_LIST[[#This Row],[INVESTOR CODE]],SIP[B/S],"S"))</f>
        <v>0</v>
      </c>
      <c r="S312" s="33">
        <f>INVESTORS_LIST[[#This Row],[LS_TOTAL UNITS BUY]]+INVESTORS_LIST[[#This Row],[SIP_TOTAL UNITS BUY]]</f>
        <v>0</v>
      </c>
      <c r="T312" s="33">
        <f>INVESTORS_LIST[[#This Row],[LS_TOTAL UNITS SOLD]]+INVESTORS_LIST[[#This Row],[SIP_TOTAL UNITS SOLD]]</f>
        <v>0</v>
      </c>
      <c r="U312" s="33">
        <v>0</v>
      </c>
      <c r="V312" s="33">
        <f>SUMIFS(LS[BO UNIT TRANSFER],LS[Investor ID],INVESTORS_LIST[[#This Row],[INVESTOR CODE]],LS[B/S],"B")</f>
        <v>0</v>
      </c>
      <c r="W312" s="33">
        <f>SUMIFS(LS[BO UNIT TRANSFER],LS[Investor ID],INVESTORS_LIST[[#This Row],[INVESTOR CODE]],LS[B/S],"S")</f>
        <v>0</v>
      </c>
      <c r="X312" s="33">
        <f>SUMIFS(SIP[BO UNIT TRANSFER],SIP[Investor ID],INVESTORS_LIST[[#This Row],[INVESTOR CODE]],SIP[B/S],"S")</f>
        <v>0</v>
      </c>
      <c r="Y312" s="33">
        <f>SUMIFS(SIP[BO UNIT TRANSFER],SIP[Investor ID],INVESTORS_LIST[[#This Row],[INVESTOR CODE]],SIP[B/S],"B")</f>
        <v>0</v>
      </c>
      <c r="Z31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12" s="119">
        <f>INVESTORS_LIST[[#This Row],[TOTAL UNITS BUY]]-INVESTORS_LIST[[#This Row],[TOTAL UNITS SOLD]]</f>
        <v>0</v>
      </c>
      <c r="AB312" s="119">
        <f>INVESTORS_LIST[[#This Row],[TOTAL CURRENT UNITS]]-INVESTORS_LIST[[#This Row],[BO UNITS HOLD]]</f>
        <v>0</v>
      </c>
      <c r="AC312" s="119" t="e">
        <f>INDEX([4]!Table_1[BO ID],MATCH(INVESTORS_LIST[[#This Row],[INVESTOR CODE]],[4]!Table_1[INVESTOR CODE],0))</f>
        <v>#REF!</v>
      </c>
      <c r="AD312" s="33">
        <f>INVESTORS_LIST[[#This Row],[LS_TOTAL COST VALUE OF CURRENT UNITS]]+INVESTORS_LIST[[#This Row],[SIP_TOTAL COST VALUE OF CURRENT UNITS]]</f>
        <v>0</v>
      </c>
      <c r="AE312" s="44">
        <f>IF(INVESTORS_LIST[[#This Row],[TOTAL CURRENT UNITS]]=0,0,INVESTORS_LIST[[#This Row],[LS_TOTAL CURRENT UNITS]]/INVESTORS_LIST[[#This Row],[TOTAL CURRENT UNITS]])</f>
        <v>0</v>
      </c>
      <c r="AF312" s="44">
        <f>IF(INVESTORS_LIST[[#This Row],[TOTAL CURRENT UNITS]]=0,0,INVESTORS_LIST[[#This Row],[SIP_TOTAL CURRENT UNITS]]/INVESTORS_LIST[[#This Row],[TOTAL CURRENT UNITS]])</f>
        <v>0</v>
      </c>
      <c r="AG312" s="4" cm="1">
        <f t="array" ref="AG3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12" s="4" cm="1">
        <f t="array" ref="AH3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1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12" s="178">
        <f t="shared" si="4"/>
        <v>12.552</v>
      </c>
      <c r="AK312" s="118">
        <f>IF(INVESTORS_LIST[[#This Row],[TOTAL CURRENT UNITS]]=0,0,INVESTORS_LIST[[#This Row],[TOTAL CURRENT UNITS]]*INVESTORS_LIST[[#This Row],[NAV]])</f>
        <v>0</v>
      </c>
      <c r="AL312" s="4">
        <f>IF(INVESTORS_LIST[[#This Row],[LS_TOTAL CURRENT UNITS]]=0,0,INVESTORS_LIST[[#This Row],[LS_TOTAL CURRENT UNITS]]*INVESTORS_LIST[[#This Row],[NAV]])</f>
        <v>0</v>
      </c>
      <c r="AM312" s="6">
        <f>IF(INVESTORS_LIST[[#This Row],[SIP_TOTAL CURRENT UNITS]]=0,0,INVESTORS_LIST[[#This Row],[SIP_TOTAL CURRENT UNITS]]*INVESTORS_LIST[[#This Row],[NAV]])</f>
        <v>0</v>
      </c>
      <c r="AO312" s="6">
        <f>IF(INVESTORS_LIST[[#This Row],[TOTAL SELLABLE UNITS]]=0,0,INVESTORS_LIST[[#This Row],[TOTAL SELLABLE UNITS]]*INVESTORS_LIST[[#This Row],[NAV]])</f>
        <v>0</v>
      </c>
      <c r="AP312" s="6">
        <f>INVESTORS_LIST[[#This Row],[LS_TOTAL REALIZED GAIN]]+INVESTORS_LIST[[#This Row],[SIP_TOTAL REALIZED GAIN]]</f>
        <v>0</v>
      </c>
      <c r="AQ312" s="6">
        <f>INVESTORS_LIST[[#This Row],[TOTAL MARKET VALUE]]-INVESTORS_LIST[[#This Row],[TOTAL COST VALUE OF CURRENT INVESTMENT]]</f>
        <v>0</v>
      </c>
      <c r="AR312" s="6">
        <f>SUMIFS(DivAndTax[Tax Amount],DivAndTax[Investor ID],INVESTORS_LIST[[#This Row],[INVESTOR CODE]])</f>
        <v>0</v>
      </c>
      <c r="AS312" s="6">
        <f>SUMIFS(DivAndTax[Gross Dividend],DivAndTax[Investor ID],INVESTORS_LIST[[#This Row],[INVESTOR CODE]])</f>
        <v>0</v>
      </c>
      <c r="AT312" s="5">
        <f>IFERROR(INVESTORS_LIST[[#This Row],[TOTAL CURRENT UNITS]]/SUM(INVESTORS_LIST[TOTAL CURRENT UNITS]),0)</f>
        <v>0</v>
      </c>
    </row>
    <row r="313" spans="1:46" hidden="1">
      <c r="A313" t="s">
        <v>551</v>
      </c>
      <c r="B313" t="s">
        <v>552</v>
      </c>
      <c r="C313" t="s">
        <v>541</v>
      </c>
      <c r="D313" s="8" t="s">
        <v>2</v>
      </c>
      <c r="E313" s="2">
        <f>SUMIFS(LS[Unit],LS[Investor ID],INVESTORS_LIST[[#This Row],[INVESTOR CODE]],LS[B/S],"B")</f>
        <v>0</v>
      </c>
      <c r="F313" s="2">
        <f>-SUMIFS(LS[Unit],LS[Investor ID],INVESTORS_LIST[[#This Row],[INVESTOR CODE]],LS[B/S],"S")</f>
        <v>0</v>
      </c>
      <c r="G313" s="2">
        <f>IF(INVESTORS_LIST[[#This Row],[LS_TOTAL UNITS BUY]]=0,0,INVESTORS_LIST[[#This Row],[LS_TOTAL UNITS BUY]]-INVESTORS_LIST[[#This Row],[LS_TOTAL UNITS SOLD]])</f>
        <v>0</v>
      </c>
      <c r="H313" s="4">
        <f>IF(INVESTORS_LIST[[#This Row],[LS_TOTAL UNITS BUY]]=0,0,SUMIFS(LS[Amount],LS[Investor ID],INVESTORS_LIST[[#This Row],[INVESTOR CODE]],LS[B/S],"B"))</f>
        <v>0</v>
      </c>
      <c r="I313" s="6">
        <f>IF(INVESTORS_LIST[[#This Row],[LS_TOTAL UNITS SOLD]]=0,0,SUMIFS(LS[Cost of Units Sold],LS[Investor ID],INVESTORS_LIST[[#This Row],[INVESTOR CODE]],LS[B/S],"S"))</f>
        <v>0</v>
      </c>
      <c r="J313" s="6">
        <f>IF(INVESTORS_LIST[[#This Row],[LS_TOTAL CURRENT UNITS]]=0,0,INVESTORS_LIST[[#This Row],[LS_TOTAL CURRENT UNITS]]*INVESTORS_LIST[[#This Row],[LS_AVERAGE COST]])</f>
        <v>0</v>
      </c>
      <c r="K313" s="4">
        <f>IF(INVESTORS_LIST[[#This Row],[LS_TOTAL UNITS SOLD]]=0,0,SUMIFS(LS[Realized Gain],LS[Investor ID],INVESTORS_LIST[[#This Row],[INVESTOR CODE]],LS[B/S],"S"))</f>
        <v>0</v>
      </c>
      <c r="L313" s="2">
        <f>SUMIFS(SIP[Unit],SIP[Investor ID],INVESTORS_LIST[[#This Row],[INVESTOR CODE]],SIP[B/S],"B")</f>
        <v>0</v>
      </c>
      <c r="M313" s="2">
        <f>-SUMIFS(SIP[Unit],SIP[Investor ID],INVESTORS_LIST[[#This Row],[INVESTOR CODE]],SIP[B/S],"S")</f>
        <v>0</v>
      </c>
      <c r="N313" s="33">
        <f>IF(INVESTORS_LIST[[#This Row],[SIP_TOTAL UNITS BUY]]=0,0,INVESTORS_LIST[[#This Row],[SIP_TOTAL UNITS BUY]]-INVESTORS_LIST[[#This Row],[SIP_TOTAL UNITS SOLD]])</f>
        <v>0</v>
      </c>
      <c r="O313" s="4">
        <f>IF(INVESTORS_LIST[[#This Row],[SIP_TOTAL UNITS BUY]]=0,0,SUMIFS(SIP[Amount],SIP[Investor ID],INVESTORS_LIST[[#This Row],[INVESTOR CODE]],SIP[B/S],"B"))</f>
        <v>0</v>
      </c>
      <c r="P313" s="4">
        <f>IF(INVESTORS_LIST[[#This Row],[SIP_TOTAL UNITS SOLD]]=0,0,SUMIFS(SIP[Cost of Units Sold],SIP[Investor ID],INVESTORS_LIST[[#This Row],[INVESTOR CODE]],SIP[B/S],"S"))</f>
        <v>0</v>
      </c>
      <c r="Q313" s="6">
        <f>IF(INVESTORS_LIST[[#This Row],[SIP_TOTAL CURRENT UNITS]]=0,0,INVESTORS_LIST[[#This Row],[SIP_TOTAL CURRENT UNITS]]*INVESTORS_LIST[[#This Row],[SIP_AVERAGE COST]])</f>
        <v>0</v>
      </c>
      <c r="R313" s="6">
        <f>IF(INVESTORS_LIST[[#This Row],[SIP_TOTAL UNITS SOLD]]=0,0,SUMIFS(SIP[Realized Gain],SIP[Investor ID],INVESTORS_LIST[[#This Row],[INVESTOR CODE]],SIP[B/S],"S"))</f>
        <v>0</v>
      </c>
      <c r="S313" s="33">
        <f>INVESTORS_LIST[[#This Row],[LS_TOTAL UNITS BUY]]+INVESTORS_LIST[[#This Row],[SIP_TOTAL UNITS BUY]]</f>
        <v>0</v>
      </c>
      <c r="T313" s="33">
        <f>INVESTORS_LIST[[#This Row],[LS_TOTAL UNITS SOLD]]+INVESTORS_LIST[[#This Row],[SIP_TOTAL UNITS SOLD]]</f>
        <v>0</v>
      </c>
      <c r="U313" s="33">
        <v>0</v>
      </c>
      <c r="V313" s="33">
        <f>SUMIFS(LS[BO UNIT TRANSFER],LS[Investor ID],INVESTORS_LIST[[#This Row],[INVESTOR CODE]],LS[B/S],"B")</f>
        <v>0</v>
      </c>
      <c r="W313" s="33">
        <f>SUMIFS(LS[BO UNIT TRANSFER],LS[Investor ID],INVESTORS_LIST[[#This Row],[INVESTOR CODE]],LS[B/S],"S")</f>
        <v>0</v>
      </c>
      <c r="X313" s="33">
        <f>SUMIFS(SIP[BO UNIT TRANSFER],SIP[Investor ID],INVESTORS_LIST[[#This Row],[INVESTOR CODE]],SIP[B/S],"S")</f>
        <v>0</v>
      </c>
      <c r="Y313" s="33">
        <f>SUMIFS(SIP[BO UNIT TRANSFER],SIP[Investor ID],INVESTORS_LIST[[#This Row],[INVESTOR CODE]],SIP[B/S],"B")</f>
        <v>0</v>
      </c>
      <c r="Z31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13" s="119">
        <f>INVESTORS_LIST[[#This Row],[TOTAL UNITS BUY]]-INVESTORS_LIST[[#This Row],[TOTAL UNITS SOLD]]</f>
        <v>0</v>
      </c>
      <c r="AB313" s="119">
        <f>INVESTORS_LIST[[#This Row],[TOTAL CURRENT UNITS]]-INVESTORS_LIST[[#This Row],[BO UNITS HOLD]]</f>
        <v>0</v>
      </c>
      <c r="AC313" s="119" t="e">
        <f>INDEX([4]!Table_1[BO ID],MATCH(INVESTORS_LIST[[#This Row],[INVESTOR CODE]],[4]!Table_1[INVESTOR CODE],0))</f>
        <v>#REF!</v>
      </c>
      <c r="AD313" s="33">
        <f>INVESTORS_LIST[[#This Row],[LS_TOTAL COST VALUE OF CURRENT UNITS]]+INVESTORS_LIST[[#This Row],[SIP_TOTAL COST VALUE OF CURRENT UNITS]]</f>
        <v>0</v>
      </c>
      <c r="AE313" s="44">
        <f>IF(INVESTORS_LIST[[#This Row],[TOTAL CURRENT UNITS]]=0,0,INVESTORS_LIST[[#This Row],[LS_TOTAL CURRENT UNITS]]/INVESTORS_LIST[[#This Row],[TOTAL CURRENT UNITS]])</f>
        <v>0</v>
      </c>
      <c r="AF313" s="44">
        <f>IF(INVESTORS_LIST[[#This Row],[TOTAL CURRENT UNITS]]=0,0,INVESTORS_LIST[[#This Row],[SIP_TOTAL CURRENT UNITS]]/INVESTORS_LIST[[#This Row],[TOTAL CURRENT UNITS]])</f>
        <v>0</v>
      </c>
      <c r="AG313" s="4" cm="1">
        <f t="array" ref="AG31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13" s="4" cm="1">
        <f t="array" ref="AH3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1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13" s="178">
        <f t="shared" si="4"/>
        <v>12.552</v>
      </c>
      <c r="AK313" s="118">
        <f>IF(INVESTORS_LIST[[#This Row],[TOTAL CURRENT UNITS]]=0,0,INVESTORS_LIST[[#This Row],[TOTAL CURRENT UNITS]]*INVESTORS_LIST[[#This Row],[NAV]])</f>
        <v>0</v>
      </c>
      <c r="AL313" s="4">
        <f>IF(INVESTORS_LIST[[#This Row],[LS_TOTAL CURRENT UNITS]]=0,0,INVESTORS_LIST[[#This Row],[LS_TOTAL CURRENT UNITS]]*INVESTORS_LIST[[#This Row],[NAV]])</f>
        <v>0</v>
      </c>
      <c r="AM313" s="6">
        <f>IF(INVESTORS_LIST[[#This Row],[SIP_TOTAL CURRENT UNITS]]=0,0,INVESTORS_LIST[[#This Row],[SIP_TOTAL CURRENT UNITS]]*INVESTORS_LIST[[#This Row],[NAV]])</f>
        <v>0</v>
      </c>
      <c r="AO313" s="6">
        <f>IF(INVESTORS_LIST[[#This Row],[TOTAL SELLABLE UNITS]]=0,0,INVESTORS_LIST[[#This Row],[TOTAL SELLABLE UNITS]]*INVESTORS_LIST[[#This Row],[NAV]])</f>
        <v>0</v>
      </c>
      <c r="AP313" s="6">
        <f>INVESTORS_LIST[[#This Row],[LS_TOTAL REALIZED GAIN]]+INVESTORS_LIST[[#This Row],[SIP_TOTAL REALIZED GAIN]]</f>
        <v>0</v>
      </c>
      <c r="AQ313" s="6">
        <f>INVESTORS_LIST[[#This Row],[TOTAL MARKET VALUE]]-INVESTORS_LIST[[#This Row],[TOTAL COST VALUE OF CURRENT INVESTMENT]]</f>
        <v>0</v>
      </c>
      <c r="AR313" s="6">
        <f>SUMIFS(DivAndTax[Tax Amount],DivAndTax[Investor ID],INVESTORS_LIST[[#This Row],[INVESTOR CODE]])</f>
        <v>0</v>
      </c>
      <c r="AS313" s="6">
        <f>SUMIFS(DivAndTax[Gross Dividend],DivAndTax[Investor ID],INVESTORS_LIST[[#This Row],[INVESTOR CODE]])</f>
        <v>0</v>
      </c>
      <c r="AT313" s="5">
        <f>IFERROR(INVESTORS_LIST[[#This Row],[TOTAL CURRENT UNITS]]/SUM(INVESTORS_LIST[TOTAL CURRENT UNITS]),0)</f>
        <v>0</v>
      </c>
    </row>
    <row r="314" spans="1:46" hidden="1">
      <c r="A314" t="s">
        <v>554</v>
      </c>
      <c r="B314" t="s">
        <v>555</v>
      </c>
      <c r="C314" t="s">
        <v>541</v>
      </c>
      <c r="D314" s="8" t="s">
        <v>2</v>
      </c>
      <c r="E314" s="2">
        <f>SUMIFS(LS[Unit],LS[Investor ID],INVESTORS_LIST[[#This Row],[INVESTOR CODE]],LS[B/S],"B")</f>
        <v>0</v>
      </c>
      <c r="F314" s="2">
        <f>-SUMIFS(LS[Unit],LS[Investor ID],INVESTORS_LIST[[#This Row],[INVESTOR CODE]],LS[B/S],"S")</f>
        <v>0</v>
      </c>
      <c r="G314" s="2">
        <f>IF(INVESTORS_LIST[[#This Row],[LS_TOTAL UNITS BUY]]=0,0,INVESTORS_LIST[[#This Row],[LS_TOTAL UNITS BUY]]-INVESTORS_LIST[[#This Row],[LS_TOTAL UNITS SOLD]])</f>
        <v>0</v>
      </c>
      <c r="H314" s="4">
        <f>IF(INVESTORS_LIST[[#This Row],[LS_TOTAL UNITS BUY]]=0,0,SUMIFS(LS[Amount],LS[Investor ID],INVESTORS_LIST[[#This Row],[INVESTOR CODE]],LS[B/S],"B"))</f>
        <v>0</v>
      </c>
      <c r="I314" s="6">
        <f>IF(INVESTORS_LIST[[#This Row],[LS_TOTAL UNITS SOLD]]=0,0,SUMIFS(LS[Cost of Units Sold],LS[Investor ID],INVESTORS_LIST[[#This Row],[INVESTOR CODE]],LS[B/S],"S"))</f>
        <v>0</v>
      </c>
      <c r="J314" s="6">
        <f>IF(INVESTORS_LIST[[#This Row],[LS_TOTAL CURRENT UNITS]]=0,0,INVESTORS_LIST[[#This Row],[LS_TOTAL CURRENT UNITS]]*INVESTORS_LIST[[#This Row],[LS_AVERAGE COST]])</f>
        <v>0</v>
      </c>
      <c r="K314" s="4">
        <f>IF(INVESTORS_LIST[[#This Row],[LS_TOTAL UNITS SOLD]]=0,0,SUMIFS(LS[Realized Gain],LS[Investor ID],INVESTORS_LIST[[#This Row],[INVESTOR CODE]],LS[B/S],"S"))</f>
        <v>0</v>
      </c>
      <c r="L314" s="2">
        <f>SUMIFS(SIP[Unit],SIP[Investor ID],INVESTORS_LIST[[#This Row],[INVESTOR CODE]],SIP[B/S],"B")</f>
        <v>0</v>
      </c>
      <c r="M314" s="2">
        <f>-SUMIFS(SIP[Unit],SIP[Investor ID],INVESTORS_LIST[[#This Row],[INVESTOR CODE]],SIP[B/S],"S")</f>
        <v>0</v>
      </c>
      <c r="N314" s="33">
        <f>IF(INVESTORS_LIST[[#This Row],[SIP_TOTAL UNITS BUY]]=0,0,INVESTORS_LIST[[#This Row],[SIP_TOTAL UNITS BUY]]-INVESTORS_LIST[[#This Row],[SIP_TOTAL UNITS SOLD]])</f>
        <v>0</v>
      </c>
      <c r="O314" s="4">
        <f>IF(INVESTORS_LIST[[#This Row],[SIP_TOTAL UNITS BUY]]=0,0,SUMIFS(SIP[Amount],SIP[Investor ID],INVESTORS_LIST[[#This Row],[INVESTOR CODE]],SIP[B/S],"B"))</f>
        <v>0</v>
      </c>
      <c r="P314" s="4">
        <f>IF(INVESTORS_LIST[[#This Row],[SIP_TOTAL UNITS SOLD]]=0,0,SUMIFS(SIP[Cost of Units Sold],SIP[Investor ID],INVESTORS_LIST[[#This Row],[INVESTOR CODE]],SIP[B/S],"S"))</f>
        <v>0</v>
      </c>
      <c r="Q314" s="6">
        <f>IF(INVESTORS_LIST[[#This Row],[SIP_TOTAL CURRENT UNITS]]=0,0,INVESTORS_LIST[[#This Row],[SIP_TOTAL CURRENT UNITS]]*INVESTORS_LIST[[#This Row],[SIP_AVERAGE COST]])</f>
        <v>0</v>
      </c>
      <c r="R314" s="6">
        <f>IF(INVESTORS_LIST[[#This Row],[SIP_TOTAL UNITS SOLD]]=0,0,SUMIFS(SIP[Realized Gain],SIP[Investor ID],INVESTORS_LIST[[#This Row],[INVESTOR CODE]],SIP[B/S],"S"))</f>
        <v>0</v>
      </c>
      <c r="S314" s="33">
        <f>INVESTORS_LIST[[#This Row],[LS_TOTAL UNITS BUY]]+INVESTORS_LIST[[#This Row],[SIP_TOTAL UNITS BUY]]</f>
        <v>0</v>
      </c>
      <c r="T314" s="33">
        <f>INVESTORS_LIST[[#This Row],[LS_TOTAL UNITS SOLD]]+INVESTORS_LIST[[#This Row],[SIP_TOTAL UNITS SOLD]]</f>
        <v>0</v>
      </c>
      <c r="U314" s="33">
        <v>0</v>
      </c>
      <c r="V314" s="33">
        <f>SUMIFS(LS[BO UNIT TRANSFER],LS[Investor ID],INVESTORS_LIST[[#This Row],[INVESTOR CODE]],LS[B/S],"B")</f>
        <v>0</v>
      </c>
      <c r="W314" s="33">
        <f>SUMIFS(LS[BO UNIT TRANSFER],LS[Investor ID],INVESTORS_LIST[[#This Row],[INVESTOR CODE]],LS[B/S],"S")</f>
        <v>0</v>
      </c>
      <c r="X314" s="33">
        <f>SUMIFS(SIP[BO UNIT TRANSFER],SIP[Investor ID],INVESTORS_LIST[[#This Row],[INVESTOR CODE]],SIP[B/S],"S")</f>
        <v>0</v>
      </c>
      <c r="Y314" s="33">
        <f>SUMIFS(SIP[BO UNIT TRANSFER],SIP[Investor ID],INVESTORS_LIST[[#This Row],[INVESTOR CODE]],SIP[B/S],"B")</f>
        <v>0</v>
      </c>
      <c r="Z31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14" s="119">
        <f>INVESTORS_LIST[[#This Row],[TOTAL UNITS BUY]]-INVESTORS_LIST[[#This Row],[TOTAL UNITS SOLD]]</f>
        <v>0</v>
      </c>
      <c r="AB314" s="119">
        <f>INVESTORS_LIST[[#This Row],[TOTAL CURRENT UNITS]]-INVESTORS_LIST[[#This Row],[BO UNITS HOLD]]</f>
        <v>0</v>
      </c>
      <c r="AC314" s="119" t="e">
        <f>INDEX([4]!Table_1[BO ID],MATCH(INVESTORS_LIST[[#This Row],[INVESTOR CODE]],[4]!Table_1[INVESTOR CODE],0))</f>
        <v>#REF!</v>
      </c>
      <c r="AD314" s="33">
        <f>INVESTORS_LIST[[#This Row],[LS_TOTAL COST VALUE OF CURRENT UNITS]]+INVESTORS_LIST[[#This Row],[SIP_TOTAL COST VALUE OF CURRENT UNITS]]</f>
        <v>0</v>
      </c>
      <c r="AE314" s="44">
        <f>IF(INVESTORS_LIST[[#This Row],[TOTAL CURRENT UNITS]]=0,0,INVESTORS_LIST[[#This Row],[LS_TOTAL CURRENT UNITS]]/INVESTORS_LIST[[#This Row],[TOTAL CURRENT UNITS]])</f>
        <v>0</v>
      </c>
      <c r="AF314" s="44">
        <f>IF(INVESTORS_LIST[[#This Row],[TOTAL CURRENT UNITS]]=0,0,INVESTORS_LIST[[#This Row],[SIP_TOTAL CURRENT UNITS]]/INVESTORS_LIST[[#This Row],[TOTAL CURRENT UNITS]])</f>
        <v>0</v>
      </c>
      <c r="AG314" s="4" cm="1">
        <f t="array" ref="AG3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14" s="4" cm="1">
        <f t="array" ref="AH3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1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14" s="178">
        <f t="shared" si="4"/>
        <v>12.552</v>
      </c>
      <c r="AK314" s="118">
        <f>IF(INVESTORS_LIST[[#This Row],[TOTAL CURRENT UNITS]]=0,0,INVESTORS_LIST[[#This Row],[TOTAL CURRENT UNITS]]*INVESTORS_LIST[[#This Row],[NAV]])</f>
        <v>0</v>
      </c>
      <c r="AL314" s="4">
        <f>IF(INVESTORS_LIST[[#This Row],[LS_TOTAL CURRENT UNITS]]=0,0,INVESTORS_LIST[[#This Row],[LS_TOTAL CURRENT UNITS]]*INVESTORS_LIST[[#This Row],[NAV]])</f>
        <v>0</v>
      </c>
      <c r="AM314" s="6">
        <f>IF(INVESTORS_LIST[[#This Row],[SIP_TOTAL CURRENT UNITS]]=0,0,INVESTORS_LIST[[#This Row],[SIP_TOTAL CURRENT UNITS]]*INVESTORS_LIST[[#This Row],[NAV]])</f>
        <v>0</v>
      </c>
      <c r="AO314" s="6">
        <f>IF(INVESTORS_LIST[[#This Row],[TOTAL SELLABLE UNITS]]=0,0,INVESTORS_LIST[[#This Row],[TOTAL SELLABLE UNITS]]*INVESTORS_LIST[[#This Row],[NAV]])</f>
        <v>0</v>
      </c>
      <c r="AP314" s="6">
        <f>INVESTORS_LIST[[#This Row],[LS_TOTAL REALIZED GAIN]]+INVESTORS_LIST[[#This Row],[SIP_TOTAL REALIZED GAIN]]</f>
        <v>0</v>
      </c>
      <c r="AQ314" s="6">
        <f>INVESTORS_LIST[[#This Row],[TOTAL MARKET VALUE]]-INVESTORS_LIST[[#This Row],[TOTAL COST VALUE OF CURRENT INVESTMENT]]</f>
        <v>0</v>
      </c>
      <c r="AR314" s="6">
        <f>SUMIFS(DivAndTax[Tax Amount],DivAndTax[Investor ID],INVESTORS_LIST[[#This Row],[INVESTOR CODE]])</f>
        <v>0</v>
      </c>
      <c r="AS314" s="6">
        <f>SUMIFS(DivAndTax[Gross Dividend],DivAndTax[Investor ID],INVESTORS_LIST[[#This Row],[INVESTOR CODE]])</f>
        <v>0</v>
      </c>
      <c r="AT314" s="5">
        <f>IFERROR(INVESTORS_LIST[[#This Row],[TOTAL CURRENT UNITS]]/SUM(INVESTORS_LIST[TOTAL CURRENT UNITS]),0)</f>
        <v>0</v>
      </c>
    </row>
    <row r="315" spans="1:46" hidden="1">
      <c r="A315" t="s">
        <v>556</v>
      </c>
      <c r="B315" t="s">
        <v>557</v>
      </c>
      <c r="C315" t="s">
        <v>539</v>
      </c>
      <c r="D315" s="8" t="s">
        <v>2</v>
      </c>
      <c r="E315" s="2">
        <f>SUMIFS(LS[Unit],LS[Investor ID],INVESTORS_LIST[[#This Row],[INVESTOR CODE]],LS[B/S],"B")</f>
        <v>0</v>
      </c>
      <c r="F315" s="2">
        <f>-SUMIFS(LS[Unit],LS[Investor ID],INVESTORS_LIST[[#This Row],[INVESTOR CODE]],LS[B/S],"S")</f>
        <v>0</v>
      </c>
      <c r="G315" s="2">
        <f>IF(INVESTORS_LIST[[#This Row],[LS_TOTAL UNITS BUY]]=0,0,INVESTORS_LIST[[#This Row],[LS_TOTAL UNITS BUY]]-INVESTORS_LIST[[#This Row],[LS_TOTAL UNITS SOLD]])</f>
        <v>0</v>
      </c>
      <c r="H315" s="4">
        <f>IF(INVESTORS_LIST[[#This Row],[LS_TOTAL UNITS BUY]]=0,0,SUMIFS(LS[Amount],LS[Investor ID],INVESTORS_LIST[[#This Row],[INVESTOR CODE]],LS[B/S],"B"))</f>
        <v>0</v>
      </c>
      <c r="I315" s="6">
        <f>IF(INVESTORS_LIST[[#This Row],[LS_TOTAL UNITS SOLD]]=0,0,SUMIFS(LS[Cost of Units Sold],LS[Investor ID],INVESTORS_LIST[[#This Row],[INVESTOR CODE]],LS[B/S],"S"))</f>
        <v>0</v>
      </c>
      <c r="J315" s="6">
        <f>IF(INVESTORS_LIST[[#This Row],[LS_TOTAL CURRENT UNITS]]=0,0,INVESTORS_LIST[[#This Row],[LS_TOTAL CURRENT UNITS]]*INVESTORS_LIST[[#This Row],[LS_AVERAGE COST]])</f>
        <v>0</v>
      </c>
      <c r="K315" s="4">
        <f>IF(INVESTORS_LIST[[#This Row],[LS_TOTAL UNITS SOLD]]=0,0,SUMIFS(LS[Realized Gain],LS[Investor ID],INVESTORS_LIST[[#This Row],[INVESTOR CODE]],LS[B/S],"S"))</f>
        <v>0</v>
      </c>
      <c r="L315" s="2">
        <f>SUMIFS(SIP[Unit],SIP[Investor ID],INVESTORS_LIST[[#This Row],[INVESTOR CODE]],SIP[B/S],"B")</f>
        <v>0</v>
      </c>
      <c r="M315" s="2">
        <f>-SUMIFS(SIP[Unit],SIP[Investor ID],INVESTORS_LIST[[#This Row],[INVESTOR CODE]],SIP[B/S],"S")</f>
        <v>0</v>
      </c>
      <c r="N315" s="33">
        <f>IF(INVESTORS_LIST[[#This Row],[SIP_TOTAL UNITS BUY]]=0,0,INVESTORS_LIST[[#This Row],[SIP_TOTAL UNITS BUY]]-INVESTORS_LIST[[#This Row],[SIP_TOTAL UNITS SOLD]])</f>
        <v>0</v>
      </c>
      <c r="O315" s="4">
        <f>IF(INVESTORS_LIST[[#This Row],[SIP_TOTAL UNITS BUY]]=0,0,SUMIFS(SIP[Amount],SIP[Investor ID],INVESTORS_LIST[[#This Row],[INVESTOR CODE]],SIP[B/S],"B"))</f>
        <v>0</v>
      </c>
      <c r="P315" s="4">
        <f>IF(INVESTORS_LIST[[#This Row],[SIP_TOTAL UNITS SOLD]]=0,0,SUMIFS(SIP[Cost of Units Sold],SIP[Investor ID],INVESTORS_LIST[[#This Row],[INVESTOR CODE]],SIP[B/S],"S"))</f>
        <v>0</v>
      </c>
      <c r="Q315" s="6">
        <f>IF(INVESTORS_LIST[[#This Row],[SIP_TOTAL CURRENT UNITS]]=0,0,INVESTORS_LIST[[#This Row],[SIP_TOTAL CURRENT UNITS]]*INVESTORS_LIST[[#This Row],[SIP_AVERAGE COST]])</f>
        <v>0</v>
      </c>
      <c r="R315" s="6">
        <f>IF(INVESTORS_LIST[[#This Row],[SIP_TOTAL UNITS SOLD]]=0,0,SUMIFS(SIP[Realized Gain],SIP[Investor ID],INVESTORS_LIST[[#This Row],[INVESTOR CODE]],SIP[B/S],"S"))</f>
        <v>0</v>
      </c>
      <c r="S315" s="33">
        <f>INVESTORS_LIST[[#This Row],[LS_TOTAL UNITS BUY]]+INVESTORS_LIST[[#This Row],[SIP_TOTAL UNITS BUY]]</f>
        <v>0</v>
      </c>
      <c r="T315" s="33">
        <f>INVESTORS_LIST[[#This Row],[LS_TOTAL UNITS SOLD]]+INVESTORS_LIST[[#This Row],[SIP_TOTAL UNITS SOLD]]</f>
        <v>0</v>
      </c>
      <c r="U315" s="33">
        <v>0</v>
      </c>
      <c r="V315" s="33">
        <f>SUMIFS(LS[BO UNIT TRANSFER],LS[Investor ID],INVESTORS_LIST[[#This Row],[INVESTOR CODE]],LS[B/S],"B")</f>
        <v>0</v>
      </c>
      <c r="W315" s="33">
        <f>SUMIFS(LS[BO UNIT TRANSFER],LS[Investor ID],INVESTORS_LIST[[#This Row],[INVESTOR CODE]],LS[B/S],"S")</f>
        <v>0</v>
      </c>
      <c r="X315" s="33">
        <f>SUMIFS(SIP[BO UNIT TRANSFER],SIP[Investor ID],INVESTORS_LIST[[#This Row],[INVESTOR CODE]],SIP[B/S],"S")</f>
        <v>0</v>
      </c>
      <c r="Y315" s="33">
        <f>SUMIFS(SIP[BO UNIT TRANSFER],SIP[Investor ID],INVESTORS_LIST[[#This Row],[INVESTOR CODE]],SIP[B/S],"B")</f>
        <v>0</v>
      </c>
      <c r="Z31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15" s="119">
        <f>INVESTORS_LIST[[#This Row],[TOTAL UNITS BUY]]-INVESTORS_LIST[[#This Row],[TOTAL UNITS SOLD]]</f>
        <v>0</v>
      </c>
      <c r="AB315" s="119">
        <f>INVESTORS_LIST[[#This Row],[TOTAL CURRENT UNITS]]-INVESTORS_LIST[[#This Row],[BO UNITS HOLD]]</f>
        <v>0</v>
      </c>
      <c r="AC315" s="119" t="e">
        <f>INDEX([4]!Table_1[BO ID],MATCH(INVESTORS_LIST[[#This Row],[INVESTOR CODE]],[4]!Table_1[INVESTOR CODE],0))</f>
        <v>#REF!</v>
      </c>
      <c r="AD315" s="33">
        <f>INVESTORS_LIST[[#This Row],[LS_TOTAL COST VALUE OF CURRENT UNITS]]+INVESTORS_LIST[[#This Row],[SIP_TOTAL COST VALUE OF CURRENT UNITS]]</f>
        <v>0</v>
      </c>
      <c r="AE315" s="44">
        <f>IF(INVESTORS_LIST[[#This Row],[TOTAL CURRENT UNITS]]=0,0,INVESTORS_LIST[[#This Row],[LS_TOTAL CURRENT UNITS]]/INVESTORS_LIST[[#This Row],[TOTAL CURRENT UNITS]])</f>
        <v>0</v>
      </c>
      <c r="AF315" s="44">
        <f>IF(INVESTORS_LIST[[#This Row],[TOTAL CURRENT UNITS]]=0,0,INVESTORS_LIST[[#This Row],[SIP_TOTAL CURRENT UNITS]]/INVESTORS_LIST[[#This Row],[TOTAL CURRENT UNITS]])</f>
        <v>0</v>
      </c>
      <c r="AG315" s="4" cm="1">
        <f t="array" ref="AG31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15" s="4" cm="1">
        <f t="array" ref="AH3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1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15" s="178">
        <f t="shared" si="4"/>
        <v>12.552</v>
      </c>
      <c r="AK315" s="118">
        <f>IF(INVESTORS_LIST[[#This Row],[TOTAL CURRENT UNITS]]=0,0,INVESTORS_LIST[[#This Row],[TOTAL CURRENT UNITS]]*INVESTORS_LIST[[#This Row],[NAV]])</f>
        <v>0</v>
      </c>
      <c r="AL315" s="4">
        <f>IF(INVESTORS_LIST[[#This Row],[LS_TOTAL CURRENT UNITS]]=0,0,INVESTORS_LIST[[#This Row],[LS_TOTAL CURRENT UNITS]]*INVESTORS_LIST[[#This Row],[NAV]])</f>
        <v>0</v>
      </c>
      <c r="AM315" s="6">
        <f>IF(INVESTORS_LIST[[#This Row],[SIP_TOTAL CURRENT UNITS]]=0,0,INVESTORS_LIST[[#This Row],[SIP_TOTAL CURRENT UNITS]]*INVESTORS_LIST[[#This Row],[NAV]])</f>
        <v>0</v>
      </c>
      <c r="AO315" s="6">
        <f>IF(INVESTORS_LIST[[#This Row],[TOTAL SELLABLE UNITS]]=0,0,INVESTORS_LIST[[#This Row],[TOTAL SELLABLE UNITS]]*INVESTORS_LIST[[#This Row],[NAV]])</f>
        <v>0</v>
      </c>
      <c r="AP315" s="6">
        <f>INVESTORS_LIST[[#This Row],[LS_TOTAL REALIZED GAIN]]+INVESTORS_LIST[[#This Row],[SIP_TOTAL REALIZED GAIN]]</f>
        <v>0</v>
      </c>
      <c r="AQ315" s="6">
        <f>INVESTORS_LIST[[#This Row],[TOTAL MARKET VALUE]]-INVESTORS_LIST[[#This Row],[TOTAL COST VALUE OF CURRENT INVESTMENT]]</f>
        <v>0</v>
      </c>
      <c r="AR315" s="6">
        <f>SUMIFS(DivAndTax[Tax Amount],DivAndTax[Investor ID],INVESTORS_LIST[[#This Row],[INVESTOR CODE]])</f>
        <v>0</v>
      </c>
      <c r="AS315" s="6">
        <f>SUMIFS(DivAndTax[Gross Dividend],DivAndTax[Investor ID],INVESTORS_LIST[[#This Row],[INVESTOR CODE]])</f>
        <v>0</v>
      </c>
      <c r="AT315" s="5">
        <f>IFERROR(INVESTORS_LIST[[#This Row],[TOTAL CURRENT UNITS]]/SUM(INVESTORS_LIST[TOTAL CURRENT UNITS]),0)</f>
        <v>0</v>
      </c>
    </row>
    <row r="316" spans="1:46" hidden="1">
      <c r="A316" t="s">
        <v>558</v>
      </c>
      <c r="B316" t="s">
        <v>559</v>
      </c>
      <c r="C316" t="s">
        <v>539</v>
      </c>
      <c r="D316" s="8" t="s">
        <v>2</v>
      </c>
      <c r="E316" s="2">
        <f>SUMIFS(LS[Unit],LS[Investor ID],INVESTORS_LIST[[#This Row],[INVESTOR CODE]],LS[B/S],"B")</f>
        <v>0</v>
      </c>
      <c r="F316" s="2">
        <f>-SUMIFS(LS[Unit],LS[Investor ID],INVESTORS_LIST[[#This Row],[INVESTOR CODE]],LS[B/S],"S")</f>
        <v>0</v>
      </c>
      <c r="G316" s="2">
        <f>IF(INVESTORS_LIST[[#This Row],[LS_TOTAL UNITS BUY]]=0,0,INVESTORS_LIST[[#This Row],[LS_TOTAL UNITS BUY]]-INVESTORS_LIST[[#This Row],[LS_TOTAL UNITS SOLD]])</f>
        <v>0</v>
      </c>
      <c r="H316" s="4">
        <f>IF(INVESTORS_LIST[[#This Row],[LS_TOTAL UNITS BUY]]=0,0,SUMIFS(LS[Amount],LS[Investor ID],INVESTORS_LIST[[#This Row],[INVESTOR CODE]],LS[B/S],"B"))</f>
        <v>0</v>
      </c>
      <c r="I316" s="6">
        <f>IF(INVESTORS_LIST[[#This Row],[LS_TOTAL UNITS SOLD]]=0,0,SUMIFS(LS[Cost of Units Sold],LS[Investor ID],INVESTORS_LIST[[#This Row],[INVESTOR CODE]],LS[B/S],"S"))</f>
        <v>0</v>
      </c>
      <c r="J316" s="6">
        <f>IF(INVESTORS_LIST[[#This Row],[LS_TOTAL CURRENT UNITS]]=0,0,INVESTORS_LIST[[#This Row],[LS_TOTAL CURRENT UNITS]]*INVESTORS_LIST[[#This Row],[LS_AVERAGE COST]])</f>
        <v>0</v>
      </c>
      <c r="K316" s="4">
        <f>IF(INVESTORS_LIST[[#This Row],[LS_TOTAL UNITS SOLD]]=0,0,SUMIFS(LS[Realized Gain],LS[Investor ID],INVESTORS_LIST[[#This Row],[INVESTOR CODE]],LS[B/S],"S"))</f>
        <v>0</v>
      </c>
      <c r="L316" s="2">
        <f>SUMIFS(SIP[Unit],SIP[Investor ID],INVESTORS_LIST[[#This Row],[INVESTOR CODE]],SIP[B/S],"B")</f>
        <v>0</v>
      </c>
      <c r="M316" s="2">
        <f>-SUMIFS(SIP[Unit],SIP[Investor ID],INVESTORS_LIST[[#This Row],[INVESTOR CODE]],SIP[B/S],"S")</f>
        <v>0</v>
      </c>
      <c r="N316" s="33">
        <f>IF(INVESTORS_LIST[[#This Row],[SIP_TOTAL UNITS BUY]]=0,0,INVESTORS_LIST[[#This Row],[SIP_TOTAL UNITS BUY]]-INVESTORS_LIST[[#This Row],[SIP_TOTAL UNITS SOLD]])</f>
        <v>0</v>
      </c>
      <c r="O316" s="4">
        <f>IF(INVESTORS_LIST[[#This Row],[SIP_TOTAL UNITS BUY]]=0,0,SUMIFS(SIP[Amount],SIP[Investor ID],INVESTORS_LIST[[#This Row],[INVESTOR CODE]],SIP[B/S],"B"))</f>
        <v>0</v>
      </c>
      <c r="P316" s="4">
        <f>IF(INVESTORS_LIST[[#This Row],[SIP_TOTAL UNITS SOLD]]=0,0,SUMIFS(SIP[Cost of Units Sold],SIP[Investor ID],INVESTORS_LIST[[#This Row],[INVESTOR CODE]],SIP[B/S],"S"))</f>
        <v>0</v>
      </c>
      <c r="Q316" s="6">
        <f>IF(INVESTORS_LIST[[#This Row],[SIP_TOTAL CURRENT UNITS]]=0,0,INVESTORS_LIST[[#This Row],[SIP_TOTAL CURRENT UNITS]]*INVESTORS_LIST[[#This Row],[SIP_AVERAGE COST]])</f>
        <v>0</v>
      </c>
      <c r="R316" s="6">
        <f>IF(INVESTORS_LIST[[#This Row],[SIP_TOTAL UNITS SOLD]]=0,0,SUMIFS(SIP[Realized Gain],SIP[Investor ID],INVESTORS_LIST[[#This Row],[INVESTOR CODE]],SIP[B/S],"S"))</f>
        <v>0</v>
      </c>
      <c r="S316" s="33">
        <f>INVESTORS_LIST[[#This Row],[LS_TOTAL UNITS BUY]]+INVESTORS_LIST[[#This Row],[SIP_TOTAL UNITS BUY]]</f>
        <v>0</v>
      </c>
      <c r="T316" s="33">
        <f>INVESTORS_LIST[[#This Row],[LS_TOTAL UNITS SOLD]]+INVESTORS_LIST[[#This Row],[SIP_TOTAL UNITS SOLD]]</f>
        <v>0</v>
      </c>
      <c r="U316" s="33">
        <v>0</v>
      </c>
      <c r="V316" s="33">
        <f>SUMIFS(LS[BO UNIT TRANSFER],LS[Investor ID],INVESTORS_LIST[[#This Row],[INVESTOR CODE]],LS[B/S],"B")</f>
        <v>0</v>
      </c>
      <c r="W316" s="33">
        <f>SUMIFS(LS[BO UNIT TRANSFER],LS[Investor ID],INVESTORS_LIST[[#This Row],[INVESTOR CODE]],LS[B/S],"S")</f>
        <v>0</v>
      </c>
      <c r="X316" s="33">
        <f>SUMIFS(SIP[BO UNIT TRANSFER],SIP[Investor ID],INVESTORS_LIST[[#This Row],[INVESTOR CODE]],SIP[B/S],"S")</f>
        <v>0</v>
      </c>
      <c r="Y316" s="33">
        <f>SUMIFS(SIP[BO UNIT TRANSFER],SIP[Investor ID],INVESTORS_LIST[[#This Row],[INVESTOR CODE]],SIP[B/S],"B")</f>
        <v>0</v>
      </c>
      <c r="Z31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16" s="119">
        <f>INVESTORS_LIST[[#This Row],[TOTAL UNITS BUY]]-INVESTORS_LIST[[#This Row],[TOTAL UNITS SOLD]]</f>
        <v>0</v>
      </c>
      <c r="AB316" s="119">
        <f>INVESTORS_LIST[[#This Row],[TOTAL CURRENT UNITS]]-INVESTORS_LIST[[#This Row],[BO UNITS HOLD]]</f>
        <v>0</v>
      </c>
      <c r="AC316" s="119" t="e">
        <f>INDEX([4]!Table_1[BO ID],MATCH(INVESTORS_LIST[[#This Row],[INVESTOR CODE]],[4]!Table_1[INVESTOR CODE],0))</f>
        <v>#REF!</v>
      </c>
      <c r="AD316" s="33">
        <f>INVESTORS_LIST[[#This Row],[LS_TOTAL COST VALUE OF CURRENT UNITS]]+INVESTORS_LIST[[#This Row],[SIP_TOTAL COST VALUE OF CURRENT UNITS]]</f>
        <v>0</v>
      </c>
      <c r="AE316" s="44">
        <f>IF(INVESTORS_LIST[[#This Row],[TOTAL CURRENT UNITS]]=0,0,INVESTORS_LIST[[#This Row],[LS_TOTAL CURRENT UNITS]]/INVESTORS_LIST[[#This Row],[TOTAL CURRENT UNITS]])</f>
        <v>0</v>
      </c>
      <c r="AF316" s="44">
        <f>IF(INVESTORS_LIST[[#This Row],[TOTAL CURRENT UNITS]]=0,0,INVESTORS_LIST[[#This Row],[SIP_TOTAL CURRENT UNITS]]/INVESTORS_LIST[[#This Row],[TOTAL CURRENT UNITS]])</f>
        <v>0</v>
      </c>
      <c r="AG316" s="4" cm="1">
        <f t="array" ref="AG3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16" s="4" cm="1">
        <f t="array" ref="AH3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1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16" s="178">
        <f t="shared" si="4"/>
        <v>12.552</v>
      </c>
      <c r="AK316" s="118">
        <f>IF(INVESTORS_LIST[[#This Row],[TOTAL CURRENT UNITS]]=0,0,INVESTORS_LIST[[#This Row],[TOTAL CURRENT UNITS]]*INVESTORS_LIST[[#This Row],[NAV]])</f>
        <v>0</v>
      </c>
      <c r="AL316" s="4">
        <f>IF(INVESTORS_LIST[[#This Row],[LS_TOTAL CURRENT UNITS]]=0,0,INVESTORS_LIST[[#This Row],[LS_TOTAL CURRENT UNITS]]*INVESTORS_LIST[[#This Row],[NAV]])</f>
        <v>0</v>
      </c>
      <c r="AM316" s="6">
        <f>IF(INVESTORS_LIST[[#This Row],[SIP_TOTAL CURRENT UNITS]]=0,0,INVESTORS_LIST[[#This Row],[SIP_TOTAL CURRENT UNITS]]*INVESTORS_LIST[[#This Row],[NAV]])</f>
        <v>0</v>
      </c>
      <c r="AO316" s="6">
        <f>IF(INVESTORS_LIST[[#This Row],[TOTAL SELLABLE UNITS]]=0,0,INVESTORS_LIST[[#This Row],[TOTAL SELLABLE UNITS]]*INVESTORS_LIST[[#This Row],[NAV]])</f>
        <v>0</v>
      </c>
      <c r="AP316" s="6">
        <f>INVESTORS_LIST[[#This Row],[LS_TOTAL REALIZED GAIN]]+INVESTORS_LIST[[#This Row],[SIP_TOTAL REALIZED GAIN]]</f>
        <v>0</v>
      </c>
      <c r="AQ316" s="6">
        <f>INVESTORS_LIST[[#This Row],[TOTAL MARKET VALUE]]-INVESTORS_LIST[[#This Row],[TOTAL COST VALUE OF CURRENT INVESTMENT]]</f>
        <v>0</v>
      </c>
      <c r="AR316" s="6">
        <f>SUMIFS(DivAndTax[Tax Amount],DivAndTax[Investor ID],INVESTORS_LIST[[#This Row],[INVESTOR CODE]])</f>
        <v>0</v>
      </c>
      <c r="AS316" s="6">
        <f>SUMIFS(DivAndTax[Gross Dividend],DivAndTax[Investor ID],INVESTORS_LIST[[#This Row],[INVESTOR CODE]])</f>
        <v>0</v>
      </c>
      <c r="AT316" s="5">
        <f>IFERROR(INVESTORS_LIST[[#This Row],[TOTAL CURRENT UNITS]]/SUM(INVESTORS_LIST[TOTAL CURRENT UNITS]),0)</f>
        <v>0</v>
      </c>
    </row>
    <row r="317" spans="1:46" hidden="1">
      <c r="A317" t="s">
        <v>560</v>
      </c>
      <c r="B317" t="s">
        <v>561</v>
      </c>
      <c r="C317" t="s">
        <v>536</v>
      </c>
      <c r="D317" s="8" t="s">
        <v>2</v>
      </c>
      <c r="E317" s="2">
        <f>SUMIFS(LS[Unit],LS[Investor ID],INVESTORS_LIST[[#This Row],[INVESTOR CODE]],LS[B/S],"B")</f>
        <v>10000</v>
      </c>
      <c r="F317" s="2">
        <f>-SUMIFS(LS[Unit],LS[Investor ID],INVESTORS_LIST[[#This Row],[INVESTOR CODE]],LS[B/S],"S")</f>
        <v>10000</v>
      </c>
      <c r="G317" s="2">
        <f>IF(INVESTORS_LIST[[#This Row],[LS_TOTAL UNITS BUY]]=0,0,INVESTORS_LIST[[#This Row],[LS_TOTAL UNITS BUY]]-INVESTORS_LIST[[#This Row],[LS_TOTAL UNITS SOLD]])</f>
        <v>0</v>
      </c>
      <c r="H317" s="4">
        <f>IF(INVESTORS_LIST[[#This Row],[LS_TOTAL UNITS BUY]]=0,0,SUMIFS(LS[Amount],LS[Investor ID],INVESTORS_LIST[[#This Row],[INVESTOR CODE]],LS[B/S],"B"))</f>
        <v>100000</v>
      </c>
      <c r="I317" s="6">
        <f>IF(INVESTORS_LIST[[#This Row],[LS_TOTAL UNITS SOLD]]=0,0,SUMIFS(LS[Cost of Units Sold],LS[Investor ID],INVESTORS_LIST[[#This Row],[INVESTOR CODE]],LS[B/S],"S"))</f>
        <v>100000</v>
      </c>
      <c r="J317" s="6">
        <f>IF(INVESTORS_LIST[[#This Row],[LS_TOTAL CURRENT UNITS]]=0,0,INVESTORS_LIST[[#This Row],[LS_TOTAL CURRENT UNITS]]*INVESTORS_LIST[[#This Row],[LS_AVERAGE COST]])</f>
        <v>0</v>
      </c>
      <c r="K317" s="4">
        <f>IF(INVESTORS_LIST[[#This Row],[LS_TOTAL UNITS SOLD]]=0,0,SUMIFS(LS[Realized Gain],LS[Investor ID],INVESTORS_LIST[[#This Row],[INVESTOR CODE]],LS[B/S],"S"))</f>
        <v>399.99999999999147</v>
      </c>
      <c r="L317" s="2">
        <f>SUMIFS(SIP[Unit],SIP[Investor ID],INVESTORS_LIST[[#This Row],[INVESTOR CODE]],SIP[B/S],"B")</f>
        <v>0</v>
      </c>
      <c r="M317" s="2">
        <f>-SUMIFS(SIP[Unit],SIP[Investor ID],INVESTORS_LIST[[#This Row],[INVESTOR CODE]],SIP[B/S],"S")</f>
        <v>0</v>
      </c>
      <c r="N317" s="33">
        <f>IF(INVESTORS_LIST[[#This Row],[SIP_TOTAL UNITS BUY]]=0,0,INVESTORS_LIST[[#This Row],[SIP_TOTAL UNITS BUY]]-INVESTORS_LIST[[#This Row],[SIP_TOTAL UNITS SOLD]])</f>
        <v>0</v>
      </c>
      <c r="O317" s="4">
        <f>IF(INVESTORS_LIST[[#This Row],[SIP_TOTAL UNITS BUY]]=0,0,SUMIFS(SIP[Amount],SIP[Investor ID],INVESTORS_LIST[[#This Row],[INVESTOR CODE]],SIP[B/S],"B"))</f>
        <v>0</v>
      </c>
      <c r="P317" s="4">
        <f>IF(INVESTORS_LIST[[#This Row],[SIP_TOTAL UNITS SOLD]]=0,0,SUMIFS(SIP[Cost of Units Sold],SIP[Investor ID],INVESTORS_LIST[[#This Row],[INVESTOR CODE]],SIP[B/S],"S"))</f>
        <v>0</v>
      </c>
      <c r="Q317" s="6">
        <f>IF(INVESTORS_LIST[[#This Row],[SIP_TOTAL CURRENT UNITS]]=0,0,INVESTORS_LIST[[#This Row],[SIP_TOTAL CURRENT UNITS]]*INVESTORS_LIST[[#This Row],[SIP_AVERAGE COST]])</f>
        <v>0</v>
      </c>
      <c r="R317" s="6">
        <f>IF(INVESTORS_LIST[[#This Row],[SIP_TOTAL UNITS SOLD]]=0,0,SUMIFS(SIP[Realized Gain],SIP[Investor ID],INVESTORS_LIST[[#This Row],[INVESTOR CODE]],SIP[B/S],"S"))</f>
        <v>0</v>
      </c>
      <c r="S317" s="33">
        <f>INVESTORS_LIST[[#This Row],[LS_TOTAL UNITS BUY]]+INVESTORS_LIST[[#This Row],[SIP_TOTAL UNITS BUY]]</f>
        <v>10000</v>
      </c>
      <c r="T317" s="33">
        <f>INVESTORS_LIST[[#This Row],[LS_TOTAL UNITS SOLD]]+INVESTORS_LIST[[#This Row],[SIP_TOTAL UNITS SOLD]]</f>
        <v>10000</v>
      </c>
      <c r="U317" s="33">
        <v>0</v>
      </c>
      <c r="V317" s="33">
        <f>SUMIFS(LS[BO UNIT TRANSFER],LS[Investor ID],INVESTORS_LIST[[#This Row],[INVESTOR CODE]],LS[B/S],"B")</f>
        <v>0</v>
      </c>
      <c r="W317" s="33">
        <f>SUMIFS(LS[BO UNIT TRANSFER],LS[Investor ID],INVESTORS_LIST[[#This Row],[INVESTOR CODE]],LS[B/S],"S")</f>
        <v>0</v>
      </c>
      <c r="X317" s="33">
        <f>SUMIFS(SIP[BO UNIT TRANSFER],SIP[Investor ID],INVESTORS_LIST[[#This Row],[INVESTOR CODE]],SIP[B/S],"S")</f>
        <v>0</v>
      </c>
      <c r="Y317" s="33">
        <f>SUMIFS(SIP[BO UNIT TRANSFER],SIP[Investor ID],INVESTORS_LIST[[#This Row],[INVESTOR CODE]],SIP[B/S],"B")</f>
        <v>0</v>
      </c>
      <c r="Z31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17" s="119">
        <f>INVESTORS_LIST[[#This Row],[TOTAL UNITS BUY]]-INVESTORS_LIST[[#This Row],[TOTAL UNITS SOLD]]</f>
        <v>0</v>
      </c>
      <c r="AB317" s="119">
        <f>INVESTORS_LIST[[#This Row],[TOTAL CURRENT UNITS]]-INVESTORS_LIST[[#This Row],[BO UNITS HOLD]]</f>
        <v>0</v>
      </c>
      <c r="AC317" s="119" t="e">
        <f>INDEX([4]!Table_1[BO ID],MATCH(INVESTORS_LIST[[#This Row],[INVESTOR CODE]],[4]!Table_1[INVESTOR CODE],0))</f>
        <v>#REF!</v>
      </c>
      <c r="AD317" s="33">
        <f>INVESTORS_LIST[[#This Row],[LS_TOTAL COST VALUE OF CURRENT UNITS]]+INVESTORS_LIST[[#This Row],[SIP_TOTAL COST VALUE OF CURRENT UNITS]]</f>
        <v>0</v>
      </c>
      <c r="AE317" s="44">
        <f>IF(INVESTORS_LIST[[#This Row],[TOTAL CURRENT UNITS]]=0,0,INVESTORS_LIST[[#This Row],[LS_TOTAL CURRENT UNITS]]/INVESTORS_LIST[[#This Row],[TOTAL CURRENT UNITS]])</f>
        <v>0</v>
      </c>
      <c r="AF317" s="44">
        <f>IF(INVESTORS_LIST[[#This Row],[TOTAL CURRENT UNITS]]=0,0,INVESTORS_LIST[[#This Row],[SIP_TOTAL CURRENT UNITS]]/INVESTORS_LIST[[#This Row],[TOTAL CURRENT UNITS]])</f>
        <v>0</v>
      </c>
      <c r="AG317" s="4" cm="1">
        <f t="array" ref="AG3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17" s="4" cm="1">
        <f t="array" ref="AH3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1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17" s="178">
        <f t="shared" si="4"/>
        <v>12.552</v>
      </c>
      <c r="AK317" s="118">
        <f>IF(INVESTORS_LIST[[#This Row],[TOTAL CURRENT UNITS]]=0,0,INVESTORS_LIST[[#This Row],[TOTAL CURRENT UNITS]]*INVESTORS_LIST[[#This Row],[NAV]])</f>
        <v>0</v>
      </c>
      <c r="AL317" s="4">
        <f>IF(INVESTORS_LIST[[#This Row],[LS_TOTAL CURRENT UNITS]]=0,0,INVESTORS_LIST[[#This Row],[LS_TOTAL CURRENT UNITS]]*INVESTORS_LIST[[#This Row],[NAV]])</f>
        <v>0</v>
      </c>
      <c r="AM317" s="6">
        <f>IF(INVESTORS_LIST[[#This Row],[SIP_TOTAL CURRENT UNITS]]=0,0,INVESTORS_LIST[[#This Row],[SIP_TOTAL CURRENT UNITS]]*INVESTORS_LIST[[#This Row],[NAV]])</f>
        <v>0</v>
      </c>
      <c r="AO317" s="6">
        <f>IF(INVESTORS_LIST[[#This Row],[TOTAL SELLABLE UNITS]]=0,0,INVESTORS_LIST[[#This Row],[TOTAL SELLABLE UNITS]]*INVESTORS_LIST[[#This Row],[NAV]])</f>
        <v>0</v>
      </c>
      <c r="AP317" s="6">
        <f>INVESTORS_LIST[[#This Row],[LS_TOTAL REALIZED GAIN]]+INVESTORS_LIST[[#This Row],[SIP_TOTAL REALIZED GAIN]]</f>
        <v>399.99999999999147</v>
      </c>
      <c r="AQ317" s="6">
        <f>INVESTORS_LIST[[#This Row],[TOTAL MARKET VALUE]]-INVESTORS_LIST[[#This Row],[TOTAL COST VALUE OF CURRENT INVESTMENT]]</f>
        <v>0</v>
      </c>
      <c r="AR317" s="6">
        <f>SUMIFS(DivAndTax[Tax Amount],DivAndTax[Investor ID],INVESTORS_LIST[[#This Row],[INVESTOR CODE]])</f>
        <v>0</v>
      </c>
      <c r="AS317" s="6">
        <f>SUMIFS(DivAndTax[Gross Dividend],DivAndTax[Investor ID],INVESTORS_LIST[[#This Row],[INVESTOR CODE]])</f>
        <v>0</v>
      </c>
      <c r="AT317" s="5">
        <f>IFERROR(INVESTORS_LIST[[#This Row],[TOTAL CURRENT UNITS]]/SUM(INVESTORS_LIST[TOTAL CURRENT UNITS]),0)</f>
        <v>0</v>
      </c>
    </row>
    <row r="318" spans="1:46" hidden="1">
      <c r="A318" t="s">
        <v>563</v>
      </c>
      <c r="B318" t="s">
        <v>564</v>
      </c>
      <c r="C318" t="s">
        <v>539</v>
      </c>
      <c r="D318" s="8" t="s">
        <v>2</v>
      </c>
      <c r="E318" s="2">
        <f>SUMIFS(LS[Unit],LS[Investor ID],INVESTORS_LIST[[#This Row],[INVESTOR CODE]],LS[B/S],"B")</f>
        <v>5000</v>
      </c>
      <c r="F318" s="2">
        <f>-SUMIFS(LS[Unit],LS[Investor ID],INVESTORS_LIST[[#This Row],[INVESTOR CODE]],LS[B/S],"S")</f>
        <v>5000</v>
      </c>
      <c r="G318" s="2">
        <f>IF(INVESTORS_LIST[[#This Row],[LS_TOTAL UNITS BUY]]=0,0,INVESTORS_LIST[[#This Row],[LS_TOTAL UNITS BUY]]-INVESTORS_LIST[[#This Row],[LS_TOTAL UNITS SOLD]])</f>
        <v>0</v>
      </c>
      <c r="H318" s="4">
        <f>IF(INVESTORS_LIST[[#This Row],[LS_TOTAL UNITS BUY]]=0,0,SUMIFS(LS[Amount],LS[Investor ID],INVESTORS_LIST[[#This Row],[INVESTOR CODE]],LS[B/S],"B"))</f>
        <v>50000</v>
      </c>
      <c r="I318" s="6">
        <f>IF(INVESTORS_LIST[[#This Row],[LS_TOTAL UNITS SOLD]]=0,0,SUMIFS(LS[Cost of Units Sold],LS[Investor ID],INVESTORS_LIST[[#This Row],[INVESTOR CODE]],LS[B/S],"S"))</f>
        <v>50000</v>
      </c>
      <c r="J318" s="6">
        <f>IF(INVESTORS_LIST[[#This Row],[LS_TOTAL CURRENT UNITS]]=0,0,INVESTORS_LIST[[#This Row],[LS_TOTAL CURRENT UNITS]]*INVESTORS_LIST[[#This Row],[LS_AVERAGE COST]])</f>
        <v>0</v>
      </c>
      <c r="K318" s="4">
        <f>IF(INVESTORS_LIST[[#This Row],[LS_TOTAL UNITS SOLD]]=0,0,SUMIFS(LS[Realized Gain],LS[Investor ID],INVESTORS_LIST[[#This Row],[INVESTOR CODE]],LS[B/S],"S"))</f>
        <v>744.99999999999568</v>
      </c>
      <c r="L318" s="2">
        <f>SUMIFS(SIP[Unit],SIP[Investor ID],INVESTORS_LIST[[#This Row],[INVESTOR CODE]],SIP[B/S],"B")</f>
        <v>0</v>
      </c>
      <c r="M318" s="2">
        <f>-SUMIFS(SIP[Unit],SIP[Investor ID],INVESTORS_LIST[[#This Row],[INVESTOR CODE]],SIP[B/S],"S")</f>
        <v>0</v>
      </c>
      <c r="N318" s="33">
        <f>IF(INVESTORS_LIST[[#This Row],[SIP_TOTAL UNITS BUY]]=0,0,INVESTORS_LIST[[#This Row],[SIP_TOTAL UNITS BUY]]-INVESTORS_LIST[[#This Row],[SIP_TOTAL UNITS SOLD]])</f>
        <v>0</v>
      </c>
      <c r="O318" s="4">
        <f>IF(INVESTORS_LIST[[#This Row],[SIP_TOTAL UNITS BUY]]=0,0,SUMIFS(SIP[Amount],SIP[Investor ID],INVESTORS_LIST[[#This Row],[INVESTOR CODE]],SIP[B/S],"B"))</f>
        <v>0</v>
      </c>
      <c r="P318" s="4">
        <f>IF(INVESTORS_LIST[[#This Row],[SIP_TOTAL UNITS SOLD]]=0,0,SUMIFS(SIP[Cost of Units Sold],SIP[Investor ID],INVESTORS_LIST[[#This Row],[INVESTOR CODE]],SIP[B/S],"S"))</f>
        <v>0</v>
      </c>
      <c r="Q318" s="6">
        <f>IF(INVESTORS_LIST[[#This Row],[SIP_TOTAL CURRENT UNITS]]=0,0,INVESTORS_LIST[[#This Row],[SIP_TOTAL CURRENT UNITS]]*INVESTORS_LIST[[#This Row],[SIP_AVERAGE COST]])</f>
        <v>0</v>
      </c>
      <c r="R318" s="6">
        <f>IF(INVESTORS_LIST[[#This Row],[SIP_TOTAL UNITS SOLD]]=0,0,SUMIFS(SIP[Realized Gain],SIP[Investor ID],INVESTORS_LIST[[#This Row],[INVESTOR CODE]],SIP[B/S],"S"))</f>
        <v>0</v>
      </c>
      <c r="S318" s="33">
        <f>INVESTORS_LIST[[#This Row],[LS_TOTAL UNITS BUY]]+INVESTORS_LIST[[#This Row],[SIP_TOTAL UNITS BUY]]</f>
        <v>5000</v>
      </c>
      <c r="T318" s="33">
        <f>INVESTORS_LIST[[#This Row],[LS_TOTAL UNITS SOLD]]+INVESTORS_LIST[[#This Row],[SIP_TOTAL UNITS SOLD]]</f>
        <v>5000</v>
      </c>
      <c r="U318" s="33">
        <v>0</v>
      </c>
      <c r="V318" s="33">
        <f>SUMIFS(LS[BO UNIT TRANSFER],LS[Investor ID],INVESTORS_LIST[[#This Row],[INVESTOR CODE]],LS[B/S],"B")</f>
        <v>0</v>
      </c>
      <c r="W318" s="33">
        <f>SUMIFS(LS[BO UNIT TRANSFER],LS[Investor ID],INVESTORS_LIST[[#This Row],[INVESTOR CODE]],LS[B/S],"S")</f>
        <v>0</v>
      </c>
      <c r="X318" s="33">
        <f>SUMIFS(SIP[BO UNIT TRANSFER],SIP[Investor ID],INVESTORS_LIST[[#This Row],[INVESTOR CODE]],SIP[B/S],"S")</f>
        <v>0</v>
      </c>
      <c r="Y318" s="33">
        <f>SUMIFS(SIP[BO UNIT TRANSFER],SIP[Investor ID],INVESTORS_LIST[[#This Row],[INVESTOR CODE]],SIP[B/S],"B")</f>
        <v>0</v>
      </c>
      <c r="Z31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18" s="119">
        <f>INVESTORS_LIST[[#This Row],[TOTAL UNITS BUY]]-INVESTORS_LIST[[#This Row],[TOTAL UNITS SOLD]]</f>
        <v>0</v>
      </c>
      <c r="AB318" s="119">
        <f>INVESTORS_LIST[[#This Row],[TOTAL CURRENT UNITS]]-INVESTORS_LIST[[#This Row],[BO UNITS HOLD]]</f>
        <v>0</v>
      </c>
      <c r="AC318" s="119" t="e">
        <f>INDEX([4]!Table_1[BO ID],MATCH(INVESTORS_LIST[[#This Row],[INVESTOR CODE]],[4]!Table_1[INVESTOR CODE],0))</f>
        <v>#REF!</v>
      </c>
      <c r="AD318" s="33">
        <f>INVESTORS_LIST[[#This Row],[LS_TOTAL COST VALUE OF CURRENT UNITS]]+INVESTORS_LIST[[#This Row],[SIP_TOTAL COST VALUE OF CURRENT UNITS]]</f>
        <v>0</v>
      </c>
      <c r="AE318" s="44">
        <f>IF(INVESTORS_LIST[[#This Row],[TOTAL CURRENT UNITS]]=0,0,INVESTORS_LIST[[#This Row],[LS_TOTAL CURRENT UNITS]]/INVESTORS_LIST[[#This Row],[TOTAL CURRENT UNITS]])</f>
        <v>0</v>
      </c>
      <c r="AF318" s="44">
        <f>IF(INVESTORS_LIST[[#This Row],[TOTAL CURRENT UNITS]]=0,0,INVESTORS_LIST[[#This Row],[SIP_TOTAL CURRENT UNITS]]/INVESTORS_LIST[[#This Row],[TOTAL CURRENT UNITS]])</f>
        <v>0</v>
      </c>
      <c r="AG318" s="4" cm="1">
        <f t="array" ref="AG3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18" s="4" cm="1">
        <f t="array" ref="AH3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1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18" s="178">
        <f t="shared" si="4"/>
        <v>12.552</v>
      </c>
      <c r="AK318" s="118">
        <f>IF(INVESTORS_LIST[[#This Row],[TOTAL CURRENT UNITS]]=0,0,INVESTORS_LIST[[#This Row],[TOTAL CURRENT UNITS]]*INVESTORS_LIST[[#This Row],[NAV]])</f>
        <v>0</v>
      </c>
      <c r="AL318" s="4">
        <f>IF(INVESTORS_LIST[[#This Row],[LS_TOTAL CURRENT UNITS]]=0,0,INVESTORS_LIST[[#This Row],[LS_TOTAL CURRENT UNITS]]*INVESTORS_LIST[[#This Row],[NAV]])</f>
        <v>0</v>
      </c>
      <c r="AM318" s="6">
        <f>IF(INVESTORS_LIST[[#This Row],[SIP_TOTAL CURRENT UNITS]]=0,0,INVESTORS_LIST[[#This Row],[SIP_TOTAL CURRENT UNITS]]*INVESTORS_LIST[[#This Row],[NAV]])</f>
        <v>0</v>
      </c>
      <c r="AO318" s="6">
        <f>IF(INVESTORS_LIST[[#This Row],[TOTAL SELLABLE UNITS]]=0,0,INVESTORS_LIST[[#This Row],[TOTAL SELLABLE UNITS]]*INVESTORS_LIST[[#This Row],[NAV]])</f>
        <v>0</v>
      </c>
      <c r="AP318" s="6">
        <f>INVESTORS_LIST[[#This Row],[LS_TOTAL REALIZED GAIN]]+INVESTORS_LIST[[#This Row],[SIP_TOTAL REALIZED GAIN]]</f>
        <v>744.99999999999568</v>
      </c>
      <c r="AQ318" s="6">
        <f>INVESTORS_LIST[[#This Row],[TOTAL MARKET VALUE]]-INVESTORS_LIST[[#This Row],[TOTAL COST VALUE OF CURRENT INVESTMENT]]</f>
        <v>0</v>
      </c>
      <c r="AR318" s="6">
        <f>SUMIFS(DivAndTax[Tax Amount],DivAndTax[Investor ID],INVESTORS_LIST[[#This Row],[INVESTOR CODE]])</f>
        <v>0</v>
      </c>
      <c r="AS318" s="6">
        <f>SUMIFS(DivAndTax[Gross Dividend],DivAndTax[Investor ID],INVESTORS_LIST[[#This Row],[INVESTOR CODE]])</f>
        <v>0</v>
      </c>
      <c r="AT318" s="5">
        <f>IFERROR(INVESTORS_LIST[[#This Row],[TOTAL CURRENT UNITS]]/SUM(INVESTORS_LIST[TOTAL CURRENT UNITS]),0)</f>
        <v>0</v>
      </c>
    </row>
    <row r="319" spans="1:46" hidden="1">
      <c r="A319" t="s">
        <v>565</v>
      </c>
      <c r="B319" t="s">
        <v>566</v>
      </c>
      <c r="C319" t="s">
        <v>536</v>
      </c>
      <c r="D319" s="8" t="s">
        <v>2</v>
      </c>
      <c r="E319" s="2">
        <f>SUMIFS(LS[Unit],LS[Investor ID],INVESTORS_LIST[[#This Row],[INVESTOR CODE]],LS[B/S],"B")</f>
        <v>20000</v>
      </c>
      <c r="F319" s="2">
        <f>-SUMIFS(LS[Unit],LS[Investor ID],INVESTORS_LIST[[#This Row],[INVESTOR CODE]],LS[B/S],"S")</f>
        <v>20000</v>
      </c>
      <c r="G319" s="2">
        <f>IF(INVESTORS_LIST[[#This Row],[LS_TOTAL UNITS BUY]]=0,0,INVESTORS_LIST[[#This Row],[LS_TOTAL UNITS BUY]]-INVESTORS_LIST[[#This Row],[LS_TOTAL UNITS SOLD]])</f>
        <v>0</v>
      </c>
      <c r="H319" s="4">
        <f>IF(INVESTORS_LIST[[#This Row],[LS_TOTAL UNITS BUY]]=0,0,SUMIFS(LS[Amount],LS[Investor ID],INVESTORS_LIST[[#This Row],[INVESTOR CODE]],LS[B/S],"B"))</f>
        <v>200000</v>
      </c>
      <c r="I319" s="6">
        <f>IF(INVESTORS_LIST[[#This Row],[LS_TOTAL UNITS SOLD]]=0,0,SUMIFS(LS[Cost of Units Sold],LS[Investor ID],INVESTORS_LIST[[#This Row],[INVESTOR CODE]],LS[B/S],"S"))</f>
        <v>200000</v>
      </c>
      <c r="J319" s="6">
        <f>IF(INVESTORS_LIST[[#This Row],[LS_TOTAL CURRENT UNITS]]=0,0,INVESTORS_LIST[[#This Row],[LS_TOTAL CURRENT UNITS]]*INVESTORS_LIST[[#This Row],[LS_AVERAGE COST]])</f>
        <v>0</v>
      </c>
      <c r="K319" s="4">
        <f>IF(INVESTORS_LIST[[#This Row],[LS_TOTAL UNITS SOLD]]=0,0,SUMIFS(LS[Realized Gain],LS[Investor ID],INVESTORS_LIST[[#This Row],[INVESTOR CODE]],LS[B/S],"S"))</f>
        <v>5339.9999999999891</v>
      </c>
      <c r="L319" s="2">
        <f>SUMIFS(SIP[Unit],SIP[Investor ID],INVESTORS_LIST[[#This Row],[INVESTOR CODE]],SIP[B/S],"B")</f>
        <v>0</v>
      </c>
      <c r="M319" s="2">
        <f>-SUMIFS(SIP[Unit],SIP[Investor ID],INVESTORS_LIST[[#This Row],[INVESTOR CODE]],SIP[B/S],"S")</f>
        <v>0</v>
      </c>
      <c r="N319" s="33">
        <f>IF(INVESTORS_LIST[[#This Row],[SIP_TOTAL UNITS BUY]]=0,0,INVESTORS_LIST[[#This Row],[SIP_TOTAL UNITS BUY]]-INVESTORS_LIST[[#This Row],[SIP_TOTAL UNITS SOLD]])</f>
        <v>0</v>
      </c>
      <c r="O319" s="4">
        <f>IF(INVESTORS_LIST[[#This Row],[SIP_TOTAL UNITS BUY]]=0,0,SUMIFS(SIP[Amount],SIP[Investor ID],INVESTORS_LIST[[#This Row],[INVESTOR CODE]],SIP[B/S],"B"))</f>
        <v>0</v>
      </c>
      <c r="P319" s="4">
        <f>IF(INVESTORS_LIST[[#This Row],[SIP_TOTAL UNITS SOLD]]=0,0,SUMIFS(SIP[Cost of Units Sold],SIP[Investor ID],INVESTORS_LIST[[#This Row],[INVESTOR CODE]],SIP[B/S],"S"))</f>
        <v>0</v>
      </c>
      <c r="Q319" s="6">
        <f>IF(INVESTORS_LIST[[#This Row],[SIP_TOTAL CURRENT UNITS]]=0,0,INVESTORS_LIST[[#This Row],[SIP_TOTAL CURRENT UNITS]]*INVESTORS_LIST[[#This Row],[SIP_AVERAGE COST]])</f>
        <v>0</v>
      </c>
      <c r="R319" s="6">
        <f>IF(INVESTORS_LIST[[#This Row],[SIP_TOTAL UNITS SOLD]]=0,0,SUMIFS(SIP[Realized Gain],SIP[Investor ID],INVESTORS_LIST[[#This Row],[INVESTOR CODE]],SIP[B/S],"S"))</f>
        <v>0</v>
      </c>
      <c r="S319" s="33">
        <f>INVESTORS_LIST[[#This Row],[LS_TOTAL UNITS BUY]]+INVESTORS_LIST[[#This Row],[SIP_TOTAL UNITS BUY]]</f>
        <v>20000</v>
      </c>
      <c r="T319" s="33">
        <f>INVESTORS_LIST[[#This Row],[LS_TOTAL UNITS SOLD]]+INVESTORS_LIST[[#This Row],[SIP_TOTAL UNITS SOLD]]</f>
        <v>20000</v>
      </c>
      <c r="U319" s="33">
        <v>0</v>
      </c>
      <c r="V319" s="33">
        <f>SUMIFS(LS[BO UNIT TRANSFER],LS[Investor ID],INVESTORS_LIST[[#This Row],[INVESTOR CODE]],LS[B/S],"B")</f>
        <v>0</v>
      </c>
      <c r="W319" s="33">
        <f>SUMIFS(LS[BO UNIT TRANSFER],LS[Investor ID],INVESTORS_LIST[[#This Row],[INVESTOR CODE]],LS[B/S],"S")</f>
        <v>0</v>
      </c>
      <c r="X319" s="33">
        <f>SUMIFS(SIP[BO UNIT TRANSFER],SIP[Investor ID],INVESTORS_LIST[[#This Row],[INVESTOR CODE]],SIP[B/S],"S")</f>
        <v>0</v>
      </c>
      <c r="Y319" s="33">
        <f>SUMIFS(SIP[BO UNIT TRANSFER],SIP[Investor ID],INVESTORS_LIST[[#This Row],[INVESTOR CODE]],SIP[B/S],"B")</f>
        <v>0</v>
      </c>
      <c r="Z31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19" s="119">
        <f>INVESTORS_LIST[[#This Row],[TOTAL UNITS BUY]]-INVESTORS_LIST[[#This Row],[TOTAL UNITS SOLD]]</f>
        <v>0</v>
      </c>
      <c r="AB319" s="119">
        <f>INVESTORS_LIST[[#This Row],[TOTAL CURRENT UNITS]]-INVESTORS_LIST[[#This Row],[BO UNITS HOLD]]</f>
        <v>0</v>
      </c>
      <c r="AC319" s="119" t="e">
        <f>INDEX([4]!Table_1[BO ID],MATCH(INVESTORS_LIST[[#This Row],[INVESTOR CODE]],[4]!Table_1[INVESTOR CODE],0))</f>
        <v>#REF!</v>
      </c>
      <c r="AD319" s="33">
        <f>INVESTORS_LIST[[#This Row],[LS_TOTAL COST VALUE OF CURRENT UNITS]]+INVESTORS_LIST[[#This Row],[SIP_TOTAL COST VALUE OF CURRENT UNITS]]</f>
        <v>0</v>
      </c>
      <c r="AE319" s="44">
        <f>IF(INVESTORS_LIST[[#This Row],[TOTAL CURRENT UNITS]]=0,0,INVESTORS_LIST[[#This Row],[LS_TOTAL CURRENT UNITS]]/INVESTORS_LIST[[#This Row],[TOTAL CURRENT UNITS]])</f>
        <v>0</v>
      </c>
      <c r="AF319" s="44">
        <f>IF(INVESTORS_LIST[[#This Row],[TOTAL CURRENT UNITS]]=0,0,INVESTORS_LIST[[#This Row],[SIP_TOTAL CURRENT UNITS]]/INVESTORS_LIST[[#This Row],[TOTAL CURRENT UNITS]])</f>
        <v>0</v>
      </c>
      <c r="AG319" s="4" cm="1">
        <f t="array" ref="AG3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19" s="4" cm="1">
        <f t="array" ref="AH3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1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19" s="178">
        <f t="shared" si="4"/>
        <v>12.552</v>
      </c>
      <c r="AK319" s="118">
        <f>IF(INVESTORS_LIST[[#This Row],[TOTAL CURRENT UNITS]]=0,0,INVESTORS_LIST[[#This Row],[TOTAL CURRENT UNITS]]*INVESTORS_LIST[[#This Row],[NAV]])</f>
        <v>0</v>
      </c>
      <c r="AL319" s="4">
        <f>IF(INVESTORS_LIST[[#This Row],[LS_TOTAL CURRENT UNITS]]=0,0,INVESTORS_LIST[[#This Row],[LS_TOTAL CURRENT UNITS]]*INVESTORS_LIST[[#This Row],[NAV]])</f>
        <v>0</v>
      </c>
      <c r="AM319" s="6">
        <f>IF(INVESTORS_LIST[[#This Row],[SIP_TOTAL CURRENT UNITS]]=0,0,INVESTORS_LIST[[#This Row],[SIP_TOTAL CURRENT UNITS]]*INVESTORS_LIST[[#This Row],[NAV]])</f>
        <v>0</v>
      </c>
      <c r="AO319" s="6">
        <f>IF(INVESTORS_LIST[[#This Row],[TOTAL SELLABLE UNITS]]=0,0,INVESTORS_LIST[[#This Row],[TOTAL SELLABLE UNITS]]*INVESTORS_LIST[[#This Row],[NAV]])</f>
        <v>0</v>
      </c>
      <c r="AP319" s="6">
        <f>INVESTORS_LIST[[#This Row],[LS_TOTAL REALIZED GAIN]]+INVESTORS_LIST[[#This Row],[SIP_TOTAL REALIZED GAIN]]</f>
        <v>5339.9999999999891</v>
      </c>
      <c r="AQ319" s="6">
        <f>INVESTORS_LIST[[#This Row],[TOTAL MARKET VALUE]]-INVESTORS_LIST[[#This Row],[TOTAL COST VALUE OF CURRENT INVESTMENT]]</f>
        <v>0</v>
      </c>
      <c r="AR319" s="6">
        <f>SUMIFS(DivAndTax[Tax Amount],DivAndTax[Investor ID],INVESTORS_LIST[[#This Row],[INVESTOR CODE]])</f>
        <v>0</v>
      </c>
      <c r="AS319" s="6">
        <f>SUMIFS(DivAndTax[Gross Dividend],DivAndTax[Investor ID],INVESTORS_LIST[[#This Row],[INVESTOR CODE]])</f>
        <v>0</v>
      </c>
      <c r="AT319" s="5">
        <f>IFERROR(INVESTORS_LIST[[#This Row],[TOTAL CURRENT UNITS]]/SUM(INVESTORS_LIST[TOTAL CURRENT UNITS]),0)</f>
        <v>0</v>
      </c>
    </row>
    <row r="320" spans="1:46" hidden="1">
      <c r="A320" t="s">
        <v>567</v>
      </c>
      <c r="B320" t="s">
        <v>568</v>
      </c>
      <c r="C320" t="s">
        <v>536</v>
      </c>
      <c r="D320" s="8" t="s">
        <v>2</v>
      </c>
      <c r="E320" s="2">
        <f>SUMIFS(LS[Unit],LS[Investor ID],INVESTORS_LIST[[#This Row],[INVESTOR CODE]],LS[B/S],"B")</f>
        <v>0</v>
      </c>
      <c r="F320" s="2">
        <f>-SUMIFS(LS[Unit],LS[Investor ID],INVESTORS_LIST[[#This Row],[INVESTOR CODE]],LS[B/S],"S")</f>
        <v>0</v>
      </c>
      <c r="G320" s="2">
        <f>IF(INVESTORS_LIST[[#This Row],[LS_TOTAL UNITS BUY]]=0,0,INVESTORS_LIST[[#This Row],[LS_TOTAL UNITS BUY]]-INVESTORS_LIST[[#This Row],[LS_TOTAL UNITS SOLD]])</f>
        <v>0</v>
      </c>
      <c r="H320" s="4">
        <f>IF(INVESTORS_LIST[[#This Row],[LS_TOTAL UNITS BUY]]=0,0,SUMIFS(LS[Amount],LS[Investor ID],INVESTORS_LIST[[#This Row],[INVESTOR CODE]],LS[B/S],"B"))</f>
        <v>0</v>
      </c>
      <c r="I320" s="6">
        <f>IF(INVESTORS_LIST[[#This Row],[LS_TOTAL UNITS SOLD]]=0,0,SUMIFS(LS[Cost of Units Sold],LS[Investor ID],INVESTORS_LIST[[#This Row],[INVESTOR CODE]],LS[B/S],"S"))</f>
        <v>0</v>
      </c>
      <c r="J320" s="6">
        <f>IF(INVESTORS_LIST[[#This Row],[LS_TOTAL CURRENT UNITS]]=0,0,INVESTORS_LIST[[#This Row],[LS_TOTAL CURRENT UNITS]]*INVESTORS_LIST[[#This Row],[LS_AVERAGE COST]])</f>
        <v>0</v>
      </c>
      <c r="K320" s="4">
        <f>IF(INVESTORS_LIST[[#This Row],[LS_TOTAL UNITS SOLD]]=0,0,SUMIFS(LS[Realized Gain],LS[Investor ID],INVESTORS_LIST[[#This Row],[INVESTOR CODE]],LS[B/S],"S"))</f>
        <v>0</v>
      </c>
      <c r="L320" s="2">
        <f>SUMIFS(SIP[Unit],SIP[Investor ID],INVESTORS_LIST[[#This Row],[INVESTOR CODE]],SIP[B/S],"B")</f>
        <v>0</v>
      </c>
      <c r="M320" s="2">
        <f>-SUMIFS(SIP[Unit],SIP[Investor ID],INVESTORS_LIST[[#This Row],[INVESTOR CODE]],SIP[B/S],"S")</f>
        <v>0</v>
      </c>
      <c r="N320" s="33">
        <f>IF(INVESTORS_LIST[[#This Row],[SIP_TOTAL UNITS BUY]]=0,0,INVESTORS_LIST[[#This Row],[SIP_TOTAL UNITS BUY]]-INVESTORS_LIST[[#This Row],[SIP_TOTAL UNITS SOLD]])</f>
        <v>0</v>
      </c>
      <c r="O320" s="4">
        <f>IF(INVESTORS_LIST[[#This Row],[SIP_TOTAL UNITS BUY]]=0,0,SUMIFS(SIP[Amount],SIP[Investor ID],INVESTORS_LIST[[#This Row],[INVESTOR CODE]],SIP[B/S],"B"))</f>
        <v>0</v>
      </c>
      <c r="P320" s="4">
        <f>IF(INVESTORS_LIST[[#This Row],[SIP_TOTAL UNITS SOLD]]=0,0,SUMIFS(SIP[Cost of Units Sold],SIP[Investor ID],INVESTORS_LIST[[#This Row],[INVESTOR CODE]],SIP[B/S],"S"))</f>
        <v>0</v>
      </c>
      <c r="Q320" s="6">
        <f>IF(INVESTORS_LIST[[#This Row],[SIP_TOTAL CURRENT UNITS]]=0,0,INVESTORS_LIST[[#This Row],[SIP_TOTAL CURRENT UNITS]]*INVESTORS_LIST[[#This Row],[SIP_AVERAGE COST]])</f>
        <v>0</v>
      </c>
      <c r="R320" s="6">
        <f>IF(INVESTORS_LIST[[#This Row],[SIP_TOTAL UNITS SOLD]]=0,0,SUMIFS(SIP[Realized Gain],SIP[Investor ID],INVESTORS_LIST[[#This Row],[INVESTOR CODE]],SIP[B/S],"S"))</f>
        <v>0</v>
      </c>
      <c r="S320" s="33">
        <f>INVESTORS_LIST[[#This Row],[LS_TOTAL UNITS BUY]]+INVESTORS_LIST[[#This Row],[SIP_TOTAL UNITS BUY]]</f>
        <v>0</v>
      </c>
      <c r="T320" s="33">
        <f>INVESTORS_LIST[[#This Row],[LS_TOTAL UNITS SOLD]]+INVESTORS_LIST[[#This Row],[SIP_TOTAL UNITS SOLD]]</f>
        <v>0</v>
      </c>
      <c r="U320" s="33">
        <v>0</v>
      </c>
      <c r="V320" s="33">
        <f>SUMIFS(LS[BO UNIT TRANSFER],LS[Investor ID],INVESTORS_LIST[[#This Row],[INVESTOR CODE]],LS[B/S],"B")</f>
        <v>0</v>
      </c>
      <c r="W320" s="33">
        <f>SUMIFS(LS[BO UNIT TRANSFER],LS[Investor ID],INVESTORS_LIST[[#This Row],[INVESTOR CODE]],LS[B/S],"S")</f>
        <v>0</v>
      </c>
      <c r="X320" s="33">
        <f>SUMIFS(SIP[BO UNIT TRANSFER],SIP[Investor ID],INVESTORS_LIST[[#This Row],[INVESTOR CODE]],SIP[B/S],"S")</f>
        <v>0</v>
      </c>
      <c r="Y320" s="33">
        <f>SUMIFS(SIP[BO UNIT TRANSFER],SIP[Investor ID],INVESTORS_LIST[[#This Row],[INVESTOR CODE]],SIP[B/S],"B")</f>
        <v>0</v>
      </c>
      <c r="Z32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20" s="119">
        <f>INVESTORS_LIST[[#This Row],[TOTAL UNITS BUY]]-INVESTORS_LIST[[#This Row],[TOTAL UNITS SOLD]]</f>
        <v>0</v>
      </c>
      <c r="AB320" s="119">
        <f>INVESTORS_LIST[[#This Row],[TOTAL CURRENT UNITS]]-INVESTORS_LIST[[#This Row],[BO UNITS HOLD]]</f>
        <v>0</v>
      </c>
      <c r="AC320" s="119" t="e">
        <f>INDEX([4]!Table_1[BO ID],MATCH(INVESTORS_LIST[[#This Row],[INVESTOR CODE]],[4]!Table_1[INVESTOR CODE],0))</f>
        <v>#REF!</v>
      </c>
      <c r="AD320" s="33">
        <f>INVESTORS_LIST[[#This Row],[LS_TOTAL COST VALUE OF CURRENT UNITS]]+INVESTORS_LIST[[#This Row],[SIP_TOTAL COST VALUE OF CURRENT UNITS]]</f>
        <v>0</v>
      </c>
      <c r="AE320" s="44">
        <f>IF(INVESTORS_LIST[[#This Row],[TOTAL CURRENT UNITS]]=0,0,INVESTORS_LIST[[#This Row],[LS_TOTAL CURRENT UNITS]]/INVESTORS_LIST[[#This Row],[TOTAL CURRENT UNITS]])</f>
        <v>0</v>
      </c>
      <c r="AF320" s="44">
        <f>IF(INVESTORS_LIST[[#This Row],[TOTAL CURRENT UNITS]]=0,0,INVESTORS_LIST[[#This Row],[SIP_TOTAL CURRENT UNITS]]/INVESTORS_LIST[[#This Row],[TOTAL CURRENT UNITS]])</f>
        <v>0</v>
      </c>
      <c r="AG320" s="4" cm="1">
        <f t="array" ref="AG32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20" s="4" cm="1">
        <f t="array" ref="AH3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2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20" s="178">
        <f t="shared" si="4"/>
        <v>12.552</v>
      </c>
      <c r="AK320" s="118">
        <f>IF(INVESTORS_LIST[[#This Row],[TOTAL CURRENT UNITS]]=0,0,INVESTORS_LIST[[#This Row],[TOTAL CURRENT UNITS]]*INVESTORS_LIST[[#This Row],[NAV]])</f>
        <v>0</v>
      </c>
      <c r="AL320" s="4">
        <f>IF(INVESTORS_LIST[[#This Row],[LS_TOTAL CURRENT UNITS]]=0,0,INVESTORS_LIST[[#This Row],[LS_TOTAL CURRENT UNITS]]*INVESTORS_LIST[[#This Row],[NAV]])</f>
        <v>0</v>
      </c>
      <c r="AM320" s="6">
        <f>IF(INVESTORS_LIST[[#This Row],[SIP_TOTAL CURRENT UNITS]]=0,0,INVESTORS_LIST[[#This Row],[SIP_TOTAL CURRENT UNITS]]*INVESTORS_LIST[[#This Row],[NAV]])</f>
        <v>0</v>
      </c>
      <c r="AO320" s="6">
        <f>IF(INVESTORS_LIST[[#This Row],[TOTAL SELLABLE UNITS]]=0,0,INVESTORS_LIST[[#This Row],[TOTAL SELLABLE UNITS]]*INVESTORS_LIST[[#This Row],[NAV]])</f>
        <v>0</v>
      </c>
      <c r="AP320" s="6">
        <f>INVESTORS_LIST[[#This Row],[LS_TOTAL REALIZED GAIN]]+INVESTORS_LIST[[#This Row],[SIP_TOTAL REALIZED GAIN]]</f>
        <v>0</v>
      </c>
      <c r="AQ320" s="6">
        <f>INVESTORS_LIST[[#This Row],[TOTAL MARKET VALUE]]-INVESTORS_LIST[[#This Row],[TOTAL COST VALUE OF CURRENT INVESTMENT]]</f>
        <v>0</v>
      </c>
      <c r="AR320" s="6">
        <f>SUMIFS(DivAndTax[Tax Amount],DivAndTax[Investor ID],INVESTORS_LIST[[#This Row],[INVESTOR CODE]])</f>
        <v>0</v>
      </c>
      <c r="AS320" s="6">
        <f>SUMIFS(DivAndTax[Gross Dividend],DivAndTax[Investor ID],INVESTORS_LIST[[#This Row],[INVESTOR CODE]])</f>
        <v>0</v>
      </c>
      <c r="AT320" s="5">
        <f>IFERROR(INVESTORS_LIST[[#This Row],[TOTAL CURRENT UNITS]]/SUM(INVESTORS_LIST[TOTAL CURRENT UNITS]),0)</f>
        <v>0</v>
      </c>
    </row>
    <row r="321" spans="1:46" hidden="1">
      <c r="A321" t="s">
        <v>569</v>
      </c>
      <c r="B321" t="s">
        <v>570</v>
      </c>
      <c r="C321" t="s">
        <v>536</v>
      </c>
      <c r="D321" s="8" t="s">
        <v>2</v>
      </c>
      <c r="E321" s="2">
        <f>SUMIFS(LS[Unit],LS[Investor ID],INVESTORS_LIST[[#This Row],[INVESTOR CODE]],LS[B/S],"B")</f>
        <v>10000</v>
      </c>
      <c r="F321" s="2">
        <f>-SUMIFS(LS[Unit],LS[Investor ID],INVESTORS_LIST[[#This Row],[INVESTOR CODE]],LS[B/S],"S")</f>
        <v>10000</v>
      </c>
      <c r="G321" s="2">
        <f>IF(INVESTORS_LIST[[#This Row],[LS_TOTAL UNITS BUY]]=0,0,INVESTORS_LIST[[#This Row],[LS_TOTAL UNITS BUY]]-INVESTORS_LIST[[#This Row],[LS_TOTAL UNITS SOLD]])</f>
        <v>0</v>
      </c>
      <c r="H321" s="4">
        <f>IF(INVESTORS_LIST[[#This Row],[LS_TOTAL UNITS BUY]]=0,0,SUMIFS(LS[Amount],LS[Investor ID],INVESTORS_LIST[[#This Row],[INVESTOR CODE]],LS[B/S],"B"))</f>
        <v>100000</v>
      </c>
      <c r="I321" s="6">
        <f>IF(INVESTORS_LIST[[#This Row],[LS_TOTAL UNITS SOLD]]=0,0,SUMIFS(LS[Cost of Units Sold],LS[Investor ID],INVESTORS_LIST[[#This Row],[INVESTOR CODE]],LS[B/S],"S"))</f>
        <v>100000</v>
      </c>
      <c r="J321" s="6">
        <f>IF(INVESTORS_LIST[[#This Row],[LS_TOTAL CURRENT UNITS]]=0,0,INVESTORS_LIST[[#This Row],[LS_TOTAL CURRENT UNITS]]*INVESTORS_LIST[[#This Row],[LS_AVERAGE COST]])</f>
        <v>0</v>
      </c>
      <c r="K321" s="4">
        <f>IF(INVESTORS_LIST[[#This Row],[LS_TOTAL UNITS SOLD]]=0,0,SUMIFS(LS[Realized Gain],LS[Investor ID],INVESTORS_LIST[[#This Row],[INVESTOR CODE]],LS[B/S],"S"))</f>
        <v>-1099.9999999999943</v>
      </c>
      <c r="L321" s="2">
        <f>SUMIFS(SIP[Unit],SIP[Investor ID],INVESTORS_LIST[[#This Row],[INVESTOR CODE]],SIP[B/S],"B")</f>
        <v>0</v>
      </c>
      <c r="M321" s="2">
        <f>-SUMIFS(SIP[Unit],SIP[Investor ID],INVESTORS_LIST[[#This Row],[INVESTOR CODE]],SIP[B/S],"S")</f>
        <v>0</v>
      </c>
      <c r="N321" s="33">
        <f>IF(INVESTORS_LIST[[#This Row],[SIP_TOTAL UNITS BUY]]=0,0,INVESTORS_LIST[[#This Row],[SIP_TOTAL UNITS BUY]]-INVESTORS_LIST[[#This Row],[SIP_TOTAL UNITS SOLD]])</f>
        <v>0</v>
      </c>
      <c r="O321" s="4">
        <f>IF(INVESTORS_LIST[[#This Row],[SIP_TOTAL UNITS BUY]]=0,0,SUMIFS(SIP[Amount],SIP[Investor ID],INVESTORS_LIST[[#This Row],[INVESTOR CODE]],SIP[B/S],"B"))</f>
        <v>0</v>
      </c>
      <c r="P321" s="4">
        <f>IF(INVESTORS_LIST[[#This Row],[SIP_TOTAL UNITS SOLD]]=0,0,SUMIFS(SIP[Cost of Units Sold],SIP[Investor ID],INVESTORS_LIST[[#This Row],[INVESTOR CODE]],SIP[B/S],"S"))</f>
        <v>0</v>
      </c>
      <c r="Q321" s="6">
        <f>IF(INVESTORS_LIST[[#This Row],[SIP_TOTAL CURRENT UNITS]]=0,0,INVESTORS_LIST[[#This Row],[SIP_TOTAL CURRENT UNITS]]*INVESTORS_LIST[[#This Row],[SIP_AVERAGE COST]])</f>
        <v>0</v>
      </c>
      <c r="R321" s="6">
        <f>IF(INVESTORS_LIST[[#This Row],[SIP_TOTAL UNITS SOLD]]=0,0,SUMIFS(SIP[Realized Gain],SIP[Investor ID],INVESTORS_LIST[[#This Row],[INVESTOR CODE]],SIP[B/S],"S"))</f>
        <v>0</v>
      </c>
      <c r="S321" s="33">
        <f>INVESTORS_LIST[[#This Row],[LS_TOTAL UNITS BUY]]+INVESTORS_LIST[[#This Row],[SIP_TOTAL UNITS BUY]]</f>
        <v>10000</v>
      </c>
      <c r="T321" s="33">
        <f>INVESTORS_LIST[[#This Row],[LS_TOTAL UNITS SOLD]]+INVESTORS_LIST[[#This Row],[SIP_TOTAL UNITS SOLD]]</f>
        <v>10000</v>
      </c>
      <c r="U321" s="33">
        <v>0</v>
      </c>
      <c r="V321" s="33">
        <f>SUMIFS(LS[BO UNIT TRANSFER],LS[Investor ID],INVESTORS_LIST[[#This Row],[INVESTOR CODE]],LS[B/S],"B")</f>
        <v>0</v>
      </c>
      <c r="W321" s="33">
        <f>SUMIFS(LS[BO UNIT TRANSFER],LS[Investor ID],INVESTORS_LIST[[#This Row],[INVESTOR CODE]],LS[B/S],"S")</f>
        <v>0</v>
      </c>
      <c r="X321" s="33">
        <f>SUMIFS(SIP[BO UNIT TRANSFER],SIP[Investor ID],INVESTORS_LIST[[#This Row],[INVESTOR CODE]],SIP[B/S],"S")</f>
        <v>0</v>
      </c>
      <c r="Y321" s="33">
        <f>SUMIFS(SIP[BO UNIT TRANSFER],SIP[Investor ID],INVESTORS_LIST[[#This Row],[INVESTOR CODE]],SIP[B/S],"B")</f>
        <v>0</v>
      </c>
      <c r="Z32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21" s="119">
        <f>INVESTORS_LIST[[#This Row],[TOTAL UNITS BUY]]-INVESTORS_LIST[[#This Row],[TOTAL UNITS SOLD]]</f>
        <v>0</v>
      </c>
      <c r="AB321" s="119">
        <f>INVESTORS_LIST[[#This Row],[TOTAL CURRENT UNITS]]-INVESTORS_LIST[[#This Row],[BO UNITS HOLD]]</f>
        <v>0</v>
      </c>
      <c r="AC321" s="119" t="e">
        <f>INDEX([4]!Table_1[BO ID],MATCH(INVESTORS_LIST[[#This Row],[INVESTOR CODE]],[4]!Table_1[INVESTOR CODE],0))</f>
        <v>#REF!</v>
      </c>
      <c r="AD321" s="33">
        <f>INVESTORS_LIST[[#This Row],[LS_TOTAL COST VALUE OF CURRENT UNITS]]+INVESTORS_LIST[[#This Row],[SIP_TOTAL COST VALUE OF CURRENT UNITS]]</f>
        <v>0</v>
      </c>
      <c r="AE321" s="44">
        <f>IF(INVESTORS_LIST[[#This Row],[TOTAL CURRENT UNITS]]=0,0,INVESTORS_LIST[[#This Row],[LS_TOTAL CURRENT UNITS]]/INVESTORS_LIST[[#This Row],[TOTAL CURRENT UNITS]])</f>
        <v>0</v>
      </c>
      <c r="AF321" s="44">
        <f>IF(INVESTORS_LIST[[#This Row],[TOTAL CURRENT UNITS]]=0,0,INVESTORS_LIST[[#This Row],[SIP_TOTAL CURRENT UNITS]]/INVESTORS_LIST[[#This Row],[TOTAL CURRENT UNITS]])</f>
        <v>0</v>
      </c>
      <c r="AG321" s="4" cm="1">
        <f t="array" ref="AG3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21" s="4" cm="1">
        <f t="array" ref="AH3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2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21" s="178">
        <f t="shared" si="4"/>
        <v>12.552</v>
      </c>
      <c r="AK321" s="118">
        <f>IF(INVESTORS_LIST[[#This Row],[TOTAL CURRENT UNITS]]=0,0,INVESTORS_LIST[[#This Row],[TOTAL CURRENT UNITS]]*INVESTORS_LIST[[#This Row],[NAV]])</f>
        <v>0</v>
      </c>
      <c r="AL321" s="4">
        <f>IF(INVESTORS_LIST[[#This Row],[LS_TOTAL CURRENT UNITS]]=0,0,INVESTORS_LIST[[#This Row],[LS_TOTAL CURRENT UNITS]]*INVESTORS_LIST[[#This Row],[NAV]])</f>
        <v>0</v>
      </c>
      <c r="AM321" s="6">
        <f>IF(INVESTORS_LIST[[#This Row],[SIP_TOTAL CURRENT UNITS]]=0,0,INVESTORS_LIST[[#This Row],[SIP_TOTAL CURRENT UNITS]]*INVESTORS_LIST[[#This Row],[NAV]])</f>
        <v>0</v>
      </c>
      <c r="AO321" s="6">
        <f>IF(INVESTORS_LIST[[#This Row],[TOTAL SELLABLE UNITS]]=0,0,INVESTORS_LIST[[#This Row],[TOTAL SELLABLE UNITS]]*INVESTORS_LIST[[#This Row],[NAV]])</f>
        <v>0</v>
      </c>
      <c r="AP321" s="6">
        <f>INVESTORS_LIST[[#This Row],[LS_TOTAL REALIZED GAIN]]+INVESTORS_LIST[[#This Row],[SIP_TOTAL REALIZED GAIN]]</f>
        <v>-1099.9999999999943</v>
      </c>
      <c r="AQ321" s="6">
        <f>INVESTORS_LIST[[#This Row],[TOTAL MARKET VALUE]]-INVESTORS_LIST[[#This Row],[TOTAL COST VALUE OF CURRENT INVESTMENT]]</f>
        <v>0</v>
      </c>
      <c r="AR321" s="6">
        <f>SUMIFS(DivAndTax[Tax Amount],DivAndTax[Investor ID],INVESTORS_LIST[[#This Row],[INVESTOR CODE]])</f>
        <v>0</v>
      </c>
      <c r="AS321" s="6">
        <f>SUMIFS(DivAndTax[Gross Dividend],DivAndTax[Investor ID],INVESTORS_LIST[[#This Row],[INVESTOR CODE]])</f>
        <v>0</v>
      </c>
      <c r="AT321" s="5">
        <f>IFERROR(INVESTORS_LIST[[#This Row],[TOTAL CURRENT UNITS]]/SUM(INVESTORS_LIST[TOTAL CURRENT UNITS]),0)</f>
        <v>0</v>
      </c>
    </row>
    <row r="322" spans="1:46" hidden="1">
      <c r="A322" t="s">
        <v>571</v>
      </c>
      <c r="B322" t="s">
        <v>562</v>
      </c>
      <c r="C322" t="s">
        <v>536</v>
      </c>
      <c r="D322" s="8" t="s">
        <v>2</v>
      </c>
      <c r="E322" s="2">
        <f>SUMIFS(LS[Unit],LS[Investor ID],INVESTORS_LIST[[#This Row],[INVESTOR CODE]],LS[B/S],"B")</f>
        <v>0</v>
      </c>
      <c r="F322" s="2">
        <f>-SUMIFS(LS[Unit],LS[Investor ID],INVESTORS_LIST[[#This Row],[INVESTOR CODE]],LS[B/S],"S")</f>
        <v>0</v>
      </c>
      <c r="G322" s="2">
        <f>IF(INVESTORS_LIST[[#This Row],[LS_TOTAL UNITS BUY]]=0,0,INVESTORS_LIST[[#This Row],[LS_TOTAL UNITS BUY]]-INVESTORS_LIST[[#This Row],[LS_TOTAL UNITS SOLD]])</f>
        <v>0</v>
      </c>
      <c r="H322" s="4">
        <f>IF(INVESTORS_LIST[[#This Row],[LS_TOTAL UNITS BUY]]=0,0,SUMIFS(LS[Amount],LS[Investor ID],INVESTORS_LIST[[#This Row],[INVESTOR CODE]],LS[B/S],"B"))</f>
        <v>0</v>
      </c>
      <c r="I322" s="6">
        <f>IF(INVESTORS_LIST[[#This Row],[LS_TOTAL UNITS SOLD]]=0,0,SUMIFS(LS[Cost of Units Sold],LS[Investor ID],INVESTORS_LIST[[#This Row],[INVESTOR CODE]],LS[B/S],"S"))</f>
        <v>0</v>
      </c>
      <c r="J322" s="6">
        <f>IF(INVESTORS_LIST[[#This Row],[LS_TOTAL CURRENT UNITS]]=0,0,INVESTORS_LIST[[#This Row],[LS_TOTAL CURRENT UNITS]]*INVESTORS_LIST[[#This Row],[LS_AVERAGE COST]])</f>
        <v>0</v>
      </c>
      <c r="K322" s="4">
        <f>IF(INVESTORS_LIST[[#This Row],[LS_TOTAL UNITS SOLD]]=0,0,SUMIFS(LS[Realized Gain],LS[Investor ID],INVESTORS_LIST[[#This Row],[INVESTOR CODE]],LS[B/S],"S"))</f>
        <v>0</v>
      </c>
      <c r="L322" s="2">
        <f>SUMIFS(SIP[Unit],SIP[Investor ID],INVESTORS_LIST[[#This Row],[INVESTOR CODE]],SIP[B/S],"B")</f>
        <v>0</v>
      </c>
      <c r="M322" s="2">
        <f>-SUMIFS(SIP[Unit],SIP[Investor ID],INVESTORS_LIST[[#This Row],[INVESTOR CODE]],SIP[B/S],"S")</f>
        <v>0</v>
      </c>
      <c r="N322" s="33">
        <f>IF(INVESTORS_LIST[[#This Row],[SIP_TOTAL UNITS BUY]]=0,0,INVESTORS_LIST[[#This Row],[SIP_TOTAL UNITS BUY]]-INVESTORS_LIST[[#This Row],[SIP_TOTAL UNITS SOLD]])</f>
        <v>0</v>
      </c>
      <c r="O322" s="4">
        <f>IF(INVESTORS_LIST[[#This Row],[SIP_TOTAL UNITS BUY]]=0,0,SUMIFS(SIP[Amount],SIP[Investor ID],INVESTORS_LIST[[#This Row],[INVESTOR CODE]],SIP[B/S],"B"))</f>
        <v>0</v>
      </c>
      <c r="P322" s="4">
        <f>IF(INVESTORS_LIST[[#This Row],[SIP_TOTAL UNITS SOLD]]=0,0,SUMIFS(SIP[Cost of Units Sold],SIP[Investor ID],INVESTORS_LIST[[#This Row],[INVESTOR CODE]],SIP[B/S],"S"))</f>
        <v>0</v>
      </c>
      <c r="Q322" s="6">
        <f>IF(INVESTORS_LIST[[#This Row],[SIP_TOTAL CURRENT UNITS]]=0,0,INVESTORS_LIST[[#This Row],[SIP_TOTAL CURRENT UNITS]]*INVESTORS_LIST[[#This Row],[SIP_AVERAGE COST]])</f>
        <v>0</v>
      </c>
      <c r="R322" s="6">
        <f>IF(INVESTORS_LIST[[#This Row],[SIP_TOTAL UNITS SOLD]]=0,0,SUMIFS(SIP[Realized Gain],SIP[Investor ID],INVESTORS_LIST[[#This Row],[INVESTOR CODE]],SIP[B/S],"S"))</f>
        <v>0</v>
      </c>
      <c r="S322" s="33">
        <f>INVESTORS_LIST[[#This Row],[LS_TOTAL UNITS BUY]]+INVESTORS_LIST[[#This Row],[SIP_TOTAL UNITS BUY]]</f>
        <v>0</v>
      </c>
      <c r="T322" s="33">
        <f>INVESTORS_LIST[[#This Row],[LS_TOTAL UNITS SOLD]]+INVESTORS_LIST[[#This Row],[SIP_TOTAL UNITS SOLD]]</f>
        <v>0</v>
      </c>
      <c r="U322" s="33">
        <v>0</v>
      </c>
      <c r="V322" s="33">
        <f>SUMIFS(LS[BO UNIT TRANSFER],LS[Investor ID],INVESTORS_LIST[[#This Row],[INVESTOR CODE]],LS[B/S],"B")</f>
        <v>0</v>
      </c>
      <c r="W322" s="33">
        <f>SUMIFS(LS[BO UNIT TRANSFER],LS[Investor ID],INVESTORS_LIST[[#This Row],[INVESTOR CODE]],LS[B/S],"S")</f>
        <v>0</v>
      </c>
      <c r="X322" s="33">
        <f>SUMIFS(SIP[BO UNIT TRANSFER],SIP[Investor ID],INVESTORS_LIST[[#This Row],[INVESTOR CODE]],SIP[B/S],"S")</f>
        <v>0</v>
      </c>
      <c r="Y322" s="33">
        <f>SUMIFS(SIP[BO UNIT TRANSFER],SIP[Investor ID],INVESTORS_LIST[[#This Row],[INVESTOR CODE]],SIP[B/S],"B")</f>
        <v>0</v>
      </c>
      <c r="Z32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22" s="119">
        <f>INVESTORS_LIST[[#This Row],[TOTAL UNITS BUY]]-INVESTORS_LIST[[#This Row],[TOTAL UNITS SOLD]]</f>
        <v>0</v>
      </c>
      <c r="AB322" s="119">
        <f>INVESTORS_LIST[[#This Row],[TOTAL CURRENT UNITS]]-INVESTORS_LIST[[#This Row],[BO UNITS HOLD]]</f>
        <v>0</v>
      </c>
      <c r="AC322" s="119" t="e">
        <f>INDEX([4]!Table_1[BO ID],MATCH(INVESTORS_LIST[[#This Row],[INVESTOR CODE]],[4]!Table_1[INVESTOR CODE],0))</f>
        <v>#REF!</v>
      </c>
      <c r="AD322" s="33">
        <f>INVESTORS_LIST[[#This Row],[LS_TOTAL COST VALUE OF CURRENT UNITS]]+INVESTORS_LIST[[#This Row],[SIP_TOTAL COST VALUE OF CURRENT UNITS]]</f>
        <v>0</v>
      </c>
      <c r="AE322" s="44">
        <f>IF(INVESTORS_LIST[[#This Row],[TOTAL CURRENT UNITS]]=0,0,INVESTORS_LIST[[#This Row],[LS_TOTAL CURRENT UNITS]]/INVESTORS_LIST[[#This Row],[TOTAL CURRENT UNITS]])</f>
        <v>0</v>
      </c>
      <c r="AF322" s="44">
        <f>IF(INVESTORS_LIST[[#This Row],[TOTAL CURRENT UNITS]]=0,0,INVESTORS_LIST[[#This Row],[SIP_TOTAL CURRENT UNITS]]/INVESTORS_LIST[[#This Row],[TOTAL CURRENT UNITS]])</f>
        <v>0</v>
      </c>
      <c r="AG322" s="4" cm="1">
        <f t="array" ref="AG3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22" s="4" cm="1">
        <f t="array" ref="AH3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2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22" s="178">
        <f t="shared" ref="AJ322:AJ385" si="5">NAV_MKT</f>
        <v>12.552</v>
      </c>
      <c r="AK322" s="118">
        <f>IF(INVESTORS_LIST[[#This Row],[TOTAL CURRENT UNITS]]=0,0,INVESTORS_LIST[[#This Row],[TOTAL CURRENT UNITS]]*INVESTORS_LIST[[#This Row],[NAV]])</f>
        <v>0</v>
      </c>
      <c r="AL322" s="4">
        <f>IF(INVESTORS_LIST[[#This Row],[LS_TOTAL CURRENT UNITS]]=0,0,INVESTORS_LIST[[#This Row],[LS_TOTAL CURRENT UNITS]]*INVESTORS_LIST[[#This Row],[NAV]])</f>
        <v>0</v>
      </c>
      <c r="AM322" s="6">
        <f>IF(INVESTORS_LIST[[#This Row],[SIP_TOTAL CURRENT UNITS]]=0,0,INVESTORS_LIST[[#This Row],[SIP_TOTAL CURRENT UNITS]]*INVESTORS_LIST[[#This Row],[NAV]])</f>
        <v>0</v>
      </c>
      <c r="AO322" s="6">
        <f>IF(INVESTORS_LIST[[#This Row],[TOTAL SELLABLE UNITS]]=0,0,INVESTORS_LIST[[#This Row],[TOTAL SELLABLE UNITS]]*INVESTORS_LIST[[#This Row],[NAV]])</f>
        <v>0</v>
      </c>
      <c r="AP322" s="6">
        <f>INVESTORS_LIST[[#This Row],[LS_TOTAL REALIZED GAIN]]+INVESTORS_LIST[[#This Row],[SIP_TOTAL REALIZED GAIN]]</f>
        <v>0</v>
      </c>
      <c r="AQ322" s="6">
        <f>INVESTORS_LIST[[#This Row],[TOTAL MARKET VALUE]]-INVESTORS_LIST[[#This Row],[TOTAL COST VALUE OF CURRENT INVESTMENT]]</f>
        <v>0</v>
      </c>
      <c r="AR322" s="6">
        <f>SUMIFS(DivAndTax[Tax Amount],DivAndTax[Investor ID],INVESTORS_LIST[[#This Row],[INVESTOR CODE]])</f>
        <v>0</v>
      </c>
      <c r="AS322" s="6">
        <f>SUMIFS(DivAndTax[Gross Dividend],DivAndTax[Investor ID],INVESTORS_LIST[[#This Row],[INVESTOR CODE]])</f>
        <v>0</v>
      </c>
      <c r="AT322" s="5">
        <f>IFERROR(INVESTORS_LIST[[#This Row],[TOTAL CURRENT UNITS]]/SUM(INVESTORS_LIST[TOTAL CURRENT UNITS]),0)</f>
        <v>0</v>
      </c>
    </row>
    <row r="323" spans="1:46" hidden="1">
      <c r="A323" t="s">
        <v>572</v>
      </c>
      <c r="B323" t="s">
        <v>573</v>
      </c>
      <c r="C323" t="s">
        <v>536</v>
      </c>
      <c r="D323" s="8" t="s">
        <v>2</v>
      </c>
      <c r="E323" s="2">
        <f>SUMIFS(LS[Unit],LS[Investor ID],INVESTORS_LIST[[#This Row],[INVESTOR CODE]],LS[B/S],"B")</f>
        <v>15000</v>
      </c>
      <c r="F323" s="2">
        <f>-SUMIFS(LS[Unit],LS[Investor ID],INVESTORS_LIST[[#This Row],[INVESTOR CODE]],LS[B/S],"S")</f>
        <v>15000</v>
      </c>
      <c r="G323" s="2">
        <f>IF(INVESTORS_LIST[[#This Row],[LS_TOTAL UNITS BUY]]=0,0,INVESTORS_LIST[[#This Row],[LS_TOTAL UNITS BUY]]-INVESTORS_LIST[[#This Row],[LS_TOTAL UNITS SOLD]])</f>
        <v>0</v>
      </c>
      <c r="H323" s="4">
        <f>IF(INVESTORS_LIST[[#This Row],[LS_TOTAL UNITS BUY]]=0,0,SUMIFS(LS[Amount],LS[Investor ID],INVESTORS_LIST[[#This Row],[INVESTOR CODE]],LS[B/S],"B"))</f>
        <v>150000</v>
      </c>
      <c r="I323" s="6">
        <f>IF(INVESTORS_LIST[[#This Row],[LS_TOTAL UNITS SOLD]]=0,0,SUMIFS(LS[Cost of Units Sold],LS[Investor ID],INVESTORS_LIST[[#This Row],[INVESTOR CODE]],LS[B/S],"S"))</f>
        <v>150000</v>
      </c>
      <c r="J323" s="6">
        <f>IF(INVESTORS_LIST[[#This Row],[LS_TOTAL CURRENT UNITS]]=0,0,INVESTORS_LIST[[#This Row],[LS_TOTAL CURRENT UNITS]]*INVESTORS_LIST[[#This Row],[LS_AVERAGE COST]])</f>
        <v>0</v>
      </c>
      <c r="K323" s="4">
        <f>IF(INVESTORS_LIST[[#This Row],[LS_TOTAL UNITS SOLD]]=0,0,SUMIFS(LS[Realized Gain],LS[Investor ID],INVESTORS_LIST[[#This Row],[INVESTOR CODE]],LS[B/S],"S"))</f>
        <v>299.99999999999363</v>
      </c>
      <c r="L323" s="2">
        <f>SUMIFS(SIP[Unit],SIP[Investor ID],INVESTORS_LIST[[#This Row],[INVESTOR CODE]],SIP[B/S],"B")</f>
        <v>0</v>
      </c>
      <c r="M323" s="2">
        <f>-SUMIFS(SIP[Unit],SIP[Investor ID],INVESTORS_LIST[[#This Row],[INVESTOR CODE]],SIP[B/S],"S")</f>
        <v>0</v>
      </c>
      <c r="N323" s="33">
        <f>IF(INVESTORS_LIST[[#This Row],[SIP_TOTAL UNITS BUY]]=0,0,INVESTORS_LIST[[#This Row],[SIP_TOTAL UNITS BUY]]-INVESTORS_LIST[[#This Row],[SIP_TOTAL UNITS SOLD]])</f>
        <v>0</v>
      </c>
      <c r="O323" s="4">
        <f>IF(INVESTORS_LIST[[#This Row],[SIP_TOTAL UNITS BUY]]=0,0,SUMIFS(SIP[Amount],SIP[Investor ID],INVESTORS_LIST[[#This Row],[INVESTOR CODE]],SIP[B/S],"B"))</f>
        <v>0</v>
      </c>
      <c r="P323" s="4">
        <f>IF(INVESTORS_LIST[[#This Row],[SIP_TOTAL UNITS SOLD]]=0,0,SUMIFS(SIP[Cost of Units Sold],SIP[Investor ID],INVESTORS_LIST[[#This Row],[INVESTOR CODE]],SIP[B/S],"S"))</f>
        <v>0</v>
      </c>
      <c r="Q323" s="6">
        <f>IF(INVESTORS_LIST[[#This Row],[SIP_TOTAL CURRENT UNITS]]=0,0,INVESTORS_LIST[[#This Row],[SIP_TOTAL CURRENT UNITS]]*INVESTORS_LIST[[#This Row],[SIP_AVERAGE COST]])</f>
        <v>0</v>
      </c>
      <c r="R323" s="6">
        <f>IF(INVESTORS_LIST[[#This Row],[SIP_TOTAL UNITS SOLD]]=0,0,SUMIFS(SIP[Realized Gain],SIP[Investor ID],INVESTORS_LIST[[#This Row],[INVESTOR CODE]],SIP[B/S],"S"))</f>
        <v>0</v>
      </c>
      <c r="S323" s="33">
        <f>INVESTORS_LIST[[#This Row],[LS_TOTAL UNITS BUY]]+INVESTORS_LIST[[#This Row],[SIP_TOTAL UNITS BUY]]</f>
        <v>15000</v>
      </c>
      <c r="T323" s="33">
        <f>INVESTORS_LIST[[#This Row],[LS_TOTAL UNITS SOLD]]+INVESTORS_LIST[[#This Row],[SIP_TOTAL UNITS SOLD]]</f>
        <v>15000</v>
      </c>
      <c r="U323" s="33">
        <v>0</v>
      </c>
      <c r="V323" s="33">
        <f>SUMIFS(LS[BO UNIT TRANSFER],LS[Investor ID],INVESTORS_LIST[[#This Row],[INVESTOR CODE]],LS[B/S],"B")</f>
        <v>0</v>
      </c>
      <c r="W323" s="33">
        <f>SUMIFS(LS[BO UNIT TRANSFER],LS[Investor ID],INVESTORS_LIST[[#This Row],[INVESTOR CODE]],LS[B/S],"S")</f>
        <v>0</v>
      </c>
      <c r="X323" s="33">
        <f>SUMIFS(SIP[BO UNIT TRANSFER],SIP[Investor ID],INVESTORS_LIST[[#This Row],[INVESTOR CODE]],SIP[B/S],"S")</f>
        <v>0</v>
      </c>
      <c r="Y323" s="33">
        <f>SUMIFS(SIP[BO UNIT TRANSFER],SIP[Investor ID],INVESTORS_LIST[[#This Row],[INVESTOR CODE]],SIP[B/S],"B")</f>
        <v>0</v>
      </c>
      <c r="Z32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23" s="119">
        <f>INVESTORS_LIST[[#This Row],[TOTAL UNITS BUY]]-INVESTORS_LIST[[#This Row],[TOTAL UNITS SOLD]]</f>
        <v>0</v>
      </c>
      <c r="AB323" s="119">
        <f>INVESTORS_LIST[[#This Row],[TOTAL CURRENT UNITS]]-INVESTORS_LIST[[#This Row],[BO UNITS HOLD]]</f>
        <v>0</v>
      </c>
      <c r="AC323" s="119" t="e">
        <f>INDEX([4]!Table_1[BO ID],MATCH(INVESTORS_LIST[[#This Row],[INVESTOR CODE]],[4]!Table_1[INVESTOR CODE],0))</f>
        <v>#REF!</v>
      </c>
      <c r="AD323" s="33">
        <f>INVESTORS_LIST[[#This Row],[LS_TOTAL COST VALUE OF CURRENT UNITS]]+INVESTORS_LIST[[#This Row],[SIP_TOTAL COST VALUE OF CURRENT UNITS]]</f>
        <v>0</v>
      </c>
      <c r="AE323" s="44">
        <f>IF(INVESTORS_LIST[[#This Row],[TOTAL CURRENT UNITS]]=0,0,INVESTORS_LIST[[#This Row],[LS_TOTAL CURRENT UNITS]]/INVESTORS_LIST[[#This Row],[TOTAL CURRENT UNITS]])</f>
        <v>0</v>
      </c>
      <c r="AF323" s="44">
        <f>IF(INVESTORS_LIST[[#This Row],[TOTAL CURRENT UNITS]]=0,0,INVESTORS_LIST[[#This Row],[SIP_TOTAL CURRENT UNITS]]/INVESTORS_LIST[[#This Row],[TOTAL CURRENT UNITS]])</f>
        <v>0</v>
      </c>
      <c r="AG323" s="4" cm="1">
        <f t="array" ref="AG3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23" s="4" cm="1">
        <f t="array" ref="AH3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2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23" s="178">
        <f t="shared" si="5"/>
        <v>12.552</v>
      </c>
      <c r="AK323" s="118">
        <f>IF(INVESTORS_LIST[[#This Row],[TOTAL CURRENT UNITS]]=0,0,INVESTORS_LIST[[#This Row],[TOTAL CURRENT UNITS]]*INVESTORS_LIST[[#This Row],[NAV]])</f>
        <v>0</v>
      </c>
      <c r="AL323" s="4">
        <f>IF(INVESTORS_LIST[[#This Row],[LS_TOTAL CURRENT UNITS]]=0,0,INVESTORS_LIST[[#This Row],[LS_TOTAL CURRENT UNITS]]*INVESTORS_LIST[[#This Row],[NAV]])</f>
        <v>0</v>
      </c>
      <c r="AM323" s="6">
        <f>IF(INVESTORS_LIST[[#This Row],[SIP_TOTAL CURRENT UNITS]]=0,0,INVESTORS_LIST[[#This Row],[SIP_TOTAL CURRENT UNITS]]*INVESTORS_LIST[[#This Row],[NAV]])</f>
        <v>0</v>
      </c>
      <c r="AO323" s="6">
        <f>IF(INVESTORS_LIST[[#This Row],[TOTAL SELLABLE UNITS]]=0,0,INVESTORS_LIST[[#This Row],[TOTAL SELLABLE UNITS]]*INVESTORS_LIST[[#This Row],[NAV]])</f>
        <v>0</v>
      </c>
      <c r="AP323" s="6">
        <f>INVESTORS_LIST[[#This Row],[LS_TOTAL REALIZED GAIN]]+INVESTORS_LIST[[#This Row],[SIP_TOTAL REALIZED GAIN]]</f>
        <v>299.99999999999363</v>
      </c>
      <c r="AQ323" s="6">
        <f>INVESTORS_LIST[[#This Row],[TOTAL MARKET VALUE]]-INVESTORS_LIST[[#This Row],[TOTAL COST VALUE OF CURRENT INVESTMENT]]</f>
        <v>0</v>
      </c>
      <c r="AR323" s="6">
        <f>SUMIFS(DivAndTax[Tax Amount],DivAndTax[Investor ID],INVESTORS_LIST[[#This Row],[INVESTOR CODE]])</f>
        <v>0</v>
      </c>
      <c r="AS323" s="6">
        <f>SUMIFS(DivAndTax[Gross Dividend],DivAndTax[Investor ID],INVESTORS_LIST[[#This Row],[INVESTOR CODE]])</f>
        <v>0</v>
      </c>
      <c r="AT323" s="5">
        <f>IFERROR(INVESTORS_LIST[[#This Row],[TOTAL CURRENT UNITS]]/SUM(INVESTORS_LIST[TOTAL CURRENT UNITS]),0)</f>
        <v>0</v>
      </c>
    </row>
    <row r="324" spans="1:46" hidden="1">
      <c r="A324" t="s">
        <v>574</v>
      </c>
      <c r="B324" t="s">
        <v>575</v>
      </c>
      <c r="C324" t="s">
        <v>536</v>
      </c>
      <c r="D324" s="8" t="s">
        <v>2</v>
      </c>
      <c r="E324" s="2">
        <f>SUMIFS(LS[Unit],LS[Investor ID],INVESTORS_LIST[[#This Row],[INVESTOR CODE]],LS[B/S],"B")</f>
        <v>100000</v>
      </c>
      <c r="F324" s="2">
        <f>-SUMIFS(LS[Unit],LS[Investor ID],INVESTORS_LIST[[#This Row],[INVESTOR CODE]],LS[B/S],"S")</f>
        <v>100000</v>
      </c>
      <c r="G324" s="2">
        <f>IF(INVESTORS_LIST[[#This Row],[LS_TOTAL UNITS BUY]]=0,0,INVESTORS_LIST[[#This Row],[LS_TOTAL UNITS BUY]]-INVESTORS_LIST[[#This Row],[LS_TOTAL UNITS SOLD]])</f>
        <v>0</v>
      </c>
      <c r="H324" s="4">
        <f>IF(INVESTORS_LIST[[#This Row],[LS_TOTAL UNITS BUY]]=0,0,SUMIFS(LS[Amount],LS[Investor ID],INVESTORS_LIST[[#This Row],[INVESTOR CODE]],LS[B/S],"B"))</f>
        <v>1000000</v>
      </c>
      <c r="I324" s="6">
        <f>IF(INVESTORS_LIST[[#This Row],[LS_TOTAL UNITS SOLD]]=0,0,SUMIFS(LS[Cost of Units Sold],LS[Investor ID],INVESTORS_LIST[[#This Row],[INVESTOR CODE]],LS[B/S],"S"))</f>
        <v>1000000</v>
      </c>
      <c r="J324" s="6">
        <f>IF(INVESTORS_LIST[[#This Row],[LS_TOTAL CURRENT UNITS]]=0,0,INVESTORS_LIST[[#This Row],[LS_TOTAL CURRENT UNITS]]*INVESTORS_LIST[[#This Row],[LS_AVERAGE COST]])</f>
        <v>0</v>
      </c>
      <c r="K324" s="4">
        <f>IF(INVESTORS_LIST[[#This Row],[LS_TOTAL UNITS SOLD]]=0,0,SUMIFS(LS[Realized Gain],LS[Investor ID],INVESTORS_LIST[[#This Row],[INVESTOR CODE]],LS[B/S],"S"))</f>
        <v>9800.0000000000327</v>
      </c>
      <c r="L324" s="2">
        <f>SUMIFS(SIP[Unit],SIP[Investor ID],INVESTORS_LIST[[#This Row],[INVESTOR CODE]],SIP[B/S],"B")</f>
        <v>0</v>
      </c>
      <c r="M324" s="2">
        <f>-SUMIFS(SIP[Unit],SIP[Investor ID],INVESTORS_LIST[[#This Row],[INVESTOR CODE]],SIP[B/S],"S")</f>
        <v>0</v>
      </c>
      <c r="N324" s="33">
        <f>IF(INVESTORS_LIST[[#This Row],[SIP_TOTAL UNITS BUY]]=0,0,INVESTORS_LIST[[#This Row],[SIP_TOTAL UNITS BUY]]-INVESTORS_LIST[[#This Row],[SIP_TOTAL UNITS SOLD]])</f>
        <v>0</v>
      </c>
      <c r="O324" s="4">
        <f>IF(INVESTORS_LIST[[#This Row],[SIP_TOTAL UNITS BUY]]=0,0,SUMIFS(SIP[Amount],SIP[Investor ID],INVESTORS_LIST[[#This Row],[INVESTOR CODE]],SIP[B/S],"B"))</f>
        <v>0</v>
      </c>
      <c r="P324" s="4">
        <f>IF(INVESTORS_LIST[[#This Row],[SIP_TOTAL UNITS SOLD]]=0,0,SUMIFS(SIP[Cost of Units Sold],SIP[Investor ID],INVESTORS_LIST[[#This Row],[INVESTOR CODE]],SIP[B/S],"S"))</f>
        <v>0</v>
      </c>
      <c r="Q324" s="6">
        <f>IF(INVESTORS_LIST[[#This Row],[SIP_TOTAL CURRENT UNITS]]=0,0,INVESTORS_LIST[[#This Row],[SIP_TOTAL CURRENT UNITS]]*INVESTORS_LIST[[#This Row],[SIP_AVERAGE COST]])</f>
        <v>0</v>
      </c>
      <c r="R324" s="6">
        <f>IF(INVESTORS_LIST[[#This Row],[SIP_TOTAL UNITS SOLD]]=0,0,SUMIFS(SIP[Realized Gain],SIP[Investor ID],INVESTORS_LIST[[#This Row],[INVESTOR CODE]],SIP[B/S],"S"))</f>
        <v>0</v>
      </c>
      <c r="S324" s="33">
        <f>INVESTORS_LIST[[#This Row],[LS_TOTAL UNITS BUY]]+INVESTORS_LIST[[#This Row],[SIP_TOTAL UNITS BUY]]</f>
        <v>100000</v>
      </c>
      <c r="T324" s="33">
        <f>INVESTORS_LIST[[#This Row],[LS_TOTAL UNITS SOLD]]+INVESTORS_LIST[[#This Row],[SIP_TOTAL UNITS SOLD]]</f>
        <v>100000</v>
      </c>
      <c r="U324" s="33">
        <v>0</v>
      </c>
      <c r="V324" s="33">
        <f>SUMIFS(LS[BO UNIT TRANSFER],LS[Investor ID],INVESTORS_LIST[[#This Row],[INVESTOR CODE]],LS[B/S],"B")</f>
        <v>0</v>
      </c>
      <c r="W324" s="33">
        <f>SUMIFS(LS[BO UNIT TRANSFER],LS[Investor ID],INVESTORS_LIST[[#This Row],[INVESTOR CODE]],LS[B/S],"S")</f>
        <v>0</v>
      </c>
      <c r="X324" s="33">
        <f>SUMIFS(SIP[BO UNIT TRANSFER],SIP[Investor ID],INVESTORS_LIST[[#This Row],[INVESTOR CODE]],SIP[B/S],"S")</f>
        <v>0</v>
      </c>
      <c r="Y324" s="33">
        <f>SUMIFS(SIP[BO UNIT TRANSFER],SIP[Investor ID],INVESTORS_LIST[[#This Row],[INVESTOR CODE]],SIP[B/S],"B")</f>
        <v>0</v>
      </c>
      <c r="Z32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24" s="119">
        <f>INVESTORS_LIST[[#This Row],[TOTAL UNITS BUY]]-INVESTORS_LIST[[#This Row],[TOTAL UNITS SOLD]]</f>
        <v>0</v>
      </c>
      <c r="AB324" s="119">
        <f>INVESTORS_LIST[[#This Row],[TOTAL CURRENT UNITS]]-INVESTORS_LIST[[#This Row],[BO UNITS HOLD]]</f>
        <v>0</v>
      </c>
      <c r="AC324" s="119" t="e">
        <f>INDEX([4]!Table_1[BO ID],MATCH(INVESTORS_LIST[[#This Row],[INVESTOR CODE]],[4]!Table_1[INVESTOR CODE],0))</f>
        <v>#REF!</v>
      </c>
      <c r="AD324" s="33">
        <f>INVESTORS_LIST[[#This Row],[LS_TOTAL COST VALUE OF CURRENT UNITS]]+INVESTORS_LIST[[#This Row],[SIP_TOTAL COST VALUE OF CURRENT UNITS]]</f>
        <v>0</v>
      </c>
      <c r="AE324" s="44">
        <f>IF(INVESTORS_LIST[[#This Row],[TOTAL CURRENT UNITS]]=0,0,INVESTORS_LIST[[#This Row],[LS_TOTAL CURRENT UNITS]]/INVESTORS_LIST[[#This Row],[TOTAL CURRENT UNITS]])</f>
        <v>0</v>
      </c>
      <c r="AF324" s="44">
        <f>IF(INVESTORS_LIST[[#This Row],[TOTAL CURRENT UNITS]]=0,0,INVESTORS_LIST[[#This Row],[SIP_TOTAL CURRENT UNITS]]/INVESTORS_LIST[[#This Row],[TOTAL CURRENT UNITS]])</f>
        <v>0</v>
      </c>
      <c r="AG324" s="4" cm="1">
        <f t="array" ref="AG32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24" s="4" cm="1">
        <f t="array" ref="AH3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2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24" s="178">
        <f t="shared" si="5"/>
        <v>12.552</v>
      </c>
      <c r="AK324" s="118">
        <f>IF(INVESTORS_LIST[[#This Row],[TOTAL CURRENT UNITS]]=0,0,INVESTORS_LIST[[#This Row],[TOTAL CURRENT UNITS]]*INVESTORS_LIST[[#This Row],[NAV]])</f>
        <v>0</v>
      </c>
      <c r="AL324" s="4">
        <f>IF(INVESTORS_LIST[[#This Row],[LS_TOTAL CURRENT UNITS]]=0,0,INVESTORS_LIST[[#This Row],[LS_TOTAL CURRENT UNITS]]*INVESTORS_LIST[[#This Row],[NAV]])</f>
        <v>0</v>
      </c>
      <c r="AM324" s="6">
        <f>IF(INVESTORS_LIST[[#This Row],[SIP_TOTAL CURRENT UNITS]]=0,0,INVESTORS_LIST[[#This Row],[SIP_TOTAL CURRENT UNITS]]*INVESTORS_LIST[[#This Row],[NAV]])</f>
        <v>0</v>
      </c>
      <c r="AO324" s="6">
        <f>IF(INVESTORS_LIST[[#This Row],[TOTAL SELLABLE UNITS]]=0,0,INVESTORS_LIST[[#This Row],[TOTAL SELLABLE UNITS]]*INVESTORS_LIST[[#This Row],[NAV]])</f>
        <v>0</v>
      </c>
      <c r="AP324" s="6">
        <f>INVESTORS_LIST[[#This Row],[LS_TOTAL REALIZED GAIN]]+INVESTORS_LIST[[#This Row],[SIP_TOTAL REALIZED GAIN]]</f>
        <v>9800.0000000000327</v>
      </c>
      <c r="AQ324" s="6">
        <f>INVESTORS_LIST[[#This Row],[TOTAL MARKET VALUE]]-INVESTORS_LIST[[#This Row],[TOTAL COST VALUE OF CURRENT INVESTMENT]]</f>
        <v>0</v>
      </c>
      <c r="AR324" s="6">
        <f>SUMIFS(DivAndTax[Tax Amount],DivAndTax[Investor ID],INVESTORS_LIST[[#This Row],[INVESTOR CODE]])</f>
        <v>0</v>
      </c>
      <c r="AS324" s="6">
        <f>SUMIFS(DivAndTax[Gross Dividend],DivAndTax[Investor ID],INVESTORS_LIST[[#This Row],[INVESTOR CODE]])</f>
        <v>0</v>
      </c>
      <c r="AT324" s="5">
        <f>IFERROR(INVESTORS_LIST[[#This Row],[TOTAL CURRENT UNITS]]/SUM(INVESTORS_LIST[TOTAL CURRENT UNITS]),0)</f>
        <v>0</v>
      </c>
    </row>
    <row r="325" spans="1:46" hidden="1">
      <c r="A325" t="s">
        <v>576</v>
      </c>
      <c r="B325" t="s">
        <v>577</v>
      </c>
      <c r="C325" t="s">
        <v>536</v>
      </c>
      <c r="D325" s="8" t="s">
        <v>2</v>
      </c>
      <c r="E325" s="2">
        <f>SUMIFS(LS[Unit],LS[Investor ID],INVESTORS_LIST[[#This Row],[INVESTOR CODE]],LS[B/S],"B")</f>
        <v>500000</v>
      </c>
      <c r="F325" s="2">
        <f>-SUMIFS(LS[Unit],LS[Investor ID],INVESTORS_LIST[[#This Row],[INVESTOR CODE]],LS[B/S],"S")</f>
        <v>500000</v>
      </c>
      <c r="G325" s="2">
        <f>IF(INVESTORS_LIST[[#This Row],[LS_TOTAL UNITS BUY]]=0,0,INVESTORS_LIST[[#This Row],[LS_TOTAL UNITS BUY]]-INVESTORS_LIST[[#This Row],[LS_TOTAL UNITS SOLD]])</f>
        <v>0</v>
      </c>
      <c r="H325" s="4">
        <f>IF(INVESTORS_LIST[[#This Row],[LS_TOTAL UNITS BUY]]=0,0,SUMIFS(LS[Amount],LS[Investor ID],INVESTORS_LIST[[#This Row],[INVESTOR CODE]],LS[B/S],"B"))</f>
        <v>5000000</v>
      </c>
      <c r="I325" s="6">
        <f>IF(INVESTORS_LIST[[#This Row],[LS_TOTAL UNITS SOLD]]=0,0,SUMIFS(LS[Cost of Units Sold],LS[Investor ID],INVESTORS_LIST[[#This Row],[INVESTOR CODE]],LS[B/S],"S"))</f>
        <v>5000000</v>
      </c>
      <c r="J325" s="6">
        <f>IF(INVESTORS_LIST[[#This Row],[LS_TOTAL CURRENT UNITS]]=0,0,INVESTORS_LIST[[#This Row],[LS_TOTAL CURRENT UNITS]]*INVESTORS_LIST[[#This Row],[LS_AVERAGE COST]])</f>
        <v>0</v>
      </c>
      <c r="K325" s="4">
        <f>IF(INVESTORS_LIST[[#This Row],[LS_TOTAL UNITS SOLD]]=0,0,SUMIFS(LS[Realized Gain],LS[Investor ID],INVESTORS_LIST[[#This Row],[INVESTOR CODE]],LS[B/S],"S"))</f>
        <v>-9999.9999999997872</v>
      </c>
      <c r="L325" s="2">
        <f>SUMIFS(SIP[Unit],SIP[Investor ID],INVESTORS_LIST[[#This Row],[INVESTOR CODE]],SIP[B/S],"B")</f>
        <v>0</v>
      </c>
      <c r="M325" s="2">
        <f>-SUMIFS(SIP[Unit],SIP[Investor ID],INVESTORS_LIST[[#This Row],[INVESTOR CODE]],SIP[B/S],"S")</f>
        <v>0</v>
      </c>
      <c r="N325" s="33">
        <f>IF(INVESTORS_LIST[[#This Row],[SIP_TOTAL UNITS BUY]]=0,0,INVESTORS_LIST[[#This Row],[SIP_TOTAL UNITS BUY]]-INVESTORS_LIST[[#This Row],[SIP_TOTAL UNITS SOLD]])</f>
        <v>0</v>
      </c>
      <c r="O325" s="4">
        <f>IF(INVESTORS_LIST[[#This Row],[SIP_TOTAL UNITS BUY]]=0,0,SUMIFS(SIP[Amount],SIP[Investor ID],INVESTORS_LIST[[#This Row],[INVESTOR CODE]],SIP[B/S],"B"))</f>
        <v>0</v>
      </c>
      <c r="P325" s="4">
        <f>IF(INVESTORS_LIST[[#This Row],[SIP_TOTAL UNITS SOLD]]=0,0,SUMIFS(SIP[Cost of Units Sold],SIP[Investor ID],INVESTORS_LIST[[#This Row],[INVESTOR CODE]],SIP[B/S],"S"))</f>
        <v>0</v>
      </c>
      <c r="Q325" s="6">
        <f>IF(INVESTORS_LIST[[#This Row],[SIP_TOTAL CURRENT UNITS]]=0,0,INVESTORS_LIST[[#This Row],[SIP_TOTAL CURRENT UNITS]]*INVESTORS_LIST[[#This Row],[SIP_AVERAGE COST]])</f>
        <v>0</v>
      </c>
      <c r="R325" s="6">
        <f>IF(INVESTORS_LIST[[#This Row],[SIP_TOTAL UNITS SOLD]]=0,0,SUMIFS(SIP[Realized Gain],SIP[Investor ID],INVESTORS_LIST[[#This Row],[INVESTOR CODE]],SIP[B/S],"S"))</f>
        <v>0</v>
      </c>
      <c r="S325" s="33">
        <f>INVESTORS_LIST[[#This Row],[LS_TOTAL UNITS BUY]]+INVESTORS_LIST[[#This Row],[SIP_TOTAL UNITS BUY]]</f>
        <v>500000</v>
      </c>
      <c r="T325" s="33">
        <f>INVESTORS_LIST[[#This Row],[LS_TOTAL UNITS SOLD]]+INVESTORS_LIST[[#This Row],[SIP_TOTAL UNITS SOLD]]</f>
        <v>500000</v>
      </c>
      <c r="U325" s="33">
        <v>0</v>
      </c>
      <c r="V325" s="33">
        <f>SUMIFS(LS[BO UNIT TRANSFER],LS[Investor ID],INVESTORS_LIST[[#This Row],[INVESTOR CODE]],LS[B/S],"B")</f>
        <v>0</v>
      </c>
      <c r="W325" s="33">
        <f>SUMIFS(LS[BO UNIT TRANSFER],LS[Investor ID],INVESTORS_LIST[[#This Row],[INVESTOR CODE]],LS[B/S],"S")</f>
        <v>0</v>
      </c>
      <c r="X325" s="33">
        <f>SUMIFS(SIP[BO UNIT TRANSFER],SIP[Investor ID],INVESTORS_LIST[[#This Row],[INVESTOR CODE]],SIP[B/S],"S")</f>
        <v>0</v>
      </c>
      <c r="Y325" s="33">
        <f>SUMIFS(SIP[BO UNIT TRANSFER],SIP[Investor ID],INVESTORS_LIST[[#This Row],[INVESTOR CODE]],SIP[B/S],"B")</f>
        <v>0</v>
      </c>
      <c r="Z32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25" s="119">
        <f>INVESTORS_LIST[[#This Row],[TOTAL UNITS BUY]]-INVESTORS_LIST[[#This Row],[TOTAL UNITS SOLD]]</f>
        <v>0</v>
      </c>
      <c r="AB325" s="119">
        <f>INVESTORS_LIST[[#This Row],[TOTAL CURRENT UNITS]]-INVESTORS_LIST[[#This Row],[BO UNITS HOLD]]</f>
        <v>0</v>
      </c>
      <c r="AC325" s="119" t="e">
        <f>INDEX([4]!Table_1[BO ID],MATCH(INVESTORS_LIST[[#This Row],[INVESTOR CODE]],[4]!Table_1[INVESTOR CODE],0))</f>
        <v>#REF!</v>
      </c>
      <c r="AD325" s="33">
        <f>INVESTORS_LIST[[#This Row],[LS_TOTAL COST VALUE OF CURRENT UNITS]]+INVESTORS_LIST[[#This Row],[SIP_TOTAL COST VALUE OF CURRENT UNITS]]</f>
        <v>0</v>
      </c>
      <c r="AE325" s="44">
        <f>IF(INVESTORS_LIST[[#This Row],[TOTAL CURRENT UNITS]]=0,0,INVESTORS_LIST[[#This Row],[LS_TOTAL CURRENT UNITS]]/INVESTORS_LIST[[#This Row],[TOTAL CURRENT UNITS]])</f>
        <v>0</v>
      </c>
      <c r="AF325" s="44">
        <f>IF(INVESTORS_LIST[[#This Row],[TOTAL CURRENT UNITS]]=0,0,INVESTORS_LIST[[#This Row],[SIP_TOTAL CURRENT UNITS]]/INVESTORS_LIST[[#This Row],[TOTAL CURRENT UNITS]])</f>
        <v>0</v>
      </c>
      <c r="AG325" s="4" cm="1">
        <f t="array" ref="AG3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25" s="4" cm="1">
        <f t="array" ref="AH3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2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25" s="178">
        <f t="shared" si="5"/>
        <v>12.552</v>
      </c>
      <c r="AK325" s="118">
        <f>IF(INVESTORS_LIST[[#This Row],[TOTAL CURRENT UNITS]]=0,0,INVESTORS_LIST[[#This Row],[TOTAL CURRENT UNITS]]*INVESTORS_LIST[[#This Row],[NAV]])</f>
        <v>0</v>
      </c>
      <c r="AL325" s="4">
        <f>IF(INVESTORS_LIST[[#This Row],[LS_TOTAL CURRENT UNITS]]=0,0,INVESTORS_LIST[[#This Row],[LS_TOTAL CURRENT UNITS]]*INVESTORS_LIST[[#This Row],[NAV]])</f>
        <v>0</v>
      </c>
      <c r="AM325" s="6">
        <f>IF(INVESTORS_LIST[[#This Row],[SIP_TOTAL CURRENT UNITS]]=0,0,INVESTORS_LIST[[#This Row],[SIP_TOTAL CURRENT UNITS]]*INVESTORS_LIST[[#This Row],[NAV]])</f>
        <v>0</v>
      </c>
      <c r="AO325" s="6">
        <f>IF(INVESTORS_LIST[[#This Row],[TOTAL SELLABLE UNITS]]=0,0,INVESTORS_LIST[[#This Row],[TOTAL SELLABLE UNITS]]*INVESTORS_LIST[[#This Row],[NAV]])</f>
        <v>0</v>
      </c>
      <c r="AP325" s="6">
        <f>INVESTORS_LIST[[#This Row],[LS_TOTAL REALIZED GAIN]]+INVESTORS_LIST[[#This Row],[SIP_TOTAL REALIZED GAIN]]</f>
        <v>-9999.9999999997872</v>
      </c>
      <c r="AQ325" s="6">
        <f>INVESTORS_LIST[[#This Row],[TOTAL MARKET VALUE]]-INVESTORS_LIST[[#This Row],[TOTAL COST VALUE OF CURRENT INVESTMENT]]</f>
        <v>0</v>
      </c>
      <c r="AR325" s="6">
        <f>SUMIFS(DivAndTax[Tax Amount],DivAndTax[Investor ID],INVESTORS_LIST[[#This Row],[INVESTOR CODE]])</f>
        <v>0</v>
      </c>
      <c r="AS325" s="6">
        <f>SUMIFS(DivAndTax[Gross Dividend],DivAndTax[Investor ID],INVESTORS_LIST[[#This Row],[INVESTOR CODE]])</f>
        <v>0</v>
      </c>
      <c r="AT325" s="5">
        <f>IFERROR(INVESTORS_LIST[[#This Row],[TOTAL CURRENT UNITS]]/SUM(INVESTORS_LIST[TOTAL CURRENT UNITS]),0)</f>
        <v>0</v>
      </c>
    </row>
    <row r="326" spans="1:46" hidden="1">
      <c r="A326" t="s">
        <v>578</v>
      </c>
      <c r="B326" t="s">
        <v>579</v>
      </c>
      <c r="C326" t="s">
        <v>536</v>
      </c>
      <c r="D326" s="8" t="s">
        <v>2</v>
      </c>
      <c r="E326" s="2">
        <f>SUMIFS(LS[Unit],LS[Investor ID],INVESTORS_LIST[[#This Row],[INVESTOR CODE]],LS[B/S],"B")</f>
        <v>300000</v>
      </c>
      <c r="F326" s="2">
        <f>-SUMIFS(LS[Unit],LS[Investor ID],INVESTORS_LIST[[#This Row],[INVESTOR CODE]],LS[B/S],"S")</f>
        <v>300000</v>
      </c>
      <c r="G326" s="2">
        <f>IF(INVESTORS_LIST[[#This Row],[LS_TOTAL UNITS BUY]]=0,0,INVESTORS_LIST[[#This Row],[LS_TOTAL UNITS BUY]]-INVESTORS_LIST[[#This Row],[LS_TOTAL UNITS SOLD]])</f>
        <v>0</v>
      </c>
      <c r="H326" s="4">
        <f>IF(INVESTORS_LIST[[#This Row],[LS_TOTAL UNITS BUY]]=0,0,SUMIFS(LS[Amount],LS[Investor ID],INVESTORS_LIST[[#This Row],[INVESTOR CODE]],LS[B/S],"B"))</f>
        <v>3000000</v>
      </c>
      <c r="I326" s="6">
        <f>IF(INVESTORS_LIST[[#This Row],[LS_TOTAL UNITS SOLD]]=0,0,SUMIFS(LS[Cost of Units Sold],LS[Investor ID],INVESTORS_LIST[[#This Row],[INVESTOR CODE]],LS[B/S],"S"))</f>
        <v>3000000</v>
      </c>
      <c r="J326" s="6">
        <f>IF(INVESTORS_LIST[[#This Row],[LS_TOTAL CURRENT UNITS]]=0,0,INVESTORS_LIST[[#This Row],[LS_TOTAL CURRENT UNITS]]*INVESTORS_LIST[[#This Row],[LS_AVERAGE COST]])</f>
        <v>0</v>
      </c>
      <c r="K326" s="4">
        <f>IF(INVESTORS_LIST[[#This Row],[LS_TOTAL UNITS SOLD]]=0,0,SUMIFS(LS[Realized Gain],LS[Investor ID],INVESTORS_LIST[[#This Row],[INVESTOR CODE]],LS[B/S],"S"))</f>
        <v>248399.99999999983</v>
      </c>
      <c r="L326" s="2">
        <f>SUMIFS(SIP[Unit],SIP[Investor ID],INVESTORS_LIST[[#This Row],[INVESTOR CODE]],SIP[B/S],"B")</f>
        <v>0</v>
      </c>
      <c r="M326" s="2">
        <f>-SUMIFS(SIP[Unit],SIP[Investor ID],INVESTORS_LIST[[#This Row],[INVESTOR CODE]],SIP[B/S],"S")</f>
        <v>0</v>
      </c>
      <c r="N326" s="33">
        <f>IF(INVESTORS_LIST[[#This Row],[SIP_TOTAL UNITS BUY]]=0,0,INVESTORS_LIST[[#This Row],[SIP_TOTAL UNITS BUY]]-INVESTORS_LIST[[#This Row],[SIP_TOTAL UNITS SOLD]])</f>
        <v>0</v>
      </c>
      <c r="O326" s="4">
        <f>IF(INVESTORS_LIST[[#This Row],[SIP_TOTAL UNITS BUY]]=0,0,SUMIFS(SIP[Amount],SIP[Investor ID],INVESTORS_LIST[[#This Row],[INVESTOR CODE]],SIP[B/S],"B"))</f>
        <v>0</v>
      </c>
      <c r="P326" s="4">
        <f>IF(INVESTORS_LIST[[#This Row],[SIP_TOTAL UNITS SOLD]]=0,0,SUMIFS(SIP[Cost of Units Sold],SIP[Investor ID],INVESTORS_LIST[[#This Row],[INVESTOR CODE]],SIP[B/S],"S"))</f>
        <v>0</v>
      </c>
      <c r="Q326" s="6">
        <f>IF(INVESTORS_LIST[[#This Row],[SIP_TOTAL CURRENT UNITS]]=0,0,INVESTORS_LIST[[#This Row],[SIP_TOTAL CURRENT UNITS]]*INVESTORS_LIST[[#This Row],[SIP_AVERAGE COST]])</f>
        <v>0</v>
      </c>
      <c r="R326" s="6">
        <f>IF(INVESTORS_LIST[[#This Row],[SIP_TOTAL UNITS SOLD]]=0,0,SUMIFS(SIP[Realized Gain],SIP[Investor ID],INVESTORS_LIST[[#This Row],[INVESTOR CODE]],SIP[B/S],"S"))</f>
        <v>0</v>
      </c>
      <c r="S326" s="33">
        <f>INVESTORS_LIST[[#This Row],[LS_TOTAL UNITS BUY]]+INVESTORS_LIST[[#This Row],[SIP_TOTAL UNITS BUY]]</f>
        <v>300000</v>
      </c>
      <c r="T326" s="33">
        <f>INVESTORS_LIST[[#This Row],[LS_TOTAL UNITS SOLD]]+INVESTORS_LIST[[#This Row],[SIP_TOTAL UNITS SOLD]]</f>
        <v>300000</v>
      </c>
      <c r="U326" s="33">
        <v>0</v>
      </c>
      <c r="V326" s="33">
        <f>SUMIFS(LS[BO UNIT TRANSFER],LS[Investor ID],INVESTORS_LIST[[#This Row],[INVESTOR CODE]],LS[B/S],"B")</f>
        <v>0</v>
      </c>
      <c r="W326" s="33">
        <f>SUMIFS(LS[BO UNIT TRANSFER],LS[Investor ID],INVESTORS_LIST[[#This Row],[INVESTOR CODE]],LS[B/S],"S")</f>
        <v>0</v>
      </c>
      <c r="X326" s="33">
        <f>SUMIFS(SIP[BO UNIT TRANSFER],SIP[Investor ID],INVESTORS_LIST[[#This Row],[INVESTOR CODE]],SIP[B/S],"S")</f>
        <v>0</v>
      </c>
      <c r="Y326" s="33">
        <f>SUMIFS(SIP[BO UNIT TRANSFER],SIP[Investor ID],INVESTORS_LIST[[#This Row],[INVESTOR CODE]],SIP[B/S],"B")</f>
        <v>0</v>
      </c>
      <c r="Z32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26" s="119">
        <f>INVESTORS_LIST[[#This Row],[TOTAL UNITS BUY]]-INVESTORS_LIST[[#This Row],[TOTAL UNITS SOLD]]</f>
        <v>0</v>
      </c>
      <c r="AB326" s="119">
        <f>INVESTORS_LIST[[#This Row],[TOTAL CURRENT UNITS]]-INVESTORS_LIST[[#This Row],[BO UNITS HOLD]]</f>
        <v>0</v>
      </c>
      <c r="AC326" s="119" t="e">
        <f>INDEX([4]!Table_1[BO ID],MATCH(INVESTORS_LIST[[#This Row],[INVESTOR CODE]],[4]!Table_1[INVESTOR CODE],0))</f>
        <v>#REF!</v>
      </c>
      <c r="AD326" s="33">
        <f>INVESTORS_LIST[[#This Row],[LS_TOTAL COST VALUE OF CURRENT UNITS]]+INVESTORS_LIST[[#This Row],[SIP_TOTAL COST VALUE OF CURRENT UNITS]]</f>
        <v>0</v>
      </c>
      <c r="AE326" s="44">
        <f>IF(INVESTORS_LIST[[#This Row],[TOTAL CURRENT UNITS]]=0,0,INVESTORS_LIST[[#This Row],[LS_TOTAL CURRENT UNITS]]/INVESTORS_LIST[[#This Row],[TOTAL CURRENT UNITS]])</f>
        <v>0</v>
      </c>
      <c r="AF326" s="44">
        <f>IF(INVESTORS_LIST[[#This Row],[TOTAL CURRENT UNITS]]=0,0,INVESTORS_LIST[[#This Row],[SIP_TOTAL CURRENT UNITS]]/INVESTORS_LIST[[#This Row],[TOTAL CURRENT UNITS]])</f>
        <v>0</v>
      </c>
      <c r="AG326" s="4" cm="1">
        <f t="array" ref="AG32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26" s="4" cm="1">
        <f t="array" ref="AH3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2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26" s="178">
        <f t="shared" si="5"/>
        <v>12.552</v>
      </c>
      <c r="AK326" s="118">
        <f>IF(INVESTORS_LIST[[#This Row],[TOTAL CURRENT UNITS]]=0,0,INVESTORS_LIST[[#This Row],[TOTAL CURRENT UNITS]]*INVESTORS_LIST[[#This Row],[NAV]])</f>
        <v>0</v>
      </c>
      <c r="AL326" s="4">
        <f>IF(INVESTORS_LIST[[#This Row],[LS_TOTAL CURRENT UNITS]]=0,0,INVESTORS_LIST[[#This Row],[LS_TOTAL CURRENT UNITS]]*INVESTORS_LIST[[#This Row],[NAV]])</f>
        <v>0</v>
      </c>
      <c r="AM326" s="6">
        <f>IF(INVESTORS_LIST[[#This Row],[SIP_TOTAL CURRENT UNITS]]=0,0,INVESTORS_LIST[[#This Row],[SIP_TOTAL CURRENT UNITS]]*INVESTORS_LIST[[#This Row],[NAV]])</f>
        <v>0</v>
      </c>
      <c r="AO326" s="6">
        <f>IF(INVESTORS_LIST[[#This Row],[TOTAL SELLABLE UNITS]]=0,0,INVESTORS_LIST[[#This Row],[TOTAL SELLABLE UNITS]]*INVESTORS_LIST[[#This Row],[NAV]])</f>
        <v>0</v>
      </c>
      <c r="AP326" s="6">
        <f>INVESTORS_LIST[[#This Row],[LS_TOTAL REALIZED GAIN]]+INVESTORS_LIST[[#This Row],[SIP_TOTAL REALIZED GAIN]]</f>
        <v>248399.99999999983</v>
      </c>
      <c r="AQ326" s="6">
        <f>INVESTORS_LIST[[#This Row],[TOTAL MARKET VALUE]]-INVESTORS_LIST[[#This Row],[TOTAL COST VALUE OF CURRENT INVESTMENT]]</f>
        <v>0</v>
      </c>
      <c r="AR326" s="6">
        <f>SUMIFS(DivAndTax[Tax Amount],DivAndTax[Investor ID],INVESTORS_LIST[[#This Row],[INVESTOR CODE]])</f>
        <v>11250</v>
      </c>
      <c r="AS326" s="6">
        <f>SUMIFS(DivAndTax[Gross Dividend],DivAndTax[Investor ID],INVESTORS_LIST[[#This Row],[INVESTOR CODE]])</f>
        <v>75000</v>
      </c>
      <c r="AT326" s="5">
        <f>IFERROR(INVESTORS_LIST[[#This Row],[TOTAL CURRENT UNITS]]/SUM(INVESTORS_LIST[TOTAL CURRENT UNITS]),0)</f>
        <v>0</v>
      </c>
    </row>
    <row r="327" spans="1:46" hidden="1">
      <c r="A327" t="s">
        <v>582</v>
      </c>
      <c r="B327" t="s">
        <v>580</v>
      </c>
      <c r="C327" t="s">
        <v>537</v>
      </c>
      <c r="D327" s="8" t="s">
        <v>5</v>
      </c>
      <c r="E327" s="2">
        <f>SUMIFS(LS[Unit],LS[Investor ID],INVESTORS_LIST[[#This Row],[INVESTOR CODE]],LS[B/S],"B")</f>
        <v>30000</v>
      </c>
      <c r="F327" s="2">
        <f>-SUMIFS(LS[Unit],LS[Investor ID],INVESTORS_LIST[[#This Row],[INVESTOR CODE]],LS[B/S],"S")</f>
        <v>30000</v>
      </c>
      <c r="G327" s="2">
        <f>IF(INVESTORS_LIST[[#This Row],[LS_TOTAL UNITS BUY]]=0,0,INVESTORS_LIST[[#This Row],[LS_TOTAL UNITS BUY]]-INVESTORS_LIST[[#This Row],[LS_TOTAL UNITS SOLD]])</f>
        <v>0</v>
      </c>
      <c r="H327" s="4">
        <f>IF(INVESTORS_LIST[[#This Row],[LS_TOTAL UNITS BUY]]=0,0,SUMIFS(LS[Amount],LS[Investor ID],INVESTORS_LIST[[#This Row],[INVESTOR CODE]],LS[B/S],"B"))</f>
        <v>300000</v>
      </c>
      <c r="I327" s="6">
        <f>IF(INVESTORS_LIST[[#This Row],[LS_TOTAL UNITS SOLD]]=0,0,SUMIFS(LS[Cost of Units Sold],LS[Investor ID],INVESTORS_LIST[[#This Row],[INVESTOR CODE]],LS[B/S],"S"))</f>
        <v>300000</v>
      </c>
      <c r="J327" s="6">
        <f>IF(INVESTORS_LIST[[#This Row],[LS_TOTAL CURRENT UNITS]]=0,0,INVESTORS_LIST[[#This Row],[LS_TOTAL CURRENT UNITS]]*INVESTORS_LIST[[#This Row],[LS_AVERAGE COST]])</f>
        <v>0</v>
      </c>
      <c r="K327" s="4">
        <f>IF(INVESTORS_LIST[[#This Row],[LS_TOTAL UNITS SOLD]]=0,0,SUMIFS(LS[Realized Gain],LS[Investor ID],INVESTORS_LIST[[#This Row],[INVESTOR CODE]],LS[B/S],"S"))</f>
        <v>-1199.9999999999745</v>
      </c>
      <c r="L327" s="2">
        <f>SUMIFS(SIP[Unit],SIP[Investor ID],INVESTORS_LIST[[#This Row],[INVESTOR CODE]],SIP[B/S],"B")</f>
        <v>0</v>
      </c>
      <c r="M327" s="2">
        <f>-SUMIFS(SIP[Unit],SIP[Investor ID],INVESTORS_LIST[[#This Row],[INVESTOR CODE]],SIP[B/S],"S")</f>
        <v>0</v>
      </c>
      <c r="N327" s="33">
        <f>IF(INVESTORS_LIST[[#This Row],[SIP_TOTAL UNITS BUY]]=0,0,INVESTORS_LIST[[#This Row],[SIP_TOTAL UNITS BUY]]-INVESTORS_LIST[[#This Row],[SIP_TOTAL UNITS SOLD]])</f>
        <v>0</v>
      </c>
      <c r="O327" s="4">
        <f>IF(INVESTORS_LIST[[#This Row],[SIP_TOTAL UNITS BUY]]=0,0,SUMIFS(SIP[Amount],SIP[Investor ID],INVESTORS_LIST[[#This Row],[INVESTOR CODE]],SIP[B/S],"B"))</f>
        <v>0</v>
      </c>
      <c r="P327" s="4">
        <f>IF(INVESTORS_LIST[[#This Row],[SIP_TOTAL UNITS SOLD]]=0,0,SUMIFS(SIP[Cost of Units Sold],SIP[Investor ID],INVESTORS_LIST[[#This Row],[INVESTOR CODE]],SIP[B/S],"S"))</f>
        <v>0</v>
      </c>
      <c r="Q327" s="6">
        <f>IF(INVESTORS_LIST[[#This Row],[SIP_TOTAL CURRENT UNITS]]=0,0,INVESTORS_LIST[[#This Row],[SIP_TOTAL CURRENT UNITS]]*INVESTORS_LIST[[#This Row],[SIP_AVERAGE COST]])</f>
        <v>0</v>
      </c>
      <c r="R327" s="6">
        <f>IF(INVESTORS_LIST[[#This Row],[SIP_TOTAL UNITS SOLD]]=0,0,SUMIFS(SIP[Realized Gain],SIP[Investor ID],INVESTORS_LIST[[#This Row],[INVESTOR CODE]],SIP[B/S],"S"))</f>
        <v>0</v>
      </c>
      <c r="S327" s="33">
        <f>INVESTORS_LIST[[#This Row],[LS_TOTAL UNITS BUY]]+INVESTORS_LIST[[#This Row],[SIP_TOTAL UNITS BUY]]</f>
        <v>30000</v>
      </c>
      <c r="T327" s="33">
        <f>INVESTORS_LIST[[#This Row],[LS_TOTAL UNITS SOLD]]+INVESTORS_LIST[[#This Row],[SIP_TOTAL UNITS SOLD]]</f>
        <v>30000</v>
      </c>
      <c r="U327" s="33">
        <v>0</v>
      </c>
      <c r="V327" s="33">
        <f>SUMIFS(LS[BO UNIT TRANSFER],LS[Investor ID],INVESTORS_LIST[[#This Row],[INVESTOR CODE]],LS[B/S],"B")</f>
        <v>0</v>
      </c>
      <c r="W327" s="33">
        <f>SUMIFS(LS[BO UNIT TRANSFER],LS[Investor ID],INVESTORS_LIST[[#This Row],[INVESTOR CODE]],LS[B/S],"S")</f>
        <v>0</v>
      </c>
      <c r="X327" s="33">
        <f>SUMIFS(SIP[BO UNIT TRANSFER],SIP[Investor ID],INVESTORS_LIST[[#This Row],[INVESTOR CODE]],SIP[B/S],"S")</f>
        <v>0</v>
      </c>
      <c r="Y327" s="33">
        <f>SUMIFS(SIP[BO UNIT TRANSFER],SIP[Investor ID],INVESTORS_LIST[[#This Row],[INVESTOR CODE]],SIP[B/S],"B")</f>
        <v>0</v>
      </c>
      <c r="Z32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27" s="119">
        <f>INVESTORS_LIST[[#This Row],[TOTAL UNITS BUY]]-INVESTORS_LIST[[#This Row],[TOTAL UNITS SOLD]]</f>
        <v>0</v>
      </c>
      <c r="AB327" s="119">
        <f>INVESTORS_LIST[[#This Row],[TOTAL CURRENT UNITS]]-INVESTORS_LIST[[#This Row],[BO UNITS HOLD]]</f>
        <v>0</v>
      </c>
      <c r="AC327" s="119" t="e">
        <f>INDEX([4]!Table_1[BO ID],MATCH(INVESTORS_LIST[[#This Row],[INVESTOR CODE]],[4]!Table_1[INVESTOR CODE],0))</f>
        <v>#REF!</v>
      </c>
      <c r="AD327" s="33">
        <f>INVESTORS_LIST[[#This Row],[LS_TOTAL COST VALUE OF CURRENT UNITS]]+INVESTORS_LIST[[#This Row],[SIP_TOTAL COST VALUE OF CURRENT UNITS]]</f>
        <v>0</v>
      </c>
      <c r="AE327" s="44">
        <f>IF(INVESTORS_LIST[[#This Row],[TOTAL CURRENT UNITS]]=0,0,INVESTORS_LIST[[#This Row],[LS_TOTAL CURRENT UNITS]]/INVESTORS_LIST[[#This Row],[TOTAL CURRENT UNITS]])</f>
        <v>0</v>
      </c>
      <c r="AF327" s="44">
        <f>IF(INVESTORS_LIST[[#This Row],[TOTAL CURRENT UNITS]]=0,0,INVESTORS_LIST[[#This Row],[SIP_TOTAL CURRENT UNITS]]/INVESTORS_LIST[[#This Row],[TOTAL CURRENT UNITS]])</f>
        <v>0</v>
      </c>
      <c r="AG327" s="4" cm="1">
        <f t="array" ref="AG32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27" s="4" cm="1">
        <f t="array" ref="AH32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2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27" s="178">
        <f t="shared" si="5"/>
        <v>12.552</v>
      </c>
      <c r="AK327" s="118">
        <f>IF(INVESTORS_LIST[[#This Row],[TOTAL CURRENT UNITS]]=0,0,INVESTORS_LIST[[#This Row],[TOTAL CURRENT UNITS]]*INVESTORS_LIST[[#This Row],[NAV]])</f>
        <v>0</v>
      </c>
      <c r="AL327" s="4">
        <f>IF(INVESTORS_LIST[[#This Row],[LS_TOTAL CURRENT UNITS]]=0,0,INVESTORS_LIST[[#This Row],[LS_TOTAL CURRENT UNITS]]*INVESTORS_LIST[[#This Row],[NAV]])</f>
        <v>0</v>
      </c>
      <c r="AM327" s="6">
        <f>IF(INVESTORS_LIST[[#This Row],[SIP_TOTAL CURRENT UNITS]]=0,0,INVESTORS_LIST[[#This Row],[SIP_TOTAL CURRENT UNITS]]*INVESTORS_LIST[[#This Row],[NAV]])</f>
        <v>0</v>
      </c>
      <c r="AO327" s="6">
        <f>IF(INVESTORS_LIST[[#This Row],[TOTAL SELLABLE UNITS]]=0,0,INVESTORS_LIST[[#This Row],[TOTAL SELLABLE UNITS]]*INVESTORS_LIST[[#This Row],[NAV]])</f>
        <v>0</v>
      </c>
      <c r="AP327" s="6">
        <f>INVESTORS_LIST[[#This Row],[LS_TOTAL REALIZED GAIN]]+INVESTORS_LIST[[#This Row],[SIP_TOTAL REALIZED GAIN]]</f>
        <v>-1199.9999999999745</v>
      </c>
      <c r="AQ327" s="6">
        <f>INVESTORS_LIST[[#This Row],[TOTAL MARKET VALUE]]-INVESTORS_LIST[[#This Row],[TOTAL COST VALUE OF CURRENT INVESTMENT]]</f>
        <v>0</v>
      </c>
      <c r="AR327" s="6">
        <f>SUMIFS(DivAndTax[Tax Amount],DivAndTax[Investor ID],INVESTORS_LIST[[#This Row],[INVESTOR CODE]])</f>
        <v>0</v>
      </c>
      <c r="AS327" s="6">
        <f>SUMIFS(DivAndTax[Gross Dividend],DivAndTax[Investor ID],INVESTORS_LIST[[#This Row],[INVESTOR CODE]])</f>
        <v>0</v>
      </c>
      <c r="AT327" s="5">
        <f>IFERROR(INVESTORS_LIST[[#This Row],[TOTAL CURRENT UNITS]]/SUM(INVESTORS_LIST[TOTAL CURRENT UNITS]),0)</f>
        <v>0</v>
      </c>
    </row>
    <row r="328" spans="1:46">
      <c r="A328" t="s">
        <v>583</v>
      </c>
      <c r="B328" t="s">
        <v>581</v>
      </c>
      <c r="C328" t="s">
        <v>536</v>
      </c>
      <c r="D328" s="8" t="s">
        <v>2</v>
      </c>
      <c r="E328" s="2">
        <f>SUMIFS(LS[Unit],LS[Investor ID],INVESTORS_LIST[[#This Row],[INVESTOR CODE]],LS[B/S],"B")</f>
        <v>43793</v>
      </c>
      <c r="F328" s="2">
        <f>-SUMIFS(LS[Unit],LS[Investor ID],INVESTORS_LIST[[#This Row],[INVESTOR CODE]],LS[B/S],"S")</f>
        <v>0</v>
      </c>
      <c r="G328" s="2">
        <f>IF(INVESTORS_LIST[[#This Row],[LS_TOTAL UNITS BUY]]=0,0,INVESTORS_LIST[[#This Row],[LS_TOTAL UNITS BUY]]-INVESTORS_LIST[[#This Row],[LS_TOTAL UNITS SOLD]])</f>
        <v>43793</v>
      </c>
      <c r="H328" s="4">
        <f>IF(INVESTORS_LIST[[#This Row],[LS_TOTAL UNITS BUY]]=0,0,SUMIFS(LS[Amount],LS[Investor ID],INVESTORS_LIST[[#This Row],[INVESTOR CODE]],LS[B/S],"B"))</f>
        <v>442342.64999999997</v>
      </c>
      <c r="I328" s="6">
        <f>IF(INVESTORS_LIST[[#This Row],[LS_TOTAL UNITS SOLD]]=0,0,SUMIFS(LS[Cost of Units Sold],LS[Investor ID],INVESTORS_LIST[[#This Row],[INVESTOR CODE]],LS[B/S],"S"))</f>
        <v>0</v>
      </c>
      <c r="J328" s="6">
        <f>IF(INVESTORS_LIST[[#This Row],[LS_TOTAL CURRENT UNITS]]=0,0,INVESTORS_LIST[[#This Row],[LS_TOTAL CURRENT UNITS]]*INVESTORS_LIST[[#This Row],[LS_AVERAGE COST]])</f>
        <v>442342.65</v>
      </c>
      <c r="K328" s="4">
        <f>IF(INVESTORS_LIST[[#This Row],[LS_TOTAL UNITS SOLD]]=0,0,SUMIFS(LS[Realized Gain],LS[Investor ID],INVESTORS_LIST[[#This Row],[INVESTOR CODE]],LS[B/S],"S"))</f>
        <v>0</v>
      </c>
      <c r="L328" s="2">
        <f>SUMIFS(SIP[Unit],SIP[Investor ID],INVESTORS_LIST[[#This Row],[INVESTOR CODE]],SIP[B/S],"B")</f>
        <v>0</v>
      </c>
      <c r="M328" s="2">
        <f>-SUMIFS(SIP[Unit],SIP[Investor ID],INVESTORS_LIST[[#This Row],[INVESTOR CODE]],SIP[B/S],"S")</f>
        <v>0</v>
      </c>
      <c r="N328" s="33">
        <f>IF(INVESTORS_LIST[[#This Row],[SIP_TOTAL UNITS BUY]]=0,0,INVESTORS_LIST[[#This Row],[SIP_TOTAL UNITS BUY]]-INVESTORS_LIST[[#This Row],[SIP_TOTAL UNITS SOLD]])</f>
        <v>0</v>
      </c>
      <c r="O328" s="4">
        <f>IF(INVESTORS_LIST[[#This Row],[SIP_TOTAL UNITS BUY]]=0,0,SUMIFS(SIP[Amount],SIP[Investor ID],INVESTORS_LIST[[#This Row],[INVESTOR CODE]],SIP[B/S],"B"))</f>
        <v>0</v>
      </c>
      <c r="P328" s="4">
        <f>IF(INVESTORS_LIST[[#This Row],[SIP_TOTAL UNITS SOLD]]=0,0,SUMIFS(SIP[Cost of Units Sold],SIP[Investor ID],INVESTORS_LIST[[#This Row],[INVESTOR CODE]],SIP[B/S],"S"))</f>
        <v>0</v>
      </c>
      <c r="Q328" s="6">
        <f>IF(INVESTORS_LIST[[#This Row],[SIP_TOTAL CURRENT UNITS]]=0,0,INVESTORS_LIST[[#This Row],[SIP_TOTAL CURRENT UNITS]]*INVESTORS_LIST[[#This Row],[SIP_AVERAGE COST]])</f>
        <v>0</v>
      </c>
      <c r="R328" s="6">
        <f>IF(INVESTORS_LIST[[#This Row],[SIP_TOTAL UNITS SOLD]]=0,0,SUMIFS(SIP[Realized Gain],SIP[Investor ID],INVESTORS_LIST[[#This Row],[INVESTOR CODE]],SIP[B/S],"S"))</f>
        <v>0</v>
      </c>
      <c r="S328" s="33">
        <f>INVESTORS_LIST[[#This Row],[LS_TOTAL UNITS BUY]]+INVESTORS_LIST[[#This Row],[SIP_TOTAL UNITS BUY]]</f>
        <v>43793</v>
      </c>
      <c r="T328" s="33">
        <f>INVESTORS_LIST[[#This Row],[LS_TOTAL UNITS SOLD]]+INVESTORS_LIST[[#This Row],[SIP_TOTAL UNITS SOLD]]</f>
        <v>0</v>
      </c>
      <c r="U328" s="33">
        <v>0</v>
      </c>
      <c r="V328" s="33">
        <f>SUMIFS(LS[BO UNIT TRANSFER],LS[Investor ID],INVESTORS_LIST[[#This Row],[INVESTOR CODE]],LS[B/S],"B")</f>
        <v>0</v>
      </c>
      <c r="W328" s="33">
        <f>SUMIFS(LS[BO UNIT TRANSFER],LS[Investor ID],INVESTORS_LIST[[#This Row],[INVESTOR CODE]],LS[B/S],"S")</f>
        <v>0</v>
      </c>
      <c r="X328" s="33">
        <f>SUMIFS(SIP[BO UNIT TRANSFER],SIP[Investor ID],INVESTORS_LIST[[#This Row],[INVESTOR CODE]],SIP[B/S],"S")</f>
        <v>0</v>
      </c>
      <c r="Y328" s="33">
        <f>SUMIFS(SIP[BO UNIT TRANSFER],SIP[Investor ID],INVESTORS_LIST[[#This Row],[INVESTOR CODE]],SIP[B/S],"B")</f>
        <v>0</v>
      </c>
      <c r="Z32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28" s="119">
        <f>INVESTORS_LIST[[#This Row],[TOTAL UNITS BUY]]-INVESTORS_LIST[[#This Row],[TOTAL UNITS SOLD]]</f>
        <v>43793</v>
      </c>
      <c r="AB328" s="119">
        <f>INVESTORS_LIST[[#This Row],[TOTAL CURRENT UNITS]]-INVESTORS_LIST[[#This Row],[BO UNITS HOLD]]</f>
        <v>43793</v>
      </c>
      <c r="AC328" s="119" t="e">
        <f>INDEX([4]!Table_1[BO ID],MATCH(INVESTORS_LIST[[#This Row],[INVESTOR CODE]],[4]!Table_1[INVESTOR CODE],0))</f>
        <v>#REF!</v>
      </c>
      <c r="AD328" s="33">
        <f>INVESTORS_LIST[[#This Row],[LS_TOTAL COST VALUE OF CURRENT UNITS]]+INVESTORS_LIST[[#This Row],[SIP_TOTAL COST VALUE OF CURRENT UNITS]]</f>
        <v>442342.65</v>
      </c>
      <c r="AE328" s="44">
        <f>IF(INVESTORS_LIST[[#This Row],[TOTAL CURRENT UNITS]]=0,0,INVESTORS_LIST[[#This Row],[LS_TOTAL CURRENT UNITS]]/INVESTORS_LIST[[#This Row],[TOTAL CURRENT UNITS]])</f>
        <v>1</v>
      </c>
      <c r="AF328" s="44">
        <f>IF(INVESTORS_LIST[[#This Row],[TOTAL CURRENT UNITS]]=0,0,INVESTORS_LIST[[#This Row],[SIP_TOTAL CURRENT UNITS]]/INVESTORS_LIST[[#This Row],[TOTAL CURRENT UNITS]])</f>
        <v>0</v>
      </c>
      <c r="AG328" s="4" cm="1">
        <f t="array" ref="AG328">IF(INVESTORS_LIST[[#This Row],[LS_TOTAL UNITS BUY]]&gt;0,INDEX(LS[NAV at Cost (Average)],MATCH(CONCATENATE(COUNTIFS(LS[Investor ID],INVESTORS_LIST[[#This Row],[INVESTOR CODE]]),INVESTORS_LIST[[#This Row],[INVESTOR CODE]]),LS[Unique Code],0),),0)</f>
        <v>10.100761537231978</v>
      </c>
      <c r="AH328" s="4" cm="1">
        <f t="array" ref="AH3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28" s="178">
        <f>IF(INVESTORS_LIST[[#This Row],[TOTAL CURRENT UNITS]]=0,0,(INVESTORS_LIST[[#This Row],[LS_WEIGHT]]*INVESTORS_LIST[[#This Row],[LS_AVERAGE COST]])+(INVESTORS_LIST[[#This Row],[SIP_WEIGHT]]*INVESTORS_LIST[[#This Row],[SIP_AVERAGE COST]]))</f>
        <v>10.100761537231978</v>
      </c>
      <c r="AJ328" s="178">
        <f t="shared" si="5"/>
        <v>12.552</v>
      </c>
      <c r="AK328" s="118">
        <f>IF(INVESTORS_LIST[[#This Row],[TOTAL CURRENT UNITS]]=0,0,INVESTORS_LIST[[#This Row],[TOTAL CURRENT UNITS]]*INVESTORS_LIST[[#This Row],[NAV]])</f>
        <v>549689.73600000003</v>
      </c>
      <c r="AL328" s="4">
        <f>IF(INVESTORS_LIST[[#This Row],[LS_TOTAL CURRENT UNITS]]=0,0,INVESTORS_LIST[[#This Row],[LS_TOTAL CURRENT UNITS]]*INVESTORS_LIST[[#This Row],[NAV]])</f>
        <v>549689.73600000003</v>
      </c>
      <c r="AM328" s="6">
        <f>IF(INVESTORS_LIST[[#This Row],[SIP_TOTAL CURRENT UNITS]]=0,0,INVESTORS_LIST[[#This Row],[SIP_TOTAL CURRENT UNITS]]*INVESTORS_LIST[[#This Row],[NAV]])</f>
        <v>0</v>
      </c>
      <c r="AO328" s="6">
        <f>IF(INVESTORS_LIST[[#This Row],[TOTAL SELLABLE UNITS]]=0,0,INVESTORS_LIST[[#This Row],[TOTAL SELLABLE UNITS]]*INVESTORS_LIST[[#This Row],[NAV]])</f>
        <v>0</v>
      </c>
      <c r="AP328" s="6">
        <f>INVESTORS_LIST[[#This Row],[LS_TOTAL REALIZED GAIN]]+INVESTORS_LIST[[#This Row],[SIP_TOTAL REALIZED GAIN]]</f>
        <v>0</v>
      </c>
      <c r="AQ328" s="6">
        <f>INVESTORS_LIST[[#This Row],[TOTAL MARKET VALUE]]-INVESTORS_LIST[[#This Row],[TOTAL COST VALUE OF CURRENT INVESTMENT]]</f>
        <v>107347.08600000001</v>
      </c>
      <c r="AR328" s="6">
        <f>SUMIFS(DivAndTax[Tax Amount],DivAndTax[Investor ID],INVESTORS_LIST[[#This Row],[INVESTOR CODE]])</f>
        <v>4538.84</v>
      </c>
      <c r="AS328" s="6">
        <f>SUMIFS(DivAndTax[Gross Dividend],DivAndTax[Investor ID],INVESTORS_LIST[[#This Row],[INVESTOR CODE]])</f>
        <v>45388.35</v>
      </c>
      <c r="AT328" s="5">
        <f>IFERROR(INVESTORS_LIST[[#This Row],[TOTAL CURRENT UNITS]]/SUM(INVESTORS_LIST[TOTAL CURRENT UNITS]),0)</f>
        <v>2.0996481616224224E-3</v>
      </c>
    </row>
    <row r="329" spans="1:46" hidden="1">
      <c r="A329" t="s">
        <v>584</v>
      </c>
      <c r="B329" t="s">
        <v>585</v>
      </c>
      <c r="C329" t="s">
        <v>536</v>
      </c>
      <c r="D329" s="8" t="s">
        <v>2</v>
      </c>
      <c r="E329" s="2">
        <f>SUMIFS(LS[Unit],LS[Investor ID],INVESTORS_LIST[[#This Row],[INVESTOR CODE]],LS[B/S],"B")</f>
        <v>0</v>
      </c>
      <c r="F329" s="2">
        <f>-SUMIFS(LS[Unit],LS[Investor ID],INVESTORS_LIST[[#This Row],[INVESTOR CODE]],LS[B/S],"S")</f>
        <v>0</v>
      </c>
      <c r="G329" s="2">
        <f>IF(INVESTORS_LIST[[#This Row],[LS_TOTAL UNITS BUY]]=0,0,INVESTORS_LIST[[#This Row],[LS_TOTAL UNITS BUY]]-INVESTORS_LIST[[#This Row],[LS_TOTAL UNITS SOLD]])</f>
        <v>0</v>
      </c>
      <c r="H329" s="4">
        <f>IF(INVESTORS_LIST[[#This Row],[LS_TOTAL UNITS BUY]]=0,0,SUMIFS(LS[Amount],LS[Investor ID],INVESTORS_LIST[[#This Row],[INVESTOR CODE]],LS[B/S],"B"))</f>
        <v>0</v>
      </c>
      <c r="I329" s="6">
        <f>IF(INVESTORS_LIST[[#This Row],[LS_TOTAL UNITS SOLD]]=0,0,SUMIFS(LS[Cost of Units Sold],LS[Investor ID],INVESTORS_LIST[[#This Row],[INVESTOR CODE]],LS[B/S],"S"))</f>
        <v>0</v>
      </c>
      <c r="J329" s="6">
        <f>IF(INVESTORS_LIST[[#This Row],[LS_TOTAL CURRENT UNITS]]=0,0,INVESTORS_LIST[[#This Row],[LS_TOTAL CURRENT UNITS]]*INVESTORS_LIST[[#This Row],[LS_AVERAGE COST]])</f>
        <v>0</v>
      </c>
      <c r="K329" s="4">
        <f>IF(INVESTORS_LIST[[#This Row],[LS_TOTAL UNITS SOLD]]=0,0,SUMIFS(LS[Realized Gain],LS[Investor ID],INVESTORS_LIST[[#This Row],[INVESTOR CODE]],LS[B/S],"S"))</f>
        <v>0</v>
      </c>
      <c r="L329" s="2">
        <f>SUMIFS(SIP[Unit],SIP[Investor ID],INVESTORS_LIST[[#This Row],[INVESTOR CODE]],SIP[B/S],"B")</f>
        <v>0</v>
      </c>
      <c r="M329" s="2">
        <f>-SUMIFS(SIP[Unit],SIP[Investor ID],INVESTORS_LIST[[#This Row],[INVESTOR CODE]],SIP[B/S],"S")</f>
        <v>0</v>
      </c>
      <c r="N329" s="33">
        <f>IF(INVESTORS_LIST[[#This Row],[SIP_TOTAL UNITS BUY]]=0,0,INVESTORS_LIST[[#This Row],[SIP_TOTAL UNITS BUY]]-INVESTORS_LIST[[#This Row],[SIP_TOTAL UNITS SOLD]])</f>
        <v>0</v>
      </c>
      <c r="O329" s="4">
        <f>IF(INVESTORS_LIST[[#This Row],[SIP_TOTAL UNITS BUY]]=0,0,SUMIFS(SIP[Amount],SIP[Investor ID],INVESTORS_LIST[[#This Row],[INVESTOR CODE]],SIP[B/S],"B"))</f>
        <v>0</v>
      </c>
      <c r="P329" s="4">
        <f>IF(INVESTORS_LIST[[#This Row],[SIP_TOTAL UNITS SOLD]]=0,0,SUMIFS(SIP[Cost of Units Sold],SIP[Investor ID],INVESTORS_LIST[[#This Row],[INVESTOR CODE]],SIP[B/S],"S"))</f>
        <v>0</v>
      </c>
      <c r="Q329" s="6">
        <f>IF(INVESTORS_LIST[[#This Row],[SIP_TOTAL CURRENT UNITS]]=0,0,INVESTORS_LIST[[#This Row],[SIP_TOTAL CURRENT UNITS]]*INVESTORS_LIST[[#This Row],[SIP_AVERAGE COST]])</f>
        <v>0</v>
      </c>
      <c r="R329" s="6">
        <f>IF(INVESTORS_LIST[[#This Row],[SIP_TOTAL UNITS SOLD]]=0,0,SUMIFS(SIP[Realized Gain],SIP[Investor ID],INVESTORS_LIST[[#This Row],[INVESTOR CODE]],SIP[B/S],"S"))</f>
        <v>0</v>
      </c>
      <c r="S329" s="33">
        <f>INVESTORS_LIST[[#This Row],[LS_TOTAL UNITS BUY]]+INVESTORS_LIST[[#This Row],[SIP_TOTAL UNITS BUY]]</f>
        <v>0</v>
      </c>
      <c r="T329" s="33">
        <f>INVESTORS_LIST[[#This Row],[LS_TOTAL UNITS SOLD]]+INVESTORS_LIST[[#This Row],[SIP_TOTAL UNITS SOLD]]</f>
        <v>0</v>
      </c>
      <c r="U329" s="33">
        <v>0</v>
      </c>
      <c r="V329" s="33">
        <f>SUMIFS(LS[BO UNIT TRANSFER],LS[Investor ID],INVESTORS_LIST[[#This Row],[INVESTOR CODE]],LS[B/S],"B")</f>
        <v>0</v>
      </c>
      <c r="W329" s="33">
        <f>SUMIFS(LS[BO UNIT TRANSFER],LS[Investor ID],INVESTORS_LIST[[#This Row],[INVESTOR CODE]],LS[B/S],"S")</f>
        <v>0</v>
      </c>
      <c r="X329" s="33">
        <f>SUMIFS(SIP[BO UNIT TRANSFER],SIP[Investor ID],INVESTORS_LIST[[#This Row],[INVESTOR CODE]],SIP[B/S],"S")</f>
        <v>0</v>
      </c>
      <c r="Y329" s="33">
        <f>SUMIFS(SIP[BO UNIT TRANSFER],SIP[Investor ID],INVESTORS_LIST[[#This Row],[INVESTOR CODE]],SIP[B/S],"B")</f>
        <v>0</v>
      </c>
      <c r="Z32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29" s="119">
        <f>INVESTORS_LIST[[#This Row],[TOTAL UNITS BUY]]-INVESTORS_LIST[[#This Row],[TOTAL UNITS SOLD]]</f>
        <v>0</v>
      </c>
      <c r="AB329" s="119">
        <f>INVESTORS_LIST[[#This Row],[TOTAL CURRENT UNITS]]-INVESTORS_LIST[[#This Row],[BO UNITS HOLD]]</f>
        <v>0</v>
      </c>
      <c r="AC329" s="119" t="e">
        <f>INDEX([4]!Table_1[BO ID],MATCH(INVESTORS_LIST[[#This Row],[INVESTOR CODE]],[4]!Table_1[INVESTOR CODE],0))</f>
        <v>#REF!</v>
      </c>
      <c r="AD329" s="33">
        <f>INVESTORS_LIST[[#This Row],[LS_TOTAL COST VALUE OF CURRENT UNITS]]+INVESTORS_LIST[[#This Row],[SIP_TOTAL COST VALUE OF CURRENT UNITS]]</f>
        <v>0</v>
      </c>
      <c r="AE329" s="44">
        <f>IF(INVESTORS_LIST[[#This Row],[TOTAL CURRENT UNITS]]=0,0,INVESTORS_LIST[[#This Row],[LS_TOTAL CURRENT UNITS]]/INVESTORS_LIST[[#This Row],[TOTAL CURRENT UNITS]])</f>
        <v>0</v>
      </c>
      <c r="AF329" s="44">
        <f>IF(INVESTORS_LIST[[#This Row],[TOTAL CURRENT UNITS]]=0,0,INVESTORS_LIST[[#This Row],[SIP_TOTAL CURRENT UNITS]]/INVESTORS_LIST[[#This Row],[TOTAL CURRENT UNITS]])</f>
        <v>0</v>
      </c>
      <c r="AG329" s="4" cm="1">
        <f t="array" ref="AG32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29" s="4" cm="1">
        <f t="array" ref="AH3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2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29" s="178">
        <f t="shared" si="5"/>
        <v>12.552</v>
      </c>
      <c r="AK329" s="118">
        <f>IF(INVESTORS_LIST[[#This Row],[TOTAL CURRENT UNITS]]=0,0,INVESTORS_LIST[[#This Row],[TOTAL CURRENT UNITS]]*INVESTORS_LIST[[#This Row],[NAV]])</f>
        <v>0</v>
      </c>
      <c r="AL329" s="4">
        <f>IF(INVESTORS_LIST[[#This Row],[LS_TOTAL CURRENT UNITS]]=0,0,INVESTORS_LIST[[#This Row],[LS_TOTAL CURRENT UNITS]]*INVESTORS_LIST[[#This Row],[NAV]])</f>
        <v>0</v>
      </c>
      <c r="AM329" s="6">
        <f>IF(INVESTORS_LIST[[#This Row],[SIP_TOTAL CURRENT UNITS]]=0,0,INVESTORS_LIST[[#This Row],[SIP_TOTAL CURRENT UNITS]]*INVESTORS_LIST[[#This Row],[NAV]])</f>
        <v>0</v>
      </c>
      <c r="AO329" s="6">
        <f>IF(INVESTORS_LIST[[#This Row],[TOTAL SELLABLE UNITS]]=0,0,INVESTORS_LIST[[#This Row],[TOTAL SELLABLE UNITS]]*INVESTORS_LIST[[#This Row],[NAV]])</f>
        <v>0</v>
      </c>
      <c r="AP329" s="6">
        <f>INVESTORS_LIST[[#This Row],[LS_TOTAL REALIZED GAIN]]+INVESTORS_LIST[[#This Row],[SIP_TOTAL REALIZED GAIN]]</f>
        <v>0</v>
      </c>
      <c r="AQ329" s="6">
        <f>INVESTORS_LIST[[#This Row],[TOTAL MARKET VALUE]]-INVESTORS_LIST[[#This Row],[TOTAL COST VALUE OF CURRENT INVESTMENT]]</f>
        <v>0</v>
      </c>
      <c r="AR329" s="6">
        <f>SUMIFS(DivAndTax[Tax Amount],DivAndTax[Investor ID],INVESTORS_LIST[[#This Row],[INVESTOR CODE]])</f>
        <v>0</v>
      </c>
      <c r="AS329" s="6">
        <f>SUMIFS(DivAndTax[Gross Dividend],DivAndTax[Investor ID],INVESTORS_LIST[[#This Row],[INVESTOR CODE]])</f>
        <v>0</v>
      </c>
      <c r="AT329" s="5">
        <f>IFERROR(INVESTORS_LIST[[#This Row],[TOTAL CURRENT UNITS]]/SUM(INVESTORS_LIST[TOTAL CURRENT UNITS]),0)</f>
        <v>0</v>
      </c>
    </row>
    <row r="330" spans="1:46" hidden="1">
      <c r="A330" t="s">
        <v>586</v>
      </c>
      <c r="B330" t="s">
        <v>587</v>
      </c>
      <c r="C330" t="s">
        <v>539</v>
      </c>
      <c r="D330" s="8" t="s">
        <v>2</v>
      </c>
      <c r="E330" s="2">
        <f>SUMIFS(LS[Unit],LS[Investor ID],INVESTORS_LIST[[#This Row],[INVESTOR CODE]],LS[B/S],"B")</f>
        <v>0</v>
      </c>
      <c r="F330" s="2">
        <f>-SUMIFS(LS[Unit],LS[Investor ID],INVESTORS_LIST[[#This Row],[INVESTOR CODE]],LS[B/S],"S")</f>
        <v>0</v>
      </c>
      <c r="G330" s="2">
        <f>IF(INVESTORS_LIST[[#This Row],[LS_TOTAL UNITS BUY]]=0,0,INVESTORS_LIST[[#This Row],[LS_TOTAL UNITS BUY]]-INVESTORS_LIST[[#This Row],[LS_TOTAL UNITS SOLD]])</f>
        <v>0</v>
      </c>
      <c r="H330" s="4">
        <f>IF(INVESTORS_LIST[[#This Row],[LS_TOTAL UNITS BUY]]=0,0,SUMIFS(LS[Amount],LS[Investor ID],INVESTORS_LIST[[#This Row],[INVESTOR CODE]],LS[B/S],"B"))</f>
        <v>0</v>
      </c>
      <c r="I330" s="6">
        <f>IF(INVESTORS_LIST[[#This Row],[LS_TOTAL UNITS SOLD]]=0,0,SUMIFS(LS[Cost of Units Sold],LS[Investor ID],INVESTORS_LIST[[#This Row],[INVESTOR CODE]],LS[B/S],"S"))</f>
        <v>0</v>
      </c>
      <c r="J330" s="6">
        <f>IF(INVESTORS_LIST[[#This Row],[LS_TOTAL CURRENT UNITS]]=0,0,INVESTORS_LIST[[#This Row],[LS_TOTAL CURRENT UNITS]]*INVESTORS_LIST[[#This Row],[LS_AVERAGE COST]])</f>
        <v>0</v>
      </c>
      <c r="K330" s="4">
        <f>IF(INVESTORS_LIST[[#This Row],[LS_TOTAL UNITS SOLD]]=0,0,SUMIFS(LS[Realized Gain],LS[Investor ID],INVESTORS_LIST[[#This Row],[INVESTOR CODE]],LS[B/S],"S"))</f>
        <v>0</v>
      </c>
      <c r="L330" s="2">
        <f>SUMIFS(SIP[Unit],SIP[Investor ID],INVESTORS_LIST[[#This Row],[INVESTOR CODE]],SIP[B/S],"B")</f>
        <v>0</v>
      </c>
      <c r="M330" s="2">
        <f>-SUMIFS(SIP[Unit],SIP[Investor ID],INVESTORS_LIST[[#This Row],[INVESTOR CODE]],SIP[B/S],"S")</f>
        <v>0</v>
      </c>
      <c r="N330" s="33">
        <f>IF(INVESTORS_LIST[[#This Row],[SIP_TOTAL UNITS BUY]]=0,0,INVESTORS_LIST[[#This Row],[SIP_TOTAL UNITS BUY]]-INVESTORS_LIST[[#This Row],[SIP_TOTAL UNITS SOLD]])</f>
        <v>0</v>
      </c>
      <c r="O330" s="4">
        <f>IF(INVESTORS_LIST[[#This Row],[SIP_TOTAL UNITS BUY]]=0,0,SUMIFS(SIP[Amount],SIP[Investor ID],INVESTORS_LIST[[#This Row],[INVESTOR CODE]],SIP[B/S],"B"))</f>
        <v>0</v>
      </c>
      <c r="P330" s="4">
        <f>IF(INVESTORS_LIST[[#This Row],[SIP_TOTAL UNITS SOLD]]=0,0,SUMIFS(SIP[Cost of Units Sold],SIP[Investor ID],INVESTORS_LIST[[#This Row],[INVESTOR CODE]],SIP[B/S],"S"))</f>
        <v>0</v>
      </c>
      <c r="Q330" s="6">
        <f>IF(INVESTORS_LIST[[#This Row],[SIP_TOTAL CURRENT UNITS]]=0,0,INVESTORS_LIST[[#This Row],[SIP_TOTAL CURRENT UNITS]]*INVESTORS_LIST[[#This Row],[SIP_AVERAGE COST]])</f>
        <v>0</v>
      </c>
      <c r="R330" s="6">
        <f>IF(INVESTORS_LIST[[#This Row],[SIP_TOTAL UNITS SOLD]]=0,0,SUMIFS(SIP[Realized Gain],SIP[Investor ID],INVESTORS_LIST[[#This Row],[INVESTOR CODE]],SIP[B/S],"S"))</f>
        <v>0</v>
      </c>
      <c r="S330" s="33">
        <f>INVESTORS_LIST[[#This Row],[LS_TOTAL UNITS BUY]]+INVESTORS_LIST[[#This Row],[SIP_TOTAL UNITS BUY]]</f>
        <v>0</v>
      </c>
      <c r="T330" s="33">
        <f>INVESTORS_LIST[[#This Row],[LS_TOTAL UNITS SOLD]]+INVESTORS_LIST[[#This Row],[SIP_TOTAL UNITS SOLD]]</f>
        <v>0</v>
      </c>
      <c r="U330" s="33">
        <v>0</v>
      </c>
      <c r="V330" s="33">
        <f>SUMIFS(LS[BO UNIT TRANSFER],LS[Investor ID],INVESTORS_LIST[[#This Row],[INVESTOR CODE]],LS[B/S],"B")</f>
        <v>0</v>
      </c>
      <c r="W330" s="33">
        <f>SUMIFS(LS[BO UNIT TRANSFER],LS[Investor ID],INVESTORS_LIST[[#This Row],[INVESTOR CODE]],LS[B/S],"S")</f>
        <v>0</v>
      </c>
      <c r="X330" s="33">
        <f>SUMIFS(SIP[BO UNIT TRANSFER],SIP[Investor ID],INVESTORS_LIST[[#This Row],[INVESTOR CODE]],SIP[B/S],"S")</f>
        <v>0</v>
      </c>
      <c r="Y330" s="33">
        <f>SUMIFS(SIP[BO UNIT TRANSFER],SIP[Investor ID],INVESTORS_LIST[[#This Row],[INVESTOR CODE]],SIP[B/S],"B")</f>
        <v>0</v>
      </c>
      <c r="Z33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30" s="119">
        <f>INVESTORS_LIST[[#This Row],[TOTAL UNITS BUY]]-INVESTORS_LIST[[#This Row],[TOTAL UNITS SOLD]]</f>
        <v>0</v>
      </c>
      <c r="AB330" s="119">
        <f>INVESTORS_LIST[[#This Row],[TOTAL CURRENT UNITS]]-INVESTORS_LIST[[#This Row],[BO UNITS HOLD]]</f>
        <v>0</v>
      </c>
      <c r="AC330" s="119" t="e">
        <f>INDEX([4]!Table_1[BO ID],MATCH(INVESTORS_LIST[[#This Row],[INVESTOR CODE]],[4]!Table_1[INVESTOR CODE],0))</f>
        <v>#REF!</v>
      </c>
      <c r="AD330" s="33">
        <f>INVESTORS_LIST[[#This Row],[LS_TOTAL COST VALUE OF CURRENT UNITS]]+INVESTORS_LIST[[#This Row],[SIP_TOTAL COST VALUE OF CURRENT UNITS]]</f>
        <v>0</v>
      </c>
      <c r="AE330" s="44">
        <f>IF(INVESTORS_LIST[[#This Row],[TOTAL CURRENT UNITS]]=0,0,INVESTORS_LIST[[#This Row],[LS_TOTAL CURRENT UNITS]]/INVESTORS_LIST[[#This Row],[TOTAL CURRENT UNITS]])</f>
        <v>0</v>
      </c>
      <c r="AF330" s="44">
        <f>IF(INVESTORS_LIST[[#This Row],[TOTAL CURRENT UNITS]]=0,0,INVESTORS_LIST[[#This Row],[SIP_TOTAL CURRENT UNITS]]/INVESTORS_LIST[[#This Row],[TOTAL CURRENT UNITS]])</f>
        <v>0</v>
      </c>
      <c r="AG330" s="4" cm="1">
        <f t="array" ref="AG3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30" s="4" cm="1">
        <f t="array" ref="AH3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3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30" s="178">
        <f t="shared" si="5"/>
        <v>12.552</v>
      </c>
      <c r="AK330" s="118">
        <f>IF(INVESTORS_LIST[[#This Row],[TOTAL CURRENT UNITS]]=0,0,INVESTORS_LIST[[#This Row],[TOTAL CURRENT UNITS]]*INVESTORS_LIST[[#This Row],[NAV]])</f>
        <v>0</v>
      </c>
      <c r="AL330" s="4">
        <f>IF(INVESTORS_LIST[[#This Row],[LS_TOTAL CURRENT UNITS]]=0,0,INVESTORS_LIST[[#This Row],[LS_TOTAL CURRENT UNITS]]*INVESTORS_LIST[[#This Row],[NAV]])</f>
        <v>0</v>
      </c>
      <c r="AM330" s="6">
        <f>IF(INVESTORS_LIST[[#This Row],[SIP_TOTAL CURRENT UNITS]]=0,0,INVESTORS_LIST[[#This Row],[SIP_TOTAL CURRENT UNITS]]*INVESTORS_LIST[[#This Row],[NAV]])</f>
        <v>0</v>
      </c>
      <c r="AO330" s="6">
        <f>IF(INVESTORS_LIST[[#This Row],[TOTAL SELLABLE UNITS]]=0,0,INVESTORS_LIST[[#This Row],[TOTAL SELLABLE UNITS]]*INVESTORS_LIST[[#This Row],[NAV]])</f>
        <v>0</v>
      </c>
      <c r="AP330" s="6">
        <f>INVESTORS_LIST[[#This Row],[LS_TOTAL REALIZED GAIN]]+INVESTORS_LIST[[#This Row],[SIP_TOTAL REALIZED GAIN]]</f>
        <v>0</v>
      </c>
      <c r="AQ330" s="6">
        <f>INVESTORS_LIST[[#This Row],[TOTAL MARKET VALUE]]-INVESTORS_LIST[[#This Row],[TOTAL COST VALUE OF CURRENT INVESTMENT]]</f>
        <v>0</v>
      </c>
      <c r="AR330" s="6">
        <f>SUMIFS(DivAndTax[Tax Amount],DivAndTax[Investor ID],INVESTORS_LIST[[#This Row],[INVESTOR CODE]])</f>
        <v>0</v>
      </c>
      <c r="AS330" s="6">
        <f>SUMIFS(DivAndTax[Gross Dividend],DivAndTax[Investor ID],INVESTORS_LIST[[#This Row],[INVESTOR CODE]])</f>
        <v>0</v>
      </c>
      <c r="AT330" s="5">
        <f>IFERROR(INVESTORS_LIST[[#This Row],[TOTAL CURRENT UNITS]]/SUM(INVESTORS_LIST[TOTAL CURRENT UNITS]),0)</f>
        <v>0</v>
      </c>
    </row>
    <row r="331" spans="1:46" hidden="1">
      <c r="A331" t="s">
        <v>588</v>
      </c>
      <c r="B331" t="s">
        <v>589</v>
      </c>
      <c r="C331" t="s">
        <v>536</v>
      </c>
      <c r="D331" s="8" t="s">
        <v>2</v>
      </c>
      <c r="E331" s="2">
        <f>SUMIFS(LS[Unit],LS[Investor ID],INVESTORS_LIST[[#This Row],[INVESTOR CODE]],LS[B/S],"B")</f>
        <v>20000</v>
      </c>
      <c r="F331" s="2">
        <f>-SUMIFS(LS[Unit],LS[Investor ID],INVESTORS_LIST[[#This Row],[INVESTOR CODE]],LS[B/S],"S")</f>
        <v>20000</v>
      </c>
      <c r="G331" s="2">
        <f>IF(INVESTORS_LIST[[#This Row],[LS_TOTAL UNITS BUY]]=0,0,INVESTORS_LIST[[#This Row],[LS_TOTAL UNITS BUY]]-INVESTORS_LIST[[#This Row],[LS_TOTAL UNITS SOLD]])</f>
        <v>0</v>
      </c>
      <c r="H331" s="4">
        <f>IF(INVESTORS_LIST[[#This Row],[LS_TOTAL UNITS BUY]]=0,0,SUMIFS(LS[Amount],LS[Investor ID],INVESTORS_LIST[[#This Row],[INVESTOR CODE]],LS[B/S],"B"))</f>
        <v>200000</v>
      </c>
      <c r="I331" s="6">
        <f>IF(INVESTORS_LIST[[#This Row],[LS_TOTAL UNITS SOLD]]=0,0,SUMIFS(LS[Cost of Units Sold],LS[Investor ID],INVESTORS_LIST[[#This Row],[INVESTOR CODE]],LS[B/S],"S"))</f>
        <v>200000</v>
      </c>
      <c r="J331" s="6">
        <f>IF(INVESTORS_LIST[[#This Row],[LS_TOTAL CURRENT UNITS]]=0,0,INVESTORS_LIST[[#This Row],[LS_TOTAL CURRENT UNITS]]*INVESTORS_LIST[[#This Row],[LS_AVERAGE COST]])</f>
        <v>0</v>
      </c>
      <c r="K331" s="4">
        <f>IF(INVESTORS_LIST[[#This Row],[LS_TOTAL UNITS SOLD]]=0,0,SUMIFS(LS[Realized Gain],LS[Investor ID],INVESTORS_LIST[[#This Row],[INVESTOR CODE]],LS[B/S],"S"))</f>
        <v>-1999.999999999993</v>
      </c>
      <c r="L331" s="2">
        <f>SUMIFS(SIP[Unit],SIP[Investor ID],INVESTORS_LIST[[#This Row],[INVESTOR CODE]],SIP[B/S],"B")</f>
        <v>0</v>
      </c>
      <c r="M331" s="2">
        <f>-SUMIFS(SIP[Unit],SIP[Investor ID],INVESTORS_LIST[[#This Row],[INVESTOR CODE]],SIP[B/S],"S")</f>
        <v>0</v>
      </c>
      <c r="N331" s="33">
        <f>IF(INVESTORS_LIST[[#This Row],[SIP_TOTAL UNITS BUY]]=0,0,INVESTORS_LIST[[#This Row],[SIP_TOTAL UNITS BUY]]-INVESTORS_LIST[[#This Row],[SIP_TOTAL UNITS SOLD]])</f>
        <v>0</v>
      </c>
      <c r="O331" s="4">
        <f>IF(INVESTORS_LIST[[#This Row],[SIP_TOTAL UNITS BUY]]=0,0,SUMIFS(SIP[Amount],SIP[Investor ID],INVESTORS_LIST[[#This Row],[INVESTOR CODE]],SIP[B/S],"B"))</f>
        <v>0</v>
      </c>
      <c r="P331" s="4">
        <f>IF(INVESTORS_LIST[[#This Row],[SIP_TOTAL UNITS SOLD]]=0,0,SUMIFS(SIP[Cost of Units Sold],SIP[Investor ID],INVESTORS_LIST[[#This Row],[INVESTOR CODE]],SIP[B/S],"S"))</f>
        <v>0</v>
      </c>
      <c r="Q331" s="6">
        <f>IF(INVESTORS_LIST[[#This Row],[SIP_TOTAL CURRENT UNITS]]=0,0,INVESTORS_LIST[[#This Row],[SIP_TOTAL CURRENT UNITS]]*INVESTORS_LIST[[#This Row],[SIP_AVERAGE COST]])</f>
        <v>0</v>
      </c>
      <c r="R331" s="6">
        <f>IF(INVESTORS_LIST[[#This Row],[SIP_TOTAL UNITS SOLD]]=0,0,SUMIFS(SIP[Realized Gain],SIP[Investor ID],INVESTORS_LIST[[#This Row],[INVESTOR CODE]],SIP[B/S],"S"))</f>
        <v>0</v>
      </c>
      <c r="S331" s="33">
        <f>INVESTORS_LIST[[#This Row],[LS_TOTAL UNITS BUY]]+INVESTORS_LIST[[#This Row],[SIP_TOTAL UNITS BUY]]</f>
        <v>20000</v>
      </c>
      <c r="T331" s="33">
        <f>INVESTORS_LIST[[#This Row],[LS_TOTAL UNITS SOLD]]+INVESTORS_LIST[[#This Row],[SIP_TOTAL UNITS SOLD]]</f>
        <v>20000</v>
      </c>
      <c r="U331" s="33">
        <v>0</v>
      </c>
      <c r="V331" s="33">
        <f>SUMIFS(LS[BO UNIT TRANSFER],LS[Investor ID],INVESTORS_LIST[[#This Row],[INVESTOR CODE]],LS[B/S],"B")</f>
        <v>0</v>
      </c>
      <c r="W331" s="33">
        <f>SUMIFS(LS[BO UNIT TRANSFER],LS[Investor ID],INVESTORS_LIST[[#This Row],[INVESTOR CODE]],LS[B/S],"S")</f>
        <v>0</v>
      </c>
      <c r="X331" s="33">
        <f>SUMIFS(SIP[BO UNIT TRANSFER],SIP[Investor ID],INVESTORS_LIST[[#This Row],[INVESTOR CODE]],SIP[B/S],"S")</f>
        <v>0</v>
      </c>
      <c r="Y331" s="33">
        <f>SUMIFS(SIP[BO UNIT TRANSFER],SIP[Investor ID],INVESTORS_LIST[[#This Row],[INVESTOR CODE]],SIP[B/S],"B")</f>
        <v>0</v>
      </c>
      <c r="Z33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31" s="119">
        <f>INVESTORS_LIST[[#This Row],[TOTAL UNITS BUY]]-INVESTORS_LIST[[#This Row],[TOTAL UNITS SOLD]]</f>
        <v>0</v>
      </c>
      <c r="AB331" s="119">
        <f>INVESTORS_LIST[[#This Row],[TOTAL CURRENT UNITS]]-INVESTORS_LIST[[#This Row],[BO UNITS HOLD]]</f>
        <v>0</v>
      </c>
      <c r="AC331" s="119" t="e">
        <f>INDEX([4]!Table_1[BO ID],MATCH(INVESTORS_LIST[[#This Row],[INVESTOR CODE]],[4]!Table_1[INVESTOR CODE],0))</f>
        <v>#REF!</v>
      </c>
      <c r="AD331" s="33">
        <f>INVESTORS_LIST[[#This Row],[LS_TOTAL COST VALUE OF CURRENT UNITS]]+INVESTORS_LIST[[#This Row],[SIP_TOTAL COST VALUE OF CURRENT UNITS]]</f>
        <v>0</v>
      </c>
      <c r="AE331" s="44">
        <f>IF(INVESTORS_LIST[[#This Row],[TOTAL CURRENT UNITS]]=0,0,INVESTORS_LIST[[#This Row],[LS_TOTAL CURRENT UNITS]]/INVESTORS_LIST[[#This Row],[TOTAL CURRENT UNITS]])</f>
        <v>0</v>
      </c>
      <c r="AF331" s="44">
        <f>IF(INVESTORS_LIST[[#This Row],[TOTAL CURRENT UNITS]]=0,0,INVESTORS_LIST[[#This Row],[SIP_TOTAL CURRENT UNITS]]/INVESTORS_LIST[[#This Row],[TOTAL CURRENT UNITS]])</f>
        <v>0</v>
      </c>
      <c r="AG331" s="4" cm="1">
        <f t="array" ref="AG33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31" s="4" cm="1">
        <f t="array" ref="AH3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3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31" s="178">
        <f t="shared" si="5"/>
        <v>12.552</v>
      </c>
      <c r="AK331" s="118">
        <f>IF(INVESTORS_LIST[[#This Row],[TOTAL CURRENT UNITS]]=0,0,INVESTORS_LIST[[#This Row],[TOTAL CURRENT UNITS]]*INVESTORS_LIST[[#This Row],[NAV]])</f>
        <v>0</v>
      </c>
      <c r="AL331" s="4">
        <f>IF(INVESTORS_LIST[[#This Row],[LS_TOTAL CURRENT UNITS]]=0,0,INVESTORS_LIST[[#This Row],[LS_TOTAL CURRENT UNITS]]*INVESTORS_LIST[[#This Row],[NAV]])</f>
        <v>0</v>
      </c>
      <c r="AM331" s="6">
        <f>IF(INVESTORS_LIST[[#This Row],[SIP_TOTAL CURRENT UNITS]]=0,0,INVESTORS_LIST[[#This Row],[SIP_TOTAL CURRENT UNITS]]*INVESTORS_LIST[[#This Row],[NAV]])</f>
        <v>0</v>
      </c>
      <c r="AO331" s="6">
        <f>IF(INVESTORS_LIST[[#This Row],[TOTAL SELLABLE UNITS]]=0,0,INVESTORS_LIST[[#This Row],[TOTAL SELLABLE UNITS]]*INVESTORS_LIST[[#This Row],[NAV]])</f>
        <v>0</v>
      </c>
      <c r="AP331" s="6">
        <f>INVESTORS_LIST[[#This Row],[LS_TOTAL REALIZED GAIN]]+INVESTORS_LIST[[#This Row],[SIP_TOTAL REALIZED GAIN]]</f>
        <v>-1999.999999999993</v>
      </c>
      <c r="AQ331" s="6">
        <f>INVESTORS_LIST[[#This Row],[TOTAL MARKET VALUE]]-INVESTORS_LIST[[#This Row],[TOTAL COST VALUE OF CURRENT INVESTMENT]]</f>
        <v>0</v>
      </c>
      <c r="AR331" s="6">
        <f>SUMIFS(DivAndTax[Tax Amount],DivAndTax[Investor ID],INVESTORS_LIST[[#This Row],[INVESTOR CODE]])</f>
        <v>0</v>
      </c>
      <c r="AS331" s="6">
        <f>SUMIFS(DivAndTax[Gross Dividend],DivAndTax[Investor ID],INVESTORS_LIST[[#This Row],[INVESTOR CODE]])</f>
        <v>0</v>
      </c>
      <c r="AT331" s="5">
        <f>IFERROR(INVESTORS_LIST[[#This Row],[TOTAL CURRENT UNITS]]/SUM(INVESTORS_LIST[TOTAL CURRENT UNITS]),0)</f>
        <v>0</v>
      </c>
    </row>
    <row r="332" spans="1:46" hidden="1">
      <c r="A332" t="s">
        <v>590</v>
      </c>
      <c r="B332" t="s">
        <v>591</v>
      </c>
      <c r="C332" t="s">
        <v>536</v>
      </c>
      <c r="D332" s="8" t="s">
        <v>2</v>
      </c>
      <c r="E332" s="2">
        <f>SUMIFS(LS[Unit],LS[Investor ID],INVESTORS_LIST[[#This Row],[INVESTOR CODE]],LS[B/S],"B")</f>
        <v>5000</v>
      </c>
      <c r="F332" s="2">
        <f>-SUMIFS(LS[Unit],LS[Investor ID],INVESTORS_LIST[[#This Row],[INVESTOR CODE]],LS[B/S],"S")</f>
        <v>5000</v>
      </c>
      <c r="G332" s="2">
        <f>IF(INVESTORS_LIST[[#This Row],[LS_TOTAL UNITS BUY]]=0,0,INVESTORS_LIST[[#This Row],[LS_TOTAL UNITS BUY]]-INVESTORS_LIST[[#This Row],[LS_TOTAL UNITS SOLD]])</f>
        <v>0</v>
      </c>
      <c r="H332" s="4">
        <f>IF(INVESTORS_LIST[[#This Row],[LS_TOTAL UNITS BUY]]=0,0,SUMIFS(LS[Amount],LS[Investor ID],INVESTORS_LIST[[#This Row],[INVESTOR CODE]],LS[B/S],"B"))</f>
        <v>50000</v>
      </c>
      <c r="I332" s="6">
        <f>IF(INVESTORS_LIST[[#This Row],[LS_TOTAL UNITS SOLD]]=0,0,SUMIFS(LS[Cost of Units Sold],LS[Investor ID],INVESTORS_LIST[[#This Row],[INVESTOR CODE]],LS[B/S],"S"))</f>
        <v>50000</v>
      </c>
      <c r="J332" s="6">
        <f>IF(INVESTORS_LIST[[#This Row],[LS_TOTAL CURRENT UNITS]]=0,0,INVESTORS_LIST[[#This Row],[LS_TOTAL CURRENT UNITS]]*INVESTORS_LIST[[#This Row],[LS_AVERAGE COST]])</f>
        <v>0</v>
      </c>
      <c r="K332" s="4">
        <f>IF(INVESTORS_LIST[[#This Row],[LS_TOTAL UNITS SOLD]]=0,0,SUMIFS(LS[Realized Gain],LS[Investor ID],INVESTORS_LIST[[#This Row],[INVESTOR CODE]],LS[B/S],"S"))</f>
        <v>-800.00000000000068</v>
      </c>
      <c r="L332" s="2">
        <f>SUMIFS(SIP[Unit],SIP[Investor ID],INVESTORS_LIST[[#This Row],[INVESTOR CODE]],SIP[B/S],"B")</f>
        <v>0</v>
      </c>
      <c r="M332" s="2">
        <f>-SUMIFS(SIP[Unit],SIP[Investor ID],INVESTORS_LIST[[#This Row],[INVESTOR CODE]],SIP[B/S],"S")</f>
        <v>0</v>
      </c>
      <c r="N332" s="33">
        <f>IF(INVESTORS_LIST[[#This Row],[SIP_TOTAL UNITS BUY]]=0,0,INVESTORS_LIST[[#This Row],[SIP_TOTAL UNITS BUY]]-INVESTORS_LIST[[#This Row],[SIP_TOTAL UNITS SOLD]])</f>
        <v>0</v>
      </c>
      <c r="O332" s="4">
        <f>IF(INVESTORS_LIST[[#This Row],[SIP_TOTAL UNITS BUY]]=0,0,SUMIFS(SIP[Amount],SIP[Investor ID],INVESTORS_LIST[[#This Row],[INVESTOR CODE]],SIP[B/S],"B"))</f>
        <v>0</v>
      </c>
      <c r="P332" s="4">
        <f>IF(INVESTORS_LIST[[#This Row],[SIP_TOTAL UNITS SOLD]]=0,0,SUMIFS(SIP[Cost of Units Sold],SIP[Investor ID],INVESTORS_LIST[[#This Row],[INVESTOR CODE]],SIP[B/S],"S"))</f>
        <v>0</v>
      </c>
      <c r="Q332" s="6">
        <f>IF(INVESTORS_LIST[[#This Row],[SIP_TOTAL CURRENT UNITS]]=0,0,INVESTORS_LIST[[#This Row],[SIP_TOTAL CURRENT UNITS]]*INVESTORS_LIST[[#This Row],[SIP_AVERAGE COST]])</f>
        <v>0</v>
      </c>
      <c r="R332" s="6">
        <f>IF(INVESTORS_LIST[[#This Row],[SIP_TOTAL UNITS SOLD]]=0,0,SUMIFS(SIP[Realized Gain],SIP[Investor ID],INVESTORS_LIST[[#This Row],[INVESTOR CODE]],SIP[B/S],"S"))</f>
        <v>0</v>
      </c>
      <c r="S332" s="33">
        <f>INVESTORS_LIST[[#This Row],[LS_TOTAL UNITS BUY]]+INVESTORS_LIST[[#This Row],[SIP_TOTAL UNITS BUY]]</f>
        <v>5000</v>
      </c>
      <c r="T332" s="33">
        <f>INVESTORS_LIST[[#This Row],[LS_TOTAL UNITS SOLD]]+INVESTORS_LIST[[#This Row],[SIP_TOTAL UNITS SOLD]]</f>
        <v>5000</v>
      </c>
      <c r="U332" s="33">
        <v>0</v>
      </c>
      <c r="V332" s="33">
        <f>SUMIFS(LS[BO UNIT TRANSFER],LS[Investor ID],INVESTORS_LIST[[#This Row],[INVESTOR CODE]],LS[B/S],"B")</f>
        <v>0</v>
      </c>
      <c r="W332" s="33">
        <f>SUMIFS(LS[BO UNIT TRANSFER],LS[Investor ID],INVESTORS_LIST[[#This Row],[INVESTOR CODE]],LS[B/S],"S")</f>
        <v>0</v>
      </c>
      <c r="X332" s="33">
        <f>SUMIFS(SIP[BO UNIT TRANSFER],SIP[Investor ID],INVESTORS_LIST[[#This Row],[INVESTOR CODE]],SIP[B/S],"S")</f>
        <v>0</v>
      </c>
      <c r="Y332" s="33">
        <f>SUMIFS(SIP[BO UNIT TRANSFER],SIP[Investor ID],INVESTORS_LIST[[#This Row],[INVESTOR CODE]],SIP[B/S],"B")</f>
        <v>0</v>
      </c>
      <c r="Z33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32" s="119">
        <f>INVESTORS_LIST[[#This Row],[TOTAL UNITS BUY]]-INVESTORS_LIST[[#This Row],[TOTAL UNITS SOLD]]</f>
        <v>0</v>
      </c>
      <c r="AB332" s="119">
        <f>INVESTORS_LIST[[#This Row],[TOTAL CURRENT UNITS]]-INVESTORS_LIST[[#This Row],[BO UNITS HOLD]]</f>
        <v>0</v>
      </c>
      <c r="AC332" s="119" t="e">
        <f>INDEX([4]!Table_1[BO ID],MATCH(INVESTORS_LIST[[#This Row],[INVESTOR CODE]],[4]!Table_1[INVESTOR CODE],0))</f>
        <v>#REF!</v>
      </c>
      <c r="AD332" s="33">
        <f>INVESTORS_LIST[[#This Row],[LS_TOTAL COST VALUE OF CURRENT UNITS]]+INVESTORS_LIST[[#This Row],[SIP_TOTAL COST VALUE OF CURRENT UNITS]]</f>
        <v>0</v>
      </c>
      <c r="AE332" s="44">
        <f>IF(INVESTORS_LIST[[#This Row],[TOTAL CURRENT UNITS]]=0,0,INVESTORS_LIST[[#This Row],[LS_TOTAL CURRENT UNITS]]/INVESTORS_LIST[[#This Row],[TOTAL CURRENT UNITS]])</f>
        <v>0</v>
      </c>
      <c r="AF332" s="44">
        <f>IF(INVESTORS_LIST[[#This Row],[TOTAL CURRENT UNITS]]=0,0,INVESTORS_LIST[[#This Row],[SIP_TOTAL CURRENT UNITS]]/INVESTORS_LIST[[#This Row],[TOTAL CURRENT UNITS]])</f>
        <v>0</v>
      </c>
      <c r="AG332" s="4" cm="1">
        <f t="array" ref="AG3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32" s="4" cm="1">
        <f t="array" ref="AH3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3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32" s="178">
        <f t="shared" si="5"/>
        <v>12.552</v>
      </c>
      <c r="AK332" s="118">
        <f>IF(INVESTORS_LIST[[#This Row],[TOTAL CURRENT UNITS]]=0,0,INVESTORS_LIST[[#This Row],[TOTAL CURRENT UNITS]]*INVESTORS_LIST[[#This Row],[NAV]])</f>
        <v>0</v>
      </c>
      <c r="AL332" s="4">
        <f>IF(INVESTORS_LIST[[#This Row],[LS_TOTAL CURRENT UNITS]]=0,0,INVESTORS_LIST[[#This Row],[LS_TOTAL CURRENT UNITS]]*INVESTORS_LIST[[#This Row],[NAV]])</f>
        <v>0</v>
      </c>
      <c r="AM332" s="6">
        <f>IF(INVESTORS_LIST[[#This Row],[SIP_TOTAL CURRENT UNITS]]=0,0,INVESTORS_LIST[[#This Row],[SIP_TOTAL CURRENT UNITS]]*INVESTORS_LIST[[#This Row],[NAV]])</f>
        <v>0</v>
      </c>
      <c r="AO332" s="6">
        <f>IF(INVESTORS_LIST[[#This Row],[TOTAL SELLABLE UNITS]]=0,0,INVESTORS_LIST[[#This Row],[TOTAL SELLABLE UNITS]]*INVESTORS_LIST[[#This Row],[NAV]])</f>
        <v>0</v>
      </c>
      <c r="AP332" s="6">
        <f>INVESTORS_LIST[[#This Row],[LS_TOTAL REALIZED GAIN]]+INVESTORS_LIST[[#This Row],[SIP_TOTAL REALIZED GAIN]]</f>
        <v>-800.00000000000068</v>
      </c>
      <c r="AQ332" s="6">
        <f>INVESTORS_LIST[[#This Row],[TOTAL MARKET VALUE]]-INVESTORS_LIST[[#This Row],[TOTAL COST VALUE OF CURRENT INVESTMENT]]</f>
        <v>0</v>
      </c>
      <c r="AR332" s="6">
        <f>SUMIFS(DivAndTax[Tax Amount],DivAndTax[Investor ID],INVESTORS_LIST[[#This Row],[INVESTOR CODE]])</f>
        <v>0</v>
      </c>
      <c r="AS332" s="6">
        <f>SUMIFS(DivAndTax[Gross Dividend],DivAndTax[Investor ID],INVESTORS_LIST[[#This Row],[INVESTOR CODE]])</f>
        <v>0</v>
      </c>
      <c r="AT332" s="5">
        <f>IFERROR(INVESTORS_LIST[[#This Row],[TOTAL CURRENT UNITS]]/SUM(INVESTORS_LIST[TOTAL CURRENT UNITS]),0)</f>
        <v>0</v>
      </c>
    </row>
    <row r="333" spans="1:46">
      <c r="A333" t="s">
        <v>592</v>
      </c>
      <c r="B333" t="s">
        <v>593</v>
      </c>
      <c r="C333" t="s">
        <v>536</v>
      </c>
      <c r="D333" s="8" t="s">
        <v>2</v>
      </c>
      <c r="E333" s="2">
        <f>SUMIFS(LS[Unit],LS[Investor ID],INVESTORS_LIST[[#This Row],[INVESTOR CODE]],LS[B/S],"B")</f>
        <v>51326</v>
      </c>
      <c r="F333" s="2">
        <f>-SUMIFS(LS[Unit],LS[Investor ID],INVESTORS_LIST[[#This Row],[INVESTOR CODE]],LS[B/S],"S")</f>
        <v>0</v>
      </c>
      <c r="G333" s="2">
        <f>IF(INVESTORS_LIST[[#This Row],[LS_TOTAL UNITS BUY]]=0,0,INVESTORS_LIST[[#This Row],[LS_TOTAL UNITS BUY]]-INVESTORS_LIST[[#This Row],[LS_TOTAL UNITS SOLD]])</f>
        <v>51326</v>
      </c>
      <c r="H333" s="4">
        <f>IF(INVESTORS_LIST[[#This Row],[LS_TOTAL UNITS BUY]]=0,0,SUMIFS(LS[Amount],LS[Investor ID],INVESTORS_LIST[[#This Row],[INVESTOR CODE]],LS[B/S],"B"))</f>
        <v>517500</v>
      </c>
      <c r="I333" s="6">
        <f>IF(INVESTORS_LIST[[#This Row],[LS_TOTAL UNITS SOLD]]=0,0,SUMIFS(LS[Cost of Units Sold],LS[Investor ID],INVESTORS_LIST[[#This Row],[INVESTOR CODE]],LS[B/S],"S"))</f>
        <v>0</v>
      </c>
      <c r="J333" s="6">
        <f>IF(INVESTORS_LIST[[#This Row],[LS_TOTAL CURRENT UNITS]]=0,0,INVESTORS_LIST[[#This Row],[LS_TOTAL CURRENT UNITS]]*INVESTORS_LIST[[#This Row],[LS_AVERAGE COST]])</f>
        <v>517500</v>
      </c>
      <c r="K333" s="4">
        <f>IF(INVESTORS_LIST[[#This Row],[LS_TOTAL UNITS SOLD]]=0,0,SUMIFS(LS[Realized Gain],LS[Investor ID],INVESTORS_LIST[[#This Row],[INVESTOR CODE]],LS[B/S],"S"))</f>
        <v>0</v>
      </c>
      <c r="L333" s="2">
        <f>SUMIFS(SIP[Unit],SIP[Investor ID],INVESTORS_LIST[[#This Row],[INVESTOR CODE]],SIP[B/S],"B")</f>
        <v>0</v>
      </c>
      <c r="M333" s="2">
        <f>-SUMIFS(SIP[Unit],SIP[Investor ID],INVESTORS_LIST[[#This Row],[INVESTOR CODE]],SIP[B/S],"S")</f>
        <v>0</v>
      </c>
      <c r="N333" s="33">
        <f>IF(INVESTORS_LIST[[#This Row],[SIP_TOTAL UNITS BUY]]=0,0,INVESTORS_LIST[[#This Row],[SIP_TOTAL UNITS BUY]]-INVESTORS_LIST[[#This Row],[SIP_TOTAL UNITS SOLD]])</f>
        <v>0</v>
      </c>
      <c r="O333" s="4">
        <f>IF(INVESTORS_LIST[[#This Row],[SIP_TOTAL UNITS BUY]]=0,0,SUMIFS(SIP[Amount],SIP[Investor ID],INVESTORS_LIST[[#This Row],[INVESTOR CODE]],SIP[B/S],"B"))</f>
        <v>0</v>
      </c>
      <c r="P333" s="4">
        <f>IF(INVESTORS_LIST[[#This Row],[SIP_TOTAL UNITS SOLD]]=0,0,SUMIFS(SIP[Cost of Units Sold],SIP[Investor ID],INVESTORS_LIST[[#This Row],[INVESTOR CODE]],SIP[B/S],"S"))</f>
        <v>0</v>
      </c>
      <c r="Q333" s="6">
        <f>IF(INVESTORS_LIST[[#This Row],[SIP_TOTAL CURRENT UNITS]]=0,0,INVESTORS_LIST[[#This Row],[SIP_TOTAL CURRENT UNITS]]*INVESTORS_LIST[[#This Row],[SIP_AVERAGE COST]])</f>
        <v>0</v>
      </c>
      <c r="R333" s="6">
        <f>IF(INVESTORS_LIST[[#This Row],[SIP_TOTAL UNITS SOLD]]=0,0,SUMIFS(SIP[Realized Gain],SIP[Investor ID],INVESTORS_LIST[[#This Row],[INVESTOR CODE]],SIP[B/S],"S"))</f>
        <v>0</v>
      </c>
      <c r="S333" s="33">
        <f>INVESTORS_LIST[[#This Row],[LS_TOTAL UNITS BUY]]+INVESTORS_LIST[[#This Row],[SIP_TOTAL UNITS BUY]]</f>
        <v>51326</v>
      </c>
      <c r="T333" s="33">
        <f>INVESTORS_LIST[[#This Row],[LS_TOTAL UNITS SOLD]]+INVESTORS_LIST[[#This Row],[SIP_TOTAL UNITS SOLD]]</f>
        <v>0</v>
      </c>
      <c r="U333" s="33">
        <v>50000</v>
      </c>
      <c r="V333" s="33">
        <f>SUMIFS(LS[BO UNIT TRANSFER],LS[Investor ID],INVESTORS_LIST[[#This Row],[INVESTOR CODE]],LS[B/S],"B")</f>
        <v>1326</v>
      </c>
      <c r="W333" s="33">
        <f>SUMIFS(LS[BO UNIT TRANSFER],LS[Investor ID],INVESTORS_LIST[[#This Row],[INVESTOR CODE]],LS[B/S],"S")</f>
        <v>0</v>
      </c>
      <c r="X333" s="33">
        <f>SUMIFS(SIP[BO UNIT TRANSFER],SIP[Investor ID],INVESTORS_LIST[[#This Row],[INVESTOR CODE]],SIP[B/S],"S")</f>
        <v>0</v>
      </c>
      <c r="Y333" s="33">
        <f>SUMIFS(SIP[BO UNIT TRANSFER],SIP[Investor ID],INVESTORS_LIST[[#This Row],[INVESTOR CODE]],SIP[B/S],"B")</f>
        <v>0</v>
      </c>
      <c r="Z33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51326</v>
      </c>
      <c r="AA333" s="119">
        <f>INVESTORS_LIST[[#This Row],[TOTAL UNITS BUY]]-INVESTORS_LIST[[#This Row],[TOTAL UNITS SOLD]]</f>
        <v>51326</v>
      </c>
      <c r="AB333" s="119">
        <f>INVESTORS_LIST[[#This Row],[TOTAL CURRENT UNITS]]-INVESTORS_LIST[[#This Row],[BO UNITS HOLD]]</f>
        <v>0</v>
      </c>
      <c r="AC333" s="119" t="e">
        <f>INDEX([4]!Table_1[BO ID],MATCH(INVESTORS_LIST[[#This Row],[INVESTOR CODE]],[4]!Table_1[INVESTOR CODE],0))</f>
        <v>#REF!</v>
      </c>
      <c r="AD333" s="33">
        <f>INVESTORS_LIST[[#This Row],[LS_TOTAL COST VALUE OF CURRENT UNITS]]+INVESTORS_LIST[[#This Row],[SIP_TOTAL COST VALUE OF CURRENT UNITS]]</f>
        <v>517500</v>
      </c>
      <c r="AE333" s="44">
        <f>IF(INVESTORS_LIST[[#This Row],[TOTAL CURRENT UNITS]]=0,0,INVESTORS_LIST[[#This Row],[LS_TOTAL CURRENT UNITS]]/INVESTORS_LIST[[#This Row],[TOTAL CURRENT UNITS]])</f>
        <v>1</v>
      </c>
      <c r="AF333" s="44">
        <f>IF(INVESTORS_LIST[[#This Row],[TOTAL CURRENT UNITS]]=0,0,INVESTORS_LIST[[#This Row],[SIP_TOTAL CURRENT UNITS]]/INVESTORS_LIST[[#This Row],[TOTAL CURRENT UNITS]])</f>
        <v>0</v>
      </c>
      <c r="AG333" s="4" cm="1">
        <f t="array" ref="AG333">IF(INVESTORS_LIST[[#This Row],[LS_TOTAL UNITS BUY]]&gt;0,INDEX(LS[NAV at Cost (Average)],MATCH(CONCATENATE(COUNTIFS(LS[Investor ID],INVESTORS_LIST[[#This Row],[INVESTOR CODE]]),INVESTORS_LIST[[#This Row],[INVESTOR CODE]]),LS[Unique Code],0),),0)</f>
        <v>10.082609203912247</v>
      </c>
      <c r="AH333" s="4" cm="1">
        <f t="array" ref="AH3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33" s="178">
        <f>IF(INVESTORS_LIST[[#This Row],[TOTAL CURRENT UNITS]]=0,0,(INVESTORS_LIST[[#This Row],[LS_WEIGHT]]*INVESTORS_LIST[[#This Row],[LS_AVERAGE COST]])+(INVESTORS_LIST[[#This Row],[SIP_WEIGHT]]*INVESTORS_LIST[[#This Row],[SIP_AVERAGE COST]]))</f>
        <v>10.082609203912247</v>
      </c>
      <c r="AJ333" s="178">
        <f t="shared" si="5"/>
        <v>12.552</v>
      </c>
      <c r="AK333" s="118">
        <f>IF(INVESTORS_LIST[[#This Row],[TOTAL CURRENT UNITS]]=0,0,INVESTORS_LIST[[#This Row],[TOTAL CURRENT UNITS]]*INVESTORS_LIST[[#This Row],[NAV]])</f>
        <v>644243.95199999993</v>
      </c>
      <c r="AL333" s="4">
        <f>IF(INVESTORS_LIST[[#This Row],[LS_TOTAL CURRENT UNITS]]=0,0,INVESTORS_LIST[[#This Row],[LS_TOTAL CURRENT UNITS]]*INVESTORS_LIST[[#This Row],[NAV]])</f>
        <v>644243.95199999993</v>
      </c>
      <c r="AM333" s="6">
        <f>IF(INVESTORS_LIST[[#This Row],[SIP_TOTAL CURRENT UNITS]]=0,0,INVESTORS_LIST[[#This Row],[SIP_TOTAL CURRENT UNITS]]*INVESTORS_LIST[[#This Row],[NAV]])</f>
        <v>0</v>
      </c>
      <c r="AO333" s="6">
        <f>IF(INVESTORS_LIST[[#This Row],[TOTAL SELLABLE UNITS]]=0,0,INVESTORS_LIST[[#This Row],[TOTAL SELLABLE UNITS]]*INVESTORS_LIST[[#This Row],[NAV]])</f>
        <v>0</v>
      </c>
      <c r="AP333" s="6">
        <f>INVESTORS_LIST[[#This Row],[LS_TOTAL REALIZED GAIN]]+INVESTORS_LIST[[#This Row],[SIP_TOTAL REALIZED GAIN]]</f>
        <v>0</v>
      </c>
      <c r="AQ333" s="6">
        <f>INVESTORS_LIST[[#This Row],[TOTAL MARKET VALUE]]-INVESTORS_LIST[[#This Row],[TOTAL COST VALUE OF CURRENT INVESTMENT]]</f>
        <v>126743.95199999993</v>
      </c>
      <c r="AR333" s="6">
        <f>SUMIFS(DivAndTax[Tax Amount],DivAndTax[Investor ID],INVESTORS_LIST[[#This Row],[INVESTOR CODE]])</f>
        <v>5500</v>
      </c>
      <c r="AS333" s="6">
        <f>SUMIFS(DivAndTax[Gross Dividend],DivAndTax[Investor ID],INVESTORS_LIST[[#This Row],[INVESTOR CODE]])</f>
        <v>55000</v>
      </c>
      <c r="AT333" s="5">
        <f>IFERROR(INVESTORS_LIST[[#This Row],[TOTAL CURRENT UNITS]]/SUM(INVESTORS_LIST[TOTAL CURRENT UNITS]),0)</f>
        <v>2.4608166041018534E-3</v>
      </c>
    </row>
    <row r="334" spans="1:46" hidden="1">
      <c r="A334" t="s">
        <v>594</v>
      </c>
      <c r="B334" t="s">
        <v>595</v>
      </c>
      <c r="C334" t="s">
        <v>539</v>
      </c>
      <c r="D334" s="8" t="s">
        <v>2</v>
      </c>
      <c r="E334" s="2">
        <f>SUMIFS(LS[Unit],LS[Investor ID],INVESTORS_LIST[[#This Row],[INVESTOR CODE]],LS[B/S],"B")</f>
        <v>5114</v>
      </c>
      <c r="F334" s="2">
        <f>-SUMIFS(LS[Unit],LS[Investor ID],INVESTORS_LIST[[#This Row],[INVESTOR CODE]],LS[B/S],"S")</f>
        <v>5114</v>
      </c>
      <c r="G334" s="2">
        <f>IF(INVESTORS_LIST[[#This Row],[LS_TOTAL UNITS BUY]]=0,0,INVESTORS_LIST[[#This Row],[LS_TOTAL UNITS BUY]]-INVESTORS_LIST[[#This Row],[LS_TOTAL UNITS SOLD]])</f>
        <v>0</v>
      </c>
      <c r="H334" s="4">
        <f>IF(INVESTORS_LIST[[#This Row],[LS_TOTAL UNITS BUY]]=0,0,SUMIFS(LS[Amount],LS[Investor ID],INVESTORS_LIST[[#This Row],[INVESTOR CODE]],LS[B/S],"B"))</f>
        <v>51062.5</v>
      </c>
      <c r="I334" s="6">
        <f>IF(INVESTORS_LIST[[#This Row],[LS_TOTAL UNITS SOLD]]=0,0,SUMIFS(LS[Cost of Units Sold],LS[Investor ID],INVESTORS_LIST[[#This Row],[INVESTOR CODE]],LS[B/S],"S"))</f>
        <v>51062.5</v>
      </c>
      <c r="J334" s="6">
        <f>IF(INVESTORS_LIST[[#This Row],[LS_TOTAL CURRENT UNITS]]=0,0,INVESTORS_LIST[[#This Row],[LS_TOTAL CURRENT UNITS]]*INVESTORS_LIST[[#This Row],[LS_AVERAGE COST]])</f>
        <v>0</v>
      </c>
      <c r="K334" s="4">
        <f>IF(INVESTORS_LIST[[#This Row],[LS_TOTAL UNITS SOLD]]=0,0,SUMIFS(LS[Realized Gain],LS[Investor ID],INVESTORS_LIST[[#This Row],[INVESTOR CODE]],LS[B/S],"S"))</f>
        <v>-878.81999999999618</v>
      </c>
      <c r="L334" s="2">
        <f>SUMIFS(SIP[Unit],SIP[Investor ID],INVESTORS_LIST[[#This Row],[INVESTOR CODE]],SIP[B/S],"B")</f>
        <v>0</v>
      </c>
      <c r="M334" s="2">
        <f>-SUMIFS(SIP[Unit],SIP[Investor ID],INVESTORS_LIST[[#This Row],[INVESTOR CODE]],SIP[B/S],"S")</f>
        <v>0</v>
      </c>
      <c r="N334" s="33">
        <f>IF(INVESTORS_LIST[[#This Row],[SIP_TOTAL UNITS BUY]]=0,0,INVESTORS_LIST[[#This Row],[SIP_TOTAL UNITS BUY]]-INVESTORS_LIST[[#This Row],[SIP_TOTAL UNITS SOLD]])</f>
        <v>0</v>
      </c>
      <c r="O334" s="4">
        <f>IF(INVESTORS_LIST[[#This Row],[SIP_TOTAL UNITS BUY]]=0,0,SUMIFS(SIP[Amount],SIP[Investor ID],INVESTORS_LIST[[#This Row],[INVESTOR CODE]],SIP[B/S],"B"))</f>
        <v>0</v>
      </c>
      <c r="P334" s="4">
        <f>IF(INVESTORS_LIST[[#This Row],[SIP_TOTAL UNITS SOLD]]=0,0,SUMIFS(SIP[Cost of Units Sold],SIP[Investor ID],INVESTORS_LIST[[#This Row],[INVESTOR CODE]],SIP[B/S],"S"))</f>
        <v>0</v>
      </c>
      <c r="Q334" s="6">
        <f>IF(INVESTORS_LIST[[#This Row],[SIP_TOTAL CURRENT UNITS]]=0,0,INVESTORS_LIST[[#This Row],[SIP_TOTAL CURRENT UNITS]]*INVESTORS_LIST[[#This Row],[SIP_AVERAGE COST]])</f>
        <v>0</v>
      </c>
      <c r="R334" s="6">
        <f>IF(INVESTORS_LIST[[#This Row],[SIP_TOTAL UNITS SOLD]]=0,0,SUMIFS(SIP[Realized Gain],SIP[Investor ID],INVESTORS_LIST[[#This Row],[INVESTOR CODE]],SIP[B/S],"S"))</f>
        <v>0</v>
      </c>
      <c r="S334" s="33">
        <f>INVESTORS_LIST[[#This Row],[LS_TOTAL UNITS BUY]]+INVESTORS_LIST[[#This Row],[SIP_TOTAL UNITS BUY]]</f>
        <v>5114</v>
      </c>
      <c r="T334" s="33">
        <f>INVESTORS_LIST[[#This Row],[LS_TOTAL UNITS SOLD]]+INVESTORS_LIST[[#This Row],[SIP_TOTAL UNITS SOLD]]</f>
        <v>5114</v>
      </c>
      <c r="U334" s="33">
        <v>5000</v>
      </c>
      <c r="V334" s="33">
        <f>SUMIFS(LS[BO UNIT TRANSFER],LS[Investor ID],INVESTORS_LIST[[#This Row],[INVESTOR CODE]],LS[B/S],"B")</f>
        <v>0</v>
      </c>
      <c r="W334" s="33">
        <f>SUMIFS(LS[BO UNIT TRANSFER],LS[Investor ID],INVESTORS_LIST[[#This Row],[INVESTOR CODE]],LS[B/S],"S")</f>
        <v>0</v>
      </c>
      <c r="X334" s="33">
        <f>SUMIFS(SIP[BO UNIT TRANSFER],SIP[Investor ID],INVESTORS_LIST[[#This Row],[INVESTOR CODE]],SIP[B/S],"S")</f>
        <v>0</v>
      </c>
      <c r="Y334" s="33">
        <f>SUMIFS(SIP[BO UNIT TRANSFER],SIP[Investor ID],INVESTORS_LIST[[#This Row],[INVESTOR CODE]],SIP[B/S],"B")</f>
        <v>0</v>
      </c>
      <c r="Z33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5000</v>
      </c>
      <c r="AA334" s="119">
        <f>INVESTORS_LIST[[#This Row],[TOTAL UNITS BUY]]-INVESTORS_LIST[[#This Row],[TOTAL UNITS SOLD]]</f>
        <v>0</v>
      </c>
      <c r="AB334" s="119">
        <f>INVESTORS_LIST[[#This Row],[TOTAL CURRENT UNITS]]-INVESTORS_LIST[[#This Row],[BO UNITS HOLD]]</f>
        <v>-5000</v>
      </c>
      <c r="AC334" s="119" t="e">
        <f>INDEX([4]!Table_1[BO ID],MATCH(INVESTORS_LIST[[#This Row],[INVESTOR CODE]],[4]!Table_1[INVESTOR CODE],0))</f>
        <v>#REF!</v>
      </c>
      <c r="AD334" s="33">
        <f>INVESTORS_LIST[[#This Row],[LS_TOTAL COST VALUE OF CURRENT UNITS]]+INVESTORS_LIST[[#This Row],[SIP_TOTAL COST VALUE OF CURRENT UNITS]]</f>
        <v>0</v>
      </c>
      <c r="AE334" s="44">
        <f>IF(INVESTORS_LIST[[#This Row],[TOTAL CURRENT UNITS]]=0,0,INVESTORS_LIST[[#This Row],[LS_TOTAL CURRENT UNITS]]/INVESTORS_LIST[[#This Row],[TOTAL CURRENT UNITS]])</f>
        <v>0</v>
      </c>
      <c r="AF334" s="44">
        <f>IF(INVESTORS_LIST[[#This Row],[TOTAL CURRENT UNITS]]=0,0,INVESTORS_LIST[[#This Row],[SIP_TOTAL CURRENT UNITS]]/INVESTORS_LIST[[#This Row],[TOTAL CURRENT UNITS]])</f>
        <v>0</v>
      </c>
      <c r="AG334" s="4" cm="1">
        <f t="array" ref="AG33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34" s="4" cm="1">
        <f t="array" ref="AH3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3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34" s="178">
        <f t="shared" si="5"/>
        <v>12.552</v>
      </c>
      <c r="AK334" s="118">
        <f>IF(INVESTORS_LIST[[#This Row],[TOTAL CURRENT UNITS]]=0,0,INVESTORS_LIST[[#This Row],[TOTAL CURRENT UNITS]]*INVESTORS_LIST[[#This Row],[NAV]])</f>
        <v>0</v>
      </c>
      <c r="AL334" s="4">
        <f>IF(INVESTORS_LIST[[#This Row],[LS_TOTAL CURRENT UNITS]]=0,0,INVESTORS_LIST[[#This Row],[LS_TOTAL CURRENT UNITS]]*INVESTORS_LIST[[#This Row],[NAV]])</f>
        <v>0</v>
      </c>
      <c r="AM334" s="6">
        <f>IF(INVESTORS_LIST[[#This Row],[SIP_TOTAL CURRENT UNITS]]=0,0,INVESTORS_LIST[[#This Row],[SIP_TOTAL CURRENT UNITS]]*INVESTORS_LIST[[#This Row],[NAV]])</f>
        <v>0</v>
      </c>
      <c r="AO334" s="6">
        <f>IF(INVESTORS_LIST[[#This Row],[TOTAL SELLABLE UNITS]]=0,0,INVESTORS_LIST[[#This Row],[TOTAL SELLABLE UNITS]]*INVESTORS_LIST[[#This Row],[NAV]])</f>
        <v>0</v>
      </c>
      <c r="AP334" s="6">
        <f>INVESTORS_LIST[[#This Row],[LS_TOTAL REALIZED GAIN]]+INVESTORS_LIST[[#This Row],[SIP_TOTAL REALIZED GAIN]]</f>
        <v>-878.81999999999618</v>
      </c>
      <c r="AQ334" s="6">
        <f>INVESTORS_LIST[[#This Row],[TOTAL MARKET VALUE]]-INVESTORS_LIST[[#This Row],[TOTAL COST VALUE OF CURRENT INVESTMENT]]</f>
        <v>0</v>
      </c>
      <c r="AR334" s="6">
        <f>SUMIFS(DivAndTax[Tax Amount],DivAndTax[Investor ID],INVESTORS_LIST[[#This Row],[INVESTOR CODE]])</f>
        <v>187.5</v>
      </c>
      <c r="AS334" s="6">
        <f>SUMIFS(DivAndTax[Gross Dividend],DivAndTax[Investor ID],INVESTORS_LIST[[#This Row],[INVESTOR CODE]])</f>
        <v>1250</v>
      </c>
      <c r="AT334" s="5">
        <f>IFERROR(INVESTORS_LIST[[#This Row],[TOTAL CURRENT UNITS]]/SUM(INVESTORS_LIST[TOTAL CURRENT UNITS]),0)</f>
        <v>0</v>
      </c>
    </row>
    <row r="335" spans="1:46" hidden="1">
      <c r="A335" t="s">
        <v>596</v>
      </c>
      <c r="B335" t="s">
        <v>597</v>
      </c>
      <c r="C335" t="s">
        <v>536</v>
      </c>
      <c r="D335" s="8" t="s">
        <v>2</v>
      </c>
      <c r="E335" s="2">
        <f>SUMIFS(LS[Unit],LS[Investor ID],INVESTORS_LIST[[#This Row],[INVESTOR CODE]],LS[B/S],"B")</f>
        <v>100000</v>
      </c>
      <c r="F335" s="2">
        <f>-SUMIFS(LS[Unit],LS[Investor ID],INVESTORS_LIST[[#This Row],[INVESTOR CODE]],LS[B/S],"S")</f>
        <v>100000</v>
      </c>
      <c r="G335" s="2">
        <f>IF(INVESTORS_LIST[[#This Row],[LS_TOTAL UNITS BUY]]=0,0,INVESTORS_LIST[[#This Row],[LS_TOTAL UNITS BUY]]-INVESTORS_LIST[[#This Row],[LS_TOTAL UNITS SOLD]])</f>
        <v>0</v>
      </c>
      <c r="H335" s="4">
        <f>IF(INVESTORS_LIST[[#This Row],[LS_TOTAL UNITS BUY]]=0,0,SUMIFS(LS[Amount],LS[Investor ID],INVESTORS_LIST[[#This Row],[INVESTOR CODE]],LS[B/S],"B"))</f>
        <v>1000000</v>
      </c>
      <c r="I335" s="6">
        <f>IF(INVESTORS_LIST[[#This Row],[LS_TOTAL UNITS SOLD]]=0,0,SUMIFS(LS[Cost of Units Sold],LS[Investor ID],INVESTORS_LIST[[#This Row],[INVESTOR CODE]],LS[B/S],"S"))</f>
        <v>1000000</v>
      </c>
      <c r="J335" s="6">
        <f>IF(INVESTORS_LIST[[#This Row],[LS_TOTAL CURRENT UNITS]]=0,0,INVESTORS_LIST[[#This Row],[LS_TOTAL CURRENT UNITS]]*INVESTORS_LIST[[#This Row],[LS_AVERAGE COST]])</f>
        <v>0</v>
      </c>
      <c r="K335" s="4">
        <f>IF(INVESTORS_LIST[[#This Row],[LS_TOTAL UNITS SOLD]]=0,0,SUMIFS(LS[Realized Gain],LS[Investor ID],INVESTORS_LIST[[#This Row],[INVESTOR CODE]],LS[B/S],"S"))</f>
        <v>21299.99999999992</v>
      </c>
      <c r="L335" s="2">
        <f>SUMIFS(SIP[Unit],SIP[Investor ID],INVESTORS_LIST[[#This Row],[INVESTOR CODE]],SIP[B/S],"B")</f>
        <v>0</v>
      </c>
      <c r="M335" s="2">
        <f>-SUMIFS(SIP[Unit],SIP[Investor ID],INVESTORS_LIST[[#This Row],[INVESTOR CODE]],SIP[B/S],"S")</f>
        <v>0</v>
      </c>
      <c r="N335" s="33">
        <f>IF(INVESTORS_LIST[[#This Row],[SIP_TOTAL UNITS BUY]]=0,0,INVESTORS_LIST[[#This Row],[SIP_TOTAL UNITS BUY]]-INVESTORS_LIST[[#This Row],[SIP_TOTAL UNITS SOLD]])</f>
        <v>0</v>
      </c>
      <c r="O335" s="4">
        <f>IF(INVESTORS_LIST[[#This Row],[SIP_TOTAL UNITS BUY]]=0,0,SUMIFS(SIP[Amount],SIP[Investor ID],INVESTORS_LIST[[#This Row],[INVESTOR CODE]],SIP[B/S],"B"))</f>
        <v>0</v>
      </c>
      <c r="P335" s="4">
        <f>IF(INVESTORS_LIST[[#This Row],[SIP_TOTAL UNITS SOLD]]=0,0,SUMIFS(SIP[Cost of Units Sold],SIP[Investor ID],INVESTORS_LIST[[#This Row],[INVESTOR CODE]],SIP[B/S],"S"))</f>
        <v>0</v>
      </c>
      <c r="Q335" s="6">
        <f>IF(INVESTORS_LIST[[#This Row],[SIP_TOTAL CURRENT UNITS]]=0,0,INVESTORS_LIST[[#This Row],[SIP_TOTAL CURRENT UNITS]]*INVESTORS_LIST[[#This Row],[SIP_AVERAGE COST]])</f>
        <v>0</v>
      </c>
      <c r="R335" s="6">
        <f>IF(INVESTORS_LIST[[#This Row],[SIP_TOTAL UNITS SOLD]]=0,0,SUMIFS(SIP[Realized Gain],SIP[Investor ID],INVESTORS_LIST[[#This Row],[INVESTOR CODE]],SIP[B/S],"S"))</f>
        <v>0</v>
      </c>
      <c r="S335" s="33">
        <f>INVESTORS_LIST[[#This Row],[LS_TOTAL UNITS BUY]]+INVESTORS_LIST[[#This Row],[SIP_TOTAL UNITS BUY]]</f>
        <v>100000</v>
      </c>
      <c r="T335" s="33">
        <f>INVESTORS_LIST[[#This Row],[LS_TOTAL UNITS SOLD]]+INVESTORS_LIST[[#This Row],[SIP_TOTAL UNITS SOLD]]</f>
        <v>100000</v>
      </c>
      <c r="U335" s="33">
        <v>0</v>
      </c>
      <c r="V335" s="33">
        <f>SUMIFS(LS[BO UNIT TRANSFER],LS[Investor ID],INVESTORS_LIST[[#This Row],[INVESTOR CODE]],LS[B/S],"B")</f>
        <v>0</v>
      </c>
      <c r="W335" s="33">
        <f>SUMIFS(LS[BO UNIT TRANSFER],LS[Investor ID],INVESTORS_LIST[[#This Row],[INVESTOR CODE]],LS[B/S],"S")</f>
        <v>0</v>
      </c>
      <c r="X335" s="33">
        <f>SUMIFS(SIP[BO UNIT TRANSFER],SIP[Investor ID],INVESTORS_LIST[[#This Row],[INVESTOR CODE]],SIP[B/S],"S")</f>
        <v>0</v>
      </c>
      <c r="Y335" s="33">
        <f>SUMIFS(SIP[BO UNIT TRANSFER],SIP[Investor ID],INVESTORS_LIST[[#This Row],[INVESTOR CODE]],SIP[B/S],"B")</f>
        <v>0</v>
      </c>
      <c r="Z33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35" s="119">
        <f>INVESTORS_LIST[[#This Row],[TOTAL UNITS BUY]]-INVESTORS_LIST[[#This Row],[TOTAL UNITS SOLD]]</f>
        <v>0</v>
      </c>
      <c r="AB335" s="119">
        <f>INVESTORS_LIST[[#This Row],[TOTAL CURRENT UNITS]]-INVESTORS_LIST[[#This Row],[BO UNITS HOLD]]</f>
        <v>0</v>
      </c>
      <c r="AC335" s="119" t="e">
        <f>INDEX([4]!Table_1[BO ID],MATCH(INVESTORS_LIST[[#This Row],[INVESTOR CODE]],[4]!Table_1[INVESTOR CODE],0))</f>
        <v>#REF!</v>
      </c>
      <c r="AD335" s="33">
        <f>INVESTORS_LIST[[#This Row],[LS_TOTAL COST VALUE OF CURRENT UNITS]]+INVESTORS_LIST[[#This Row],[SIP_TOTAL COST VALUE OF CURRENT UNITS]]</f>
        <v>0</v>
      </c>
      <c r="AE335" s="44">
        <f>IF(INVESTORS_LIST[[#This Row],[TOTAL CURRENT UNITS]]=0,0,INVESTORS_LIST[[#This Row],[LS_TOTAL CURRENT UNITS]]/INVESTORS_LIST[[#This Row],[TOTAL CURRENT UNITS]])</f>
        <v>0</v>
      </c>
      <c r="AF335" s="44">
        <f>IF(INVESTORS_LIST[[#This Row],[TOTAL CURRENT UNITS]]=0,0,INVESTORS_LIST[[#This Row],[SIP_TOTAL CURRENT UNITS]]/INVESTORS_LIST[[#This Row],[TOTAL CURRENT UNITS]])</f>
        <v>0</v>
      </c>
      <c r="AG335" s="4" cm="1">
        <f t="array" ref="AG3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35" s="4" cm="1">
        <f t="array" ref="AH3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3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35" s="178">
        <f t="shared" si="5"/>
        <v>12.552</v>
      </c>
      <c r="AK335" s="118">
        <f>IF(INVESTORS_LIST[[#This Row],[TOTAL CURRENT UNITS]]=0,0,INVESTORS_LIST[[#This Row],[TOTAL CURRENT UNITS]]*INVESTORS_LIST[[#This Row],[NAV]])</f>
        <v>0</v>
      </c>
      <c r="AL335" s="4">
        <f>IF(INVESTORS_LIST[[#This Row],[LS_TOTAL CURRENT UNITS]]=0,0,INVESTORS_LIST[[#This Row],[LS_TOTAL CURRENT UNITS]]*INVESTORS_LIST[[#This Row],[NAV]])</f>
        <v>0</v>
      </c>
      <c r="AM335" s="6">
        <f>IF(INVESTORS_LIST[[#This Row],[SIP_TOTAL CURRENT UNITS]]=0,0,INVESTORS_LIST[[#This Row],[SIP_TOTAL CURRENT UNITS]]*INVESTORS_LIST[[#This Row],[NAV]])</f>
        <v>0</v>
      </c>
      <c r="AO335" s="6">
        <f>IF(INVESTORS_LIST[[#This Row],[TOTAL SELLABLE UNITS]]=0,0,INVESTORS_LIST[[#This Row],[TOTAL SELLABLE UNITS]]*INVESTORS_LIST[[#This Row],[NAV]])</f>
        <v>0</v>
      </c>
      <c r="AP335" s="6">
        <f>INVESTORS_LIST[[#This Row],[LS_TOTAL REALIZED GAIN]]+INVESTORS_LIST[[#This Row],[SIP_TOTAL REALIZED GAIN]]</f>
        <v>21299.99999999992</v>
      </c>
      <c r="AQ335" s="6">
        <f>INVESTORS_LIST[[#This Row],[TOTAL MARKET VALUE]]-INVESTORS_LIST[[#This Row],[TOTAL COST VALUE OF CURRENT INVESTMENT]]</f>
        <v>0</v>
      </c>
      <c r="AR335" s="6">
        <f>SUMIFS(DivAndTax[Tax Amount],DivAndTax[Investor ID],INVESTORS_LIST[[#This Row],[INVESTOR CODE]])</f>
        <v>2500</v>
      </c>
      <c r="AS335" s="6">
        <f>SUMIFS(DivAndTax[Gross Dividend],DivAndTax[Investor ID],INVESTORS_LIST[[#This Row],[INVESTOR CODE]])</f>
        <v>25000</v>
      </c>
      <c r="AT335" s="5">
        <f>IFERROR(INVESTORS_LIST[[#This Row],[TOTAL CURRENT UNITS]]/SUM(INVESTORS_LIST[TOTAL CURRENT UNITS]),0)</f>
        <v>0</v>
      </c>
    </row>
    <row r="336" spans="1:46">
      <c r="A336" t="s">
        <v>636</v>
      </c>
      <c r="B336" t="s">
        <v>598</v>
      </c>
      <c r="C336" t="s">
        <v>536</v>
      </c>
      <c r="D336" s="8" t="s">
        <v>2</v>
      </c>
      <c r="E336" s="2">
        <f>SUMIFS(LS[Unit],LS[Investor ID],INVESTORS_LIST[[#This Row],[INVESTOR CODE]],LS[B/S],"B")</f>
        <v>131079</v>
      </c>
      <c r="F336" s="2">
        <f>-SUMIFS(LS[Unit],LS[Investor ID],INVESTORS_LIST[[#This Row],[INVESTOR CODE]],LS[B/S],"S")</f>
        <v>0</v>
      </c>
      <c r="G336" s="2">
        <f>IF(INVESTORS_LIST[[#This Row],[LS_TOTAL UNITS BUY]]=0,0,INVESTORS_LIST[[#This Row],[LS_TOTAL UNITS BUY]]-INVESTORS_LIST[[#This Row],[LS_TOTAL UNITS SOLD]])</f>
        <v>131079</v>
      </c>
      <c r="H336" s="4">
        <f>IF(INVESTORS_LIST[[#This Row],[LS_TOTAL UNITS BUY]]=0,0,SUMIFS(LS[Amount],LS[Investor ID],INVESTORS_LIST[[#This Row],[INVESTOR CODE]],LS[B/S],"B"))</f>
        <v>1322357.1199999999</v>
      </c>
      <c r="I336" s="6">
        <f>IF(INVESTORS_LIST[[#This Row],[LS_TOTAL UNITS SOLD]]=0,0,SUMIFS(LS[Cost of Units Sold],LS[Investor ID],INVESTORS_LIST[[#This Row],[INVESTOR CODE]],LS[B/S],"S"))</f>
        <v>0</v>
      </c>
      <c r="J336" s="6">
        <f>IF(INVESTORS_LIST[[#This Row],[LS_TOTAL CURRENT UNITS]]=0,0,INVESTORS_LIST[[#This Row],[LS_TOTAL CURRENT UNITS]]*INVESTORS_LIST[[#This Row],[LS_AVERAGE COST]])</f>
        <v>1322357.1199999999</v>
      </c>
      <c r="K336" s="4">
        <f>IF(INVESTORS_LIST[[#This Row],[LS_TOTAL UNITS SOLD]]=0,0,SUMIFS(LS[Realized Gain],LS[Investor ID],INVESTORS_LIST[[#This Row],[INVESTOR CODE]],LS[B/S],"S"))</f>
        <v>0</v>
      </c>
      <c r="L336" s="2">
        <f>SUMIFS(SIP[Unit],SIP[Investor ID],INVESTORS_LIST[[#This Row],[INVESTOR CODE]],SIP[B/S],"B")</f>
        <v>0</v>
      </c>
      <c r="M336" s="2">
        <f>-SUMIFS(SIP[Unit],SIP[Investor ID],INVESTORS_LIST[[#This Row],[INVESTOR CODE]],SIP[B/S],"S")</f>
        <v>0</v>
      </c>
      <c r="N336" s="33">
        <f>IF(INVESTORS_LIST[[#This Row],[SIP_TOTAL UNITS BUY]]=0,0,INVESTORS_LIST[[#This Row],[SIP_TOTAL UNITS BUY]]-INVESTORS_LIST[[#This Row],[SIP_TOTAL UNITS SOLD]])</f>
        <v>0</v>
      </c>
      <c r="O336" s="4">
        <f>IF(INVESTORS_LIST[[#This Row],[SIP_TOTAL UNITS BUY]]=0,0,SUMIFS(SIP[Amount],SIP[Investor ID],INVESTORS_LIST[[#This Row],[INVESTOR CODE]],SIP[B/S],"B"))</f>
        <v>0</v>
      </c>
      <c r="P336" s="4">
        <f>IF(INVESTORS_LIST[[#This Row],[SIP_TOTAL UNITS SOLD]]=0,0,SUMIFS(SIP[Cost of Units Sold],SIP[Investor ID],INVESTORS_LIST[[#This Row],[INVESTOR CODE]],SIP[B/S],"S"))</f>
        <v>0</v>
      </c>
      <c r="Q336" s="6">
        <f>IF(INVESTORS_LIST[[#This Row],[SIP_TOTAL CURRENT UNITS]]=0,0,INVESTORS_LIST[[#This Row],[SIP_TOTAL CURRENT UNITS]]*INVESTORS_LIST[[#This Row],[SIP_AVERAGE COST]])</f>
        <v>0</v>
      </c>
      <c r="R336" s="6">
        <f>IF(INVESTORS_LIST[[#This Row],[SIP_TOTAL UNITS SOLD]]=0,0,SUMIFS(SIP[Realized Gain],SIP[Investor ID],INVESTORS_LIST[[#This Row],[INVESTOR CODE]],SIP[B/S],"S"))</f>
        <v>0</v>
      </c>
      <c r="S336" s="33">
        <f>INVESTORS_LIST[[#This Row],[LS_TOTAL UNITS BUY]]+INVESTORS_LIST[[#This Row],[SIP_TOTAL UNITS BUY]]</f>
        <v>131079</v>
      </c>
      <c r="T336" s="33">
        <f>INVESTORS_LIST[[#This Row],[LS_TOTAL UNITS SOLD]]+INVESTORS_LIST[[#This Row],[SIP_TOTAL UNITS SOLD]]</f>
        <v>0</v>
      </c>
      <c r="U336" s="33">
        <v>0</v>
      </c>
      <c r="V336" s="33">
        <f>SUMIFS(LS[BO UNIT TRANSFER],LS[Investor ID],INVESTORS_LIST[[#This Row],[INVESTOR CODE]],LS[B/S],"B")</f>
        <v>0</v>
      </c>
      <c r="W336" s="33">
        <f>SUMIFS(LS[BO UNIT TRANSFER],LS[Investor ID],INVESTORS_LIST[[#This Row],[INVESTOR CODE]],LS[B/S],"S")</f>
        <v>0</v>
      </c>
      <c r="X336" s="33">
        <f>SUMIFS(SIP[BO UNIT TRANSFER],SIP[Investor ID],INVESTORS_LIST[[#This Row],[INVESTOR CODE]],SIP[B/S],"S")</f>
        <v>0</v>
      </c>
      <c r="Y336" s="33">
        <f>SUMIFS(SIP[BO UNIT TRANSFER],SIP[Investor ID],INVESTORS_LIST[[#This Row],[INVESTOR CODE]],SIP[B/S],"B")</f>
        <v>0</v>
      </c>
      <c r="Z33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36" s="119">
        <f>INVESTORS_LIST[[#This Row],[TOTAL UNITS BUY]]-INVESTORS_LIST[[#This Row],[TOTAL UNITS SOLD]]</f>
        <v>131079</v>
      </c>
      <c r="AB336" s="119">
        <f>INVESTORS_LIST[[#This Row],[TOTAL CURRENT UNITS]]-INVESTORS_LIST[[#This Row],[BO UNITS HOLD]]</f>
        <v>131079</v>
      </c>
      <c r="AC336" s="119" t="e">
        <f>INDEX([4]!Table_1[BO ID],MATCH(INVESTORS_LIST[[#This Row],[INVESTOR CODE]],[4]!Table_1[INVESTOR CODE],0))</f>
        <v>#REF!</v>
      </c>
      <c r="AD336" s="33">
        <f>INVESTORS_LIST[[#This Row],[LS_TOTAL COST VALUE OF CURRENT UNITS]]+INVESTORS_LIST[[#This Row],[SIP_TOTAL COST VALUE OF CURRENT UNITS]]</f>
        <v>1322357.1199999999</v>
      </c>
      <c r="AE336" s="44">
        <f>IF(INVESTORS_LIST[[#This Row],[TOTAL CURRENT UNITS]]=0,0,INVESTORS_LIST[[#This Row],[LS_TOTAL CURRENT UNITS]]/INVESTORS_LIST[[#This Row],[TOTAL CURRENT UNITS]])</f>
        <v>1</v>
      </c>
      <c r="AF336" s="44">
        <f>IF(INVESTORS_LIST[[#This Row],[TOTAL CURRENT UNITS]]=0,0,INVESTORS_LIST[[#This Row],[SIP_TOTAL CURRENT UNITS]]/INVESTORS_LIST[[#This Row],[TOTAL CURRENT UNITS]])</f>
        <v>0</v>
      </c>
      <c r="AG336" s="4" cm="1">
        <f t="array" ref="AG336">IF(INVESTORS_LIST[[#This Row],[LS_TOTAL UNITS BUY]]&gt;0,INDEX(LS[NAV at Cost (Average)],MATCH(CONCATENATE(COUNTIFS(LS[Investor ID],INVESTORS_LIST[[#This Row],[INVESTOR CODE]]),INVESTORS_LIST[[#This Row],[INVESTOR CODE]]),LS[Unique Code],0),),0)</f>
        <v>10.088245409257013</v>
      </c>
      <c r="AH336" s="4" cm="1">
        <f t="array" ref="AH3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36" s="178">
        <f>IF(INVESTORS_LIST[[#This Row],[TOTAL CURRENT UNITS]]=0,0,(INVESTORS_LIST[[#This Row],[LS_WEIGHT]]*INVESTORS_LIST[[#This Row],[LS_AVERAGE COST]])+(INVESTORS_LIST[[#This Row],[SIP_WEIGHT]]*INVESTORS_LIST[[#This Row],[SIP_AVERAGE COST]]))</f>
        <v>10.088245409257013</v>
      </c>
      <c r="AJ336" s="178">
        <f t="shared" si="5"/>
        <v>12.552</v>
      </c>
      <c r="AK336" s="118">
        <f>IF(INVESTORS_LIST[[#This Row],[TOTAL CURRENT UNITS]]=0,0,INVESTORS_LIST[[#This Row],[TOTAL CURRENT UNITS]]*INVESTORS_LIST[[#This Row],[NAV]])</f>
        <v>1645303.608</v>
      </c>
      <c r="AL336" s="4">
        <f>IF(INVESTORS_LIST[[#This Row],[LS_TOTAL CURRENT UNITS]]=0,0,INVESTORS_LIST[[#This Row],[LS_TOTAL CURRENT UNITS]]*INVESTORS_LIST[[#This Row],[NAV]])</f>
        <v>1645303.608</v>
      </c>
      <c r="AM336" s="6">
        <f>IF(INVESTORS_LIST[[#This Row],[SIP_TOTAL CURRENT UNITS]]=0,0,INVESTORS_LIST[[#This Row],[SIP_TOTAL CURRENT UNITS]]*INVESTORS_LIST[[#This Row],[NAV]])</f>
        <v>0</v>
      </c>
      <c r="AO336" s="6">
        <f>IF(INVESTORS_LIST[[#This Row],[TOTAL SELLABLE UNITS]]=0,0,INVESTORS_LIST[[#This Row],[TOTAL SELLABLE UNITS]]*INVESTORS_LIST[[#This Row],[NAV]])</f>
        <v>0</v>
      </c>
      <c r="AP336" s="6">
        <f>INVESTORS_LIST[[#This Row],[LS_TOTAL REALIZED GAIN]]+INVESTORS_LIST[[#This Row],[SIP_TOTAL REALIZED GAIN]]</f>
        <v>0</v>
      </c>
      <c r="AQ336" s="6">
        <f>INVESTORS_LIST[[#This Row],[TOTAL MARKET VALUE]]-INVESTORS_LIST[[#This Row],[TOTAL COST VALUE OF CURRENT INVESTMENT]]</f>
        <v>322946.48800000013</v>
      </c>
      <c r="AR336" s="6">
        <f>SUMIFS(DivAndTax[Tax Amount],DivAndTax[Investor ID],INVESTORS_LIST[[#This Row],[INVESTOR CODE]])</f>
        <v>20409.41</v>
      </c>
      <c r="AS336" s="6">
        <f>SUMIFS(DivAndTax[Gross Dividend],DivAndTax[Investor ID],INVESTORS_LIST[[#This Row],[INVESTOR CODE]])</f>
        <v>136062.70000000001</v>
      </c>
      <c r="AT336" s="5">
        <f>IFERROR(INVESTORS_LIST[[#This Row],[TOTAL CURRENT UNITS]]/SUM(INVESTORS_LIST[TOTAL CURRENT UNITS]),0)</f>
        <v>6.2845610343503647E-3</v>
      </c>
    </row>
    <row r="337" spans="1:46" hidden="1">
      <c r="A337" t="s">
        <v>600</v>
      </c>
      <c r="B337" t="s">
        <v>599</v>
      </c>
      <c r="C337" t="s">
        <v>536</v>
      </c>
      <c r="D337" s="8" t="s">
        <v>2</v>
      </c>
      <c r="E337" s="2">
        <f>SUMIFS(LS[Unit],LS[Investor ID],INVESTORS_LIST[[#This Row],[INVESTOR CODE]],LS[B/S],"B")</f>
        <v>0</v>
      </c>
      <c r="F337" s="2">
        <f>-SUMIFS(LS[Unit],LS[Investor ID],INVESTORS_LIST[[#This Row],[INVESTOR CODE]],LS[B/S],"S")</f>
        <v>0</v>
      </c>
      <c r="G337" s="2">
        <f>IF(INVESTORS_LIST[[#This Row],[LS_TOTAL UNITS BUY]]=0,0,INVESTORS_LIST[[#This Row],[LS_TOTAL UNITS BUY]]-INVESTORS_LIST[[#This Row],[LS_TOTAL UNITS SOLD]])</f>
        <v>0</v>
      </c>
      <c r="H337" s="4">
        <f>IF(INVESTORS_LIST[[#This Row],[LS_TOTAL UNITS BUY]]=0,0,SUMIFS(LS[Amount],LS[Investor ID],INVESTORS_LIST[[#This Row],[INVESTOR CODE]],LS[B/S],"B"))</f>
        <v>0</v>
      </c>
      <c r="I337" s="6">
        <f>IF(INVESTORS_LIST[[#This Row],[LS_TOTAL UNITS SOLD]]=0,0,SUMIFS(LS[Cost of Units Sold],LS[Investor ID],INVESTORS_LIST[[#This Row],[INVESTOR CODE]],LS[B/S],"S"))</f>
        <v>0</v>
      </c>
      <c r="J337" s="6">
        <f>IF(INVESTORS_LIST[[#This Row],[LS_TOTAL CURRENT UNITS]]=0,0,INVESTORS_LIST[[#This Row],[LS_TOTAL CURRENT UNITS]]*INVESTORS_LIST[[#This Row],[LS_AVERAGE COST]])</f>
        <v>0</v>
      </c>
      <c r="K337" s="4">
        <f>IF(INVESTORS_LIST[[#This Row],[LS_TOTAL UNITS SOLD]]=0,0,SUMIFS(LS[Realized Gain],LS[Investor ID],INVESTORS_LIST[[#This Row],[INVESTOR CODE]],LS[B/S],"S"))</f>
        <v>0</v>
      </c>
      <c r="L337" s="2">
        <f>SUMIFS(SIP[Unit],SIP[Investor ID],INVESTORS_LIST[[#This Row],[INVESTOR CODE]],SIP[B/S],"B")</f>
        <v>0</v>
      </c>
      <c r="M337" s="2">
        <f>-SUMIFS(SIP[Unit],SIP[Investor ID],INVESTORS_LIST[[#This Row],[INVESTOR CODE]],SIP[B/S],"S")</f>
        <v>0</v>
      </c>
      <c r="N337" s="33">
        <f>IF(INVESTORS_LIST[[#This Row],[SIP_TOTAL UNITS BUY]]=0,0,INVESTORS_LIST[[#This Row],[SIP_TOTAL UNITS BUY]]-INVESTORS_LIST[[#This Row],[SIP_TOTAL UNITS SOLD]])</f>
        <v>0</v>
      </c>
      <c r="O337" s="4">
        <f>IF(INVESTORS_LIST[[#This Row],[SIP_TOTAL UNITS BUY]]=0,0,SUMIFS(SIP[Amount],SIP[Investor ID],INVESTORS_LIST[[#This Row],[INVESTOR CODE]],SIP[B/S],"B"))</f>
        <v>0</v>
      </c>
      <c r="P337" s="4">
        <f>IF(INVESTORS_LIST[[#This Row],[SIP_TOTAL UNITS SOLD]]=0,0,SUMIFS(SIP[Cost of Units Sold],SIP[Investor ID],INVESTORS_LIST[[#This Row],[INVESTOR CODE]],SIP[B/S],"S"))</f>
        <v>0</v>
      </c>
      <c r="Q337" s="6">
        <f>IF(INVESTORS_LIST[[#This Row],[SIP_TOTAL CURRENT UNITS]]=0,0,INVESTORS_LIST[[#This Row],[SIP_TOTAL CURRENT UNITS]]*INVESTORS_LIST[[#This Row],[SIP_AVERAGE COST]])</f>
        <v>0</v>
      </c>
      <c r="R337" s="6">
        <f>IF(INVESTORS_LIST[[#This Row],[SIP_TOTAL UNITS SOLD]]=0,0,SUMIFS(SIP[Realized Gain],SIP[Investor ID],INVESTORS_LIST[[#This Row],[INVESTOR CODE]],SIP[B/S],"S"))</f>
        <v>0</v>
      </c>
      <c r="S337" s="33">
        <f>INVESTORS_LIST[[#This Row],[LS_TOTAL UNITS BUY]]+INVESTORS_LIST[[#This Row],[SIP_TOTAL UNITS BUY]]</f>
        <v>0</v>
      </c>
      <c r="T337" s="33">
        <f>INVESTORS_LIST[[#This Row],[LS_TOTAL UNITS SOLD]]+INVESTORS_LIST[[#This Row],[SIP_TOTAL UNITS SOLD]]</f>
        <v>0</v>
      </c>
      <c r="U337" s="33">
        <v>0</v>
      </c>
      <c r="V337" s="33">
        <f>SUMIFS(LS[BO UNIT TRANSFER],LS[Investor ID],INVESTORS_LIST[[#This Row],[INVESTOR CODE]],LS[B/S],"B")</f>
        <v>0</v>
      </c>
      <c r="W337" s="33">
        <f>SUMIFS(LS[BO UNIT TRANSFER],LS[Investor ID],INVESTORS_LIST[[#This Row],[INVESTOR CODE]],LS[B/S],"S")</f>
        <v>0</v>
      </c>
      <c r="X337" s="33">
        <f>SUMIFS(SIP[BO UNIT TRANSFER],SIP[Investor ID],INVESTORS_LIST[[#This Row],[INVESTOR CODE]],SIP[B/S],"S")</f>
        <v>0</v>
      </c>
      <c r="Y337" s="33">
        <f>SUMIFS(SIP[BO UNIT TRANSFER],SIP[Investor ID],INVESTORS_LIST[[#This Row],[INVESTOR CODE]],SIP[B/S],"B")</f>
        <v>0</v>
      </c>
      <c r="Z33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37" s="119">
        <f>INVESTORS_LIST[[#This Row],[TOTAL UNITS BUY]]-INVESTORS_LIST[[#This Row],[TOTAL UNITS SOLD]]</f>
        <v>0</v>
      </c>
      <c r="AB337" s="119">
        <f>INVESTORS_LIST[[#This Row],[TOTAL CURRENT UNITS]]-INVESTORS_LIST[[#This Row],[BO UNITS HOLD]]</f>
        <v>0</v>
      </c>
      <c r="AC337" s="119" t="e">
        <f>INDEX([4]!Table_1[BO ID],MATCH(INVESTORS_LIST[[#This Row],[INVESTOR CODE]],[4]!Table_1[INVESTOR CODE],0))</f>
        <v>#REF!</v>
      </c>
      <c r="AD337" s="33">
        <f>INVESTORS_LIST[[#This Row],[LS_TOTAL COST VALUE OF CURRENT UNITS]]+INVESTORS_LIST[[#This Row],[SIP_TOTAL COST VALUE OF CURRENT UNITS]]</f>
        <v>0</v>
      </c>
      <c r="AE337" s="44">
        <f>IF(INVESTORS_LIST[[#This Row],[TOTAL CURRENT UNITS]]=0,0,INVESTORS_LIST[[#This Row],[LS_TOTAL CURRENT UNITS]]/INVESTORS_LIST[[#This Row],[TOTAL CURRENT UNITS]])</f>
        <v>0</v>
      </c>
      <c r="AF337" s="44">
        <f>IF(INVESTORS_LIST[[#This Row],[TOTAL CURRENT UNITS]]=0,0,INVESTORS_LIST[[#This Row],[SIP_TOTAL CURRENT UNITS]]/INVESTORS_LIST[[#This Row],[TOTAL CURRENT UNITS]])</f>
        <v>0</v>
      </c>
      <c r="AG337" s="4" cm="1">
        <f t="array" ref="AG3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37" s="4" cm="1">
        <f t="array" ref="AH3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3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37" s="178">
        <f t="shared" si="5"/>
        <v>12.552</v>
      </c>
      <c r="AK337" s="118">
        <f>IF(INVESTORS_LIST[[#This Row],[TOTAL CURRENT UNITS]]=0,0,INVESTORS_LIST[[#This Row],[TOTAL CURRENT UNITS]]*INVESTORS_LIST[[#This Row],[NAV]])</f>
        <v>0</v>
      </c>
      <c r="AL337" s="4">
        <f>IF(INVESTORS_LIST[[#This Row],[LS_TOTAL CURRENT UNITS]]=0,0,INVESTORS_LIST[[#This Row],[LS_TOTAL CURRENT UNITS]]*INVESTORS_LIST[[#This Row],[NAV]])</f>
        <v>0</v>
      </c>
      <c r="AM337" s="6">
        <f>IF(INVESTORS_LIST[[#This Row],[SIP_TOTAL CURRENT UNITS]]=0,0,INVESTORS_LIST[[#This Row],[SIP_TOTAL CURRENT UNITS]]*INVESTORS_LIST[[#This Row],[NAV]])</f>
        <v>0</v>
      </c>
      <c r="AO337" s="6">
        <f>IF(INVESTORS_LIST[[#This Row],[TOTAL SELLABLE UNITS]]=0,0,INVESTORS_LIST[[#This Row],[TOTAL SELLABLE UNITS]]*INVESTORS_LIST[[#This Row],[NAV]])</f>
        <v>0</v>
      </c>
      <c r="AP337" s="6">
        <f>INVESTORS_LIST[[#This Row],[LS_TOTAL REALIZED GAIN]]+INVESTORS_LIST[[#This Row],[SIP_TOTAL REALIZED GAIN]]</f>
        <v>0</v>
      </c>
      <c r="AQ337" s="6">
        <f>INVESTORS_LIST[[#This Row],[TOTAL MARKET VALUE]]-INVESTORS_LIST[[#This Row],[TOTAL COST VALUE OF CURRENT INVESTMENT]]</f>
        <v>0</v>
      </c>
      <c r="AR337" s="6">
        <f>SUMIFS(DivAndTax[Tax Amount],DivAndTax[Investor ID],INVESTORS_LIST[[#This Row],[INVESTOR CODE]])</f>
        <v>0</v>
      </c>
      <c r="AS337" s="6">
        <f>SUMIFS(DivAndTax[Gross Dividend],DivAndTax[Investor ID],INVESTORS_LIST[[#This Row],[INVESTOR CODE]])</f>
        <v>0</v>
      </c>
      <c r="AT337" s="5">
        <f>IFERROR(INVESTORS_LIST[[#This Row],[TOTAL CURRENT UNITS]]/SUM(INVESTORS_LIST[TOTAL CURRENT UNITS]),0)</f>
        <v>0</v>
      </c>
    </row>
    <row r="338" spans="1:46" hidden="1">
      <c r="A338" t="s">
        <v>601</v>
      </c>
      <c r="B338" t="s">
        <v>602</v>
      </c>
      <c r="C338" t="s">
        <v>536</v>
      </c>
      <c r="D338" s="8" t="s">
        <v>2</v>
      </c>
      <c r="E338" s="2">
        <f>SUMIFS(LS[Unit],LS[Investor ID],INVESTORS_LIST[[#This Row],[INVESTOR CODE]],LS[B/S],"B")</f>
        <v>10000</v>
      </c>
      <c r="F338" s="2">
        <f>-SUMIFS(LS[Unit],LS[Investor ID],INVESTORS_LIST[[#This Row],[INVESTOR CODE]],LS[B/S],"S")</f>
        <v>10000</v>
      </c>
      <c r="G338" s="2">
        <f>IF(INVESTORS_LIST[[#This Row],[LS_TOTAL UNITS BUY]]=0,0,INVESTORS_LIST[[#This Row],[LS_TOTAL UNITS BUY]]-INVESTORS_LIST[[#This Row],[LS_TOTAL UNITS SOLD]])</f>
        <v>0</v>
      </c>
      <c r="H338" s="4">
        <f>IF(INVESTORS_LIST[[#This Row],[LS_TOTAL UNITS BUY]]=0,0,SUMIFS(LS[Amount],LS[Investor ID],INVESTORS_LIST[[#This Row],[INVESTOR CODE]],LS[B/S],"B"))</f>
        <v>100000</v>
      </c>
      <c r="I338" s="6">
        <f>IF(INVESTORS_LIST[[#This Row],[LS_TOTAL UNITS SOLD]]=0,0,SUMIFS(LS[Cost of Units Sold],LS[Investor ID],INVESTORS_LIST[[#This Row],[INVESTOR CODE]],LS[B/S],"S"))</f>
        <v>100000</v>
      </c>
      <c r="J338" s="6">
        <f>IF(INVESTORS_LIST[[#This Row],[LS_TOTAL CURRENT UNITS]]=0,0,INVESTORS_LIST[[#This Row],[LS_TOTAL CURRENT UNITS]]*INVESTORS_LIST[[#This Row],[LS_AVERAGE COST]])</f>
        <v>0</v>
      </c>
      <c r="K338" s="4">
        <f>IF(INVESTORS_LIST[[#This Row],[LS_TOTAL UNITS SOLD]]=0,0,SUMIFS(LS[Realized Gain],LS[Investor ID],INVESTORS_LIST[[#This Row],[INVESTOR CODE]],LS[B/S],"S"))</f>
        <v>-1899.999999999995</v>
      </c>
      <c r="L338" s="2">
        <f>SUMIFS(SIP[Unit],SIP[Investor ID],INVESTORS_LIST[[#This Row],[INVESTOR CODE]],SIP[B/S],"B")</f>
        <v>0</v>
      </c>
      <c r="M338" s="2">
        <f>-SUMIFS(SIP[Unit],SIP[Investor ID],INVESTORS_LIST[[#This Row],[INVESTOR CODE]],SIP[B/S],"S")</f>
        <v>0</v>
      </c>
      <c r="N338" s="33">
        <f>IF(INVESTORS_LIST[[#This Row],[SIP_TOTAL UNITS BUY]]=0,0,INVESTORS_LIST[[#This Row],[SIP_TOTAL UNITS BUY]]-INVESTORS_LIST[[#This Row],[SIP_TOTAL UNITS SOLD]])</f>
        <v>0</v>
      </c>
      <c r="O338" s="4">
        <f>IF(INVESTORS_LIST[[#This Row],[SIP_TOTAL UNITS BUY]]=0,0,SUMIFS(SIP[Amount],SIP[Investor ID],INVESTORS_LIST[[#This Row],[INVESTOR CODE]],SIP[B/S],"B"))</f>
        <v>0</v>
      </c>
      <c r="P338" s="4">
        <f>IF(INVESTORS_LIST[[#This Row],[SIP_TOTAL UNITS SOLD]]=0,0,SUMIFS(SIP[Cost of Units Sold],SIP[Investor ID],INVESTORS_LIST[[#This Row],[INVESTOR CODE]],SIP[B/S],"S"))</f>
        <v>0</v>
      </c>
      <c r="Q338" s="6">
        <f>IF(INVESTORS_LIST[[#This Row],[SIP_TOTAL CURRENT UNITS]]=0,0,INVESTORS_LIST[[#This Row],[SIP_TOTAL CURRENT UNITS]]*INVESTORS_LIST[[#This Row],[SIP_AVERAGE COST]])</f>
        <v>0</v>
      </c>
      <c r="R338" s="6">
        <f>IF(INVESTORS_LIST[[#This Row],[SIP_TOTAL UNITS SOLD]]=0,0,SUMIFS(SIP[Realized Gain],SIP[Investor ID],INVESTORS_LIST[[#This Row],[INVESTOR CODE]],SIP[B/S],"S"))</f>
        <v>0</v>
      </c>
      <c r="S338" s="33">
        <f>INVESTORS_LIST[[#This Row],[LS_TOTAL UNITS BUY]]+INVESTORS_LIST[[#This Row],[SIP_TOTAL UNITS BUY]]</f>
        <v>10000</v>
      </c>
      <c r="T338" s="33">
        <f>INVESTORS_LIST[[#This Row],[LS_TOTAL UNITS SOLD]]+INVESTORS_LIST[[#This Row],[SIP_TOTAL UNITS SOLD]]</f>
        <v>10000</v>
      </c>
      <c r="U338" s="33">
        <v>0</v>
      </c>
      <c r="V338" s="33">
        <f>SUMIFS(LS[BO UNIT TRANSFER],LS[Investor ID],INVESTORS_LIST[[#This Row],[INVESTOR CODE]],LS[B/S],"B")</f>
        <v>0</v>
      </c>
      <c r="W338" s="33">
        <f>SUMIFS(LS[BO UNIT TRANSFER],LS[Investor ID],INVESTORS_LIST[[#This Row],[INVESTOR CODE]],LS[B/S],"S")</f>
        <v>0</v>
      </c>
      <c r="X338" s="33">
        <f>SUMIFS(SIP[BO UNIT TRANSFER],SIP[Investor ID],INVESTORS_LIST[[#This Row],[INVESTOR CODE]],SIP[B/S],"S")</f>
        <v>0</v>
      </c>
      <c r="Y338" s="33">
        <f>SUMIFS(SIP[BO UNIT TRANSFER],SIP[Investor ID],INVESTORS_LIST[[#This Row],[INVESTOR CODE]],SIP[B/S],"B")</f>
        <v>0</v>
      </c>
      <c r="Z33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38" s="119">
        <f>INVESTORS_LIST[[#This Row],[TOTAL UNITS BUY]]-INVESTORS_LIST[[#This Row],[TOTAL UNITS SOLD]]</f>
        <v>0</v>
      </c>
      <c r="AB338" s="119">
        <f>INVESTORS_LIST[[#This Row],[TOTAL CURRENT UNITS]]-INVESTORS_LIST[[#This Row],[BO UNITS HOLD]]</f>
        <v>0</v>
      </c>
      <c r="AC338" s="119" t="e">
        <f>INDEX([4]!Table_1[BO ID],MATCH(INVESTORS_LIST[[#This Row],[INVESTOR CODE]],[4]!Table_1[INVESTOR CODE],0))</f>
        <v>#REF!</v>
      </c>
      <c r="AD338" s="33">
        <f>INVESTORS_LIST[[#This Row],[LS_TOTAL COST VALUE OF CURRENT UNITS]]+INVESTORS_LIST[[#This Row],[SIP_TOTAL COST VALUE OF CURRENT UNITS]]</f>
        <v>0</v>
      </c>
      <c r="AE338" s="44">
        <f>IF(INVESTORS_LIST[[#This Row],[TOTAL CURRENT UNITS]]=0,0,INVESTORS_LIST[[#This Row],[LS_TOTAL CURRENT UNITS]]/INVESTORS_LIST[[#This Row],[TOTAL CURRENT UNITS]])</f>
        <v>0</v>
      </c>
      <c r="AF338" s="44">
        <f>IF(INVESTORS_LIST[[#This Row],[TOTAL CURRENT UNITS]]=0,0,INVESTORS_LIST[[#This Row],[SIP_TOTAL CURRENT UNITS]]/INVESTORS_LIST[[#This Row],[TOTAL CURRENT UNITS]])</f>
        <v>0</v>
      </c>
      <c r="AG338" s="4" cm="1">
        <f t="array" ref="AG33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38" s="4" cm="1">
        <f t="array" ref="AH3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3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38" s="178">
        <f t="shared" si="5"/>
        <v>12.552</v>
      </c>
      <c r="AK338" s="118">
        <f>IF(INVESTORS_LIST[[#This Row],[TOTAL CURRENT UNITS]]=0,0,INVESTORS_LIST[[#This Row],[TOTAL CURRENT UNITS]]*INVESTORS_LIST[[#This Row],[NAV]])</f>
        <v>0</v>
      </c>
      <c r="AL338" s="4">
        <f>IF(INVESTORS_LIST[[#This Row],[LS_TOTAL CURRENT UNITS]]=0,0,INVESTORS_LIST[[#This Row],[LS_TOTAL CURRENT UNITS]]*INVESTORS_LIST[[#This Row],[NAV]])</f>
        <v>0</v>
      </c>
      <c r="AM338" s="6">
        <f>IF(INVESTORS_LIST[[#This Row],[SIP_TOTAL CURRENT UNITS]]=0,0,INVESTORS_LIST[[#This Row],[SIP_TOTAL CURRENT UNITS]]*INVESTORS_LIST[[#This Row],[NAV]])</f>
        <v>0</v>
      </c>
      <c r="AO338" s="6">
        <f>IF(INVESTORS_LIST[[#This Row],[TOTAL SELLABLE UNITS]]=0,0,INVESTORS_LIST[[#This Row],[TOTAL SELLABLE UNITS]]*INVESTORS_LIST[[#This Row],[NAV]])</f>
        <v>0</v>
      </c>
      <c r="AP338" s="6">
        <f>INVESTORS_LIST[[#This Row],[LS_TOTAL REALIZED GAIN]]+INVESTORS_LIST[[#This Row],[SIP_TOTAL REALIZED GAIN]]</f>
        <v>-1899.999999999995</v>
      </c>
      <c r="AQ338" s="6">
        <f>INVESTORS_LIST[[#This Row],[TOTAL MARKET VALUE]]-INVESTORS_LIST[[#This Row],[TOTAL COST VALUE OF CURRENT INVESTMENT]]</f>
        <v>0</v>
      </c>
      <c r="AR338" s="6">
        <f>SUMIFS(DivAndTax[Tax Amount],DivAndTax[Investor ID],INVESTORS_LIST[[#This Row],[INVESTOR CODE]])</f>
        <v>0</v>
      </c>
      <c r="AS338" s="6">
        <f>SUMIFS(DivAndTax[Gross Dividend],DivAndTax[Investor ID],INVESTORS_LIST[[#This Row],[INVESTOR CODE]])</f>
        <v>0</v>
      </c>
      <c r="AT338" s="5">
        <f>IFERROR(INVESTORS_LIST[[#This Row],[TOTAL CURRENT UNITS]]/SUM(INVESTORS_LIST[TOTAL CURRENT UNITS]),0)</f>
        <v>0</v>
      </c>
    </row>
    <row r="339" spans="1:46" hidden="1">
      <c r="A339" t="s">
        <v>637</v>
      </c>
      <c r="B339" t="s">
        <v>603</v>
      </c>
      <c r="C339" t="s">
        <v>539</v>
      </c>
      <c r="D339" s="8" t="s">
        <v>2</v>
      </c>
      <c r="E339" s="2">
        <f>SUMIFS(LS[Unit],LS[Investor ID],INVESTORS_LIST[[#This Row],[INVESTOR CODE]],LS[B/S],"B")</f>
        <v>80000</v>
      </c>
      <c r="F339" s="2">
        <f>-SUMIFS(LS[Unit],LS[Investor ID],INVESTORS_LIST[[#This Row],[INVESTOR CODE]],LS[B/S],"S")</f>
        <v>80000</v>
      </c>
      <c r="G339" s="2">
        <f>IF(INVESTORS_LIST[[#This Row],[LS_TOTAL UNITS BUY]]=0,0,INVESTORS_LIST[[#This Row],[LS_TOTAL UNITS BUY]]-INVESTORS_LIST[[#This Row],[LS_TOTAL UNITS SOLD]])</f>
        <v>0</v>
      </c>
      <c r="H339" s="4">
        <f>IF(INVESTORS_LIST[[#This Row],[LS_TOTAL UNITS BUY]]=0,0,SUMIFS(LS[Amount],LS[Investor ID],INVESTORS_LIST[[#This Row],[INVESTOR CODE]],LS[B/S],"B"))</f>
        <v>800000</v>
      </c>
      <c r="I339" s="6">
        <f>IF(INVESTORS_LIST[[#This Row],[LS_TOTAL UNITS SOLD]]=0,0,SUMIFS(LS[Cost of Units Sold],LS[Investor ID],INVESTORS_LIST[[#This Row],[INVESTOR CODE]],LS[B/S],"S"))</f>
        <v>800000</v>
      </c>
      <c r="J339" s="6">
        <f>IF(INVESTORS_LIST[[#This Row],[LS_TOTAL CURRENT UNITS]]=0,0,INVESTORS_LIST[[#This Row],[LS_TOTAL CURRENT UNITS]]*INVESTORS_LIST[[#This Row],[LS_AVERAGE COST]])</f>
        <v>0</v>
      </c>
      <c r="K339" s="4">
        <f>IF(INVESTORS_LIST[[#This Row],[LS_TOTAL UNITS SOLD]]=0,0,SUMIFS(LS[Realized Gain],LS[Investor ID],INVESTORS_LIST[[#This Row],[INVESTOR CODE]],LS[B/S],"S"))</f>
        <v>-2399.9999999999491</v>
      </c>
      <c r="L339" s="2">
        <f>SUMIFS(SIP[Unit],SIP[Investor ID],INVESTORS_LIST[[#This Row],[INVESTOR CODE]],SIP[B/S],"B")</f>
        <v>0</v>
      </c>
      <c r="M339" s="2">
        <f>-SUMIFS(SIP[Unit],SIP[Investor ID],INVESTORS_LIST[[#This Row],[INVESTOR CODE]],SIP[B/S],"S")</f>
        <v>0</v>
      </c>
      <c r="N339" s="33">
        <f>IF(INVESTORS_LIST[[#This Row],[SIP_TOTAL UNITS BUY]]=0,0,INVESTORS_LIST[[#This Row],[SIP_TOTAL UNITS BUY]]-INVESTORS_LIST[[#This Row],[SIP_TOTAL UNITS SOLD]])</f>
        <v>0</v>
      </c>
      <c r="O339" s="4">
        <f>IF(INVESTORS_LIST[[#This Row],[SIP_TOTAL UNITS BUY]]=0,0,SUMIFS(SIP[Amount],SIP[Investor ID],INVESTORS_LIST[[#This Row],[INVESTOR CODE]],SIP[B/S],"B"))</f>
        <v>0</v>
      </c>
      <c r="P339" s="4">
        <f>IF(INVESTORS_LIST[[#This Row],[SIP_TOTAL UNITS SOLD]]=0,0,SUMIFS(SIP[Cost of Units Sold],SIP[Investor ID],INVESTORS_LIST[[#This Row],[INVESTOR CODE]],SIP[B/S],"S"))</f>
        <v>0</v>
      </c>
      <c r="Q339" s="6">
        <f>IF(INVESTORS_LIST[[#This Row],[SIP_TOTAL CURRENT UNITS]]=0,0,INVESTORS_LIST[[#This Row],[SIP_TOTAL CURRENT UNITS]]*INVESTORS_LIST[[#This Row],[SIP_AVERAGE COST]])</f>
        <v>0</v>
      </c>
      <c r="R339" s="6">
        <f>IF(INVESTORS_LIST[[#This Row],[SIP_TOTAL UNITS SOLD]]=0,0,SUMIFS(SIP[Realized Gain],SIP[Investor ID],INVESTORS_LIST[[#This Row],[INVESTOR CODE]],SIP[B/S],"S"))</f>
        <v>0</v>
      </c>
      <c r="S339" s="33">
        <f>INVESTORS_LIST[[#This Row],[LS_TOTAL UNITS BUY]]+INVESTORS_LIST[[#This Row],[SIP_TOTAL UNITS BUY]]</f>
        <v>80000</v>
      </c>
      <c r="T339" s="33">
        <f>INVESTORS_LIST[[#This Row],[LS_TOTAL UNITS SOLD]]+INVESTORS_LIST[[#This Row],[SIP_TOTAL UNITS SOLD]]</f>
        <v>80000</v>
      </c>
      <c r="U339" s="33">
        <v>0</v>
      </c>
      <c r="V339" s="33">
        <f>SUMIFS(LS[BO UNIT TRANSFER],LS[Investor ID],INVESTORS_LIST[[#This Row],[INVESTOR CODE]],LS[B/S],"B")</f>
        <v>0</v>
      </c>
      <c r="W339" s="33">
        <f>SUMIFS(LS[BO UNIT TRANSFER],LS[Investor ID],INVESTORS_LIST[[#This Row],[INVESTOR CODE]],LS[B/S],"S")</f>
        <v>0</v>
      </c>
      <c r="X339" s="33">
        <f>SUMIFS(SIP[BO UNIT TRANSFER],SIP[Investor ID],INVESTORS_LIST[[#This Row],[INVESTOR CODE]],SIP[B/S],"S")</f>
        <v>0</v>
      </c>
      <c r="Y339" s="33">
        <f>SUMIFS(SIP[BO UNIT TRANSFER],SIP[Investor ID],INVESTORS_LIST[[#This Row],[INVESTOR CODE]],SIP[B/S],"B")</f>
        <v>0</v>
      </c>
      <c r="Z33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39" s="119">
        <f>INVESTORS_LIST[[#This Row],[TOTAL UNITS BUY]]-INVESTORS_LIST[[#This Row],[TOTAL UNITS SOLD]]</f>
        <v>0</v>
      </c>
      <c r="AB339" s="119">
        <f>INVESTORS_LIST[[#This Row],[TOTAL CURRENT UNITS]]-INVESTORS_LIST[[#This Row],[BO UNITS HOLD]]</f>
        <v>0</v>
      </c>
      <c r="AC339" s="119" t="e">
        <f>INDEX([4]!Table_1[BO ID],MATCH(INVESTORS_LIST[[#This Row],[INVESTOR CODE]],[4]!Table_1[INVESTOR CODE],0))</f>
        <v>#REF!</v>
      </c>
      <c r="AD339" s="33">
        <f>INVESTORS_LIST[[#This Row],[LS_TOTAL COST VALUE OF CURRENT UNITS]]+INVESTORS_LIST[[#This Row],[SIP_TOTAL COST VALUE OF CURRENT UNITS]]</f>
        <v>0</v>
      </c>
      <c r="AE339" s="44">
        <f>IF(INVESTORS_LIST[[#This Row],[TOTAL CURRENT UNITS]]=0,0,INVESTORS_LIST[[#This Row],[LS_TOTAL CURRENT UNITS]]/INVESTORS_LIST[[#This Row],[TOTAL CURRENT UNITS]])</f>
        <v>0</v>
      </c>
      <c r="AF339" s="44">
        <f>IF(INVESTORS_LIST[[#This Row],[TOTAL CURRENT UNITS]]=0,0,INVESTORS_LIST[[#This Row],[SIP_TOTAL CURRENT UNITS]]/INVESTORS_LIST[[#This Row],[TOTAL CURRENT UNITS]])</f>
        <v>0</v>
      </c>
      <c r="AG339" s="4" cm="1">
        <f t="array" ref="AG3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39" s="4" cm="1">
        <f t="array" ref="AH3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3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39" s="178">
        <f t="shared" si="5"/>
        <v>12.552</v>
      </c>
      <c r="AK339" s="118">
        <f>IF(INVESTORS_LIST[[#This Row],[TOTAL CURRENT UNITS]]=0,0,INVESTORS_LIST[[#This Row],[TOTAL CURRENT UNITS]]*INVESTORS_LIST[[#This Row],[NAV]])</f>
        <v>0</v>
      </c>
      <c r="AL339" s="4">
        <f>IF(INVESTORS_LIST[[#This Row],[LS_TOTAL CURRENT UNITS]]=0,0,INVESTORS_LIST[[#This Row],[LS_TOTAL CURRENT UNITS]]*INVESTORS_LIST[[#This Row],[NAV]])</f>
        <v>0</v>
      </c>
      <c r="AM339" s="6">
        <f>IF(INVESTORS_LIST[[#This Row],[SIP_TOTAL CURRENT UNITS]]=0,0,INVESTORS_LIST[[#This Row],[SIP_TOTAL CURRENT UNITS]]*INVESTORS_LIST[[#This Row],[NAV]])</f>
        <v>0</v>
      </c>
      <c r="AO339" s="6">
        <f>IF(INVESTORS_LIST[[#This Row],[TOTAL SELLABLE UNITS]]=0,0,INVESTORS_LIST[[#This Row],[TOTAL SELLABLE UNITS]]*INVESTORS_LIST[[#This Row],[NAV]])</f>
        <v>0</v>
      </c>
      <c r="AP339" s="6">
        <f>INVESTORS_LIST[[#This Row],[LS_TOTAL REALIZED GAIN]]+INVESTORS_LIST[[#This Row],[SIP_TOTAL REALIZED GAIN]]</f>
        <v>-2399.9999999999491</v>
      </c>
      <c r="AQ339" s="6">
        <f>INVESTORS_LIST[[#This Row],[TOTAL MARKET VALUE]]-INVESTORS_LIST[[#This Row],[TOTAL COST VALUE OF CURRENT INVESTMENT]]</f>
        <v>0</v>
      </c>
      <c r="AR339" s="6">
        <f>SUMIFS(DivAndTax[Tax Amount],DivAndTax[Investor ID],INVESTORS_LIST[[#This Row],[INVESTOR CODE]])</f>
        <v>0</v>
      </c>
      <c r="AS339" s="6">
        <f>SUMIFS(DivAndTax[Gross Dividend],DivAndTax[Investor ID],INVESTORS_LIST[[#This Row],[INVESTOR CODE]])</f>
        <v>0</v>
      </c>
      <c r="AT339" s="5">
        <f>IFERROR(INVESTORS_LIST[[#This Row],[TOTAL CURRENT UNITS]]/SUM(INVESTORS_LIST[TOTAL CURRENT UNITS]),0)</f>
        <v>0</v>
      </c>
    </row>
    <row r="340" spans="1:46" hidden="1">
      <c r="A340" t="s">
        <v>604</v>
      </c>
      <c r="B340" t="s">
        <v>605</v>
      </c>
      <c r="C340" t="s">
        <v>536</v>
      </c>
      <c r="D340" s="8" t="s">
        <v>2</v>
      </c>
      <c r="E340" s="2">
        <f>SUMIFS(LS[Unit],LS[Investor ID],INVESTORS_LIST[[#This Row],[INVESTOR CODE]],LS[B/S],"B")</f>
        <v>100000</v>
      </c>
      <c r="F340" s="2">
        <f>-SUMIFS(LS[Unit],LS[Investor ID],INVESTORS_LIST[[#This Row],[INVESTOR CODE]],LS[B/S],"S")</f>
        <v>100000</v>
      </c>
      <c r="G340" s="2">
        <f>IF(INVESTORS_LIST[[#This Row],[LS_TOTAL UNITS BUY]]=0,0,INVESTORS_LIST[[#This Row],[LS_TOTAL UNITS BUY]]-INVESTORS_LIST[[#This Row],[LS_TOTAL UNITS SOLD]])</f>
        <v>0</v>
      </c>
      <c r="H340" s="4">
        <f>IF(INVESTORS_LIST[[#This Row],[LS_TOTAL UNITS BUY]]=0,0,SUMIFS(LS[Amount],LS[Investor ID],INVESTORS_LIST[[#This Row],[INVESTOR CODE]],LS[B/S],"B"))</f>
        <v>1000000</v>
      </c>
      <c r="I340" s="6">
        <f>IF(INVESTORS_LIST[[#This Row],[LS_TOTAL UNITS SOLD]]=0,0,SUMIFS(LS[Cost of Units Sold],LS[Investor ID],INVESTORS_LIST[[#This Row],[INVESTOR CODE]],LS[B/S],"S"))</f>
        <v>1000000</v>
      </c>
      <c r="J340" s="6">
        <f>IF(INVESTORS_LIST[[#This Row],[LS_TOTAL CURRENT UNITS]]=0,0,INVESTORS_LIST[[#This Row],[LS_TOTAL CURRENT UNITS]]*INVESTORS_LIST[[#This Row],[LS_AVERAGE COST]])</f>
        <v>0</v>
      </c>
      <c r="K340" s="4">
        <f>IF(INVESTORS_LIST[[#This Row],[LS_TOTAL UNITS SOLD]]=0,0,SUMIFS(LS[Realized Gain],LS[Investor ID],INVESTORS_LIST[[#This Row],[INVESTOR CODE]],LS[B/S],"S"))</f>
        <v>30799.999999999982</v>
      </c>
      <c r="L340" s="2">
        <f>SUMIFS(SIP[Unit],SIP[Investor ID],INVESTORS_LIST[[#This Row],[INVESTOR CODE]],SIP[B/S],"B")</f>
        <v>0</v>
      </c>
      <c r="M340" s="2">
        <f>-SUMIFS(SIP[Unit],SIP[Investor ID],INVESTORS_LIST[[#This Row],[INVESTOR CODE]],SIP[B/S],"S")</f>
        <v>0</v>
      </c>
      <c r="N340" s="33">
        <f>IF(INVESTORS_LIST[[#This Row],[SIP_TOTAL UNITS BUY]]=0,0,INVESTORS_LIST[[#This Row],[SIP_TOTAL UNITS BUY]]-INVESTORS_LIST[[#This Row],[SIP_TOTAL UNITS SOLD]])</f>
        <v>0</v>
      </c>
      <c r="O340" s="4">
        <f>IF(INVESTORS_LIST[[#This Row],[SIP_TOTAL UNITS BUY]]=0,0,SUMIFS(SIP[Amount],SIP[Investor ID],INVESTORS_LIST[[#This Row],[INVESTOR CODE]],SIP[B/S],"B"))</f>
        <v>0</v>
      </c>
      <c r="P340" s="4">
        <f>IF(INVESTORS_LIST[[#This Row],[SIP_TOTAL UNITS SOLD]]=0,0,SUMIFS(SIP[Cost of Units Sold],SIP[Investor ID],INVESTORS_LIST[[#This Row],[INVESTOR CODE]],SIP[B/S],"S"))</f>
        <v>0</v>
      </c>
      <c r="Q340" s="6">
        <f>IF(INVESTORS_LIST[[#This Row],[SIP_TOTAL CURRENT UNITS]]=0,0,INVESTORS_LIST[[#This Row],[SIP_TOTAL CURRENT UNITS]]*INVESTORS_LIST[[#This Row],[SIP_AVERAGE COST]])</f>
        <v>0</v>
      </c>
      <c r="R340" s="6">
        <f>IF(INVESTORS_LIST[[#This Row],[SIP_TOTAL UNITS SOLD]]=0,0,SUMIFS(SIP[Realized Gain],SIP[Investor ID],INVESTORS_LIST[[#This Row],[INVESTOR CODE]],SIP[B/S],"S"))</f>
        <v>0</v>
      </c>
      <c r="S340" s="33">
        <f>INVESTORS_LIST[[#This Row],[LS_TOTAL UNITS BUY]]+INVESTORS_LIST[[#This Row],[SIP_TOTAL UNITS BUY]]</f>
        <v>100000</v>
      </c>
      <c r="T340" s="33">
        <f>INVESTORS_LIST[[#This Row],[LS_TOTAL UNITS SOLD]]+INVESTORS_LIST[[#This Row],[SIP_TOTAL UNITS SOLD]]</f>
        <v>100000</v>
      </c>
      <c r="U340" s="33">
        <v>0</v>
      </c>
      <c r="V340" s="33">
        <f>SUMIFS(LS[BO UNIT TRANSFER],LS[Investor ID],INVESTORS_LIST[[#This Row],[INVESTOR CODE]],LS[B/S],"B")</f>
        <v>0</v>
      </c>
      <c r="W340" s="33">
        <f>SUMIFS(LS[BO UNIT TRANSFER],LS[Investor ID],INVESTORS_LIST[[#This Row],[INVESTOR CODE]],LS[B/S],"S")</f>
        <v>0</v>
      </c>
      <c r="X340" s="33">
        <f>SUMIFS(SIP[BO UNIT TRANSFER],SIP[Investor ID],INVESTORS_LIST[[#This Row],[INVESTOR CODE]],SIP[B/S],"S")</f>
        <v>0</v>
      </c>
      <c r="Y340" s="33">
        <f>SUMIFS(SIP[BO UNIT TRANSFER],SIP[Investor ID],INVESTORS_LIST[[#This Row],[INVESTOR CODE]],SIP[B/S],"B")</f>
        <v>0</v>
      </c>
      <c r="Z34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40" s="119">
        <f>INVESTORS_LIST[[#This Row],[TOTAL UNITS BUY]]-INVESTORS_LIST[[#This Row],[TOTAL UNITS SOLD]]</f>
        <v>0</v>
      </c>
      <c r="AB340" s="119">
        <f>INVESTORS_LIST[[#This Row],[TOTAL CURRENT UNITS]]-INVESTORS_LIST[[#This Row],[BO UNITS HOLD]]</f>
        <v>0</v>
      </c>
      <c r="AC340" s="119" t="e">
        <f>INDEX([4]!Table_1[BO ID],MATCH(INVESTORS_LIST[[#This Row],[INVESTOR CODE]],[4]!Table_1[INVESTOR CODE],0))</f>
        <v>#REF!</v>
      </c>
      <c r="AD340" s="33">
        <f>INVESTORS_LIST[[#This Row],[LS_TOTAL COST VALUE OF CURRENT UNITS]]+INVESTORS_LIST[[#This Row],[SIP_TOTAL COST VALUE OF CURRENT UNITS]]</f>
        <v>0</v>
      </c>
      <c r="AE340" s="44">
        <f>IF(INVESTORS_LIST[[#This Row],[TOTAL CURRENT UNITS]]=0,0,INVESTORS_LIST[[#This Row],[LS_TOTAL CURRENT UNITS]]/INVESTORS_LIST[[#This Row],[TOTAL CURRENT UNITS]])</f>
        <v>0</v>
      </c>
      <c r="AF340" s="44">
        <f>IF(INVESTORS_LIST[[#This Row],[TOTAL CURRENT UNITS]]=0,0,INVESTORS_LIST[[#This Row],[SIP_TOTAL CURRENT UNITS]]/INVESTORS_LIST[[#This Row],[TOTAL CURRENT UNITS]])</f>
        <v>0</v>
      </c>
      <c r="AG340" s="4" cm="1">
        <f t="array" ref="AG3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40" s="4" cm="1">
        <f t="array" ref="AH3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4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40" s="178">
        <f t="shared" si="5"/>
        <v>12.552</v>
      </c>
      <c r="AK340" s="118">
        <f>IF(INVESTORS_LIST[[#This Row],[TOTAL CURRENT UNITS]]=0,0,INVESTORS_LIST[[#This Row],[TOTAL CURRENT UNITS]]*INVESTORS_LIST[[#This Row],[NAV]])</f>
        <v>0</v>
      </c>
      <c r="AL340" s="4">
        <f>IF(INVESTORS_LIST[[#This Row],[LS_TOTAL CURRENT UNITS]]=0,0,INVESTORS_LIST[[#This Row],[LS_TOTAL CURRENT UNITS]]*INVESTORS_LIST[[#This Row],[NAV]])</f>
        <v>0</v>
      </c>
      <c r="AM340" s="6">
        <f>IF(INVESTORS_LIST[[#This Row],[SIP_TOTAL CURRENT UNITS]]=0,0,INVESTORS_LIST[[#This Row],[SIP_TOTAL CURRENT UNITS]]*INVESTORS_LIST[[#This Row],[NAV]])</f>
        <v>0</v>
      </c>
      <c r="AO340" s="6">
        <f>IF(INVESTORS_LIST[[#This Row],[TOTAL SELLABLE UNITS]]=0,0,INVESTORS_LIST[[#This Row],[TOTAL SELLABLE UNITS]]*INVESTORS_LIST[[#This Row],[NAV]])</f>
        <v>0</v>
      </c>
      <c r="AP340" s="6">
        <f>INVESTORS_LIST[[#This Row],[LS_TOTAL REALIZED GAIN]]+INVESTORS_LIST[[#This Row],[SIP_TOTAL REALIZED GAIN]]</f>
        <v>30799.999999999982</v>
      </c>
      <c r="AQ340" s="6">
        <f>INVESTORS_LIST[[#This Row],[TOTAL MARKET VALUE]]-INVESTORS_LIST[[#This Row],[TOTAL COST VALUE OF CURRENT INVESTMENT]]</f>
        <v>0</v>
      </c>
      <c r="AR340" s="6">
        <f>SUMIFS(DivAndTax[Tax Amount],DivAndTax[Investor ID],INVESTORS_LIST[[#This Row],[INVESTOR CODE]])</f>
        <v>0</v>
      </c>
      <c r="AS340" s="6">
        <f>SUMIFS(DivAndTax[Gross Dividend],DivAndTax[Investor ID],INVESTORS_LIST[[#This Row],[INVESTOR CODE]])</f>
        <v>0</v>
      </c>
      <c r="AT340" s="5">
        <f>IFERROR(INVESTORS_LIST[[#This Row],[TOTAL CURRENT UNITS]]/SUM(INVESTORS_LIST[TOTAL CURRENT UNITS]),0)</f>
        <v>0</v>
      </c>
    </row>
    <row r="341" spans="1:46" hidden="1">
      <c r="A341" t="s">
        <v>867</v>
      </c>
      <c r="B341" t="s">
        <v>606</v>
      </c>
      <c r="C341" t="s">
        <v>536</v>
      </c>
      <c r="D341" s="8" t="s">
        <v>2</v>
      </c>
      <c r="E341" s="2">
        <f>SUMIFS(LS[Unit],LS[Investor ID],INVESTORS_LIST[[#This Row],[INVESTOR CODE]],LS[B/S],"B")</f>
        <v>0</v>
      </c>
      <c r="F341" s="2">
        <f>-SUMIFS(LS[Unit],LS[Investor ID],INVESTORS_LIST[[#This Row],[INVESTOR CODE]],LS[B/S],"S")</f>
        <v>0</v>
      </c>
      <c r="G341" s="2">
        <f>IF(INVESTORS_LIST[[#This Row],[LS_TOTAL UNITS BUY]]=0,0,INVESTORS_LIST[[#This Row],[LS_TOTAL UNITS BUY]]-INVESTORS_LIST[[#This Row],[LS_TOTAL UNITS SOLD]])</f>
        <v>0</v>
      </c>
      <c r="H341" s="4">
        <f>IF(INVESTORS_LIST[[#This Row],[LS_TOTAL UNITS BUY]]=0,0,SUMIFS(LS[Amount],LS[Investor ID],INVESTORS_LIST[[#This Row],[INVESTOR CODE]],LS[B/S],"B"))</f>
        <v>0</v>
      </c>
      <c r="I341" s="6">
        <f>IF(INVESTORS_LIST[[#This Row],[LS_TOTAL UNITS SOLD]]=0,0,SUMIFS(LS[Cost of Units Sold],LS[Investor ID],INVESTORS_LIST[[#This Row],[INVESTOR CODE]],LS[B/S],"S"))</f>
        <v>0</v>
      </c>
      <c r="J341" s="6">
        <f>IF(INVESTORS_LIST[[#This Row],[LS_TOTAL CURRENT UNITS]]=0,0,INVESTORS_LIST[[#This Row],[LS_TOTAL CURRENT UNITS]]*INVESTORS_LIST[[#This Row],[LS_AVERAGE COST]])</f>
        <v>0</v>
      </c>
      <c r="K341" s="4">
        <f>IF(INVESTORS_LIST[[#This Row],[LS_TOTAL UNITS SOLD]]=0,0,SUMIFS(LS[Realized Gain],LS[Investor ID],INVESTORS_LIST[[#This Row],[INVESTOR CODE]],LS[B/S],"S"))</f>
        <v>0</v>
      </c>
      <c r="L341" s="2">
        <f>SUMIFS(SIP[Unit],SIP[Investor ID],INVESTORS_LIST[[#This Row],[INVESTOR CODE]],SIP[B/S],"B")</f>
        <v>0</v>
      </c>
      <c r="M341" s="2">
        <f>-SUMIFS(SIP[Unit],SIP[Investor ID],INVESTORS_LIST[[#This Row],[INVESTOR CODE]],SIP[B/S],"S")</f>
        <v>0</v>
      </c>
      <c r="N341" s="33">
        <f>IF(INVESTORS_LIST[[#This Row],[SIP_TOTAL UNITS BUY]]=0,0,INVESTORS_LIST[[#This Row],[SIP_TOTAL UNITS BUY]]-INVESTORS_LIST[[#This Row],[SIP_TOTAL UNITS SOLD]])</f>
        <v>0</v>
      </c>
      <c r="O341" s="4">
        <f>IF(INVESTORS_LIST[[#This Row],[SIP_TOTAL UNITS BUY]]=0,0,SUMIFS(SIP[Amount],SIP[Investor ID],INVESTORS_LIST[[#This Row],[INVESTOR CODE]],SIP[B/S],"B"))</f>
        <v>0</v>
      </c>
      <c r="P341" s="4">
        <f>IF(INVESTORS_LIST[[#This Row],[SIP_TOTAL UNITS SOLD]]=0,0,SUMIFS(SIP[Cost of Units Sold],SIP[Investor ID],INVESTORS_LIST[[#This Row],[INVESTOR CODE]],SIP[B/S],"S"))</f>
        <v>0</v>
      </c>
      <c r="Q341" s="6">
        <f>IF(INVESTORS_LIST[[#This Row],[SIP_TOTAL CURRENT UNITS]]=0,0,INVESTORS_LIST[[#This Row],[SIP_TOTAL CURRENT UNITS]]*INVESTORS_LIST[[#This Row],[SIP_AVERAGE COST]])</f>
        <v>0</v>
      </c>
      <c r="R341" s="6">
        <f>IF(INVESTORS_LIST[[#This Row],[SIP_TOTAL UNITS SOLD]]=0,0,SUMIFS(SIP[Realized Gain],SIP[Investor ID],INVESTORS_LIST[[#This Row],[INVESTOR CODE]],SIP[B/S],"S"))</f>
        <v>0</v>
      </c>
      <c r="S341" s="33">
        <f>INVESTORS_LIST[[#This Row],[LS_TOTAL UNITS BUY]]+INVESTORS_LIST[[#This Row],[SIP_TOTAL UNITS BUY]]</f>
        <v>0</v>
      </c>
      <c r="T341" s="33">
        <f>INVESTORS_LIST[[#This Row],[LS_TOTAL UNITS SOLD]]+INVESTORS_LIST[[#This Row],[SIP_TOTAL UNITS SOLD]]</f>
        <v>0</v>
      </c>
      <c r="U341" s="33">
        <v>0</v>
      </c>
      <c r="V341" s="33">
        <f>SUMIFS(LS[BO UNIT TRANSFER],LS[Investor ID],INVESTORS_LIST[[#This Row],[INVESTOR CODE]],LS[B/S],"B")</f>
        <v>0</v>
      </c>
      <c r="W341" s="33">
        <f>SUMIFS(LS[BO UNIT TRANSFER],LS[Investor ID],INVESTORS_LIST[[#This Row],[INVESTOR CODE]],LS[B/S],"S")</f>
        <v>0</v>
      </c>
      <c r="X341" s="33">
        <f>SUMIFS(SIP[BO UNIT TRANSFER],SIP[Investor ID],INVESTORS_LIST[[#This Row],[INVESTOR CODE]],SIP[B/S],"S")</f>
        <v>0</v>
      </c>
      <c r="Y341" s="33">
        <f>SUMIFS(SIP[BO UNIT TRANSFER],SIP[Investor ID],INVESTORS_LIST[[#This Row],[INVESTOR CODE]],SIP[B/S],"B")</f>
        <v>0</v>
      </c>
      <c r="Z34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41" s="119">
        <f>INVESTORS_LIST[[#This Row],[TOTAL UNITS BUY]]-INVESTORS_LIST[[#This Row],[TOTAL UNITS SOLD]]</f>
        <v>0</v>
      </c>
      <c r="AB341" s="119">
        <f>INVESTORS_LIST[[#This Row],[TOTAL CURRENT UNITS]]-INVESTORS_LIST[[#This Row],[BO UNITS HOLD]]</f>
        <v>0</v>
      </c>
      <c r="AC341" s="119" t="e">
        <f>INDEX([4]!Table_1[BO ID],MATCH(INVESTORS_LIST[[#This Row],[INVESTOR CODE]],[4]!Table_1[INVESTOR CODE],0))</f>
        <v>#REF!</v>
      </c>
      <c r="AD341" s="33">
        <f>INVESTORS_LIST[[#This Row],[LS_TOTAL COST VALUE OF CURRENT UNITS]]+INVESTORS_LIST[[#This Row],[SIP_TOTAL COST VALUE OF CURRENT UNITS]]</f>
        <v>0</v>
      </c>
      <c r="AE341" s="44">
        <f>IF(INVESTORS_LIST[[#This Row],[TOTAL CURRENT UNITS]]=0,0,INVESTORS_LIST[[#This Row],[LS_TOTAL CURRENT UNITS]]/INVESTORS_LIST[[#This Row],[TOTAL CURRENT UNITS]])</f>
        <v>0</v>
      </c>
      <c r="AF341" s="44">
        <f>IF(INVESTORS_LIST[[#This Row],[TOTAL CURRENT UNITS]]=0,0,INVESTORS_LIST[[#This Row],[SIP_TOTAL CURRENT UNITS]]/INVESTORS_LIST[[#This Row],[TOTAL CURRENT UNITS]])</f>
        <v>0</v>
      </c>
      <c r="AG341" s="4" cm="1">
        <f t="array" ref="AG3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41" s="4" cm="1">
        <f t="array" ref="AH3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4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41" s="178">
        <f t="shared" si="5"/>
        <v>12.552</v>
      </c>
      <c r="AK341" s="118">
        <f>IF(INVESTORS_LIST[[#This Row],[TOTAL CURRENT UNITS]]=0,0,INVESTORS_LIST[[#This Row],[TOTAL CURRENT UNITS]]*INVESTORS_LIST[[#This Row],[NAV]])</f>
        <v>0</v>
      </c>
      <c r="AL341" s="4">
        <f>IF(INVESTORS_LIST[[#This Row],[LS_TOTAL CURRENT UNITS]]=0,0,INVESTORS_LIST[[#This Row],[LS_TOTAL CURRENT UNITS]]*INVESTORS_LIST[[#This Row],[NAV]])</f>
        <v>0</v>
      </c>
      <c r="AM341" s="6">
        <f>IF(INVESTORS_LIST[[#This Row],[SIP_TOTAL CURRENT UNITS]]=0,0,INVESTORS_LIST[[#This Row],[SIP_TOTAL CURRENT UNITS]]*INVESTORS_LIST[[#This Row],[NAV]])</f>
        <v>0</v>
      </c>
      <c r="AO341" s="6">
        <f>IF(INVESTORS_LIST[[#This Row],[TOTAL SELLABLE UNITS]]=0,0,INVESTORS_LIST[[#This Row],[TOTAL SELLABLE UNITS]]*INVESTORS_LIST[[#This Row],[NAV]])</f>
        <v>0</v>
      </c>
      <c r="AP341" s="6">
        <f>INVESTORS_LIST[[#This Row],[LS_TOTAL REALIZED GAIN]]+INVESTORS_LIST[[#This Row],[SIP_TOTAL REALIZED GAIN]]</f>
        <v>0</v>
      </c>
      <c r="AQ341" s="6">
        <f>INVESTORS_LIST[[#This Row],[TOTAL MARKET VALUE]]-INVESTORS_LIST[[#This Row],[TOTAL COST VALUE OF CURRENT INVESTMENT]]</f>
        <v>0</v>
      </c>
      <c r="AR341" s="6">
        <f>SUMIFS(DivAndTax[Tax Amount],DivAndTax[Investor ID],INVESTORS_LIST[[#This Row],[INVESTOR CODE]])</f>
        <v>0</v>
      </c>
      <c r="AS341" s="6">
        <f>SUMIFS(DivAndTax[Gross Dividend],DivAndTax[Investor ID],INVESTORS_LIST[[#This Row],[INVESTOR CODE]])</f>
        <v>0</v>
      </c>
      <c r="AT341" s="5">
        <f>IFERROR(INVESTORS_LIST[[#This Row],[TOTAL CURRENT UNITS]]/SUM(INVESTORS_LIST[TOTAL CURRENT UNITS]),0)</f>
        <v>0</v>
      </c>
    </row>
    <row r="342" spans="1:46" hidden="1">
      <c r="A342" t="s">
        <v>607</v>
      </c>
      <c r="B342" t="s">
        <v>608</v>
      </c>
      <c r="C342" t="s">
        <v>536</v>
      </c>
      <c r="D342" s="8" t="s">
        <v>2</v>
      </c>
      <c r="E342" s="2">
        <f>SUMIFS(LS[Unit],LS[Investor ID],INVESTORS_LIST[[#This Row],[INVESTOR CODE]],LS[B/S],"B")</f>
        <v>50000</v>
      </c>
      <c r="F342" s="2">
        <f>-SUMIFS(LS[Unit],LS[Investor ID],INVESTORS_LIST[[#This Row],[INVESTOR CODE]],LS[B/S],"S")</f>
        <v>50000</v>
      </c>
      <c r="G342" s="2">
        <f>IF(INVESTORS_LIST[[#This Row],[LS_TOTAL UNITS BUY]]=0,0,INVESTORS_LIST[[#This Row],[LS_TOTAL UNITS BUY]]-INVESTORS_LIST[[#This Row],[LS_TOTAL UNITS SOLD]])</f>
        <v>0</v>
      </c>
      <c r="H342" s="4">
        <f>IF(INVESTORS_LIST[[#This Row],[LS_TOTAL UNITS BUY]]=0,0,SUMIFS(LS[Amount],LS[Investor ID],INVESTORS_LIST[[#This Row],[INVESTOR CODE]],LS[B/S],"B"))</f>
        <v>500000</v>
      </c>
      <c r="I342" s="6">
        <f>IF(INVESTORS_LIST[[#This Row],[LS_TOTAL UNITS SOLD]]=0,0,SUMIFS(LS[Cost of Units Sold],LS[Investor ID],INVESTORS_LIST[[#This Row],[INVESTOR CODE]],LS[B/S],"S"))</f>
        <v>500000</v>
      </c>
      <c r="J342" s="6">
        <f>IF(INVESTORS_LIST[[#This Row],[LS_TOTAL CURRENT UNITS]]=0,0,INVESTORS_LIST[[#This Row],[LS_TOTAL CURRENT UNITS]]*INVESTORS_LIST[[#This Row],[LS_AVERAGE COST]])</f>
        <v>0</v>
      </c>
      <c r="K342" s="4">
        <f>IF(INVESTORS_LIST[[#This Row],[LS_TOTAL UNITS SOLD]]=0,0,SUMIFS(LS[Realized Gain],LS[Investor ID],INVESTORS_LIST[[#This Row],[INVESTOR CODE]],LS[B/S],"S"))</f>
        <v>1999.9999999999573</v>
      </c>
      <c r="L342" s="2">
        <f>SUMIFS(SIP[Unit],SIP[Investor ID],INVESTORS_LIST[[#This Row],[INVESTOR CODE]],SIP[B/S],"B")</f>
        <v>0</v>
      </c>
      <c r="M342" s="2">
        <f>-SUMIFS(SIP[Unit],SIP[Investor ID],INVESTORS_LIST[[#This Row],[INVESTOR CODE]],SIP[B/S],"S")</f>
        <v>0</v>
      </c>
      <c r="N342" s="33">
        <f>IF(INVESTORS_LIST[[#This Row],[SIP_TOTAL UNITS BUY]]=0,0,INVESTORS_LIST[[#This Row],[SIP_TOTAL UNITS BUY]]-INVESTORS_LIST[[#This Row],[SIP_TOTAL UNITS SOLD]])</f>
        <v>0</v>
      </c>
      <c r="O342" s="4">
        <f>IF(INVESTORS_LIST[[#This Row],[SIP_TOTAL UNITS BUY]]=0,0,SUMIFS(SIP[Amount],SIP[Investor ID],INVESTORS_LIST[[#This Row],[INVESTOR CODE]],SIP[B/S],"B"))</f>
        <v>0</v>
      </c>
      <c r="P342" s="4">
        <f>IF(INVESTORS_LIST[[#This Row],[SIP_TOTAL UNITS SOLD]]=0,0,SUMIFS(SIP[Cost of Units Sold],SIP[Investor ID],INVESTORS_LIST[[#This Row],[INVESTOR CODE]],SIP[B/S],"S"))</f>
        <v>0</v>
      </c>
      <c r="Q342" s="6">
        <f>IF(INVESTORS_LIST[[#This Row],[SIP_TOTAL CURRENT UNITS]]=0,0,INVESTORS_LIST[[#This Row],[SIP_TOTAL CURRENT UNITS]]*INVESTORS_LIST[[#This Row],[SIP_AVERAGE COST]])</f>
        <v>0</v>
      </c>
      <c r="R342" s="6">
        <f>IF(INVESTORS_LIST[[#This Row],[SIP_TOTAL UNITS SOLD]]=0,0,SUMIFS(SIP[Realized Gain],SIP[Investor ID],INVESTORS_LIST[[#This Row],[INVESTOR CODE]],SIP[B/S],"S"))</f>
        <v>0</v>
      </c>
      <c r="S342" s="33">
        <f>INVESTORS_LIST[[#This Row],[LS_TOTAL UNITS BUY]]+INVESTORS_LIST[[#This Row],[SIP_TOTAL UNITS BUY]]</f>
        <v>50000</v>
      </c>
      <c r="T342" s="33">
        <f>INVESTORS_LIST[[#This Row],[LS_TOTAL UNITS SOLD]]+INVESTORS_LIST[[#This Row],[SIP_TOTAL UNITS SOLD]]</f>
        <v>50000</v>
      </c>
      <c r="U342" s="33">
        <v>0</v>
      </c>
      <c r="V342" s="33">
        <f>SUMIFS(LS[BO UNIT TRANSFER],LS[Investor ID],INVESTORS_LIST[[#This Row],[INVESTOR CODE]],LS[B/S],"B")</f>
        <v>0</v>
      </c>
      <c r="W342" s="33">
        <f>SUMIFS(LS[BO UNIT TRANSFER],LS[Investor ID],INVESTORS_LIST[[#This Row],[INVESTOR CODE]],LS[B/S],"S")</f>
        <v>0</v>
      </c>
      <c r="X342" s="33">
        <f>SUMIFS(SIP[BO UNIT TRANSFER],SIP[Investor ID],INVESTORS_LIST[[#This Row],[INVESTOR CODE]],SIP[B/S],"S")</f>
        <v>0</v>
      </c>
      <c r="Y342" s="33">
        <f>SUMIFS(SIP[BO UNIT TRANSFER],SIP[Investor ID],INVESTORS_LIST[[#This Row],[INVESTOR CODE]],SIP[B/S],"B")</f>
        <v>0</v>
      </c>
      <c r="Z34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42" s="119">
        <f>INVESTORS_LIST[[#This Row],[TOTAL UNITS BUY]]-INVESTORS_LIST[[#This Row],[TOTAL UNITS SOLD]]</f>
        <v>0</v>
      </c>
      <c r="AB342" s="119">
        <f>INVESTORS_LIST[[#This Row],[TOTAL CURRENT UNITS]]-INVESTORS_LIST[[#This Row],[BO UNITS HOLD]]</f>
        <v>0</v>
      </c>
      <c r="AC342" s="119" t="e">
        <f>INDEX([4]!Table_1[BO ID],MATCH(INVESTORS_LIST[[#This Row],[INVESTOR CODE]],[4]!Table_1[INVESTOR CODE],0))</f>
        <v>#REF!</v>
      </c>
      <c r="AD342" s="33">
        <f>INVESTORS_LIST[[#This Row],[LS_TOTAL COST VALUE OF CURRENT UNITS]]+INVESTORS_LIST[[#This Row],[SIP_TOTAL COST VALUE OF CURRENT UNITS]]</f>
        <v>0</v>
      </c>
      <c r="AE342" s="44">
        <f>IF(INVESTORS_LIST[[#This Row],[TOTAL CURRENT UNITS]]=0,0,INVESTORS_LIST[[#This Row],[LS_TOTAL CURRENT UNITS]]/INVESTORS_LIST[[#This Row],[TOTAL CURRENT UNITS]])</f>
        <v>0</v>
      </c>
      <c r="AF342" s="44">
        <f>IF(INVESTORS_LIST[[#This Row],[TOTAL CURRENT UNITS]]=0,0,INVESTORS_LIST[[#This Row],[SIP_TOTAL CURRENT UNITS]]/INVESTORS_LIST[[#This Row],[TOTAL CURRENT UNITS]])</f>
        <v>0</v>
      </c>
      <c r="AG342" s="4" cm="1">
        <f t="array" ref="AG34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42" s="4" cm="1">
        <f t="array" ref="AH34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4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42" s="178">
        <f t="shared" si="5"/>
        <v>12.552</v>
      </c>
      <c r="AK342" s="118">
        <f>IF(INVESTORS_LIST[[#This Row],[TOTAL CURRENT UNITS]]=0,0,INVESTORS_LIST[[#This Row],[TOTAL CURRENT UNITS]]*INVESTORS_LIST[[#This Row],[NAV]])</f>
        <v>0</v>
      </c>
      <c r="AL342" s="4">
        <f>IF(INVESTORS_LIST[[#This Row],[LS_TOTAL CURRENT UNITS]]=0,0,INVESTORS_LIST[[#This Row],[LS_TOTAL CURRENT UNITS]]*INVESTORS_LIST[[#This Row],[NAV]])</f>
        <v>0</v>
      </c>
      <c r="AM342" s="6">
        <f>IF(INVESTORS_LIST[[#This Row],[SIP_TOTAL CURRENT UNITS]]=0,0,INVESTORS_LIST[[#This Row],[SIP_TOTAL CURRENT UNITS]]*INVESTORS_LIST[[#This Row],[NAV]])</f>
        <v>0</v>
      </c>
      <c r="AO342" s="6">
        <f>IF(INVESTORS_LIST[[#This Row],[TOTAL SELLABLE UNITS]]=0,0,INVESTORS_LIST[[#This Row],[TOTAL SELLABLE UNITS]]*INVESTORS_LIST[[#This Row],[NAV]])</f>
        <v>0</v>
      </c>
      <c r="AP342" s="6">
        <f>INVESTORS_LIST[[#This Row],[LS_TOTAL REALIZED GAIN]]+INVESTORS_LIST[[#This Row],[SIP_TOTAL REALIZED GAIN]]</f>
        <v>1999.9999999999573</v>
      </c>
      <c r="AQ342" s="6">
        <f>INVESTORS_LIST[[#This Row],[TOTAL MARKET VALUE]]-INVESTORS_LIST[[#This Row],[TOTAL COST VALUE OF CURRENT INVESTMENT]]</f>
        <v>0</v>
      </c>
      <c r="AR342" s="6">
        <f>SUMIFS(DivAndTax[Tax Amount],DivAndTax[Investor ID],INVESTORS_LIST[[#This Row],[INVESTOR CODE]])</f>
        <v>0</v>
      </c>
      <c r="AS342" s="6">
        <f>SUMIFS(DivAndTax[Gross Dividend],DivAndTax[Investor ID],INVESTORS_LIST[[#This Row],[INVESTOR CODE]])</f>
        <v>0</v>
      </c>
      <c r="AT342" s="5">
        <f>IFERROR(INVESTORS_LIST[[#This Row],[TOTAL CURRENT UNITS]]/SUM(INVESTORS_LIST[TOTAL CURRENT UNITS]),0)</f>
        <v>0</v>
      </c>
    </row>
    <row r="343" spans="1:46" hidden="1">
      <c r="A343" t="s">
        <v>609</v>
      </c>
      <c r="B343" t="s">
        <v>610</v>
      </c>
      <c r="C343" t="s">
        <v>536</v>
      </c>
      <c r="D343" s="8" t="s">
        <v>2</v>
      </c>
      <c r="E343" s="2">
        <f>SUMIFS(LS[Unit],LS[Investor ID],INVESTORS_LIST[[#This Row],[INVESTOR CODE]],LS[B/S],"B")</f>
        <v>5000</v>
      </c>
      <c r="F343" s="2">
        <f>-SUMIFS(LS[Unit],LS[Investor ID],INVESTORS_LIST[[#This Row],[INVESTOR CODE]],LS[B/S],"S")</f>
        <v>5000</v>
      </c>
      <c r="G343" s="2">
        <f>IF(INVESTORS_LIST[[#This Row],[LS_TOTAL UNITS BUY]]=0,0,INVESTORS_LIST[[#This Row],[LS_TOTAL UNITS BUY]]-INVESTORS_LIST[[#This Row],[LS_TOTAL UNITS SOLD]])</f>
        <v>0</v>
      </c>
      <c r="H343" s="4">
        <f>IF(INVESTORS_LIST[[#This Row],[LS_TOTAL UNITS BUY]]=0,0,SUMIFS(LS[Amount],LS[Investor ID],INVESTORS_LIST[[#This Row],[INVESTOR CODE]],LS[B/S],"B"))</f>
        <v>50000</v>
      </c>
      <c r="I343" s="6">
        <f>IF(INVESTORS_LIST[[#This Row],[LS_TOTAL UNITS SOLD]]=0,0,SUMIFS(LS[Cost of Units Sold],LS[Investor ID],INVESTORS_LIST[[#This Row],[INVESTOR CODE]],LS[B/S],"S"))</f>
        <v>50000</v>
      </c>
      <c r="J343" s="6">
        <f>IF(INVESTORS_LIST[[#This Row],[LS_TOTAL CURRENT UNITS]]=0,0,INVESTORS_LIST[[#This Row],[LS_TOTAL CURRENT UNITS]]*INVESTORS_LIST[[#This Row],[LS_AVERAGE COST]])</f>
        <v>0</v>
      </c>
      <c r="K343" s="4">
        <f>IF(INVESTORS_LIST[[#This Row],[LS_TOTAL UNITS SOLD]]=0,0,SUMIFS(LS[Realized Gain],LS[Investor ID],INVESTORS_LIST[[#This Row],[INVESTOR CODE]],LS[B/S],"S"))</f>
        <v>-199.99999999999574</v>
      </c>
      <c r="L343" s="2">
        <f>SUMIFS(SIP[Unit],SIP[Investor ID],INVESTORS_LIST[[#This Row],[INVESTOR CODE]],SIP[B/S],"B")</f>
        <v>0</v>
      </c>
      <c r="M343" s="2">
        <f>-SUMIFS(SIP[Unit],SIP[Investor ID],INVESTORS_LIST[[#This Row],[INVESTOR CODE]],SIP[B/S],"S")</f>
        <v>0</v>
      </c>
      <c r="N343" s="33">
        <f>IF(INVESTORS_LIST[[#This Row],[SIP_TOTAL UNITS BUY]]=0,0,INVESTORS_LIST[[#This Row],[SIP_TOTAL UNITS BUY]]-INVESTORS_LIST[[#This Row],[SIP_TOTAL UNITS SOLD]])</f>
        <v>0</v>
      </c>
      <c r="O343" s="4">
        <f>IF(INVESTORS_LIST[[#This Row],[SIP_TOTAL UNITS BUY]]=0,0,SUMIFS(SIP[Amount],SIP[Investor ID],INVESTORS_LIST[[#This Row],[INVESTOR CODE]],SIP[B/S],"B"))</f>
        <v>0</v>
      </c>
      <c r="P343" s="4">
        <f>IF(INVESTORS_LIST[[#This Row],[SIP_TOTAL UNITS SOLD]]=0,0,SUMIFS(SIP[Cost of Units Sold],SIP[Investor ID],INVESTORS_LIST[[#This Row],[INVESTOR CODE]],SIP[B/S],"S"))</f>
        <v>0</v>
      </c>
      <c r="Q343" s="6">
        <f>IF(INVESTORS_LIST[[#This Row],[SIP_TOTAL CURRENT UNITS]]=0,0,INVESTORS_LIST[[#This Row],[SIP_TOTAL CURRENT UNITS]]*INVESTORS_LIST[[#This Row],[SIP_AVERAGE COST]])</f>
        <v>0</v>
      </c>
      <c r="R343" s="6">
        <f>IF(INVESTORS_LIST[[#This Row],[SIP_TOTAL UNITS SOLD]]=0,0,SUMIFS(SIP[Realized Gain],SIP[Investor ID],INVESTORS_LIST[[#This Row],[INVESTOR CODE]],SIP[B/S],"S"))</f>
        <v>0</v>
      </c>
      <c r="S343" s="33">
        <f>INVESTORS_LIST[[#This Row],[LS_TOTAL UNITS BUY]]+INVESTORS_LIST[[#This Row],[SIP_TOTAL UNITS BUY]]</f>
        <v>5000</v>
      </c>
      <c r="T343" s="33">
        <f>INVESTORS_LIST[[#This Row],[LS_TOTAL UNITS SOLD]]+INVESTORS_LIST[[#This Row],[SIP_TOTAL UNITS SOLD]]</f>
        <v>5000</v>
      </c>
      <c r="U343" s="33">
        <v>0</v>
      </c>
      <c r="V343" s="33">
        <f>SUMIFS(LS[BO UNIT TRANSFER],LS[Investor ID],INVESTORS_LIST[[#This Row],[INVESTOR CODE]],LS[B/S],"B")</f>
        <v>0</v>
      </c>
      <c r="W343" s="33">
        <f>SUMIFS(LS[BO UNIT TRANSFER],LS[Investor ID],INVESTORS_LIST[[#This Row],[INVESTOR CODE]],LS[B/S],"S")</f>
        <v>0</v>
      </c>
      <c r="X343" s="33">
        <f>SUMIFS(SIP[BO UNIT TRANSFER],SIP[Investor ID],INVESTORS_LIST[[#This Row],[INVESTOR CODE]],SIP[B/S],"S")</f>
        <v>0</v>
      </c>
      <c r="Y343" s="33">
        <f>SUMIFS(SIP[BO UNIT TRANSFER],SIP[Investor ID],INVESTORS_LIST[[#This Row],[INVESTOR CODE]],SIP[B/S],"B")</f>
        <v>0</v>
      </c>
      <c r="Z34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43" s="119">
        <f>INVESTORS_LIST[[#This Row],[TOTAL UNITS BUY]]-INVESTORS_LIST[[#This Row],[TOTAL UNITS SOLD]]</f>
        <v>0</v>
      </c>
      <c r="AB343" s="119">
        <f>INVESTORS_LIST[[#This Row],[TOTAL CURRENT UNITS]]-INVESTORS_LIST[[#This Row],[BO UNITS HOLD]]</f>
        <v>0</v>
      </c>
      <c r="AC343" s="119" t="e">
        <f>INDEX([4]!Table_1[BO ID],MATCH(INVESTORS_LIST[[#This Row],[INVESTOR CODE]],[4]!Table_1[INVESTOR CODE],0))</f>
        <v>#REF!</v>
      </c>
      <c r="AD343" s="33">
        <f>INVESTORS_LIST[[#This Row],[LS_TOTAL COST VALUE OF CURRENT UNITS]]+INVESTORS_LIST[[#This Row],[SIP_TOTAL COST VALUE OF CURRENT UNITS]]</f>
        <v>0</v>
      </c>
      <c r="AE343" s="44">
        <f>IF(INVESTORS_LIST[[#This Row],[TOTAL CURRENT UNITS]]=0,0,INVESTORS_LIST[[#This Row],[LS_TOTAL CURRENT UNITS]]/INVESTORS_LIST[[#This Row],[TOTAL CURRENT UNITS]])</f>
        <v>0</v>
      </c>
      <c r="AF343" s="44">
        <f>IF(INVESTORS_LIST[[#This Row],[TOTAL CURRENT UNITS]]=0,0,INVESTORS_LIST[[#This Row],[SIP_TOTAL CURRENT UNITS]]/INVESTORS_LIST[[#This Row],[TOTAL CURRENT UNITS]])</f>
        <v>0</v>
      </c>
      <c r="AG343" s="4" cm="1">
        <f t="array" ref="AG34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43" s="4" cm="1">
        <f t="array" ref="AH3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4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43" s="178">
        <f t="shared" si="5"/>
        <v>12.552</v>
      </c>
      <c r="AK343" s="118">
        <f>IF(INVESTORS_LIST[[#This Row],[TOTAL CURRENT UNITS]]=0,0,INVESTORS_LIST[[#This Row],[TOTAL CURRENT UNITS]]*INVESTORS_LIST[[#This Row],[NAV]])</f>
        <v>0</v>
      </c>
      <c r="AL343" s="4">
        <f>IF(INVESTORS_LIST[[#This Row],[LS_TOTAL CURRENT UNITS]]=0,0,INVESTORS_LIST[[#This Row],[LS_TOTAL CURRENT UNITS]]*INVESTORS_LIST[[#This Row],[NAV]])</f>
        <v>0</v>
      </c>
      <c r="AM343" s="6">
        <f>IF(INVESTORS_LIST[[#This Row],[SIP_TOTAL CURRENT UNITS]]=0,0,INVESTORS_LIST[[#This Row],[SIP_TOTAL CURRENT UNITS]]*INVESTORS_LIST[[#This Row],[NAV]])</f>
        <v>0</v>
      </c>
      <c r="AO343" s="6">
        <f>IF(INVESTORS_LIST[[#This Row],[TOTAL SELLABLE UNITS]]=0,0,INVESTORS_LIST[[#This Row],[TOTAL SELLABLE UNITS]]*INVESTORS_LIST[[#This Row],[NAV]])</f>
        <v>0</v>
      </c>
      <c r="AP343" s="6">
        <f>INVESTORS_LIST[[#This Row],[LS_TOTAL REALIZED GAIN]]+INVESTORS_LIST[[#This Row],[SIP_TOTAL REALIZED GAIN]]</f>
        <v>-199.99999999999574</v>
      </c>
      <c r="AQ343" s="6">
        <f>INVESTORS_LIST[[#This Row],[TOTAL MARKET VALUE]]-INVESTORS_LIST[[#This Row],[TOTAL COST VALUE OF CURRENT INVESTMENT]]</f>
        <v>0</v>
      </c>
      <c r="AR343" s="6">
        <f>SUMIFS(DivAndTax[Tax Amount],DivAndTax[Investor ID],INVESTORS_LIST[[#This Row],[INVESTOR CODE]])</f>
        <v>0</v>
      </c>
      <c r="AS343" s="6">
        <f>SUMIFS(DivAndTax[Gross Dividend],DivAndTax[Investor ID],INVESTORS_LIST[[#This Row],[INVESTOR CODE]])</f>
        <v>0</v>
      </c>
      <c r="AT343" s="5">
        <f>IFERROR(INVESTORS_LIST[[#This Row],[TOTAL CURRENT UNITS]]/SUM(INVESTORS_LIST[TOTAL CURRENT UNITS]),0)</f>
        <v>0</v>
      </c>
    </row>
    <row r="344" spans="1:46" hidden="1">
      <c r="A344" t="s">
        <v>993</v>
      </c>
      <c r="B344" t="s">
        <v>611</v>
      </c>
      <c r="C344" t="s">
        <v>537</v>
      </c>
      <c r="D344" s="8" t="s">
        <v>5</v>
      </c>
      <c r="E344" s="2">
        <f>SUMIFS(LS[Unit],LS[Investor ID],INVESTORS_LIST[[#This Row],[INVESTOR CODE]],LS[B/S],"B")</f>
        <v>0</v>
      </c>
      <c r="F344" s="2">
        <f>-SUMIFS(LS[Unit],LS[Investor ID],INVESTORS_LIST[[#This Row],[INVESTOR CODE]],LS[B/S],"S")</f>
        <v>0</v>
      </c>
      <c r="G344" s="2">
        <f>IF(INVESTORS_LIST[[#This Row],[LS_TOTAL UNITS BUY]]=0,0,INVESTORS_LIST[[#This Row],[LS_TOTAL UNITS BUY]]-INVESTORS_LIST[[#This Row],[LS_TOTAL UNITS SOLD]])</f>
        <v>0</v>
      </c>
      <c r="H344" s="4">
        <f>IF(INVESTORS_LIST[[#This Row],[LS_TOTAL UNITS BUY]]=0,0,SUMIFS(LS[Amount],LS[Investor ID],INVESTORS_LIST[[#This Row],[INVESTOR CODE]],LS[B/S],"B"))</f>
        <v>0</v>
      </c>
      <c r="I344" s="6">
        <f>IF(INVESTORS_LIST[[#This Row],[LS_TOTAL UNITS SOLD]]=0,0,SUMIFS(LS[Cost of Units Sold],LS[Investor ID],INVESTORS_LIST[[#This Row],[INVESTOR CODE]],LS[B/S],"S"))</f>
        <v>0</v>
      </c>
      <c r="J344" s="6">
        <f>IF(INVESTORS_LIST[[#This Row],[LS_TOTAL CURRENT UNITS]]=0,0,INVESTORS_LIST[[#This Row],[LS_TOTAL CURRENT UNITS]]*INVESTORS_LIST[[#This Row],[LS_AVERAGE COST]])</f>
        <v>0</v>
      </c>
      <c r="K344" s="4">
        <f>IF(INVESTORS_LIST[[#This Row],[LS_TOTAL UNITS SOLD]]=0,0,SUMIFS(LS[Realized Gain],LS[Investor ID],INVESTORS_LIST[[#This Row],[INVESTOR CODE]],LS[B/S],"S"))</f>
        <v>0</v>
      </c>
      <c r="L344" s="2">
        <f>SUMIFS(SIP[Unit],SIP[Investor ID],INVESTORS_LIST[[#This Row],[INVESTOR CODE]],SIP[B/S],"B")</f>
        <v>0</v>
      </c>
      <c r="M344" s="2">
        <f>-SUMIFS(SIP[Unit],SIP[Investor ID],INVESTORS_LIST[[#This Row],[INVESTOR CODE]],SIP[B/S],"S")</f>
        <v>0</v>
      </c>
      <c r="N344" s="33">
        <f>IF(INVESTORS_LIST[[#This Row],[SIP_TOTAL UNITS BUY]]=0,0,INVESTORS_LIST[[#This Row],[SIP_TOTAL UNITS BUY]]-INVESTORS_LIST[[#This Row],[SIP_TOTAL UNITS SOLD]])</f>
        <v>0</v>
      </c>
      <c r="O344" s="4">
        <f>IF(INVESTORS_LIST[[#This Row],[SIP_TOTAL UNITS BUY]]=0,0,SUMIFS(SIP[Amount],SIP[Investor ID],INVESTORS_LIST[[#This Row],[INVESTOR CODE]],SIP[B/S],"B"))</f>
        <v>0</v>
      </c>
      <c r="P344" s="4">
        <f>IF(INVESTORS_LIST[[#This Row],[SIP_TOTAL UNITS SOLD]]=0,0,SUMIFS(SIP[Cost of Units Sold],SIP[Investor ID],INVESTORS_LIST[[#This Row],[INVESTOR CODE]],SIP[B/S],"S"))</f>
        <v>0</v>
      </c>
      <c r="Q344" s="6">
        <f>IF(INVESTORS_LIST[[#This Row],[SIP_TOTAL CURRENT UNITS]]=0,0,INVESTORS_LIST[[#This Row],[SIP_TOTAL CURRENT UNITS]]*INVESTORS_LIST[[#This Row],[SIP_AVERAGE COST]])</f>
        <v>0</v>
      </c>
      <c r="R344" s="6">
        <f>IF(INVESTORS_LIST[[#This Row],[SIP_TOTAL UNITS SOLD]]=0,0,SUMIFS(SIP[Realized Gain],SIP[Investor ID],INVESTORS_LIST[[#This Row],[INVESTOR CODE]],SIP[B/S],"S"))</f>
        <v>0</v>
      </c>
      <c r="S344" s="33">
        <f>INVESTORS_LIST[[#This Row],[LS_TOTAL UNITS BUY]]+INVESTORS_LIST[[#This Row],[SIP_TOTAL UNITS BUY]]</f>
        <v>0</v>
      </c>
      <c r="T344" s="33">
        <f>INVESTORS_LIST[[#This Row],[LS_TOTAL UNITS SOLD]]+INVESTORS_LIST[[#This Row],[SIP_TOTAL UNITS SOLD]]</f>
        <v>0</v>
      </c>
      <c r="U344" s="33">
        <v>0</v>
      </c>
      <c r="V344" s="33">
        <f>SUMIFS(LS[BO UNIT TRANSFER],LS[Investor ID],INVESTORS_LIST[[#This Row],[INVESTOR CODE]],LS[B/S],"B")</f>
        <v>0</v>
      </c>
      <c r="W344" s="33">
        <f>SUMIFS(LS[BO UNIT TRANSFER],LS[Investor ID],INVESTORS_LIST[[#This Row],[INVESTOR CODE]],LS[B/S],"S")</f>
        <v>0</v>
      </c>
      <c r="X344" s="33">
        <f>SUMIFS(SIP[BO UNIT TRANSFER],SIP[Investor ID],INVESTORS_LIST[[#This Row],[INVESTOR CODE]],SIP[B/S],"S")</f>
        <v>0</v>
      </c>
      <c r="Y344" s="33">
        <f>SUMIFS(SIP[BO UNIT TRANSFER],SIP[Investor ID],INVESTORS_LIST[[#This Row],[INVESTOR CODE]],SIP[B/S],"B")</f>
        <v>0</v>
      </c>
      <c r="Z34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44" s="119">
        <f>INVESTORS_LIST[[#This Row],[TOTAL UNITS BUY]]-INVESTORS_LIST[[#This Row],[TOTAL UNITS SOLD]]</f>
        <v>0</v>
      </c>
      <c r="AB344" s="119">
        <f>INVESTORS_LIST[[#This Row],[TOTAL CURRENT UNITS]]-INVESTORS_LIST[[#This Row],[BO UNITS HOLD]]</f>
        <v>0</v>
      </c>
      <c r="AC344" s="119" t="e">
        <f>INDEX([4]!Table_1[BO ID],MATCH(INVESTORS_LIST[[#This Row],[INVESTOR CODE]],[4]!Table_1[INVESTOR CODE],0))</f>
        <v>#REF!</v>
      </c>
      <c r="AD344" s="33">
        <f>INVESTORS_LIST[[#This Row],[LS_TOTAL COST VALUE OF CURRENT UNITS]]+INVESTORS_LIST[[#This Row],[SIP_TOTAL COST VALUE OF CURRENT UNITS]]</f>
        <v>0</v>
      </c>
      <c r="AE344" s="44">
        <f>IF(INVESTORS_LIST[[#This Row],[TOTAL CURRENT UNITS]]=0,0,INVESTORS_LIST[[#This Row],[LS_TOTAL CURRENT UNITS]]/INVESTORS_LIST[[#This Row],[TOTAL CURRENT UNITS]])</f>
        <v>0</v>
      </c>
      <c r="AF344" s="44">
        <f>IF(INVESTORS_LIST[[#This Row],[TOTAL CURRENT UNITS]]=0,0,INVESTORS_LIST[[#This Row],[SIP_TOTAL CURRENT UNITS]]/INVESTORS_LIST[[#This Row],[TOTAL CURRENT UNITS]])</f>
        <v>0</v>
      </c>
      <c r="AG344" s="4" cm="1">
        <f t="array" ref="AG34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44" s="4" cm="1">
        <f t="array" ref="AH34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4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44" s="178">
        <f t="shared" si="5"/>
        <v>12.552</v>
      </c>
      <c r="AK344" s="118">
        <f>IF(INVESTORS_LIST[[#This Row],[TOTAL CURRENT UNITS]]=0,0,INVESTORS_LIST[[#This Row],[TOTAL CURRENT UNITS]]*INVESTORS_LIST[[#This Row],[NAV]])</f>
        <v>0</v>
      </c>
      <c r="AL344" s="4">
        <f>IF(INVESTORS_LIST[[#This Row],[LS_TOTAL CURRENT UNITS]]=0,0,INVESTORS_LIST[[#This Row],[LS_TOTAL CURRENT UNITS]]*INVESTORS_LIST[[#This Row],[NAV]])</f>
        <v>0</v>
      </c>
      <c r="AM344" s="6">
        <f>IF(INVESTORS_LIST[[#This Row],[SIP_TOTAL CURRENT UNITS]]=0,0,INVESTORS_LIST[[#This Row],[SIP_TOTAL CURRENT UNITS]]*INVESTORS_LIST[[#This Row],[NAV]])</f>
        <v>0</v>
      </c>
      <c r="AO344" s="6">
        <f>IF(INVESTORS_LIST[[#This Row],[TOTAL SELLABLE UNITS]]=0,0,INVESTORS_LIST[[#This Row],[TOTAL SELLABLE UNITS]]*INVESTORS_LIST[[#This Row],[NAV]])</f>
        <v>0</v>
      </c>
      <c r="AP344" s="6">
        <f>INVESTORS_LIST[[#This Row],[LS_TOTAL REALIZED GAIN]]+INVESTORS_LIST[[#This Row],[SIP_TOTAL REALIZED GAIN]]</f>
        <v>0</v>
      </c>
      <c r="AQ344" s="6">
        <f>INVESTORS_LIST[[#This Row],[TOTAL MARKET VALUE]]-INVESTORS_LIST[[#This Row],[TOTAL COST VALUE OF CURRENT INVESTMENT]]</f>
        <v>0</v>
      </c>
      <c r="AR344" s="6">
        <f>SUMIFS(DivAndTax[Tax Amount],DivAndTax[Investor ID],INVESTORS_LIST[[#This Row],[INVESTOR CODE]])</f>
        <v>0</v>
      </c>
      <c r="AS344" s="6">
        <f>SUMIFS(DivAndTax[Gross Dividend],DivAndTax[Investor ID],INVESTORS_LIST[[#This Row],[INVESTOR CODE]])</f>
        <v>0</v>
      </c>
      <c r="AT344" s="5">
        <f>IFERROR(INVESTORS_LIST[[#This Row],[TOTAL CURRENT UNITS]]/SUM(INVESTORS_LIST[TOTAL CURRENT UNITS]),0)</f>
        <v>0</v>
      </c>
    </row>
    <row r="345" spans="1:46" hidden="1">
      <c r="A345" t="s">
        <v>612</v>
      </c>
      <c r="B345" t="s">
        <v>613</v>
      </c>
      <c r="C345" t="s">
        <v>536</v>
      </c>
      <c r="D345" s="8" t="s">
        <v>2</v>
      </c>
      <c r="E345" s="2">
        <f>SUMIFS(LS[Unit],LS[Investor ID],INVESTORS_LIST[[#This Row],[INVESTOR CODE]],LS[B/S],"B")</f>
        <v>0</v>
      </c>
      <c r="F345" s="2">
        <f>-SUMIFS(LS[Unit],LS[Investor ID],INVESTORS_LIST[[#This Row],[INVESTOR CODE]],LS[B/S],"S")</f>
        <v>0</v>
      </c>
      <c r="G345" s="2">
        <f>IF(INVESTORS_LIST[[#This Row],[LS_TOTAL UNITS BUY]]=0,0,INVESTORS_LIST[[#This Row],[LS_TOTAL UNITS BUY]]-INVESTORS_LIST[[#This Row],[LS_TOTAL UNITS SOLD]])</f>
        <v>0</v>
      </c>
      <c r="H345" s="4">
        <f>IF(INVESTORS_LIST[[#This Row],[LS_TOTAL UNITS BUY]]=0,0,SUMIFS(LS[Amount],LS[Investor ID],INVESTORS_LIST[[#This Row],[INVESTOR CODE]],LS[B/S],"B"))</f>
        <v>0</v>
      </c>
      <c r="I345" s="6">
        <f>IF(INVESTORS_LIST[[#This Row],[LS_TOTAL UNITS SOLD]]=0,0,SUMIFS(LS[Cost of Units Sold],LS[Investor ID],INVESTORS_LIST[[#This Row],[INVESTOR CODE]],LS[B/S],"S"))</f>
        <v>0</v>
      </c>
      <c r="J345" s="6">
        <f>IF(INVESTORS_LIST[[#This Row],[LS_TOTAL CURRENT UNITS]]=0,0,INVESTORS_LIST[[#This Row],[LS_TOTAL CURRENT UNITS]]*INVESTORS_LIST[[#This Row],[LS_AVERAGE COST]])</f>
        <v>0</v>
      </c>
      <c r="K345" s="4">
        <f>IF(INVESTORS_LIST[[#This Row],[LS_TOTAL UNITS SOLD]]=0,0,SUMIFS(LS[Realized Gain],LS[Investor ID],INVESTORS_LIST[[#This Row],[INVESTOR CODE]],LS[B/S],"S"))</f>
        <v>0</v>
      </c>
      <c r="L345" s="2">
        <f>SUMIFS(SIP[Unit],SIP[Investor ID],INVESTORS_LIST[[#This Row],[INVESTOR CODE]],SIP[B/S],"B")</f>
        <v>0</v>
      </c>
      <c r="M345" s="2">
        <f>-SUMIFS(SIP[Unit],SIP[Investor ID],INVESTORS_LIST[[#This Row],[INVESTOR CODE]],SIP[B/S],"S")</f>
        <v>0</v>
      </c>
      <c r="N345" s="33">
        <f>IF(INVESTORS_LIST[[#This Row],[SIP_TOTAL UNITS BUY]]=0,0,INVESTORS_LIST[[#This Row],[SIP_TOTAL UNITS BUY]]-INVESTORS_LIST[[#This Row],[SIP_TOTAL UNITS SOLD]])</f>
        <v>0</v>
      </c>
      <c r="O345" s="4">
        <f>IF(INVESTORS_LIST[[#This Row],[SIP_TOTAL UNITS BUY]]=0,0,SUMIFS(SIP[Amount],SIP[Investor ID],INVESTORS_LIST[[#This Row],[INVESTOR CODE]],SIP[B/S],"B"))</f>
        <v>0</v>
      </c>
      <c r="P345" s="4">
        <f>IF(INVESTORS_LIST[[#This Row],[SIP_TOTAL UNITS SOLD]]=0,0,SUMIFS(SIP[Cost of Units Sold],SIP[Investor ID],INVESTORS_LIST[[#This Row],[INVESTOR CODE]],SIP[B/S],"S"))</f>
        <v>0</v>
      </c>
      <c r="Q345" s="6">
        <f>IF(INVESTORS_LIST[[#This Row],[SIP_TOTAL CURRENT UNITS]]=0,0,INVESTORS_LIST[[#This Row],[SIP_TOTAL CURRENT UNITS]]*INVESTORS_LIST[[#This Row],[SIP_AVERAGE COST]])</f>
        <v>0</v>
      </c>
      <c r="R345" s="6">
        <f>IF(INVESTORS_LIST[[#This Row],[SIP_TOTAL UNITS SOLD]]=0,0,SUMIFS(SIP[Realized Gain],SIP[Investor ID],INVESTORS_LIST[[#This Row],[INVESTOR CODE]],SIP[B/S],"S"))</f>
        <v>0</v>
      </c>
      <c r="S345" s="33">
        <f>INVESTORS_LIST[[#This Row],[LS_TOTAL UNITS BUY]]+INVESTORS_LIST[[#This Row],[SIP_TOTAL UNITS BUY]]</f>
        <v>0</v>
      </c>
      <c r="T345" s="33">
        <f>INVESTORS_LIST[[#This Row],[LS_TOTAL UNITS SOLD]]+INVESTORS_LIST[[#This Row],[SIP_TOTAL UNITS SOLD]]</f>
        <v>0</v>
      </c>
      <c r="U345" s="33">
        <v>0</v>
      </c>
      <c r="V345" s="33">
        <f>SUMIFS(LS[BO UNIT TRANSFER],LS[Investor ID],INVESTORS_LIST[[#This Row],[INVESTOR CODE]],LS[B/S],"B")</f>
        <v>0</v>
      </c>
      <c r="W345" s="33">
        <f>SUMIFS(LS[BO UNIT TRANSFER],LS[Investor ID],INVESTORS_LIST[[#This Row],[INVESTOR CODE]],LS[B/S],"S")</f>
        <v>0</v>
      </c>
      <c r="X345" s="33">
        <f>SUMIFS(SIP[BO UNIT TRANSFER],SIP[Investor ID],INVESTORS_LIST[[#This Row],[INVESTOR CODE]],SIP[B/S],"S")</f>
        <v>0</v>
      </c>
      <c r="Y345" s="33">
        <f>SUMIFS(SIP[BO UNIT TRANSFER],SIP[Investor ID],INVESTORS_LIST[[#This Row],[INVESTOR CODE]],SIP[B/S],"B")</f>
        <v>0</v>
      </c>
      <c r="Z34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45" s="119">
        <f>INVESTORS_LIST[[#This Row],[TOTAL UNITS BUY]]-INVESTORS_LIST[[#This Row],[TOTAL UNITS SOLD]]</f>
        <v>0</v>
      </c>
      <c r="AB345" s="119">
        <f>INVESTORS_LIST[[#This Row],[TOTAL CURRENT UNITS]]-INVESTORS_LIST[[#This Row],[BO UNITS HOLD]]</f>
        <v>0</v>
      </c>
      <c r="AC345" s="119" t="e">
        <f>INDEX([4]!Table_1[BO ID],MATCH(INVESTORS_LIST[[#This Row],[INVESTOR CODE]],[4]!Table_1[INVESTOR CODE],0))</f>
        <v>#REF!</v>
      </c>
      <c r="AD345" s="33">
        <f>INVESTORS_LIST[[#This Row],[LS_TOTAL COST VALUE OF CURRENT UNITS]]+INVESTORS_LIST[[#This Row],[SIP_TOTAL COST VALUE OF CURRENT UNITS]]</f>
        <v>0</v>
      </c>
      <c r="AE345" s="44">
        <f>IF(INVESTORS_LIST[[#This Row],[TOTAL CURRENT UNITS]]=0,0,INVESTORS_LIST[[#This Row],[LS_TOTAL CURRENT UNITS]]/INVESTORS_LIST[[#This Row],[TOTAL CURRENT UNITS]])</f>
        <v>0</v>
      </c>
      <c r="AF345" s="44">
        <f>IF(INVESTORS_LIST[[#This Row],[TOTAL CURRENT UNITS]]=0,0,INVESTORS_LIST[[#This Row],[SIP_TOTAL CURRENT UNITS]]/INVESTORS_LIST[[#This Row],[TOTAL CURRENT UNITS]])</f>
        <v>0</v>
      </c>
      <c r="AG345" s="4" cm="1">
        <f t="array" ref="AG34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45" s="4" cm="1">
        <f t="array" ref="AH3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4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45" s="178">
        <f t="shared" si="5"/>
        <v>12.552</v>
      </c>
      <c r="AK345" s="118">
        <f>IF(INVESTORS_LIST[[#This Row],[TOTAL CURRENT UNITS]]=0,0,INVESTORS_LIST[[#This Row],[TOTAL CURRENT UNITS]]*INVESTORS_LIST[[#This Row],[NAV]])</f>
        <v>0</v>
      </c>
      <c r="AL345" s="4">
        <f>IF(INVESTORS_LIST[[#This Row],[LS_TOTAL CURRENT UNITS]]=0,0,INVESTORS_LIST[[#This Row],[LS_TOTAL CURRENT UNITS]]*INVESTORS_LIST[[#This Row],[NAV]])</f>
        <v>0</v>
      </c>
      <c r="AM345" s="6">
        <f>IF(INVESTORS_LIST[[#This Row],[SIP_TOTAL CURRENT UNITS]]=0,0,INVESTORS_LIST[[#This Row],[SIP_TOTAL CURRENT UNITS]]*INVESTORS_LIST[[#This Row],[NAV]])</f>
        <v>0</v>
      </c>
      <c r="AO345" s="6">
        <f>IF(INVESTORS_LIST[[#This Row],[TOTAL SELLABLE UNITS]]=0,0,INVESTORS_LIST[[#This Row],[TOTAL SELLABLE UNITS]]*INVESTORS_LIST[[#This Row],[NAV]])</f>
        <v>0</v>
      </c>
      <c r="AP345" s="6">
        <f>INVESTORS_LIST[[#This Row],[LS_TOTAL REALIZED GAIN]]+INVESTORS_LIST[[#This Row],[SIP_TOTAL REALIZED GAIN]]</f>
        <v>0</v>
      </c>
      <c r="AQ345" s="6">
        <f>INVESTORS_LIST[[#This Row],[TOTAL MARKET VALUE]]-INVESTORS_LIST[[#This Row],[TOTAL COST VALUE OF CURRENT INVESTMENT]]</f>
        <v>0</v>
      </c>
      <c r="AR345" s="6">
        <f>SUMIFS(DivAndTax[Tax Amount],DivAndTax[Investor ID],INVESTORS_LIST[[#This Row],[INVESTOR CODE]])</f>
        <v>0</v>
      </c>
      <c r="AS345" s="6">
        <f>SUMIFS(DivAndTax[Gross Dividend],DivAndTax[Investor ID],INVESTORS_LIST[[#This Row],[INVESTOR CODE]])</f>
        <v>0</v>
      </c>
      <c r="AT345" s="5">
        <f>IFERROR(INVESTORS_LIST[[#This Row],[TOTAL CURRENT UNITS]]/SUM(INVESTORS_LIST[TOTAL CURRENT UNITS]),0)</f>
        <v>0</v>
      </c>
    </row>
    <row r="346" spans="1:46">
      <c r="A346" t="s">
        <v>638</v>
      </c>
      <c r="B346" t="s">
        <v>639</v>
      </c>
      <c r="C346" t="s">
        <v>537</v>
      </c>
      <c r="D346" s="8" t="s">
        <v>5</v>
      </c>
      <c r="E346" s="2">
        <f>SUMIFS(LS[Unit],LS[Investor ID],INVESTORS_LIST[[#This Row],[INVESTOR CODE]],LS[B/S],"B")</f>
        <v>205305</v>
      </c>
      <c r="F346" s="2">
        <f>-SUMIFS(LS[Unit],LS[Investor ID],INVESTORS_LIST[[#This Row],[INVESTOR CODE]],LS[B/S],"S")</f>
        <v>0</v>
      </c>
      <c r="G346" s="2">
        <f>IF(INVESTORS_LIST[[#This Row],[LS_TOTAL UNITS BUY]]=0,0,INVESTORS_LIST[[#This Row],[LS_TOTAL UNITS BUY]]-INVESTORS_LIST[[#This Row],[LS_TOTAL UNITS SOLD]])</f>
        <v>205305</v>
      </c>
      <c r="H346" s="4">
        <f>IF(INVESTORS_LIST[[#This Row],[LS_TOTAL UNITS BUY]]=0,0,SUMIFS(LS[Amount],LS[Investor ID],INVESTORS_LIST[[#This Row],[INVESTOR CODE]],LS[B/S],"B"))</f>
        <v>2070000</v>
      </c>
      <c r="I346" s="6">
        <f>IF(INVESTORS_LIST[[#This Row],[LS_TOTAL UNITS SOLD]]=0,0,SUMIFS(LS[Cost of Units Sold],LS[Investor ID],INVESTORS_LIST[[#This Row],[INVESTOR CODE]],LS[B/S],"S"))</f>
        <v>0</v>
      </c>
      <c r="J346" s="6">
        <f>IF(INVESTORS_LIST[[#This Row],[LS_TOTAL CURRENT UNITS]]=0,0,INVESTORS_LIST[[#This Row],[LS_TOTAL CURRENT UNITS]]*INVESTORS_LIST[[#This Row],[LS_AVERAGE COST]])</f>
        <v>2070000</v>
      </c>
      <c r="K346" s="4">
        <f>IF(INVESTORS_LIST[[#This Row],[LS_TOTAL UNITS SOLD]]=0,0,SUMIFS(LS[Realized Gain],LS[Investor ID],INVESTORS_LIST[[#This Row],[INVESTOR CODE]],LS[B/S],"S"))</f>
        <v>0</v>
      </c>
      <c r="L346" s="2">
        <f>SUMIFS(SIP[Unit],SIP[Investor ID],INVESTORS_LIST[[#This Row],[INVESTOR CODE]],SIP[B/S],"B")</f>
        <v>0</v>
      </c>
      <c r="M346" s="2">
        <f>-SUMIFS(SIP[Unit],SIP[Investor ID],INVESTORS_LIST[[#This Row],[INVESTOR CODE]],SIP[B/S],"S")</f>
        <v>0</v>
      </c>
      <c r="N346" s="33">
        <f>IF(INVESTORS_LIST[[#This Row],[SIP_TOTAL UNITS BUY]]=0,0,INVESTORS_LIST[[#This Row],[SIP_TOTAL UNITS BUY]]-INVESTORS_LIST[[#This Row],[SIP_TOTAL UNITS SOLD]])</f>
        <v>0</v>
      </c>
      <c r="O346" s="4">
        <f>IF(INVESTORS_LIST[[#This Row],[SIP_TOTAL UNITS BUY]]=0,0,SUMIFS(SIP[Amount],SIP[Investor ID],INVESTORS_LIST[[#This Row],[INVESTOR CODE]],SIP[B/S],"B"))</f>
        <v>0</v>
      </c>
      <c r="P346" s="4">
        <f>IF(INVESTORS_LIST[[#This Row],[SIP_TOTAL UNITS SOLD]]=0,0,SUMIFS(SIP[Cost of Units Sold],SIP[Investor ID],INVESTORS_LIST[[#This Row],[INVESTOR CODE]],SIP[B/S],"S"))</f>
        <v>0</v>
      </c>
      <c r="Q346" s="6">
        <f>IF(INVESTORS_LIST[[#This Row],[SIP_TOTAL CURRENT UNITS]]=0,0,INVESTORS_LIST[[#This Row],[SIP_TOTAL CURRENT UNITS]]*INVESTORS_LIST[[#This Row],[SIP_AVERAGE COST]])</f>
        <v>0</v>
      </c>
      <c r="R346" s="6">
        <f>IF(INVESTORS_LIST[[#This Row],[SIP_TOTAL UNITS SOLD]]=0,0,SUMIFS(SIP[Realized Gain],SIP[Investor ID],INVESTORS_LIST[[#This Row],[INVESTOR CODE]],SIP[B/S],"S"))</f>
        <v>0</v>
      </c>
      <c r="S346" s="33">
        <f>INVESTORS_LIST[[#This Row],[LS_TOTAL UNITS BUY]]+INVESTORS_LIST[[#This Row],[SIP_TOTAL UNITS BUY]]</f>
        <v>205305</v>
      </c>
      <c r="T346" s="33">
        <f>INVESTORS_LIST[[#This Row],[LS_TOTAL UNITS SOLD]]+INVESTORS_LIST[[#This Row],[SIP_TOTAL UNITS SOLD]]</f>
        <v>0</v>
      </c>
      <c r="U346" s="33">
        <v>200000</v>
      </c>
      <c r="V346" s="33">
        <f>SUMIFS(LS[BO UNIT TRANSFER],LS[Investor ID],INVESTORS_LIST[[#This Row],[INVESTOR CODE]],LS[B/S],"B")</f>
        <v>5305</v>
      </c>
      <c r="W346" s="33">
        <f>SUMIFS(LS[BO UNIT TRANSFER],LS[Investor ID],INVESTORS_LIST[[#This Row],[INVESTOR CODE]],LS[B/S],"S")</f>
        <v>0</v>
      </c>
      <c r="X346" s="33">
        <f>SUMIFS(SIP[BO UNIT TRANSFER],SIP[Investor ID],INVESTORS_LIST[[#This Row],[INVESTOR CODE]],SIP[B/S],"S")</f>
        <v>0</v>
      </c>
      <c r="Y346" s="33">
        <f>SUMIFS(SIP[BO UNIT TRANSFER],SIP[Investor ID],INVESTORS_LIST[[#This Row],[INVESTOR CODE]],SIP[B/S],"B")</f>
        <v>0</v>
      </c>
      <c r="Z34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205305</v>
      </c>
      <c r="AA346" s="119">
        <f>INVESTORS_LIST[[#This Row],[TOTAL UNITS BUY]]-INVESTORS_LIST[[#This Row],[TOTAL UNITS SOLD]]</f>
        <v>205305</v>
      </c>
      <c r="AB346" s="119">
        <f>INVESTORS_LIST[[#This Row],[TOTAL CURRENT UNITS]]-INVESTORS_LIST[[#This Row],[BO UNITS HOLD]]</f>
        <v>0</v>
      </c>
      <c r="AC346" s="119" t="e">
        <f>INDEX([4]!Table_1[BO ID],MATCH(INVESTORS_LIST[[#This Row],[INVESTOR CODE]],[4]!Table_1[INVESTOR CODE],0))</f>
        <v>#REF!</v>
      </c>
      <c r="AD346" s="33">
        <f>INVESTORS_LIST[[#This Row],[LS_TOTAL COST VALUE OF CURRENT UNITS]]+INVESTORS_LIST[[#This Row],[SIP_TOTAL COST VALUE OF CURRENT UNITS]]</f>
        <v>2070000</v>
      </c>
      <c r="AE346" s="44">
        <f>IF(INVESTORS_LIST[[#This Row],[TOTAL CURRENT UNITS]]=0,0,INVESTORS_LIST[[#This Row],[LS_TOTAL CURRENT UNITS]]/INVESTORS_LIST[[#This Row],[TOTAL CURRENT UNITS]])</f>
        <v>1</v>
      </c>
      <c r="AF346" s="44">
        <f>IF(INVESTORS_LIST[[#This Row],[TOTAL CURRENT UNITS]]=0,0,INVESTORS_LIST[[#This Row],[SIP_TOTAL CURRENT UNITS]]/INVESTORS_LIST[[#This Row],[TOTAL CURRENT UNITS]])</f>
        <v>0</v>
      </c>
      <c r="AG346" s="4" cm="1">
        <f t="array" ref="AG346">IF(INVESTORS_LIST[[#This Row],[LS_TOTAL UNITS BUY]]&gt;0,INDEX(LS[NAV at Cost (Average)],MATCH(CONCATENATE(COUNTIFS(LS[Investor ID],INVESTORS_LIST[[#This Row],[INVESTOR CODE]]),INVESTORS_LIST[[#This Row],[INVESTOR CODE]]),LS[Unique Code],0),),0)</f>
        <v>10.082560093519398</v>
      </c>
      <c r="AH346" s="4" cm="1">
        <f t="array" ref="AH3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46" s="178">
        <f>IF(INVESTORS_LIST[[#This Row],[TOTAL CURRENT UNITS]]=0,0,(INVESTORS_LIST[[#This Row],[LS_WEIGHT]]*INVESTORS_LIST[[#This Row],[LS_AVERAGE COST]])+(INVESTORS_LIST[[#This Row],[SIP_WEIGHT]]*INVESTORS_LIST[[#This Row],[SIP_AVERAGE COST]]))</f>
        <v>10.082560093519398</v>
      </c>
      <c r="AJ346" s="178">
        <f t="shared" si="5"/>
        <v>12.552</v>
      </c>
      <c r="AK346" s="118">
        <f>IF(INVESTORS_LIST[[#This Row],[TOTAL CURRENT UNITS]]=0,0,INVESTORS_LIST[[#This Row],[TOTAL CURRENT UNITS]]*INVESTORS_LIST[[#This Row],[NAV]])</f>
        <v>2576988.36</v>
      </c>
      <c r="AL346" s="4">
        <f>IF(INVESTORS_LIST[[#This Row],[LS_TOTAL CURRENT UNITS]]=0,0,INVESTORS_LIST[[#This Row],[LS_TOTAL CURRENT UNITS]]*INVESTORS_LIST[[#This Row],[NAV]])</f>
        <v>2576988.36</v>
      </c>
      <c r="AM346" s="6">
        <f>IF(INVESTORS_LIST[[#This Row],[SIP_TOTAL CURRENT UNITS]]=0,0,INVESTORS_LIST[[#This Row],[SIP_TOTAL CURRENT UNITS]]*INVESTORS_LIST[[#This Row],[NAV]])</f>
        <v>0</v>
      </c>
      <c r="AO346" s="6">
        <f>IF(INVESTORS_LIST[[#This Row],[TOTAL SELLABLE UNITS]]=0,0,INVESTORS_LIST[[#This Row],[TOTAL SELLABLE UNITS]]*INVESTORS_LIST[[#This Row],[NAV]])</f>
        <v>0</v>
      </c>
      <c r="AP346" s="6">
        <f>INVESTORS_LIST[[#This Row],[LS_TOTAL REALIZED GAIN]]+INVESTORS_LIST[[#This Row],[SIP_TOTAL REALIZED GAIN]]</f>
        <v>0</v>
      </c>
      <c r="AQ346" s="6">
        <f>INVESTORS_LIST[[#This Row],[TOTAL MARKET VALUE]]-INVESTORS_LIST[[#This Row],[TOTAL COST VALUE OF CURRENT INVESTMENT]]</f>
        <v>506988.35999999987</v>
      </c>
      <c r="AR346" s="6">
        <f>SUMIFS(DivAndTax[Tax Amount],DivAndTax[Investor ID],INVESTORS_LIST[[#This Row],[INVESTOR CODE]])</f>
        <v>44000</v>
      </c>
      <c r="AS346" s="6">
        <f>SUMIFS(DivAndTax[Gross Dividend],DivAndTax[Investor ID],INVESTORS_LIST[[#This Row],[INVESTOR CODE]])</f>
        <v>220000</v>
      </c>
      <c r="AT346" s="5">
        <f>IFERROR(INVESTORS_LIST[[#This Row],[TOTAL CURRENT UNITS]]/SUM(INVESTORS_LIST[TOTAL CURRENT UNITS]),0)</f>
        <v>9.8433143612424688E-3</v>
      </c>
    </row>
    <row r="347" spans="1:46">
      <c r="A347" t="s">
        <v>640</v>
      </c>
      <c r="B347" t="s">
        <v>641</v>
      </c>
      <c r="C347" t="s">
        <v>537</v>
      </c>
      <c r="D347" s="8" t="s">
        <v>11</v>
      </c>
      <c r="E347" s="2">
        <f>SUMIFS(LS[Unit],LS[Investor ID],INVESTORS_LIST[[#This Row],[INVESTOR CODE]],LS[B/S],"B")</f>
        <v>102652</v>
      </c>
      <c r="F347" s="2">
        <f>-SUMIFS(LS[Unit],LS[Investor ID],INVESTORS_LIST[[#This Row],[INVESTOR CODE]],LS[B/S],"S")</f>
        <v>0</v>
      </c>
      <c r="G347" s="2">
        <f>IF(INVESTORS_LIST[[#This Row],[LS_TOTAL UNITS BUY]]=0,0,INVESTORS_LIST[[#This Row],[LS_TOTAL UNITS BUY]]-INVESTORS_LIST[[#This Row],[LS_TOTAL UNITS SOLD]])</f>
        <v>102652</v>
      </c>
      <c r="H347" s="4">
        <f>IF(INVESTORS_LIST[[#This Row],[LS_TOTAL UNITS BUY]]=0,0,SUMIFS(LS[Amount],LS[Investor ID],INVESTORS_LIST[[#This Row],[INVESTOR CODE]],LS[B/S],"B"))</f>
        <v>1035000</v>
      </c>
      <c r="I347" s="6">
        <f>IF(INVESTORS_LIST[[#This Row],[LS_TOTAL UNITS SOLD]]=0,0,SUMIFS(LS[Cost of Units Sold],LS[Investor ID],INVESTORS_LIST[[#This Row],[INVESTOR CODE]],LS[B/S],"S"))</f>
        <v>0</v>
      </c>
      <c r="J347" s="6">
        <f>IF(INVESTORS_LIST[[#This Row],[LS_TOTAL CURRENT UNITS]]=0,0,INVESTORS_LIST[[#This Row],[LS_TOTAL CURRENT UNITS]]*INVESTORS_LIST[[#This Row],[LS_AVERAGE COST]])</f>
        <v>1035000</v>
      </c>
      <c r="K347" s="4">
        <f>IF(INVESTORS_LIST[[#This Row],[LS_TOTAL UNITS SOLD]]=0,0,SUMIFS(LS[Realized Gain],LS[Investor ID],INVESTORS_LIST[[#This Row],[INVESTOR CODE]],LS[B/S],"S"))</f>
        <v>0</v>
      </c>
      <c r="L347" s="2">
        <f>SUMIFS(SIP[Unit],SIP[Investor ID],INVESTORS_LIST[[#This Row],[INVESTOR CODE]],SIP[B/S],"B")</f>
        <v>0</v>
      </c>
      <c r="M347" s="2">
        <f>-SUMIFS(SIP[Unit],SIP[Investor ID],INVESTORS_LIST[[#This Row],[INVESTOR CODE]],SIP[B/S],"S")</f>
        <v>0</v>
      </c>
      <c r="N347" s="33">
        <f>IF(INVESTORS_LIST[[#This Row],[SIP_TOTAL UNITS BUY]]=0,0,INVESTORS_LIST[[#This Row],[SIP_TOTAL UNITS BUY]]-INVESTORS_LIST[[#This Row],[SIP_TOTAL UNITS SOLD]])</f>
        <v>0</v>
      </c>
      <c r="O347" s="4">
        <f>IF(INVESTORS_LIST[[#This Row],[SIP_TOTAL UNITS BUY]]=0,0,SUMIFS(SIP[Amount],SIP[Investor ID],INVESTORS_LIST[[#This Row],[INVESTOR CODE]],SIP[B/S],"B"))</f>
        <v>0</v>
      </c>
      <c r="P347" s="4">
        <f>IF(INVESTORS_LIST[[#This Row],[SIP_TOTAL UNITS SOLD]]=0,0,SUMIFS(SIP[Cost of Units Sold],SIP[Investor ID],INVESTORS_LIST[[#This Row],[INVESTOR CODE]],SIP[B/S],"S"))</f>
        <v>0</v>
      </c>
      <c r="Q347" s="6">
        <f>IF(INVESTORS_LIST[[#This Row],[SIP_TOTAL CURRENT UNITS]]=0,0,INVESTORS_LIST[[#This Row],[SIP_TOTAL CURRENT UNITS]]*INVESTORS_LIST[[#This Row],[SIP_AVERAGE COST]])</f>
        <v>0</v>
      </c>
      <c r="R347" s="6">
        <f>IF(INVESTORS_LIST[[#This Row],[SIP_TOTAL UNITS SOLD]]=0,0,SUMIFS(SIP[Realized Gain],SIP[Investor ID],INVESTORS_LIST[[#This Row],[INVESTOR CODE]],SIP[B/S],"S"))</f>
        <v>0</v>
      </c>
      <c r="S347" s="33">
        <f>INVESTORS_LIST[[#This Row],[LS_TOTAL UNITS BUY]]+INVESTORS_LIST[[#This Row],[SIP_TOTAL UNITS BUY]]</f>
        <v>102652</v>
      </c>
      <c r="T347" s="33">
        <f>INVESTORS_LIST[[#This Row],[LS_TOTAL UNITS SOLD]]+INVESTORS_LIST[[#This Row],[SIP_TOTAL UNITS SOLD]]</f>
        <v>0</v>
      </c>
      <c r="U347" s="33">
        <v>100000</v>
      </c>
      <c r="V347" s="33">
        <f>SUMIFS(LS[BO UNIT TRANSFER],LS[Investor ID],INVESTORS_LIST[[#This Row],[INVESTOR CODE]],LS[B/S],"B")</f>
        <v>2652</v>
      </c>
      <c r="W347" s="33">
        <f>SUMIFS(LS[BO UNIT TRANSFER],LS[Investor ID],INVESTORS_LIST[[#This Row],[INVESTOR CODE]],LS[B/S],"S")</f>
        <v>0</v>
      </c>
      <c r="X347" s="33">
        <f>SUMIFS(SIP[BO UNIT TRANSFER],SIP[Investor ID],INVESTORS_LIST[[#This Row],[INVESTOR CODE]],SIP[B/S],"S")</f>
        <v>0</v>
      </c>
      <c r="Y347" s="33">
        <f>SUMIFS(SIP[BO UNIT TRANSFER],SIP[Investor ID],INVESTORS_LIST[[#This Row],[INVESTOR CODE]],SIP[B/S],"B")</f>
        <v>0</v>
      </c>
      <c r="Z34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102652</v>
      </c>
      <c r="AA347" s="119">
        <f>INVESTORS_LIST[[#This Row],[TOTAL UNITS BUY]]-INVESTORS_LIST[[#This Row],[TOTAL UNITS SOLD]]</f>
        <v>102652</v>
      </c>
      <c r="AB347" s="119">
        <f>INVESTORS_LIST[[#This Row],[TOTAL CURRENT UNITS]]-INVESTORS_LIST[[#This Row],[BO UNITS HOLD]]</f>
        <v>0</v>
      </c>
      <c r="AC347" s="119" t="e">
        <f>INDEX([4]!Table_1[BO ID],MATCH(INVESTORS_LIST[[#This Row],[INVESTOR CODE]],[4]!Table_1[INVESTOR CODE],0))</f>
        <v>#REF!</v>
      </c>
      <c r="AD347" s="33">
        <f>INVESTORS_LIST[[#This Row],[LS_TOTAL COST VALUE OF CURRENT UNITS]]+INVESTORS_LIST[[#This Row],[SIP_TOTAL COST VALUE OF CURRENT UNITS]]</f>
        <v>1035000</v>
      </c>
      <c r="AE347" s="44">
        <f>IF(INVESTORS_LIST[[#This Row],[TOTAL CURRENT UNITS]]=0,0,INVESTORS_LIST[[#This Row],[LS_TOTAL CURRENT UNITS]]/INVESTORS_LIST[[#This Row],[TOTAL CURRENT UNITS]])</f>
        <v>1</v>
      </c>
      <c r="AF347" s="44">
        <f>IF(INVESTORS_LIST[[#This Row],[TOTAL CURRENT UNITS]]=0,0,INVESTORS_LIST[[#This Row],[SIP_TOTAL CURRENT UNITS]]/INVESTORS_LIST[[#This Row],[TOTAL CURRENT UNITS]])</f>
        <v>0</v>
      </c>
      <c r="AG347" s="4" cm="1">
        <f t="array" ref="AG347">IF(INVESTORS_LIST[[#This Row],[LS_TOTAL UNITS BUY]]&gt;0,INDEX(LS[NAV at Cost (Average)],MATCH(CONCATENATE(COUNTIFS(LS[Investor ID],INVESTORS_LIST[[#This Row],[INVESTOR CODE]]),INVESTORS_LIST[[#This Row],[INVESTOR CODE]]),LS[Unique Code],0),),0)</f>
        <v>10.082609203912247</v>
      </c>
      <c r="AH347" s="4" cm="1">
        <f t="array" ref="AH3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47" s="178">
        <f>IF(INVESTORS_LIST[[#This Row],[TOTAL CURRENT UNITS]]=0,0,(INVESTORS_LIST[[#This Row],[LS_WEIGHT]]*INVESTORS_LIST[[#This Row],[LS_AVERAGE COST]])+(INVESTORS_LIST[[#This Row],[SIP_WEIGHT]]*INVESTORS_LIST[[#This Row],[SIP_AVERAGE COST]]))</f>
        <v>10.082609203912247</v>
      </c>
      <c r="AJ347" s="178">
        <f t="shared" si="5"/>
        <v>12.552</v>
      </c>
      <c r="AK347" s="118">
        <f>IF(INVESTORS_LIST[[#This Row],[TOTAL CURRENT UNITS]]=0,0,INVESTORS_LIST[[#This Row],[TOTAL CURRENT UNITS]]*INVESTORS_LIST[[#This Row],[NAV]])</f>
        <v>1288487.9039999999</v>
      </c>
      <c r="AL347" s="4">
        <f>IF(INVESTORS_LIST[[#This Row],[LS_TOTAL CURRENT UNITS]]=0,0,INVESTORS_LIST[[#This Row],[LS_TOTAL CURRENT UNITS]]*INVESTORS_LIST[[#This Row],[NAV]])</f>
        <v>1288487.9039999999</v>
      </c>
      <c r="AM347" s="6">
        <f>IF(INVESTORS_LIST[[#This Row],[SIP_TOTAL CURRENT UNITS]]=0,0,INVESTORS_LIST[[#This Row],[SIP_TOTAL CURRENT UNITS]]*INVESTORS_LIST[[#This Row],[NAV]])</f>
        <v>0</v>
      </c>
      <c r="AO347" s="6">
        <f>IF(INVESTORS_LIST[[#This Row],[TOTAL SELLABLE UNITS]]=0,0,INVESTORS_LIST[[#This Row],[TOTAL SELLABLE UNITS]]*INVESTORS_LIST[[#This Row],[NAV]])</f>
        <v>0</v>
      </c>
      <c r="AP347" s="6">
        <f>INVESTORS_LIST[[#This Row],[LS_TOTAL REALIZED GAIN]]+INVESTORS_LIST[[#This Row],[SIP_TOTAL REALIZED GAIN]]</f>
        <v>0</v>
      </c>
      <c r="AQ347" s="6">
        <f>INVESTORS_LIST[[#This Row],[TOTAL MARKET VALUE]]-INVESTORS_LIST[[#This Row],[TOTAL COST VALUE OF CURRENT INVESTMENT]]</f>
        <v>253487.90399999986</v>
      </c>
      <c r="AR347" s="6">
        <f>SUMIFS(DivAndTax[Tax Amount],DivAndTax[Investor ID],INVESTORS_LIST[[#This Row],[INVESTOR CODE]])</f>
        <v>11000</v>
      </c>
      <c r="AS347" s="6">
        <f>SUMIFS(DivAndTax[Gross Dividend],DivAndTax[Investor ID],INVESTORS_LIST[[#This Row],[INVESTOR CODE]])</f>
        <v>110000</v>
      </c>
      <c r="AT347" s="5">
        <f>IFERROR(INVESTORS_LIST[[#This Row],[TOTAL CURRENT UNITS]]/SUM(INVESTORS_LIST[TOTAL CURRENT UNITS]),0)</f>
        <v>4.9216332082037068E-3</v>
      </c>
    </row>
    <row r="348" spans="1:46">
      <c r="A348" t="s">
        <v>642</v>
      </c>
      <c r="B348" t="s">
        <v>643</v>
      </c>
      <c r="C348" t="s">
        <v>536</v>
      </c>
      <c r="D348" s="8" t="s">
        <v>2</v>
      </c>
      <c r="E348" s="2">
        <f>SUMIFS(LS[Unit],LS[Investor ID],INVESTORS_LIST[[#This Row],[INVESTOR CODE]],LS[B/S],"B")</f>
        <v>102652</v>
      </c>
      <c r="F348" s="2">
        <f>-SUMIFS(LS[Unit],LS[Investor ID],INVESTORS_LIST[[#This Row],[INVESTOR CODE]],LS[B/S],"S")</f>
        <v>0</v>
      </c>
      <c r="G348" s="2">
        <f>IF(INVESTORS_LIST[[#This Row],[LS_TOTAL UNITS BUY]]=0,0,INVESTORS_LIST[[#This Row],[LS_TOTAL UNITS BUY]]-INVESTORS_LIST[[#This Row],[LS_TOTAL UNITS SOLD]])</f>
        <v>102652</v>
      </c>
      <c r="H348" s="4">
        <f>IF(INVESTORS_LIST[[#This Row],[LS_TOTAL UNITS BUY]]=0,0,SUMIFS(LS[Amount],LS[Investor ID],INVESTORS_LIST[[#This Row],[INVESTOR CODE]],LS[B/S],"B"))</f>
        <v>1035000</v>
      </c>
      <c r="I348" s="6">
        <f>IF(INVESTORS_LIST[[#This Row],[LS_TOTAL UNITS SOLD]]=0,0,SUMIFS(LS[Cost of Units Sold],LS[Investor ID],INVESTORS_LIST[[#This Row],[INVESTOR CODE]],LS[B/S],"S"))</f>
        <v>0</v>
      </c>
      <c r="J348" s="6">
        <f>IF(INVESTORS_LIST[[#This Row],[LS_TOTAL CURRENT UNITS]]=0,0,INVESTORS_LIST[[#This Row],[LS_TOTAL CURRENT UNITS]]*INVESTORS_LIST[[#This Row],[LS_AVERAGE COST]])</f>
        <v>1035000</v>
      </c>
      <c r="K348" s="4">
        <f>IF(INVESTORS_LIST[[#This Row],[LS_TOTAL UNITS SOLD]]=0,0,SUMIFS(LS[Realized Gain],LS[Investor ID],INVESTORS_LIST[[#This Row],[INVESTOR CODE]],LS[B/S],"S"))</f>
        <v>0</v>
      </c>
      <c r="L348" s="2">
        <f>SUMIFS(SIP[Unit],SIP[Investor ID],INVESTORS_LIST[[#This Row],[INVESTOR CODE]],SIP[B/S],"B")</f>
        <v>0</v>
      </c>
      <c r="M348" s="2">
        <f>-SUMIFS(SIP[Unit],SIP[Investor ID],INVESTORS_LIST[[#This Row],[INVESTOR CODE]],SIP[B/S],"S")</f>
        <v>0</v>
      </c>
      <c r="N348" s="33">
        <f>IF(INVESTORS_LIST[[#This Row],[SIP_TOTAL UNITS BUY]]=0,0,INVESTORS_LIST[[#This Row],[SIP_TOTAL UNITS BUY]]-INVESTORS_LIST[[#This Row],[SIP_TOTAL UNITS SOLD]])</f>
        <v>0</v>
      </c>
      <c r="O348" s="4">
        <f>IF(INVESTORS_LIST[[#This Row],[SIP_TOTAL UNITS BUY]]=0,0,SUMIFS(SIP[Amount],SIP[Investor ID],INVESTORS_LIST[[#This Row],[INVESTOR CODE]],SIP[B/S],"B"))</f>
        <v>0</v>
      </c>
      <c r="P348" s="4">
        <f>IF(INVESTORS_LIST[[#This Row],[SIP_TOTAL UNITS SOLD]]=0,0,SUMIFS(SIP[Cost of Units Sold],SIP[Investor ID],INVESTORS_LIST[[#This Row],[INVESTOR CODE]],SIP[B/S],"S"))</f>
        <v>0</v>
      </c>
      <c r="Q348" s="6">
        <f>IF(INVESTORS_LIST[[#This Row],[SIP_TOTAL CURRENT UNITS]]=0,0,INVESTORS_LIST[[#This Row],[SIP_TOTAL CURRENT UNITS]]*INVESTORS_LIST[[#This Row],[SIP_AVERAGE COST]])</f>
        <v>0</v>
      </c>
      <c r="R348" s="6">
        <f>IF(INVESTORS_LIST[[#This Row],[SIP_TOTAL UNITS SOLD]]=0,0,SUMIFS(SIP[Realized Gain],SIP[Investor ID],INVESTORS_LIST[[#This Row],[INVESTOR CODE]],SIP[B/S],"S"))</f>
        <v>0</v>
      </c>
      <c r="S348" s="33">
        <f>INVESTORS_LIST[[#This Row],[LS_TOTAL UNITS BUY]]+INVESTORS_LIST[[#This Row],[SIP_TOTAL UNITS BUY]]</f>
        <v>102652</v>
      </c>
      <c r="T348" s="33">
        <f>INVESTORS_LIST[[#This Row],[LS_TOTAL UNITS SOLD]]+INVESTORS_LIST[[#This Row],[SIP_TOTAL UNITS SOLD]]</f>
        <v>0</v>
      </c>
      <c r="U348" s="33">
        <v>100000</v>
      </c>
      <c r="V348" s="33">
        <f>SUMIFS(LS[BO UNIT TRANSFER],LS[Investor ID],INVESTORS_LIST[[#This Row],[INVESTOR CODE]],LS[B/S],"B")</f>
        <v>0</v>
      </c>
      <c r="W348" s="33">
        <f>SUMIFS(LS[BO UNIT TRANSFER],LS[Investor ID],INVESTORS_LIST[[#This Row],[INVESTOR CODE]],LS[B/S],"S")</f>
        <v>0</v>
      </c>
      <c r="X348" s="33">
        <f>SUMIFS(SIP[BO UNIT TRANSFER],SIP[Investor ID],INVESTORS_LIST[[#This Row],[INVESTOR CODE]],SIP[B/S],"S")</f>
        <v>0</v>
      </c>
      <c r="Y348" s="33">
        <f>SUMIFS(SIP[BO UNIT TRANSFER],SIP[Investor ID],INVESTORS_LIST[[#This Row],[INVESTOR CODE]],SIP[B/S],"B")</f>
        <v>0</v>
      </c>
      <c r="Z34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100000</v>
      </c>
      <c r="AA348" s="119">
        <f>INVESTORS_LIST[[#This Row],[TOTAL UNITS BUY]]-INVESTORS_LIST[[#This Row],[TOTAL UNITS SOLD]]</f>
        <v>102652</v>
      </c>
      <c r="AB348" s="119">
        <f>INVESTORS_LIST[[#This Row],[TOTAL CURRENT UNITS]]-INVESTORS_LIST[[#This Row],[BO UNITS HOLD]]</f>
        <v>2652</v>
      </c>
      <c r="AC348" s="119" t="e">
        <f>INDEX([4]!Table_1[BO ID],MATCH(INVESTORS_LIST[[#This Row],[INVESTOR CODE]],[4]!Table_1[INVESTOR CODE],0))</f>
        <v>#REF!</v>
      </c>
      <c r="AD348" s="33">
        <f>INVESTORS_LIST[[#This Row],[LS_TOTAL COST VALUE OF CURRENT UNITS]]+INVESTORS_LIST[[#This Row],[SIP_TOTAL COST VALUE OF CURRENT UNITS]]</f>
        <v>1035000</v>
      </c>
      <c r="AE348" s="44">
        <f>IF(INVESTORS_LIST[[#This Row],[TOTAL CURRENT UNITS]]=0,0,INVESTORS_LIST[[#This Row],[LS_TOTAL CURRENT UNITS]]/INVESTORS_LIST[[#This Row],[TOTAL CURRENT UNITS]])</f>
        <v>1</v>
      </c>
      <c r="AF348" s="44">
        <f>IF(INVESTORS_LIST[[#This Row],[TOTAL CURRENT UNITS]]=0,0,INVESTORS_LIST[[#This Row],[SIP_TOTAL CURRENT UNITS]]/INVESTORS_LIST[[#This Row],[TOTAL CURRENT UNITS]])</f>
        <v>0</v>
      </c>
      <c r="AG348" s="4" cm="1">
        <f t="array" ref="AG348">IF(INVESTORS_LIST[[#This Row],[LS_TOTAL UNITS BUY]]&gt;0,INDEX(LS[NAV at Cost (Average)],MATCH(CONCATENATE(COUNTIFS(LS[Investor ID],INVESTORS_LIST[[#This Row],[INVESTOR CODE]]),INVESTORS_LIST[[#This Row],[INVESTOR CODE]]),LS[Unique Code],0),),0)</f>
        <v>10.082609203912247</v>
      </c>
      <c r="AH348" s="4" cm="1">
        <f t="array" ref="AH3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48" s="178">
        <f>IF(INVESTORS_LIST[[#This Row],[TOTAL CURRENT UNITS]]=0,0,(INVESTORS_LIST[[#This Row],[LS_WEIGHT]]*INVESTORS_LIST[[#This Row],[LS_AVERAGE COST]])+(INVESTORS_LIST[[#This Row],[SIP_WEIGHT]]*INVESTORS_LIST[[#This Row],[SIP_AVERAGE COST]]))</f>
        <v>10.082609203912247</v>
      </c>
      <c r="AJ348" s="178">
        <f t="shared" si="5"/>
        <v>12.552</v>
      </c>
      <c r="AK348" s="118">
        <f>IF(INVESTORS_LIST[[#This Row],[TOTAL CURRENT UNITS]]=0,0,INVESTORS_LIST[[#This Row],[TOTAL CURRENT UNITS]]*INVESTORS_LIST[[#This Row],[NAV]])</f>
        <v>1288487.9039999999</v>
      </c>
      <c r="AL348" s="4">
        <f>IF(INVESTORS_LIST[[#This Row],[LS_TOTAL CURRENT UNITS]]=0,0,INVESTORS_LIST[[#This Row],[LS_TOTAL CURRENT UNITS]]*INVESTORS_LIST[[#This Row],[NAV]])</f>
        <v>1288487.9039999999</v>
      </c>
      <c r="AM348" s="6">
        <f>IF(INVESTORS_LIST[[#This Row],[SIP_TOTAL CURRENT UNITS]]=0,0,INVESTORS_LIST[[#This Row],[SIP_TOTAL CURRENT UNITS]]*INVESTORS_LIST[[#This Row],[NAV]])</f>
        <v>0</v>
      </c>
      <c r="AO348" s="6">
        <f>IF(INVESTORS_LIST[[#This Row],[TOTAL SELLABLE UNITS]]=0,0,INVESTORS_LIST[[#This Row],[TOTAL SELLABLE UNITS]]*INVESTORS_LIST[[#This Row],[NAV]])</f>
        <v>0</v>
      </c>
      <c r="AP348" s="6">
        <f>INVESTORS_LIST[[#This Row],[LS_TOTAL REALIZED GAIN]]+INVESTORS_LIST[[#This Row],[SIP_TOTAL REALIZED GAIN]]</f>
        <v>0</v>
      </c>
      <c r="AQ348" s="6">
        <f>INVESTORS_LIST[[#This Row],[TOTAL MARKET VALUE]]-INVESTORS_LIST[[#This Row],[TOTAL COST VALUE OF CURRENT INVESTMENT]]</f>
        <v>253487.90399999986</v>
      </c>
      <c r="AR348" s="6">
        <f>SUMIFS(DivAndTax[Tax Amount],DivAndTax[Investor ID],INVESTORS_LIST[[#This Row],[INVESTOR CODE]])</f>
        <v>11000</v>
      </c>
      <c r="AS348" s="6">
        <f>SUMIFS(DivAndTax[Gross Dividend],DivAndTax[Investor ID],INVESTORS_LIST[[#This Row],[INVESTOR CODE]])</f>
        <v>110000</v>
      </c>
      <c r="AT348" s="5">
        <f>IFERROR(INVESTORS_LIST[[#This Row],[TOTAL CURRENT UNITS]]/SUM(INVESTORS_LIST[TOTAL CURRENT UNITS]),0)</f>
        <v>4.9216332082037068E-3</v>
      </c>
    </row>
    <row r="349" spans="1:46">
      <c r="A349" t="s">
        <v>644</v>
      </c>
      <c r="B349" t="s">
        <v>645</v>
      </c>
      <c r="C349" t="s">
        <v>536</v>
      </c>
      <c r="D349" s="8" t="s">
        <v>2</v>
      </c>
      <c r="E349" s="2">
        <f>SUMIFS(LS[Unit],LS[Investor ID],INVESTORS_LIST[[#This Row],[INVESTOR CODE]],LS[B/S],"B")</f>
        <v>102652</v>
      </c>
      <c r="F349" s="2">
        <f>-SUMIFS(LS[Unit],LS[Investor ID],INVESTORS_LIST[[#This Row],[INVESTOR CODE]],LS[B/S],"S")</f>
        <v>0</v>
      </c>
      <c r="G349" s="2">
        <f>IF(INVESTORS_LIST[[#This Row],[LS_TOTAL UNITS BUY]]=0,0,INVESTORS_LIST[[#This Row],[LS_TOTAL UNITS BUY]]-INVESTORS_LIST[[#This Row],[LS_TOTAL UNITS SOLD]])</f>
        <v>102652</v>
      </c>
      <c r="H349" s="4">
        <f>IF(INVESTORS_LIST[[#This Row],[LS_TOTAL UNITS BUY]]=0,0,SUMIFS(LS[Amount],LS[Investor ID],INVESTORS_LIST[[#This Row],[INVESTOR CODE]],LS[B/S],"B"))</f>
        <v>1035000</v>
      </c>
      <c r="I349" s="6">
        <f>IF(INVESTORS_LIST[[#This Row],[LS_TOTAL UNITS SOLD]]=0,0,SUMIFS(LS[Cost of Units Sold],LS[Investor ID],INVESTORS_LIST[[#This Row],[INVESTOR CODE]],LS[B/S],"S"))</f>
        <v>0</v>
      </c>
      <c r="J349" s="6">
        <f>IF(INVESTORS_LIST[[#This Row],[LS_TOTAL CURRENT UNITS]]=0,0,INVESTORS_LIST[[#This Row],[LS_TOTAL CURRENT UNITS]]*INVESTORS_LIST[[#This Row],[LS_AVERAGE COST]])</f>
        <v>1035000</v>
      </c>
      <c r="K349" s="4">
        <f>IF(INVESTORS_LIST[[#This Row],[LS_TOTAL UNITS SOLD]]=0,0,SUMIFS(LS[Realized Gain],LS[Investor ID],INVESTORS_LIST[[#This Row],[INVESTOR CODE]],LS[B/S],"S"))</f>
        <v>0</v>
      </c>
      <c r="L349" s="2">
        <f>SUMIFS(SIP[Unit],SIP[Investor ID],INVESTORS_LIST[[#This Row],[INVESTOR CODE]],SIP[B/S],"B")</f>
        <v>0</v>
      </c>
      <c r="M349" s="2">
        <f>-SUMIFS(SIP[Unit],SIP[Investor ID],INVESTORS_LIST[[#This Row],[INVESTOR CODE]],SIP[B/S],"S")</f>
        <v>0</v>
      </c>
      <c r="N349" s="33">
        <f>IF(INVESTORS_LIST[[#This Row],[SIP_TOTAL UNITS BUY]]=0,0,INVESTORS_LIST[[#This Row],[SIP_TOTAL UNITS BUY]]-INVESTORS_LIST[[#This Row],[SIP_TOTAL UNITS SOLD]])</f>
        <v>0</v>
      </c>
      <c r="O349" s="4">
        <f>IF(INVESTORS_LIST[[#This Row],[SIP_TOTAL UNITS BUY]]=0,0,SUMIFS(SIP[Amount],SIP[Investor ID],INVESTORS_LIST[[#This Row],[INVESTOR CODE]],SIP[B/S],"B"))</f>
        <v>0</v>
      </c>
      <c r="P349" s="4">
        <f>IF(INVESTORS_LIST[[#This Row],[SIP_TOTAL UNITS SOLD]]=0,0,SUMIFS(SIP[Cost of Units Sold],SIP[Investor ID],INVESTORS_LIST[[#This Row],[INVESTOR CODE]],SIP[B/S],"S"))</f>
        <v>0</v>
      </c>
      <c r="Q349" s="6">
        <f>IF(INVESTORS_LIST[[#This Row],[SIP_TOTAL CURRENT UNITS]]=0,0,INVESTORS_LIST[[#This Row],[SIP_TOTAL CURRENT UNITS]]*INVESTORS_LIST[[#This Row],[SIP_AVERAGE COST]])</f>
        <v>0</v>
      </c>
      <c r="R349" s="6">
        <f>IF(INVESTORS_LIST[[#This Row],[SIP_TOTAL UNITS SOLD]]=0,0,SUMIFS(SIP[Realized Gain],SIP[Investor ID],INVESTORS_LIST[[#This Row],[INVESTOR CODE]],SIP[B/S],"S"))</f>
        <v>0</v>
      </c>
      <c r="S349" s="33">
        <f>INVESTORS_LIST[[#This Row],[LS_TOTAL UNITS BUY]]+INVESTORS_LIST[[#This Row],[SIP_TOTAL UNITS BUY]]</f>
        <v>102652</v>
      </c>
      <c r="T349" s="33">
        <f>INVESTORS_LIST[[#This Row],[LS_TOTAL UNITS SOLD]]+INVESTORS_LIST[[#This Row],[SIP_TOTAL UNITS SOLD]]</f>
        <v>0</v>
      </c>
      <c r="U349" s="33">
        <v>0</v>
      </c>
      <c r="V349" s="33">
        <f>SUMIFS(LS[BO UNIT TRANSFER],LS[Investor ID],INVESTORS_LIST[[#This Row],[INVESTOR CODE]],LS[B/S],"B")</f>
        <v>0</v>
      </c>
      <c r="W349" s="33">
        <f>SUMIFS(LS[BO UNIT TRANSFER],LS[Investor ID],INVESTORS_LIST[[#This Row],[INVESTOR CODE]],LS[B/S],"S")</f>
        <v>0</v>
      </c>
      <c r="X349" s="33">
        <f>SUMIFS(SIP[BO UNIT TRANSFER],SIP[Investor ID],INVESTORS_LIST[[#This Row],[INVESTOR CODE]],SIP[B/S],"S")</f>
        <v>0</v>
      </c>
      <c r="Y349" s="33">
        <f>SUMIFS(SIP[BO UNIT TRANSFER],SIP[Investor ID],INVESTORS_LIST[[#This Row],[INVESTOR CODE]],SIP[B/S],"B")</f>
        <v>0</v>
      </c>
      <c r="Z34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49" s="119">
        <f>INVESTORS_LIST[[#This Row],[TOTAL UNITS BUY]]-INVESTORS_LIST[[#This Row],[TOTAL UNITS SOLD]]</f>
        <v>102652</v>
      </c>
      <c r="AB349" s="119">
        <f>INVESTORS_LIST[[#This Row],[TOTAL CURRENT UNITS]]-INVESTORS_LIST[[#This Row],[BO UNITS HOLD]]</f>
        <v>102652</v>
      </c>
      <c r="AC349" s="119" t="e">
        <f>INDEX([4]!Table_1[BO ID],MATCH(INVESTORS_LIST[[#This Row],[INVESTOR CODE]],[4]!Table_1[INVESTOR CODE],0))</f>
        <v>#REF!</v>
      </c>
      <c r="AD349" s="33">
        <f>INVESTORS_LIST[[#This Row],[LS_TOTAL COST VALUE OF CURRENT UNITS]]+INVESTORS_LIST[[#This Row],[SIP_TOTAL COST VALUE OF CURRENT UNITS]]</f>
        <v>1035000</v>
      </c>
      <c r="AE349" s="44">
        <f>IF(INVESTORS_LIST[[#This Row],[TOTAL CURRENT UNITS]]=0,0,INVESTORS_LIST[[#This Row],[LS_TOTAL CURRENT UNITS]]/INVESTORS_LIST[[#This Row],[TOTAL CURRENT UNITS]])</f>
        <v>1</v>
      </c>
      <c r="AF349" s="44">
        <f>IF(INVESTORS_LIST[[#This Row],[TOTAL CURRENT UNITS]]=0,0,INVESTORS_LIST[[#This Row],[SIP_TOTAL CURRENT UNITS]]/INVESTORS_LIST[[#This Row],[TOTAL CURRENT UNITS]])</f>
        <v>0</v>
      </c>
      <c r="AG349" s="4" cm="1">
        <f t="array" ref="AG349">IF(INVESTORS_LIST[[#This Row],[LS_TOTAL UNITS BUY]]&gt;0,INDEX(LS[NAV at Cost (Average)],MATCH(CONCATENATE(COUNTIFS(LS[Investor ID],INVESTORS_LIST[[#This Row],[INVESTOR CODE]]),INVESTORS_LIST[[#This Row],[INVESTOR CODE]]),LS[Unique Code],0),),0)</f>
        <v>10.082609203912247</v>
      </c>
      <c r="AH349" s="4" cm="1">
        <f t="array" ref="AH3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49" s="178">
        <f>IF(INVESTORS_LIST[[#This Row],[TOTAL CURRENT UNITS]]=0,0,(INVESTORS_LIST[[#This Row],[LS_WEIGHT]]*INVESTORS_LIST[[#This Row],[LS_AVERAGE COST]])+(INVESTORS_LIST[[#This Row],[SIP_WEIGHT]]*INVESTORS_LIST[[#This Row],[SIP_AVERAGE COST]]))</f>
        <v>10.082609203912247</v>
      </c>
      <c r="AJ349" s="178">
        <f t="shared" si="5"/>
        <v>12.552</v>
      </c>
      <c r="AK349" s="118">
        <f>IF(INVESTORS_LIST[[#This Row],[TOTAL CURRENT UNITS]]=0,0,INVESTORS_LIST[[#This Row],[TOTAL CURRENT UNITS]]*INVESTORS_LIST[[#This Row],[NAV]])</f>
        <v>1288487.9039999999</v>
      </c>
      <c r="AL349" s="4">
        <f>IF(INVESTORS_LIST[[#This Row],[LS_TOTAL CURRENT UNITS]]=0,0,INVESTORS_LIST[[#This Row],[LS_TOTAL CURRENT UNITS]]*INVESTORS_LIST[[#This Row],[NAV]])</f>
        <v>1288487.9039999999</v>
      </c>
      <c r="AM349" s="6">
        <f>IF(INVESTORS_LIST[[#This Row],[SIP_TOTAL CURRENT UNITS]]=0,0,INVESTORS_LIST[[#This Row],[SIP_TOTAL CURRENT UNITS]]*INVESTORS_LIST[[#This Row],[NAV]])</f>
        <v>0</v>
      </c>
      <c r="AO349" s="6">
        <f>IF(INVESTORS_LIST[[#This Row],[TOTAL SELLABLE UNITS]]=0,0,INVESTORS_LIST[[#This Row],[TOTAL SELLABLE UNITS]]*INVESTORS_LIST[[#This Row],[NAV]])</f>
        <v>0</v>
      </c>
      <c r="AP349" s="6">
        <f>INVESTORS_LIST[[#This Row],[LS_TOTAL REALIZED GAIN]]+INVESTORS_LIST[[#This Row],[SIP_TOTAL REALIZED GAIN]]</f>
        <v>0</v>
      </c>
      <c r="AQ349" s="6">
        <f>INVESTORS_LIST[[#This Row],[TOTAL MARKET VALUE]]-INVESTORS_LIST[[#This Row],[TOTAL COST VALUE OF CURRENT INVESTMENT]]</f>
        <v>253487.90399999986</v>
      </c>
      <c r="AR349" s="6">
        <f>SUMIFS(DivAndTax[Tax Amount],DivAndTax[Investor ID],INVESTORS_LIST[[#This Row],[INVESTOR CODE]])</f>
        <v>11000</v>
      </c>
      <c r="AS349" s="6">
        <f>SUMIFS(DivAndTax[Gross Dividend],DivAndTax[Investor ID],INVESTORS_LIST[[#This Row],[INVESTOR CODE]])</f>
        <v>110000</v>
      </c>
      <c r="AT349" s="5">
        <f>IFERROR(INVESTORS_LIST[[#This Row],[TOTAL CURRENT UNITS]]/SUM(INVESTORS_LIST[TOTAL CURRENT UNITS]),0)</f>
        <v>4.9216332082037068E-3</v>
      </c>
    </row>
    <row r="350" spans="1:46">
      <c r="A350" t="s">
        <v>646</v>
      </c>
      <c r="B350" t="s">
        <v>647</v>
      </c>
      <c r="C350" t="s">
        <v>536</v>
      </c>
      <c r="D350" s="8" t="s">
        <v>2</v>
      </c>
      <c r="E350" s="2">
        <f>SUMIFS(LS[Unit],LS[Investor ID],INVESTORS_LIST[[#This Row],[INVESTOR CODE]],LS[B/S],"B")</f>
        <v>109481</v>
      </c>
      <c r="F350" s="2">
        <f>-SUMIFS(LS[Unit],LS[Investor ID],INVESTORS_LIST[[#This Row],[INVESTOR CODE]],LS[B/S],"S")</f>
        <v>0</v>
      </c>
      <c r="G350" s="2">
        <f>IF(INVESTORS_LIST[[#This Row],[LS_TOTAL UNITS BUY]]=0,0,INVESTORS_LIST[[#This Row],[LS_TOTAL UNITS BUY]]-INVESTORS_LIST[[#This Row],[LS_TOTAL UNITS SOLD]])</f>
        <v>109481</v>
      </c>
      <c r="H350" s="4">
        <f>IF(INVESTORS_LIST[[#This Row],[LS_TOTAL UNITS BUY]]=0,0,SUMIFS(LS[Amount],LS[Investor ID],INVESTORS_LIST[[#This Row],[INVESTOR CODE]],LS[B/S],"B"))</f>
        <v>1105856</v>
      </c>
      <c r="I350" s="6">
        <f>IF(INVESTORS_LIST[[#This Row],[LS_TOTAL UNITS SOLD]]=0,0,SUMIFS(LS[Cost of Units Sold],LS[Investor ID],INVESTORS_LIST[[#This Row],[INVESTOR CODE]],LS[B/S],"S"))</f>
        <v>0</v>
      </c>
      <c r="J350" s="6">
        <f>IF(INVESTORS_LIST[[#This Row],[LS_TOTAL CURRENT UNITS]]=0,0,INVESTORS_LIST[[#This Row],[LS_TOTAL CURRENT UNITS]]*INVESTORS_LIST[[#This Row],[LS_AVERAGE COST]])</f>
        <v>1105856</v>
      </c>
      <c r="K350" s="4">
        <f>IF(INVESTORS_LIST[[#This Row],[LS_TOTAL UNITS SOLD]]=0,0,SUMIFS(LS[Realized Gain],LS[Investor ID],INVESTORS_LIST[[#This Row],[INVESTOR CODE]],LS[B/S],"S"))</f>
        <v>0</v>
      </c>
      <c r="L350" s="2">
        <f>SUMIFS(SIP[Unit],SIP[Investor ID],INVESTORS_LIST[[#This Row],[INVESTOR CODE]],SIP[B/S],"B")</f>
        <v>0</v>
      </c>
      <c r="M350" s="2">
        <f>-SUMIFS(SIP[Unit],SIP[Investor ID],INVESTORS_LIST[[#This Row],[INVESTOR CODE]],SIP[B/S],"S")</f>
        <v>0</v>
      </c>
      <c r="N350" s="33">
        <f>IF(INVESTORS_LIST[[#This Row],[SIP_TOTAL UNITS BUY]]=0,0,INVESTORS_LIST[[#This Row],[SIP_TOTAL UNITS BUY]]-INVESTORS_LIST[[#This Row],[SIP_TOTAL UNITS SOLD]])</f>
        <v>0</v>
      </c>
      <c r="O350" s="4">
        <f>IF(INVESTORS_LIST[[#This Row],[SIP_TOTAL UNITS BUY]]=0,0,SUMIFS(SIP[Amount],SIP[Investor ID],INVESTORS_LIST[[#This Row],[INVESTOR CODE]],SIP[B/S],"B"))</f>
        <v>0</v>
      </c>
      <c r="P350" s="4">
        <f>IF(INVESTORS_LIST[[#This Row],[SIP_TOTAL UNITS SOLD]]=0,0,SUMIFS(SIP[Cost of Units Sold],SIP[Investor ID],INVESTORS_LIST[[#This Row],[INVESTOR CODE]],SIP[B/S],"S"))</f>
        <v>0</v>
      </c>
      <c r="Q350" s="6">
        <f>IF(INVESTORS_LIST[[#This Row],[SIP_TOTAL CURRENT UNITS]]=0,0,INVESTORS_LIST[[#This Row],[SIP_TOTAL CURRENT UNITS]]*INVESTORS_LIST[[#This Row],[SIP_AVERAGE COST]])</f>
        <v>0</v>
      </c>
      <c r="R350" s="6">
        <f>IF(INVESTORS_LIST[[#This Row],[SIP_TOTAL UNITS SOLD]]=0,0,SUMIFS(SIP[Realized Gain],SIP[Investor ID],INVESTORS_LIST[[#This Row],[INVESTOR CODE]],SIP[B/S],"S"))</f>
        <v>0</v>
      </c>
      <c r="S350" s="33">
        <f>INVESTORS_LIST[[#This Row],[LS_TOTAL UNITS BUY]]+INVESTORS_LIST[[#This Row],[SIP_TOTAL UNITS BUY]]</f>
        <v>109481</v>
      </c>
      <c r="T350" s="33">
        <f>INVESTORS_LIST[[#This Row],[LS_TOTAL UNITS SOLD]]+INVESTORS_LIST[[#This Row],[SIP_TOTAL UNITS SOLD]]</f>
        <v>0</v>
      </c>
      <c r="U350" s="33">
        <v>100000</v>
      </c>
      <c r="V350" s="33">
        <f>SUMIFS(LS[BO UNIT TRANSFER],LS[Investor ID],INVESTORS_LIST[[#This Row],[INVESTOR CODE]],LS[B/S],"B")</f>
        <v>0</v>
      </c>
      <c r="W350" s="33">
        <f>SUMIFS(LS[BO UNIT TRANSFER],LS[Investor ID],INVESTORS_LIST[[#This Row],[INVESTOR CODE]],LS[B/S],"S")</f>
        <v>0</v>
      </c>
      <c r="X350" s="33">
        <f>SUMIFS(SIP[BO UNIT TRANSFER],SIP[Investor ID],INVESTORS_LIST[[#This Row],[INVESTOR CODE]],SIP[B/S],"S")</f>
        <v>0</v>
      </c>
      <c r="Y350" s="33">
        <f>SUMIFS(SIP[BO UNIT TRANSFER],SIP[Investor ID],INVESTORS_LIST[[#This Row],[INVESTOR CODE]],SIP[B/S],"B")</f>
        <v>0</v>
      </c>
      <c r="Z35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100000</v>
      </c>
      <c r="AA350" s="119">
        <f>INVESTORS_LIST[[#This Row],[TOTAL UNITS BUY]]-INVESTORS_LIST[[#This Row],[TOTAL UNITS SOLD]]</f>
        <v>109481</v>
      </c>
      <c r="AB350" s="119">
        <f>INVESTORS_LIST[[#This Row],[TOTAL CURRENT UNITS]]-INVESTORS_LIST[[#This Row],[BO UNITS HOLD]]</f>
        <v>9481</v>
      </c>
      <c r="AC350" s="119" t="e">
        <f>INDEX([4]!Table_1[BO ID],MATCH(INVESTORS_LIST[[#This Row],[INVESTOR CODE]],[4]!Table_1[INVESTOR CODE],0))</f>
        <v>#REF!</v>
      </c>
      <c r="AD350" s="33">
        <f>INVESTORS_LIST[[#This Row],[LS_TOTAL COST VALUE OF CURRENT UNITS]]+INVESTORS_LIST[[#This Row],[SIP_TOTAL COST VALUE OF CURRENT UNITS]]</f>
        <v>1105856</v>
      </c>
      <c r="AE350" s="44">
        <f>IF(INVESTORS_LIST[[#This Row],[TOTAL CURRENT UNITS]]=0,0,INVESTORS_LIST[[#This Row],[LS_TOTAL CURRENT UNITS]]/INVESTORS_LIST[[#This Row],[TOTAL CURRENT UNITS]])</f>
        <v>1</v>
      </c>
      <c r="AF350" s="44">
        <f>IF(INVESTORS_LIST[[#This Row],[TOTAL CURRENT UNITS]]=0,0,INVESTORS_LIST[[#This Row],[SIP_TOTAL CURRENT UNITS]]/INVESTORS_LIST[[#This Row],[TOTAL CURRENT UNITS]])</f>
        <v>0</v>
      </c>
      <c r="AG350" s="4" cm="1">
        <f t="array" ref="AG350">IF(INVESTORS_LIST[[#This Row],[LS_TOTAL UNITS BUY]]&gt;0,INDEX(LS[NAV at Cost (Average)],MATCH(CONCATENATE(COUNTIFS(LS[Investor ID],INVESTORS_LIST[[#This Row],[INVESTOR CODE]]),INVESTORS_LIST[[#This Row],[INVESTOR CODE]]),LS[Unique Code],0),),0)</f>
        <v>10.100894219088243</v>
      </c>
      <c r="AH350" s="4" cm="1">
        <f t="array" ref="AH3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50" s="178">
        <f>IF(INVESTORS_LIST[[#This Row],[TOTAL CURRENT UNITS]]=0,0,(INVESTORS_LIST[[#This Row],[LS_WEIGHT]]*INVESTORS_LIST[[#This Row],[LS_AVERAGE COST]])+(INVESTORS_LIST[[#This Row],[SIP_WEIGHT]]*INVESTORS_LIST[[#This Row],[SIP_AVERAGE COST]]))</f>
        <v>10.100894219088243</v>
      </c>
      <c r="AJ350" s="178">
        <f t="shared" si="5"/>
        <v>12.552</v>
      </c>
      <c r="AK350" s="118">
        <f>IF(INVESTORS_LIST[[#This Row],[TOTAL CURRENT UNITS]]=0,0,INVESTORS_LIST[[#This Row],[TOTAL CURRENT UNITS]]*INVESTORS_LIST[[#This Row],[NAV]])</f>
        <v>1374205.5119999999</v>
      </c>
      <c r="AL350" s="4">
        <f>IF(INVESTORS_LIST[[#This Row],[LS_TOTAL CURRENT UNITS]]=0,0,INVESTORS_LIST[[#This Row],[LS_TOTAL CURRENT UNITS]]*INVESTORS_LIST[[#This Row],[NAV]])</f>
        <v>1374205.5119999999</v>
      </c>
      <c r="AM350" s="6">
        <f>IF(INVESTORS_LIST[[#This Row],[SIP_TOTAL CURRENT UNITS]]=0,0,INVESTORS_LIST[[#This Row],[SIP_TOTAL CURRENT UNITS]]*INVESTORS_LIST[[#This Row],[NAV]])</f>
        <v>0</v>
      </c>
      <c r="AO350" s="6">
        <f>IF(INVESTORS_LIST[[#This Row],[TOTAL SELLABLE UNITS]]=0,0,INVESTORS_LIST[[#This Row],[TOTAL SELLABLE UNITS]]*INVESTORS_LIST[[#This Row],[NAV]])</f>
        <v>0</v>
      </c>
      <c r="AP350" s="6">
        <f>INVESTORS_LIST[[#This Row],[LS_TOTAL REALIZED GAIN]]+INVESTORS_LIST[[#This Row],[SIP_TOTAL REALIZED GAIN]]</f>
        <v>0</v>
      </c>
      <c r="AQ350" s="6">
        <f>INVESTORS_LIST[[#This Row],[TOTAL MARKET VALUE]]-INVESTORS_LIST[[#This Row],[TOTAL COST VALUE OF CURRENT INVESTMENT]]</f>
        <v>268349.51199999987</v>
      </c>
      <c r="AR350" s="6">
        <f>SUMIFS(DivAndTax[Tax Amount],DivAndTax[Investor ID],INVESTORS_LIST[[#This Row],[INVESTOR CODE]])</f>
        <v>11347.02</v>
      </c>
      <c r="AS350" s="6">
        <f>SUMIFS(DivAndTax[Gross Dividend],DivAndTax[Investor ID],INVESTORS_LIST[[#This Row],[INVESTOR CODE]])</f>
        <v>113470.2</v>
      </c>
      <c r="AT350" s="5">
        <f>IFERROR(INVESTORS_LIST[[#This Row],[TOTAL CURRENT UNITS]]/SUM(INVESTORS_LIST[TOTAL CURRENT UNITS]),0)</f>
        <v>5.2490484868034717E-3</v>
      </c>
    </row>
    <row r="351" spans="1:46">
      <c r="A351" t="s">
        <v>648</v>
      </c>
      <c r="B351" t="s">
        <v>649</v>
      </c>
      <c r="C351" t="s">
        <v>536</v>
      </c>
      <c r="D351" s="8" t="s">
        <v>2</v>
      </c>
      <c r="E351" s="2">
        <f>SUMIFS(LS[Unit],LS[Investor ID],INVESTORS_LIST[[#This Row],[INVESTOR CODE]],LS[B/S],"B")</f>
        <v>102652</v>
      </c>
      <c r="F351" s="2">
        <f>-SUMIFS(LS[Unit],LS[Investor ID],INVESTORS_LIST[[#This Row],[INVESTOR CODE]],LS[B/S],"S")</f>
        <v>0</v>
      </c>
      <c r="G351" s="2">
        <f>IF(INVESTORS_LIST[[#This Row],[LS_TOTAL UNITS BUY]]=0,0,INVESTORS_LIST[[#This Row],[LS_TOTAL UNITS BUY]]-INVESTORS_LIST[[#This Row],[LS_TOTAL UNITS SOLD]])</f>
        <v>102652</v>
      </c>
      <c r="H351" s="4">
        <f>IF(INVESTORS_LIST[[#This Row],[LS_TOTAL UNITS BUY]]=0,0,SUMIFS(LS[Amount],LS[Investor ID],INVESTORS_LIST[[#This Row],[INVESTOR CODE]],LS[B/S],"B"))</f>
        <v>1035000</v>
      </c>
      <c r="I351" s="6">
        <f>IF(INVESTORS_LIST[[#This Row],[LS_TOTAL UNITS SOLD]]=0,0,SUMIFS(LS[Cost of Units Sold],LS[Investor ID],INVESTORS_LIST[[#This Row],[INVESTOR CODE]],LS[B/S],"S"))</f>
        <v>0</v>
      </c>
      <c r="J351" s="6">
        <f>IF(INVESTORS_LIST[[#This Row],[LS_TOTAL CURRENT UNITS]]=0,0,INVESTORS_LIST[[#This Row],[LS_TOTAL CURRENT UNITS]]*INVESTORS_LIST[[#This Row],[LS_AVERAGE COST]])</f>
        <v>1035000</v>
      </c>
      <c r="K351" s="4">
        <f>IF(INVESTORS_LIST[[#This Row],[LS_TOTAL UNITS SOLD]]=0,0,SUMIFS(LS[Realized Gain],LS[Investor ID],INVESTORS_LIST[[#This Row],[INVESTOR CODE]],LS[B/S],"S"))</f>
        <v>0</v>
      </c>
      <c r="L351" s="2">
        <f>SUMIFS(SIP[Unit],SIP[Investor ID],INVESTORS_LIST[[#This Row],[INVESTOR CODE]],SIP[B/S],"B")</f>
        <v>0</v>
      </c>
      <c r="M351" s="2">
        <f>-SUMIFS(SIP[Unit],SIP[Investor ID],INVESTORS_LIST[[#This Row],[INVESTOR CODE]],SIP[B/S],"S")</f>
        <v>0</v>
      </c>
      <c r="N351" s="33">
        <f>IF(INVESTORS_LIST[[#This Row],[SIP_TOTAL UNITS BUY]]=0,0,INVESTORS_LIST[[#This Row],[SIP_TOTAL UNITS BUY]]-INVESTORS_LIST[[#This Row],[SIP_TOTAL UNITS SOLD]])</f>
        <v>0</v>
      </c>
      <c r="O351" s="4">
        <f>IF(INVESTORS_LIST[[#This Row],[SIP_TOTAL UNITS BUY]]=0,0,SUMIFS(SIP[Amount],SIP[Investor ID],INVESTORS_LIST[[#This Row],[INVESTOR CODE]],SIP[B/S],"B"))</f>
        <v>0</v>
      </c>
      <c r="P351" s="4">
        <f>IF(INVESTORS_LIST[[#This Row],[SIP_TOTAL UNITS SOLD]]=0,0,SUMIFS(SIP[Cost of Units Sold],SIP[Investor ID],INVESTORS_LIST[[#This Row],[INVESTOR CODE]],SIP[B/S],"S"))</f>
        <v>0</v>
      </c>
      <c r="Q351" s="6">
        <f>IF(INVESTORS_LIST[[#This Row],[SIP_TOTAL CURRENT UNITS]]=0,0,INVESTORS_LIST[[#This Row],[SIP_TOTAL CURRENT UNITS]]*INVESTORS_LIST[[#This Row],[SIP_AVERAGE COST]])</f>
        <v>0</v>
      </c>
      <c r="R351" s="6">
        <f>IF(INVESTORS_LIST[[#This Row],[SIP_TOTAL UNITS SOLD]]=0,0,SUMIFS(SIP[Realized Gain],SIP[Investor ID],INVESTORS_LIST[[#This Row],[INVESTOR CODE]],SIP[B/S],"S"))</f>
        <v>0</v>
      </c>
      <c r="S351" s="33">
        <f>INVESTORS_LIST[[#This Row],[LS_TOTAL UNITS BUY]]+INVESTORS_LIST[[#This Row],[SIP_TOTAL UNITS BUY]]</f>
        <v>102652</v>
      </c>
      <c r="T351" s="33">
        <f>INVESTORS_LIST[[#This Row],[LS_TOTAL UNITS SOLD]]+INVESTORS_LIST[[#This Row],[SIP_TOTAL UNITS SOLD]]</f>
        <v>0</v>
      </c>
      <c r="U351" s="33">
        <v>100000</v>
      </c>
      <c r="V351" s="33">
        <f>SUMIFS(LS[BO UNIT TRANSFER],LS[Investor ID],INVESTORS_LIST[[#This Row],[INVESTOR CODE]],LS[B/S],"B")</f>
        <v>0</v>
      </c>
      <c r="W351" s="33">
        <f>SUMIFS(LS[BO UNIT TRANSFER],LS[Investor ID],INVESTORS_LIST[[#This Row],[INVESTOR CODE]],LS[B/S],"S")</f>
        <v>0</v>
      </c>
      <c r="X351" s="33">
        <f>SUMIFS(SIP[BO UNIT TRANSFER],SIP[Investor ID],INVESTORS_LIST[[#This Row],[INVESTOR CODE]],SIP[B/S],"S")</f>
        <v>0</v>
      </c>
      <c r="Y351" s="33">
        <f>SUMIFS(SIP[BO UNIT TRANSFER],SIP[Investor ID],INVESTORS_LIST[[#This Row],[INVESTOR CODE]],SIP[B/S],"B")</f>
        <v>0</v>
      </c>
      <c r="Z35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100000</v>
      </c>
      <c r="AA351" s="119">
        <f>INVESTORS_LIST[[#This Row],[TOTAL UNITS BUY]]-INVESTORS_LIST[[#This Row],[TOTAL UNITS SOLD]]</f>
        <v>102652</v>
      </c>
      <c r="AB351" s="119">
        <f>INVESTORS_LIST[[#This Row],[TOTAL CURRENT UNITS]]-INVESTORS_LIST[[#This Row],[BO UNITS HOLD]]</f>
        <v>2652</v>
      </c>
      <c r="AC351" s="119" t="e">
        <f>INDEX([4]!Table_1[BO ID],MATCH(INVESTORS_LIST[[#This Row],[INVESTOR CODE]],[4]!Table_1[INVESTOR CODE],0))</f>
        <v>#REF!</v>
      </c>
      <c r="AD351" s="33">
        <f>INVESTORS_LIST[[#This Row],[LS_TOTAL COST VALUE OF CURRENT UNITS]]+INVESTORS_LIST[[#This Row],[SIP_TOTAL COST VALUE OF CURRENT UNITS]]</f>
        <v>1035000</v>
      </c>
      <c r="AE351" s="44">
        <f>IF(INVESTORS_LIST[[#This Row],[TOTAL CURRENT UNITS]]=0,0,INVESTORS_LIST[[#This Row],[LS_TOTAL CURRENT UNITS]]/INVESTORS_LIST[[#This Row],[TOTAL CURRENT UNITS]])</f>
        <v>1</v>
      </c>
      <c r="AF351" s="44">
        <f>IF(INVESTORS_LIST[[#This Row],[TOTAL CURRENT UNITS]]=0,0,INVESTORS_LIST[[#This Row],[SIP_TOTAL CURRENT UNITS]]/INVESTORS_LIST[[#This Row],[TOTAL CURRENT UNITS]])</f>
        <v>0</v>
      </c>
      <c r="AG351" s="4" cm="1">
        <f t="array" ref="AG351">IF(INVESTORS_LIST[[#This Row],[LS_TOTAL UNITS BUY]]&gt;0,INDEX(LS[NAV at Cost (Average)],MATCH(CONCATENATE(COUNTIFS(LS[Investor ID],INVESTORS_LIST[[#This Row],[INVESTOR CODE]]),INVESTORS_LIST[[#This Row],[INVESTOR CODE]]),LS[Unique Code],0),),0)</f>
        <v>10.082609203912247</v>
      </c>
      <c r="AH351" s="4" cm="1">
        <f t="array" ref="AH3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51" s="178">
        <f>IF(INVESTORS_LIST[[#This Row],[TOTAL CURRENT UNITS]]=0,0,(INVESTORS_LIST[[#This Row],[LS_WEIGHT]]*INVESTORS_LIST[[#This Row],[LS_AVERAGE COST]])+(INVESTORS_LIST[[#This Row],[SIP_WEIGHT]]*INVESTORS_LIST[[#This Row],[SIP_AVERAGE COST]]))</f>
        <v>10.082609203912247</v>
      </c>
      <c r="AJ351" s="178">
        <f t="shared" si="5"/>
        <v>12.552</v>
      </c>
      <c r="AK351" s="118">
        <f>IF(INVESTORS_LIST[[#This Row],[TOTAL CURRENT UNITS]]=0,0,INVESTORS_LIST[[#This Row],[TOTAL CURRENT UNITS]]*INVESTORS_LIST[[#This Row],[NAV]])</f>
        <v>1288487.9039999999</v>
      </c>
      <c r="AL351" s="4">
        <f>IF(INVESTORS_LIST[[#This Row],[LS_TOTAL CURRENT UNITS]]=0,0,INVESTORS_LIST[[#This Row],[LS_TOTAL CURRENT UNITS]]*INVESTORS_LIST[[#This Row],[NAV]])</f>
        <v>1288487.9039999999</v>
      </c>
      <c r="AM351" s="6">
        <f>IF(INVESTORS_LIST[[#This Row],[SIP_TOTAL CURRENT UNITS]]=0,0,INVESTORS_LIST[[#This Row],[SIP_TOTAL CURRENT UNITS]]*INVESTORS_LIST[[#This Row],[NAV]])</f>
        <v>0</v>
      </c>
      <c r="AO351" s="6">
        <f>IF(INVESTORS_LIST[[#This Row],[TOTAL SELLABLE UNITS]]=0,0,INVESTORS_LIST[[#This Row],[TOTAL SELLABLE UNITS]]*INVESTORS_LIST[[#This Row],[NAV]])</f>
        <v>0</v>
      </c>
      <c r="AP351" s="6">
        <f>INVESTORS_LIST[[#This Row],[LS_TOTAL REALIZED GAIN]]+INVESTORS_LIST[[#This Row],[SIP_TOTAL REALIZED GAIN]]</f>
        <v>0</v>
      </c>
      <c r="AQ351" s="6">
        <f>INVESTORS_LIST[[#This Row],[TOTAL MARKET VALUE]]-INVESTORS_LIST[[#This Row],[TOTAL COST VALUE OF CURRENT INVESTMENT]]</f>
        <v>253487.90399999986</v>
      </c>
      <c r="AR351" s="6">
        <f>SUMIFS(DivAndTax[Tax Amount],DivAndTax[Investor ID],INVESTORS_LIST[[#This Row],[INVESTOR CODE]])</f>
        <v>11000</v>
      </c>
      <c r="AS351" s="6">
        <f>SUMIFS(DivAndTax[Gross Dividend],DivAndTax[Investor ID],INVESTORS_LIST[[#This Row],[INVESTOR CODE]])</f>
        <v>110000</v>
      </c>
      <c r="AT351" s="5">
        <f>IFERROR(INVESTORS_LIST[[#This Row],[TOTAL CURRENT UNITS]]/SUM(INVESTORS_LIST[TOTAL CURRENT UNITS]),0)</f>
        <v>4.9216332082037068E-3</v>
      </c>
    </row>
    <row r="352" spans="1:46" hidden="1">
      <c r="A352" t="s">
        <v>650</v>
      </c>
      <c r="B352" t="s">
        <v>651</v>
      </c>
      <c r="C352" t="s">
        <v>539</v>
      </c>
      <c r="D352" s="8" t="s">
        <v>2</v>
      </c>
      <c r="E352" s="2">
        <f>SUMIFS(LS[Unit],LS[Investor ID],INVESTORS_LIST[[#This Row],[INVESTOR CODE]],LS[B/S],"B")</f>
        <v>10000</v>
      </c>
      <c r="F352" s="2">
        <f>-SUMIFS(LS[Unit],LS[Investor ID],INVESTORS_LIST[[#This Row],[INVESTOR CODE]],LS[B/S],"S")</f>
        <v>10000</v>
      </c>
      <c r="G352" s="2">
        <f>IF(INVESTORS_LIST[[#This Row],[LS_TOTAL UNITS BUY]]=0,0,INVESTORS_LIST[[#This Row],[LS_TOTAL UNITS BUY]]-INVESTORS_LIST[[#This Row],[LS_TOTAL UNITS SOLD]])</f>
        <v>0</v>
      </c>
      <c r="H352" s="4">
        <f>IF(INVESTORS_LIST[[#This Row],[LS_TOTAL UNITS BUY]]=0,0,SUMIFS(LS[Amount],LS[Investor ID],INVESTORS_LIST[[#This Row],[INVESTOR CODE]],LS[B/S],"B"))</f>
        <v>100000</v>
      </c>
      <c r="I352" s="6">
        <f>IF(INVESTORS_LIST[[#This Row],[LS_TOTAL UNITS SOLD]]=0,0,SUMIFS(LS[Cost of Units Sold],LS[Investor ID],INVESTORS_LIST[[#This Row],[INVESTOR CODE]],LS[B/S],"S"))</f>
        <v>100000</v>
      </c>
      <c r="J352" s="6">
        <f>IF(INVESTORS_LIST[[#This Row],[LS_TOTAL CURRENT UNITS]]=0,0,INVESTORS_LIST[[#This Row],[LS_TOTAL CURRENT UNITS]]*INVESTORS_LIST[[#This Row],[LS_AVERAGE COST]])</f>
        <v>0</v>
      </c>
      <c r="K352" s="4">
        <f>IF(INVESTORS_LIST[[#This Row],[LS_TOTAL UNITS SOLD]]=0,0,SUMIFS(LS[Realized Gain],LS[Investor ID],INVESTORS_LIST[[#This Row],[INVESTOR CODE]],LS[B/S],"S"))</f>
        <v>3100.000000000005</v>
      </c>
      <c r="L352" s="2">
        <f>SUMIFS(SIP[Unit],SIP[Investor ID],INVESTORS_LIST[[#This Row],[INVESTOR CODE]],SIP[B/S],"B")</f>
        <v>0</v>
      </c>
      <c r="M352" s="2">
        <f>-SUMIFS(SIP[Unit],SIP[Investor ID],INVESTORS_LIST[[#This Row],[INVESTOR CODE]],SIP[B/S],"S")</f>
        <v>0</v>
      </c>
      <c r="N352" s="33">
        <f>IF(INVESTORS_LIST[[#This Row],[SIP_TOTAL UNITS BUY]]=0,0,INVESTORS_LIST[[#This Row],[SIP_TOTAL UNITS BUY]]-INVESTORS_LIST[[#This Row],[SIP_TOTAL UNITS SOLD]])</f>
        <v>0</v>
      </c>
      <c r="O352" s="4">
        <f>IF(INVESTORS_LIST[[#This Row],[SIP_TOTAL UNITS BUY]]=0,0,SUMIFS(SIP[Amount],SIP[Investor ID],INVESTORS_LIST[[#This Row],[INVESTOR CODE]],SIP[B/S],"B"))</f>
        <v>0</v>
      </c>
      <c r="P352" s="4">
        <f>IF(INVESTORS_LIST[[#This Row],[SIP_TOTAL UNITS SOLD]]=0,0,SUMIFS(SIP[Cost of Units Sold],SIP[Investor ID],INVESTORS_LIST[[#This Row],[INVESTOR CODE]],SIP[B/S],"S"))</f>
        <v>0</v>
      </c>
      <c r="Q352" s="6">
        <f>IF(INVESTORS_LIST[[#This Row],[SIP_TOTAL CURRENT UNITS]]=0,0,INVESTORS_LIST[[#This Row],[SIP_TOTAL CURRENT UNITS]]*INVESTORS_LIST[[#This Row],[SIP_AVERAGE COST]])</f>
        <v>0</v>
      </c>
      <c r="R352" s="6">
        <f>IF(INVESTORS_LIST[[#This Row],[SIP_TOTAL UNITS SOLD]]=0,0,SUMIFS(SIP[Realized Gain],SIP[Investor ID],INVESTORS_LIST[[#This Row],[INVESTOR CODE]],SIP[B/S],"S"))</f>
        <v>0</v>
      </c>
      <c r="S352" s="33">
        <f>INVESTORS_LIST[[#This Row],[LS_TOTAL UNITS BUY]]+INVESTORS_LIST[[#This Row],[SIP_TOTAL UNITS BUY]]</f>
        <v>10000</v>
      </c>
      <c r="T352" s="33">
        <f>INVESTORS_LIST[[#This Row],[LS_TOTAL UNITS SOLD]]+INVESTORS_LIST[[#This Row],[SIP_TOTAL UNITS SOLD]]</f>
        <v>10000</v>
      </c>
      <c r="U352" s="33">
        <v>0</v>
      </c>
      <c r="V352" s="33">
        <f>SUMIFS(LS[BO UNIT TRANSFER],LS[Investor ID],INVESTORS_LIST[[#This Row],[INVESTOR CODE]],LS[B/S],"B")</f>
        <v>0</v>
      </c>
      <c r="W352" s="33">
        <f>SUMIFS(LS[BO UNIT TRANSFER],LS[Investor ID],INVESTORS_LIST[[#This Row],[INVESTOR CODE]],LS[B/S],"S")</f>
        <v>0</v>
      </c>
      <c r="X352" s="33">
        <f>SUMIFS(SIP[BO UNIT TRANSFER],SIP[Investor ID],INVESTORS_LIST[[#This Row],[INVESTOR CODE]],SIP[B/S],"S")</f>
        <v>0</v>
      </c>
      <c r="Y352" s="33">
        <f>SUMIFS(SIP[BO UNIT TRANSFER],SIP[Investor ID],INVESTORS_LIST[[#This Row],[INVESTOR CODE]],SIP[B/S],"B")</f>
        <v>0</v>
      </c>
      <c r="Z35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52" s="119">
        <f>INVESTORS_LIST[[#This Row],[TOTAL UNITS BUY]]-INVESTORS_LIST[[#This Row],[TOTAL UNITS SOLD]]</f>
        <v>0</v>
      </c>
      <c r="AB352" s="119">
        <f>INVESTORS_LIST[[#This Row],[TOTAL CURRENT UNITS]]-INVESTORS_LIST[[#This Row],[BO UNITS HOLD]]</f>
        <v>0</v>
      </c>
      <c r="AC352" s="119" t="e">
        <f>INDEX([4]!Table_1[BO ID],MATCH(INVESTORS_LIST[[#This Row],[INVESTOR CODE]],[4]!Table_1[INVESTOR CODE],0))</f>
        <v>#REF!</v>
      </c>
      <c r="AD352" s="33">
        <f>INVESTORS_LIST[[#This Row],[LS_TOTAL COST VALUE OF CURRENT UNITS]]+INVESTORS_LIST[[#This Row],[SIP_TOTAL COST VALUE OF CURRENT UNITS]]</f>
        <v>0</v>
      </c>
      <c r="AE352" s="44">
        <f>IF(INVESTORS_LIST[[#This Row],[TOTAL CURRENT UNITS]]=0,0,INVESTORS_LIST[[#This Row],[LS_TOTAL CURRENT UNITS]]/INVESTORS_LIST[[#This Row],[TOTAL CURRENT UNITS]])</f>
        <v>0</v>
      </c>
      <c r="AF352" s="44">
        <f>IF(INVESTORS_LIST[[#This Row],[TOTAL CURRENT UNITS]]=0,0,INVESTORS_LIST[[#This Row],[SIP_TOTAL CURRENT UNITS]]/INVESTORS_LIST[[#This Row],[TOTAL CURRENT UNITS]])</f>
        <v>0</v>
      </c>
      <c r="AG352" s="4" cm="1">
        <f t="array" ref="AG35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52" s="4" cm="1">
        <f t="array" ref="AH3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5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52" s="178">
        <f t="shared" si="5"/>
        <v>12.552</v>
      </c>
      <c r="AK352" s="118">
        <f>IF(INVESTORS_LIST[[#This Row],[TOTAL CURRENT UNITS]]=0,0,INVESTORS_LIST[[#This Row],[TOTAL CURRENT UNITS]]*INVESTORS_LIST[[#This Row],[NAV]])</f>
        <v>0</v>
      </c>
      <c r="AL352" s="4">
        <f>IF(INVESTORS_LIST[[#This Row],[LS_TOTAL CURRENT UNITS]]=0,0,INVESTORS_LIST[[#This Row],[LS_TOTAL CURRENT UNITS]]*INVESTORS_LIST[[#This Row],[NAV]])</f>
        <v>0</v>
      </c>
      <c r="AM352" s="6">
        <f>IF(INVESTORS_LIST[[#This Row],[SIP_TOTAL CURRENT UNITS]]=0,0,INVESTORS_LIST[[#This Row],[SIP_TOTAL CURRENT UNITS]]*INVESTORS_LIST[[#This Row],[NAV]])</f>
        <v>0</v>
      </c>
      <c r="AO352" s="6">
        <f>IF(INVESTORS_LIST[[#This Row],[TOTAL SELLABLE UNITS]]=0,0,INVESTORS_LIST[[#This Row],[TOTAL SELLABLE UNITS]]*INVESTORS_LIST[[#This Row],[NAV]])</f>
        <v>0</v>
      </c>
      <c r="AP352" s="6">
        <f>INVESTORS_LIST[[#This Row],[LS_TOTAL REALIZED GAIN]]+INVESTORS_LIST[[#This Row],[SIP_TOTAL REALIZED GAIN]]</f>
        <v>3100.000000000005</v>
      </c>
      <c r="AQ352" s="6">
        <f>INVESTORS_LIST[[#This Row],[TOTAL MARKET VALUE]]-INVESTORS_LIST[[#This Row],[TOTAL COST VALUE OF CURRENT INVESTMENT]]</f>
        <v>0</v>
      </c>
      <c r="AR352" s="6">
        <f>SUMIFS(DivAndTax[Tax Amount],DivAndTax[Investor ID],INVESTORS_LIST[[#This Row],[INVESTOR CODE]])</f>
        <v>0</v>
      </c>
      <c r="AS352" s="6">
        <f>SUMIFS(DivAndTax[Gross Dividend],DivAndTax[Investor ID],INVESTORS_LIST[[#This Row],[INVESTOR CODE]])</f>
        <v>0</v>
      </c>
      <c r="AT352" s="5">
        <f>IFERROR(INVESTORS_LIST[[#This Row],[TOTAL CURRENT UNITS]]/SUM(INVESTORS_LIST[TOTAL CURRENT UNITS]),0)</f>
        <v>0</v>
      </c>
    </row>
    <row r="353" spans="1:46" hidden="1">
      <c r="A353" t="s">
        <v>652</v>
      </c>
      <c r="B353" t="s">
        <v>653</v>
      </c>
      <c r="C353" t="s">
        <v>537</v>
      </c>
      <c r="D353" s="8" t="s">
        <v>8</v>
      </c>
      <c r="E353" s="2">
        <f>SUMIFS(LS[Unit],LS[Investor ID],INVESTORS_LIST[[#This Row],[INVESTOR CODE]],LS[B/S],"B")</f>
        <v>615225</v>
      </c>
      <c r="F353" s="2">
        <f>-SUMIFS(LS[Unit],LS[Investor ID],INVESTORS_LIST[[#This Row],[INVESTOR CODE]],LS[B/S],"S")</f>
        <v>615225</v>
      </c>
      <c r="G353" s="2">
        <f>IF(INVESTORS_LIST[[#This Row],[LS_TOTAL UNITS BUY]]=0,0,INVESTORS_LIST[[#This Row],[LS_TOTAL UNITS BUY]]-INVESTORS_LIST[[#This Row],[LS_TOTAL UNITS SOLD]])</f>
        <v>0</v>
      </c>
      <c r="H353" s="4">
        <f>IF(INVESTORS_LIST[[#This Row],[LS_TOTAL UNITS BUY]]=0,0,SUMIFS(LS[Amount],LS[Investor ID],INVESTORS_LIST[[#This Row],[INVESTOR CODE]],LS[B/S],"B"))</f>
        <v>6173000</v>
      </c>
      <c r="I353" s="6">
        <f>IF(INVESTORS_LIST[[#This Row],[LS_TOTAL UNITS SOLD]]=0,0,SUMIFS(LS[Cost of Units Sold],LS[Investor ID],INVESTORS_LIST[[#This Row],[INVESTOR CODE]],LS[B/S],"S"))</f>
        <v>6173000</v>
      </c>
      <c r="J353" s="6">
        <f>IF(INVESTORS_LIST[[#This Row],[LS_TOTAL CURRENT UNITS]]=0,0,INVESTORS_LIST[[#This Row],[LS_TOTAL CURRENT UNITS]]*INVESTORS_LIST[[#This Row],[LS_AVERAGE COST]])</f>
        <v>0</v>
      </c>
      <c r="K353" s="4">
        <f>IF(INVESTORS_LIST[[#This Row],[LS_TOTAL UNITS SOLD]]=0,0,SUMIFS(LS[Realized Gain],LS[Investor ID],INVESTORS_LIST[[#This Row],[INVESTOR CODE]],LS[B/S],"S"))</f>
        <v>1584987.2499999995</v>
      </c>
      <c r="L353" s="2">
        <f>SUMIFS(SIP[Unit],SIP[Investor ID],INVESTORS_LIST[[#This Row],[INVESTOR CODE]],SIP[B/S],"B")</f>
        <v>0</v>
      </c>
      <c r="M353" s="2">
        <f>-SUMIFS(SIP[Unit],SIP[Investor ID],INVESTORS_LIST[[#This Row],[INVESTOR CODE]],SIP[B/S],"S")</f>
        <v>0</v>
      </c>
      <c r="N353" s="33">
        <f>IF(INVESTORS_LIST[[#This Row],[SIP_TOTAL UNITS BUY]]=0,0,INVESTORS_LIST[[#This Row],[SIP_TOTAL UNITS BUY]]-INVESTORS_LIST[[#This Row],[SIP_TOTAL UNITS SOLD]])</f>
        <v>0</v>
      </c>
      <c r="O353" s="4">
        <f>IF(INVESTORS_LIST[[#This Row],[SIP_TOTAL UNITS BUY]]=0,0,SUMIFS(SIP[Amount],SIP[Investor ID],INVESTORS_LIST[[#This Row],[INVESTOR CODE]],SIP[B/S],"B"))</f>
        <v>0</v>
      </c>
      <c r="P353" s="4">
        <f>IF(INVESTORS_LIST[[#This Row],[SIP_TOTAL UNITS SOLD]]=0,0,SUMIFS(SIP[Cost of Units Sold],SIP[Investor ID],INVESTORS_LIST[[#This Row],[INVESTOR CODE]],SIP[B/S],"S"))</f>
        <v>0</v>
      </c>
      <c r="Q353" s="6">
        <f>IF(INVESTORS_LIST[[#This Row],[SIP_TOTAL CURRENT UNITS]]=0,0,INVESTORS_LIST[[#This Row],[SIP_TOTAL CURRENT UNITS]]*INVESTORS_LIST[[#This Row],[SIP_AVERAGE COST]])</f>
        <v>0</v>
      </c>
      <c r="R353" s="6">
        <f>IF(INVESTORS_LIST[[#This Row],[SIP_TOTAL UNITS SOLD]]=0,0,SUMIFS(SIP[Realized Gain],SIP[Investor ID],INVESTORS_LIST[[#This Row],[INVESTOR CODE]],SIP[B/S],"S"))</f>
        <v>0</v>
      </c>
      <c r="S353" s="33">
        <f>INVESTORS_LIST[[#This Row],[LS_TOTAL UNITS BUY]]+INVESTORS_LIST[[#This Row],[SIP_TOTAL UNITS BUY]]</f>
        <v>615225</v>
      </c>
      <c r="T353" s="33">
        <f>INVESTORS_LIST[[#This Row],[LS_TOTAL UNITS SOLD]]+INVESTORS_LIST[[#This Row],[SIP_TOTAL UNITS SOLD]]</f>
        <v>615225</v>
      </c>
      <c r="U353" s="33">
        <v>0</v>
      </c>
      <c r="V353" s="33">
        <f>SUMIFS(LS[BO UNIT TRANSFER],LS[Investor ID],INVESTORS_LIST[[#This Row],[INVESTOR CODE]],LS[B/S],"B")</f>
        <v>0</v>
      </c>
      <c r="W353" s="33">
        <f>SUMIFS(LS[BO UNIT TRANSFER],LS[Investor ID],INVESTORS_LIST[[#This Row],[INVESTOR CODE]],LS[B/S],"S")</f>
        <v>0</v>
      </c>
      <c r="X353" s="33">
        <f>SUMIFS(SIP[BO UNIT TRANSFER],SIP[Investor ID],INVESTORS_LIST[[#This Row],[INVESTOR CODE]],SIP[B/S],"S")</f>
        <v>0</v>
      </c>
      <c r="Y353" s="33">
        <f>SUMIFS(SIP[BO UNIT TRANSFER],SIP[Investor ID],INVESTORS_LIST[[#This Row],[INVESTOR CODE]],SIP[B/S],"B")</f>
        <v>0</v>
      </c>
      <c r="Z35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53" s="119">
        <f>INVESTORS_LIST[[#This Row],[TOTAL UNITS BUY]]-INVESTORS_LIST[[#This Row],[TOTAL UNITS SOLD]]</f>
        <v>0</v>
      </c>
      <c r="AB353" s="119">
        <f>INVESTORS_LIST[[#This Row],[TOTAL CURRENT UNITS]]-INVESTORS_LIST[[#This Row],[BO UNITS HOLD]]</f>
        <v>0</v>
      </c>
      <c r="AC353" s="119" t="e">
        <f>INDEX([4]!Table_1[BO ID],MATCH(INVESTORS_LIST[[#This Row],[INVESTOR CODE]],[4]!Table_1[INVESTOR CODE],0))</f>
        <v>#REF!</v>
      </c>
      <c r="AD353" s="33">
        <f>INVESTORS_LIST[[#This Row],[LS_TOTAL COST VALUE OF CURRENT UNITS]]+INVESTORS_LIST[[#This Row],[SIP_TOTAL COST VALUE OF CURRENT UNITS]]</f>
        <v>0</v>
      </c>
      <c r="AE353" s="44">
        <f>IF(INVESTORS_LIST[[#This Row],[TOTAL CURRENT UNITS]]=0,0,INVESTORS_LIST[[#This Row],[LS_TOTAL CURRENT UNITS]]/INVESTORS_LIST[[#This Row],[TOTAL CURRENT UNITS]])</f>
        <v>0</v>
      </c>
      <c r="AF353" s="44">
        <f>IF(INVESTORS_LIST[[#This Row],[TOTAL CURRENT UNITS]]=0,0,INVESTORS_LIST[[#This Row],[SIP_TOTAL CURRENT UNITS]]/INVESTORS_LIST[[#This Row],[TOTAL CURRENT UNITS]])</f>
        <v>0</v>
      </c>
      <c r="AG353" s="4" cm="1">
        <f t="array" ref="AG35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53" s="4" cm="1">
        <f t="array" ref="AH3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5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53" s="178">
        <f t="shared" si="5"/>
        <v>12.552</v>
      </c>
      <c r="AK353" s="118">
        <f>IF(INVESTORS_LIST[[#This Row],[TOTAL CURRENT UNITS]]=0,0,INVESTORS_LIST[[#This Row],[TOTAL CURRENT UNITS]]*INVESTORS_LIST[[#This Row],[NAV]])</f>
        <v>0</v>
      </c>
      <c r="AL353" s="4">
        <f>IF(INVESTORS_LIST[[#This Row],[LS_TOTAL CURRENT UNITS]]=0,0,INVESTORS_LIST[[#This Row],[LS_TOTAL CURRENT UNITS]]*INVESTORS_LIST[[#This Row],[NAV]])</f>
        <v>0</v>
      </c>
      <c r="AM353" s="6">
        <f>IF(INVESTORS_LIST[[#This Row],[SIP_TOTAL CURRENT UNITS]]=0,0,INVESTORS_LIST[[#This Row],[SIP_TOTAL CURRENT UNITS]]*INVESTORS_LIST[[#This Row],[NAV]])</f>
        <v>0</v>
      </c>
      <c r="AO353" s="6">
        <f>IF(INVESTORS_LIST[[#This Row],[TOTAL SELLABLE UNITS]]=0,0,INVESTORS_LIST[[#This Row],[TOTAL SELLABLE UNITS]]*INVESTORS_LIST[[#This Row],[NAV]])</f>
        <v>0</v>
      </c>
      <c r="AP353" s="6">
        <f>INVESTORS_LIST[[#This Row],[LS_TOTAL REALIZED GAIN]]+INVESTORS_LIST[[#This Row],[SIP_TOTAL REALIZED GAIN]]</f>
        <v>1584987.2499999995</v>
      </c>
      <c r="AQ353" s="6">
        <f>INVESTORS_LIST[[#This Row],[TOTAL MARKET VALUE]]-INVESTORS_LIST[[#This Row],[TOTAL COST VALUE OF CURRENT INVESTMENT]]</f>
        <v>0</v>
      </c>
      <c r="AR353" s="6">
        <f>SUMIFS(DivAndTax[Tax Amount],DivAndTax[Investor ID],INVESTORS_LIST[[#This Row],[INVESTOR CODE]])</f>
        <v>0</v>
      </c>
      <c r="AS353" s="6">
        <f>SUMIFS(DivAndTax[Gross Dividend],DivAndTax[Investor ID],INVESTORS_LIST[[#This Row],[INVESTOR CODE]])</f>
        <v>672941.25</v>
      </c>
      <c r="AT353" s="5">
        <f>IFERROR(INVESTORS_LIST[[#This Row],[TOTAL CURRENT UNITS]]/SUM(INVESTORS_LIST[TOTAL CURRENT UNITS]),0)</f>
        <v>0</v>
      </c>
    </row>
    <row r="354" spans="1:46">
      <c r="A354" t="s">
        <v>654</v>
      </c>
      <c r="B354" t="s">
        <v>655</v>
      </c>
      <c r="C354" t="s">
        <v>537</v>
      </c>
      <c r="D354" s="8" t="s">
        <v>5</v>
      </c>
      <c r="E354" s="2">
        <f>SUMIFS(LS[Unit],LS[Investor ID],INVESTORS_LIST[[#This Row],[INVESTOR CODE]],LS[B/S],"B")</f>
        <v>2500000</v>
      </c>
      <c r="F354" s="2">
        <f>-SUMIFS(LS[Unit],LS[Investor ID],INVESTORS_LIST[[#This Row],[INVESTOR CODE]],LS[B/S],"S")</f>
        <v>250000</v>
      </c>
      <c r="G354" s="2">
        <f>IF(INVESTORS_LIST[[#This Row],[LS_TOTAL UNITS BUY]]=0,0,INVESTORS_LIST[[#This Row],[LS_TOTAL UNITS BUY]]-INVESTORS_LIST[[#This Row],[LS_TOTAL UNITS SOLD]])</f>
        <v>2250000</v>
      </c>
      <c r="H354" s="4">
        <f>IF(INVESTORS_LIST[[#This Row],[LS_TOTAL UNITS BUY]]=0,0,SUMIFS(LS[Amount],LS[Investor ID],INVESTORS_LIST[[#This Row],[INVESTOR CODE]],LS[B/S],"B"))</f>
        <v>25000000</v>
      </c>
      <c r="I354" s="6">
        <f>IF(INVESTORS_LIST[[#This Row],[LS_TOTAL UNITS SOLD]]=0,0,SUMIFS(LS[Cost of Units Sold],LS[Investor ID],INVESTORS_LIST[[#This Row],[INVESTOR CODE]],LS[B/S],"S"))</f>
        <v>2500000</v>
      </c>
      <c r="J354" s="6">
        <f>IF(INVESTORS_LIST[[#This Row],[LS_TOTAL CURRENT UNITS]]=0,0,INVESTORS_LIST[[#This Row],[LS_TOTAL CURRENT UNITS]]*INVESTORS_LIST[[#This Row],[LS_AVERAGE COST]])</f>
        <v>22500000</v>
      </c>
      <c r="K354" s="4">
        <f>IF(INVESTORS_LIST[[#This Row],[LS_TOTAL UNITS SOLD]]=0,0,SUMIFS(LS[Realized Gain],LS[Investor ID],INVESTORS_LIST[[#This Row],[INVESTOR CODE]],LS[B/S],"S"))</f>
        <v>68999.999999999956</v>
      </c>
      <c r="L354" s="2">
        <f>SUMIFS(SIP[Unit],SIP[Investor ID],INVESTORS_LIST[[#This Row],[INVESTOR CODE]],SIP[B/S],"B")</f>
        <v>0</v>
      </c>
      <c r="M354" s="2">
        <f>-SUMIFS(SIP[Unit],SIP[Investor ID],INVESTORS_LIST[[#This Row],[INVESTOR CODE]],SIP[B/S],"S")</f>
        <v>0</v>
      </c>
      <c r="N354" s="33">
        <f>IF(INVESTORS_LIST[[#This Row],[SIP_TOTAL UNITS BUY]]=0,0,INVESTORS_LIST[[#This Row],[SIP_TOTAL UNITS BUY]]-INVESTORS_LIST[[#This Row],[SIP_TOTAL UNITS SOLD]])</f>
        <v>0</v>
      </c>
      <c r="O354" s="4">
        <f>IF(INVESTORS_LIST[[#This Row],[SIP_TOTAL UNITS BUY]]=0,0,SUMIFS(SIP[Amount],SIP[Investor ID],INVESTORS_LIST[[#This Row],[INVESTOR CODE]],SIP[B/S],"B"))</f>
        <v>0</v>
      </c>
      <c r="P354" s="4">
        <f>IF(INVESTORS_LIST[[#This Row],[SIP_TOTAL UNITS SOLD]]=0,0,SUMIFS(SIP[Cost of Units Sold],SIP[Investor ID],INVESTORS_LIST[[#This Row],[INVESTOR CODE]],SIP[B/S],"S"))</f>
        <v>0</v>
      </c>
      <c r="Q354" s="6">
        <f>IF(INVESTORS_LIST[[#This Row],[SIP_TOTAL CURRENT UNITS]]=0,0,INVESTORS_LIST[[#This Row],[SIP_TOTAL CURRENT UNITS]]*INVESTORS_LIST[[#This Row],[SIP_AVERAGE COST]])</f>
        <v>0</v>
      </c>
      <c r="R354" s="6">
        <f>IF(INVESTORS_LIST[[#This Row],[SIP_TOTAL UNITS SOLD]]=0,0,SUMIFS(SIP[Realized Gain],SIP[Investor ID],INVESTORS_LIST[[#This Row],[INVESTOR CODE]],SIP[B/S],"S"))</f>
        <v>0</v>
      </c>
      <c r="S354" s="33">
        <f>INVESTORS_LIST[[#This Row],[LS_TOTAL UNITS BUY]]+INVESTORS_LIST[[#This Row],[SIP_TOTAL UNITS BUY]]</f>
        <v>2500000</v>
      </c>
      <c r="T354" s="33">
        <f>INVESTORS_LIST[[#This Row],[LS_TOTAL UNITS SOLD]]+INVESTORS_LIST[[#This Row],[SIP_TOTAL UNITS SOLD]]</f>
        <v>250000</v>
      </c>
      <c r="U354" s="33">
        <v>2250000</v>
      </c>
      <c r="V354" s="33">
        <f>SUMIFS(LS[BO UNIT TRANSFER],LS[Investor ID],INVESTORS_LIST[[#This Row],[INVESTOR CODE]],LS[B/S],"B")</f>
        <v>0</v>
      </c>
      <c r="W354" s="33">
        <f>SUMIFS(LS[BO UNIT TRANSFER],LS[Investor ID],INVESTORS_LIST[[#This Row],[INVESTOR CODE]],LS[B/S],"S")</f>
        <v>0</v>
      </c>
      <c r="X354" s="33">
        <f>SUMIFS(SIP[BO UNIT TRANSFER],SIP[Investor ID],INVESTORS_LIST[[#This Row],[INVESTOR CODE]],SIP[B/S],"S")</f>
        <v>0</v>
      </c>
      <c r="Y354" s="33">
        <f>SUMIFS(SIP[BO UNIT TRANSFER],SIP[Investor ID],INVESTORS_LIST[[#This Row],[INVESTOR CODE]],SIP[B/S],"B")</f>
        <v>0</v>
      </c>
      <c r="Z35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2250000</v>
      </c>
      <c r="AA354" s="119">
        <f>INVESTORS_LIST[[#This Row],[TOTAL UNITS BUY]]-INVESTORS_LIST[[#This Row],[TOTAL UNITS SOLD]]</f>
        <v>2250000</v>
      </c>
      <c r="AB354" s="119">
        <f>INVESTORS_LIST[[#This Row],[TOTAL CURRENT UNITS]]-INVESTORS_LIST[[#This Row],[BO UNITS HOLD]]</f>
        <v>0</v>
      </c>
      <c r="AC354" s="119" t="e">
        <f>INDEX([4]!Table_1[BO ID],MATCH(INVESTORS_LIST[[#This Row],[INVESTOR CODE]],[4]!Table_1[INVESTOR CODE],0))</f>
        <v>#REF!</v>
      </c>
      <c r="AD354" s="33">
        <f>INVESTORS_LIST[[#This Row],[LS_TOTAL COST VALUE OF CURRENT UNITS]]+INVESTORS_LIST[[#This Row],[SIP_TOTAL COST VALUE OF CURRENT UNITS]]</f>
        <v>22500000</v>
      </c>
      <c r="AE354" s="44">
        <f>IF(INVESTORS_LIST[[#This Row],[TOTAL CURRENT UNITS]]=0,0,INVESTORS_LIST[[#This Row],[LS_TOTAL CURRENT UNITS]]/INVESTORS_LIST[[#This Row],[TOTAL CURRENT UNITS]])</f>
        <v>1</v>
      </c>
      <c r="AF354" s="44">
        <f>IF(INVESTORS_LIST[[#This Row],[TOTAL CURRENT UNITS]]=0,0,INVESTORS_LIST[[#This Row],[SIP_TOTAL CURRENT UNITS]]/INVESTORS_LIST[[#This Row],[TOTAL CURRENT UNITS]])</f>
        <v>0</v>
      </c>
      <c r="AG354" s="4" cm="1">
        <f t="array" ref="AG354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354" s="4" cm="1">
        <f t="array" ref="AH3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54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354" s="178">
        <f t="shared" si="5"/>
        <v>12.552</v>
      </c>
      <c r="AK354" s="118">
        <f>IF(INVESTORS_LIST[[#This Row],[TOTAL CURRENT UNITS]]=0,0,INVESTORS_LIST[[#This Row],[TOTAL CURRENT UNITS]]*INVESTORS_LIST[[#This Row],[NAV]])</f>
        <v>28242000</v>
      </c>
      <c r="AL354" s="4">
        <f>IF(INVESTORS_LIST[[#This Row],[LS_TOTAL CURRENT UNITS]]=0,0,INVESTORS_LIST[[#This Row],[LS_TOTAL CURRENT UNITS]]*INVESTORS_LIST[[#This Row],[NAV]])</f>
        <v>28242000</v>
      </c>
      <c r="AM354" s="6">
        <f>IF(INVESTORS_LIST[[#This Row],[SIP_TOTAL CURRENT UNITS]]=0,0,INVESTORS_LIST[[#This Row],[SIP_TOTAL CURRENT UNITS]]*INVESTORS_LIST[[#This Row],[NAV]])</f>
        <v>0</v>
      </c>
      <c r="AO354" s="6">
        <f>IF(INVESTORS_LIST[[#This Row],[TOTAL SELLABLE UNITS]]=0,0,INVESTORS_LIST[[#This Row],[TOTAL SELLABLE UNITS]]*INVESTORS_LIST[[#This Row],[NAV]])</f>
        <v>0</v>
      </c>
      <c r="AP354" s="6">
        <f>INVESTORS_LIST[[#This Row],[LS_TOTAL REALIZED GAIN]]+INVESTORS_LIST[[#This Row],[SIP_TOTAL REALIZED GAIN]]</f>
        <v>68999.999999999956</v>
      </c>
      <c r="AQ354" s="6">
        <f>INVESTORS_LIST[[#This Row],[TOTAL MARKET VALUE]]-INVESTORS_LIST[[#This Row],[TOTAL COST VALUE OF CURRENT INVESTMENT]]</f>
        <v>5742000</v>
      </c>
      <c r="AR354" s="6">
        <f>SUMIFS(DivAndTax[Tax Amount],DivAndTax[Investor ID],INVESTORS_LIST[[#This Row],[INVESTOR CODE]])</f>
        <v>495000</v>
      </c>
      <c r="AS354" s="6">
        <f>SUMIFS(DivAndTax[Gross Dividend],DivAndTax[Investor ID],INVESTORS_LIST[[#This Row],[INVESTOR CODE]])</f>
        <v>2475000</v>
      </c>
      <c r="AT354" s="5">
        <f>IFERROR(INVESTORS_LIST[[#This Row],[TOTAL CURRENT UNITS]]/SUM(INVESTORS_LIST[TOTAL CURRENT UNITS]),0)</f>
        <v>0.10787587887677141</v>
      </c>
    </row>
    <row r="355" spans="1:46">
      <c r="A355" t="s">
        <v>656</v>
      </c>
      <c r="B355" t="s">
        <v>657</v>
      </c>
      <c r="C355" t="s">
        <v>537</v>
      </c>
      <c r="D355" s="8" t="s">
        <v>5</v>
      </c>
      <c r="E355" s="2">
        <f>SUMIFS(LS[Unit],LS[Investor ID],INVESTORS_LIST[[#This Row],[INVESTOR CODE]],LS[B/S],"B")</f>
        <v>1000000</v>
      </c>
      <c r="F355" s="2">
        <f>-SUMIFS(LS[Unit],LS[Investor ID],INVESTORS_LIST[[#This Row],[INVESTOR CODE]],LS[B/S],"S")</f>
        <v>0</v>
      </c>
      <c r="G355" s="2">
        <f>IF(INVESTORS_LIST[[#This Row],[LS_TOTAL UNITS BUY]]=0,0,INVESTORS_LIST[[#This Row],[LS_TOTAL UNITS BUY]]-INVESTORS_LIST[[#This Row],[LS_TOTAL UNITS SOLD]])</f>
        <v>1000000</v>
      </c>
      <c r="H355" s="4">
        <f>IF(INVESTORS_LIST[[#This Row],[LS_TOTAL UNITS BUY]]=0,0,SUMIFS(LS[Amount],LS[Investor ID],INVESTORS_LIST[[#This Row],[INVESTOR CODE]],LS[B/S],"B"))</f>
        <v>10000000</v>
      </c>
      <c r="I355" s="6">
        <f>IF(INVESTORS_LIST[[#This Row],[LS_TOTAL UNITS SOLD]]=0,0,SUMIFS(LS[Cost of Units Sold],LS[Investor ID],INVESTORS_LIST[[#This Row],[INVESTOR CODE]],LS[B/S],"S"))</f>
        <v>0</v>
      </c>
      <c r="J355" s="6">
        <f>IF(INVESTORS_LIST[[#This Row],[LS_TOTAL CURRENT UNITS]]=0,0,INVESTORS_LIST[[#This Row],[LS_TOTAL CURRENT UNITS]]*INVESTORS_LIST[[#This Row],[LS_AVERAGE COST]])</f>
        <v>10000000</v>
      </c>
      <c r="K355" s="4">
        <f>IF(INVESTORS_LIST[[#This Row],[LS_TOTAL UNITS SOLD]]=0,0,SUMIFS(LS[Realized Gain],LS[Investor ID],INVESTORS_LIST[[#This Row],[INVESTOR CODE]],LS[B/S],"S"))</f>
        <v>0</v>
      </c>
      <c r="L355" s="2">
        <f>SUMIFS(SIP[Unit],SIP[Investor ID],INVESTORS_LIST[[#This Row],[INVESTOR CODE]],SIP[B/S],"B")</f>
        <v>0</v>
      </c>
      <c r="M355" s="2">
        <f>-SUMIFS(SIP[Unit],SIP[Investor ID],INVESTORS_LIST[[#This Row],[INVESTOR CODE]],SIP[B/S],"S")</f>
        <v>0</v>
      </c>
      <c r="N355" s="33">
        <f>IF(INVESTORS_LIST[[#This Row],[SIP_TOTAL UNITS BUY]]=0,0,INVESTORS_LIST[[#This Row],[SIP_TOTAL UNITS BUY]]-INVESTORS_LIST[[#This Row],[SIP_TOTAL UNITS SOLD]])</f>
        <v>0</v>
      </c>
      <c r="O355" s="4">
        <f>IF(INVESTORS_LIST[[#This Row],[SIP_TOTAL UNITS BUY]]=0,0,SUMIFS(SIP[Amount],SIP[Investor ID],INVESTORS_LIST[[#This Row],[INVESTOR CODE]],SIP[B/S],"B"))</f>
        <v>0</v>
      </c>
      <c r="P355" s="4">
        <f>IF(INVESTORS_LIST[[#This Row],[SIP_TOTAL UNITS SOLD]]=0,0,SUMIFS(SIP[Cost of Units Sold],SIP[Investor ID],INVESTORS_LIST[[#This Row],[INVESTOR CODE]],SIP[B/S],"S"))</f>
        <v>0</v>
      </c>
      <c r="Q355" s="6">
        <f>IF(INVESTORS_LIST[[#This Row],[SIP_TOTAL CURRENT UNITS]]=0,0,INVESTORS_LIST[[#This Row],[SIP_TOTAL CURRENT UNITS]]*INVESTORS_LIST[[#This Row],[SIP_AVERAGE COST]])</f>
        <v>0</v>
      </c>
      <c r="R355" s="6">
        <f>IF(INVESTORS_LIST[[#This Row],[SIP_TOTAL UNITS SOLD]]=0,0,SUMIFS(SIP[Realized Gain],SIP[Investor ID],INVESTORS_LIST[[#This Row],[INVESTOR CODE]],SIP[B/S],"S"))</f>
        <v>0</v>
      </c>
      <c r="S355" s="33">
        <f>INVESTORS_LIST[[#This Row],[LS_TOTAL UNITS BUY]]+INVESTORS_LIST[[#This Row],[SIP_TOTAL UNITS BUY]]</f>
        <v>1000000</v>
      </c>
      <c r="T355" s="33">
        <f>INVESTORS_LIST[[#This Row],[LS_TOTAL UNITS SOLD]]+INVESTORS_LIST[[#This Row],[SIP_TOTAL UNITS SOLD]]</f>
        <v>0</v>
      </c>
      <c r="U355" s="33">
        <v>1000000</v>
      </c>
      <c r="V355" s="33">
        <f>SUMIFS(LS[BO UNIT TRANSFER],LS[Investor ID],INVESTORS_LIST[[#This Row],[INVESTOR CODE]],LS[B/S],"B")</f>
        <v>0</v>
      </c>
      <c r="W355" s="33">
        <f>SUMIFS(LS[BO UNIT TRANSFER],LS[Investor ID],INVESTORS_LIST[[#This Row],[INVESTOR CODE]],LS[B/S],"S")</f>
        <v>0</v>
      </c>
      <c r="X355" s="33">
        <f>SUMIFS(SIP[BO UNIT TRANSFER],SIP[Investor ID],INVESTORS_LIST[[#This Row],[INVESTOR CODE]],SIP[B/S],"S")</f>
        <v>0</v>
      </c>
      <c r="Y355" s="33">
        <f>SUMIFS(SIP[BO UNIT TRANSFER],SIP[Investor ID],INVESTORS_LIST[[#This Row],[INVESTOR CODE]],SIP[B/S],"B")</f>
        <v>0</v>
      </c>
      <c r="Z35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1000000</v>
      </c>
      <c r="AA355" s="119">
        <f>INVESTORS_LIST[[#This Row],[TOTAL UNITS BUY]]-INVESTORS_LIST[[#This Row],[TOTAL UNITS SOLD]]</f>
        <v>1000000</v>
      </c>
      <c r="AB355" s="119">
        <f>INVESTORS_LIST[[#This Row],[TOTAL CURRENT UNITS]]-INVESTORS_LIST[[#This Row],[BO UNITS HOLD]]</f>
        <v>0</v>
      </c>
      <c r="AC355" s="119" t="e">
        <f>INDEX([4]!Table_1[BO ID],MATCH(INVESTORS_LIST[[#This Row],[INVESTOR CODE]],[4]!Table_1[INVESTOR CODE],0))</f>
        <v>#REF!</v>
      </c>
      <c r="AD355" s="33">
        <f>INVESTORS_LIST[[#This Row],[LS_TOTAL COST VALUE OF CURRENT UNITS]]+INVESTORS_LIST[[#This Row],[SIP_TOTAL COST VALUE OF CURRENT UNITS]]</f>
        <v>10000000</v>
      </c>
      <c r="AE355" s="44">
        <f>IF(INVESTORS_LIST[[#This Row],[TOTAL CURRENT UNITS]]=0,0,INVESTORS_LIST[[#This Row],[LS_TOTAL CURRENT UNITS]]/INVESTORS_LIST[[#This Row],[TOTAL CURRENT UNITS]])</f>
        <v>1</v>
      </c>
      <c r="AF355" s="44">
        <f>IF(INVESTORS_LIST[[#This Row],[TOTAL CURRENT UNITS]]=0,0,INVESTORS_LIST[[#This Row],[SIP_TOTAL CURRENT UNITS]]/INVESTORS_LIST[[#This Row],[TOTAL CURRENT UNITS]])</f>
        <v>0</v>
      </c>
      <c r="AG355" s="4" cm="1">
        <f t="array" ref="AG355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355" s="4" cm="1">
        <f t="array" ref="AH3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55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355" s="178">
        <f t="shared" si="5"/>
        <v>12.552</v>
      </c>
      <c r="AK355" s="118">
        <f>IF(INVESTORS_LIST[[#This Row],[TOTAL CURRENT UNITS]]=0,0,INVESTORS_LIST[[#This Row],[TOTAL CURRENT UNITS]]*INVESTORS_LIST[[#This Row],[NAV]])</f>
        <v>12552000</v>
      </c>
      <c r="AL355" s="4">
        <f>IF(INVESTORS_LIST[[#This Row],[LS_TOTAL CURRENT UNITS]]=0,0,INVESTORS_LIST[[#This Row],[LS_TOTAL CURRENT UNITS]]*INVESTORS_LIST[[#This Row],[NAV]])</f>
        <v>12552000</v>
      </c>
      <c r="AM355" s="6">
        <f>IF(INVESTORS_LIST[[#This Row],[SIP_TOTAL CURRENT UNITS]]=0,0,INVESTORS_LIST[[#This Row],[SIP_TOTAL CURRENT UNITS]]*INVESTORS_LIST[[#This Row],[NAV]])</f>
        <v>0</v>
      </c>
      <c r="AO355" s="6">
        <f>IF(INVESTORS_LIST[[#This Row],[TOTAL SELLABLE UNITS]]=0,0,INVESTORS_LIST[[#This Row],[TOTAL SELLABLE UNITS]]*INVESTORS_LIST[[#This Row],[NAV]])</f>
        <v>0</v>
      </c>
      <c r="AP355" s="6">
        <f>INVESTORS_LIST[[#This Row],[LS_TOTAL REALIZED GAIN]]+INVESTORS_LIST[[#This Row],[SIP_TOTAL REALIZED GAIN]]</f>
        <v>0</v>
      </c>
      <c r="AQ355" s="6">
        <f>INVESTORS_LIST[[#This Row],[TOTAL MARKET VALUE]]-INVESTORS_LIST[[#This Row],[TOTAL COST VALUE OF CURRENT INVESTMENT]]</f>
        <v>2552000</v>
      </c>
      <c r="AR355" s="6">
        <f>SUMIFS(DivAndTax[Tax Amount],DivAndTax[Investor ID],INVESTORS_LIST[[#This Row],[INVESTOR CODE]])</f>
        <v>220000</v>
      </c>
      <c r="AS355" s="6">
        <f>SUMIFS(DivAndTax[Gross Dividend],DivAndTax[Investor ID],INVESTORS_LIST[[#This Row],[INVESTOR CODE]])</f>
        <v>1100000</v>
      </c>
      <c r="AT355" s="5">
        <f>IFERROR(INVESTORS_LIST[[#This Row],[TOTAL CURRENT UNITS]]/SUM(INVESTORS_LIST[TOTAL CURRENT UNITS]),0)</f>
        <v>4.7944835056342852E-2</v>
      </c>
    </row>
    <row r="356" spans="1:46" hidden="1">
      <c r="A356" t="s">
        <v>658</v>
      </c>
      <c r="B356" t="s">
        <v>659</v>
      </c>
      <c r="C356" t="s">
        <v>539</v>
      </c>
      <c r="D356" s="8" t="s">
        <v>2</v>
      </c>
      <c r="E356" s="2">
        <f>SUMIFS(LS[Unit],LS[Investor ID],INVESTORS_LIST[[#This Row],[INVESTOR CODE]],LS[B/S],"B")</f>
        <v>450000</v>
      </c>
      <c r="F356" s="2">
        <f>-SUMIFS(LS[Unit],LS[Investor ID],INVESTORS_LIST[[#This Row],[INVESTOR CODE]],LS[B/S],"S")</f>
        <v>450000</v>
      </c>
      <c r="G356" s="2">
        <f>IF(INVESTORS_LIST[[#This Row],[LS_TOTAL UNITS BUY]]=0,0,INVESTORS_LIST[[#This Row],[LS_TOTAL UNITS BUY]]-INVESTORS_LIST[[#This Row],[LS_TOTAL UNITS SOLD]])</f>
        <v>0</v>
      </c>
      <c r="H356" s="4">
        <f>IF(INVESTORS_LIST[[#This Row],[LS_TOTAL UNITS BUY]]=0,0,SUMIFS(LS[Amount],LS[Investor ID],INVESTORS_LIST[[#This Row],[INVESTOR CODE]],LS[B/S],"B"))</f>
        <v>4500000</v>
      </c>
      <c r="I356" s="6">
        <f>IF(INVESTORS_LIST[[#This Row],[LS_TOTAL UNITS SOLD]]=0,0,SUMIFS(LS[Cost of Units Sold],LS[Investor ID],INVESTORS_LIST[[#This Row],[INVESTOR CODE]],LS[B/S],"S"))</f>
        <v>4500000</v>
      </c>
      <c r="J356" s="6">
        <f>IF(INVESTORS_LIST[[#This Row],[LS_TOTAL CURRENT UNITS]]=0,0,INVESTORS_LIST[[#This Row],[LS_TOTAL CURRENT UNITS]]*INVESTORS_LIST[[#This Row],[LS_AVERAGE COST]])</f>
        <v>0</v>
      </c>
      <c r="K356" s="4">
        <f>IF(INVESTORS_LIST[[#This Row],[LS_TOTAL UNITS SOLD]]=0,0,SUMIFS(LS[Realized Gain],LS[Investor ID],INVESTORS_LIST[[#This Row],[INVESTOR CODE]],LS[B/S],"S"))</f>
        <v>95849.999999999636</v>
      </c>
      <c r="L356" s="2">
        <f>SUMIFS(SIP[Unit],SIP[Investor ID],INVESTORS_LIST[[#This Row],[INVESTOR CODE]],SIP[B/S],"B")</f>
        <v>0</v>
      </c>
      <c r="M356" s="2">
        <f>-SUMIFS(SIP[Unit],SIP[Investor ID],INVESTORS_LIST[[#This Row],[INVESTOR CODE]],SIP[B/S],"S")</f>
        <v>0</v>
      </c>
      <c r="N356" s="33">
        <f>IF(INVESTORS_LIST[[#This Row],[SIP_TOTAL UNITS BUY]]=0,0,INVESTORS_LIST[[#This Row],[SIP_TOTAL UNITS BUY]]-INVESTORS_LIST[[#This Row],[SIP_TOTAL UNITS SOLD]])</f>
        <v>0</v>
      </c>
      <c r="O356" s="4">
        <f>IF(INVESTORS_LIST[[#This Row],[SIP_TOTAL UNITS BUY]]=0,0,SUMIFS(SIP[Amount],SIP[Investor ID],INVESTORS_LIST[[#This Row],[INVESTOR CODE]],SIP[B/S],"B"))</f>
        <v>0</v>
      </c>
      <c r="P356" s="4">
        <f>IF(INVESTORS_LIST[[#This Row],[SIP_TOTAL UNITS SOLD]]=0,0,SUMIFS(SIP[Cost of Units Sold],SIP[Investor ID],INVESTORS_LIST[[#This Row],[INVESTOR CODE]],SIP[B/S],"S"))</f>
        <v>0</v>
      </c>
      <c r="Q356" s="6">
        <f>IF(INVESTORS_LIST[[#This Row],[SIP_TOTAL CURRENT UNITS]]=0,0,INVESTORS_LIST[[#This Row],[SIP_TOTAL CURRENT UNITS]]*INVESTORS_LIST[[#This Row],[SIP_AVERAGE COST]])</f>
        <v>0</v>
      </c>
      <c r="R356" s="6">
        <f>IF(INVESTORS_LIST[[#This Row],[SIP_TOTAL UNITS SOLD]]=0,0,SUMIFS(SIP[Realized Gain],SIP[Investor ID],INVESTORS_LIST[[#This Row],[INVESTOR CODE]],SIP[B/S],"S"))</f>
        <v>0</v>
      </c>
      <c r="S356" s="33">
        <f>INVESTORS_LIST[[#This Row],[LS_TOTAL UNITS BUY]]+INVESTORS_LIST[[#This Row],[SIP_TOTAL UNITS BUY]]</f>
        <v>450000</v>
      </c>
      <c r="T356" s="33">
        <f>INVESTORS_LIST[[#This Row],[LS_TOTAL UNITS SOLD]]+INVESTORS_LIST[[#This Row],[SIP_TOTAL UNITS SOLD]]</f>
        <v>450000</v>
      </c>
      <c r="U356" s="33">
        <v>0</v>
      </c>
      <c r="V356" s="33">
        <f>SUMIFS(LS[BO UNIT TRANSFER],LS[Investor ID],INVESTORS_LIST[[#This Row],[INVESTOR CODE]],LS[B/S],"B")</f>
        <v>0</v>
      </c>
      <c r="W356" s="33">
        <f>SUMIFS(LS[BO UNIT TRANSFER],LS[Investor ID],INVESTORS_LIST[[#This Row],[INVESTOR CODE]],LS[B/S],"S")</f>
        <v>0</v>
      </c>
      <c r="X356" s="33">
        <f>SUMIFS(SIP[BO UNIT TRANSFER],SIP[Investor ID],INVESTORS_LIST[[#This Row],[INVESTOR CODE]],SIP[B/S],"S")</f>
        <v>0</v>
      </c>
      <c r="Y356" s="33">
        <f>SUMIFS(SIP[BO UNIT TRANSFER],SIP[Investor ID],INVESTORS_LIST[[#This Row],[INVESTOR CODE]],SIP[B/S],"B")</f>
        <v>0</v>
      </c>
      <c r="Z35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56" s="119">
        <f>INVESTORS_LIST[[#This Row],[TOTAL UNITS BUY]]-INVESTORS_LIST[[#This Row],[TOTAL UNITS SOLD]]</f>
        <v>0</v>
      </c>
      <c r="AB356" s="119">
        <f>INVESTORS_LIST[[#This Row],[TOTAL CURRENT UNITS]]-INVESTORS_LIST[[#This Row],[BO UNITS HOLD]]</f>
        <v>0</v>
      </c>
      <c r="AC356" s="119" t="e">
        <f>INDEX([4]!Table_1[BO ID],MATCH(INVESTORS_LIST[[#This Row],[INVESTOR CODE]],[4]!Table_1[INVESTOR CODE],0))</f>
        <v>#REF!</v>
      </c>
      <c r="AD356" s="33">
        <f>INVESTORS_LIST[[#This Row],[LS_TOTAL COST VALUE OF CURRENT UNITS]]+INVESTORS_LIST[[#This Row],[SIP_TOTAL COST VALUE OF CURRENT UNITS]]</f>
        <v>0</v>
      </c>
      <c r="AE356" s="44">
        <f>IF(INVESTORS_LIST[[#This Row],[TOTAL CURRENT UNITS]]=0,0,INVESTORS_LIST[[#This Row],[LS_TOTAL CURRENT UNITS]]/INVESTORS_LIST[[#This Row],[TOTAL CURRENT UNITS]])</f>
        <v>0</v>
      </c>
      <c r="AF356" s="44">
        <f>IF(INVESTORS_LIST[[#This Row],[TOTAL CURRENT UNITS]]=0,0,INVESTORS_LIST[[#This Row],[SIP_TOTAL CURRENT UNITS]]/INVESTORS_LIST[[#This Row],[TOTAL CURRENT UNITS]])</f>
        <v>0</v>
      </c>
      <c r="AG356" s="4" cm="1">
        <f t="array" ref="AG35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56" s="4" cm="1">
        <f t="array" ref="AH35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5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56" s="178">
        <f t="shared" si="5"/>
        <v>12.552</v>
      </c>
      <c r="AK356" s="118">
        <f>IF(INVESTORS_LIST[[#This Row],[TOTAL CURRENT UNITS]]=0,0,INVESTORS_LIST[[#This Row],[TOTAL CURRENT UNITS]]*INVESTORS_LIST[[#This Row],[NAV]])</f>
        <v>0</v>
      </c>
      <c r="AL356" s="4">
        <f>IF(INVESTORS_LIST[[#This Row],[LS_TOTAL CURRENT UNITS]]=0,0,INVESTORS_LIST[[#This Row],[LS_TOTAL CURRENT UNITS]]*INVESTORS_LIST[[#This Row],[NAV]])</f>
        <v>0</v>
      </c>
      <c r="AM356" s="6">
        <f>IF(INVESTORS_LIST[[#This Row],[SIP_TOTAL CURRENT UNITS]]=0,0,INVESTORS_LIST[[#This Row],[SIP_TOTAL CURRENT UNITS]]*INVESTORS_LIST[[#This Row],[NAV]])</f>
        <v>0</v>
      </c>
      <c r="AO356" s="6">
        <f>IF(INVESTORS_LIST[[#This Row],[TOTAL SELLABLE UNITS]]=0,0,INVESTORS_LIST[[#This Row],[TOTAL SELLABLE UNITS]]*INVESTORS_LIST[[#This Row],[NAV]])</f>
        <v>0</v>
      </c>
      <c r="AP356" s="6">
        <f>INVESTORS_LIST[[#This Row],[LS_TOTAL REALIZED GAIN]]+INVESTORS_LIST[[#This Row],[SIP_TOTAL REALIZED GAIN]]</f>
        <v>95849.999999999636</v>
      </c>
      <c r="AQ356" s="6">
        <f>INVESTORS_LIST[[#This Row],[TOTAL MARKET VALUE]]-INVESTORS_LIST[[#This Row],[TOTAL COST VALUE OF CURRENT INVESTMENT]]</f>
        <v>0</v>
      </c>
      <c r="AR356" s="6">
        <f>SUMIFS(DivAndTax[Tax Amount],DivAndTax[Investor ID],INVESTORS_LIST[[#This Row],[INVESTOR CODE]])</f>
        <v>11250</v>
      </c>
      <c r="AS356" s="6">
        <f>SUMIFS(DivAndTax[Gross Dividend],DivAndTax[Investor ID],INVESTORS_LIST[[#This Row],[INVESTOR CODE]])</f>
        <v>112500</v>
      </c>
      <c r="AT356" s="5">
        <f>IFERROR(INVESTORS_LIST[[#This Row],[TOTAL CURRENT UNITS]]/SUM(INVESTORS_LIST[TOTAL CURRENT UNITS]),0)</f>
        <v>0</v>
      </c>
    </row>
    <row r="357" spans="1:46" hidden="1">
      <c r="A357" t="s">
        <v>660</v>
      </c>
      <c r="B357" t="s">
        <v>661</v>
      </c>
      <c r="C357" t="s">
        <v>536</v>
      </c>
      <c r="D357" s="8" t="s">
        <v>2</v>
      </c>
      <c r="E357" s="2">
        <f>SUMIFS(LS[Unit],LS[Investor ID],INVESTORS_LIST[[#This Row],[INVESTOR CODE]],LS[B/S],"B")</f>
        <v>50000</v>
      </c>
      <c r="F357" s="2">
        <f>-SUMIFS(LS[Unit],LS[Investor ID],INVESTORS_LIST[[#This Row],[INVESTOR CODE]],LS[B/S],"S")</f>
        <v>50000</v>
      </c>
      <c r="G357" s="2">
        <f>IF(INVESTORS_LIST[[#This Row],[LS_TOTAL UNITS BUY]]=0,0,INVESTORS_LIST[[#This Row],[LS_TOTAL UNITS BUY]]-INVESTORS_LIST[[#This Row],[LS_TOTAL UNITS SOLD]])</f>
        <v>0</v>
      </c>
      <c r="H357" s="4">
        <f>IF(INVESTORS_LIST[[#This Row],[LS_TOTAL UNITS BUY]]=0,0,SUMIFS(LS[Amount],LS[Investor ID],INVESTORS_LIST[[#This Row],[INVESTOR CODE]],LS[B/S],"B"))</f>
        <v>500000</v>
      </c>
      <c r="I357" s="6">
        <f>IF(INVESTORS_LIST[[#This Row],[LS_TOTAL UNITS SOLD]]=0,0,SUMIFS(LS[Cost of Units Sold],LS[Investor ID],INVESTORS_LIST[[#This Row],[INVESTOR CODE]],LS[B/S],"S"))</f>
        <v>500000</v>
      </c>
      <c r="J357" s="6">
        <f>IF(INVESTORS_LIST[[#This Row],[LS_TOTAL CURRENT UNITS]]=0,0,INVESTORS_LIST[[#This Row],[LS_TOTAL CURRENT UNITS]]*INVESTORS_LIST[[#This Row],[LS_AVERAGE COST]])</f>
        <v>0</v>
      </c>
      <c r="K357" s="4">
        <f>IF(INVESTORS_LIST[[#This Row],[LS_TOTAL UNITS SOLD]]=0,0,SUMIFS(LS[Realized Gain],LS[Investor ID],INVESTORS_LIST[[#This Row],[INVESTOR CODE]],LS[B/S],"S"))</f>
        <v>10649.99999999996</v>
      </c>
      <c r="L357" s="2">
        <f>SUMIFS(SIP[Unit],SIP[Investor ID],INVESTORS_LIST[[#This Row],[INVESTOR CODE]],SIP[B/S],"B")</f>
        <v>0</v>
      </c>
      <c r="M357" s="2">
        <f>-SUMIFS(SIP[Unit],SIP[Investor ID],INVESTORS_LIST[[#This Row],[INVESTOR CODE]],SIP[B/S],"S")</f>
        <v>0</v>
      </c>
      <c r="N357" s="33">
        <f>IF(INVESTORS_LIST[[#This Row],[SIP_TOTAL UNITS BUY]]=0,0,INVESTORS_LIST[[#This Row],[SIP_TOTAL UNITS BUY]]-INVESTORS_LIST[[#This Row],[SIP_TOTAL UNITS SOLD]])</f>
        <v>0</v>
      </c>
      <c r="O357" s="4">
        <f>IF(INVESTORS_LIST[[#This Row],[SIP_TOTAL UNITS BUY]]=0,0,SUMIFS(SIP[Amount],SIP[Investor ID],INVESTORS_LIST[[#This Row],[INVESTOR CODE]],SIP[B/S],"B"))</f>
        <v>0</v>
      </c>
      <c r="P357" s="4">
        <f>IF(INVESTORS_LIST[[#This Row],[SIP_TOTAL UNITS SOLD]]=0,0,SUMIFS(SIP[Cost of Units Sold],SIP[Investor ID],INVESTORS_LIST[[#This Row],[INVESTOR CODE]],SIP[B/S],"S"))</f>
        <v>0</v>
      </c>
      <c r="Q357" s="6">
        <f>IF(INVESTORS_LIST[[#This Row],[SIP_TOTAL CURRENT UNITS]]=0,0,INVESTORS_LIST[[#This Row],[SIP_TOTAL CURRENT UNITS]]*INVESTORS_LIST[[#This Row],[SIP_AVERAGE COST]])</f>
        <v>0</v>
      </c>
      <c r="R357" s="6">
        <f>IF(INVESTORS_LIST[[#This Row],[SIP_TOTAL UNITS SOLD]]=0,0,SUMIFS(SIP[Realized Gain],SIP[Investor ID],INVESTORS_LIST[[#This Row],[INVESTOR CODE]],SIP[B/S],"S"))</f>
        <v>0</v>
      </c>
      <c r="S357" s="33">
        <f>INVESTORS_LIST[[#This Row],[LS_TOTAL UNITS BUY]]+INVESTORS_LIST[[#This Row],[SIP_TOTAL UNITS BUY]]</f>
        <v>50000</v>
      </c>
      <c r="T357" s="33">
        <f>INVESTORS_LIST[[#This Row],[LS_TOTAL UNITS SOLD]]+INVESTORS_LIST[[#This Row],[SIP_TOTAL UNITS SOLD]]</f>
        <v>50000</v>
      </c>
      <c r="U357" s="33">
        <v>0</v>
      </c>
      <c r="V357" s="33">
        <f>SUMIFS(LS[BO UNIT TRANSFER],LS[Investor ID],INVESTORS_LIST[[#This Row],[INVESTOR CODE]],LS[B/S],"B")</f>
        <v>0</v>
      </c>
      <c r="W357" s="33">
        <f>SUMIFS(LS[BO UNIT TRANSFER],LS[Investor ID],INVESTORS_LIST[[#This Row],[INVESTOR CODE]],LS[B/S],"S")</f>
        <v>0</v>
      </c>
      <c r="X357" s="33">
        <f>SUMIFS(SIP[BO UNIT TRANSFER],SIP[Investor ID],INVESTORS_LIST[[#This Row],[INVESTOR CODE]],SIP[B/S],"S")</f>
        <v>0</v>
      </c>
      <c r="Y357" s="33">
        <f>SUMIFS(SIP[BO UNIT TRANSFER],SIP[Investor ID],INVESTORS_LIST[[#This Row],[INVESTOR CODE]],SIP[B/S],"B")</f>
        <v>0</v>
      </c>
      <c r="Z35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57" s="119">
        <f>INVESTORS_LIST[[#This Row],[TOTAL UNITS BUY]]-INVESTORS_LIST[[#This Row],[TOTAL UNITS SOLD]]</f>
        <v>0</v>
      </c>
      <c r="AB357" s="119">
        <f>INVESTORS_LIST[[#This Row],[TOTAL CURRENT UNITS]]-INVESTORS_LIST[[#This Row],[BO UNITS HOLD]]</f>
        <v>0</v>
      </c>
      <c r="AC357" s="119" t="e">
        <f>INDEX([4]!Table_1[BO ID],MATCH(INVESTORS_LIST[[#This Row],[INVESTOR CODE]],[4]!Table_1[INVESTOR CODE],0))</f>
        <v>#REF!</v>
      </c>
      <c r="AD357" s="33">
        <f>INVESTORS_LIST[[#This Row],[LS_TOTAL COST VALUE OF CURRENT UNITS]]+INVESTORS_LIST[[#This Row],[SIP_TOTAL COST VALUE OF CURRENT UNITS]]</f>
        <v>0</v>
      </c>
      <c r="AE357" s="44">
        <f>IF(INVESTORS_LIST[[#This Row],[TOTAL CURRENT UNITS]]=0,0,INVESTORS_LIST[[#This Row],[LS_TOTAL CURRENT UNITS]]/INVESTORS_LIST[[#This Row],[TOTAL CURRENT UNITS]])</f>
        <v>0</v>
      </c>
      <c r="AF357" s="44">
        <f>IF(INVESTORS_LIST[[#This Row],[TOTAL CURRENT UNITS]]=0,0,INVESTORS_LIST[[#This Row],[SIP_TOTAL CURRENT UNITS]]/INVESTORS_LIST[[#This Row],[TOTAL CURRENT UNITS]])</f>
        <v>0</v>
      </c>
      <c r="AG357" s="4" cm="1">
        <f t="array" ref="AG35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57" s="4" cm="1">
        <f t="array" ref="AH3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5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57" s="178">
        <f t="shared" si="5"/>
        <v>12.552</v>
      </c>
      <c r="AK357" s="118">
        <f>IF(INVESTORS_LIST[[#This Row],[TOTAL CURRENT UNITS]]=0,0,INVESTORS_LIST[[#This Row],[TOTAL CURRENT UNITS]]*INVESTORS_LIST[[#This Row],[NAV]])</f>
        <v>0</v>
      </c>
      <c r="AL357" s="4">
        <f>IF(INVESTORS_LIST[[#This Row],[LS_TOTAL CURRENT UNITS]]=0,0,INVESTORS_LIST[[#This Row],[LS_TOTAL CURRENT UNITS]]*INVESTORS_LIST[[#This Row],[NAV]])</f>
        <v>0</v>
      </c>
      <c r="AM357" s="6">
        <f>IF(INVESTORS_LIST[[#This Row],[SIP_TOTAL CURRENT UNITS]]=0,0,INVESTORS_LIST[[#This Row],[SIP_TOTAL CURRENT UNITS]]*INVESTORS_LIST[[#This Row],[NAV]])</f>
        <v>0</v>
      </c>
      <c r="AO357" s="6">
        <f>IF(INVESTORS_LIST[[#This Row],[TOTAL SELLABLE UNITS]]=0,0,INVESTORS_LIST[[#This Row],[TOTAL SELLABLE UNITS]]*INVESTORS_LIST[[#This Row],[NAV]])</f>
        <v>0</v>
      </c>
      <c r="AP357" s="6">
        <f>INVESTORS_LIST[[#This Row],[LS_TOTAL REALIZED GAIN]]+INVESTORS_LIST[[#This Row],[SIP_TOTAL REALIZED GAIN]]</f>
        <v>10649.99999999996</v>
      </c>
      <c r="AQ357" s="6">
        <f>INVESTORS_LIST[[#This Row],[TOTAL MARKET VALUE]]-INVESTORS_LIST[[#This Row],[TOTAL COST VALUE OF CURRENT INVESTMENT]]</f>
        <v>0</v>
      </c>
      <c r="AR357" s="6">
        <f>SUMIFS(DivAndTax[Tax Amount],DivAndTax[Investor ID],INVESTORS_LIST[[#This Row],[INVESTOR CODE]])</f>
        <v>1250</v>
      </c>
      <c r="AS357" s="6">
        <f>SUMIFS(DivAndTax[Gross Dividend],DivAndTax[Investor ID],INVESTORS_LIST[[#This Row],[INVESTOR CODE]])</f>
        <v>12500</v>
      </c>
      <c r="AT357" s="5">
        <f>IFERROR(INVESTORS_LIST[[#This Row],[TOTAL CURRENT UNITS]]/SUM(INVESTORS_LIST[TOTAL CURRENT UNITS]),0)</f>
        <v>0</v>
      </c>
    </row>
    <row r="358" spans="1:46" hidden="1">
      <c r="A358" t="s">
        <v>662</v>
      </c>
      <c r="B358" t="s">
        <v>663</v>
      </c>
      <c r="C358" t="s">
        <v>536</v>
      </c>
      <c r="D358" s="8" t="s">
        <v>2</v>
      </c>
      <c r="E358" s="2">
        <f>SUMIFS(LS[Unit],LS[Investor ID],INVESTORS_LIST[[#This Row],[INVESTOR CODE]],LS[B/S],"B")</f>
        <v>100000</v>
      </c>
      <c r="F358" s="2">
        <f>-SUMIFS(LS[Unit],LS[Investor ID],INVESTORS_LIST[[#This Row],[INVESTOR CODE]],LS[B/S],"S")</f>
        <v>100000</v>
      </c>
      <c r="G358" s="2">
        <f>IF(INVESTORS_LIST[[#This Row],[LS_TOTAL UNITS BUY]]=0,0,INVESTORS_LIST[[#This Row],[LS_TOTAL UNITS BUY]]-INVESTORS_LIST[[#This Row],[LS_TOTAL UNITS SOLD]])</f>
        <v>0</v>
      </c>
      <c r="H358" s="4">
        <f>IF(INVESTORS_LIST[[#This Row],[LS_TOTAL UNITS BUY]]=0,0,SUMIFS(LS[Amount],LS[Investor ID],INVESTORS_LIST[[#This Row],[INVESTOR CODE]],LS[B/S],"B"))</f>
        <v>1000000</v>
      </c>
      <c r="I358" s="6">
        <f>IF(INVESTORS_LIST[[#This Row],[LS_TOTAL UNITS SOLD]]=0,0,SUMIFS(LS[Cost of Units Sold],LS[Investor ID],INVESTORS_LIST[[#This Row],[INVESTOR CODE]],LS[B/S],"S"))</f>
        <v>1000000</v>
      </c>
      <c r="J358" s="6">
        <f>IF(INVESTORS_LIST[[#This Row],[LS_TOTAL CURRENT UNITS]]=0,0,INVESTORS_LIST[[#This Row],[LS_TOTAL CURRENT UNITS]]*INVESTORS_LIST[[#This Row],[LS_AVERAGE COST]])</f>
        <v>0</v>
      </c>
      <c r="K358" s="4">
        <f>IF(INVESTORS_LIST[[#This Row],[LS_TOTAL UNITS SOLD]]=0,0,SUMIFS(LS[Realized Gain],LS[Investor ID],INVESTORS_LIST[[#This Row],[INVESTOR CODE]],LS[B/S],"S"))</f>
        <v>-8999.9999999999854</v>
      </c>
      <c r="L358" s="2">
        <f>SUMIFS(SIP[Unit],SIP[Investor ID],INVESTORS_LIST[[#This Row],[INVESTOR CODE]],SIP[B/S],"B")</f>
        <v>0</v>
      </c>
      <c r="M358" s="2">
        <f>-SUMIFS(SIP[Unit],SIP[Investor ID],INVESTORS_LIST[[#This Row],[INVESTOR CODE]],SIP[B/S],"S")</f>
        <v>0</v>
      </c>
      <c r="N358" s="33">
        <f>IF(INVESTORS_LIST[[#This Row],[SIP_TOTAL UNITS BUY]]=0,0,INVESTORS_LIST[[#This Row],[SIP_TOTAL UNITS BUY]]-INVESTORS_LIST[[#This Row],[SIP_TOTAL UNITS SOLD]])</f>
        <v>0</v>
      </c>
      <c r="O358" s="4">
        <f>IF(INVESTORS_LIST[[#This Row],[SIP_TOTAL UNITS BUY]]=0,0,SUMIFS(SIP[Amount],SIP[Investor ID],INVESTORS_LIST[[#This Row],[INVESTOR CODE]],SIP[B/S],"B"))</f>
        <v>0</v>
      </c>
      <c r="P358" s="4">
        <f>IF(INVESTORS_LIST[[#This Row],[SIP_TOTAL UNITS SOLD]]=0,0,SUMIFS(SIP[Cost of Units Sold],SIP[Investor ID],INVESTORS_LIST[[#This Row],[INVESTOR CODE]],SIP[B/S],"S"))</f>
        <v>0</v>
      </c>
      <c r="Q358" s="6">
        <f>IF(INVESTORS_LIST[[#This Row],[SIP_TOTAL CURRENT UNITS]]=0,0,INVESTORS_LIST[[#This Row],[SIP_TOTAL CURRENT UNITS]]*INVESTORS_LIST[[#This Row],[SIP_AVERAGE COST]])</f>
        <v>0</v>
      </c>
      <c r="R358" s="6">
        <f>IF(INVESTORS_LIST[[#This Row],[SIP_TOTAL UNITS SOLD]]=0,0,SUMIFS(SIP[Realized Gain],SIP[Investor ID],INVESTORS_LIST[[#This Row],[INVESTOR CODE]],SIP[B/S],"S"))</f>
        <v>0</v>
      </c>
      <c r="S358" s="33">
        <f>INVESTORS_LIST[[#This Row],[LS_TOTAL UNITS BUY]]+INVESTORS_LIST[[#This Row],[SIP_TOTAL UNITS BUY]]</f>
        <v>100000</v>
      </c>
      <c r="T358" s="33">
        <f>INVESTORS_LIST[[#This Row],[LS_TOTAL UNITS SOLD]]+INVESTORS_LIST[[#This Row],[SIP_TOTAL UNITS SOLD]]</f>
        <v>100000</v>
      </c>
      <c r="U358" s="33">
        <v>0</v>
      </c>
      <c r="V358" s="33">
        <f>SUMIFS(LS[BO UNIT TRANSFER],LS[Investor ID],INVESTORS_LIST[[#This Row],[INVESTOR CODE]],LS[B/S],"B")</f>
        <v>0</v>
      </c>
      <c r="W358" s="33">
        <f>SUMIFS(LS[BO UNIT TRANSFER],LS[Investor ID],INVESTORS_LIST[[#This Row],[INVESTOR CODE]],LS[B/S],"S")</f>
        <v>0</v>
      </c>
      <c r="X358" s="33">
        <f>SUMIFS(SIP[BO UNIT TRANSFER],SIP[Investor ID],INVESTORS_LIST[[#This Row],[INVESTOR CODE]],SIP[B/S],"S")</f>
        <v>0</v>
      </c>
      <c r="Y358" s="33">
        <f>SUMIFS(SIP[BO UNIT TRANSFER],SIP[Investor ID],INVESTORS_LIST[[#This Row],[INVESTOR CODE]],SIP[B/S],"B")</f>
        <v>0</v>
      </c>
      <c r="Z35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58" s="119">
        <f>INVESTORS_LIST[[#This Row],[TOTAL UNITS BUY]]-INVESTORS_LIST[[#This Row],[TOTAL UNITS SOLD]]</f>
        <v>0</v>
      </c>
      <c r="AB358" s="119">
        <f>INVESTORS_LIST[[#This Row],[TOTAL CURRENT UNITS]]-INVESTORS_LIST[[#This Row],[BO UNITS HOLD]]</f>
        <v>0</v>
      </c>
      <c r="AC358" s="119" t="e">
        <f>INDEX([4]!Table_1[BO ID],MATCH(INVESTORS_LIST[[#This Row],[INVESTOR CODE]],[4]!Table_1[INVESTOR CODE],0))</f>
        <v>#REF!</v>
      </c>
      <c r="AD358" s="33">
        <f>INVESTORS_LIST[[#This Row],[LS_TOTAL COST VALUE OF CURRENT UNITS]]+INVESTORS_LIST[[#This Row],[SIP_TOTAL COST VALUE OF CURRENT UNITS]]</f>
        <v>0</v>
      </c>
      <c r="AE358" s="44">
        <f>IF(INVESTORS_LIST[[#This Row],[TOTAL CURRENT UNITS]]=0,0,INVESTORS_LIST[[#This Row],[LS_TOTAL CURRENT UNITS]]/INVESTORS_LIST[[#This Row],[TOTAL CURRENT UNITS]])</f>
        <v>0</v>
      </c>
      <c r="AF358" s="44">
        <f>IF(INVESTORS_LIST[[#This Row],[TOTAL CURRENT UNITS]]=0,0,INVESTORS_LIST[[#This Row],[SIP_TOTAL CURRENT UNITS]]/INVESTORS_LIST[[#This Row],[TOTAL CURRENT UNITS]])</f>
        <v>0</v>
      </c>
      <c r="AG358" s="4" cm="1">
        <f t="array" ref="AG35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58" s="4" cm="1">
        <f t="array" ref="AH3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5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58" s="178">
        <f t="shared" si="5"/>
        <v>12.552</v>
      </c>
      <c r="AK358" s="118">
        <f>IF(INVESTORS_LIST[[#This Row],[TOTAL CURRENT UNITS]]=0,0,INVESTORS_LIST[[#This Row],[TOTAL CURRENT UNITS]]*INVESTORS_LIST[[#This Row],[NAV]])</f>
        <v>0</v>
      </c>
      <c r="AL358" s="4">
        <f>IF(INVESTORS_LIST[[#This Row],[LS_TOTAL CURRENT UNITS]]=0,0,INVESTORS_LIST[[#This Row],[LS_TOTAL CURRENT UNITS]]*INVESTORS_LIST[[#This Row],[NAV]])</f>
        <v>0</v>
      </c>
      <c r="AM358" s="6">
        <f>IF(INVESTORS_LIST[[#This Row],[SIP_TOTAL CURRENT UNITS]]=0,0,INVESTORS_LIST[[#This Row],[SIP_TOTAL CURRENT UNITS]]*INVESTORS_LIST[[#This Row],[NAV]])</f>
        <v>0</v>
      </c>
      <c r="AO358" s="6">
        <f>IF(INVESTORS_LIST[[#This Row],[TOTAL SELLABLE UNITS]]=0,0,INVESTORS_LIST[[#This Row],[TOTAL SELLABLE UNITS]]*INVESTORS_LIST[[#This Row],[NAV]])</f>
        <v>0</v>
      </c>
      <c r="AP358" s="6">
        <f>INVESTORS_LIST[[#This Row],[LS_TOTAL REALIZED GAIN]]+INVESTORS_LIST[[#This Row],[SIP_TOTAL REALIZED GAIN]]</f>
        <v>-8999.9999999999854</v>
      </c>
      <c r="AQ358" s="6">
        <f>INVESTORS_LIST[[#This Row],[TOTAL MARKET VALUE]]-INVESTORS_LIST[[#This Row],[TOTAL COST VALUE OF CURRENT INVESTMENT]]</f>
        <v>0</v>
      </c>
      <c r="AR358" s="6">
        <f>SUMIFS(DivAndTax[Tax Amount],DivAndTax[Investor ID],INVESTORS_LIST[[#This Row],[INVESTOR CODE]])</f>
        <v>0</v>
      </c>
      <c r="AS358" s="6">
        <f>SUMIFS(DivAndTax[Gross Dividend],DivAndTax[Investor ID],INVESTORS_LIST[[#This Row],[INVESTOR CODE]])</f>
        <v>0</v>
      </c>
      <c r="AT358" s="5">
        <f>IFERROR(INVESTORS_LIST[[#This Row],[TOTAL CURRENT UNITS]]/SUM(INVESTORS_LIST[TOTAL CURRENT UNITS]),0)</f>
        <v>0</v>
      </c>
    </row>
    <row r="359" spans="1:46" hidden="1">
      <c r="A359" t="s">
        <v>664</v>
      </c>
      <c r="B359" t="s">
        <v>665</v>
      </c>
      <c r="C359" t="s">
        <v>539</v>
      </c>
      <c r="D359" s="8" t="s">
        <v>2</v>
      </c>
      <c r="E359" s="2">
        <f>SUMIFS(LS[Unit],LS[Investor ID],INVESTORS_LIST[[#This Row],[INVESTOR CODE]],LS[B/S],"B")</f>
        <v>5000</v>
      </c>
      <c r="F359" s="2">
        <f>-SUMIFS(LS[Unit],LS[Investor ID],INVESTORS_LIST[[#This Row],[INVESTOR CODE]],LS[B/S],"S")</f>
        <v>5000</v>
      </c>
      <c r="G359" s="2">
        <f>IF(INVESTORS_LIST[[#This Row],[LS_TOTAL UNITS BUY]]=0,0,INVESTORS_LIST[[#This Row],[LS_TOTAL UNITS BUY]]-INVESTORS_LIST[[#This Row],[LS_TOTAL UNITS SOLD]])</f>
        <v>0</v>
      </c>
      <c r="H359" s="4">
        <f>IF(INVESTORS_LIST[[#This Row],[LS_TOTAL UNITS BUY]]=0,0,SUMIFS(LS[Amount],LS[Investor ID],INVESTORS_LIST[[#This Row],[INVESTOR CODE]],LS[B/S],"B"))</f>
        <v>50000</v>
      </c>
      <c r="I359" s="6">
        <f>IF(INVESTORS_LIST[[#This Row],[LS_TOTAL UNITS SOLD]]=0,0,SUMIFS(LS[Cost of Units Sold],LS[Investor ID],INVESTORS_LIST[[#This Row],[INVESTOR CODE]],LS[B/S],"S"))</f>
        <v>50000</v>
      </c>
      <c r="J359" s="6">
        <f>IF(INVESTORS_LIST[[#This Row],[LS_TOTAL CURRENT UNITS]]=0,0,INVESTORS_LIST[[#This Row],[LS_TOTAL CURRENT UNITS]]*INVESTORS_LIST[[#This Row],[LS_AVERAGE COST]])</f>
        <v>0</v>
      </c>
      <c r="K359" s="4">
        <f>IF(INVESTORS_LIST[[#This Row],[LS_TOTAL UNITS SOLD]]=0,0,SUMIFS(LS[Realized Gain],LS[Investor ID],INVESTORS_LIST[[#This Row],[INVESTOR CODE]],LS[B/S],"S"))</f>
        <v>-499.99999999999824</v>
      </c>
      <c r="L359" s="2">
        <f>SUMIFS(SIP[Unit],SIP[Investor ID],INVESTORS_LIST[[#This Row],[INVESTOR CODE]],SIP[B/S],"B")</f>
        <v>0</v>
      </c>
      <c r="M359" s="2">
        <f>-SUMIFS(SIP[Unit],SIP[Investor ID],INVESTORS_LIST[[#This Row],[INVESTOR CODE]],SIP[B/S],"S")</f>
        <v>0</v>
      </c>
      <c r="N359" s="33">
        <f>IF(INVESTORS_LIST[[#This Row],[SIP_TOTAL UNITS BUY]]=0,0,INVESTORS_LIST[[#This Row],[SIP_TOTAL UNITS BUY]]-INVESTORS_LIST[[#This Row],[SIP_TOTAL UNITS SOLD]])</f>
        <v>0</v>
      </c>
      <c r="O359" s="4">
        <f>IF(INVESTORS_LIST[[#This Row],[SIP_TOTAL UNITS BUY]]=0,0,SUMIFS(SIP[Amount],SIP[Investor ID],INVESTORS_LIST[[#This Row],[INVESTOR CODE]],SIP[B/S],"B"))</f>
        <v>0</v>
      </c>
      <c r="P359" s="4">
        <f>IF(INVESTORS_LIST[[#This Row],[SIP_TOTAL UNITS SOLD]]=0,0,SUMIFS(SIP[Cost of Units Sold],SIP[Investor ID],INVESTORS_LIST[[#This Row],[INVESTOR CODE]],SIP[B/S],"S"))</f>
        <v>0</v>
      </c>
      <c r="Q359" s="6">
        <f>IF(INVESTORS_LIST[[#This Row],[SIP_TOTAL CURRENT UNITS]]=0,0,INVESTORS_LIST[[#This Row],[SIP_TOTAL CURRENT UNITS]]*INVESTORS_LIST[[#This Row],[SIP_AVERAGE COST]])</f>
        <v>0</v>
      </c>
      <c r="R359" s="6">
        <f>IF(INVESTORS_LIST[[#This Row],[SIP_TOTAL UNITS SOLD]]=0,0,SUMIFS(SIP[Realized Gain],SIP[Investor ID],INVESTORS_LIST[[#This Row],[INVESTOR CODE]],SIP[B/S],"S"))</f>
        <v>0</v>
      </c>
      <c r="S359" s="33">
        <f>INVESTORS_LIST[[#This Row],[LS_TOTAL UNITS BUY]]+INVESTORS_LIST[[#This Row],[SIP_TOTAL UNITS BUY]]</f>
        <v>5000</v>
      </c>
      <c r="T359" s="33">
        <f>INVESTORS_LIST[[#This Row],[LS_TOTAL UNITS SOLD]]+INVESTORS_LIST[[#This Row],[SIP_TOTAL UNITS SOLD]]</f>
        <v>5000</v>
      </c>
      <c r="U359" s="33">
        <v>5000</v>
      </c>
      <c r="V359" s="33">
        <f>SUMIFS(LS[BO UNIT TRANSFER],LS[Investor ID],INVESTORS_LIST[[#This Row],[INVESTOR CODE]],LS[B/S],"B")</f>
        <v>0</v>
      </c>
      <c r="W359" s="33">
        <f>SUMIFS(LS[BO UNIT TRANSFER],LS[Investor ID],INVESTORS_LIST[[#This Row],[INVESTOR CODE]],LS[B/S],"S")</f>
        <v>0</v>
      </c>
      <c r="X359" s="33">
        <f>SUMIFS(SIP[BO UNIT TRANSFER],SIP[Investor ID],INVESTORS_LIST[[#This Row],[INVESTOR CODE]],SIP[B/S],"S")</f>
        <v>0</v>
      </c>
      <c r="Y359" s="33">
        <f>SUMIFS(SIP[BO UNIT TRANSFER],SIP[Investor ID],INVESTORS_LIST[[#This Row],[INVESTOR CODE]],SIP[B/S],"B")</f>
        <v>0</v>
      </c>
      <c r="Z35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5000</v>
      </c>
      <c r="AA359" s="119">
        <f>INVESTORS_LIST[[#This Row],[TOTAL UNITS BUY]]-INVESTORS_LIST[[#This Row],[TOTAL UNITS SOLD]]</f>
        <v>0</v>
      </c>
      <c r="AB359" s="119">
        <f>INVESTORS_LIST[[#This Row],[TOTAL CURRENT UNITS]]-INVESTORS_LIST[[#This Row],[BO UNITS HOLD]]</f>
        <v>-5000</v>
      </c>
      <c r="AC359" s="119" t="e">
        <f>INDEX([4]!Table_1[BO ID],MATCH(INVESTORS_LIST[[#This Row],[INVESTOR CODE]],[4]!Table_1[INVESTOR CODE],0))</f>
        <v>#REF!</v>
      </c>
      <c r="AD359" s="33">
        <f>INVESTORS_LIST[[#This Row],[LS_TOTAL COST VALUE OF CURRENT UNITS]]+INVESTORS_LIST[[#This Row],[SIP_TOTAL COST VALUE OF CURRENT UNITS]]</f>
        <v>0</v>
      </c>
      <c r="AE359" s="44">
        <f>IF(INVESTORS_LIST[[#This Row],[TOTAL CURRENT UNITS]]=0,0,INVESTORS_LIST[[#This Row],[LS_TOTAL CURRENT UNITS]]/INVESTORS_LIST[[#This Row],[TOTAL CURRENT UNITS]])</f>
        <v>0</v>
      </c>
      <c r="AF359" s="44">
        <f>IF(INVESTORS_LIST[[#This Row],[TOTAL CURRENT UNITS]]=0,0,INVESTORS_LIST[[#This Row],[SIP_TOTAL CURRENT UNITS]]/INVESTORS_LIST[[#This Row],[TOTAL CURRENT UNITS]])</f>
        <v>0</v>
      </c>
      <c r="AG359" s="4" cm="1">
        <f t="array" ref="AG35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59" s="4" cm="1">
        <f t="array" ref="AH3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5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59" s="178">
        <f t="shared" si="5"/>
        <v>12.552</v>
      </c>
      <c r="AK359" s="118">
        <f>IF(INVESTORS_LIST[[#This Row],[TOTAL CURRENT UNITS]]=0,0,INVESTORS_LIST[[#This Row],[TOTAL CURRENT UNITS]]*INVESTORS_LIST[[#This Row],[NAV]])</f>
        <v>0</v>
      </c>
      <c r="AL359" s="4">
        <f>IF(INVESTORS_LIST[[#This Row],[LS_TOTAL CURRENT UNITS]]=0,0,INVESTORS_LIST[[#This Row],[LS_TOTAL CURRENT UNITS]]*INVESTORS_LIST[[#This Row],[NAV]])</f>
        <v>0</v>
      </c>
      <c r="AM359" s="6">
        <f>IF(INVESTORS_LIST[[#This Row],[SIP_TOTAL CURRENT UNITS]]=0,0,INVESTORS_LIST[[#This Row],[SIP_TOTAL CURRENT UNITS]]*INVESTORS_LIST[[#This Row],[NAV]])</f>
        <v>0</v>
      </c>
      <c r="AO359" s="6">
        <f>IF(INVESTORS_LIST[[#This Row],[TOTAL SELLABLE UNITS]]=0,0,INVESTORS_LIST[[#This Row],[TOTAL SELLABLE UNITS]]*INVESTORS_LIST[[#This Row],[NAV]])</f>
        <v>0</v>
      </c>
      <c r="AP359" s="6">
        <f>INVESTORS_LIST[[#This Row],[LS_TOTAL REALIZED GAIN]]+INVESTORS_LIST[[#This Row],[SIP_TOTAL REALIZED GAIN]]</f>
        <v>-499.99999999999824</v>
      </c>
      <c r="AQ359" s="6">
        <f>INVESTORS_LIST[[#This Row],[TOTAL MARKET VALUE]]-INVESTORS_LIST[[#This Row],[TOTAL COST VALUE OF CURRENT INVESTMENT]]</f>
        <v>0</v>
      </c>
      <c r="AR359" s="6">
        <f>SUMIFS(DivAndTax[Tax Amount],DivAndTax[Investor ID],INVESTORS_LIST[[#This Row],[INVESTOR CODE]])</f>
        <v>0</v>
      </c>
      <c r="AS359" s="6">
        <f>SUMIFS(DivAndTax[Gross Dividend],DivAndTax[Investor ID],INVESTORS_LIST[[#This Row],[INVESTOR CODE]])</f>
        <v>0</v>
      </c>
      <c r="AT359" s="5">
        <f>IFERROR(INVESTORS_LIST[[#This Row],[TOTAL CURRENT UNITS]]/SUM(INVESTORS_LIST[TOTAL CURRENT UNITS]),0)</f>
        <v>0</v>
      </c>
    </row>
    <row r="360" spans="1:46">
      <c r="A360" t="s">
        <v>666</v>
      </c>
      <c r="B360" t="s">
        <v>667</v>
      </c>
      <c r="C360" t="s">
        <v>537</v>
      </c>
      <c r="D360" s="8" t="s">
        <v>5</v>
      </c>
      <c r="E360" s="2">
        <f>SUMIFS(LS[Unit],LS[Investor ID],INVESTORS_LIST[[#This Row],[INVESTOR CODE]],LS[B/S],"B")</f>
        <v>109625</v>
      </c>
      <c r="F360" s="2">
        <f>-SUMIFS(LS[Unit],LS[Investor ID],INVESTORS_LIST[[#This Row],[INVESTOR CODE]],LS[B/S],"S")</f>
        <v>50000</v>
      </c>
      <c r="G360" s="2">
        <f>IF(INVESTORS_LIST[[#This Row],[LS_TOTAL UNITS BUY]]=0,0,INVESTORS_LIST[[#This Row],[LS_TOTAL UNITS BUY]]-INVESTORS_LIST[[#This Row],[LS_TOTAL UNITS SOLD]])</f>
        <v>59625</v>
      </c>
      <c r="H360" s="4">
        <f>IF(INVESTORS_LIST[[#This Row],[LS_TOTAL UNITS BUY]]=0,0,SUMIFS(LS[Amount],LS[Investor ID],INVESTORS_LIST[[#This Row],[INVESTOR CODE]],LS[B/S],"B"))</f>
        <v>1200000</v>
      </c>
      <c r="I360" s="6">
        <f>IF(INVESTORS_LIST[[#This Row],[LS_TOTAL UNITS SOLD]]=0,0,SUMIFS(LS[Cost of Units Sold],LS[Investor ID],INVESTORS_LIST[[#This Row],[INVESTOR CODE]],LS[B/S],"S"))</f>
        <v>500000</v>
      </c>
      <c r="J360" s="6">
        <f>IF(INVESTORS_LIST[[#This Row],[LS_TOTAL CURRENT UNITS]]=0,0,INVESTORS_LIST[[#This Row],[LS_TOTAL CURRENT UNITS]]*INVESTORS_LIST[[#This Row],[LS_AVERAGE COST]])</f>
        <v>700000</v>
      </c>
      <c r="K360" s="4">
        <f>IF(INVESTORS_LIST[[#This Row],[LS_TOTAL UNITS SOLD]]=0,0,SUMIFS(LS[Realized Gain],LS[Investor ID],INVESTORS_LIST[[#This Row],[INVESTOR CODE]],LS[B/S],"S"))</f>
        <v>93250.000000000015</v>
      </c>
      <c r="L360" s="2">
        <f>SUMIFS(SIP[Unit],SIP[Investor ID],INVESTORS_LIST[[#This Row],[INVESTOR CODE]],SIP[B/S],"B")</f>
        <v>0</v>
      </c>
      <c r="M360" s="2">
        <f>-SUMIFS(SIP[Unit],SIP[Investor ID],INVESTORS_LIST[[#This Row],[INVESTOR CODE]],SIP[B/S],"S")</f>
        <v>0</v>
      </c>
      <c r="N360" s="33">
        <f>IF(INVESTORS_LIST[[#This Row],[SIP_TOTAL UNITS BUY]]=0,0,INVESTORS_LIST[[#This Row],[SIP_TOTAL UNITS BUY]]-INVESTORS_LIST[[#This Row],[SIP_TOTAL UNITS SOLD]])</f>
        <v>0</v>
      </c>
      <c r="O360" s="4">
        <f>IF(INVESTORS_LIST[[#This Row],[SIP_TOTAL UNITS BUY]]=0,0,SUMIFS(SIP[Amount],SIP[Investor ID],INVESTORS_LIST[[#This Row],[INVESTOR CODE]],SIP[B/S],"B"))</f>
        <v>0</v>
      </c>
      <c r="P360" s="4">
        <f>IF(INVESTORS_LIST[[#This Row],[SIP_TOTAL UNITS SOLD]]=0,0,SUMIFS(SIP[Cost of Units Sold],SIP[Investor ID],INVESTORS_LIST[[#This Row],[INVESTOR CODE]],SIP[B/S],"S"))</f>
        <v>0</v>
      </c>
      <c r="Q360" s="6">
        <f>IF(INVESTORS_LIST[[#This Row],[SIP_TOTAL CURRENT UNITS]]=0,0,INVESTORS_LIST[[#This Row],[SIP_TOTAL CURRENT UNITS]]*INVESTORS_LIST[[#This Row],[SIP_AVERAGE COST]])</f>
        <v>0</v>
      </c>
      <c r="R360" s="6">
        <f>IF(INVESTORS_LIST[[#This Row],[SIP_TOTAL UNITS SOLD]]=0,0,SUMIFS(SIP[Realized Gain],SIP[Investor ID],INVESTORS_LIST[[#This Row],[INVESTOR CODE]],SIP[B/S],"S"))</f>
        <v>0</v>
      </c>
      <c r="S360" s="33">
        <f>INVESTORS_LIST[[#This Row],[LS_TOTAL UNITS BUY]]+INVESTORS_LIST[[#This Row],[SIP_TOTAL UNITS BUY]]</f>
        <v>109625</v>
      </c>
      <c r="T360" s="33">
        <f>INVESTORS_LIST[[#This Row],[LS_TOTAL UNITS SOLD]]+INVESTORS_LIST[[#This Row],[SIP_TOTAL UNITS SOLD]]</f>
        <v>50000</v>
      </c>
      <c r="U360" s="33">
        <v>0</v>
      </c>
      <c r="V360" s="33">
        <f>SUMIFS(LS[BO UNIT TRANSFER],LS[Investor ID],INVESTORS_LIST[[#This Row],[INVESTOR CODE]],LS[B/S],"B")</f>
        <v>109625</v>
      </c>
      <c r="W360" s="33">
        <f>SUMIFS(LS[BO UNIT TRANSFER],LS[Investor ID],INVESTORS_LIST[[#This Row],[INVESTOR CODE]],LS[B/S],"S")</f>
        <v>-50000</v>
      </c>
      <c r="X360" s="33">
        <f>SUMIFS(SIP[BO UNIT TRANSFER],SIP[Investor ID],INVESTORS_LIST[[#This Row],[INVESTOR CODE]],SIP[B/S],"S")</f>
        <v>0</v>
      </c>
      <c r="Y360" s="33">
        <f>SUMIFS(SIP[BO UNIT TRANSFER],SIP[Investor ID],INVESTORS_LIST[[#This Row],[INVESTOR CODE]],SIP[B/S],"B")</f>
        <v>0</v>
      </c>
      <c r="Z36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59625</v>
      </c>
      <c r="AA360" s="119">
        <f>INVESTORS_LIST[[#This Row],[TOTAL UNITS BUY]]-INVESTORS_LIST[[#This Row],[TOTAL UNITS SOLD]]</f>
        <v>59625</v>
      </c>
      <c r="AB360" s="119">
        <f>INVESTORS_LIST[[#This Row],[TOTAL CURRENT UNITS]]-INVESTORS_LIST[[#This Row],[BO UNITS HOLD]]</f>
        <v>0</v>
      </c>
      <c r="AC360" s="119" t="e">
        <f>INDEX([4]!Table_1[BO ID],MATCH(INVESTORS_LIST[[#This Row],[INVESTOR CODE]],[4]!Table_1[INVESTOR CODE],0))</f>
        <v>#REF!</v>
      </c>
      <c r="AD360" s="33">
        <f>INVESTORS_LIST[[#This Row],[LS_TOTAL COST VALUE OF CURRENT UNITS]]+INVESTORS_LIST[[#This Row],[SIP_TOTAL COST VALUE OF CURRENT UNITS]]</f>
        <v>700000</v>
      </c>
      <c r="AE360" s="44">
        <f>IF(INVESTORS_LIST[[#This Row],[TOTAL CURRENT UNITS]]=0,0,INVESTORS_LIST[[#This Row],[LS_TOTAL CURRENT UNITS]]/INVESTORS_LIST[[#This Row],[TOTAL CURRENT UNITS]])</f>
        <v>1</v>
      </c>
      <c r="AF360" s="44">
        <f>IF(INVESTORS_LIST[[#This Row],[TOTAL CURRENT UNITS]]=0,0,INVESTORS_LIST[[#This Row],[SIP_TOTAL CURRENT UNITS]]/INVESTORS_LIST[[#This Row],[TOTAL CURRENT UNITS]])</f>
        <v>0</v>
      </c>
      <c r="AG360" s="4" cm="1">
        <f t="array" ref="AG360">IF(INVESTORS_LIST[[#This Row],[LS_TOTAL UNITS BUY]]&gt;0,INDEX(LS[NAV at Cost (Average)],MATCH(CONCATENATE(COUNTIFS(LS[Investor ID],INVESTORS_LIST[[#This Row],[INVESTOR CODE]]),INVESTORS_LIST[[#This Row],[INVESTOR CODE]]),LS[Unique Code],0),),0)</f>
        <v>11.740041928721174</v>
      </c>
      <c r="AH360" s="4" cm="1">
        <f t="array" ref="AH36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60" s="178">
        <f>IF(INVESTORS_LIST[[#This Row],[TOTAL CURRENT UNITS]]=0,0,(INVESTORS_LIST[[#This Row],[LS_WEIGHT]]*INVESTORS_LIST[[#This Row],[LS_AVERAGE COST]])+(INVESTORS_LIST[[#This Row],[SIP_WEIGHT]]*INVESTORS_LIST[[#This Row],[SIP_AVERAGE COST]]))</f>
        <v>11.740041928721174</v>
      </c>
      <c r="AJ360" s="178">
        <f t="shared" si="5"/>
        <v>12.552</v>
      </c>
      <c r="AK360" s="118">
        <f>IF(INVESTORS_LIST[[#This Row],[TOTAL CURRENT UNITS]]=0,0,INVESTORS_LIST[[#This Row],[TOTAL CURRENT UNITS]]*INVESTORS_LIST[[#This Row],[NAV]])</f>
        <v>748413</v>
      </c>
      <c r="AL360" s="4">
        <f>IF(INVESTORS_LIST[[#This Row],[LS_TOTAL CURRENT UNITS]]=0,0,INVESTORS_LIST[[#This Row],[LS_TOTAL CURRENT UNITS]]*INVESTORS_LIST[[#This Row],[NAV]])</f>
        <v>748413</v>
      </c>
      <c r="AM360" s="6">
        <f>IF(INVESTORS_LIST[[#This Row],[SIP_TOTAL CURRENT UNITS]]=0,0,INVESTORS_LIST[[#This Row],[SIP_TOTAL CURRENT UNITS]]*INVESTORS_LIST[[#This Row],[NAV]])</f>
        <v>0</v>
      </c>
      <c r="AO360" s="6">
        <f>IF(INVESTORS_LIST[[#This Row],[TOTAL SELLABLE UNITS]]=0,0,INVESTORS_LIST[[#This Row],[TOTAL SELLABLE UNITS]]*INVESTORS_LIST[[#This Row],[NAV]])</f>
        <v>0</v>
      </c>
      <c r="AP360" s="6">
        <f>INVESTORS_LIST[[#This Row],[LS_TOTAL REALIZED GAIN]]+INVESTORS_LIST[[#This Row],[SIP_TOTAL REALIZED GAIN]]</f>
        <v>93250.000000000015</v>
      </c>
      <c r="AQ360" s="6">
        <f>INVESTORS_LIST[[#This Row],[TOTAL MARKET VALUE]]-INVESTORS_LIST[[#This Row],[TOTAL COST VALUE OF CURRENT INVESTMENT]]</f>
        <v>48413</v>
      </c>
      <c r="AR360" s="6">
        <f>SUMIFS(DivAndTax[Tax Amount],DivAndTax[Investor ID],INVESTORS_LIST[[#This Row],[INVESTOR CODE]])</f>
        <v>7500</v>
      </c>
      <c r="AS360" s="6">
        <f>SUMIFS(DivAndTax[Gross Dividend],DivAndTax[Investor ID],INVESTORS_LIST[[#This Row],[INVESTOR CODE]])</f>
        <v>37500</v>
      </c>
      <c r="AT360" s="5">
        <f>IFERROR(INVESTORS_LIST[[#This Row],[TOTAL CURRENT UNITS]]/SUM(INVESTORS_LIST[TOTAL CURRENT UNITS]),0)</f>
        <v>2.8587107902344425E-3</v>
      </c>
    </row>
    <row r="361" spans="1:46" hidden="1">
      <c r="A361" t="s">
        <v>668</v>
      </c>
      <c r="B361" t="s">
        <v>669</v>
      </c>
      <c r="C361" t="s">
        <v>536</v>
      </c>
      <c r="D361" s="8" t="s">
        <v>2</v>
      </c>
      <c r="E361" s="2">
        <f>SUMIFS(LS[Unit],LS[Investor ID],INVESTORS_LIST[[#This Row],[INVESTOR CODE]],LS[B/S],"B")</f>
        <v>10000</v>
      </c>
      <c r="F361" s="2">
        <f>-SUMIFS(LS[Unit],LS[Investor ID],INVESTORS_LIST[[#This Row],[INVESTOR CODE]],LS[B/S],"S")</f>
        <v>10000</v>
      </c>
      <c r="G361" s="2">
        <f>IF(INVESTORS_LIST[[#This Row],[LS_TOTAL UNITS BUY]]=0,0,INVESTORS_LIST[[#This Row],[LS_TOTAL UNITS BUY]]-INVESTORS_LIST[[#This Row],[LS_TOTAL UNITS SOLD]])</f>
        <v>0</v>
      </c>
      <c r="H361" s="4">
        <f>IF(INVESTORS_LIST[[#This Row],[LS_TOTAL UNITS BUY]]=0,0,SUMIFS(LS[Amount],LS[Investor ID],INVESTORS_LIST[[#This Row],[INVESTOR CODE]],LS[B/S],"B"))</f>
        <v>100000</v>
      </c>
      <c r="I361" s="6">
        <f>IF(INVESTORS_LIST[[#This Row],[LS_TOTAL UNITS SOLD]]=0,0,SUMIFS(LS[Cost of Units Sold],LS[Investor ID],INVESTORS_LIST[[#This Row],[INVESTOR CODE]],LS[B/S],"S"))</f>
        <v>100000</v>
      </c>
      <c r="J361" s="6">
        <f>IF(INVESTORS_LIST[[#This Row],[LS_TOTAL CURRENT UNITS]]=0,0,INVESTORS_LIST[[#This Row],[LS_TOTAL CURRENT UNITS]]*INVESTORS_LIST[[#This Row],[LS_AVERAGE COST]])</f>
        <v>0</v>
      </c>
      <c r="K361" s="4">
        <f>IF(INVESTORS_LIST[[#This Row],[LS_TOTAL UNITS SOLD]]=0,0,SUMIFS(LS[Realized Gain],LS[Investor ID],INVESTORS_LIST[[#This Row],[INVESTOR CODE]],LS[B/S],"S"))</f>
        <v>600.000000000005</v>
      </c>
      <c r="L361" s="2">
        <f>SUMIFS(SIP[Unit],SIP[Investor ID],INVESTORS_LIST[[#This Row],[INVESTOR CODE]],SIP[B/S],"B")</f>
        <v>0</v>
      </c>
      <c r="M361" s="2">
        <f>-SUMIFS(SIP[Unit],SIP[Investor ID],INVESTORS_LIST[[#This Row],[INVESTOR CODE]],SIP[B/S],"S")</f>
        <v>0</v>
      </c>
      <c r="N361" s="33">
        <f>IF(INVESTORS_LIST[[#This Row],[SIP_TOTAL UNITS BUY]]=0,0,INVESTORS_LIST[[#This Row],[SIP_TOTAL UNITS BUY]]-INVESTORS_LIST[[#This Row],[SIP_TOTAL UNITS SOLD]])</f>
        <v>0</v>
      </c>
      <c r="O361" s="4">
        <f>IF(INVESTORS_LIST[[#This Row],[SIP_TOTAL UNITS BUY]]=0,0,SUMIFS(SIP[Amount],SIP[Investor ID],INVESTORS_LIST[[#This Row],[INVESTOR CODE]],SIP[B/S],"B"))</f>
        <v>0</v>
      </c>
      <c r="P361" s="4">
        <f>IF(INVESTORS_LIST[[#This Row],[SIP_TOTAL UNITS SOLD]]=0,0,SUMIFS(SIP[Cost of Units Sold],SIP[Investor ID],INVESTORS_LIST[[#This Row],[INVESTOR CODE]],SIP[B/S],"S"))</f>
        <v>0</v>
      </c>
      <c r="Q361" s="6">
        <f>IF(INVESTORS_LIST[[#This Row],[SIP_TOTAL CURRENT UNITS]]=0,0,INVESTORS_LIST[[#This Row],[SIP_TOTAL CURRENT UNITS]]*INVESTORS_LIST[[#This Row],[SIP_AVERAGE COST]])</f>
        <v>0</v>
      </c>
      <c r="R361" s="6">
        <f>IF(INVESTORS_LIST[[#This Row],[SIP_TOTAL UNITS SOLD]]=0,0,SUMIFS(SIP[Realized Gain],SIP[Investor ID],INVESTORS_LIST[[#This Row],[INVESTOR CODE]],SIP[B/S],"S"))</f>
        <v>0</v>
      </c>
      <c r="S361" s="33">
        <f>INVESTORS_LIST[[#This Row],[LS_TOTAL UNITS BUY]]+INVESTORS_LIST[[#This Row],[SIP_TOTAL UNITS BUY]]</f>
        <v>10000</v>
      </c>
      <c r="T361" s="33">
        <f>INVESTORS_LIST[[#This Row],[LS_TOTAL UNITS SOLD]]+INVESTORS_LIST[[#This Row],[SIP_TOTAL UNITS SOLD]]</f>
        <v>10000</v>
      </c>
      <c r="U361" s="33">
        <v>0</v>
      </c>
      <c r="V361" s="33">
        <f>SUMIFS(LS[BO UNIT TRANSFER],LS[Investor ID],INVESTORS_LIST[[#This Row],[INVESTOR CODE]],LS[B/S],"B")</f>
        <v>0</v>
      </c>
      <c r="W361" s="33">
        <f>SUMIFS(LS[BO UNIT TRANSFER],LS[Investor ID],INVESTORS_LIST[[#This Row],[INVESTOR CODE]],LS[B/S],"S")</f>
        <v>0</v>
      </c>
      <c r="X361" s="33">
        <f>SUMIFS(SIP[BO UNIT TRANSFER],SIP[Investor ID],INVESTORS_LIST[[#This Row],[INVESTOR CODE]],SIP[B/S],"S")</f>
        <v>0</v>
      </c>
      <c r="Y361" s="33">
        <f>SUMIFS(SIP[BO UNIT TRANSFER],SIP[Investor ID],INVESTORS_LIST[[#This Row],[INVESTOR CODE]],SIP[B/S],"B")</f>
        <v>0</v>
      </c>
      <c r="Z36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61" s="119">
        <f>INVESTORS_LIST[[#This Row],[TOTAL UNITS BUY]]-INVESTORS_LIST[[#This Row],[TOTAL UNITS SOLD]]</f>
        <v>0</v>
      </c>
      <c r="AB361" s="119">
        <f>INVESTORS_LIST[[#This Row],[TOTAL CURRENT UNITS]]-INVESTORS_LIST[[#This Row],[BO UNITS HOLD]]</f>
        <v>0</v>
      </c>
      <c r="AC361" s="119" t="e">
        <f>INDEX([4]!Table_1[BO ID],MATCH(INVESTORS_LIST[[#This Row],[INVESTOR CODE]],[4]!Table_1[INVESTOR CODE],0))</f>
        <v>#REF!</v>
      </c>
      <c r="AD361" s="33">
        <f>INVESTORS_LIST[[#This Row],[LS_TOTAL COST VALUE OF CURRENT UNITS]]+INVESTORS_LIST[[#This Row],[SIP_TOTAL COST VALUE OF CURRENT UNITS]]</f>
        <v>0</v>
      </c>
      <c r="AE361" s="44">
        <f>IF(INVESTORS_LIST[[#This Row],[TOTAL CURRENT UNITS]]=0,0,INVESTORS_LIST[[#This Row],[LS_TOTAL CURRENT UNITS]]/INVESTORS_LIST[[#This Row],[TOTAL CURRENT UNITS]])</f>
        <v>0</v>
      </c>
      <c r="AF361" s="44">
        <f>IF(INVESTORS_LIST[[#This Row],[TOTAL CURRENT UNITS]]=0,0,INVESTORS_LIST[[#This Row],[SIP_TOTAL CURRENT UNITS]]/INVESTORS_LIST[[#This Row],[TOTAL CURRENT UNITS]])</f>
        <v>0</v>
      </c>
      <c r="AG361" s="4" cm="1">
        <f t="array" ref="AG36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61" s="4" cm="1">
        <f t="array" ref="AH3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6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61" s="178">
        <f t="shared" si="5"/>
        <v>12.552</v>
      </c>
      <c r="AK361" s="118">
        <f>IF(INVESTORS_LIST[[#This Row],[TOTAL CURRENT UNITS]]=0,0,INVESTORS_LIST[[#This Row],[TOTAL CURRENT UNITS]]*INVESTORS_LIST[[#This Row],[NAV]])</f>
        <v>0</v>
      </c>
      <c r="AL361" s="4">
        <f>IF(INVESTORS_LIST[[#This Row],[LS_TOTAL CURRENT UNITS]]=0,0,INVESTORS_LIST[[#This Row],[LS_TOTAL CURRENT UNITS]]*INVESTORS_LIST[[#This Row],[NAV]])</f>
        <v>0</v>
      </c>
      <c r="AM361" s="6">
        <f>IF(INVESTORS_LIST[[#This Row],[SIP_TOTAL CURRENT UNITS]]=0,0,INVESTORS_LIST[[#This Row],[SIP_TOTAL CURRENT UNITS]]*INVESTORS_LIST[[#This Row],[NAV]])</f>
        <v>0</v>
      </c>
      <c r="AO361" s="6">
        <f>IF(INVESTORS_LIST[[#This Row],[TOTAL SELLABLE UNITS]]=0,0,INVESTORS_LIST[[#This Row],[TOTAL SELLABLE UNITS]]*INVESTORS_LIST[[#This Row],[NAV]])</f>
        <v>0</v>
      </c>
      <c r="AP361" s="6">
        <f>INVESTORS_LIST[[#This Row],[LS_TOTAL REALIZED GAIN]]+INVESTORS_LIST[[#This Row],[SIP_TOTAL REALIZED GAIN]]</f>
        <v>600.000000000005</v>
      </c>
      <c r="AQ361" s="6">
        <f>INVESTORS_LIST[[#This Row],[TOTAL MARKET VALUE]]-INVESTORS_LIST[[#This Row],[TOTAL COST VALUE OF CURRENT INVESTMENT]]</f>
        <v>0</v>
      </c>
      <c r="AR361" s="6">
        <f>SUMIFS(DivAndTax[Tax Amount],DivAndTax[Investor ID],INVESTORS_LIST[[#This Row],[INVESTOR CODE]])</f>
        <v>0</v>
      </c>
      <c r="AS361" s="6">
        <f>SUMIFS(DivAndTax[Gross Dividend],DivAndTax[Investor ID],INVESTORS_LIST[[#This Row],[INVESTOR CODE]])</f>
        <v>0</v>
      </c>
      <c r="AT361" s="5">
        <f>IFERROR(INVESTORS_LIST[[#This Row],[TOTAL CURRENT UNITS]]/SUM(INVESTORS_LIST[TOTAL CURRENT UNITS]),0)</f>
        <v>0</v>
      </c>
    </row>
    <row r="362" spans="1:46">
      <c r="A362" t="s">
        <v>670</v>
      </c>
      <c r="B362" t="s">
        <v>671</v>
      </c>
      <c r="C362" t="s">
        <v>536</v>
      </c>
      <c r="D362" s="8" t="s">
        <v>2</v>
      </c>
      <c r="E362" s="2">
        <f>SUMIFS(LS[Unit],LS[Investor ID],INVESTORS_LIST[[#This Row],[INVESTOR CODE]],LS[B/S],"B")</f>
        <v>2000</v>
      </c>
      <c r="F362" s="2">
        <f>-SUMIFS(LS[Unit],LS[Investor ID],INVESTORS_LIST[[#This Row],[INVESTOR CODE]],LS[B/S],"S")</f>
        <v>0</v>
      </c>
      <c r="G362" s="2">
        <f>IF(INVESTORS_LIST[[#This Row],[LS_TOTAL UNITS BUY]]=0,0,INVESTORS_LIST[[#This Row],[LS_TOTAL UNITS BUY]]-INVESTORS_LIST[[#This Row],[LS_TOTAL UNITS SOLD]])</f>
        <v>2000</v>
      </c>
      <c r="H362" s="4">
        <f>IF(INVESTORS_LIST[[#This Row],[LS_TOTAL UNITS BUY]]=0,0,SUMIFS(LS[Amount],LS[Investor ID],INVESTORS_LIST[[#This Row],[INVESTOR CODE]],LS[B/S],"B"))</f>
        <v>20000</v>
      </c>
      <c r="I362" s="6">
        <f>IF(INVESTORS_LIST[[#This Row],[LS_TOTAL UNITS SOLD]]=0,0,SUMIFS(LS[Cost of Units Sold],LS[Investor ID],INVESTORS_LIST[[#This Row],[INVESTOR CODE]],LS[B/S],"S"))</f>
        <v>0</v>
      </c>
      <c r="J362" s="6">
        <f>IF(INVESTORS_LIST[[#This Row],[LS_TOTAL CURRENT UNITS]]=0,0,INVESTORS_LIST[[#This Row],[LS_TOTAL CURRENT UNITS]]*INVESTORS_LIST[[#This Row],[LS_AVERAGE COST]])</f>
        <v>20000</v>
      </c>
      <c r="K362" s="4">
        <f>IF(INVESTORS_LIST[[#This Row],[LS_TOTAL UNITS SOLD]]=0,0,SUMIFS(LS[Realized Gain],LS[Investor ID],INVESTORS_LIST[[#This Row],[INVESTOR CODE]],LS[B/S],"S"))</f>
        <v>0</v>
      </c>
      <c r="L362" s="2">
        <f>SUMIFS(SIP[Unit],SIP[Investor ID],INVESTORS_LIST[[#This Row],[INVESTOR CODE]],SIP[B/S],"B")</f>
        <v>0</v>
      </c>
      <c r="M362" s="2">
        <f>-SUMIFS(SIP[Unit],SIP[Investor ID],INVESTORS_LIST[[#This Row],[INVESTOR CODE]],SIP[B/S],"S")</f>
        <v>0</v>
      </c>
      <c r="N362" s="33">
        <f>IF(INVESTORS_LIST[[#This Row],[SIP_TOTAL UNITS BUY]]=0,0,INVESTORS_LIST[[#This Row],[SIP_TOTAL UNITS BUY]]-INVESTORS_LIST[[#This Row],[SIP_TOTAL UNITS SOLD]])</f>
        <v>0</v>
      </c>
      <c r="O362" s="4">
        <f>IF(INVESTORS_LIST[[#This Row],[SIP_TOTAL UNITS BUY]]=0,0,SUMIFS(SIP[Amount],SIP[Investor ID],INVESTORS_LIST[[#This Row],[INVESTOR CODE]],SIP[B/S],"B"))</f>
        <v>0</v>
      </c>
      <c r="P362" s="4">
        <f>IF(INVESTORS_LIST[[#This Row],[SIP_TOTAL UNITS SOLD]]=0,0,SUMIFS(SIP[Cost of Units Sold],SIP[Investor ID],INVESTORS_LIST[[#This Row],[INVESTOR CODE]],SIP[B/S],"S"))</f>
        <v>0</v>
      </c>
      <c r="Q362" s="6">
        <f>IF(INVESTORS_LIST[[#This Row],[SIP_TOTAL CURRENT UNITS]]=0,0,INVESTORS_LIST[[#This Row],[SIP_TOTAL CURRENT UNITS]]*INVESTORS_LIST[[#This Row],[SIP_AVERAGE COST]])</f>
        <v>0</v>
      </c>
      <c r="R362" s="6">
        <f>IF(INVESTORS_LIST[[#This Row],[SIP_TOTAL UNITS SOLD]]=0,0,SUMIFS(SIP[Realized Gain],SIP[Investor ID],INVESTORS_LIST[[#This Row],[INVESTOR CODE]],SIP[B/S],"S"))</f>
        <v>0</v>
      </c>
      <c r="S362" s="33">
        <f>INVESTORS_LIST[[#This Row],[LS_TOTAL UNITS BUY]]+INVESTORS_LIST[[#This Row],[SIP_TOTAL UNITS BUY]]</f>
        <v>2000</v>
      </c>
      <c r="T362" s="33">
        <f>INVESTORS_LIST[[#This Row],[LS_TOTAL UNITS SOLD]]+INVESTORS_LIST[[#This Row],[SIP_TOTAL UNITS SOLD]]</f>
        <v>0</v>
      </c>
      <c r="U362" s="33">
        <v>0</v>
      </c>
      <c r="V362" s="33">
        <f>SUMIFS(LS[BO UNIT TRANSFER],LS[Investor ID],INVESTORS_LIST[[#This Row],[INVESTOR CODE]],LS[B/S],"B")</f>
        <v>0</v>
      </c>
      <c r="W362" s="33">
        <f>SUMIFS(LS[BO UNIT TRANSFER],LS[Investor ID],INVESTORS_LIST[[#This Row],[INVESTOR CODE]],LS[B/S],"S")</f>
        <v>0</v>
      </c>
      <c r="X362" s="33">
        <f>SUMIFS(SIP[BO UNIT TRANSFER],SIP[Investor ID],INVESTORS_LIST[[#This Row],[INVESTOR CODE]],SIP[B/S],"S")</f>
        <v>0</v>
      </c>
      <c r="Y362" s="33">
        <f>SUMIFS(SIP[BO UNIT TRANSFER],SIP[Investor ID],INVESTORS_LIST[[#This Row],[INVESTOR CODE]],SIP[B/S],"B")</f>
        <v>0</v>
      </c>
      <c r="Z36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62" s="119">
        <f>INVESTORS_LIST[[#This Row],[TOTAL UNITS BUY]]-INVESTORS_LIST[[#This Row],[TOTAL UNITS SOLD]]</f>
        <v>2000</v>
      </c>
      <c r="AB362" s="119">
        <f>INVESTORS_LIST[[#This Row],[TOTAL CURRENT UNITS]]-INVESTORS_LIST[[#This Row],[BO UNITS HOLD]]</f>
        <v>2000</v>
      </c>
      <c r="AC362" s="119" t="e">
        <f>INDEX([4]!Table_1[BO ID],MATCH(INVESTORS_LIST[[#This Row],[INVESTOR CODE]],[4]!Table_1[INVESTOR CODE],0))</f>
        <v>#REF!</v>
      </c>
      <c r="AD362" s="33">
        <f>INVESTORS_LIST[[#This Row],[LS_TOTAL COST VALUE OF CURRENT UNITS]]+INVESTORS_LIST[[#This Row],[SIP_TOTAL COST VALUE OF CURRENT UNITS]]</f>
        <v>20000</v>
      </c>
      <c r="AE362" s="44">
        <f>IF(INVESTORS_LIST[[#This Row],[TOTAL CURRENT UNITS]]=0,0,INVESTORS_LIST[[#This Row],[LS_TOTAL CURRENT UNITS]]/INVESTORS_LIST[[#This Row],[TOTAL CURRENT UNITS]])</f>
        <v>1</v>
      </c>
      <c r="AF362" s="44">
        <f>IF(INVESTORS_LIST[[#This Row],[TOTAL CURRENT UNITS]]=0,0,INVESTORS_LIST[[#This Row],[SIP_TOTAL CURRENT UNITS]]/INVESTORS_LIST[[#This Row],[TOTAL CURRENT UNITS]])</f>
        <v>0</v>
      </c>
      <c r="AG362" s="4" cm="1">
        <f t="array" ref="AG362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362" s="4" cm="1">
        <f t="array" ref="AH3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62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362" s="178">
        <f t="shared" si="5"/>
        <v>12.552</v>
      </c>
      <c r="AK362" s="118">
        <f>IF(INVESTORS_LIST[[#This Row],[TOTAL CURRENT UNITS]]=0,0,INVESTORS_LIST[[#This Row],[TOTAL CURRENT UNITS]]*INVESTORS_LIST[[#This Row],[NAV]])</f>
        <v>25104</v>
      </c>
      <c r="AL362" s="4">
        <f>IF(INVESTORS_LIST[[#This Row],[LS_TOTAL CURRENT UNITS]]=0,0,INVESTORS_LIST[[#This Row],[LS_TOTAL CURRENT UNITS]]*INVESTORS_LIST[[#This Row],[NAV]])</f>
        <v>25104</v>
      </c>
      <c r="AM362" s="6">
        <f>IF(INVESTORS_LIST[[#This Row],[SIP_TOTAL CURRENT UNITS]]=0,0,INVESTORS_LIST[[#This Row],[SIP_TOTAL CURRENT UNITS]]*INVESTORS_LIST[[#This Row],[NAV]])</f>
        <v>0</v>
      </c>
      <c r="AO362" s="6">
        <f>IF(INVESTORS_LIST[[#This Row],[TOTAL SELLABLE UNITS]]=0,0,INVESTORS_LIST[[#This Row],[TOTAL SELLABLE UNITS]]*INVESTORS_LIST[[#This Row],[NAV]])</f>
        <v>0</v>
      </c>
      <c r="AP362" s="6">
        <f>INVESTORS_LIST[[#This Row],[LS_TOTAL REALIZED GAIN]]+INVESTORS_LIST[[#This Row],[SIP_TOTAL REALIZED GAIN]]</f>
        <v>0</v>
      </c>
      <c r="AQ362" s="6">
        <f>INVESTORS_LIST[[#This Row],[TOTAL MARKET VALUE]]-INVESTORS_LIST[[#This Row],[TOTAL COST VALUE OF CURRENT INVESTMENT]]</f>
        <v>5104</v>
      </c>
      <c r="AR362" s="6">
        <f>SUMIFS(DivAndTax[Tax Amount],DivAndTax[Investor ID],INVESTORS_LIST[[#This Row],[INVESTOR CODE]])</f>
        <v>220</v>
      </c>
      <c r="AS362" s="6">
        <f>SUMIFS(DivAndTax[Gross Dividend],DivAndTax[Investor ID],INVESTORS_LIST[[#This Row],[INVESTOR CODE]])</f>
        <v>2200</v>
      </c>
      <c r="AT362" s="5">
        <f>IFERROR(INVESTORS_LIST[[#This Row],[TOTAL CURRENT UNITS]]/SUM(INVESTORS_LIST[TOTAL CURRENT UNITS]),0)</f>
        <v>9.5889670112685708E-5</v>
      </c>
    </row>
    <row r="363" spans="1:46">
      <c r="A363" t="s">
        <v>672</v>
      </c>
      <c r="B363" t="s">
        <v>673</v>
      </c>
      <c r="C363" t="s">
        <v>536</v>
      </c>
      <c r="D363" s="8" t="s">
        <v>2</v>
      </c>
      <c r="E363" s="2">
        <f>SUMIFS(LS[Unit],LS[Investor ID],INVESTORS_LIST[[#This Row],[INVESTOR CODE]],LS[B/S],"B")</f>
        <v>2000</v>
      </c>
      <c r="F363" s="2">
        <f>-SUMIFS(LS[Unit],LS[Investor ID],INVESTORS_LIST[[#This Row],[INVESTOR CODE]],LS[B/S],"S")</f>
        <v>0</v>
      </c>
      <c r="G363" s="2">
        <f>IF(INVESTORS_LIST[[#This Row],[LS_TOTAL UNITS BUY]]=0,0,INVESTORS_LIST[[#This Row],[LS_TOTAL UNITS BUY]]-INVESTORS_LIST[[#This Row],[LS_TOTAL UNITS SOLD]])</f>
        <v>2000</v>
      </c>
      <c r="H363" s="4">
        <f>IF(INVESTORS_LIST[[#This Row],[LS_TOTAL UNITS BUY]]=0,0,SUMIFS(LS[Amount],LS[Investor ID],INVESTORS_LIST[[#This Row],[INVESTOR CODE]],LS[B/S],"B"))</f>
        <v>20000</v>
      </c>
      <c r="I363" s="6">
        <f>IF(INVESTORS_LIST[[#This Row],[LS_TOTAL UNITS SOLD]]=0,0,SUMIFS(LS[Cost of Units Sold],LS[Investor ID],INVESTORS_LIST[[#This Row],[INVESTOR CODE]],LS[B/S],"S"))</f>
        <v>0</v>
      </c>
      <c r="J363" s="6">
        <f>IF(INVESTORS_LIST[[#This Row],[LS_TOTAL CURRENT UNITS]]=0,0,INVESTORS_LIST[[#This Row],[LS_TOTAL CURRENT UNITS]]*INVESTORS_LIST[[#This Row],[LS_AVERAGE COST]])</f>
        <v>20000</v>
      </c>
      <c r="K363" s="4">
        <f>IF(INVESTORS_LIST[[#This Row],[LS_TOTAL UNITS SOLD]]=0,0,SUMIFS(LS[Realized Gain],LS[Investor ID],INVESTORS_LIST[[#This Row],[INVESTOR CODE]],LS[B/S],"S"))</f>
        <v>0</v>
      </c>
      <c r="L363" s="2">
        <f>SUMIFS(SIP[Unit],SIP[Investor ID],INVESTORS_LIST[[#This Row],[INVESTOR CODE]],SIP[B/S],"B")</f>
        <v>0</v>
      </c>
      <c r="M363" s="2">
        <f>-SUMIFS(SIP[Unit],SIP[Investor ID],INVESTORS_LIST[[#This Row],[INVESTOR CODE]],SIP[B/S],"S")</f>
        <v>0</v>
      </c>
      <c r="N363" s="33">
        <f>IF(INVESTORS_LIST[[#This Row],[SIP_TOTAL UNITS BUY]]=0,0,INVESTORS_LIST[[#This Row],[SIP_TOTAL UNITS BUY]]-INVESTORS_LIST[[#This Row],[SIP_TOTAL UNITS SOLD]])</f>
        <v>0</v>
      </c>
      <c r="O363" s="4">
        <f>IF(INVESTORS_LIST[[#This Row],[SIP_TOTAL UNITS BUY]]=0,0,SUMIFS(SIP[Amount],SIP[Investor ID],INVESTORS_LIST[[#This Row],[INVESTOR CODE]],SIP[B/S],"B"))</f>
        <v>0</v>
      </c>
      <c r="P363" s="4">
        <f>IF(INVESTORS_LIST[[#This Row],[SIP_TOTAL UNITS SOLD]]=0,0,SUMIFS(SIP[Cost of Units Sold],SIP[Investor ID],INVESTORS_LIST[[#This Row],[INVESTOR CODE]],SIP[B/S],"S"))</f>
        <v>0</v>
      </c>
      <c r="Q363" s="6">
        <f>IF(INVESTORS_LIST[[#This Row],[SIP_TOTAL CURRENT UNITS]]=0,0,INVESTORS_LIST[[#This Row],[SIP_TOTAL CURRENT UNITS]]*INVESTORS_LIST[[#This Row],[SIP_AVERAGE COST]])</f>
        <v>0</v>
      </c>
      <c r="R363" s="6">
        <f>IF(INVESTORS_LIST[[#This Row],[SIP_TOTAL UNITS SOLD]]=0,0,SUMIFS(SIP[Realized Gain],SIP[Investor ID],INVESTORS_LIST[[#This Row],[INVESTOR CODE]],SIP[B/S],"S"))</f>
        <v>0</v>
      </c>
      <c r="S363" s="33">
        <f>INVESTORS_LIST[[#This Row],[LS_TOTAL UNITS BUY]]+INVESTORS_LIST[[#This Row],[SIP_TOTAL UNITS BUY]]</f>
        <v>2000</v>
      </c>
      <c r="T363" s="33">
        <f>INVESTORS_LIST[[#This Row],[LS_TOTAL UNITS SOLD]]+INVESTORS_LIST[[#This Row],[SIP_TOTAL UNITS SOLD]]</f>
        <v>0</v>
      </c>
      <c r="U363" s="33">
        <v>0</v>
      </c>
      <c r="V363" s="33">
        <f>SUMIFS(LS[BO UNIT TRANSFER],LS[Investor ID],INVESTORS_LIST[[#This Row],[INVESTOR CODE]],LS[B/S],"B")</f>
        <v>0</v>
      </c>
      <c r="W363" s="33">
        <f>SUMIFS(LS[BO UNIT TRANSFER],LS[Investor ID],INVESTORS_LIST[[#This Row],[INVESTOR CODE]],LS[B/S],"S")</f>
        <v>0</v>
      </c>
      <c r="X363" s="33">
        <f>SUMIFS(SIP[BO UNIT TRANSFER],SIP[Investor ID],INVESTORS_LIST[[#This Row],[INVESTOR CODE]],SIP[B/S],"S")</f>
        <v>0</v>
      </c>
      <c r="Y363" s="33">
        <f>SUMIFS(SIP[BO UNIT TRANSFER],SIP[Investor ID],INVESTORS_LIST[[#This Row],[INVESTOR CODE]],SIP[B/S],"B")</f>
        <v>0</v>
      </c>
      <c r="Z36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63" s="119">
        <f>INVESTORS_LIST[[#This Row],[TOTAL UNITS BUY]]-INVESTORS_LIST[[#This Row],[TOTAL UNITS SOLD]]</f>
        <v>2000</v>
      </c>
      <c r="AB363" s="119">
        <f>INVESTORS_LIST[[#This Row],[TOTAL CURRENT UNITS]]-INVESTORS_LIST[[#This Row],[BO UNITS HOLD]]</f>
        <v>2000</v>
      </c>
      <c r="AC363" s="119" t="e">
        <f>INDEX([4]!Table_1[BO ID],MATCH(INVESTORS_LIST[[#This Row],[INVESTOR CODE]],[4]!Table_1[INVESTOR CODE],0))</f>
        <v>#REF!</v>
      </c>
      <c r="AD363" s="33">
        <f>INVESTORS_LIST[[#This Row],[LS_TOTAL COST VALUE OF CURRENT UNITS]]+INVESTORS_LIST[[#This Row],[SIP_TOTAL COST VALUE OF CURRENT UNITS]]</f>
        <v>20000</v>
      </c>
      <c r="AE363" s="44">
        <f>IF(INVESTORS_LIST[[#This Row],[TOTAL CURRENT UNITS]]=0,0,INVESTORS_LIST[[#This Row],[LS_TOTAL CURRENT UNITS]]/INVESTORS_LIST[[#This Row],[TOTAL CURRENT UNITS]])</f>
        <v>1</v>
      </c>
      <c r="AF363" s="44">
        <f>IF(INVESTORS_LIST[[#This Row],[TOTAL CURRENT UNITS]]=0,0,INVESTORS_LIST[[#This Row],[SIP_TOTAL CURRENT UNITS]]/INVESTORS_LIST[[#This Row],[TOTAL CURRENT UNITS]])</f>
        <v>0</v>
      </c>
      <c r="AG363" s="4" cm="1">
        <f t="array" ref="AG363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363" s="4" cm="1">
        <f t="array" ref="AH3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63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363" s="178">
        <f t="shared" si="5"/>
        <v>12.552</v>
      </c>
      <c r="AK363" s="118">
        <f>IF(INVESTORS_LIST[[#This Row],[TOTAL CURRENT UNITS]]=0,0,INVESTORS_LIST[[#This Row],[TOTAL CURRENT UNITS]]*INVESTORS_LIST[[#This Row],[NAV]])</f>
        <v>25104</v>
      </c>
      <c r="AL363" s="4">
        <f>IF(INVESTORS_LIST[[#This Row],[LS_TOTAL CURRENT UNITS]]=0,0,INVESTORS_LIST[[#This Row],[LS_TOTAL CURRENT UNITS]]*INVESTORS_LIST[[#This Row],[NAV]])</f>
        <v>25104</v>
      </c>
      <c r="AM363" s="6">
        <f>IF(INVESTORS_LIST[[#This Row],[SIP_TOTAL CURRENT UNITS]]=0,0,INVESTORS_LIST[[#This Row],[SIP_TOTAL CURRENT UNITS]]*INVESTORS_LIST[[#This Row],[NAV]])</f>
        <v>0</v>
      </c>
      <c r="AO363" s="6">
        <f>IF(INVESTORS_LIST[[#This Row],[TOTAL SELLABLE UNITS]]=0,0,INVESTORS_LIST[[#This Row],[TOTAL SELLABLE UNITS]]*INVESTORS_LIST[[#This Row],[NAV]])</f>
        <v>0</v>
      </c>
      <c r="AP363" s="6">
        <f>INVESTORS_LIST[[#This Row],[LS_TOTAL REALIZED GAIN]]+INVESTORS_LIST[[#This Row],[SIP_TOTAL REALIZED GAIN]]</f>
        <v>0</v>
      </c>
      <c r="AQ363" s="6">
        <f>INVESTORS_LIST[[#This Row],[TOTAL MARKET VALUE]]-INVESTORS_LIST[[#This Row],[TOTAL COST VALUE OF CURRENT INVESTMENT]]</f>
        <v>5104</v>
      </c>
      <c r="AR363" s="6">
        <f>SUMIFS(DivAndTax[Tax Amount],DivAndTax[Investor ID],INVESTORS_LIST[[#This Row],[INVESTOR CODE]])</f>
        <v>220</v>
      </c>
      <c r="AS363" s="6">
        <f>SUMIFS(DivAndTax[Gross Dividend],DivAndTax[Investor ID],INVESTORS_LIST[[#This Row],[INVESTOR CODE]])</f>
        <v>2200</v>
      </c>
      <c r="AT363" s="5">
        <f>IFERROR(INVESTORS_LIST[[#This Row],[TOTAL CURRENT UNITS]]/SUM(INVESTORS_LIST[TOTAL CURRENT UNITS]),0)</f>
        <v>9.5889670112685708E-5</v>
      </c>
    </row>
    <row r="364" spans="1:46">
      <c r="A364" t="s">
        <v>674</v>
      </c>
      <c r="B364" t="s">
        <v>675</v>
      </c>
      <c r="C364" t="s">
        <v>536</v>
      </c>
      <c r="D364" s="8" t="s">
        <v>2</v>
      </c>
      <c r="E364" s="2">
        <f>SUMIFS(LS[Unit],LS[Investor ID],INVESTORS_LIST[[#This Row],[INVESTOR CODE]],LS[B/S],"B")</f>
        <v>2000</v>
      </c>
      <c r="F364" s="2">
        <f>-SUMIFS(LS[Unit],LS[Investor ID],INVESTORS_LIST[[#This Row],[INVESTOR CODE]],LS[B/S],"S")</f>
        <v>0</v>
      </c>
      <c r="G364" s="2">
        <f>IF(INVESTORS_LIST[[#This Row],[LS_TOTAL UNITS BUY]]=0,0,INVESTORS_LIST[[#This Row],[LS_TOTAL UNITS BUY]]-INVESTORS_LIST[[#This Row],[LS_TOTAL UNITS SOLD]])</f>
        <v>2000</v>
      </c>
      <c r="H364" s="4">
        <f>IF(INVESTORS_LIST[[#This Row],[LS_TOTAL UNITS BUY]]=0,0,SUMIFS(LS[Amount],LS[Investor ID],INVESTORS_LIST[[#This Row],[INVESTOR CODE]],LS[B/S],"B"))</f>
        <v>20000</v>
      </c>
      <c r="I364" s="6">
        <f>IF(INVESTORS_LIST[[#This Row],[LS_TOTAL UNITS SOLD]]=0,0,SUMIFS(LS[Cost of Units Sold],LS[Investor ID],INVESTORS_LIST[[#This Row],[INVESTOR CODE]],LS[B/S],"S"))</f>
        <v>0</v>
      </c>
      <c r="J364" s="6">
        <f>IF(INVESTORS_LIST[[#This Row],[LS_TOTAL CURRENT UNITS]]=0,0,INVESTORS_LIST[[#This Row],[LS_TOTAL CURRENT UNITS]]*INVESTORS_LIST[[#This Row],[LS_AVERAGE COST]])</f>
        <v>20000</v>
      </c>
      <c r="K364" s="4">
        <f>IF(INVESTORS_LIST[[#This Row],[LS_TOTAL UNITS SOLD]]=0,0,SUMIFS(LS[Realized Gain],LS[Investor ID],INVESTORS_LIST[[#This Row],[INVESTOR CODE]],LS[B/S],"S"))</f>
        <v>0</v>
      </c>
      <c r="L364" s="2">
        <f>SUMIFS(SIP[Unit],SIP[Investor ID],INVESTORS_LIST[[#This Row],[INVESTOR CODE]],SIP[B/S],"B")</f>
        <v>0</v>
      </c>
      <c r="M364" s="2">
        <f>-SUMIFS(SIP[Unit],SIP[Investor ID],INVESTORS_LIST[[#This Row],[INVESTOR CODE]],SIP[B/S],"S")</f>
        <v>0</v>
      </c>
      <c r="N364" s="33">
        <f>IF(INVESTORS_LIST[[#This Row],[SIP_TOTAL UNITS BUY]]=0,0,INVESTORS_LIST[[#This Row],[SIP_TOTAL UNITS BUY]]-INVESTORS_LIST[[#This Row],[SIP_TOTAL UNITS SOLD]])</f>
        <v>0</v>
      </c>
      <c r="O364" s="4">
        <f>IF(INVESTORS_LIST[[#This Row],[SIP_TOTAL UNITS BUY]]=0,0,SUMIFS(SIP[Amount],SIP[Investor ID],INVESTORS_LIST[[#This Row],[INVESTOR CODE]],SIP[B/S],"B"))</f>
        <v>0</v>
      </c>
      <c r="P364" s="4">
        <f>IF(INVESTORS_LIST[[#This Row],[SIP_TOTAL UNITS SOLD]]=0,0,SUMIFS(SIP[Cost of Units Sold],SIP[Investor ID],INVESTORS_LIST[[#This Row],[INVESTOR CODE]],SIP[B/S],"S"))</f>
        <v>0</v>
      </c>
      <c r="Q364" s="6">
        <f>IF(INVESTORS_LIST[[#This Row],[SIP_TOTAL CURRENT UNITS]]=0,0,INVESTORS_LIST[[#This Row],[SIP_TOTAL CURRENT UNITS]]*INVESTORS_LIST[[#This Row],[SIP_AVERAGE COST]])</f>
        <v>0</v>
      </c>
      <c r="R364" s="6">
        <f>IF(INVESTORS_LIST[[#This Row],[SIP_TOTAL UNITS SOLD]]=0,0,SUMIFS(SIP[Realized Gain],SIP[Investor ID],INVESTORS_LIST[[#This Row],[INVESTOR CODE]],SIP[B/S],"S"))</f>
        <v>0</v>
      </c>
      <c r="S364" s="33">
        <f>INVESTORS_LIST[[#This Row],[LS_TOTAL UNITS BUY]]+INVESTORS_LIST[[#This Row],[SIP_TOTAL UNITS BUY]]</f>
        <v>2000</v>
      </c>
      <c r="T364" s="33">
        <f>INVESTORS_LIST[[#This Row],[LS_TOTAL UNITS SOLD]]+INVESTORS_LIST[[#This Row],[SIP_TOTAL UNITS SOLD]]</f>
        <v>0</v>
      </c>
      <c r="U364" s="33">
        <v>0</v>
      </c>
      <c r="V364" s="33">
        <f>SUMIFS(LS[BO UNIT TRANSFER],LS[Investor ID],INVESTORS_LIST[[#This Row],[INVESTOR CODE]],LS[B/S],"B")</f>
        <v>0</v>
      </c>
      <c r="W364" s="33">
        <f>SUMIFS(LS[BO UNIT TRANSFER],LS[Investor ID],INVESTORS_LIST[[#This Row],[INVESTOR CODE]],LS[B/S],"S")</f>
        <v>0</v>
      </c>
      <c r="X364" s="33">
        <f>SUMIFS(SIP[BO UNIT TRANSFER],SIP[Investor ID],INVESTORS_LIST[[#This Row],[INVESTOR CODE]],SIP[B/S],"S")</f>
        <v>0</v>
      </c>
      <c r="Y364" s="33">
        <f>SUMIFS(SIP[BO UNIT TRANSFER],SIP[Investor ID],INVESTORS_LIST[[#This Row],[INVESTOR CODE]],SIP[B/S],"B")</f>
        <v>0</v>
      </c>
      <c r="Z36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64" s="119">
        <f>INVESTORS_LIST[[#This Row],[TOTAL UNITS BUY]]-INVESTORS_LIST[[#This Row],[TOTAL UNITS SOLD]]</f>
        <v>2000</v>
      </c>
      <c r="AB364" s="119">
        <f>INVESTORS_LIST[[#This Row],[TOTAL CURRENT UNITS]]-INVESTORS_LIST[[#This Row],[BO UNITS HOLD]]</f>
        <v>2000</v>
      </c>
      <c r="AC364" s="119" t="e">
        <f>INDEX([4]!Table_1[BO ID],MATCH(INVESTORS_LIST[[#This Row],[INVESTOR CODE]],[4]!Table_1[INVESTOR CODE],0))</f>
        <v>#REF!</v>
      </c>
      <c r="AD364" s="33">
        <f>INVESTORS_LIST[[#This Row],[LS_TOTAL COST VALUE OF CURRENT UNITS]]+INVESTORS_LIST[[#This Row],[SIP_TOTAL COST VALUE OF CURRENT UNITS]]</f>
        <v>20000</v>
      </c>
      <c r="AE364" s="44">
        <f>IF(INVESTORS_LIST[[#This Row],[TOTAL CURRENT UNITS]]=0,0,INVESTORS_LIST[[#This Row],[LS_TOTAL CURRENT UNITS]]/INVESTORS_LIST[[#This Row],[TOTAL CURRENT UNITS]])</f>
        <v>1</v>
      </c>
      <c r="AF364" s="44">
        <f>IF(INVESTORS_LIST[[#This Row],[TOTAL CURRENT UNITS]]=0,0,INVESTORS_LIST[[#This Row],[SIP_TOTAL CURRENT UNITS]]/INVESTORS_LIST[[#This Row],[TOTAL CURRENT UNITS]])</f>
        <v>0</v>
      </c>
      <c r="AG364" s="4" cm="1">
        <f t="array" ref="AG364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364" s="4" cm="1">
        <f t="array" ref="AH36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64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364" s="178">
        <f t="shared" si="5"/>
        <v>12.552</v>
      </c>
      <c r="AK364" s="118">
        <f>IF(INVESTORS_LIST[[#This Row],[TOTAL CURRENT UNITS]]=0,0,INVESTORS_LIST[[#This Row],[TOTAL CURRENT UNITS]]*INVESTORS_LIST[[#This Row],[NAV]])</f>
        <v>25104</v>
      </c>
      <c r="AL364" s="4">
        <f>IF(INVESTORS_LIST[[#This Row],[LS_TOTAL CURRENT UNITS]]=0,0,INVESTORS_LIST[[#This Row],[LS_TOTAL CURRENT UNITS]]*INVESTORS_LIST[[#This Row],[NAV]])</f>
        <v>25104</v>
      </c>
      <c r="AM364" s="6">
        <f>IF(INVESTORS_LIST[[#This Row],[SIP_TOTAL CURRENT UNITS]]=0,0,INVESTORS_LIST[[#This Row],[SIP_TOTAL CURRENT UNITS]]*INVESTORS_LIST[[#This Row],[NAV]])</f>
        <v>0</v>
      </c>
      <c r="AO364" s="6">
        <f>IF(INVESTORS_LIST[[#This Row],[TOTAL SELLABLE UNITS]]=0,0,INVESTORS_LIST[[#This Row],[TOTAL SELLABLE UNITS]]*INVESTORS_LIST[[#This Row],[NAV]])</f>
        <v>0</v>
      </c>
      <c r="AP364" s="6">
        <f>INVESTORS_LIST[[#This Row],[LS_TOTAL REALIZED GAIN]]+INVESTORS_LIST[[#This Row],[SIP_TOTAL REALIZED GAIN]]</f>
        <v>0</v>
      </c>
      <c r="AQ364" s="6">
        <f>INVESTORS_LIST[[#This Row],[TOTAL MARKET VALUE]]-INVESTORS_LIST[[#This Row],[TOTAL COST VALUE OF CURRENT INVESTMENT]]</f>
        <v>5104</v>
      </c>
      <c r="AR364" s="6">
        <f>SUMIFS(DivAndTax[Tax Amount],DivAndTax[Investor ID],INVESTORS_LIST[[#This Row],[INVESTOR CODE]])</f>
        <v>220</v>
      </c>
      <c r="AS364" s="6">
        <f>SUMIFS(DivAndTax[Gross Dividend],DivAndTax[Investor ID],INVESTORS_LIST[[#This Row],[INVESTOR CODE]])</f>
        <v>2200</v>
      </c>
      <c r="AT364" s="5">
        <f>IFERROR(INVESTORS_LIST[[#This Row],[TOTAL CURRENT UNITS]]/SUM(INVESTORS_LIST[TOTAL CURRENT UNITS]),0)</f>
        <v>9.5889670112685708E-5</v>
      </c>
    </row>
    <row r="365" spans="1:46">
      <c r="A365" t="s">
        <v>676</v>
      </c>
      <c r="B365" t="s">
        <v>677</v>
      </c>
      <c r="C365" t="s">
        <v>537</v>
      </c>
      <c r="D365" s="8" t="s">
        <v>8</v>
      </c>
      <c r="E365" s="2">
        <f>SUMIFS(LS[Unit],LS[Investor ID],INVESTORS_LIST[[#This Row],[INVESTOR CODE]],LS[B/S],"B")</f>
        <v>500000</v>
      </c>
      <c r="F365" s="2">
        <f>-SUMIFS(LS[Unit],LS[Investor ID],INVESTORS_LIST[[#This Row],[INVESTOR CODE]],LS[B/S],"S")</f>
        <v>0</v>
      </c>
      <c r="G365" s="2">
        <f>IF(INVESTORS_LIST[[#This Row],[LS_TOTAL UNITS BUY]]=0,0,INVESTORS_LIST[[#This Row],[LS_TOTAL UNITS BUY]]-INVESTORS_LIST[[#This Row],[LS_TOTAL UNITS SOLD]])</f>
        <v>500000</v>
      </c>
      <c r="H365" s="4">
        <f>IF(INVESTORS_LIST[[#This Row],[LS_TOTAL UNITS BUY]]=0,0,SUMIFS(LS[Amount],LS[Investor ID],INVESTORS_LIST[[#This Row],[INVESTOR CODE]],LS[B/S],"B"))</f>
        <v>5000000</v>
      </c>
      <c r="I365" s="6">
        <f>IF(INVESTORS_LIST[[#This Row],[LS_TOTAL UNITS SOLD]]=0,0,SUMIFS(LS[Cost of Units Sold],LS[Investor ID],INVESTORS_LIST[[#This Row],[INVESTOR CODE]],LS[B/S],"S"))</f>
        <v>0</v>
      </c>
      <c r="J365" s="6">
        <f>IF(INVESTORS_LIST[[#This Row],[LS_TOTAL CURRENT UNITS]]=0,0,INVESTORS_LIST[[#This Row],[LS_TOTAL CURRENT UNITS]]*INVESTORS_LIST[[#This Row],[LS_AVERAGE COST]])</f>
        <v>5000000</v>
      </c>
      <c r="K365" s="4">
        <f>IF(INVESTORS_LIST[[#This Row],[LS_TOTAL UNITS SOLD]]=0,0,SUMIFS(LS[Realized Gain],LS[Investor ID],INVESTORS_LIST[[#This Row],[INVESTOR CODE]],LS[B/S],"S"))</f>
        <v>0</v>
      </c>
      <c r="L365" s="2">
        <f>SUMIFS(SIP[Unit],SIP[Investor ID],INVESTORS_LIST[[#This Row],[INVESTOR CODE]],SIP[B/S],"B")</f>
        <v>0</v>
      </c>
      <c r="M365" s="2">
        <f>-SUMIFS(SIP[Unit],SIP[Investor ID],INVESTORS_LIST[[#This Row],[INVESTOR CODE]],SIP[B/S],"S")</f>
        <v>0</v>
      </c>
      <c r="N365" s="33">
        <f>IF(INVESTORS_LIST[[#This Row],[SIP_TOTAL UNITS BUY]]=0,0,INVESTORS_LIST[[#This Row],[SIP_TOTAL UNITS BUY]]-INVESTORS_LIST[[#This Row],[SIP_TOTAL UNITS SOLD]])</f>
        <v>0</v>
      </c>
      <c r="O365" s="4">
        <f>IF(INVESTORS_LIST[[#This Row],[SIP_TOTAL UNITS BUY]]=0,0,SUMIFS(SIP[Amount],SIP[Investor ID],INVESTORS_LIST[[#This Row],[INVESTOR CODE]],SIP[B/S],"B"))</f>
        <v>0</v>
      </c>
      <c r="P365" s="4">
        <f>IF(INVESTORS_LIST[[#This Row],[SIP_TOTAL UNITS SOLD]]=0,0,SUMIFS(SIP[Cost of Units Sold],SIP[Investor ID],INVESTORS_LIST[[#This Row],[INVESTOR CODE]],SIP[B/S],"S"))</f>
        <v>0</v>
      </c>
      <c r="Q365" s="6">
        <f>IF(INVESTORS_LIST[[#This Row],[SIP_TOTAL CURRENT UNITS]]=0,0,INVESTORS_LIST[[#This Row],[SIP_TOTAL CURRENT UNITS]]*INVESTORS_LIST[[#This Row],[SIP_AVERAGE COST]])</f>
        <v>0</v>
      </c>
      <c r="R365" s="6">
        <f>IF(INVESTORS_LIST[[#This Row],[SIP_TOTAL UNITS SOLD]]=0,0,SUMIFS(SIP[Realized Gain],SIP[Investor ID],INVESTORS_LIST[[#This Row],[INVESTOR CODE]],SIP[B/S],"S"))</f>
        <v>0</v>
      </c>
      <c r="S365" s="33">
        <f>INVESTORS_LIST[[#This Row],[LS_TOTAL UNITS BUY]]+INVESTORS_LIST[[#This Row],[SIP_TOTAL UNITS BUY]]</f>
        <v>500000</v>
      </c>
      <c r="T365" s="33">
        <f>INVESTORS_LIST[[#This Row],[LS_TOTAL UNITS SOLD]]+INVESTORS_LIST[[#This Row],[SIP_TOTAL UNITS SOLD]]</f>
        <v>0</v>
      </c>
      <c r="U365" s="33">
        <v>500000</v>
      </c>
      <c r="V365" s="33">
        <f>SUMIFS(LS[BO UNIT TRANSFER],LS[Investor ID],INVESTORS_LIST[[#This Row],[INVESTOR CODE]],LS[B/S],"B")</f>
        <v>0</v>
      </c>
      <c r="W365" s="33">
        <f>SUMIFS(LS[BO UNIT TRANSFER],LS[Investor ID],INVESTORS_LIST[[#This Row],[INVESTOR CODE]],LS[B/S],"S")</f>
        <v>0</v>
      </c>
      <c r="X365" s="33">
        <f>SUMIFS(SIP[BO UNIT TRANSFER],SIP[Investor ID],INVESTORS_LIST[[#This Row],[INVESTOR CODE]],SIP[B/S],"S")</f>
        <v>0</v>
      </c>
      <c r="Y365" s="33">
        <f>SUMIFS(SIP[BO UNIT TRANSFER],SIP[Investor ID],INVESTORS_LIST[[#This Row],[INVESTOR CODE]],SIP[B/S],"B")</f>
        <v>0</v>
      </c>
      <c r="Z36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500000</v>
      </c>
      <c r="AA365" s="119">
        <f>INVESTORS_LIST[[#This Row],[TOTAL UNITS BUY]]-INVESTORS_LIST[[#This Row],[TOTAL UNITS SOLD]]</f>
        <v>500000</v>
      </c>
      <c r="AB365" s="119">
        <f>INVESTORS_LIST[[#This Row],[TOTAL CURRENT UNITS]]-INVESTORS_LIST[[#This Row],[BO UNITS HOLD]]</f>
        <v>0</v>
      </c>
      <c r="AC365" s="119" t="e">
        <f>INDEX([4]!Table_1[BO ID],MATCH(INVESTORS_LIST[[#This Row],[INVESTOR CODE]],[4]!Table_1[INVESTOR CODE],0))</f>
        <v>#REF!</v>
      </c>
      <c r="AD365" s="33">
        <f>INVESTORS_LIST[[#This Row],[LS_TOTAL COST VALUE OF CURRENT UNITS]]+INVESTORS_LIST[[#This Row],[SIP_TOTAL COST VALUE OF CURRENT UNITS]]</f>
        <v>5000000</v>
      </c>
      <c r="AE365" s="44">
        <f>IF(INVESTORS_LIST[[#This Row],[TOTAL CURRENT UNITS]]=0,0,INVESTORS_LIST[[#This Row],[LS_TOTAL CURRENT UNITS]]/INVESTORS_LIST[[#This Row],[TOTAL CURRENT UNITS]])</f>
        <v>1</v>
      </c>
      <c r="AF365" s="44">
        <f>IF(INVESTORS_LIST[[#This Row],[TOTAL CURRENT UNITS]]=0,0,INVESTORS_LIST[[#This Row],[SIP_TOTAL CURRENT UNITS]]/INVESTORS_LIST[[#This Row],[TOTAL CURRENT UNITS]])</f>
        <v>0</v>
      </c>
      <c r="AG365" s="4" cm="1">
        <f t="array" ref="AG365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365" s="4" cm="1">
        <f t="array" ref="AH3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65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365" s="178">
        <f t="shared" si="5"/>
        <v>12.552</v>
      </c>
      <c r="AK365" s="118">
        <f>IF(INVESTORS_LIST[[#This Row],[TOTAL CURRENT UNITS]]=0,0,INVESTORS_LIST[[#This Row],[TOTAL CURRENT UNITS]]*INVESTORS_LIST[[#This Row],[NAV]])</f>
        <v>6276000</v>
      </c>
      <c r="AL365" s="4">
        <f>IF(INVESTORS_LIST[[#This Row],[LS_TOTAL CURRENT UNITS]]=0,0,INVESTORS_LIST[[#This Row],[LS_TOTAL CURRENT UNITS]]*INVESTORS_LIST[[#This Row],[NAV]])</f>
        <v>6276000</v>
      </c>
      <c r="AM365" s="6">
        <f>IF(INVESTORS_LIST[[#This Row],[SIP_TOTAL CURRENT UNITS]]=0,0,INVESTORS_LIST[[#This Row],[SIP_TOTAL CURRENT UNITS]]*INVESTORS_LIST[[#This Row],[NAV]])</f>
        <v>0</v>
      </c>
      <c r="AO365" s="6">
        <f>IF(INVESTORS_LIST[[#This Row],[TOTAL SELLABLE UNITS]]=0,0,INVESTORS_LIST[[#This Row],[TOTAL SELLABLE UNITS]]*INVESTORS_LIST[[#This Row],[NAV]])</f>
        <v>0</v>
      </c>
      <c r="AP365" s="6">
        <f>INVESTORS_LIST[[#This Row],[LS_TOTAL REALIZED GAIN]]+INVESTORS_LIST[[#This Row],[SIP_TOTAL REALIZED GAIN]]</f>
        <v>0</v>
      </c>
      <c r="AQ365" s="6">
        <f>INVESTORS_LIST[[#This Row],[TOTAL MARKET VALUE]]-INVESTORS_LIST[[#This Row],[TOTAL COST VALUE OF CURRENT INVESTMENT]]</f>
        <v>1276000</v>
      </c>
      <c r="AR365" s="6">
        <f>SUMIFS(DivAndTax[Tax Amount],DivAndTax[Investor ID],INVESTORS_LIST[[#This Row],[INVESTOR CODE]])</f>
        <v>0</v>
      </c>
      <c r="AS365" s="6">
        <f>SUMIFS(DivAndTax[Gross Dividend],DivAndTax[Investor ID],INVESTORS_LIST[[#This Row],[INVESTOR CODE]])</f>
        <v>550000</v>
      </c>
      <c r="AT365" s="5">
        <f>IFERROR(INVESTORS_LIST[[#This Row],[TOTAL CURRENT UNITS]]/SUM(INVESTORS_LIST[TOTAL CURRENT UNITS]),0)</f>
        <v>2.3972417528171426E-2</v>
      </c>
    </row>
    <row r="366" spans="1:46">
      <c r="A366" t="s">
        <v>678</v>
      </c>
      <c r="B366" t="s">
        <v>679</v>
      </c>
      <c r="C366" t="s">
        <v>539</v>
      </c>
      <c r="D366" s="8" t="s">
        <v>2</v>
      </c>
      <c r="E366" s="2">
        <f>SUMIFS(LS[Unit],LS[Investor ID],INVESTORS_LIST[[#This Row],[INVESTOR CODE]],LS[B/S],"B")</f>
        <v>60000</v>
      </c>
      <c r="F366" s="2">
        <f>-SUMIFS(LS[Unit],LS[Investor ID],INVESTORS_LIST[[#This Row],[INVESTOR CODE]],LS[B/S],"S")</f>
        <v>57652</v>
      </c>
      <c r="G366" s="2">
        <f>IF(INVESTORS_LIST[[#This Row],[LS_TOTAL UNITS BUY]]=0,0,INVESTORS_LIST[[#This Row],[LS_TOTAL UNITS BUY]]-INVESTORS_LIST[[#This Row],[LS_TOTAL UNITS SOLD]])</f>
        <v>2348</v>
      </c>
      <c r="H366" s="4">
        <f>IF(INVESTORS_LIST[[#This Row],[LS_TOTAL UNITS BUY]]=0,0,SUMIFS(LS[Amount],LS[Investor ID],INVESTORS_LIST[[#This Row],[INVESTOR CODE]],LS[B/S],"B"))</f>
        <v>600000</v>
      </c>
      <c r="I366" s="6">
        <f>IF(INVESTORS_LIST[[#This Row],[LS_TOTAL UNITS SOLD]]=0,0,SUMIFS(LS[Cost of Units Sold],LS[Investor ID],INVESTORS_LIST[[#This Row],[INVESTOR CODE]],LS[B/S],"S"))</f>
        <v>576520</v>
      </c>
      <c r="J366" s="6">
        <f>IF(INVESTORS_LIST[[#This Row],[LS_TOTAL CURRENT UNITS]]=0,0,INVESTORS_LIST[[#This Row],[LS_TOTAL CURRENT UNITS]]*INVESTORS_LIST[[#This Row],[LS_AVERAGE COST]])</f>
        <v>23480</v>
      </c>
      <c r="K366" s="4">
        <f>IF(INVESTORS_LIST[[#This Row],[LS_TOTAL UNITS SOLD]]=0,0,SUMIFS(LS[Realized Gain],LS[Investor ID],INVESTORS_LIST[[#This Row],[INVESTOR CODE]],LS[B/S],"S"))</f>
        <v>3509.3799999999937</v>
      </c>
      <c r="L366" s="2">
        <f>SUMIFS(SIP[Unit],SIP[Investor ID],INVESTORS_LIST[[#This Row],[INVESTOR CODE]],SIP[B/S],"B")</f>
        <v>0</v>
      </c>
      <c r="M366" s="2">
        <f>-SUMIFS(SIP[Unit],SIP[Investor ID],INVESTORS_LIST[[#This Row],[INVESTOR CODE]],SIP[B/S],"S")</f>
        <v>0</v>
      </c>
      <c r="N366" s="33">
        <f>IF(INVESTORS_LIST[[#This Row],[SIP_TOTAL UNITS BUY]]=0,0,INVESTORS_LIST[[#This Row],[SIP_TOTAL UNITS BUY]]-INVESTORS_LIST[[#This Row],[SIP_TOTAL UNITS SOLD]])</f>
        <v>0</v>
      </c>
      <c r="O366" s="4">
        <f>IF(INVESTORS_LIST[[#This Row],[SIP_TOTAL UNITS BUY]]=0,0,SUMIFS(SIP[Amount],SIP[Investor ID],INVESTORS_LIST[[#This Row],[INVESTOR CODE]],SIP[B/S],"B"))</f>
        <v>0</v>
      </c>
      <c r="P366" s="4">
        <f>IF(INVESTORS_LIST[[#This Row],[SIP_TOTAL UNITS SOLD]]=0,0,SUMIFS(SIP[Cost of Units Sold],SIP[Investor ID],INVESTORS_LIST[[#This Row],[INVESTOR CODE]],SIP[B/S],"S"))</f>
        <v>0</v>
      </c>
      <c r="Q366" s="6">
        <f>IF(INVESTORS_LIST[[#This Row],[SIP_TOTAL CURRENT UNITS]]=0,0,INVESTORS_LIST[[#This Row],[SIP_TOTAL CURRENT UNITS]]*INVESTORS_LIST[[#This Row],[SIP_AVERAGE COST]])</f>
        <v>0</v>
      </c>
      <c r="R366" s="6">
        <f>IF(INVESTORS_LIST[[#This Row],[SIP_TOTAL UNITS SOLD]]=0,0,SUMIFS(SIP[Realized Gain],SIP[Investor ID],INVESTORS_LIST[[#This Row],[INVESTOR CODE]],SIP[B/S],"S"))</f>
        <v>0</v>
      </c>
      <c r="S366" s="33">
        <f>INVESTORS_LIST[[#This Row],[LS_TOTAL UNITS BUY]]+INVESTORS_LIST[[#This Row],[SIP_TOTAL UNITS BUY]]</f>
        <v>60000</v>
      </c>
      <c r="T366" s="33">
        <f>INVESTORS_LIST[[#This Row],[LS_TOTAL UNITS SOLD]]+INVESTORS_LIST[[#This Row],[SIP_TOTAL UNITS SOLD]]</f>
        <v>57652</v>
      </c>
      <c r="U366" s="33">
        <v>0</v>
      </c>
      <c r="V366" s="33">
        <f>SUMIFS(LS[BO UNIT TRANSFER],LS[Investor ID],INVESTORS_LIST[[#This Row],[INVESTOR CODE]],LS[B/S],"B")</f>
        <v>0</v>
      </c>
      <c r="W366" s="33">
        <f>SUMIFS(LS[BO UNIT TRANSFER],LS[Investor ID],INVESTORS_LIST[[#This Row],[INVESTOR CODE]],LS[B/S],"S")</f>
        <v>0</v>
      </c>
      <c r="X366" s="33">
        <f>SUMIFS(SIP[BO UNIT TRANSFER],SIP[Investor ID],INVESTORS_LIST[[#This Row],[INVESTOR CODE]],SIP[B/S],"S")</f>
        <v>0</v>
      </c>
      <c r="Y366" s="33">
        <f>SUMIFS(SIP[BO UNIT TRANSFER],SIP[Investor ID],INVESTORS_LIST[[#This Row],[INVESTOR CODE]],SIP[B/S],"B")</f>
        <v>0</v>
      </c>
      <c r="Z36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66" s="119">
        <f>INVESTORS_LIST[[#This Row],[TOTAL UNITS BUY]]-INVESTORS_LIST[[#This Row],[TOTAL UNITS SOLD]]</f>
        <v>2348</v>
      </c>
      <c r="AB366" s="119">
        <f>INVESTORS_LIST[[#This Row],[TOTAL CURRENT UNITS]]-INVESTORS_LIST[[#This Row],[BO UNITS HOLD]]</f>
        <v>2348</v>
      </c>
      <c r="AC366" s="119" t="e">
        <f>INDEX([4]!Table_1[BO ID],MATCH(INVESTORS_LIST[[#This Row],[INVESTOR CODE]],[4]!Table_1[INVESTOR CODE],0))</f>
        <v>#REF!</v>
      </c>
      <c r="AD366" s="33">
        <f>INVESTORS_LIST[[#This Row],[LS_TOTAL COST VALUE OF CURRENT UNITS]]+INVESTORS_LIST[[#This Row],[SIP_TOTAL COST VALUE OF CURRENT UNITS]]</f>
        <v>23480</v>
      </c>
      <c r="AE366" s="44">
        <f>IF(INVESTORS_LIST[[#This Row],[TOTAL CURRENT UNITS]]=0,0,INVESTORS_LIST[[#This Row],[LS_TOTAL CURRENT UNITS]]/INVESTORS_LIST[[#This Row],[TOTAL CURRENT UNITS]])</f>
        <v>1</v>
      </c>
      <c r="AF366" s="44">
        <f>IF(INVESTORS_LIST[[#This Row],[TOTAL CURRENT UNITS]]=0,0,INVESTORS_LIST[[#This Row],[SIP_TOTAL CURRENT UNITS]]/INVESTORS_LIST[[#This Row],[TOTAL CURRENT UNITS]])</f>
        <v>0</v>
      </c>
      <c r="AG366" s="4" cm="1">
        <f t="array" ref="AG366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366" s="4" cm="1">
        <f t="array" ref="AH3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66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366" s="178">
        <f t="shared" si="5"/>
        <v>12.552</v>
      </c>
      <c r="AK366" s="118">
        <f>IF(INVESTORS_LIST[[#This Row],[TOTAL CURRENT UNITS]]=0,0,INVESTORS_LIST[[#This Row],[TOTAL CURRENT UNITS]]*INVESTORS_LIST[[#This Row],[NAV]])</f>
        <v>29472.095999999998</v>
      </c>
      <c r="AL366" s="4">
        <f>IF(INVESTORS_LIST[[#This Row],[LS_TOTAL CURRENT UNITS]]=0,0,INVESTORS_LIST[[#This Row],[LS_TOTAL CURRENT UNITS]]*INVESTORS_LIST[[#This Row],[NAV]])</f>
        <v>29472.095999999998</v>
      </c>
      <c r="AM366" s="6">
        <f>IF(INVESTORS_LIST[[#This Row],[SIP_TOTAL CURRENT UNITS]]=0,0,INVESTORS_LIST[[#This Row],[SIP_TOTAL CURRENT UNITS]]*INVESTORS_LIST[[#This Row],[NAV]])</f>
        <v>0</v>
      </c>
      <c r="AO366" s="6">
        <f>IF(INVESTORS_LIST[[#This Row],[TOTAL SELLABLE UNITS]]=0,0,INVESTORS_LIST[[#This Row],[TOTAL SELLABLE UNITS]]*INVESTORS_LIST[[#This Row],[NAV]])</f>
        <v>0</v>
      </c>
      <c r="AP366" s="6">
        <f>INVESTORS_LIST[[#This Row],[LS_TOTAL REALIZED GAIN]]+INVESTORS_LIST[[#This Row],[SIP_TOTAL REALIZED GAIN]]</f>
        <v>3509.3799999999937</v>
      </c>
      <c r="AQ366" s="6">
        <f>INVESTORS_LIST[[#This Row],[TOTAL MARKET VALUE]]-INVESTORS_LIST[[#This Row],[TOTAL COST VALUE OF CURRENT INVESTMENT]]</f>
        <v>5992.0959999999977</v>
      </c>
      <c r="AR366" s="6">
        <f>SUMIFS(DivAndTax[Tax Amount],DivAndTax[Investor ID],INVESTORS_LIST[[#This Row],[INVESTOR CODE]])</f>
        <v>387.53</v>
      </c>
      <c r="AS366" s="6">
        <f>SUMIFS(DivAndTax[Gross Dividend],DivAndTax[Investor ID],INVESTORS_LIST[[#This Row],[INVESTOR CODE]])</f>
        <v>2583.5500000000002</v>
      </c>
      <c r="AT366" s="5">
        <f>IFERROR(INVESTORS_LIST[[#This Row],[TOTAL CURRENT UNITS]]/SUM(INVESTORS_LIST[TOTAL CURRENT UNITS]),0)</f>
        <v>1.1257447271229301E-4</v>
      </c>
    </row>
    <row r="367" spans="1:46" hidden="1">
      <c r="A367" t="s">
        <v>849</v>
      </c>
      <c r="B367" t="s">
        <v>680</v>
      </c>
      <c r="C367" t="s">
        <v>536</v>
      </c>
      <c r="D367" s="8" t="s">
        <v>2</v>
      </c>
      <c r="E367" s="2">
        <f>SUMIFS(LS[Unit],LS[Investor ID],INVESTORS_LIST[[#This Row],[INVESTOR CODE]],LS[B/S],"B")</f>
        <v>10000</v>
      </c>
      <c r="F367" s="2">
        <f>-SUMIFS(LS[Unit],LS[Investor ID],INVESTORS_LIST[[#This Row],[INVESTOR CODE]],LS[B/S],"S")</f>
        <v>10000</v>
      </c>
      <c r="G367" s="2">
        <f>IF(INVESTORS_LIST[[#This Row],[LS_TOTAL UNITS BUY]]=0,0,INVESTORS_LIST[[#This Row],[LS_TOTAL UNITS BUY]]-INVESTORS_LIST[[#This Row],[LS_TOTAL UNITS SOLD]])</f>
        <v>0</v>
      </c>
      <c r="H367" s="4">
        <f>IF(INVESTORS_LIST[[#This Row],[LS_TOTAL UNITS BUY]]=0,0,SUMIFS(LS[Amount],LS[Investor ID],INVESTORS_LIST[[#This Row],[INVESTOR CODE]],LS[B/S],"B"))</f>
        <v>100000</v>
      </c>
      <c r="I367" s="6">
        <f>IF(INVESTORS_LIST[[#This Row],[LS_TOTAL UNITS SOLD]]=0,0,SUMIFS(LS[Cost of Units Sold],LS[Investor ID],INVESTORS_LIST[[#This Row],[INVESTOR CODE]],LS[B/S],"S"))</f>
        <v>100000</v>
      </c>
      <c r="J367" s="6">
        <f>IF(INVESTORS_LIST[[#This Row],[LS_TOTAL CURRENT UNITS]]=0,0,INVESTORS_LIST[[#This Row],[LS_TOTAL CURRENT UNITS]]*INVESTORS_LIST[[#This Row],[LS_AVERAGE COST]])</f>
        <v>0</v>
      </c>
      <c r="K367" s="4">
        <f>IF(INVESTORS_LIST[[#This Row],[LS_TOTAL UNITS SOLD]]=0,0,SUMIFS(LS[Realized Gain],LS[Investor ID],INVESTORS_LIST[[#This Row],[INVESTOR CODE]],LS[B/S],"S"))</f>
        <v>600.000000000005</v>
      </c>
      <c r="L367" s="2">
        <f>SUMIFS(SIP[Unit],SIP[Investor ID],INVESTORS_LIST[[#This Row],[INVESTOR CODE]],SIP[B/S],"B")</f>
        <v>0</v>
      </c>
      <c r="M367" s="2">
        <f>-SUMIFS(SIP[Unit],SIP[Investor ID],INVESTORS_LIST[[#This Row],[INVESTOR CODE]],SIP[B/S],"S")</f>
        <v>0</v>
      </c>
      <c r="N367" s="33">
        <f>IF(INVESTORS_LIST[[#This Row],[SIP_TOTAL UNITS BUY]]=0,0,INVESTORS_LIST[[#This Row],[SIP_TOTAL UNITS BUY]]-INVESTORS_LIST[[#This Row],[SIP_TOTAL UNITS SOLD]])</f>
        <v>0</v>
      </c>
      <c r="O367" s="4">
        <f>IF(INVESTORS_LIST[[#This Row],[SIP_TOTAL UNITS BUY]]=0,0,SUMIFS(SIP[Amount],SIP[Investor ID],INVESTORS_LIST[[#This Row],[INVESTOR CODE]],SIP[B/S],"B"))</f>
        <v>0</v>
      </c>
      <c r="P367" s="4">
        <f>IF(INVESTORS_LIST[[#This Row],[SIP_TOTAL UNITS SOLD]]=0,0,SUMIFS(SIP[Cost of Units Sold],SIP[Investor ID],INVESTORS_LIST[[#This Row],[INVESTOR CODE]],SIP[B/S],"S"))</f>
        <v>0</v>
      </c>
      <c r="Q367" s="6">
        <f>IF(INVESTORS_LIST[[#This Row],[SIP_TOTAL CURRENT UNITS]]=0,0,INVESTORS_LIST[[#This Row],[SIP_TOTAL CURRENT UNITS]]*INVESTORS_LIST[[#This Row],[SIP_AVERAGE COST]])</f>
        <v>0</v>
      </c>
      <c r="R367" s="6">
        <f>IF(INVESTORS_LIST[[#This Row],[SIP_TOTAL UNITS SOLD]]=0,0,SUMIFS(SIP[Realized Gain],SIP[Investor ID],INVESTORS_LIST[[#This Row],[INVESTOR CODE]],SIP[B/S],"S"))</f>
        <v>0</v>
      </c>
      <c r="S367" s="33">
        <f>INVESTORS_LIST[[#This Row],[LS_TOTAL UNITS BUY]]+INVESTORS_LIST[[#This Row],[SIP_TOTAL UNITS BUY]]</f>
        <v>10000</v>
      </c>
      <c r="T367" s="33">
        <f>INVESTORS_LIST[[#This Row],[LS_TOTAL UNITS SOLD]]+INVESTORS_LIST[[#This Row],[SIP_TOTAL UNITS SOLD]]</f>
        <v>10000</v>
      </c>
      <c r="U367" s="33">
        <v>0</v>
      </c>
      <c r="V367" s="33">
        <f>SUMIFS(LS[BO UNIT TRANSFER],LS[Investor ID],INVESTORS_LIST[[#This Row],[INVESTOR CODE]],LS[B/S],"B")</f>
        <v>0</v>
      </c>
      <c r="W367" s="33">
        <f>SUMIFS(LS[BO UNIT TRANSFER],LS[Investor ID],INVESTORS_LIST[[#This Row],[INVESTOR CODE]],LS[B/S],"S")</f>
        <v>0</v>
      </c>
      <c r="X367" s="33">
        <f>SUMIFS(SIP[BO UNIT TRANSFER],SIP[Investor ID],INVESTORS_LIST[[#This Row],[INVESTOR CODE]],SIP[B/S],"S")</f>
        <v>0</v>
      </c>
      <c r="Y367" s="33">
        <f>SUMIFS(SIP[BO UNIT TRANSFER],SIP[Investor ID],INVESTORS_LIST[[#This Row],[INVESTOR CODE]],SIP[B/S],"B")</f>
        <v>0</v>
      </c>
      <c r="Z36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67" s="119">
        <f>INVESTORS_LIST[[#This Row],[TOTAL UNITS BUY]]-INVESTORS_LIST[[#This Row],[TOTAL UNITS SOLD]]</f>
        <v>0</v>
      </c>
      <c r="AB367" s="119">
        <f>INVESTORS_LIST[[#This Row],[TOTAL CURRENT UNITS]]-INVESTORS_LIST[[#This Row],[BO UNITS HOLD]]</f>
        <v>0</v>
      </c>
      <c r="AC367" s="119" t="e">
        <f>INDEX([4]!Table_1[BO ID],MATCH(INVESTORS_LIST[[#This Row],[INVESTOR CODE]],[4]!Table_1[INVESTOR CODE],0))</f>
        <v>#REF!</v>
      </c>
      <c r="AD367" s="33">
        <f>INVESTORS_LIST[[#This Row],[LS_TOTAL COST VALUE OF CURRENT UNITS]]+INVESTORS_LIST[[#This Row],[SIP_TOTAL COST VALUE OF CURRENT UNITS]]</f>
        <v>0</v>
      </c>
      <c r="AE367" s="44">
        <f>IF(INVESTORS_LIST[[#This Row],[TOTAL CURRENT UNITS]]=0,0,INVESTORS_LIST[[#This Row],[LS_TOTAL CURRENT UNITS]]/INVESTORS_LIST[[#This Row],[TOTAL CURRENT UNITS]])</f>
        <v>0</v>
      </c>
      <c r="AF367" s="44">
        <f>IF(INVESTORS_LIST[[#This Row],[TOTAL CURRENT UNITS]]=0,0,INVESTORS_LIST[[#This Row],[SIP_TOTAL CURRENT UNITS]]/INVESTORS_LIST[[#This Row],[TOTAL CURRENT UNITS]])</f>
        <v>0</v>
      </c>
      <c r="AG367" s="4" cm="1">
        <f t="array" ref="AG3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67" s="4" cm="1">
        <f t="array" ref="AH3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6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67" s="178">
        <f t="shared" si="5"/>
        <v>12.552</v>
      </c>
      <c r="AK367" s="118">
        <f>IF(INVESTORS_LIST[[#This Row],[TOTAL CURRENT UNITS]]=0,0,INVESTORS_LIST[[#This Row],[TOTAL CURRENT UNITS]]*INVESTORS_LIST[[#This Row],[NAV]])</f>
        <v>0</v>
      </c>
      <c r="AL367" s="4">
        <f>IF(INVESTORS_LIST[[#This Row],[LS_TOTAL CURRENT UNITS]]=0,0,INVESTORS_LIST[[#This Row],[LS_TOTAL CURRENT UNITS]]*INVESTORS_LIST[[#This Row],[NAV]])</f>
        <v>0</v>
      </c>
      <c r="AM367" s="6">
        <f>IF(INVESTORS_LIST[[#This Row],[SIP_TOTAL CURRENT UNITS]]=0,0,INVESTORS_LIST[[#This Row],[SIP_TOTAL CURRENT UNITS]]*INVESTORS_LIST[[#This Row],[NAV]])</f>
        <v>0</v>
      </c>
      <c r="AO367" s="6">
        <f>IF(INVESTORS_LIST[[#This Row],[TOTAL SELLABLE UNITS]]=0,0,INVESTORS_LIST[[#This Row],[TOTAL SELLABLE UNITS]]*INVESTORS_LIST[[#This Row],[NAV]])</f>
        <v>0</v>
      </c>
      <c r="AP367" s="6">
        <f>INVESTORS_LIST[[#This Row],[LS_TOTAL REALIZED GAIN]]+INVESTORS_LIST[[#This Row],[SIP_TOTAL REALIZED GAIN]]</f>
        <v>600.000000000005</v>
      </c>
      <c r="AQ367" s="6">
        <f>INVESTORS_LIST[[#This Row],[TOTAL MARKET VALUE]]-INVESTORS_LIST[[#This Row],[TOTAL COST VALUE OF CURRENT INVESTMENT]]</f>
        <v>0</v>
      </c>
      <c r="AR367" s="6">
        <f>SUMIFS(DivAndTax[Tax Amount],DivAndTax[Investor ID],INVESTORS_LIST[[#This Row],[INVESTOR CODE]])</f>
        <v>0</v>
      </c>
      <c r="AS367" s="6">
        <f>SUMIFS(DivAndTax[Gross Dividend],DivAndTax[Investor ID],INVESTORS_LIST[[#This Row],[INVESTOR CODE]])</f>
        <v>0</v>
      </c>
      <c r="AT367" s="5">
        <f>IFERROR(INVESTORS_LIST[[#This Row],[TOTAL CURRENT UNITS]]/SUM(INVESTORS_LIST[TOTAL CURRENT UNITS]),0)</f>
        <v>0</v>
      </c>
    </row>
    <row r="368" spans="1:46" hidden="1">
      <c r="A368" t="s">
        <v>681</v>
      </c>
      <c r="B368" t="s">
        <v>682</v>
      </c>
      <c r="C368" t="s">
        <v>536</v>
      </c>
      <c r="D368" s="8" t="s">
        <v>2</v>
      </c>
      <c r="E368" s="2">
        <f>SUMIFS(LS[Unit],LS[Investor ID],INVESTORS_LIST[[#This Row],[INVESTOR CODE]],LS[B/S],"B")</f>
        <v>10000</v>
      </c>
      <c r="F368" s="2">
        <f>-SUMIFS(LS[Unit],LS[Investor ID],INVESTORS_LIST[[#This Row],[INVESTOR CODE]],LS[B/S],"S")</f>
        <v>10000</v>
      </c>
      <c r="G368" s="2">
        <f>IF(INVESTORS_LIST[[#This Row],[LS_TOTAL UNITS BUY]]=0,0,INVESTORS_LIST[[#This Row],[LS_TOTAL UNITS BUY]]-INVESTORS_LIST[[#This Row],[LS_TOTAL UNITS SOLD]])</f>
        <v>0</v>
      </c>
      <c r="H368" s="4">
        <f>IF(INVESTORS_LIST[[#This Row],[LS_TOTAL UNITS BUY]]=0,0,SUMIFS(LS[Amount],LS[Investor ID],INVESTORS_LIST[[#This Row],[INVESTOR CODE]],LS[B/S],"B"))</f>
        <v>100000</v>
      </c>
      <c r="I368" s="6">
        <f>IF(INVESTORS_LIST[[#This Row],[LS_TOTAL UNITS SOLD]]=0,0,SUMIFS(LS[Cost of Units Sold],LS[Investor ID],INVESTORS_LIST[[#This Row],[INVESTOR CODE]],LS[B/S],"S"))</f>
        <v>100000</v>
      </c>
      <c r="J368" s="6">
        <f>IF(INVESTORS_LIST[[#This Row],[LS_TOTAL CURRENT UNITS]]=0,0,INVESTORS_LIST[[#This Row],[LS_TOTAL CURRENT UNITS]]*INVESTORS_LIST[[#This Row],[LS_AVERAGE COST]])</f>
        <v>0</v>
      </c>
      <c r="K368" s="4">
        <f>IF(INVESTORS_LIST[[#This Row],[LS_TOTAL UNITS SOLD]]=0,0,SUMIFS(LS[Realized Gain],LS[Investor ID],INVESTORS_LIST[[#This Row],[INVESTOR CODE]],LS[B/S],"S"))</f>
        <v>600.000000000005</v>
      </c>
      <c r="L368" s="2">
        <f>SUMIFS(SIP[Unit],SIP[Investor ID],INVESTORS_LIST[[#This Row],[INVESTOR CODE]],SIP[B/S],"B")</f>
        <v>0</v>
      </c>
      <c r="M368" s="2">
        <f>-SUMIFS(SIP[Unit],SIP[Investor ID],INVESTORS_LIST[[#This Row],[INVESTOR CODE]],SIP[B/S],"S")</f>
        <v>0</v>
      </c>
      <c r="N368" s="33">
        <f>IF(INVESTORS_LIST[[#This Row],[SIP_TOTAL UNITS BUY]]=0,0,INVESTORS_LIST[[#This Row],[SIP_TOTAL UNITS BUY]]-INVESTORS_LIST[[#This Row],[SIP_TOTAL UNITS SOLD]])</f>
        <v>0</v>
      </c>
      <c r="O368" s="4">
        <f>IF(INVESTORS_LIST[[#This Row],[SIP_TOTAL UNITS BUY]]=0,0,SUMIFS(SIP[Amount],SIP[Investor ID],INVESTORS_LIST[[#This Row],[INVESTOR CODE]],SIP[B/S],"B"))</f>
        <v>0</v>
      </c>
      <c r="P368" s="4">
        <f>IF(INVESTORS_LIST[[#This Row],[SIP_TOTAL UNITS SOLD]]=0,0,SUMIFS(SIP[Cost of Units Sold],SIP[Investor ID],INVESTORS_LIST[[#This Row],[INVESTOR CODE]],SIP[B/S],"S"))</f>
        <v>0</v>
      </c>
      <c r="Q368" s="6">
        <f>IF(INVESTORS_LIST[[#This Row],[SIP_TOTAL CURRENT UNITS]]=0,0,INVESTORS_LIST[[#This Row],[SIP_TOTAL CURRENT UNITS]]*INVESTORS_LIST[[#This Row],[SIP_AVERAGE COST]])</f>
        <v>0</v>
      </c>
      <c r="R368" s="6">
        <f>IF(INVESTORS_LIST[[#This Row],[SIP_TOTAL UNITS SOLD]]=0,0,SUMIFS(SIP[Realized Gain],SIP[Investor ID],INVESTORS_LIST[[#This Row],[INVESTOR CODE]],SIP[B/S],"S"))</f>
        <v>0</v>
      </c>
      <c r="S368" s="33">
        <f>INVESTORS_LIST[[#This Row],[LS_TOTAL UNITS BUY]]+INVESTORS_LIST[[#This Row],[SIP_TOTAL UNITS BUY]]</f>
        <v>10000</v>
      </c>
      <c r="T368" s="33">
        <f>INVESTORS_LIST[[#This Row],[LS_TOTAL UNITS SOLD]]+INVESTORS_LIST[[#This Row],[SIP_TOTAL UNITS SOLD]]</f>
        <v>10000</v>
      </c>
      <c r="U368" s="33">
        <v>0</v>
      </c>
      <c r="V368" s="33">
        <f>SUMIFS(LS[BO UNIT TRANSFER],LS[Investor ID],INVESTORS_LIST[[#This Row],[INVESTOR CODE]],LS[B/S],"B")</f>
        <v>0</v>
      </c>
      <c r="W368" s="33">
        <f>SUMIFS(LS[BO UNIT TRANSFER],LS[Investor ID],INVESTORS_LIST[[#This Row],[INVESTOR CODE]],LS[B/S],"S")</f>
        <v>0</v>
      </c>
      <c r="X368" s="33">
        <f>SUMIFS(SIP[BO UNIT TRANSFER],SIP[Investor ID],INVESTORS_LIST[[#This Row],[INVESTOR CODE]],SIP[B/S],"S")</f>
        <v>0</v>
      </c>
      <c r="Y368" s="33">
        <f>SUMIFS(SIP[BO UNIT TRANSFER],SIP[Investor ID],INVESTORS_LIST[[#This Row],[INVESTOR CODE]],SIP[B/S],"B")</f>
        <v>0</v>
      </c>
      <c r="Z36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68" s="119">
        <f>INVESTORS_LIST[[#This Row],[TOTAL UNITS BUY]]-INVESTORS_LIST[[#This Row],[TOTAL UNITS SOLD]]</f>
        <v>0</v>
      </c>
      <c r="AB368" s="119">
        <f>INVESTORS_LIST[[#This Row],[TOTAL CURRENT UNITS]]-INVESTORS_LIST[[#This Row],[BO UNITS HOLD]]</f>
        <v>0</v>
      </c>
      <c r="AC368" s="119" t="e">
        <f>INDEX([4]!Table_1[BO ID],MATCH(INVESTORS_LIST[[#This Row],[INVESTOR CODE]],[4]!Table_1[INVESTOR CODE],0))</f>
        <v>#REF!</v>
      </c>
      <c r="AD368" s="33">
        <f>INVESTORS_LIST[[#This Row],[LS_TOTAL COST VALUE OF CURRENT UNITS]]+INVESTORS_LIST[[#This Row],[SIP_TOTAL COST VALUE OF CURRENT UNITS]]</f>
        <v>0</v>
      </c>
      <c r="AE368" s="44">
        <f>IF(INVESTORS_LIST[[#This Row],[TOTAL CURRENT UNITS]]=0,0,INVESTORS_LIST[[#This Row],[LS_TOTAL CURRENT UNITS]]/INVESTORS_LIST[[#This Row],[TOTAL CURRENT UNITS]])</f>
        <v>0</v>
      </c>
      <c r="AF368" s="44">
        <f>IF(INVESTORS_LIST[[#This Row],[TOTAL CURRENT UNITS]]=0,0,INVESTORS_LIST[[#This Row],[SIP_TOTAL CURRENT UNITS]]/INVESTORS_LIST[[#This Row],[TOTAL CURRENT UNITS]])</f>
        <v>0</v>
      </c>
      <c r="AG368" s="4" cm="1">
        <f t="array" ref="AG36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68" s="4" cm="1">
        <f t="array" ref="AH3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6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68" s="178">
        <f t="shared" si="5"/>
        <v>12.552</v>
      </c>
      <c r="AK368" s="118">
        <f>IF(INVESTORS_LIST[[#This Row],[TOTAL CURRENT UNITS]]=0,0,INVESTORS_LIST[[#This Row],[TOTAL CURRENT UNITS]]*INVESTORS_LIST[[#This Row],[NAV]])</f>
        <v>0</v>
      </c>
      <c r="AL368" s="4">
        <f>IF(INVESTORS_LIST[[#This Row],[LS_TOTAL CURRENT UNITS]]=0,0,INVESTORS_LIST[[#This Row],[LS_TOTAL CURRENT UNITS]]*INVESTORS_LIST[[#This Row],[NAV]])</f>
        <v>0</v>
      </c>
      <c r="AM368" s="6">
        <f>IF(INVESTORS_LIST[[#This Row],[SIP_TOTAL CURRENT UNITS]]=0,0,INVESTORS_LIST[[#This Row],[SIP_TOTAL CURRENT UNITS]]*INVESTORS_LIST[[#This Row],[NAV]])</f>
        <v>0</v>
      </c>
      <c r="AO368" s="6">
        <f>IF(INVESTORS_LIST[[#This Row],[TOTAL SELLABLE UNITS]]=0,0,INVESTORS_LIST[[#This Row],[TOTAL SELLABLE UNITS]]*INVESTORS_LIST[[#This Row],[NAV]])</f>
        <v>0</v>
      </c>
      <c r="AP368" s="6">
        <f>INVESTORS_LIST[[#This Row],[LS_TOTAL REALIZED GAIN]]+INVESTORS_LIST[[#This Row],[SIP_TOTAL REALIZED GAIN]]</f>
        <v>600.000000000005</v>
      </c>
      <c r="AQ368" s="6">
        <f>INVESTORS_LIST[[#This Row],[TOTAL MARKET VALUE]]-INVESTORS_LIST[[#This Row],[TOTAL COST VALUE OF CURRENT INVESTMENT]]</f>
        <v>0</v>
      </c>
      <c r="AR368" s="6">
        <f>SUMIFS(DivAndTax[Tax Amount],DivAndTax[Investor ID],INVESTORS_LIST[[#This Row],[INVESTOR CODE]])</f>
        <v>0</v>
      </c>
      <c r="AS368" s="6">
        <f>SUMIFS(DivAndTax[Gross Dividend],DivAndTax[Investor ID],INVESTORS_LIST[[#This Row],[INVESTOR CODE]])</f>
        <v>0</v>
      </c>
      <c r="AT368" s="5">
        <f>IFERROR(INVESTORS_LIST[[#This Row],[TOTAL CURRENT UNITS]]/SUM(INVESTORS_LIST[TOTAL CURRENT UNITS]),0)</f>
        <v>0</v>
      </c>
    </row>
    <row r="369" spans="1:46">
      <c r="A369" t="s">
        <v>683</v>
      </c>
      <c r="B369" t="s">
        <v>684</v>
      </c>
      <c r="C369" t="s">
        <v>536</v>
      </c>
      <c r="D369" s="8" t="s">
        <v>2</v>
      </c>
      <c r="E369" s="2">
        <f>SUMIFS(LS[Unit],LS[Investor ID],INVESTORS_LIST[[#This Row],[INVESTOR CODE]],LS[B/S],"B")</f>
        <v>2058</v>
      </c>
      <c r="F369" s="2">
        <f>-SUMIFS(LS[Unit],LS[Investor ID],INVESTORS_LIST[[#This Row],[INVESTOR CODE]],LS[B/S],"S")</f>
        <v>1879</v>
      </c>
      <c r="G369" s="2">
        <f>IF(INVESTORS_LIST[[#This Row],[LS_TOTAL UNITS BUY]]=0,0,INVESTORS_LIST[[#This Row],[LS_TOTAL UNITS BUY]]-INVESTORS_LIST[[#This Row],[LS_TOTAL UNITS SOLD]])</f>
        <v>179</v>
      </c>
      <c r="H369" s="4">
        <f>IF(INVESTORS_LIST[[#This Row],[LS_TOTAL UNITS BUY]]=0,0,SUMIFS(LS[Amount],LS[Investor ID],INVESTORS_LIST[[#This Row],[INVESTOR CODE]],LS[B/S],"B"))</f>
        <v>20586.050000000003</v>
      </c>
      <c r="I369" s="6">
        <f>IF(INVESTORS_LIST[[#This Row],[LS_TOTAL UNITS SOLD]]=0,0,SUMIFS(LS[Cost of Units Sold],LS[Investor ID],INVESTORS_LIST[[#This Row],[INVESTOR CODE]],LS[B/S],"S"))</f>
        <v>18790</v>
      </c>
      <c r="J369" s="6">
        <f>IF(INVESTORS_LIST[[#This Row],[LS_TOTAL CURRENT UNITS]]=0,0,INVESTORS_LIST[[#This Row],[LS_TOTAL CURRENT UNITS]]*INVESTORS_LIST[[#This Row],[LS_AVERAGE COST]])</f>
        <v>1796.05</v>
      </c>
      <c r="K369" s="4">
        <f>IF(INVESTORS_LIST[[#This Row],[LS_TOTAL UNITS SOLD]]=0,0,SUMIFS(LS[Realized Gain],LS[Investor ID],INVESTORS_LIST[[#This Row],[INVESTOR CODE]],LS[B/S],"S"))</f>
        <v>662.36000000000138</v>
      </c>
      <c r="L369" s="2">
        <f>SUMIFS(SIP[Unit],SIP[Investor ID],INVESTORS_LIST[[#This Row],[INVESTOR CODE]],SIP[B/S],"B")</f>
        <v>0</v>
      </c>
      <c r="M369" s="2">
        <f>-SUMIFS(SIP[Unit],SIP[Investor ID],INVESTORS_LIST[[#This Row],[INVESTOR CODE]],SIP[B/S],"S")</f>
        <v>0</v>
      </c>
      <c r="N369" s="33">
        <f>IF(INVESTORS_LIST[[#This Row],[SIP_TOTAL UNITS BUY]]=0,0,INVESTORS_LIST[[#This Row],[SIP_TOTAL UNITS BUY]]-INVESTORS_LIST[[#This Row],[SIP_TOTAL UNITS SOLD]])</f>
        <v>0</v>
      </c>
      <c r="O369" s="4">
        <f>IF(INVESTORS_LIST[[#This Row],[SIP_TOTAL UNITS BUY]]=0,0,SUMIFS(SIP[Amount],SIP[Investor ID],INVESTORS_LIST[[#This Row],[INVESTOR CODE]],SIP[B/S],"B"))</f>
        <v>0</v>
      </c>
      <c r="P369" s="4">
        <f>IF(INVESTORS_LIST[[#This Row],[SIP_TOTAL UNITS SOLD]]=0,0,SUMIFS(SIP[Cost of Units Sold],SIP[Investor ID],INVESTORS_LIST[[#This Row],[INVESTOR CODE]],SIP[B/S],"S"))</f>
        <v>0</v>
      </c>
      <c r="Q369" s="6">
        <f>IF(INVESTORS_LIST[[#This Row],[SIP_TOTAL CURRENT UNITS]]=0,0,INVESTORS_LIST[[#This Row],[SIP_TOTAL CURRENT UNITS]]*INVESTORS_LIST[[#This Row],[SIP_AVERAGE COST]])</f>
        <v>0</v>
      </c>
      <c r="R369" s="6">
        <f>IF(INVESTORS_LIST[[#This Row],[SIP_TOTAL UNITS SOLD]]=0,0,SUMIFS(SIP[Realized Gain],SIP[Investor ID],INVESTORS_LIST[[#This Row],[INVESTOR CODE]],SIP[B/S],"S"))</f>
        <v>0</v>
      </c>
      <c r="S369" s="33">
        <f>INVESTORS_LIST[[#This Row],[LS_TOTAL UNITS BUY]]+INVESTORS_LIST[[#This Row],[SIP_TOTAL UNITS BUY]]</f>
        <v>2058</v>
      </c>
      <c r="T369" s="33">
        <f>INVESTORS_LIST[[#This Row],[LS_TOTAL UNITS SOLD]]+INVESTORS_LIST[[#This Row],[SIP_TOTAL UNITS SOLD]]</f>
        <v>1879</v>
      </c>
      <c r="U369" s="33">
        <v>0</v>
      </c>
      <c r="V369" s="33">
        <f>SUMIFS(LS[BO UNIT TRANSFER],LS[Investor ID],INVESTORS_LIST[[#This Row],[INVESTOR CODE]],LS[B/S],"B")</f>
        <v>2058</v>
      </c>
      <c r="W369" s="33">
        <f>SUMIFS(LS[BO UNIT TRANSFER],LS[Investor ID],INVESTORS_LIST[[#This Row],[INVESTOR CODE]],LS[B/S],"S")</f>
        <v>-1879</v>
      </c>
      <c r="X369" s="33">
        <f>SUMIFS(SIP[BO UNIT TRANSFER],SIP[Investor ID],INVESTORS_LIST[[#This Row],[INVESTOR CODE]],SIP[B/S],"S")</f>
        <v>0</v>
      </c>
      <c r="Y369" s="33">
        <f>SUMIFS(SIP[BO UNIT TRANSFER],SIP[Investor ID],INVESTORS_LIST[[#This Row],[INVESTOR CODE]],SIP[B/S],"B")</f>
        <v>0</v>
      </c>
      <c r="Z36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179</v>
      </c>
      <c r="AA369" s="119">
        <f>INVESTORS_LIST[[#This Row],[TOTAL UNITS BUY]]-INVESTORS_LIST[[#This Row],[TOTAL UNITS SOLD]]</f>
        <v>179</v>
      </c>
      <c r="AB369" s="119">
        <f>INVESTORS_LIST[[#This Row],[TOTAL CURRENT UNITS]]-INVESTORS_LIST[[#This Row],[BO UNITS HOLD]]</f>
        <v>0</v>
      </c>
      <c r="AC369" s="119" t="e">
        <f>INDEX([4]!Table_1[BO ID],MATCH(INVESTORS_LIST[[#This Row],[INVESTOR CODE]],[4]!Table_1[INVESTOR CODE],0))</f>
        <v>#REF!</v>
      </c>
      <c r="AD369" s="33">
        <f>INVESTORS_LIST[[#This Row],[LS_TOTAL COST VALUE OF CURRENT UNITS]]+INVESTORS_LIST[[#This Row],[SIP_TOTAL COST VALUE OF CURRENT UNITS]]</f>
        <v>1796.05</v>
      </c>
      <c r="AE369" s="44">
        <f>IF(INVESTORS_LIST[[#This Row],[TOTAL CURRENT UNITS]]=0,0,INVESTORS_LIST[[#This Row],[LS_TOTAL CURRENT UNITS]]/INVESTORS_LIST[[#This Row],[TOTAL CURRENT UNITS]])</f>
        <v>1</v>
      </c>
      <c r="AF369" s="44">
        <f>IF(INVESTORS_LIST[[#This Row],[TOTAL CURRENT UNITS]]=0,0,INVESTORS_LIST[[#This Row],[SIP_TOTAL CURRENT UNITS]]/INVESTORS_LIST[[#This Row],[TOTAL CURRENT UNITS]])</f>
        <v>0</v>
      </c>
      <c r="AG369" s="4" cm="1">
        <f t="array" ref="AG369">IF(INVESTORS_LIST[[#This Row],[LS_TOTAL UNITS BUY]]&gt;0,INDEX(LS[NAV at Cost (Average)],MATCH(CONCATENATE(COUNTIFS(LS[Investor ID],INVESTORS_LIST[[#This Row],[INVESTOR CODE]]),INVESTORS_LIST[[#This Row],[INVESTOR CODE]]),LS[Unique Code],0),),0)</f>
        <v>10.033798882681564</v>
      </c>
      <c r="AH369" s="4" cm="1">
        <f t="array" ref="AH36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69" s="178">
        <f>IF(INVESTORS_LIST[[#This Row],[TOTAL CURRENT UNITS]]=0,0,(INVESTORS_LIST[[#This Row],[LS_WEIGHT]]*INVESTORS_LIST[[#This Row],[LS_AVERAGE COST]])+(INVESTORS_LIST[[#This Row],[SIP_WEIGHT]]*INVESTORS_LIST[[#This Row],[SIP_AVERAGE COST]]))</f>
        <v>10.033798882681564</v>
      </c>
      <c r="AJ369" s="178">
        <f t="shared" si="5"/>
        <v>12.552</v>
      </c>
      <c r="AK369" s="118">
        <f>IF(INVESTORS_LIST[[#This Row],[TOTAL CURRENT UNITS]]=0,0,INVESTORS_LIST[[#This Row],[TOTAL CURRENT UNITS]]*INVESTORS_LIST[[#This Row],[NAV]])</f>
        <v>2246.808</v>
      </c>
      <c r="AL369" s="4">
        <f>IF(INVESTORS_LIST[[#This Row],[LS_TOTAL CURRENT UNITS]]=0,0,INVESTORS_LIST[[#This Row],[LS_TOTAL CURRENT UNITS]]*INVESTORS_LIST[[#This Row],[NAV]])</f>
        <v>2246.808</v>
      </c>
      <c r="AM369" s="6">
        <f>IF(INVESTORS_LIST[[#This Row],[SIP_TOTAL CURRENT UNITS]]=0,0,INVESTORS_LIST[[#This Row],[SIP_TOTAL CURRENT UNITS]]*INVESTORS_LIST[[#This Row],[NAV]])</f>
        <v>0</v>
      </c>
      <c r="AO369" s="6">
        <f>IF(INVESTORS_LIST[[#This Row],[TOTAL SELLABLE UNITS]]=0,0,INVESTORS_LIST[[#This Row],[TOTAL SELLABLE UNITS]]*INVESTORS_LIST[[#This Row],[NAV]])</f>
        <v>0</v>
      </c>
      <c r="AP369" s="6">
        <f>INVESTORS_LIST[[#This Row],[LS_TOTAL REALIZED GAIN]]+INVESTORS_LIST[[#This Row],[SIP_TOTAL REALIZED GAIN]]</f>
        <v>662.36000000000138</v>
      </c>
      <c r="AQ369" s="6">
        <f>INVESTORS_LIST[[#This Row],[TOTAL MARKET VALUE]]-INVESTORS_LIST[[#This Row],[TOTAL COST VALUE OF CURRENT INVESTMENT]]</f>
        <v>450.75800000000004</v>
      </c>
      <c r="AR369" s="6">
        <f>SUMIFS(DivAndTax[Tax Amount],DivAndTax[Investor ID],INVESTORS_LIST[[#This Row],[INVESTOR CODE]])</f>
        <v>64.44</v>
      </c>
      <c r="AS369" s="6">
        <f>SUMIFS(DivAndTax[Gross Dividend],DivAndTax[Investor ID],INVESTORS_LIST[[#This Row],[INVESTOR CODE]])</f>
        <v>644.4</v>
      </c>
      <c r="AT369" s="5">
        <f>IFERROR(INVESTORS_LIST[[#This Row],[TOTAL CURRENT UNITS]]/SUM(INVESTORS_LIST[TOTAL CURRENT UNITS]),0)</f>
        <v>8.5821254750853713E-6</v>
      </c>
    </row>
    <row r="370" spans="1:46">
      <c r="A370" t="s">
        <v>685</v>
      </c>
      <c r="B370" t="s">
        <v>686</v>
      </c>
      <c r="C370" t="s">
        <v>536</v>
      </c>
      <c r="D370" s="8" t="s">
        <v>2</v>
      </c>
      <c r="E370" s="2">
        <f>SUMIFS(LS[Unit],LS[Investor ID],INVESTORS_LIST[[#This Row],[INVESTOR CODE]],LS[B/S],"B")</f>
        <v>3406</v>
      </c>
      <c r="F370" s="2">
        <f>-SUMIFS(LS[Unit],LS[Investor ID],INVESTORS_LIST[[#This Row],[INVESTOR CODE]],LS[B/S],"S")</f>
        <v>0</v>
      </c>
      <c r="G370" s="2">
        <f>IF(INVESTORS_LIST[[#This Row],[LS_TOTAL UNITS BUY]]=0,0,INVESTORS_LIST[[#This Row],[LS_TOTAL UNITS BUY]]-INVESTORS_LIST[[#This Row],[LS_TOTAL UNITS SOLD]])</f>
        <v>3406</v>
      </c>
      <c r="H370" s="4">
        <f>IF(INVESTORS_LIST[[#This Row],[LS_TOTAL UNITS BUY]]=0,0,SUMIFS(LS[Amount],LS[Investor ID],INVESTORS_LIST[[#This Row],[INVESTOR CODE]],LS[B/S],"B"))</f>
        <v>34404.170000000006</v>
      </c>
      <c r="I370" s="6">
        <f>IF(INVESTORS_LIST[[#This Row],[LS_TOTAL UNITS SOLD]]=0,0,SUMIFS(LS[Cost of Units Sold],LS[Investor ID],INVESTORS_LIST[[#This Row],[INVESTOR CODE]],LS[B/S],"S"))</f>
        <v>0</v>
      </c>
      <c r="J370" s="6">
        <f>IF(INVESTORS_LIST[[#This Row],[LS_TOTAL CURRENT UNITS]]=0,0,INVESTORS_LIST[[#This Row],[LS_TOTAL CURRENT UNITS]]*INVESTORS_LIST[[#This Row],[LS_AVERAGE COST]])</f>
        <v>34404.17</v>
      </c>
      <c r="K370" s="4">
        <f>IF(INVESTORS_LIST[[#This Row],[LS_TOTAL UNITS SOLD]]=0,0,SUMIFS(LS[Realized Gain],LS[Investor ID],INVESTORS_LIST[[#This Row],[INVESTOR CODE]],LS[B/S],"S"))</f>
        <v>0</v>
      </c>
      <c r="L370" s="2">
        <f>SUMIFS(SIP[Unit],SIP[Investor ID],INVESTORS_LIST[[#This Row],[INVESTOR CODE]],SIP[B/S],"B")</f>
        <v>0</v>
      </c>
      <c r="M370" s="2">
        <f>-SUMIFS(SIP[Unit],SIP[Investor ID],INVESTORS_LIST[[#This Row],[INVESTOR CODE]],SIP[B/S],"S")</f>
        <v>0</v>
      </c>
      <c r="N370" s="33">
        <f>IF(INVESTORS_LIST[[#This Row],[SIP_TOTAL UNITS BUY]]=0,0,INVESTORS_LIST[[#This Row],[SIP_TOTAL UNITS BUY]]-INVESTORS_LIST[[#This Row],[SIP_TOTAL UNITS SOLD]])</f>
        <v>0</v>
      </c>
      <c r="O370" s="4">
        <f>IF(INVESTORS_LIST[[#This Row],[SIP_TOTAL UNITS BUY]]=0,0,SUMIFS(SIP[Amount],SIP[Investor ID],INVESTORS_LIST[[#This Row],[INVESTOR CODE]],SIP[B/S],"B"))</f>
        <v>0</v>
      </c>
      <c r="P370" s="4">
        <f>IF(INVESTORS_LIST[[#This Row],[SIP_TOTAL UNITS SOLD]]=0,0,SUMIFS(SIP[Cost of Units Sold],SIP[Investor ID],INVESTORS_LIST[[#This Row],[INVESTOR CODE]],SIP[B/S],"S"))</f>
        <v>0</v>
      </c>
      <c r="Q370" s="6">
        <f>IF(INVESTORS_LIST[[#This Row],[SIP_TOTAL CURRENT UNITS]]=0,0,INVESTORS_LIST[[#This Row],[SIP_TOTAL CURRENT UNITS]]*INVESTORS_LIST[[#This Row],[SIP_AVERAGE COST]])</f>
        <v>0</v>
      </c>
      <c r="R370" s="6">
        <f>IF(INVESTORS_LIST[[#This Row],[SIP_TOTAL UNITS SOLD]]=0,0,SUMIFS(SIP[Realized Gain],SIP[Investor ID],INVESTORS_LIST[[#This Row],[INVESTOR CODE]],SIP[B/S],"S"))</f>
        <v>0</v>
      </c>
      <c r="S370" s="33">
        <f>INVESTORS_LIST[[#This Row],[LS_TOTAL UNITS BUY]]+INVESTORS_LIST[[#This Row],[SIP_TOTAL UNITS BUY]]</f>
        <v>3406</v>
      </c>
      <c r="T370" s="33">
        <f>INVESTORS_LIST[[#This Row],[LS_TOTAL UNITS SOLD]]+INVESTORS_LIST[[#This Row],[SIP_TOTAL UNITS SOLD]]</f>
        <v>0</v>
      </c>
      <c r="U370" s="33">
        <v>0</v>
      </c>
      <c r="V370" s="33">
        <f>SUMIFS(LS[BO UNIT TRANSFER],LS[Investor ID],INVESTORS_LIST[[#This Row],[INVESTOR CODE]],LS[B/S],"B")</f>
        <v>0</v>
      </c>
      <c r="W370" s="33">
        <f>SUMIFS(LS[BO UNIT TRANSFER],LS[Investor ID],INVESTORS_LIST[[#This Row],[INVESTOR CODE]],LS[B/S],"S")</f>
        <v>0</v>
      </c>
      <c r="X370" s="33">
        <f>SUMIFS(SIP[BO UNIT TRANSFER],SIP[Investor ID],INVESTORS_LIST[[#This Row],[INVESTOR CODE]],SIP[B/S],"S")</f>
        <v>0</v>
      </c>
      <c r="Y370" s="33">
        <f>SUMIFS(SIP[BO UNIT TRANSFER],SIP[Investor ID],INVESTORS_LIST[[#This Row],[INVESTOR CODE]],SIP[B/S],"B")</f>
        <v>0</v>
      </c>
      <c r="Z37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70" s="119">
        <f>INVESTORS_LIST[[#This Row],[TOTAL UNITS BUY]]-INVESTORS_LIST[[#This Row],[TOTAL UNITS SOLD]]</f>
        <v>3406</v>
      </c>
      <c r="AB370" s="119">
        <f>INVESTORS_LIST[[#This Row],[TOTAL CURRENT UNITS]]-INVESTORS_LIST[[#This Row],[BO UNITS HOLD]]</f>
        <v>3406</v>
      </c>
      <c r="AC370" s="119" t="e">
        <f>INDEX([4]!Table_1[BO ID],MATCH(INVESTORS_LIST[[#This Row],[INVESTOR CODE]],[4]!Table_1[INVESTOR CODE],0))</f>
        <v>#REF!</v>
      </c>
      <c r="AD370" s="33">
        <f>INVESTORS_LIST[[#This Row],[LS_TOTAL COST VALUE OF CURRENT UNITS]]+INVESTORS_LIST[[#This Row],[SIP_TOTAL COST VALUE OF CURRENT UNITS]]</f>
        <v>34404.17</v>
      </c>
      <c r="AE370" s="44">
        <f>IF(INVESTORS_LIST[[#This Row],[TOTAL CURRENT UNITS]]=0,0,INVESTORS_LIST[[#This Row],[LS_TOTAL CURRENT UNITS]]/INVESTORS_LIST[[#This Row],[TOTAL CURRENT UNITS]])</f>
        <v>1</v>
      </c>
      <c r="AF370" s="44">
        <f>IF(INVESTORS_LIST[[#This Row],[TOTAL CURRENT UNITS]]=0,0,INVESTORS_LIST[[#This Row],[SIP_TOTAL CURRENT UNITS]]/INVESTORS_LIST[[#This Row],[TOTAL CURRENT UNITS]])</f>
        <v>0</v>
      </c>
      <c r="AG370" s="4" cm="1">
        <f t="array" ref="AG370">IF(INVESTORS_LIST[[#This Row],[LS_TOTAL UNITS BUY]]&gt;0,INDEX(LS[NAV at Cost (Average)],MATCH(CONCATENATE(COUNTIFS(LS[Investor ID],INVESTORS_LIST[[#This Row],[INVESTOR CODE]]),INVESTORS_LIST[[#This Row],[INVESTOR CODE]]),LS[Unique Code],0),),0)</f>
        <v>10.101048150322958</v>
      </c>
      <c r="AH370" s="4" cm="1">
        <f t="array" ref="AH37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70" s="178">
        <f>IF(INVESTORS_LIST[[#This Row],[TOTAL CURRENT UNITS]]=0,0,(INVESTORS_LIST[[#This Row],[LS_WEIGHT]]*INVESTORS_LIST[[#This Row],[LS_AVERAGE COST]])+(INVESTORS_LIST[[#This Row],[SIP_WEIGHT]]*INVESTORS_LIST[[#This Row],[SIP_AVERAGE COST]]))</f>
        <v>10.101048150322958</v>
      </c>
      <c r="AJ370" s="178">
        <f t="shared" si="5"/>
        <v>12.552</v>
      </c>
      <c r="AK370" s="118">
        <f>IF(INVESTORS_LIST[[#This Row],[TOTAL CURRENT UNITS]]=0,0,INVESTORS_LIST[[#This Row],[TOTAL CURRENT UNITS]]*INVESTORS_LIST[[#This Row],[NAV]])</f>
        <v>42752.112000000001</v>
      </c>
      <c r="AL370" s="4">
        <f>IF(INVESTORS_LIST[[#This Row],[LS_TOTAL CURRENT UNITS]]=0,0,INVESTORS_LIST[[#This Row],[LS_TOTAL CURRENT UNITS]]*INVESTORS_LIST[[#This Row],[NAV]])</f>
        <v>42752.112000000001</v>
      </c>
      <c r="AM370" s="6">
        <f>IF(INVESTORS_LIST[[#This Row],[SIP_TOTAL CURRENT UNITS]]=0,0,INVESTORS_LIST[[#This Row],[SIP_TOTAL CURRENT UNITS]]*INVESTORS_LIST[[#This Row],[NAV]])</f>
        <v>0</v>
      </c>
      <c r="AO370" s="6">
        <f>IF(INVESTORS_LIST[[#This Row],[TOTAL SELLABLE UNITS]]=0,0,INVESTORS_LIST[[#This Row],[TOTAL SELLABLE UNITS]]*INVESTORS_LIST[[#This Row],[NAV]])</f>
        <v>0</v>
      </c>
      <c r="AP370" s="6">
        <f>INVESTORS_LIST[[#This Row],[LS_TOTAL REALIZED GAIN]]+INVESTORS_LIST[[#This Row],[SIP_TOTAL REALIZED GAIN]]</f>
        <v>0</v>
      </c>
      <c r="AQ370" s="6">
        <f>INVESTORS_LIST[[#This Row],[TOTAL MARKET VALUE]]-INVESTORS_LIST[[#This Row],[TOTAL COST VALUE OF CURRENT INVESTMENT]]</f>
        <v>8347.9420000000027</v>
      </c>
      <c r="AR370" s="6">
        <f>SUMIFS(DivAndTax[Tax Amount],DivAndTax[Investor ID],INVESTORS_LIST[[#This Row],[INVESTOR CODE]])</f>
        <v>353.01</v>
      </c>
      <c r="AS370" s="6">
        <f>SUMIFS(DivAndTax[Gross Dividend],DivAndTax[Investor ID],INVESTORS_LIST[[#This Row],[INVESTOR CODE]])</f>
        <v>3530.05</v>
      </c>
      <c r="AT370" s="5">
        <f>IFERROR(INVESTORS_LIST[[#This Row],[TOTAL CURRENT UNITS]]/SUM(INVESTORS_LIST[TOTAL CURRENT UNITS]),0)</f>
        <v>1.6330010820190375E-4</v>
      </c>
    </row>
    <row r="371" spans="1:46" hidden="1">
      <c r="A371" t="s">
        <v>687</v>
      </c>
      <c r="B371" t="s">
        <v>688</v>
      </c>
      <c r="C371" t="s">
        <v>536</v>
      </c>
      <c r="D371" s="8" t="s">
        <v>2</v>
      </c>
      <c r="E371" s="2">
        <f>SUMIFS(LS[Unit],LS[Investor ID],INVESTORS_LIST[[#This Row],[INVESTOR CODE]],LS[B/S],"B")</f>
        <v>63991</v>
      </c>
      <c r="F371" s="2">
        <f>-SUMIFS(LS[Unit],LS[Investor ID],INVESTORS_LIST[[#This Row],[INVESTOR CODE]],LS[B/S],"S")</f>
        <v>63991</v>
      </c>
      <c r="G371" s="2">
        <f>IF(INVESTORS_LIST[[#This Row],[LS_TOTAL UNITS BUY]]=0,0,INVESTORS_LIST[[#This Row],[LS_TOTAL UNITS BUY]]-INVESTORS_LIST[[#This Row],[LS_TOTAL UNITS SOLD]])</f>
        <v>0</v>
      </c>
      <c r="H371" s="4">
        <f>IF(INVESTORS_LIST[[#This Row],[LS_TOTAL UNITS BUY]]=0,0,SUMIFS(LS[Amount],LS[Investor ID],INVESTORS_LIST[[#This Row],[INVESTOR CODE]],LS[B/S],"B"))</f>
        <v>641116.5</v>
      </c>
      <c r="I371" s="6">
        <f>IF(INVESTORS_LIST[[#This Row],[LS_TOTAL UNITS SOLD]]=0,0,SUMIFS(LS[Cost of Units Sold],LS[Investor ID],INVESTORS_LIST[[#This Row],[INVESTOR CODE]],LS[B/S],"S"))</f>
        <v>641116.49999999988</v>
      </c>
      <c r="J371" s="6">
        <f>IF(INVESTORS_LIST[[#This Row],[LS_TOTAL CURRENT UNITS]]=0,0,INVESTORS_LIST[[#This Row],[LS_TOTAL CURRENT UNITS]]*INVESTORS_LIST[[#This Row],[LS_AVERAGE COST]])</f>
        <v>0</v>
      </c>
      <c r="K371" s="4">
        <f>IF(INVESTORS_LIST[[#This Row],[LS_TOTAL UNITS SOLD]]=0,0,SUMIFS(LS[Realized Gain],LS[Investor ID],INVESTORS_LIST[[#This Row],[INVESTOR CODE]],LS[B/S],"S"))</f>
        <v>31940.840000000102</v>
      </c>
      <c r="L371" s="2">
        <f>SUMIFS(SIP[Unit],SIP[Investor ID],INVESTORS_LIST[[#This Row],[INVESTOR CODE]],SIP[B/S],"B")</f>
        <v>0</v>
      </c>
      <c r="M371" s="2">
        <f>-SUMIFS(SIP[Unit],SIP[Investor ID],INVESTORS_LIST[[#This Row],[INVESTOR CODE]],SIP[B/S],"S")</f>
        <v>0</v>
      </c>
      <c r="N371" s="33">
        <f>IF(INVESTORS_LIST[[#This Row],[SIP_TOTAL UNITS BUY]]=0,0,INVESTORS_LIST[[#This Row],[SIP_TOTAL UNITS BUY]]-INVESTORS_LIST[[#This Row],[SIP_TOTAL UNITS SOLD]])</f>
        <v>0</v>
      </c>
      <c r="O371" s="4">
        <f>IF(INVESTORS_LIST[[#This Row],[SIP_TOTAL UNITS BUY]]=0,0,SUMIFS(SIP[Amount],SIP[Investor ID],INVESTORS_LIST[[#This Row],[INVESTOR CODE]],SIP[B/S],"B"))</f>
        <v>0</v>
      </c>
      <c r="P371" s="4">
        <f>IF(INVESTORS_LIST[[#This Row],[SIP_TOTAL UNITS SOLD]]=0,0,SUMIFS(SIP[Cost of Units Sold],SIP[Investor ID],INVESTORS_LIST[[#This Row],[INVESTOR CODE]],SIP[B/S],"S"))</f>
        <v>0</v>
      </c>
      <c r="Q371" s="6">
        <f>IF(INVESTORS_LIST[[#This Row],[SIP_TOTAL CURRENT UNITS]]=0,0,INVESTORS_LIST[[#This Row],[SIP_TOTAL CURRENT UNITS]]*INVESTORS_LIST[[#This Row],[SIP_AVERAGE COST]])</f>
        <v>0</v>
      </c>
      <c r="R371" s="6">
        <f>IF(INVESTORS_LIST[[#This Row],[SIP_TOTAL UNITS SOLD]]=0,0,SUMIFS(SIP[Realized Gain],SIP[Investor ID],INVESTORS_LIST[[#This Row],[INVESTOR CODE]],SIP[B/S],"S"))</f>
        <v>0</v>
      </c>
      <c r="S371" s="33">
        <f>INVESTORS_LIST[[#This Row],[LS_TOTAL UNITS BUY]]+INVESTORS_LIST[[#This Row],[SIP_TOTAL UNITS BUY]]</f>
        <v>63991</v>
      </c>
      <c r="T371" s="33">
        <f>INVESTORS_LIST[[#This Row],[LS_TOTAL UNITS SOLD]]+INVESTORS_LIST[[#This Row],[SIP_TOTAL UNITS SOLD]]</f>
        <v>63991</v>
      </c>
      <c r="U371" s="33">
        <v>0</v>
      </c>
      <c r="V371" s="33">
        <f>SUMIFS(LS[BO UNIT TRANSFER],LS[Investor ID],INVESTORS_LIST[[#This Row],[INVESTOR CODE]],LS[B/S],"B")</f>
        <v>0</v>
      </c>
      <c r="W371" s="33">
        <f>SUMIFS(LS[BO UNIT TRANSFER],LS[Investor ID],INVESTORS_LIST[[#This Row],[INVESTOR CODE]],LS[B/S],"S")</f>
        <v>0</v>
      </c>
      <c r="X371" s="33">
        <f>SUMIFS(SIP[BO UNIT TRANSFER],SIP[Investor ID],INVESTORS_LIST[[#This Row],[INVESTOR CODE]],SIP[B/S],"S")</f>
        <v>0</v>
      </c>
      <c r="Y371" s="33">
        <f>SUMIFS(SIP[BO UNIT TRANSFER],SIP[Investor ID],INVESTORS_LIST[[#This Row],[INVESTOR CODE]],SIP[B/S],"B")</f>
        <v>0</v>
      </c>
      <c r="Z37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71" s="119">
        <f>INVESTORS_LIST[[#This Row],[TOTAL UNITS BUY]]-INVESTORS_LIST[[#This Row],[TOTAL UNITS SOLD]]</f>
        <v>0</v>
      </c>
      <c r="AB371" s="119">
        <f>INVESTORS_LIST[[#This Row],[TOTAL CURRENT UNITS]]-INVESTORS_LIST[[#This Row],[BO UNITS HOLD]]</f>
        <v>0</v>
      </c>
      <c r="AC371" s="119" t="e">
        <f>INDEX([4]!Table_1[BO ID],MATCH(INVESTORS_LIST[[#This Row],[INVESTOR CODE]],[4]!Table_1[INVESTOR CODE],0))</f>
        <v>#REF!</v>
      </c>
      <c r="AD371" s="33">
        <f>INVESTORS_LIST[[#This Row],[LS_TOTAL COST VALUE OF CURRENT UNITS]]+INVESTORS_LIST[[#This Row],[SIP_TOTAL COST VALUE OF CURRENT UNITS]]</f>
        <v>0</v>
      </c>
      <c r="AE371" s="44">
        <f>IF(INVESTORS_LIST[[#This Row],[TOTAL CURRENT UNITS]]=0,0,INVESTORS_LIST[[#This Row],[LS_TOTAL CURRENT UNITS]]/INVESTORS_LIST[[#This Row],[TOTAL CURRENT UNITS]])</f>
        <v>0</v>
      </c>
      <c r="AF371" s="44">
        <f>IF(INVESTORS_LIST[[#This Row],[TOTAL CURRENT UNITS]]=0,0,INVESTORS_LIST[[#This Row],[SIP_TOTAL CURRENT UNITS]]/INVESTORS_LIST[[#This Row],[TOTAL CURRENT UNITS]])</f>
        <v>0</v>
      </c>
      <c r="AG371" s="4" cm="1">
        <f t="array" ref="AG37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71" s="4" cm="1">
        <f t="array" ref="AH37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7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71" s="178">
        <f t="shared" si="5"/>
        <v>12.552</v>
      </c>
      <c r="AK371" s="118">
        <f>IF(INVESTORS_LIST[[#This Row],[TOTAL CURRENT UNITS]]=0,0,INVESTORS_LIST[[#This Row],[TOTAL CURRENT UNITS]]*INVESTORS_LIST[[#This Row],[NAV]])</f>
        <v>0</v>
      </c>
      <c r="AL371" s="4">
        <f>IF(INVESTORS_LIST[[#This Row],[LS_TOTAL CURRENT UNITS]]=0,0,INVESTORS_LIST[[#This Row],[LS_TOTAL CURRENT UNITS]]*INVESTORS_LIST[[#This Row],[NAV]])</f>
        <v>0</v>
      </c>
      <c r="AM371" s="6">
        <f>IF(INVESTORS_LIST[[#This Row],[SIP_TOTAL CURRENT UNITS]]=0,0,INVESTORS_LIST[[#This Row],[SIP_TOTAL CURRENT UNITS]]*INVESTORS_LIST[[#This Row],[NAV]])</f>
        <v>0</v>
      </c>
      <c r="AO371" s="6">
        <f>IF(INVESTORS_LIST[[#This Row],[TOTAL SELLABLE UNITS]]=0,0,INVESTORS_LIST[[#This Row],[TOTAL SELLABLE UNITS]]*INVESTORS_LIST[[#This Row],[NAV]])</f>
        <v>0</v>
      </c>
      <c r="AP371" s="6">
        <f>INVESTORS_LIST[[#This Row],[LS_TOTAL REALIZED GAIN]]+INVESTORS_LIST[[#This Row],[SIP_TOTAL REALIZED GAIN]]</f>
        <v>31940.840000000102</v>
      </c>
      <c r="AQ371" s="6">
        <f>INVESTORS_LIST[[#This Row],[TOTAL MARKET VALUE]]-INVESTORS_LIST[[#This Row],[TOTAL COST VALUE OF CURRENT INVESTMENT]]</f>
        <v>0</v>
      </c>
      <c r="AR371" s="6">
        <f>SUMIFS(DivAndTax[Tax Amount],DivAndTax[Investor ID],INVESTORS_LIST[[#This Row],[INVESTOR CODE]])</f>
        <v>4568.5</v>
      </c>
      <c r="AS371" s="6">
        <f>SUMIFS(DivAndTax[Gross Dividend],DivAndTax[Investor ID],INVESTORS_LIST[[#This Row],[INVESTOR CODE]])</f>
        <v>45685</v>
      </c>
      <c r="AT371" s="5">
        <f>IFERROR(INVESTORS_LIST[[#This Row],[TOTAL CURRENT UNITS]]/SUM(INVESTORS_LIST[TOTAL CURRENT UNITS]),0)</f>
        <v>0</v>
      </c>
    </row>
    <row r="372" spans="1:46">
      <c r="A372" t="s">
        <v>689</v>
      </c>
      <c r="B372" t="s">
        <v>690</v>
      </c>
      <c r="C372" t="s">
        <v>536</v>
      </c>
      <c r="D372" s="8" t="s">
        <v>2</v>
      </c>
      <c r="E372" s="2">
        <f>SUMIFS(LS[Unit],LS[Investor ID],INVESTORS_LIST[[#This Row],[INVESTOR CODE]],LS[B/S],"B")</f>
        <v>10000</v>
      </c>
      <c r="F372" s="2">
        <f>-SUMIFS(LS[Unit],LS[Investor ID],INVESTORS_LIST[[#This Row],[INVESTOR CODE]],LS[B/S],"S")</f>
        <v>0</v>
      </c>
      <c r="G372" s="2">
        <f>IF(INVESTORS_LIST[[#This Row],[LS_TOTAL UNITS BUY]]=0,0,INVESTORS_LIST[[#This Row],[LS_TOTAL UNITS BUY]]-INVESTORS_LIST[[#This Row],[LS_TOTAL UNITS SOLD]])</f>
        <v>10000</v>
      </c>
      <c r="H372" s="4">
        <f>IF(INVESTORS_LIST[[#This Row],[LS_TOTAL UNITS BUY]]=0,0,SUMIFS(LS[Amount],LS[Investor ID],INVESTORS_LIST[[#This Row],[INVESTOR CODE]],LS[B/S],"B"))</f>
        <v>100000</v>
      </c>
      <c r="I372" s="6">
        <f>IF(INVESTORS_LIST[[#This Row],[LS_TOTAL UNITS SOLD]]=0,0,SUMIFS(LS[Cost of Units Sold],LS[Investor ID],INVESTORS_LIST[[#This Row],[INVESTOR CODE]],LS[B/S],"S"))</f>
        <v>0</v>
      </c>
      <c r="J372" s="6">
        <f>IF(INVESTORS_LIST[[#This Row],[LS_TOTAL CURRENT UNITS]]=0,0,INVESTORS_LIST[[#This Row],[LS_TOTAL CURRENT UNITS]]*INVESTORS_LIST[[#This Row],[LS_AVERAGE COST]])</f>
        <v>100000</v>
      </c>
      <c r="K372" s="4">
        <f>IF(INVESTORS_LIST[[#This Row],[LS_TOTAL UNITS SOLD]]=0,0,SUMIFS(LS[Realized Gain],LS[Investor ID],INVESTORS_LIST[[#This Row],[INVESTOR CODE]],LS[B/S],"S"))</f>
        <v>0</v>
      </c>
      <c r="L372" s="2">
        <f>SUMIFS(SIP[Unit],SIP[Investor ID],INVESTORS_LIST[[#This Row],[INVESTOR CODE]],SIP[B/S],"B")</f>
        <v>0</v>
      </c>
      <c r="M372" s="2">
        <f>-SUMIFS(SIP[Unit],SIP[Investor ID],INVESTORS_LIST[[#This Row],[INVESTOR CODE]],SIP[B/S],"S")</f>
        <v>0</v>
      </c>
      <c r="N372" s="33">
        <f>IF(INVESTORS_LIST[[#This Row],[SIP_TOTAL UNITS BUY]]=0,0,INVESTORS_LIST[[#This Row],[SIP_TOTAL UNITS BUY]]-INVESTORS_LIST[[#This Row],[SIP_TOTAL UNITS SOLD]])</f>
        <v>0</v>
      </c>
      <c r="O372" s="4">
        <f>IF(INVESTORS_LIST[[#This Row],[SIP_TOTAL UNITS BUY]]=0,0,SUMIFS(SIP[Amount],SIP[Investor ID],INVESTORS_LIST[[#This Row],[INVESTOR CODE]],SIP[B/S],"B"))</f>
        <v>0</v>
      </c>
      <c r="P372" s="4">
        <f>IF(INVESTORS_LIST[[#This Row],[SIP_TOTAL UNITS SOLD]]=0,0,SUMIFS(SIP[Cost of Units Sold],SIP[Investor ID],INVESTORS_LIST[[#This Row],[INVESTOR CODE]],SIP[B/S],"S"))</f>
        <v>0</v>
      </c>
      <c r="Q372" s="6">
        <f>IF(INVESTORS_LIST[[#This Row],[SIP_TOTAL CURRENT UNITS]]=0,0,INVESTORS_LIST[[#This Row],[SIP_TOTAL CURRENT UNITS]]*INVESTORS_LIST[[#This Row],[SIP_AVERAGE COST]])</f>
        <v>0</v>
      </c>
      <c r="R372" s="6">
        <f>IF(INVESTORS_LIST[[#This Row],[SIP_TOTAL UNITS SOLD]]=0,0,SUMIFS(SIP[Realized Gain],SIP[Investor ID],INVESTORS_LIST[[#This Row],[INVESTOR CODE]],SIP[B/S],"S"))</f>
        <v>0</v>
      </c>
      <c r="S372" s="33">
        <f>INVESTORS_LIST[[#This Row],[LS_TOTAL UNITS BUY]]+INVESTORS_LIST[[#This Row],[SIP_TOTAL UNITS BUY]]</f>
        <v>10000</v>
      </c>
      <c r="T372" s="33">
        <f>INVESTORS_LIST[[#This Row],[LS_TOTAL UNITS SOLD]]+INVESTORS_LIST[[#This Row],[SIP_TOTAL UNITS SOLD]]</f>
        <v>0</v>
      </c>
      <c r="U372" s="33">
        <v>10000</v>
      </c>
      <c r="V372" s="33">
        <f>SUMIFS(LS[BO UNIT TRANSFER],LS[Investor ID],INVESTORS_LIST[[#This Row],[INVESTOR CODE]],LS[B/S],"B")</f>
        <v>0</v>
      </c>
      <c r="W372" s="33">
        <f>SUMIFS(LS[BO UNIT TRANSFER],LS[Investor ID],INVESTORS_LIST[[#This Row],[INVESTOR CODE]],LS[B/S],"S")</f>
        <v>0</v>
      </c>
      <c r="X372" s="33">
        <f>SUMIFS(SIP[BO UNIT TRANSFER],SIP[Investor ID],INVESTORS_LIST[[#This Row],[INVESTOR CODE]],SIP[B/S],"S")</f>
        <v>0</v>
      </c>
      <c r="Y372" s="33">
        <f>SUMIFS(SIP[BO UNIT TRANSFER],SIP[Investor ID],INVESTORS_LIST[[#This Row],[INVESTOR CODE]],SIP[B/S],"B")</f>
        <v>0</v>
      </c>
      <c r="Z37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10000</v>
      </c>
      <c r="AA372" s="119">
        <f>INVESTORS_LIST[[#This Row],[TOTAL UNITS BUY]]-INVESTORS_LIST[[#This Row],[TOTAL UNITS SOLD]]</f>
        <v>10000</v>
      </c>
      <c r="AB372" s="119">
        <f>INVESTORS_LIST[[#This Row],[TOTAL CURRENT UNITS]]-INVESTORS_LIST[[#This Row],[BO UNITS HOLD]]</f>
        <v>0</v>
      </c>
      <c r="AC372" s="119" t="e">
        <f>INDEX([4]!Table_1[BO ID],MATCH(INVESTORS_LIST[[#This Row],[INVESTOR CODE]],[4]!Table_1[INVESTOR CODE],0))</f>
        <v>#REF!</v>
      </c>
      <c r="AD372" s="33">
        <f>INVESTORS_LIST[[#This Row],[LS_TOTAL COST VALUE OF CURRENT UNITS]]+INVESTORS_LIST[[#This Row],[SIP_TOTAL COST VALUE OF CURRENT UNITS]]</f>
        <v>100000</v>
      </c>
      <c r="AE372" s="44">
        <f>IF(INVESTORS_LIST[[#This Row],[TOTAL CURRENT UNITS]]=0,0,INVESTORS_LIST[[#This Row],[LS_TOTAL CURRENT UNITS]]/INVESTORS_LIST[[#This Row],[TOTAL CURRENT UNITS]])</f>
        <v>1</v>
      </c>
      <c r="AF372" s="44">
        <f>IF(INVESTORS_LIST[[#This Row],[TOTAL CURRENT UNITS]]=0,0,INVESTORS_LIST[[#This Row],[SIP_TOTAL CURRENT UNITS]]/INVESTORS_LIST[[#This Row],[TOTAL CURRENT UNITS]])</f>
        <v>0</v>
      </c>
      <c r="AG372" s="4" cm="1">
        <f t="array" ref="AG372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372" s="4" cm="1">
        <f t="array" ref="AH37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72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372" s="178">
        <f t="shared" si="5"/>
        <v>12.552</v>
      </c>
      <c r="AK372" s="118">
        <f>IF(INVESTORS_LIST[[#This Row],[TOTAL CURRENT UNITS]]=0,0,INVESTORS_LIST[[#This Row],[TOTAL CURRENT UNITS]]*INVESTORS_LIST[[#This Row],[NAV]])</f>
        <v>125520</v>
      </c>
      <c r="AL372" s="4">
        <f>IF(INVESTORS_LIST[[#This Row],[LS_TOTAL CURRENT UNITS]]=0,0,INVESTORS_LIST[[#This Row],[LS_TOTAL CURRENT UNITS]]*INVESTORS_LIST[[#This Row],[NAV]])</f>
        <v>125520</v>
      </c>
      <c r="AM372" s="6">
        <f>IF(INVESTORS_LIST[[#This Row],[SIP_TOTAL CURRENT UNITS]]=0,0,INVESTORS_LIST[[#This Row],[SIP_TOTAL CURRENT UNITS]]*INVESTORS_LIST[[#This Row],[NAV]])</f>
        <v>0</v>
      </c>
      <c r="AO372" s="6">
        <f>IF(INVESTORS_LIST[[#This Row],[TOTAL SELLABLE UNITS]]=0,0,INVESTORS_LIST[[#This Row],[TOTAL SELLABLE UNITS]]*INVESTORS_LIST[[#This Row],[NAV]])</f>
        <v>0</v>
      </c>
      <c r="AP372" s="6">
        <f>INVESTORS_LIST[[#This Row],[LS_TOTAL REALIZED GAIN]]+INVESTORS_LIST[[#This Row],[SIP_TOTAL REALIZED GAIN]]</f>
        <v>0</v>
      </c>
      <c r="AQ372" s="6">
        <f>INVESTORS_LIST[[#This Row],[TOTAL MARKET VALUE]]-INVESTORS_LIST[[#This Row],[TOTAL COST VALUE OF CURRENT INVESTMENT]]</f>
        <v>25520</v>
      </c>
      <c r="AR372" s="6">
        <f>SUMIFS(DivAndTax[Tax Amount],DivAndTax[Investor ID],INVESTORS_LIST[[#This Row],[INVESTOR CODE]])</f>
        <v>1100</v>
      </c>
      <c r="AS372" s="6">
        <f>SUMIFS(DivAndTax[Gross Dividend],DivAndTax[Investor ID],INVESTORS_LIST[[#This Row],[INVESTOR CODE]])</f>
        <v>11000</v>
      </c>
      <c r="AT372" s="5">
        <f>IFERROR(INVESTORS_LIST[[#This Row],[TOTAL CURRENT UNITS]]/SUM(INVESTORS_LIST[TOTAL CURRENT UNITS]),0)</f>
        <v>4.7944835056342854E-4</v>
      </c>
    </row>
    <row r="373" spans="1:46" hidden="1">
      <c r="A373" t="s">
        <v>691</v>
      </c>
      <c r="B373" t="s">
        <v>692</v>
      </c>
      <c r="C373" t="s">
        <v>539</v>
      </c>
      <c r="D373" s="8" t="s">
        <v>2</v>
      </c>
      <c r="E373" s="2">
        <f>SUMIFS(LS[Unit],LS[Investor ID],INVESTORS_LIST[[#This Row],[INVESTOR CODE]],LS[B/S],"B")</f>
        <v>20484</v>
      </c>
      <c r="F373" s="2">
        <f>-SUMIFS(LS[Unit],LS[Investor ID],INVESTORS_LIST[[#This Row],[INVESTOR CODE]],LS[B/S],"S")</f>
        <v>20484</v>
      </c>
      <c r="G373" s="2">
        <f>IF(INVESTORS_LIST[[#This Row],[LS_TOTAL UNITS BUY]]=0,0,INVESTORS_LIST[[#This Row],[LS_TOTAL UNITS BUY]]-INVESTORS_LIST[[#This Row],[LS_TOTAL UNITS SOLD]])</f>
        <v>0</v>
      </c>
      <c r="H373" s="4">
        <f>IF(INVESTORS_LIST[[#This Row],[LS_TOTAL UNITS BUY]]=0,0,SUMIFS(LS[Amount],LS[Investor ID],INVESTORS_LIST[[#This Row],[INVESTOR CODE]],LS[B/S],"B"))</f>
        <v>205000</v>
      </c>
      <c r="I373" s="6">
        <f>IF(INVESTORS_LIST[[#This Row],[LS_TOTAL UNITS SOLD]]=0,0,SUMIFS(LS[Cost of Units Sold],LS[Investor ID],INVESTORS_LIST[[#This Row],[INVESTOR CODE]],LS[B/S],"S"))</f>
        <v>205000</v>
      </c>
      <c r="J373" s="6">
        <f>IF(INVESTORS_LIST[[#This Row],[LS_TOTAL CURRENT UNITS]]=0,0,INVESTORS_LIST[[#This Row],[LS_TOTAL CURRENT UNITS]]*INVESTORS_LIST[[#This Row],[LS_AVERAGE COST]])</f>
        <v>0</v>
      </c>
      <c r="K373" s="4">
        <f>IF(INVESTORS_LIST[[#This Row],[LS_TOTAL UNITS SOLD]]=0,0,SUMIFS(LS[Realized Gain],LS[Investor ID],INVESTORS_LIST[[#This Row],[INVESTOR CODE]],LS[B/S],"S"))</f>
        <v>1400.0000000000095</v>
      </c>
      <c r="L373" s="2">
        <f>SUMIFS(SIP[Unit],SIP[Investor ID],INVESTORS_LIST[[#This Row],[INVESTOR CODE]],SIP[B/S],"B")</f>
        <v>0</v>
      </c>
      <c r="M373" s="2">
        <f>-SUMIFS(SIP[Unit],SIP[Investor ID],INVESTORS_LIST[[#This Row],[INVESTOR CODE]],SIP[B/S],"S")</f>
        <v>0</v>
      </c>
      <c r="N373" s="33">
        <f>IF(INVESTORS_LIST[[#This Row],[SIP_TOTAL UNITS BUY]]=0,0,INVESTORS_LIST[[#This Row],[SIP_TOTAL UNITS BUY]]-INVESTORS_LIST[[#This Row],[SIP_TOTAL UNITS SOLD]])</f>
        <v>0</v>
      </c>
      <c r="O373" s="4">
        <f>IF(INVESTORS_LIST[[#This Row],[SIP_TOTAL UNITS BUY]]=0,0,SUMIFS(SIP[Amount],SIP[Investor ID],INVESTORS_LIST[[#This Row],[INVESTOR CODE]],SIP[B/S],"B"))</f>
        <v>0</v>
      </c>
      <c r="P373" s="4">
        <f>IF(INVESTORS_LIST[[#This Row],[SIP_TOTAL UNITS SOLD]]=0,0,SUMIFS(SIP[Cost of Units Sold],SIP[Investor ID],INVESTORS_LIST[[#This Row],[INVESTOR CODE]],SIP[B/S],"S"))</f>
        <v>0</v>
      </c>
      <c r="Q373" s="6">
        <f>IF(INVESTORS_LIST[[#This Row],[SIP_TOTAL CURRENT UNITS]]=0,0,INVESTORS_LIST[[#This Row],[SIP_TOTAL CURRENT UNITS]]*INVESTORS_LIST[[#This Row],[SIP_AVERAGE COST]])</f>
        <v>0</v>
      </c>
      <c r="R373" s="6">
        <f>IF(INVESTORS_LIST[[#This Row],[SIP_TOTAL UNITS SOLD]]=0,0,SUMIFS(SIP[Realized Gain],SIP[Investor ID],INVESTORS_LIST[[#This Row],[INVESTOR CODE]],SIP[B/S],"S"))</f>
        <v>0</v>
      </c>
      <c r="S373" s="33">
        <f>INVESTORS_LIST[[#This Row],[LS_TOTAL UNITS BUY]]+INVESTORS_LIST[[#This Row],[SIP_TOTAL UNITS BUY]]</f>
        <v>20484</v>
      </c>
      <c r="T373" s="33">
        <f>INVESTORS_LIST[[#This Row],[LS_TOTAL UNITS SOLD]]+INVESTORS_LIST[[#This Row],[SIP_TOTAL UNITS SOLD]]</f>
        <v>20484</v>
      </c>
      <c r="U373" s="33">
        <v>0</v>
      </c>
      <c r="V373" s="33">
        <f>SUMIFS(LS[BO UNIT TRANSFER],LS[Investor ID],INVESTORS_LIST[[#This Row],[INVESTOR CODE]],LS[B/S],"B")</f>
        <v>0</v>
      </c>
      <c r="W373" s="33">
        <f>SUMIFS(LS[BO UNIT TRANSFER],LS[Investor ID],INVESTORS_LIST[[#This Row],[INVESTOR CODE]],LS[B/S],"S")</f>
        <v>0</v>
      </c>
      <c r="X373" s="33">
        <f>SUMIFS(SIP[BO UNIT TRANSFER],SIP[Investor ID],INVESTORS_LIST[[#This Row],[INVESTOR CODE]],SIP[B/S],"S")</f>
        <v>0</v>
      </c>
      <c r="Y373" s="33">
        <f>SUMIFS(SIP[BO UNIT TRANSFER],SIP[Investor ID],INVESTORS_LIST[[#This Row],[INVESTOR CODE]],SIP[B/S],"B")</f>
        <v>0</v>
      </c>
      <c r="Z37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73" s="119">
        <f>INVESTORS_LIST[[#This Row],[TOTAL UNITS BUY]]-INVESTORS_LIST[[#This Row],[TOTAL UNITS SOLD]]</f>
        <v>0</v>
      </c>
      <c r="AB373" s="119">
        <f>INVESTORS_LIST[[#This Row],[TOTAL CURRENT UNITS]]-INVESTORS_LIST[[#This Row],[BO UNITS HOLD]]</f>
        <v>0</v>
      </c>
      <c r="AC373" s="119" t="e">
        <f>INDEX([4]!Table_1[BO ID],MATCH(INVESTORS_LIST[[#This Row],[INVESTOR CODE]],[4]!Table_1[INVESTOR CODE],0))</f>
        <v>#REF!</v>
      </c>
      <c r="AD373" s="33">
        <f>INVESTORS_LIST[[#This Row],[LS_TOTAL COST VALUE OF CURRENT UNITS]]+INVESTORS_LIST[[#This Row],[SIP_TOTAL COST VALUE OF CURRENT UNITS]]</f>
        <v>0</v>
      </c>
      <c r="AE373" s="44">
        <f>IF(INVESTORS_LIST[[#This Row],[TOTAL CURRENT UNITS]]=0,0,INVESTORS_LIST[[#This Row],[LS_TOTAL CURRENT UNITS]]/INVESTORS_LIST[[#This Row],[TOTAL CURRENT UNITS]])</f>
        <v>0</v>
      </c>
      <c r="AF373" s="44">
        <f>IF(INVESTORS_LIST[[#This Row],[TOTAL CURRENT UNITS]]=0,0,INVESTORS_LIST[[#This Row],[SIP_TOTAL CURRENT UNITS]]/INVESTORS_LIST[[#This Row],[TOTAL CURRENT UNITS]])</f>
        <v>0</v>
      </c>
      <c r="AG373" s="4" cm="1">
        <f t="array" ref="AG37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73" s="4" cm="1">
        <f t="array" ref="AH3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7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73" s="178">
        <f t="shared" si="5"/>
        <v>12.552</v>
      </c>
      <c r="AK373" s="118">
        <f>IF(INVESTORS_LIST[[#This Row],[TOTAL CURRENT UNITS]]=0,0,INVESTORS_LIST[[#This Row],[TOTAL CURRENT UNITS]]*INVESTORS_LIST[[#This Row],[NAV]])</f>
        <v>0</v>
      </c>
      <c r="AL373" s="4">
        <f>IF(INVESTORS_LIST[[#This Row],[LS_TOTAL CURRENT UNITS]]=0,0,INVESTORS_LIST[[#This Row],[LS_TOTAL CURRENT UNITS]]*INVESTORS_LIST[[#This Row],[NAV]])</f>
        <v>0</v>
      </c>
      <c r="AM373" s="6">
        <f>IF(INVESTORS_LIST[[#This Row],[SIP_TOTAL CURRENT UNITS]]=0,0,INVESTORS_LIST[[#This Row],[SIP_TOTAL CURRENT UNITS]]*INVESTORS_LIST[[#This Row],[NAV]])</f>
        <v>0</v>
      </c>
      <c r="AO373" s="6">
        <f>IF(INVESTORS_LIST[[#This Row],[TOTAL SELLABLE UNITS]]=0,0,INVESTORS_LIST[[#This Row],[TOTAL SELLABLE UNITS]]*INVESTORS_LIST[[#This Row],[NAV]])</f>
        <v>0</v>
      </c>
      <c r="AP373" s="6">
        <f>INVESTORS_LIST[[#This Row],[LS_TOTAL REALIZED GAIN]]+INVESTORS_LIST[[#This Row],[SIP_TOTAL REALIZED GAIN]]</f>
        <v>1400.0000000000095</v>
      </c>
      <c r="AQ373" s="6">
        <f>INVESTORS_LIST[[#This Row],[TOTAL MARKET VALUE]]-INVESTORS_LIST[[#This Row],[TOTAL COST VALUE OF CURRENT INVESTMENT]]</f>
        <v>0</v>
      </c>
      <c r="AR373" s="6">
        <f>SUMIFS(DivAndTax[Tax Amount],DivAndTax[Investor ID],INVESTORS_LIST[[#This Row],[INVESTOR CODE]])</f>
        <v>0</v>
      </c>
      <c r="AS373" s="6">
        <f>SUMIFS(DivAndTax[Gross Dividend],DivAndTax[Investor ID],INVESTORS_LIST[[#This Row],[INVESTOR CODE]])</f>
        <v>5000</v>
      </c>
      <c r="AT373" s="5">
        <f>IFERROR(INVESTORS_LIST[[#This Row],[TOTAL CURRENT UNITS]]/SUM(INVESTORS_LIST[TOTAL CURRENT UNITS]),0)</f>
        <v>0</v>
      </c>
    </row>
    <row r="374" spans="1:46" hidden="1">
      <c r="A374" t="s">
        <v>693</v>
      </c>
      <c r="B374" t="s">
        <v>694</v>
      </c>
      <c r="C374" t="s">
        <v>536</v>
      </c>
      <c r="D374" s="8" t="s">
        <v>2</v>
      </c>
      <c r="E374" s="2">
        <f>SUMIFS(LS[Unit],LS[Investor ID],INVESTORS_LIST[[#This Row],[INVESTOR CODE]],LS[B/S],"B")</f>
        <v>30000</v>
      </c>
      <c r="F374" s="2">
        <f>-SUMIFS(LS[Unit],LS[Investor ID],INVESTORS_LIST[[#This Row],[INVESTOR CODE]],LS[B/S],"S")</f>
        <v>30000</v>
      </c>
      <c r="G374" s="2">
        <f>IF(INVESTORS_LIST[[#This Row],[LS_TOTAL UNITS BUY]]=0,0,INVESTORS_LIST[[#This Row],[LS_TOTAL UNITS BUY]]-INVESTORS_LIST[[#This Row],[LS_TOTAL UNITS SOLD]])</f>
        <v>0</v>
      </c>
      <c r="H374" s="4">
        <f>IF(INVESTORS_LIST[[#This Row],[LS_TOTAL UNITS BUY]]=0,0,SUMIFS(LS[Amount],LS[Investor ID],INVESTORS_LIST[[#This Row],[INVESTOR CODE]],LS[B/S],"B"))</f>
        <v>300000</v>
      </c>
      <c r="I374" s="6">
        <f>IF(INVESTORS_LIST[[#This Row],[LS_TOTAL UNITS SOLD]]=0,0,SUMIFS(LS[Cost of Units Sold],LS[Investor ID],INVESTORS_LIST[[#This Row],[INVESTOR CODE]],LS[B/S],"S"))</f>
        <v>300000</v>
      </c>
      <c r="J374" s="6">
        <f>IF(INVESTORS_LIST[[#This Row],[LS_TOTAL CURRENT UNITS]]=0,0,INVESTORS_LIST[[#This Row],[LS_TOTAL CURRENT UNITS]]*INVESTORS_LIST[[#This Row],[LS_AVERAGE COST]])</f>
        <v>0</v>
      </c>
      <c r="K374" s="4">
        <f>IF(INVESTORS_LIST[[#This Row],[LS_TOTAL UNITS SOLD]]=0,0,SUMIFS(LS[Realized Gain],LS[Investor ID],INVESTORS_LIST[[#This Row],[INVESTOR CODE]],LS[B/S],"S"))</f>
        <v>-299.99999999999363</v>
      </c>
      <c r="L374" s="2">
        <f>SUMIFS(SIP[Unit],SIP[Investor ID],INVESTORS_LIST[[#This Row],[INVESTOR CODE]],SIP[B/S],"B")</f>
        <v>0</v>
      </c>
      <c r="M374" s="2">
        <f>-SUMIFS(SIP[Unit],SIP[Investor ID],INVESTORS_LIST[[#This Row],[INVESTOR CODE]],SIP[B/S],"S")</f>
        <v>0</v>
      </c>
      <c r="N374" s="33">
        <f>IF(INVESTORS_LIST[[#This Row],[SIP_TOTAL UNITS BUY]]=0,0,INVESTORS_LIST[[#This Row],[SIP_TOTAL UNITS BUY]]-INVESTORS_LIST[[#This Row],[SIP_TOTAL UNITS SOLD]])</f>
        <v>0</v>
      </c>
      <c r="O374" s="4">
        <f>IF(INVESTORS_LIST[[#This Row],[SIP_TOTAL UNITS BUY]]=0,0,SUMIFS(SIP[Amount],SIP[Investor ID],INVESTORS_LIST[[#This Row],[INVESTOR CODE]],SIP[B/S],"B"))</f>
        <v>0</v>
      </c>
      <c r="P374" s="4">
        <f>IF(INVESTORS_LIST[[#This Row],[SIP_TOTAL UNITS SOLD]]=0,0,SUMIFS(SIP[Cost of Units Sold],SIP[Investor ID],INVESTORS_LIST[[#This Row],[INVESTOR CODE]],SIP[B/S],"S"))</f>
        <v>0</v>
      </c>
      <c r="Q374" s="6">
        <f>IF(INVESTORS_LIST[[#This Row],[SIP_TOTAL CURRENT UNITS]]=0,0,INVESTORS_LIST[[#This Row],[SIP_TOTAL CURRENT UNITS]]*INVESTORS_LIST[[#This Row],[SIP_AVERAGE COST]])</f>
        <v>0</v>
      </c>
      <c r="R374" s="6">
        <f>IF(INVESTORS_LIST[[#This Row],[SIP_TOTAL UNITS SOLD]]=0,0,SUMIFS(SIP[Realized Gain],SIP[Investor ID],INVESTORS_LIST[[#This Row],[INVESTOR CODE]],SIP[B/S],"S"))</f>
        <v>0</v>
      </c>
      <c r="S374" s="33">
        <f>INVESTORS_LIST[[#This Row],[LS_TOTAL UNITS BUY]]+INVESTORS_LIST[[#This Row],[SIP_TOTAL UNITS BUY]]</f>
        <v>30000</v>
      </c>
      <c r="T374" s="33">
        <f>INVESTORS_LIST[[#This Row],[LS_TOTAL UNITS SOLD]]+INVESTORS_LIST[[#This Row],[SIP_TOTAL UNITS SOLD]]</f>
        <v>30000</v>
      </c>
      <c r="U374" s="33">
        <v>0</v>
      </c>
      <c r="V374" s="33">
        <f>SUMIFS(LS[BO UNIT TRANSFER],LS[Investor ID],INVESTORS_LIST[[#This Row],[INVESTOR CODE]],LS[B/S],"B")</f>
        <v>0</v>
      </c>
      <c r="W374" s="33">
        <f>SUMIFS(LS[BO UNIT TRANSFER],LS[Investor ID],INVESTORS_LIST[[#This Row],[INVESTOR CODE]],LS[B/S],"S")</f>
        <v>0</v>
      </c>
      <c r="X374" s="33">
        <f>SUMIFS(SIP[BO UNIT TRANSFER],SIP[Investor ID],INVESTORS_LIST[[#This Row],[INVESTOR CODE]],SIP[B/S],"S")</f>
        <v>0</v>
      </c>
      <c r="Y374" s="33">
        <f>SUMIFS(SIP[BO UNIT TRANSFER],SIP[Investor ID],INVESTORS_LIST[[#This Row],[INVESTOR CODE]],SIP[B/S],"B")</f>
        <v>0</v>
      </c>
      <c r="Z37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74" s="119">
        <f>INVESTORS_LIST[[#This Row],[TOTAL UNITS BUY]]-INVESTORS_LIST[[#This Row],[TOTAL UNITS SOLD]]</f>
        <v>0</v>
      </c>
      <c r="AB374" s="119">
        <f>INVESTORS_LIST[[#This Row],[TOTAL CURRENT UNITS]]-INVESTORS_LIST[[#This Row],[BO UNITS HOLD]]</f>
        <v>0</v>
      </c>
      <c r="AC374" s="119" t="e">
        <f>INDEX([4]!Table_1[BO ID],MATCH(INVESTORS_LIST[[#This Row],[INVESTOR CODE]],[4]!Table_1[INVESTOR CODE],0))</f>
        <v>#REF!</v>
      </c>
      <c r="AD374" s="33">
        <f>INVESTORS_LIST[[#This Row],[LS_TOTAL COST VALUE OF CURRENT UNITS]]+INVESTORS_LIST[[#This Row],[SIP_TOTAL COST VALUE OF CURRENT UNITS]]</f>
        <v>0</v>
      </c>
      <c r="AE374" s="44">
        <f>IF(INVESTORS_LIST[[#This Row],[TOTAL CURRENT UNITS]]=0,0,INVESTORS_LIST[[#This Row],[LS_TOTAL CURRENT UNITS]]/INVESTORS_LIST[[#This Row],[TOTAL CURRENT UNITS]])</f>
        <v>0</v>
      </c>
      <c r="AF374" s="44">
        <f>IF(INVESTORS_LIST[[#This Row],[TOTAL CURRENT UNITS]]=0,0,INVESTORS_LIST[[#This Row],[SIP_TOTAL CURRENT UNITS]]/INVESTORS_LIST[[#This Row],[TOTAL CURRENT UNITS]])</f>
        <v>0</v>
      </c>
      <c r="AG374" s="4" cm="1">
        <f t="array" ref="AG37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74" s="4" cm="1">
        <f t="array" ref="AH37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7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74" s="178">
        <f t="shared" si="5"/>
        <v>12.552</v>
      </c>
      <c r="AK374" s="118">
        <f>IF(INVESTORS_LIST[[#This Row],[TOTAL CURRENT UNITS]]=0,0,INVESTORS_LIST[[#This Row],[TOTAL CURRENT UNITS]]*INVESTORS_LIST[[#This Row],[NAV]])</f>
        <v>0</v>
      </c>
      <c r="AL374" s="4">
        <f>IF(INVESTORS_LIST[[#This Row],[LS_TOTAL CURRENT UNITS]]=0,0,INVESTORS_LIST[[#This Row],[LS_TOTAL CURRENT UNITS]]*INVESTORS_LIST[[#This Row],[NAV]])</f>
        <v>0</v>
      </c>
      <c r="AM374" s="6">
        <f>IF(INVESTORS_LIST[[#This Row],[SIP_TOTAL CURRENT UNITS]]=0,0,INVESTORS_LIST[[#This Row],[SIP_TOTAL CURRENT UNITS]]*INVESTORS_LIST[[#This Row],[NAV]])</f>
        <v>0</v>
      </c>
      <c r="AO374" s="6">
        <f>IF(INVESTORS_LIST[[#This Row],[TOTAL SELLABLE UNITS]]=0,0,INVESTORS_LIST[[#This Row],[TOTAL SELLABLE UNITS]]*INVESTORS_LIST[[#This Row],[NAV]])</f>
        <v>0</v>
      </c>
      <c r="AP374" s="6">
        <f>INVESTORS_LIST[[#This Row],[LS_TOTAL REALIZED GAIN]]+INVESTORS_LIST[[#This Row],[SIP_TOTAL REALIZED GAIN]]</f>
        <v>-299.99999999999363</v>
      </c>
      <c r="AQ374" s="6">
        <f>INVESTORS_LIST[[#This Row],[TOTAL MARKET VALUE]]-INVESTORS_LIST[[#This Row],[TOTAL COST VALUE OF CURRENT INVESTMENT]]</f>
        <v>0</v>
      </c>
      <c r="AR374" s="6">
        <f>SUMIFS(DivAndTax[Tax Amount],DivAndTax[Investor ID],INVESTORS_LIST[[#This Row],[INVESTOR CODE]])</f>
        <v>0</v>
      </c>
      <c r="AS374" s="6">
        <f>SUMIFS(DivAndTax[Gross Dividend],DivAndTax[Investor ID],INVESTORS_LIST[[#This Row],[INVESTOR CODE]])</f>
        <v>0</v>
      </c>
      <c r="AT374" s="5">
        <f>IFERROR(INVESTORS_LIST[[#This Row],[TOTAL CURRENT UNITS]]/SUM(INVESTORS_LIST[TOTAL CURRENT UNITS]),0)</f>
        <v>0</v>
      </c>
    </row>
    <row r="375" spans="1:46">
      <c r="A375" t="s">
        <v>695</v>
      </c>
      <c r="B375" t="s">
        <v>696</v>
      </c>
      <c r="C375" t="s">
        <v>537</v>
      </c>
      <c r="D375" s="8" t="s">
        <v>5</v>
      </c>
      <c r="E375" s="2">
        <f>SUMIFS(LS[Unit],LS[Investor ID],INVESTORS_LIST[[#This Row],[INVESTOR CODE]],LS[B/S],"B")</f>
        <v>1000000</v>
      </c>
      <c r="F375" s="2">
        <f>-SUMIFS(LS[Unit],LS[Investor ID],INVESTORS_LIST[[#This Row],[INVESTOR CODE]],LS[B/S],"S")</f>
        <v>0</v>
      </c>
      <c r="G375" s="2">
        <f>IF(INVESTORS_LIST[[#This Row],[LS_TOTAL UNITS BUY]]=0,0,INVESTORS_LIST[[#This Row],[LS_TOTAL UNITS BUY]]-INVESTORS_LIST[[#This Row],[LS_TOTAL UNITS SOLD]])</f>
        <v>1000000</v>
      </c>
      <c r="H375" s="4">
        <f>IF(INVESTORS_LIST[[#This Row],[LS_TOTAL UNITS BUY]]=0,0,SUMIFS(LS[Amount],LS[Investor ID],INVESTORS_LIST[[#This Row],[INVESTOR CODE]],LS[B/S],"B"))</f>
        <v>10000000</v>
      </c>
      <c r="I375" s="6">
        <f>IF(INVESTORS_LIST[[#This Row],[LS_TOTAL UNITS SOLD]]=0,0,SUMIFS(LS[Cost of Units Sold],LS[Investor ID],INVESTORS_LIST[[#This Row],[INVESTOR CODE]],LS[B/S],"S"))</f>
        <v>0</v>
      </c>
      <c r="J375" s="6">
        <f>IF(INVESTORS_LIST[[#This Row],[LS_TOTAL CURRENT UNITS]]=0,0,INVESTORS_LIST[[#This Row],[LS_TOTAL CURRENT UNITS]]*INVESTORS_LIST[[#This Row],[LS_AVERAGE COST]])</f>
        <v>10000000</v>
      </c>
      <c r="K375" s="4">
        <f>IF(INVESTORS_LIST[[#This Row],[LS_TOTAL UNITS SOLD]]=0,0,SUMIFS(LS[Realized Gain],LS[Investor ID],INVESTORS_LIST[[#This Row],[INVESTOR CODE]],LS[B/S],"S"))</f>
        <v>0</v>
      </c>
      <c r="L375" s="2">
        <f>SUMIFS(SIP[Unit],SIP[Investor ID],INVESTORS_LIST[[#This Row],[INVESTOR CODE]],SIP[B/S],"B")</f>
        <v>0</v>
      </c>
      <c r="M375" s="2">
        <f>-SUMIFS(SIP[Unit],SIP[Investor ID],INVESTORS_LIST[[#This Row],[INVESTOR CODE]],SIP[B/S],"S")</f>
        <v>0</v>
      </c>
      <c r="N375" s="33">
        <f>IF(INVESTORS_LIST[[#This Row],[SIP_TOTAL UNITS BUY]]=0,0,INVESTORS_LIST[[#This Row],[SIP_TOTAL UNITS BUY]]-INVESTORS_LIST[[#This Row],[SIP_TOTAL UNITS SOLD]])</f>
        <v>0</v>
      </c>
      <c r="O375" s="4">
        <f>IF(INVESTORS_LIST[[#This Row],[SIP_TOTAL UNITS BUY]]=0,0,SUMIFS(SIP[Amount],SIP[Investor ID],INVESTORS_LIST[[#This Row],[INVESTOR CODE]],SIP[B/S],"B"))</f>
        <v>0</v>
      </c>
      <c r="P375" s="4">
        <f>IF(INVESTORS_LIST[[#This Row],[SIP_TOTAL UNITS SOLD]]=0,0,SUMIFS(SIP[Cost of Units Sold],SIP[Investor ID],INVESTORS_LIST[[#This Row],[INVESTOR CODE]],SIP[B/S],"S"))</f>
        <v>0</v>
      </c>
      <c r="Q375" s="6">
        <f>IF(INVESTORS_LIST[[#This Row],[SIP_TOTAL CURRENT UNITS]]=0,0,INVESTORS_LIST[[#This Row],[SIP_TOTAL CURRENT UNITS]]*INVESTORS_LIST[[#This Row],[SIP_AVERAGE COST]])</f>
        <v>0</v>
      </c>
      <c r="R375" s="6">
        <f>IF(INVESTORS_LIST[[#This Row],[SIP_TOTAL UNITS SOLD]]=0,0,SUMIFS(SIP[Realized Gain],SIP[Investor ID],INVESTORS_LIST[[#This Row],[INVESTOR CODE]],SIP[B/S],"S"))</f>
        <v>0</v>
      </c>
      <c r="S375" s="33">
        <f>INVESTORS_LIST[[#This Row],[LS_TOTAL UNITS BUY]]+INVESTORS_LIST[[#This Row],[SIP_TOTAL UNITS BUY]]</f>
        <v>1000000</v>
      </c>
      <c r="T375" s="33">
        <f>INVESTORS_LIST[[#This Row],[LS_TOTAL UNITS SOLD]]+INVESTORS_LIST[[#This Row],[SIP_TOTAL UNITS SOLD]]</f>
        <v>0</v>
      </c>
      <c r="U375" s="33">
        <v>1000000</v>
      </c>
      <c r="V375" s="33">
        <f>SUMIFS(LS[BO UNIT TRANSFER],LS[Investor ID],INVESTORS_LIST[[#This Row],[INVESTOR CODE]],LS[B/S],"B")</f>
        <v>0</v>
      </c>
      <c r="W375" s="33">
        <f>SUMIFS(LS[BO UNIT TRANSFER],LS[Investor ID],INVESTORS_LIST[[#This Row],[INVESTOR CODE]],LS[B/S],"S")</f>
        <v>0</v>
      </c>
      <c r="X375" s="33">
        <f>SUMIFS(SIP[BO UNIT TRANSFER],SIP[Investor ID],INVESTORS_LIST[[#This Row],[INVESTOR CODE]],SIP[B/S],"S")</f>
        <v>0</v>
      </c>
      <c r="Y375" s="33">
        <f>SUMIFS(SIP[BO UNIT TRANSFER],SIP[Investor ID],INVESTORS_LIST[[#This Row],[INVESTOR CODE]],SIP[B/S],"B")</f>
        <v>0</v>
      </c>
      <c r="Z37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1000000</v>
      </c>
      <c r="AA375" s="119">
        <f>INVESTORS_LIST[[#This Row],[TOTAL UNITS BUY]]-INVESTORS_LIST[[#This Row],[TOTAL UNITS SOLD]]</f>
        <v>1000000</v>
      </c>
      <c r="AB375" s="119">
        <f>INVESTORS_LIST[[#This Row],[TOTAL CURRENT UNITS]]-INVESTORS_LIST[[#This Row],[BO UNITS HOLD]]</f>
        <v>0</v>
      </c>
      <c r="AC375" s="119" t="e">
        <f>INDEX([4]!Table_1[BO ID],MATCH(INVESTORS_LIST[[#This Row],[INVESTOR CODE]],[4]!Table_1[INVESTOR CODE],0))</f>
        <v>#REF!</v>
      </c>
      <c r="AD375" s="33">
        <f>INVESTORS_LIST[[#This Row],[LS_TOTAL COST VALUE OF CURRENT UNITS]]+INVESTORS_LIST[[#This Row],[SIP_TOTAL COST VALUE OF CURRENT UNITS]]</f>
        <v>10000000</v>
      </c>
      <c r="AE375" s="44">
        <f>IF(INVESTORS_LIST[[#This Row],[TOTAL CURRENT UNITS]]=0,0,INVESTORS_LIST[[#This Row],[LS_TOTAL CURRENT UNITS]]/INVESTORS_LIST[[#This Row],[TOTAL CURRENT UNITS]])</f>
        <v>1</v>
      </c>
      <c r="AF375" s="44">
        <f>IF(INVESTORS_LIST[[#This Row],[TOTAL CURRENT UNITS]]=0,0,INVESTORS_LIST[[#This Row],[SIP_TOTAL CURRENT UNITS]]/INVESTORS_LIST[[#This Row],[TOTAL CURRENT UNITS]])</f>
        <v>0</v>
      </c>
      <c r="AG375" s="4" cm="1">
        <f t="array" ref="AG375">IF(INVESTORS_LIST[[#This Row],[LS_TOTAL UNITS BUY]]&gt;0,INDEX(LS[NAV at Cost (Average)],MATCH(CONCATENATE(COUNTIFS(LS[Investor ID],INVESTORS_LIST[[#This Row],[INVESTOR CODE]]),INVESTORS_LIST[[#This Row],[INVESTOR CODE]]),LS[Unique Code],0),),0)</f>
        <v>10</v>
      </c>
      <c r="AH375" s="4" cm="1">
        <f t="array" ref="AH37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75" s="178">
        <f>IF(INVESTORS_LIST[[#This Row],[TOTAL CURRENT UNITS]]=0,0,(INVESTORS_LIST[[#This Row],[LS_WEIGHT]]*INVESTORS_LIST[[#This Row],[LS_AVERAGE COST]])+(INVESTORS_LIST[[#This Row],[SIP_WEIGHT]]*INVESTORS_LIST[[#This Row],[SIP_AVERAGE COST]]))</f>
        <v>10</v>
      </c>
      <c r="AJ375" s="178">
        <f t="shared" si="5"/>
        <v>12.552</v>
      </c>
      <c r="AK375" s="118">
        <f>IF(INVESTORS_LIST[[#This Row],[TOTAL CURRENT UNITS]]=0,0,INVESTORS_LIST[[#This Row],[TOTAL CURRENT UNITS]]*INVESTORS_LIST[[#This Row],[NAV]])</f>
        <v>12552000</v>
      </c>
      <c r="AL375" s="4">
        <f>IF(INVESTORS_LIST[[#This Row],[LS_TOTAL CURRENT UNITS]]=0,0,INVESTORS_LIST[[#This Row],[LS_TOTAL CURRENT UNITS]]*INVESTORS_LIST[[#This Row],[NAV]])</f>
        <v>12552000</v>
      </c>
      <c r="AM375" s="6">
        <f>IF(INVESTORS_LIST[[#This Row],[SIP_TOTAL CURRENT UNITS]]=0,0,INVESTORS_LIST[[#This Row],[SIP_TOTAL CURRENT UNITS]]*INVESTORS_LIST[[#This Row],[NAV]])</f>
        <v>0</v>
      </c>
      <c r="AO375" s="6">
        <f>IF(INVESTORS_LIST[[#This Row],[TOTAL SELLABLE UNITS]]=0,0,INVESTORS_LIST[[#This Row],[TOTAL SELLABLE UNITS]]*INVESTORS_LIST[[#This Row],[NAV]])</f>
        <v>0</v>
      </c>
      <c r="AP375" s="6">
        <f>INVESTORS_LIST[[#This Row],[LS_TOTAL REALIZED GAIN]]+INVESTORS_LIST[[#This Row],[SIP_TOTAL REALIZED GAIN]]</f>
        <v>0</v>
      </c>
      <c r="AQ375" s="6">
        <f>INVESTORS_LIST[[#This Row],[TOTAL MARKET VALUE]]-INVESTORS_LIST[[#This Row],[TOTAL COST VALUE OF CURRENT INVESTMENT]]</f>
        <v>2552000</v>
      </c>
      <c r="AR375" s="6">
        <f>SUMIFS(DivAndTax[Tax Amount],DivAndTax[Investor ID],INVESTORS_LIST[[#This Row],[INVESTOR CODE]])</f>
        <v>220000</v>
      </c>
      <c r="AS375" s="6">
        <f>SUMIFS(DivAndTax[Gross Dividend],DivAndTax[Investor ID],INVESTORS_LIST[[#This Row],[INVESTOR CODE]])</f>
        <v>1100000</v>
      </c>
      <c r="AT375" s="5">
        <f>IFERROR(INVESTORS_LIST[[#This Row],[TOTAL CURRENT UNITS]]/SUM(INVESTORS_LIST[TOTAL CURRENT UNITS]),0)</f>
        <v>4.7944835056342852E-2</v>
      </c>
    </row>
    <row r="376" spans="1:46" hidden="1">
      <c r="A376" t="s">
        <v>697</v>
      </c>
      <c r="B376" t="s">
        <v>698</v>
      </c>
      <c r="C376" t="s">
        <v>539</v>
      </c>
      <c r="D376" s="8" t="s">
        <v>2</v>
      </c>
      <c r="E376" s="2">
        <f>SUMIFS(LS[Unit],LS[Investor ID],INVESTORS_LIST[[#This Row],[INVESTOR CODE]],LS[B/S],"B")</f>
        <v>0</v>
      </c>
      <c r="F376" s="2">
        <f>-SUMIFS(LS[Unit],LS[Investor ID],INVESTORS_LIST[[#This Row],[INVESTOR CODE]],LS[B/S],"S")</f>
        <v>0</v>
      </c>
      <c r="G376" s="2">
        <f>IF(INVESTORS_LIST[[#This Row],[LS_TOTAL UNITS BUY]]=0,0,INVESTORS_LIST[[#This Row],[LS_TOTAL UNITS BUY]]-INVESTORS_LIST[[#This Row],[LS_TOTAL UNITS SOLD]])</f>
        <v>0</v>
      </c>
      <c r="H376" s="4">
        <f>IF(INVESTORS_LIST[[#This Row],[LS_TOTAL UNITS BUY]]=0,0,SUMIFS(LS[Amount],LS[Investor ID],INVESTORS_LIST[[#This Row],[INVESTOR CODE]],LS[B/S],"B"))</f>
        <v>0</v>
      </c>
      <c r="I376" s="6">
        <f>IF(INVESTORS_LIST[[#This Row],[LS_TOTAL UNITS SOLD]]=0,0,SUMIFS(LS[Cost of Units Sold],LS[Investor ID],INVESTORS_LIST[[#This Row],[INVESTOR CODE]],LS[B/S],"S"))</f>
        <v>0</v>
      </c>
      <c r="J376" s="6">
        <f>IF(INVESTORS_LIST[[#This Row],[LS_TOTAL CURRENT UNITS]]=0,0,INVESTORS_LIST[[#This Row],[LS_TOTAL CURRENT UNITS]]*INVESTORS_LIST[[#This Row],[LS_AVERAGE COST]])</f>
        <v>0</v>
      </c>
      <c r="K376" s="4">
        <f>IF(INVESTORS_LIST[[#This Row],[LS_TOTAL UNITS SOLD]]=0,0,SUMIFS(LS[Realized Gain],LS[Investor ID],INVESTORS_LIST[[#This Row],[INVESTOR CODE]],LS[B/S],"S"))</f>
        <v>0</v>
      </c>
      <c r="L376" s="2">
        <f>SUMIFS(SIP[Unit],SIP[Investor ID],INVESTORS_LIST[[#This Row],[INVESTOR CODE]],SIP[B/S],"B")</f>
        <v>0</v>
      </c>
      <c r="M376" s="2">
        <f>-SUMIFS(SIP[Unit],SIP[Investor ID],INVESTORS_LIST[[#This Row],[INVESTOR CODE]],SIP[B/S],"S")</f>
        <v>0</v>
      </c>
      <c r="N376" s="33">
        <f>IF(INVESTORS_LIST[[#This Row],[SIP_TOTAL UNITS BUY]]=0,0,INVESTORS_LIST[[#This Row],[SIP_TOTAL UNITS BUY]]-INVESTORS_LIST[[#This Row],[SIP_TOTAL UNITS SOLD]])</f>
        <v>0</v>
      </c>
      <c r="O376" s="4">
        <f>IF(INVESTORS_LIST[[#This Row],[SIP_TOTAL UNITS BUY]]=0,0,SUMIFS(SIP[Amount],SIP[Investor ID],INVESTORS_LIST[[#This Row],[INVESTOR CODE]],SIP[B/S],"B"))</f>
        <v>0</v>
      </c>
      <c r="P376" s="4">
        <f>IF(INVESTORS_LIST[[#This Row],[SIP_TOTAL UNITS SOLD]]=0,0,SUMIFS(SIP[Cost of Units Sold],SIP[Investor ID],INVESTORS_LIST[[#This Row],[INVESTOR CODE]],SIP[B/S],"S"))</f>
        <v>0</v>
      </c>
      <c r="Q376" s="6">
        <f>IF(INVESTORS_LIST[[#This Row],[SIP_TOTAL CURRENT UNITS]]=0,0,INVESTORS_LIST[[#This Row],[SIP_TOTAL CURRENT UNITS]]*INVESTORS_LIST[[#This Row],[SIP_AVERAGE COST]])</f>
        <v>0</v>
      </c>
      <c r="R376" s="6">
        <f>IF(INVESTORS_LIST[[#This Row],[SIP_TOTAL UNITS SOLD]]=0,0,SUMIFS(SIP[Realized Gain],SIP[Investor ID],INVESTORS_LIST[[#This Row],[INVESTOR CODE]],SIP[B/S],"S"))</f>
        <v>0</v>
      </c>
      <c r="S376" s="33">
        <f>INVESTORS_LIST[[#This Row],[LS_TOTAL UNITS BUY]]+INVESTORS_LIST[[#This Row],[SIP_TOTAL UNITS BUY]]</f>
        <v>0</v>
      </c>
      <c r="T376" s="33">
        <f>INVESTORS_LIST[[#This Row],[LS_TOTAL UNITS SOLD]]+INVESTORS_LIST[[#This Row],[SIP_TOTAL UNITS SOLD]]</f>
        <v>0</v>
      </c>
      <c r="U376" s="33">
        <v>0</v>
      </c>
      <c r="V376" s="33">
        <f>SUMIFS(LS[BO UNIT TRANSFER],LS[Investor ID],INVESTORS_LIST[[#This Row],[INVESTOR CODE]],LS[B/S],"B")</f>
        <v>0</v>
      </c>
      <c r="W376" s="33">
        <f>SUMIFS(LS[BO UNIT TRANSFER],LS[Investor ID],INVESTORS_LIST[[#This Row],[INVESTOR CODE]],LS[B/S],"S")</f>
        <v>0</v>
      </c>
      <c r="X376" s="33">
        <f>SUMIFS(SIP[BO UNIT TRANSFER],SIP[Investor ID],INVESTORS_LIST[[#This Row],[INVESTOR CODE]],SIP[B/S],"S")</f>
        <v>0</v>
      </c>
      <c r="Y376" s="33">
        <f>SUMIFS(SIP[BO UNIT TRANSFER],SIP[Investor ID],INVESTORS_LIST[[#This Row],[INVESTOR CODE]],SIP[B/S],"B")</f>
        <v>0</v>
      </c>
      <c r="Z37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76" s="119">
        <f>INVESTORS_LIST[[#This Row],[TOTAL UNITS BUY]]-INVESTORS_LIST[[#This Row],[TOTAL UNITS SOLD]]</f>
        <v>0</v>
      </c>
      <c r="AB376" s="119">
        <f>INVESTORS_LIST[[#This Row],[TOTAL CURRENT UNITS]]-INVESTORS_LIST[[#This Row],[BO UNITS HOLD]]</f>
        <v>0</v>
      </c>
      <c r="AC376" s="119" t="e">
        <f>INDEX([4]!Table_1[BO ID],MATCH(INVESTORS_LIST[[#This Row],[INVESTOR CODE]],[4]!Table_1[INVESTOR CODE],0))</f>
        <v>#REF!</v>
      </c>
      <c r="AD376" s="33">
        <f>INVESTORS_LIST[[#This Row],[LS_TOTAL COST VALUE OF CURRENT UNITS]]+INVESTORS_LIST[[#This Row],[SIP_TOTAL COST VALUE OF CURRENT UNITS]]</f>
        <v>0</v>
      </c>
      <c r="AE376" s="44">
        <f>IF(INVESTORS_LIST[[#This Row],[TOTAL CURRENT UNITS]]=0,0,INVESTORS_LIST[[#This Row],[LS_TOTAL CURRENT UNITS]]/INVESTORS_LIST[[#This Row],[TOTAL CURRENT UNITS]])</f>
        <v>0</v>
      </c>
      <c r="AF376" s="44">
        <f>IF(INVESTORS_LIST[[#This Row],[TOTAL CURRENT UNITS]]=0,0,INVESTORS_LIST[[#This Row],[SIP_TOTAL CURRENT UNITS]]/INVESTORS_LIST[[#This Row],[TOTAL CURRENT UNITS]])</f>
        <v>0</v>
      </c>
      <c r="AG376" s="4" cm="1">
        <f t="array" ref="AG37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76" s="4" cm="1">
        <f t="array" ref="AH3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7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76" s="178">
        <f t="shared" si="5"/>
        <v>12.552</v>
      </c>
      <c r="AK376" s="118">
        <f>IF(INVESTORS_LIST[[#This Row],[TOTAL CURRENT UNITS]]=0,0,INVESTORS_LIST[[#This Row],[TOTAL CURRENT UNITS]]*INVESTORS_LIST[[#This Row],[NAV]])</f>
        <v>0</v>
      </c>
      <c r="AL376" s="4">
        <f>IF(INVESTORS_LIST[[#This Row],[LS_TOTAL CURRENT UNITS]]=0,0,INVESTORS_LIST[[#This Row],[LS_TOTAL CURRENT UNITS]]*INVESTORS_LIST[[#This Row],[NAV]])</f>
        <v>0</v>
      </c>
      <c r="AM376" s="6">
        <f>IF(INVESTORS_LIST[[#This Row],[SIP_TOTAL CURRENT UNITS]]=0,0,INVESTORS_LIST[[#This Row],[SIP_TOTAL CURRENT UNITS]]*INVESTORS_LIST[[#This Row],[NAV]])</f>
        <v>0</v>
      </c>
      <c r="AO376" s="6">
        <f>IF(INVESTORS_LIST[[#This Row],[TOTAL SELLABLE UNITS]]=0,0,INVESTORS_LIST[[#This Row],[TOTAL SELLABLE UNITS]]*INVESTORS_LIST[[#This Row],[NAV]])</f>
        <v>0</v>
      </c>
      <c r="AP376" s="6">
        <f>INVESTORS_LIST[[#This Row],[LS_TOTAL REALIZED GAIN]]+INVESTORS_LIST[[#This Row],[SIP_TOTAL REALIZED GAIN]]</f>
        <v>0</v>
      </c>
      <c r="AQ376" s="6">
        <f>INVESTORS_LIST[[#This Row],[TOTAL MARKET VALUE]]-INVESTORS_LIST[[#This Row],[TOTAL COST VALUE OF CURRENT INVESTMENT]]</f>
        <v>0</v>
      </c>
      <c r="AR376" s="6">
        <f>SUMIFS(DivAndTax[Tax Amount],DivAndTax[Investor ID],INVESTORS_LIST[[#This Row],[INVESTOR CODE]])</f>
        <v>0</v>
      </c>
      <c r="AS376" s="6">
        <f>SUMIFS(DivAndTax[Gross Dividend],DivAndTax[Investor ID],INVESTORS_LIST[[#This Row],[INVESTOR CODE]])</f>
        <v>0</v>
      </c>
      <c r="AT376" s="5">
        <f>IFERROR(INVESTORS_LIST[[#This Row],[TOTAL CURRENT UNITS]]/SUM(INVESTORS_LIST[TOTAL CURRENT UNITS]),0)</f>
        <v>0</v>
      </c>
    </row>
    <row r="377" spans="1:46" hidden="1">
      <c r="A377" t="s">
        <v>699</v>
      </c>
      <c r="B377" t="s">
        <v>700</v>
      </c>
      <c r="C377" t="s">
        <v>537</v>
      </c>
      <c r="D377" s="8" t="s">
        <v>11</v>
      </c>
      <c r="E377" s="2">
        <f>SUMIFS(LS[Unit],LS[Investor ID],INVESTORS_LIST[[#This Row],[INVESTOR CODE]],LS[B/S],"B")</f>
        <v>100000</v>
      </c>
      <c r="F377" s="2">
        <f>-SUMIFS(LS[Unit],LS[Investor ID],INVESTORS_LIST[[#This Row],[INVESTOR CODE]],LS[B/S],"S")</f>
        <v>100000</v>
      </c>
      <c r="G377" s="2">
        <f>IF(INVESTORS_LIST[[#This Row],[LS_TOTAL UNITS BUY]]=0,0,INVESTORS_LIST[[#This Row],[LS_TOTAL UNITS BUY]]-INVESTORS_LIST[[#This Row],[LS_TOTAL UNITS SOLD]])</f>
        <v>0</v>
      </c>
      <c r="H377" s="4">
        <f>IF(INVESTORS_LIST[[#This Row],[LS_TOTAL UNITS BUY]]=0,0,SUMIFS(LS[Amount],LS[Investor ID],INVESTORS_LIST[[#This Row],[INVESTOR CODE]],LS[B/S],"B"))</f>
        <v>1000000</v>
      </c>
      <c r="I377" s="6">
        <f>IF(INVESTORS_LIST[[#This Row],[LS_TOTAL UNITS SOLD]]=0,0,SUMIFS(LS[Cost of Units Sold],LS[Investor ID],INVESTORS_LIST[[#This Row],[INVESTOR CODE]],LS[B/S],"S"))</f>
        <v>1000000</v>
      </c>
      <c r="J377" s="6">
        <f>IF(INVESTORS_LIST[[#This Row],[LS_TOTAL CURRENT UNITS]]=0,0,INVESTORS_LIST[[#This Row],[LS_TOTAL CURRENT UNITS]]*INVESTORS_LIST[[#This Row],[LS_AVERAGE COST]])</f>
        <v>0</v>
      </c>
      <c r="K377" s="4">
        <f>IF(INVESTORS_LIST[[#This Row],[LS_TOTAL UNITS SOLD]]=0,0,SUMIFS(LS[Realized Gain],LS[Investor ID],INVESTORS_LIST[[#This Row],[INVESTOR CODE]],LS[B/S],"S"))</f>
        <v>3999.9999999999145</v>
      </c>
      <c r="L377" s="2">
        <f>SUMIFS(SIP[Unit],SIP[Investor ID],INVESTORS_LIST[[#This Row],[INVESTOR CODE]],SIP[B/S],"B")</f>
        <v>0</v>
      </c>
      <c r="M377" s="2">
        <f>-SUMIFS(SIP[Unit],SIP[Investor ID],INVESTORS_LIST[[#This Row],[INVESTOR CODE]],SIP[B/S],"S")</f>
        <v>0</v>
      </c>
      <c r="N377" s="33">
        <f>IF(INVESTORS_LIST[[#This Row],[SIP_TOTAL UNITS BUY]]=0,0,INVESTORS_LIST[[#This Row],[SIP_TOTAL UNITS BUY]]-INVESTORS_LIST[[#This Row],[SIP_TOTAL UNITS SOLD]])</f>
        <v>0</v>
      </c>
      <c r="O377" s="4">
        <f>IF(INVESTORS_LIST[[#This Row],[SIP_TOTAL UNITS BUY]]=0,0,SUMIFS(SIP[Amount],SIP[Investor ID],INVESTORS_LIST[[#This Row],[INVESTOR CODE]],SIP[B/S],"B"))</f>
        <v>0</v>
      </c>
      <c r="P377" s="4">
        <f>IF(INVESTORS_LIST[[#This Row],[SIP_TOTAL UNITS SOLD]]=0,0,SUMIFS(SIP[Cost of Units Sold],SIP[Investor ID],INVESTORS_LIST[[#This Row],[INVESTOR CODE]],SIP[B/S],"S"))</f>
        <v>0</v>
      </c>
      <c r="Q377" s="6">
        <f>IF(INVESTORS_LIST[[#This Row],[SIP_TOTAL CURRENT UNITS]]=0,0,INVESTORS_LIST[[#This Row],[SIP_TOTAL CURRENT UNITS]]*INVESTORS_LIST[[#This Row],[SIP_AVERAGE COST]])</f>
        <v>0</v>
      </c>
      <c r="R377" s="6">
        <f>IF(INVESTORS_LIST[[#This Row],[SIP_TOTAL UNITS SOLD]]=0,0,SUMIFS(SIP[Realized Gain],SIP[Investor ID],INVESTORS_LIST[[#This Row],[INVESTOR CODE]],SIP[B/S],"S"))</f>
        <v>0</v>
      </c>
      <c r="S377" s="33">
        <f>INVESTORS_LIST[[#This Row],[LS_TOTAL UNITS BUY]]+INVESTORS_LIST[[#This Row],[SIP_TOTAL UNITS BUY]]</f>
        <v>100000</v>
      </c>
      <c r="T377" s="33">
        <f>INVESTORS_LIST[[#This Row],[LS_TOTAL UNITS SOLD]]+INVESTORS_LIST[[#This Row],[SIP_TOTAL UNITS SOLD]]</f>
        <v>100000</v>
      </c>
      <c r="U377" s="33">
        <v>0</v>
      </c>
      <c r="V377" s="33">
        <f>SUMIFS(LS[BO UNIT TRANSFER],LS[Investor ID],INVESTORS_LIST[[#This Row],[INVESTOR CODE]],LS[B/S],"B")</f>
        <v>0</v>
      </c>
      <c r="W377" s="33">
        <f>SUMIFS(LS[BO UNIT TRANSFER],LS[Investor ID],INVESTORS_LIST[[#This Row],[INVESTOR CODE]],LS[B/S],"S")</f>
        <v>0</v>
      </c>
      <c r="X377" s="33">
        <f>SUMIFS(SIP[BO UNIT TRANSFER],SIP[Investor ID],INVESTORS_LIST[[#This Row],[INVESTOR CODE]],SIP[B/S],"S")</f>
        <v>0</v>
      </c>
      <c r="Y377" s="33">
        <f>SUMIFS(SIP[BO UNIT TRANSFER],SIP[Investor ID],INVESTORS_LIST[[#This Row],[INVESTOR CODE]],SIP[B/S],"B")</f>
        <v>0</v>
      </c>
      <c r="Z37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77" s="119">
        <f>INVESTORS_LIST[[#This Row],[TOTAL UNITS BUY]]-INVESTORS_LIST[[#This Row],[TOTAL UNITS SOLD]]</f>
        <v>0</v>
      </c>
      <c r="AB377" s="119">
        <f>INVESTORS_LIST[[#This Row],[TOTAL CURRENT UNITS]]-INVESTORS_LIST[[#This Row],[BO UNITS HOLD]]</f>
        <v>0</v>
      </c>
      <c r="AC377" s="119" t="e">
        <f>INDEX([4]!Table_1[BO ID],MATCH(INVESTORS_LIST[[#This Row],[INVESTOR CODE]],[4]!Table_1[INVESTOR CODE],0))</f>
        <v>#REF!</v>
      </c>
      <c r="AD377" s="33">
        <f>INVESTORS_LIST[[#This Row],[LS_TOTAL COST VALUE OF CURRENT UNITS]]+INVESTORS_LIST[[#This Row],[SIP_TOTAL COST VALUE OF CURRENT UNITS]]</f>
        <v>0</v>
      </c>
      <c r="AE377" s="44">
        <f>IF(INVESTORS_LIST[[#This Row],[TOTAL CURRENT UNITS]]=0,0,INVESTORS_LIST[[#This Row],[LS_TOTAL CURRENT UNITS]]/INVESTORS_LIST[[#This Row],[TOTAL CURRENT UNITS]])</f>
        <v>0</v>
      </c>
      <c r="AF377" s="44">
        <f>IF(INVESTORS_LIST[[#This Row],[TOTAL CURRENT UNITS]]=0,0,INVESTORS_LIST[[#This Row],[SIP_TOTAL CURRENT UNITS]]/INVESTORS_LIST[[#This Row],[TOTAL CURRENT UNITS]])</f>
        <v>0</v>
      </c>
      <c r="AG377" s="4" cm="1">
        <f t="array" ref="AG37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77" s="4" cm="1">
        <f t="array" ref="AH3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7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77" s="178">
        <f t="shared" si="5"/>
        <v>12.552</v>
      </c>
      <c r="AK377" s="118">
        <f>IF(INVESTORS_LIST[[#This Row],[TOTAL CURRENT UNITS]]=0,0,INVESTORS_LIST[[#This Row],[TOTAL CURRENT UNITS]]*INVESTORS_LIST[[#This Row],[NAV]])</f>
        <v>0</v>
      </c>
      <c r="AL377" s="4">
        <f>IF(INVESTORS_LIST[[#This Row],[LS_TOTAL CURRENT UNITS]]=0,0,INVESTORS_LIST[[#This Row],[LS_TOTAL CURRENT UNITS]]*INVESTORS_LIST[[#This Row],[NAV]])</f>
        <v>0</v>
      </c>
      <c r="AM377" s="6">
        <f>IF(INVESTORS_LIST[[#This Row],[SIP_TOTAL CURRENT UNITS]]=0,0,INVESTORS_LIST[[#This Row],[SIP_TOTAL CURRENT UNITS]]*INVESTORS_LIST[[#This Row],[NAV]])</f>
        <v>0</v>
      </c>
      <c r="AO377" s="6">
        <f>IF(INVESTORS_LIST[[#This Row],[TOTAL SELLABLE UNITS]]=0,0,INVESTORS_LIST[[#This Row],[TOTAL SELLABLE UNITS]]*INVESTORS_LIST[[#This Row],[NAV]])</f>
        <v>0</v>
      </c>
      <c r="AP377" s="6">
        <f>INVESTORS_LIST[[#This Row],[LS_TOTAL REALIZED GAIN]]+INVESTORS_LIST[[#This Row],[SIP_TOTAL REALIZED GAIN]]</f>
        <v>3999.9999999999145</v>
      </c>
      <c r="AQ377" s="6">
        <f>INVESTORS_LIST[[#This Row],[TOTAL MARKET VALUE]]-INVESTORS_LIST[[#This Row],[TOTAL COST VALUE OF CURRENT INVESTMENT]]</f>
        <v>0</v>
      </c>
      <c r="AR377" s="6">
        <f>SUMIFS(DivAndTax[Tax Amount],DivAndTax[Investor ID],INVESTORS_LIST[[#This Row],[INVESTOR CODE]])</f>
        <v>0</v>
      </c>
      <c r="AS377" s="6">
        <f>SUMIFS(DivAndTax[Gross Dividend],DivAndTax[Investor ID],INVESTORS_LIST[[#This Row],[INVESTOR CODE]])</f>
        <v>0</v>
      </c>
      <c r="AT377" s="5">
        <f>IFERROR(INVESTORS_LIST[[#This Row],[TOTAL CURRENT UNITS]]/SUM(INVESTORS_LIST[TOTAL CURRENT UNITS]),0)</f>
        <v>0</v>
      </c>
    </row>
    <row r="378" spans="1:46" hidden="1">
      <c r="A378" t="s">
        <v>701</v>
      </c>
      <c r="B378" t="s">
        <v>702</v>
      </c>
      <c r="C378" t="s">
        <v>536</v>
      </c>
      <c r="D378" s="8" t="s">
        <v>2</v>
      </c>
      <c r="E378" s="2">
        <f>SUMIFS(LS[Unit],LS[Investor ID],INVESTORS_LIST[[#This Row],[INVESTOR CODE]],LS[B/S],"B")</f>
        <v>100000</v>
      </c>
      <c r="F378" s="2">
        <f>-SUMIFS(LS[Unit],LS[Investor ID],INVESTORS_LIST[[#This Row],[INVESTOR CODE]],LS[B/S],"S")</f>
        <v>100000</v>
      </c>
      <c r="G378" s="2">
        <f>IF(INVESTORS_LIST[[#This Row],[LS_TOTAL UNITS BUY]]=0,0,INVESTORS_LIST[[#This Row],[LS_TOTAL UNITS BUY]]-INVESTORS_LIST[[#This Row],[LS_TOTAL UNITS SOLD]])</f>
        <v>0</v>
      </c>
      <c r="H378" s="4">
        <f>IF(INVESTORS_LIST[[#This Row],[LS_TOTAL UNITS BUY]]=0,0,SUMIFS(LS[Amount],LS[Investor ID],INVESTORS_LIST[[#This Row],[INVESTOR CODE]],LS[B/S],"B"))</f>
        <v>1000000</v>
      </c>
      <c r="I378" s="6">
        <f>IF(INVESTORS_LIST[[#This Row],[LS_TOTAL UNITS SOLD]]=0,0,SUMIFS(LS[Cost of Units Sold],LS[Investor ID],INVESTORS_LIST[[#This Row],[INVESTOR CODE]],LS[B/S],"S"))</f>
        <v>1000000</v>
      </c>
      <c r="J378" s="6">
        <f>IF(INVESTORS_LIST[[#This Row],[LS_TOTAL CURRENT UNITS]]=0,0,INVESTORS_LIST[[#This Row],[LS_TOTAL CURRENT UNITS]]*INVESTORS_LIST[[#This Row],[LS_AVERAGE COST]])</f>
        <v>0</v>
      </c>
      <c r="K378" s="4">
        <f>IF(INVESTORS_LIST[[#This Row],[LS_TOTAL UNITS SOLD]]=0,0,SUMIFS(LS[Realized Gain],LS[Investor ID],INVESTORS_LIST[[#This Row],[INVESTOR CODE]],LS[B/S],"S"))</f>
        <v>3999.9999999999145</v>
      </c>
      <c r="L378" s="2">
        <f>SUMIFS(SIP[Unit],SIP[Investor ID],INVESTORS_LIST[[#This Row],[INVESTOR CODE]],SIP[B/S],"B")</f>
        <v>0</v>
      </c>
      <c r="M378" s="2">
        <f>-SUMIFS(SIP[Unit],SIP[Investor ID],INVESTORS_LIST[[#This Row],[INVESTOR CODE]],SIP[B/S],"S")</f>
        <v>0</v>
      </c>
      <c r="N378" s="33">
        <f>IF(INVESTORS_LIST[[#This Row],[SIP_TOTAL UNITS BUY]]=0,0,INVESTORS_LIST[[#This Row],[SIP_TOTAL UNITS BUY]]-INVESTORS_LIST[[#This Row],[SIP_TOTAL UNITS SOLD]])</f>
        <v>0</v>
      </c>
      <c r="O378" s="4">
        <f>IF(INVESTORS_LIST[[#This Row],[SIP_TOTAL UNITS BUY]]=0,0,SUMIFS(SIP[Amount],SIP[Investor ID],INVESTORS_LIST[[#This Row],[INVESTOR CODE]],SIP[B/S],"B"))</f>
        <v>0</v>
      </c>
      <c r="P378" s="4">
        <f>IF(INVESTORS_LIST[[#This Row],[SIP_TOTAL UNITS SOLD]]=0,0,SUMIFS(SIP[Cost of Units Sold],SIP[Investor ID],INVESTORS_LIST[[#This Row],[INVESTOR CODE]],SIP[B/S],"S"))</f>
        <v>0</v>
      </c>
      <c r="Q378" s="6">
        <f>IF(INVESTORS_LIST[[#This Row],[SIP_TOTAL CURRENT UNITS]]=0,0,INVESTORS_LIST[[#This Row],[SIP_TOTAL CURRENT UNITS]]*INVESTORS_LIST[[#This Row],[SIP_AVERAGE COST]])</f>
        <v>0</v>
      </c>
      <c r="R378" s="6">
        <f>IF(INVESTORS_LIST[[#This Row],[SIP_TOTAL UNITS SOLD]]=0,0,SUMIFS(SIP[Realized Gain],SIP[Investor ID],INVESTORS_LIST[[#This Row],[INVESTOR CODE]],SIP[B/S],"S"))</f>
        <v>0</v>
      </c>
      <c r="S378" s="33">
        <f>INVESTORS_LIST[[#This Row],[LS_TOTAL UNITS BUY]]+INVESTORS_LIST[[#This Row],[SIP_TOTAL UNITS BUY]]</f>
        <v>100000</v>
      </c>
      <c r="T378" s="33">
        <f>INVESTORS_LIST[[#This Row],[LS_TOTAL UNITS SOLD]]+INVESTORS_LIST[[#This Row],[SIP_TOTAL UNITS SOLD]]</f>
        <v>100000</v>
      </c>
      <c r="U378" s="33">
        <v>0</v>
      </c>
      <c r="V378" s="33">
        <f>SUMIFS(LS[BO UNIT TRANSFER],LS[Investor ID],INVESTORS_LIST[[#This Row],[INVESTOR CODE]],LS[B/S],"B")</f>
        <v>0</v>
      </c>
      <c r="W378" s="33">
        <f>SUMIFS(LS[BO UNIT TRANSFER],LS[Investor ID],INVESTORS_LIST[[#This Row],[INVESTOR CODE]],LS[B/S],"S")</f>
        <v>0</v>
      </c>
      <c r="X378" s="33">
        <f>SUMIFS(SIP[BO UNIT TRANSFER],SIP[Investor ID],INVESTORS_LIST[[#This Row],[INVESTOR CODE]],SIP[B/S],"S")</f>
        <v>0</v>
      </c>
      <c r="Y378" s="33">
        <f>SUMIFS(SIP[BO UNIT TRANSFER],SIP[Investor ID],INVESTORS_LIST[[#This Row],[INVESTOR CODE]],SIP[B/S],"B")</f>
        <v>0</v>
      </c>
      <c r="Z37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78" s="119">
        <f>INVESTORS_LIST[[#This Row],[TOTAL UNITS BUY]]-INVESTORS_LIST[[#This Row],[TOTAL UNITS SOLD]]</f>
        <v>0</v>
      </c>
      <c r="AB378" s="119">
        <f>INVESTORS_LIST[[#This Row],[TOTAL CURRENT UNITS]]-INVESTORS_LIST[[#This Row],[BO UNITS HOLD]]</f>
        <v>0</v>
      </c>
      <c r="AC378" s="119" t="e">
        <f>INDEX([4]!Table_1[BO ID],MATCH(INVESTORS_LIST[[#This Row],[INVESTOR CODE]],[4]!Table_1[INVESTOR CODE],0))</f>
        <v>#REF!</v>
      </c>
      <c r="AD378" s="33">
        <f>INVESTORS_LIST[[#This Row],[LS_TOTAL COST VALUE OF CURRENT UNITS]]+INVESTORS_LIST[[#This Row],[SIP_TOTAL COST VALUE OF CURRENT UNITS]]</f>
        <v>0</v>
      </c>
      <c r="AE378" s="44">
        <f>IF(INVESTORS_LIST[[#This Row],[TOTAL CURRENT UNITS]]=0,0,INVESTORS_LIST[[#This Row],[LS_TOTAL CURRENT UNITS]]/INVESTORS_LIST[[#This Row],[TOTAL CURRENT UNITS]])</f>
        <v>0</v>
      </c>
      <c r="AF378" s="44">
        <f>IF(INVESTORS_LIST[[#This Row],[TOTAL CURRENT UNITS]]=0,0,INVESTORS_LIST[[#This Row],[SIP_TOTAL CURRENT UNITS]]/INVESTORS_LIST[[#This Row],[TOTAL CURRENT UNITS]])</f>
        <v>0</v>
      </c>
      <c r="AG378" s="4" cm="1">
        <f t="array" ref="AG37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78" s="4" cm="1">
        <f t="array" ref="AH3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7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78" s="178">
        <f t="shared" si="5"/>
        <v>12.552</v>
      </c>
      <c r="AK378" s="118">
        <f>IF(INVESTORS_LIST[[#This Row],[TOTAL CURRENT UNITS]]=0,0,INVESTORS_LIST[[#This Row],[TOTAL CURRENT UNITS]]*INVESTORS_LIST[[#This Row],[NAV]])</f>
        <v>0</v>
      </c>
      <c r="AL378" s="4">
        <f>IF(INVESTORS_LIST[[#This Row],[LS_TOTAL CURRENT UNITS]]=0,0,INVESTORS_LIST[[#This Row],[LS_TOTAL CURRENT UNITS]]*INVESTORS_LIST[[#This Row],[NAV]])</f>
        <v>0</v>
      </c>
      <c r="AM378" s="6">
        <f>IF(INVESTORS_LIST[[#This Row],[SIP_TOTAL CURRENT UNITS]]=0,0,INVESTORS_LIST[[#This Row],[SIP_TOTAL CURRENT UNITS]]*INVESTORS_LIST[[#This Row],[NAV]])</f>
        <v>0</v>
      </c>
      <c r="AO378" s="6">
        <f>IF(INVESTORS_LIST[[#This Row],[TOTAL SELLABLE UNITS]]=0,0,INVESTORS_LIST[[#This Row],[TOTAL SELLABLE UNITS]]*INVESTORS_LIST[[#This Row],[NAV]])</f>
        <v>0</v>
      </c>
      <c r="AP378" s="6">
        <f>INVESTORS_LIST[[#This Row],[LS_TOTAL REALIZED GAIN]]+INVESTORS_LIST[[#This Row],[SIP_TOTAL REALIZED GAIN]]</f>
        <v>3999.9999999999145</v>
      </c>
      <c r="AQ378" s="6">
        <f>INVESTORS_LIST[[#This Row],[TOTAL MARKET VALUE]]-INVESTORS_LIST[[#This Row],[TOTAL COST VALUE OF CURRENT INVESTMENT]]</f>
        <v>0</v>
      </c>
      <c r="AR378" s="6">
        <f>SUMIFS(DivAndTax[Tax Amount],DivAndTax[Investor ID],INVESTORS_LIST[[#This Row],[INVESTOR CODE]])</f>
        <v>0</v>
      </c>
      <c r="AS378" s="6">
        <f>SUMIFS(DivAndTax[Gross Dividend],DivAndTax[Investor ID],INVESTORS_LIST[[#This Row],[INVESTOR CODE]])</f>
        <v>0</v>
      </c>
      <c r="AT378" s="5">
        <f>IFERROR(INVESTORS_LIST[[#This Row],[TOTAL CURRENT UNITS]]/SUM(INVESTORS_LIST[TOTAL CURRENT UNITS]),0)</f>
        <v>0</v>
      </c>
    </row>
    <row r="379" spans="1:46" hidden="1">
      <c r="A379" t="s">
        <v>703</v>
      </c>
      <c r="B379" t="s">
        <v>704</v>
      </c>
      <c r="C379" t="s">
        <v>537</v>
      </c>
      <c r="D379" s="8" t="s">
        <v>5</v>
      </c>
      <c r="E379" s="2">
        <f>SUMIFS(LS[Unit],LS[Investor ID],INVESTORS_LIST[[#This Row],[INVESTOR CODE]],LS[B/S],"B")</f>
        <v>230000</v>
      </c>
      <c r="F379" s="2">
        <f>-SUMIFS(LS[Unit],LS[Investor ID],INVESTORS_LIST[[#This Row],[INVESTOR CODE]],LS[B/S],"S")</f>
        <v>230000</v>
      </c>
      <c r="G379" s="2">
        <f>IF(INVESTORS_LIST[[#This Row],[LS_TOTAL UNITS BUY]]=0,0,INVESTORS_LIST[[#This Row],[LS_TOTAL UNITS BUY]]-INVESTORS_LIST[[#This Row],[LS_TOTAL UNITS SOLD]])</f>
        <v>0</v>
      </c>
      <c r="H379" s="4">
        <f>IF(INVESTORS_LIST[[#This Row],[LS_TOTAL UNITS BUY]]=0,0,SUMIFS(LS[Amount],LS[Investor ID],INVESTORS_LIST[[#This Row],[INVESTOR CODE]],LS[B/S],"B"))</f>
        <v>2300000</v>
      </c>
      <c r="I379" s="6">
        <f>IF(INVESTORS_LIST[[#This Row],[LS_TOTAL UNITS SOLD]]=0,0,SUMIFS(LS[Cost of Units Sold],LS[Investor ID],INVESTORS_LIST[[#This Row],[INVESTOR CODE]],LS[B/S],"S"))</f>
        <v>2300000</v>
      </c>
      <c r="J379" s="6">
        <f>IF(INVESTORS_LIST[[#This Row],[LS_TOTAL CURRENT UNITS]]=0,0,INVESTORS_LIST[[#This Row],[LS_TOTAL CURRENT UNITS]]*INVESTORS_LIST[[#This Row],[LS_AVERAGE COST]])</f>
        <v>0</v>
      </c>
      <c r="K379" s="4">
        <f>IF(INVESTORS_LIST[[#This Row],[LS_TOTAL UNITS SOLD]]=0,0,SUMIFS(LS[Realized Gain],LS[Investor ID],INVESTORS_LIST[[#This Row],[INVESTOR CODE]],LS[B/S],"S"))</f>
        <v>-6899.9999999998527</v>
      </c>
      <c r="L379" s="2">
        <f>SUMIFS(SIP[Unit],SIP[Investor ID],INVESTORS_LIST[[#This Row],[INVESTOR CODE]],SIP[B/S],"B")</f>
        <v>0</v>
      </c>
      <c r="M379" s="2">
        <f>-SUMIFS(SIP[Unit],SIP[Investor ID],INVESTORS_LIST[[#This Row],[INVESTOR CODE]],SIP[B/S],"S")</f>
        <v>0</v>
      </c>
      <c r="N379" s="33">
        <f>IF(INVESTORS_LIST[[#This Row],[SIP_TOTAL UNITS BUY]]=0,0,INVESTORS_LIST[[#This Row],[SIP_TOTAL UNITS BUY]]-INVESTORS_LIST[[#This Row],[SIP_TOTAL UNITS SOLD]])</f>
        <v>0</v>
      </c>
      <c r="O379" s="4">
        <f>IF(INVESTORS_LIST[[#This Row],[SIP_TOTAL UNITS BUY]]=0,0,SUMIFS(SIP[Amount],SIP[Investor ID],INVESTORS_LIST[[#This Row],[INVESTOR CODE]],SIP[B/S],"B"))</f>
        <v>0</v>
      </c>
      <c r="P379" s="4">
        <f>IF(INVESTORS_LIST[[#This Row],[SIP_TOTAL UNITS SOLD]]=0,0,SUMIFS(SIP[Cost of Units Sold],SIP[Investor ID],INVESTORS_LIST[[#This Row],[INVESTOR CODE]],SIP[B/S],"S"))</f>
        <v>0</v>
      </c>
      <c r="Q379" s="6">
        <f>IF(INVESTORS_LIST[[#This Row],[SIP_TOTAL CURRENT UNITS]]=0,0,INVESTORS_LIST[[#This Row],[SIP_TOTAL CURRENT UNITS]]*INVESTORS_LIST[[#This Row],[SIP_AVERAGE COST]])</f>
        <v>0</v>
      </c>
      <c r="R379" s="6">
        <f>IF(INVESTORS_LIST[[#This Row],[SIP_TOTAL UNITS SOLD]]=0,0,SUMIFS(SIP[Realized Gain],SIP[Investor ID],INVESTORS_LIST[[#This Row],[INVESTOR CODE]],SIP[B/S],"S"))</f>
        <v>0</v>
      </c>
      <c r="S379" s="33">
        <f>INVESTORS_LIST[[#This Row],[LS_TOTAL UNITS BUY]]+INVESTORS_LIST[[#This Row],[SIP_TOTAL UNITS BUY]]</f>
        <v>230000</v>
      </c>
      <c r="T379" s="33">
        <f>INVESTORS_LIST[[#This Row],[LS_TOTAL UNITS SOLD]]+INVESTORS_LIST[[#This Row],[SIP_TOTAL UNITS SOLD]]</f>
        <v>230000</v>
      </c>
      <c r="U379" s="33">
        <v>0</v>
      </c>
      <c r="V379" s="33">
        <f>SUMIFS(LS[BO UNIT TRANSFER],LS[Investor ID],INVESTORS_LIST[[#This Row],[INVESTOR CODE]],LS[B/S],"B")</f>
        <v>0</v>
      </c>
      <c r="W379" s="33">
        <f>SUMIFS(LS[BO UNIT TRANSFER],LS[Investor ID],INVESTORS_LIST[[#This Row],[INVESTOR CODE]],LS[B/S],"S")</f>
        <v>0</v>
      </c>
      <c r="X379" s="33">
        <f>SUMIFS(SIP[BO UNIT TRANSFER],SIP[Investor ID],INVESTORS_LIST[[#This Row],[INVESTOR CODE]],SIP[B/S],"S")</f>
        <v>0</v>
      </c>
      <c r="Y379" s="33">
        <f>SUMIFS(SIP[BO UNIT TRANSFER],SIP[Investor ID],INVESTORS_LIST[[#This Row],[INVESTOR CODE]],SIP[B/S],"B")</f>
        <v>0</v>
      </c>
      <c r="Z37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79" s="119">
        <f>INVESTORS_LIST[[#This Row],[TOTAL UNITS BUY]]-INVESTORS_LIST[[#This Row],[TOTAL UNITS SOLD]]</f>
        <v>0</v>
      </c>
      <c r="AB379" s="119">
        <f>INVESTORS_LIST[[#This Row],[TOTAL CURRENT UNITS]]-INVESTORS_LIST[[#This Row],[BO UNITS HOLD]]</f>
        <v>0</v>
      </c>
      <c r="AC379" s="119" t="e">
        <f>INDEX([4]!Table_1[BO ID],MATCH(INVESTORS_LIST[[#This Row],[INVESTOR CODE]],[4]!Table_1[INVESTOR CODE],0))</f>
        <v>#REF!</v>
      </c>
      <c r="AD379" s="33">
        <f>INVESTORS_LIST[[#This Row],[LS_TOTAL COST VALUE OF CURRENT UNITS]]+INVESTORS_LIST[[#This Row],[SIP_TOTAL COST VALUE OF CURRENT UNITS]]</f>
        <v>0</v>
      </c>
      <c r="AE379" s="44">
        <f>IF(INVESTORS_LIST[[#This Row],[TOTAL CURRENT UNITS]]=0,0,INVESTORS_LIST[[#This Row],[LS_TOTAL CURRENT UNITS]]/INVESTORS_LIST[[#This Row],[TOTAL CURRENT UNITS]])</f>
        <v>0</v>
      </c>
      <c r="AF379" s="44">
        <f>IF(INVESTORS_LIST[[#This Row],[TOTAL CURRENT UNITS]]=0,0,INVESTORS_LIST[[#This Row],[SIP_TOTAL CURRENT UNITS]]/INVESTORS_LIST[[#This Row],[TOTAL CURRENT UNITS]])</f>
        <v>0</v>
      </c>
      <c r="AG379" s="4" cm="1">
        <f t="array" ref="AG3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79" s="4" cm="1">
        <f t="array" ref="AH3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7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79" s="178">
        <f t="shared" si="5"/>
        <v>12.552</v>
      </c>
      <c r="AK379" s="118">
        <f>IF(INVESTORS_LIST[[#This Row],[TOTAL CURRENT UNITS]]=0,0,INVESTORS_LIST[[#This Row],[TOTAL CURRENT UNITS]]*INVESTORS_LIST[[#This Row],[NAV]])</f>
        <v>0</v>
      </c>
      <c r="AL379" s="4">
        <f>IF(INVESTORS_LIST[[#This Row],[LS_TOTAL CURRENT UNITS]]=0,0,INVESTORS_LIST[[#This Row],[LS_TOTAL CURRENT UNITS]]*INVESTORS_LIST[[#This Row],[NAV]])</f>
        <v>0</v>
      </c>
      <c r="AM379" s="6">
        <f>IF(INVESTORS_LIST[[#This Row],[SIP_TOTAL CURRENT UNITS]]=0,0,INVESTORS_LIST[[#This Row],[SIP_TOTAL CURRENT UNITS]]*INVESTORS_LIST[[#This Row],[NAV]])</f>
        <v>0</v>
      </c>
      <c r="AO379" s="6">
        <f>IF(INVESTORS_LIST[[#This Row],[TOTAL SELLABLE UNITS]]=0,0,INVESTORS_LIST[[#This Row],[TOTAL SELLABLE UNITS]]*INVESTORS_LIST[[#This Row],[NAV]])</f>
        <v>0</v>
      </c>
      <c r="AP379" s="6">
        <f>INVESTORS_LIST[[#This Row],[LS_TOTAL REALIZED GAIN]]+INVESTORS_LIST[[#This Row],[SIP_TOTAL REALIZED GAIN]]</f>
        <v>-6899.9999999998527</v>
      </c>
      <c r="AQ379" s="6">
        <f>INVESTORS_LIST[[#This Row],[TOTAL MARKET VALUE]]-INVESTORS_LIST[[#This Row],[TOTAL COST VALUE OF CURRENT INVESTMENT]]</f>
        <v>0</v>
      </c>
      <c r="AR379" s="6">
        <f>SUMIFS(DivAndTax[Tax Amount],DivAndTax[Investor ID],INVESTORS_LIST[[#This Row],[INVESTOR CODE]])</f>
        <v>0</v>
      </c>
      <c r="AS379" s="6">
        <f>SUMIFS(DivAndTax[Gross Dividend],DivAndTax[Investor ID],INVESTORS_LIST[[#This Row],[INVESTOR CODE]])</f>
        <v>0</v>
      </c>
      <c r="AT379" s="5">
        <f>IFERROR(INVESTORS_LIST[[#This Row],[TOTAL CURRENT UNITS]]/SUM(INVESTORS_LIST[TOTAL CURRENT UNITS]),0)</f>
        <v>0</v>
      </c>
    </row>
    <row r="380" spans="1:46" hidden="1">
      <c r="A380" t="s">
        <v>705</v>
      </c>
      <c r="B380" t="s">
        <v>706</v>
      </c>
      <c r="C380" t="s">
        <v>537</v>
      </c>
      <c r="D380" s="8" t="s">
        <v>5</v>
      </c>
      <c r="E380" s="2">
        <f>SUMIFS(LS[Unit],LS[Investor ID],INVESTORS_LIST[[#This Row],[INVESTOR CODE]],LS[B/S],"B")</f>
        <v>200000</v>
      </c>
      <c r="F380" s="2">
        <f>-SUMIFS(LS[Unit],LS[Investor ID],INVESTORS_LIST[[#This Row],[INVESTOR CODE]],LS[B/S],"S")</f>
        <v>200000</v>
      </c>
      <c r="G380" s="2">
        <f>IF(INVESTORS_LIST[[#This Row],[LS_TOTAL UNITS BUY]]=0,0,INVESTORS_LIST[[#This Row],[LS_TOTAL UNITS BUY]]-INVESTORS_LIST[[#This Row],[LS_TOTAL UNITS SOLD]])</f>
        <v>0</v>
      </c>
      <c r="H380" s="4">
        <f>IF(INVESTORS_LIST[[#This Row],[LS_TOTAL UNITS BUY]]=0,0,SUMIFS(LS[Amount],LS[Investor ID],INVESTORS_LIST[[#This Row],[INVESTOR CODE]],LS[B/S],"B"))</f>
        <v>2000000</v>
      </c>
      <c r="I380" s="6">
        <f>IF(INVESTORS_LIST[[#This Row],[LS_TOTAL UNITS SOLD]]=0,0,SUMIFS(LS[Cost of Units Sold],LS[Investor ID],INVESTORS_LIST[[#This Row],[INVESTOR CODE]],LS[B/S],"S"))</f>
        <v>2000000</v>
      </c>
      <c r="J380" s="6">
        <f>IF(INVESTORS_LIST[[#This Row],[LS_TOTAL CURRENT UNITS]]=0,0,INVESTORS_LIST[[#This Row],[LS_TOTAL CURRENT UNITS]]*INVESTORS_LIST[[#This Row],[LS_AVERAGE COST]])</f>
        <v>0</v>
      </c>
      <c r="K380" s="4">
        <f>IF(INVESTORS_LIST[[#This Row],[LS_TOTAL UNITS SOLD]]=0,0,SUMIFS(LS[Realized Gain],LS[Investor ID],INVESTORS_LIST[[#This Row],[INVESTOR CODE]],LS[B/S],"S"))</f>
        <v>-33999.999999999985</v>
      </c>
      <c r="L380" s="2">
        <f>SUMIFS(SIP[Unit],SIP[Investor ID],INVESTORS_LIST[[#This Row],[INVESTOR CODE]],SIP[B/S],"B")</f>
        <v>0</v>
      </c>
      <c r="M380" s="2">
        <f>-SUMIFS(SIP[Unit],SIP[Investor ID],INVESTORS_LIST[[#This Row],[INVESTOR CODE]],SIP[B/S],"S")</f>
        <v>0</v>
      </c>
      <c r="N380" s="33">
        <f>IF(INVESTORS_LIST[[#This Row],[SIP_TOTAL UNITS BUY]]=0,0,INVESTORS_LIST[[#This Row],[SIP_TOTAL UNITS BUY]]-INVESTORS_LIST[[#This Row],[SIP_TOTAL UNITS SOLD]])</f>
        <v>0</v>
      </c>
      <c r="O380" s="4">
        <f>IF(INVESTORS_LIST[[#This Row],[SIP_TOTAL UNITS BUY]]=0,0,SUMIFS(SIP[Amount],SIP[Investor ID],INVESTORS_LIST[[#This Row],[INVESTOR CODE]],SIP[B/S],"B"))</f>
        <v>0</v>
      </c>
      <c r="P380" s="4">
        <f>IF(INVESTORS_LIST[[#This Row],[SIP_TOTAL UNITS SOLD]]=0,0,SUMIFS(SIP[Cost of Units Sold],SIP[Investor ID],INVESTORS_LIST[[#This Row],[INVESTOR CODE]],SIP[B/S],"S"))</f>
        <v>0</v>
      </c>
      <c r="Q380" s="6">
        <f>IF(INVESTORS_LIST[[#This Row],[SIP_TOTAL CURRENT UNITS]]=0,0,INVESTORS_LIST[[#This Row],[SIP_TOTAL CURRENT UNITS]]*INVESTORS_LIST[[#This Row],[SIP_AVERAGE COST]])</f>
        <v>0</v>
      </c>
      <c r="R380" s="6">
        <f>IF(INVESTORS_LIST[[#This Row],[SIP_TOTAL UNITS SOLD]]=0,0,SUMIFS(SIP[Realized Gain],SIP[Investor ID],INVESTORS_LIST[[#This Row],[INVESTOR CODE]],SIP[B/S],"S"))</f>
        <v>0</v>
      </c>
      <c r="S380" s="33">
        <f>INVESTORS_LIST[[#This Row],[LS_TOTAL UNITS BUY]]+INVESTORS_LIST[[#This Row],[SIP_TOTAL UNITS BUY]]</f>
        <v>200000</v>
      </c>
      <c r="T380" s="33">
        <f>INVESTORS_LIST[[#This Row],[LS_TOTAL UNITS SOLD]]+INVESTORS_LIST[[#This Row],[SIP_TOTAL UNITS SOLD]]</f>
        <v>200000</v>
      </c>
      <c r="U380" s="33">
        <v>0</v>
      </c>
      <c r="V380" s="33">
        <f>SUMIFS(LS[BO UNIT TRANSFER],LS[Investor ID],INVESTORS_LIST[[#This Row],[INVESTOR CODE]],LS[B/S],"B")</f>
        <v>0</v>
      </c>
      <c r="W380" s="33">
        <f>SUMIFS(LS[BO UNIT TRANSFER],LS[Investor ID],INVESTORS_LIST[[#This Row],[INVESTOR CODE]],LS[B/S],"S")</f>
        <v>0</v>
      </c>
      <c r="X380" s="33">
        <f>SUMIFS(SIP[BO UNIT TRANSFER],SIP[Investor ID],INVESTORS_LIST[[#This Row],[INVESTOR CODE]],SIP[B/S],"S")</f>
        <v>0</v>
      </c>
      <c r="Y380" s="33">
        <f>SUMIFS(SIP[BO UNIT TRANSFER],SIP[Investor ID],INVESTORS_LIST[[#This Row],[INVESTOR CODE]],SIP[B/S],"B")</f>
        <v>0</v>
      </c>
      <c r="Z38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80" s="119">
        <f>INVESTORS_LIST[[#This Row],[TOTAL UNITS BUY]]-INVESTORS_LIST[[#This Row],[TOTAL UNITS SOLD]]</f>
        <v>0</v>
      </c>
      <c r="AB380" s="119">
        <f>INVESTORS_LIST[[#This Row],[TOTAL CURRENT UNITS]]-INVESTORS_LIST[[#This Row],[BO UNITS HOLD]]</f>
        <v>0</v>
      </c>
      <c r="AC380" s="119" t="e">
        <f>INDEX([4]!Table_1[BO ID],MATCH(INVESTORS_LIST[[#This Row],[INVESTOR CODE]],[4]!Table_1[INVESTOR CODE],0))</f>
        <v>#REF!</v>
      </c>
      <c r="AD380" s="33">
        <f>INVESTORS_LIST[[#This Row],[LS_TOTAL COST VALUE OF CURRENT UNITS]]+INVESTORS_LIST[[#This Row],[SIP_TOTAL COST VALUE OF CURRENT UNITS]]</f>
        <v>0</v>
      </c>
      <c r="AE380" s="44">
        <f>IF(INVESTORS_LIST[[#This Row],[TOTAL CURRENT UNITS]]=0,0,INVESTORS_LIST[[#This Row],[LS_TOTAL CURRENT UNITS]]/INVESTORS_LIST[[#This Row],[TOTAL CURRENT UNITS]])</f>
        <v>0</v>
      </c>
      <c r="AF380" s="44">
        <f>IF(INVESTORS_LIST[[#This Row],[TOTAL CURRENT UNITS]]=0,0,INVESTORS_LIST[[#This Row],[SIP_TOTAL CURRENT UNITS]]/INVESTORS_LIST[[#This Row],[TOTAL CURRENT UNITS]])</f>
        <v>0</v>
      </c>
      <c r="AG380" s="4" cm="1">
        <f t="array" ref="AG3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80" s="4" cm="1">
        <f t="array" ref="AH3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8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80" s="178">
        <f t="shared" si="5"/>
        <v>12.552</v>
      </c>
      <c r="AK380" s="118">
        <f>IF(INVESTORS_LIST[[#This Row],[TOTAL CURRENT UNITS]]=0,0,INVESTORS_LIST[[#This Row],[TOTAL CURRENT UNITS]]*INVESTORS_LIST[[#This Row],[NAV]])</f>
        <v>0</v>
      </c>
      <c r="AL380" s="4">
        <f>IF(INVESTORS_LIST[[#This Row],[LS_TOTAL CURRENT UNITS]]=0,0,INVESTORS_LIST[[#This Row],[LS_TOTAL CURRENT UNITS]]*INVESTORS_LIST[[#This Row],[NAV]])</f>
        <v>0</v>
      </c>
      <c r="AM380" s="6">
        <f>IF(INVESTORS_LIST[[#This Row],[SIP_TOTAL CURRENT UNITS]]=0,0,INVESTORS_LIST[[#This Row],[SIP_TOTAL CURRENT UNITS]]*INVESTORS_LIST[[#This Row],[NAV]])</f>
        <v>0</v>
      </c>
      <c r="AO380" s="6">
        <f>IF(INVESTORS_LIST[[#This Row],[TOTAL SELLABLE UNITS]]=0,0,INVESTORS_LIST[[#This Row],[TOTAL SELLABLE UNITS]]*INVESTORS_LIST[[#This Row],[NAV]])</f>
        <v>0</v>
      </c>
      <c r="AP380" s="6">
        <f>INVESTORS_LIST[[#This Row],[LS_TOTAL REALIZED GAIN]]+INVESTORS_LIST[[#This Row],[SIP_TOTAL REALIZED GAIN]]</f>
        <v>-33999.999999999985</v>
      </c>
      <c r="AQ380" s="6">
        <f>INVESTORS_LIST[[#This Row],[TOTAL MARKET VALUE]]-INVESTORS_LIST[[#This Row],[TOTAL COST VALUE OF CURRENT INVESTMENT]]</f>
        <v>0</v>
      </c>
      <c r="AR380" s="6">
        <f>SUMIFS(DivAndTax[Tax Amount],DivAndTax[Investor ID],INVESTORS_LIST[[#This Row],[INVESTOR CODE]])</f>
        <v>0</v>
      </c>
      <c r="AS380" s="6">
        <f>SUMIFS(DivAndTax[Gross Dividend],DivAndTax[Investor ID],INVESTORS_LIST[[#This Row],[INVESTOR CODE]])</f>
        <v>0</v>
      </c>
      <c r="AT380" s="5">
        <f>IFERROR(INVESTORS_LIST[[#This Row],[TOTAL CURRENT UNITS]]/SUM(INVESTORS_LIST[TOTAL CURRENT UNITS]),0)</f>
        <v>0</v>
      </c>
    </row>
    <row r="381" spans="1:46" hidden="1">
      <c r="A381" t="s">
        <v>707</v>
      </c>
      <c r="B381" t="s">
        <v>708</v>
      </c>
      <c r="C381" t="s">
        <v>536</v>
      </c>
      <c r="D381" s="8" t="s">
        <v>2</v>
      </c>
      <c r="E381" s="2">
        <f>SUMIFS(LS[Unit],LS[Investor ID],INVESTORS_LIST[[#This Row],[INVESTOR CODE]],LS[B/S],"B")</f>
        <v>1002</v>
      </c>
      <c r="F381" s="2">
        <f>-SUMIFS(LS[Unit],LS[Investor ID],INVESTORS_LIST[[#This Row],[INVESTOR CODE]],LS[B/S],"S")</f>
        <v>1002</v>
      </c>
      <c r="G381" s="2">
        <f>IF(INVESTORS_LIST[[#This Row],[LS_TOTAL UNITS BUY]]=0,0,INVESTORS_LIST[[#This Row],[LS_TOTAL UNITS BUY]]-INVESTORS_LIST[[#This Row],[LS_TOTAL UNITS SOLD]])</f>
        <v>0</v>
      </c>
      <c r="H381" s="4">
        <f>IF(INVESTORS_LIST[[#This Row],[LS_TOTAL UNITS BUY]]=0,0,SUMIFS(LS[Amount],LS[Investor ID],INVESTORS_LIST[[#This Row],[INVESTOR CODE]],LS[B/S],"B"))</f>
        <v>10000</v>
      </c>
      <c r="I381" s="6">
        <f>IF(INVESTORS_LIST[[#This Row],[LS_TOTAL UNITS SOLD]]=0,0,SUMIFS(LS[Cost of Units Sold],LS[Investor ID],INVESTORS_LIST[[#This Row],[INVESTOR CODE]],LS[B/S],"S"))</f>
        <v>9999.9999999999982</v>
      </c>
      <c r="J381" s="6">
        <f>IF(INVESTORS_LIST[[#This Row],[LS_TOTAL CURRENT UNITS]]=0,0,INVESTORS_LIST[[#This Row],[LS_TOTAL CURRENT UNITS]]*INVESTORS_LIST[[#This Row],[LS_AVERAGE COST]])</f>
        <v>0</v>
      </c>
      <c r="K381" s="4">
        <f>IF(INVESTORS_LIST[[#This Row],[LS_TOTAL UNITS SOLD]]=0,0,SUMIFS(LS[Realized Gain],LS[Investor ID],INVESTORS_LIST[[#This Row],[INVESTOR CODE]],LS[B/S],"S"))</f>
        <v>-10.059999999998386</v>
      </c>
      <c r="L381" s="2">
        <f>SUMIFS(SIP[Unit],SIP[Investor ID],INVESTORS_LIST[[#This Row],[INVESTOR CODE]],SIP[B/S],"B")</f>
        <v>494</v>
      </c>
      <c r="M381" s="2">
        <f>-SUMIFS(SIP[Unit],SIP[Investor ID],INVESTORS_LIST[[#This Row],[INVESTOR CODE]],SIP[B/S],"S")</f>
        <v>494</v>
      </c>
      <c r="N381" s="33">
        <f>IF(INVESTORS_LIST[[#This Row],[SIP_TOTAL UNITS BUY]]=0,0,INVESTORS_LIST[[#This Row],[SIP_TOTAL UNITS BUY]]-INVESTORS_LIST[[#This Row],[SIP_TOTAL UNITS SOLD]])</f>
        <v>0</v>
      </c>
      <c r="O381" s="4">
        <f>IF(INVESTORS_LIST[[#This Row],[SIP_TOTAL UNITS BUY]]=0,0,SUMIFS(SIP[Amount],SIP[Investor ID],INVESTORS_LIST[[#This Row],[INVESTOR CODE]],SIP[B/S],"B"))</f>
        <v>5000</v>
      </c>
      <c r="P381" s="4">
        <f>IF(INVESTORS_LIST[[#This Row],[SIP_TOTAL UNITS SOLD]]=0,0,SUMIFS(SIP[Cost of Units Sold],SIP[Investor ID],INVESTORS_LIST[[#This Row],[INVESTOR CODE]],SIP[B/S],"S"))</f>
        <v>5000</v>
      </c>
      <c r="Q381" s="6">
        <f>IF(INVESTORS_LIST[[#This Row],[SIP_TOTAL CURRENT UNITS]]=0,0,INVESTORS_LIST[[#This Row],[SIP_TOTAL CURRENT UNITS]]*INVESTORS_LIST[[#This Row],[SIP_AVERAGE COST]])</f>
        <v>0</v>
      </c>
      <c r="R381" s="6">
        <f>IF(INVESTORS_LIST[[#This Row],[SIP_TOTAL UNITS SOLD]]=0,0,SUMIFS(SIP[Realized Gain],SIP[Investor ID],INVESTORS_LIST[[#This Row],[INVESTOR CODE]],SIP[B/S],"S"))</f>
        <v>371.71999999999986</v>
      </c>
      <c r="S381" s="33">
        <f>INVESTORS_LIST[[#This Row],[LS_TOTAL UNITS BUY]]+INVESTORS_LIST[[#This Row],[SIP_TOTAL UNITS BUY]]</f>
        <v>1496</v>
      </c>
      <c r="T381" s="33">
        <f>INVESTORS_LIST[[#This Row],[LS_TOTAL UNITS SOLD]]+INVESTORS_LIST[[#This Row],[SIP_TOTAL UNITS SOLD]]</f>
        <v>1496</v>
      </c>
      <c r="U381" s="33">
        <v>0</v>
      </c>
      <c r="V381" s="33">
        <f>SUMIFS(LS[BO UNIT TRANSFER],LS[Investor ID],INVESTORS_LIST[[#This Row],[INVESTOR CODE]],LS[B/S],"B")</f>
        <v>0</v>
      </c>
      <c r="W381" s="33">
        <f>SUMIFS(LS[BO UNIT TRANSFER],LS[Investor ID],INVESTORS_LIST[[#This Row],[INVESTOR CODE]],LS[B/S],"S")</f>
        <v>0</v>
      </c>
      <c r="X381" s="33">
        <f>SUMIFS(SIP[BO UNIT TRANSFER],SIP[Investor ID],INVESTORS_LIST[[#This Row],[INVESTOR CODE]],SIP[B/S],"S")</f>
        <v>0</v>
      </c>
      <c r="Y381" s="33">
        <f>SUMIFS(SIP[BO UNIT TRANSFER],SIP[Investor ID],INVESTORS_LIST[[#This Row],[INVESTOR CODE]],SIP[B/S],"B")</f>
        <v>0</v>
      </c>
      <c r="Z38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81" s="119">
        <f>INVESTORS_LIST[[#This Row],[TOTAL UNITS BUY]]-INVESTORS_LIST[[#This Row],[TOTAL UNITS SOLD]]</f>
        <v>0</v>
      </c>
      <c r="AB381" s="119">
        <f>INVESTORS_LIST[[#This Row],[TOTAL CURRENT UNITS]]-INVESTORS_LIST[[#This Row],[BO UNITS HOLD]]</f>
        <v>0</v>
      </c>
      <c r="AC381" s="119" t="e">
        <f>INDEX([4]!Table_1[BO ID],MATCH(INVESTORS_LIST[[#This Row],[INVESTOR CODE]],[4]!Table_1[INVESTOR CODE],0))</f>
        <v>#REF!</v>
      </c>
      <c r="AD381" s="33">
        <f>INVESTORS_LIST[[#This Row],[LS_TOTAL COST VALUE OF CURRENT UNITS]]+INVESTORS_LIST[[#This Row],[SIP_TOTAL COST VALUE OF CURRENT UNITS]]</f>
        <v>0</v>
      </c>
      <c r="AE381" s="44">
        <f>IF(INVESTORS_LIST[[#This Row],[TOTAL CURRENT UNITS]]=0,0,INVESTORS_LIST[[#This Row],[LS_TOTAL CURRENT UNITS]]/INVESTORS_LIST[[#This Row],[TOTAL CURRENT UNITS]])</f>
        <v>0</v>
      </c>
      <c r="AF381" s="44">
        <f>IF(INVESTORS_LIST[[#This Row],[TOTAL CURRENT UNITS]]=0,0,INVESTORS_LIST[[#This Row],[SIP_TOTAL CURRENT UNITS]]/INVESTORS_LIST[[#This Row],[TOTAL CURRENT UNITS]])</f>
        <v>0</v>
      </c>
      <c r="AG381" s="4" cm="1">
        <f t="array" ref="AG38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81" s="4" cm="1">
        <f t="array" ref="AH3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8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81" s="178">
        <f t="shared" si="5"/>
        <v>12.552</v>
      </c>
      <c r="AK381" s="118">
        <f>IF(INVESTORS_LIST[[#This Row],[TOTAL CURRENT UNITS]]=0,0,INVESTORS_LIST[[#This Row],[TOTAL CURRENT UNITS]]*INVESTORS_LIST[[#This Row],[NAV]])</f>
        <v>0</v>
      </c>
      <c r="AL381" s="4">
        <f>IF(INVESTORS_LIST[[#This Row],[LS_TOTAL CURRENT UNITS]]=0,0,INVESTORS_LIST[[#This Row],[LS_TOTAL CURRENT UNITS]]*INVESTORS_LIST[[#This Row],[NAV]])</f>
        <v>0</v>
      </c>
      <c r="AM381" s="6">
        <f>IF(INVESTORS_LIST[[#This Row],[SIP_TOTAL CURRENT UNITS]]=0,0,INVESTORS_LIST[[#This Row],[SIP_TOTAL CURRENT UNITS]]*INVESTORS_LIST[[#This Row],[NAV]])</f>
        <v>0</v>
      </c>
      <c r="AO381" s="6">
        <f>IF(INVESTORS_LIST[[#This Row],[TOTAL SELLABLE UNITS]]=0,0,INVESTORS_LIST[[#This Row],[TOTAL SELLABLE UNITS]]*INVESTORS_LIST[[#This Row],[NAV]])</f>
        <v>0</v>
      </c>
      <c r="AP381" s="6">
        <f>INVESTORS_LIST[[#This Row],[LS_TOTAL REALIZED GAIN]]+INVESTORS_LIST[[#This Row],[SIP_TOTAL REALIZED GAIN]]</f>
        <v>361.66000000000145</v>
      </c>
      <c r="AQ381" s="6">
        <f>INVESTORS_LIST[[#This Row],[TOTAL MARKET VALUE]]-INVESTORS_LIST[[#This Row],[TOTAL COST VALUE OF CURRENT INVESTMENT]]</f>
        <v>0</v>
      </c>
      <c r="AR381" s="6">
        <f>SUMIFS(DivAndTax[Tax Amount],DivAndTax[Investor ID],INVESTORS_LIST[[#This Row],[INVESTOR CODE]])</f>
        <v>10.050000000000001</v>
      </c>
      <c r="AS381" s="6">
        <f>SUMIFS(DivAndTax[Gross Dividend],DivAndTax[Investor ID],INVESTORS_LIST[[#This Row],[INVESTOR CODE]])</f>
        <v>100.5</v>
      </c>
      <c r="AT381" s="5">
        <f>IFERROR(INVESTORS_LIST[[#This Row],[TOTAL CURRENT UNITS]]/SUM(INVESTORS_LIST[TOTAL CURRENT UNITS]),0)</f>
        <v>0</v>
      </c>
    </row>
    <row r="382" spans="1:46">
      <c r="A382" t="s">
        <v>616</v>
      </c>
      <c r="B382" t="s">
        <v>709</v>
      </c>
      <c r="C382" t="s">
        <v>536</v>
      </c>
      <c r="D382" s="8" t="s">
        <v>2</v>
      </c>
      <c r="E382" s="2">
        <f>SUMIFS(LS[Unit],LS[Investor ID],INVESTORS_LIST[[#This Row],[INVESTOR CODE]],LS[B/S],"B")</f>
        <v>220</v>
      </c>
      <c r="F382" s="2">
        <f>-SUMIFS(LS[Unit],LS[Investor ID],INVESTORS_LIST[[#This Row],[INVESTOR CODE]],LS[B/S],"S")</f>
        <v>0</v>
      </c>
      <c r="G382" s="2">
        <f>IF(INVESTORS_LIST[[#This Row],[LS_TOTAL UNITS BUY]]=0,0,INVESTORS_LIST[[#This Row],[LS_TOTAL UNITS BUY]]-INVESTORS_LIST[[#This Row],[LS_TOTAL UNITS SOLD]])</f>
        <v>220</v>
      </c>
      <c r="H382" s="4">
        <f>IF(INVESTORS_LIST[[#This Row],[LS_TOTAL UNITS BUY]]=0,0,SUMIFS(LS[Amount],LS[Investor ID],INVESTORS_LIST[[#This Row],[INVESTOR CODE]],LS[B/S],"B"))</f>
        <v>2212.15</v>
      </c>
      <c r="I382" s="6">
        <f>IF(INVESTORS_LIST[[#This Row],[LS_TOTAL UNITS SOLD]]=0,0,SUMIFS(LS[Cost of Units Sold],LS[Investor ID],INVESTORS_LIST[[#This Row],[INVESTOR CODE]],LS[B/S],"S"))</f>
        <v>0</v>
      </c>
      <c r="J382" s="6">
        <f>IF(INVESTORS_LIST[[#This Row],[LS_TOTAL CURRENT UNITS]]=0,0,INVESTORS_LIST[[#This Row],[LS_TOTAL CURRENT UNITS]]*INVESTORS_LIST[[#This Row],[LS_AVERAGE COST]])</f>
        <v>2212.15</v>
      </c>
      <c r="K382" s="4">
        <f>IF(INVESTORS_LIST[[#This Row],[LS_TOTAL UNITS SOLD]]=0,0,SUMIFS(LS[Realized Gain],LS[Investor ID],INVESTORS_LIST[[#This Row],[INVESTOR CODE]],LS[B/S],"S"))</f>
        <v>0</v>
      </c>
      <c r="L382" s="2">
        <f>SUMIFS(SIP[Unit],SIP[Investor ID],INVESTORS_LIST[[#This Row],[INVESTOR CODE]],SIP[B/S],"B")</f>
        <v>0</v>
      </c>
      <c r="M382" s="2">
        <f>-SUMIFS(SIP[Unit],SIP[Investor ID],INVESTORS_LIST[[#This Row],[INVESTOR CODE]],SIP[B/S],"S")</f>
        <v>0</v>
      </c>
      <c r="N382" s="33">
        <f>IF(INVESTORS_LIST[[#This Row],[SIP_TOTAL UNITS BUY]]=0,0,INVESTORS_LIST[[#This Row],[SIP_TOTAL UNITS BUY]]-INVESTORS_LIST[[#This Row],[SIP_TOTAL UNITS SOLD]])</f>
        <v>0</v>
      </c>
      <c r="O382" s="4">
        <f>IF(INVESTORS_LIST[[#This Row],[SIP_TOTAL UNITS BUY]]=0,0,SUMIFS(SIP[Amount],SIP[Investor ID],INVESTORS_LIST[[#This Row],[INVESTOR CODE]],SIP[B/S],"B"))</f>
        <v>0</v>
      </c>
      <c r="P382" s="4">
        <f>IF(INVESTORS_LIST[[#This Row],[SIP_TOTAL UNITS SOLD]]=0,0,SUMIFS(SIP[Cost of Units Sold],SIP[Investor ID],INVESTORS_LIST[[#This Row],[INVESTOR CODE]],SIP[B/S],"S"))</f>
        <v>0</v>
      </c>
      <c r="Q382" s="6">
        <f>IF(INVESTORS_LIST[[#This Row],[SIP_TOTAL CURRENT UNITS]]=0,0,INVESTORS_LIST[[#This Row],[SIP_TOTAL CURRENT UNITS]]*INVESTORS_LIST[[#This Row],[SIP_AVERAGE COST]])</f>
        <v>0</v>
      </c>
      <c r="R382" s="6">
        <f>IF(INVESTORS_LIST[[#This Row],[SIP_TOTAL UNITS SOLD]]=0,0,SUMIFS(SIP[Realized Gain],SIP[Investor ID],INVESTORS_LIST[[#This Row],[INVESTOR CODE]],SIP[B/S],"S"))</f>
        <v>0</v>
      </c>
      <c r="S382" s="33">
        <f>INVESTORS_LIST[[#This Row],[LS_TOTAL UNITS BUY]]+INVESTORS_LIST[[#This Row],[SIP_TOTAL UNITS BUY]]</f>
        <v>220</v>
      </c>
      <c r="T382" s="33">
        <f>INVESTORS_LIST[[#This Row],[LS_TOTAL UNITS SOLD]]+INVESTORS_LIST[[#This Row],[SIP_TOTAL UNITS SOLD]]</f>
        <v>0</v>
      </c>
      <c r="U382" s="33">
        <v>0</v>
      </c>
      <c r="V382" s="33">
        <f>SUMIFS(LS[BO UNIT TRANSFER],LS[Investor ID],INVESTORS_LIST[[#This Row],[INVESTOR CODE]],LS[B/S],"B")</f>
        <v>0</v>
      </c>
      <c r="W382" s="33">
        <f>SUMIFS(LS[BO UNIT TRANSFER],LS[Investor ID],INVESTORS_LIST[[#This Row],[INVESTOR CODE]],LS[B/S],"S")</f>
        <v>0</v>
      </c>
      <c r="X382" s="33">
        <f>SUMIFS(SIP[BO UNIT TRANSFER],SIP[Investor ID],INVESTORS_LIST[[#This Row],[INVESTOR CODE]],SIP[B/S],"S")</f>
        <v>0</v>
      </c>
      <c r="Y382" s="33">
        <f>SUMIFS(SIP[BO UNIT TRANSFER],SIP[Investor ID],INVESTORS_LIST[[#This Row],[INVESTOR CODE]],SIP[B/S],"B")</f>
        <v>0</v>
      </c>
      <c r="Z38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82" s="119">
        <f>INVESTORS_LIST[[#This Row],[TOTAL UNITS BUY]]-INVESTORS_LIST[[#This Row],[TOTAL UNITS SOLD]]</f>
        <v>220</v>
      </c>
      <c r="AB382" s="119">
        <f>INVESTORS_LIST[[#This Row],[TOTAL CURRENT UNITS]]-INVESTORS_LIST[[#This Row],[BO UNITS HOLD]]</f>
        <v>220</v>
      </c>
      <c r="AC382" s="119" t="e">
        <f>INDEX([4]!Table_1[BO ID],MATCH(INVESTORS_LIST[[#This Row],[INVESTOR CODE]],[4]!Table_1[INVESTOR CODE],0))</f>
        <v>#REF!</v>
      </c>
      <c r="AD382" s="33">
        <f>INVESTORS_LIST[[#This Row],[LS_TOTAL COST VALUE OF CURRENT UNITS]]+INVESTORS_LIST[[#This Row],[SIP_TOTAL COST VALUE OF CURRENT UNITS]]</f>
        <v>2212.15</v>
      </c>
      <c r="AE382" s="44">
        <f>IF(INVESTORS_LIST[[#This Row],[TOTAL CURRENT UNITS]]=0,0,INVESTORS_LIST[[#This Row],[LS_TOTAL CURRENT UNITS]]/INVESTORS_LIST[[#This Row],[TOTAL CURRENT UNITS]])</f>
        <v>1</v>
      </c>
      <c r="AF382" s="44">
        <f>IF(INVESTORS_LIST[[#This Row],[TOTAL CURRENT UNITS]]=0,0,INVESTORS_LIST[[#This Row],[SIP_TOTAL CURRENT UNITS]]/INVESTORS_LIST[[#This Row],[TOTAL CURRENT UNITS]])</f>
        <v>0</v>
      </c>
      <c r="AG382" s="4" cm="1">
        <f t="array" ref="AG382">IF(INVESTORS_LIST[[#This Row],[LS_TOTAL UNITS BUY]]&gt;0,INDEX(LS[NAV at Cost (Average)],MATCH(CONCATENATE(COUNTIFS(LS[Investor ID],INVESTORS_LIST[[#This Row],[INVESTOR CODE]]),INVESTORS_LIST[[#This Row],[INVESTOR CODE]]),LS[Unique Code],0),),0)</f>
        <v>10.055227272727272</v>
      </c>
      <c r="AH382" s="4" cm="1">
        <f t="array" ref="AH38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82" s="178">
        <f>IF(INVESTORS_LIST[[#This Row],[TOTAL CURRENT UNITS]]=0,0,(INVESTORS_LIST[[#This Row],[LS_WEIGHT]]*INVESTORS_LIST[[#This Row],[LS_AVERAGE COST]])+(INVESTORS_LIST[[#This Row],[SIP_WEIGHT]]*INVESTORS_LIST[[#This Row],[SIP_AVERAGE COST]]))</f>
        <v>10.055227272727272</v>
      </c>
      <c r="AJ382" s="178">
        <f t="shared" si="5"/>
        <v>12.552</v>
      </c>
      <c r="AK382" s="118">
        <f>IF(INVESTORS_LIST[[#This Row],[TOTAL CURRENT UNITS]]=0,0,INVESTORS_LIST[[#This Row],[TOTAL CURRENT UNITS]]*INVESTORS_LIST[[#This Row],[NAV]])</f>
        <v>2761.44</v>
      </c>
      <c r="AL382" s="4">
        <f>IF(INVESTORS_LIST[[#This Row],[LS_TOTAL CURRENT UNITS]]=0,0,INVESTORS_LIST[[#This Row],[LS_TOTAL CURRENT UNITS]]*INVESTORS_LIST[[#This Row],[NAV]])</f>
        <v>2761.44</v>
      </c>
      <c r="AM382" s="6">
        <f>IF(INVESTORS_LIST[[#This Row],[SIP_TOTAL CURRENT UNITS]]=0,0,INVESTORS_LIST[[#This Row],[SIP_TOTAL CURRENT UNITS]]*INVESTORS_LIST[[#This Row],[NAV]])</f>
        <v>0</v>
      </c>
      <c r="AO382" s="6">
        <f>IF(INVESTORS_LIST[[#This Row],[TOTAL SELLABLE UNITS]]=0,0,INVESTORS_LIST[[#This Row],[TOTAL SELLABLE UNITS]]*INVESTORS_LIST[[#This Row],[NAV]])</f>
        <v>0</v>
      </c>
      <c r="AP382" s="6">
        <f>INVESTORS_LIST[[#This Row],[LS_TOTAL REALIZED GAIN]]+INVESTORS_LIST[[#This Row],[SIP_TOTAL REALIZED GAIN]]</f>
        <v>0</v>
      </c>
      <c r="AQ382" s="6">
        <f>INVESTORS_LIST[[#This Row],[TOTAL MARKET VALUE]]-INVESTORS_LIST[[#This Row],[TOTAL COST VALUE OF CURRENT INVESTMENT]]</f>
        <v>549.29</v>
      </c>
      <c r="AR382" s="6">
        <f>SUMIFS(DivAndTax[Tax Amount],DivAndTax[Investor ID],INVESTORS_LIST[[#This Row],[INVESTOR CODE]])</f>
        <v>22.740000000000002</v>
      </c>
      <c r="AS382" s="6">
        <f>SUMIFS(DivAndTax[Gross Dividend],DivAndTax[Investor ID],INVESTORS_LIST[[#This Row],[INVESTOR CODE]])</f>
        <v>227.39999999999998</v>
      </c>
      <c r="AT382" s="5">
        <f>IFERROR(INVESTORS_LIST[[#This Row],[TOTAL CURRENT UNITS]]/SUM(INVESTORS_LIST[TOTAL CURRENT UNITS]),0)</f>
        <v>1.0547863712395427E-5</v>
      </c>
    </row>
    <row r="383" spans="1:46" hidden="1">
      <c r="A383" t="s">
        <v>710</v>
      </c>
      <c r="B383" t="s">
        <v>711</v>
      </c>
      <c r="C383" t="s">
        <v>536</v>
      </c>
      <c r="D383" s="8" t="s">
        <v>2</v>
      </c>
      <c r="E383" s="2">
        <f>SUMIFS(LS[Unit],LS[Investor ID],INVESTORS_LIST[[#This Row],[INVESTOR CODE]],LS[B/S],"B")</f>
        <v>250000</v>
      </c>
      <c r="F383" s="2">
        <f>-SUMIFS(LS[Unit],LS[Investor ID],INVESTORS_LIST[[#This Row],[INVESTOR CODE]],LS[B/S],"S")</f>
        <v>250000</v>
      </c>
      <c r="G383" s="2">
        <f>IF(INVESTORS_LIST[[#This Row],[LS_TOTAL UNITS BUY]]=0,0,INVESTORS_LIST[[#This Row],[LS_TOTAL UNITS BUY]]-INVESTORS_LIST[[#This Row],[LS_TOTAL UNITS SOLD]])</f>
        <v>0</v>
      </c>
      <c r="H383" s="4">
        <f>IF(INVESTORS_LIST[[#This Row],[LS_TOTAL UNITS BUY]]=0,0,SUMIFS(LS[Amount],LS[Investor ID],INVESTORS_LIST[[#This Row],[INVESTOR CODE]],LS[B/S],"B"))</f>
        <v>2500000</v>
      </c>
      <c r="I383" s="6">
        <f>IF(INVESTORS_LIST[[#This Row],[LS_TOTAL UNITS SOLD]]=0,0,SUMIFS(LS[Cost of Units Sold],LS[Investor ID],INVESTORS_LIST[[#This Row],[INVESTOR CODE]],LS[B/S],"S"))</f>
        <v>2500000</v>
      </c>
      <c r="J383" s="6">
        <f>IF(INVESTORS_LIST[[#This Row],[LS_TOTAL CURRENT UNITS]]=0,0,INVESTORS_LIST[[#This Row],[LS_TOTAL CURRENT UNITS]]*INVESTORS_LIST[[#This Row],[LS_AVERAGE COST]])</f>
        <v>0</v>
      </c>
      <c r="K383" s="4">
        <f>IF(INVESTORS_LIST[[#This Row],[LS_TOTAL UNITS SOLD]]=0,0,SUMIFS(LS[Realized Gain],LS[Investor ID],INVESTORS_LIST[[#This Row],[INVESTOR CODE]],LS[B/S],"S"))</f>
        <v>-24999.999999999913</v>
      </c>
      <c r="L383" s="2">
        <f>SUMIFS(SIP[Unit],SIP[Investor ID],INVESTORS_LIST[[#This Row],[INVESTOR CODE]],SIP[B/S],"B")</f>
        <v>0</v>
      </c>
      <c r="M383" s="2">
        <f>-SUMIFS(SIP[Unit],SIP[Investor ID],INVESTORS_LIST[[#This Row],[INVESTOR CODE]],SIP[B/S],"S")</f>
        <v>0</v>
      </c>
      <c r="N383" s="33">
        <f>IF(INVESTORS_LIST[[#This Row],[SIP_TOTAL UNITS BUY]]=0,0,INVESTORS_LIST[[#This Row],[SIP_TOTAL UNITS BUY]]-INVESTORS_LIST[[#This Row],[SIP_TOTAL UNITS SOLD]])</f>
        <v>0</v>
      </c>
      <c r="O383" s="4">
        <f>IF(INVESTORS_LIST[[#This Row],[SIP_TOTAL UNITS BUY]]=0,0,SUMIFS(SIP[Amount],SIP[Investor ID],INVESTORS_LIST[[#This Row],[INVESTOR CODE]],SIP[B/S],"B"))</f>
        <v>0</v>
      </c>
      <c r="P383" s="4">
        <f>IF(INVESTORS_LIST[[#This Row],[SIP_TOTAL UNITS SOLD]]=0,0,SUMIFS(SIP[Cost of Units Sold],SIP[Investor ID],INVESTORS_LIST[[#This Row],[INVESTOR CODE]],SIP[B/S],"S"))</f>
        <v>0</v>
      </c>
      <c r="Q383" s="6">
        <f>IF(INVESTORS_LIST[[#This Row],[SIP_TOTAL CURRENT UNITS]]=0,0,INVESTORS_LIST[[#This Row],[SIP_TOTAL CURRENT UNITS]]*INVESTORS_LIST[[#This Row],[SIP_AVERAGE COST]])</f>
        <v>0</v>
      </c>
      <c r="R383" s="6">
        <f>IF(INVESTORS_LIST[[#This Row],[SIP_TOTAL UNITS SOLD]]=0,0,SUMIFS(SIP[Realized Gain],SIP[Investor ID],INVESTORS_LIST[[#This Row],[INVESTOR CODE]],SIP[B/S],"S"))</f>
        <v>0</v>
      </c>
      <c r="S383" s="33">
        <f>INVESTORS_LIST[[#This Row],[LS_TOTAL UNITS BUY]]+INVESTORS_LIST[[#This Row],[SIP_TOTAL UNITS BUY]]</f>
        <v>250000</v>
      </c>
      <c r="T383" s="33">
        <f>INVESTORS_LIST[[#This Row],[LS_TOTAL UNITS SOLD]]+INVESTORS_LIST[[#This Row],[SIP_TOTAL UNITS SOLD]]</f>
        <v>250000</v>
      </c>
      <c r="U383" s="33">
        <v>0</v>
      </c>
      <c r="V383" s="33">
        <f>SUMIFS(LS[BO UNIT TRANSFER],LS[Investor ID],INVESTORS_LIST[[#This Row],[INVESTOR CODE]],LS[B/S],"B")</f>
        <v>0</v>
      </c>
      <c r="W383" s="33">
        <f>SUMIFS(LS[BO UNIT TRANSFER],LS[Investor ID],INVESTORS_LIST[[#This Row],[INVESTOR CODE]],LS[B/S],"S")</f>
        <v>0</v>
      </c>
      <c r="X383" s="33">
        <f>SUMIFS(SIP[BO UNIT TRANSFER],SIP[Investor ID],INVESTORS_LIST[[#This Row],[INVESTOR CODE]],SIP[B/S],"S")</f>
        <v>0</v>
      </c>
      <c r="Y383" s="33">
        <f>SUMIFS(SIP[BO UNIT TRANSFER],SIP[Investor ID],INVESTORS_LIST[[#This Row],[INVESTOR CODE]],SIP[B/S],"B")</f>
        <v>0</v>
      </c>
      <c r="Z38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83" s="119">
        <f>INVESTORS_LIST[[#This Row],[TOTAL UNITS BUY]]-INVESTORS_LIST[[#This Row],[TOTAL UNITS SOLD]]</f>
        <v>0</v>
      </c>
      <c r="AB383" s="119">
        <f>INVESTORS_LIST[[#This Row],[TOTAL CURRENT UNITS]]-INVESTORS_LIST[[#This Row],[BO UNITS HOLD]]</f>
        <v>0</v>
      </c>
      <c r="AC383" s="119" t="e">
        <f>INDEX([4]!Table_1[BO ID],MATCH(INVESTORS_LIST[[#This Row],[INVESTOR CODE]],[4]!Table_1[INVESTOR CODE],0))</f>
        <v>#REF!</v>
      </c>
      <c r="AD383" s="33">
        <f>INVESTORS_LIST[[#This Row],[LS_TOTAL COST VALUE OF CURRENT UNITS]]+INVESTORS_LIST[[#This Row],[SIP_TOTAL COST VALUE OF CURRENT UNITS]]</f>
        <v>0</v>
      </c>
      <c r="AE383" s="44">
        <f>IF(INVESTORS_LIST[[#This Row],[TOTAL CURRENT UNITS]]=0,0,INVESTORS_LIST[[#This Row],[LS_TOTAL CURRENT UNITS]]/INVESTORS_LIST[[#This Row],[TOTAL CURRENT UNITS]])</f>
        <v>0</v>
      </c>
      <c r="AF383" s="44">
        <f>IF(INVESTORS_LIST[[#This Row],[TOTAL CURRENT UNITS]]=0,0,INVESTORS_LIST[[#This Row],[SIP_TOTAL CURRENT UNITS]]/INVESTORS_LIST[[#This Row],[TOTAL CURRENT UNITS]])</f>
        <v>0</v>
      </c>
      <c r="AG383" s="4" cm="1">
        <f t="array" ref="AG38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83" s="4" cm="1">
        <f t="array" ref="AH38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8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83" s="178">
        <f t="shared" si="5"/>
        <v>12.552</v>
      </c>
      <c r="AK383" s="118">
        <f>IF(INVESTORS_LIST[[#This Row],[TOTAL CURRENT UNITS]]=0,0,INVESTORS_LIST[[#This Row],[TOTAL CURRENT UNITS]]*INVESTORS_LIST[[#This Row],[NAV]])</f>
        <v>0</v>
      </c>
      <c r="AL383" s="4">
        <f>IF(INVESTORS_LIST[[#This Row],[LS_TOTAL CURRENT UNITS]]=0,0,INVESTORS_LIST[[#This Row],[LS_TOTAL CURRENT UNITS]]*INVESTORS_LIST[[#This Row],[NAV]])</f>
        <v>0</v>
      </c>
      <c r="AM383" s="6">
        <f>IF(INVESTORS_LIST[[#This Row],[SIP_TOTAL CURRENT UNITS]]=0,0,INVESTORS_LIST[[#This Row],[SIP_TOTAL CURRENT UNITS]]*INVESTORS_LIST[[#This Row],[NAV]])</f>
        <v>0</v>
      </c>
      <c r="AO383" s="6">
        <f>IF(INVESTORS_LIST[[#This Row],[TOTAL SELLABLE UNITS]]=0,0,INVESTORS_LIST[[#This Row],[TOTAL SELLABLE UNITS]]*INVESTORS_LIST[[#This Row],[NAV]])</f>
        <v>0</v>
      </c>
      <c r="AP383" s="6">
        <f>INVESTORS_LIST[[#This Row],[LS_TOTAL REALIZED GAIN]]+INVESTORS_LIST[[#This Row],[SIP_TOTAL REALIZED GAIN]]</f>
        <v>-24999.999999999913</v>
      </c>
      <c r="AQ383" s="6">
        <f>INVESTORS_LIST[[#This Row],[TOTAL MARKET VALUE]]-INVESTORS_LIST[[#This Row],[TOTAL COST VALUE OF CURRENT INVESTMENT]]</f>
        <v>0</v>
      </c>
      <c r="AR383" s="6">
        <f>SUMIFS(DivAndTax[Tax Amount],DivAndTax[Investor ID],INVESTORS_LIST[[#This Row],[INVESTOR CODE]])</f>
        <v>0</v>
      </c>
      <c r="AS383" s="6">
        <f>SUMIFS(DivAndTax[Gross Dividend],DivAndTax[Investor ID],INVESTORS_LIST[[#This Row],[INVESTOR CODE]])</f>
        <v>0</v>
      </c>
      <c r="AT383" s="5">
        <f>IFERROR(INVESTORS_LIST[[#This Row],[TOTAL CURRENT UNITS]]/SUM(INVESTORS_LIST[TOTAL CURRENT UNITS]),0)</f>
        <v>0</v>
      </c>
    </row>
    <row r="384" spans="1:46" hidden="1">
      <c r="A384" t="s">
        <v>884</v>
      </c>
      <c r="B384" t="s">
        <v>712</v>
      </c>
      <c r="C384" t="s">
        <v>536</v>
      </c>
      <c r="D384" s="8" t="s">
        <v>2</v>
      </c>
      <c r="E384" s="2">
        <f>SUMIFS(LS[Unit],LS[Investor ID],INVESTORS_LIST[[#This Row],[INVESTOR CODE]],LS[B/S],"B")</f>
        <v>24367</v>
      </c>
      <c r="F384" s="2">
        <f>-SUMIFS(LS[Unit],LS[Investor ID],INVESTORS_LIST[[#This Row],[INVESTOR CODE]],LS[B/S],"S")</f>
        <v>24367</v>
      </c>
      <c r="G384" s="2">
        <f>IF(INVESTORS_LIST[[#This Row],[LS_TOTAL UNITS BUY]]=0,0,INVESTORS_LIST[[#This Row],[LS_TOTAL UNITS BUY]]-INVESTORS_LIST[[#This Row],[LS_TOTAL UNITS SOLD]])</f>
        <v>0</v>
      </c>
      <c r="H384" s="4">
        <f>IF(INVESTORS_LIST[[#This Row],[LS_TOTAL UNITS BUY]]=0,0,SUMIFS(LS[Amount],LS[Investor ID],INVESTORS_LIST[[#This Row],[INVESTOR CODE]],LS[B/S],"B"))</f>
        <v>240000</v>
      </c>
      <c r="I384" s="6">
        <f>IF(INVESTORS_LIST[[#This Row],[LS_TOTAL UNITS SOLD]]=0,0,SUMIFS(LS[Cost of Units Sold],LS[Investor ID],INVESTORS_LIST[[#This Row],[INVESTOR CODE]],LS[B/S],"S"))</f>
        <v>239999.99999999994</v>
      </c>
      <c r="J384" s="6">
        <f>IF(INVESTORS_LIST[[#This Row],[LS_TOTAL CURRENT UNITS]]=0,0,INVESTORS_LIST[[#This Row],[LS_TOTAL CURRENT UNITS]]*INVESTORS_LIST[[#This Row],[LS_AVERAGE COST]])</f>
        <v>0</v>
      </c>
      <c r="K384" s="4">
        <f>IF(INVESTORS_LIST[[#This Row],[LS_TOTAL UNITS SOLD]]=0,0,SUMIFS(LS[Realized Gain],LS[Investor ID],INVESTORS_LIST[[#This Row],[INVESTOR CODE]],LS[B/S],"S"))</f>
        <v>2738.9900000000257</v>
      </c>
      <c r="L384" s="2">
        <f>SUMIFS(SIP[Unit],SIP[Investor ID],INVESTORS_LIST[[#This Row],[INVESTOR CODE]],SIP[B/S],"B")</f>
        <v>0</v>
      </c>
      <c r="M384" s="2">
        <f>-SUMIFS(SIP[Unit],SIP[Investor ID],INVESTORS_LIST[[#This Row],[INVESTOR CODE]],SIP[B/S],"S")</f>
        <v>0</v>
      </c>
      <c r="N384" s="33">
        <f>IF(INVESTORS_LIST[[#This Row],[SIP_TOTAL UNITS BUY]]=0,0,INVESTORS_LIST[[#This Row],[SIP_TOTAL UNITS BUY]]-INVESTORS_LIST[[#This Row],[SIP_TOTAL UNITS SOLD]])</f>
        <v>0</v>
      </c>
      <c r="O384" s="4">
        <f>IF(INVESTORS_LIST[[#This Row],[SIP_TOTAL UNITS BUY]]=0,0,SUMIFS(SIP[Amount],SIP[Investor ID],INVESTORS_LIST[[#This Row],[INVESTOR CODE]],SIP[B/S],"B"))</f>
        <v>0</v>
      </c>
      <c r="P384" s="4">
        <f>IF(INVESTORS_LIST[[#This Row],[SIP_TOTAL UNITS SOLD]]=0,0,SUMIFS(SIP[Cost of Units Sold],SIP[Investor ID],INVESTORS_LIST[[#This Row],[INVESTOR CODE]],SIP[B/S],"S"))</f>
        <v>0</v>
      </c>
      <c r="Q384" s="6">
        <f>IF(INVESTORS_LIST[[#This Row],[SIP_TOTAL CURRENT UNITS]]=0,0,INVESTORS_LIST[[#This Row],[SIP_TOTAL CURRENT UNITS]]*INVESTORS_LIST[[#This Row],[SIP_AVERAGE COST]])</f>
        <v>0</v>
      </c>
      <c r="R384" s="6">
        <f>IF(INVESTORS_LIST[[#This Row],[SIP_TOTAL UNITS SOLD]]=0,0,SUMIFS(SIP[Realized Gain],SIP[Investor ID],INVESTORS_LIST[[#This Row],[INVESTOR CODE]],SIP[B/S],"S"))</f>
        <v>0</v>
      </c>
      <c r="S384" s="33">
        <f>INVESTORS_LIST[[#This Row],[LS_TOTAL UNITS BUY]]+INVESTORS_LIST[[#This Row],[SIP_TOTAL UNITS BUY]]</f>
        <v>24367</v>
      </c>
      <c r="T384" s="33">
        <f>INVESTORS_LIST[[#This Row],[LS_TOTAL UNITS SOLD]]+INVESTORS_LIST[[#This Row],[SIP_TOTAL UNITS SOLD]]</f>
        <v>24367</v>
      </c>
      <c r="U384" s="33">
        <v>0</v>
      </c>
      <c r="V384" s="33">
        <f>SUMIFS(LS[BO UNIT TRANSFER],LS[Investor ID],INVESTORS_LIST[[#This Row],[INVESTOR CODE]],LS[B/S],"B")</f>
        <v>0</v>
      </c>
      <c r="W384" s="33">
        <f>SUMIFS(LS[BO UNIT TRANSFER],LS[Investor ID],INVESTORS_LIST[[#This Row],[INVESTOR CODE]],LS[B/S],"S")</f>
        <v>0</v>
      </c>
      <c r="X384" s="33">
        <f>SUMIFS(SIP[BO UNIT TRANSFER],SIP[Investor ID],INVESTORS_LIST[[#This Row],[INVESTOR CODE]],SIP[B/S],"S")</f>
        <v>0</v>
      </c>
      <c r="Y384" s="33">
        <f>SUMIFS(SIP[BO UNIT TRANSFER],SIP[Investor ID],INVESTORS_LIST[[#This Row],[INVESTOR CODE]],SIP[B/S],"B")</f>
        <v>0</v>
      </c>
      <c r="Z38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84" s="119">
        <f>INVESTORS_LIST[[#This Row],[TOTAL UNITS BUY]]-INVESTORS_LIST[[#This Row],[TOTAL UNITS SOLD]]</f>
        <v>0</v>
      </c>
      <c r="AB384" s="119">
        <f>INVESTORS_LIST[[#This Row],[TOTAL CURRENT UNITS]]-INVESTORS_LIST[[#This Row],[BO UNITS HOLD]]</f>
        <v>0</v>
      </c>
      <c r="AC384" s="119" t="e">
        <f>INDEX([4]!Table_1[BO ID],MATCH(INVESTORS_LIST[[#This Row],[INVESTOR CODE]],[4]!Table_1[INVESTOR CODE],0))</f>
        <v>#REF!</v>
      </c>
      <c r="AD384" s="33">
        <f>INVESTORS_LIST[[#This Row],[LS_TOTAL COST VALUE OF CURRENT UNITS]]+INVESTORS_LIST[[#This Row],[SIP_TOTAL COST VALUE OF CURRENT UNITS]]</f>
        <v>0</v>
      </c>
      <c r="AE384" s="44">
        <f>IF(INVESTORS_LIST[[#This Row],[TOTAL CURRENT UNITS]]=0,0,INVESTORS_LIST[[#This Row],[LS_TOTAL CURRENT UNITS]]/INVESTORS_LIST[[#This Row],[TOTAL CURRENT UNITS]])</f>
        <v>0</v>
      </c>
      <c r="AF384" s="44">
        <f>IF(INVESTORS_LIST[[#This Row],[TOTAL CURRENT UNITS]]=0,0,INVESTORS_LIST[[#This Row],[SIP_TOTAL CURRENT UNITS]]/INVESTORS_LIST[[#This Row],[TOTAL CURRENT UNITS]])</f>
        <v>0</v>
      </c>
      <c r="AG384" s="4" cm="1">
        <f t="array" ref="AG38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84" s="4" cm="1">
        <f t="array" ref="AH3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8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84" s="178">
        <f t="shared" si="5"/>
        <v>12.552</v>
      </c>
      <c r="AK384" s="118">
        <f>IF(INVESTORS_LIST[[#This Row],[TOTAL CURRENT UNITS]]=0,0,INVESTORS_LIST[[#This Row],[TOTAL CURRENT UNITS]]*INVESTORS_LIST[[#This Row],[NAV]])</f>
        <v>0</v>
      </c>
      <c r="AL384" s="4">
        <f>IF(INVESTORS_LIST[[#This Row],[LS_TOTAL CURRENT UNITS]]=0,0,INVESTORS_LIST[[#This Row],[LS_TOTAL CURRENT UNITS]]*INVESTORS_LIST[[#This Row],[NAV]])</f>
        <v>0</v>
      </c>
      <c r="AM384" s="6">
        <f>IF(INVESTORS_LIST[[#This Row],[SIP_TOTAL CURRENT UNITS]]=0,0,INVESTORS_LIST[[#This Row],[SIP_TOTAL CURRENT UNITS]]*INVESTORS_LIST[[#This Row],[NAV]])</f>
        <v>0</v>
      </c>
      <c r="AO384" s="6">
        <f>IF(INVESTORS_LIST[[#This Row],[TOTAL SELLABLE UNITS]]=0,0,INVESTORS_LIST[[#This Row],[TOTAL SELLABLE UNITS]]*INVESTORS_LIST[[#This Row],[NAV]])</f>
        <v>0</v>
      </c>
      <c r="AP384" s="6">
        <f>INVESTORS_LIST[[#This Row],[LS_TOTAL REALIZED GAIN]]+INVESTORS_LIST[[#This Row],[SIP_TOTAL REALIZED GAIN]]</f>
        <v>2738.9900000000257</v>
      </c>
      <c r="AQ384" s="6">
        <f>INVESTORS_LIST[[#This Row],[TOTAL MARKET VALUE]]-INVESTORS_LIST[[#This Row],[TOTAL COST VALUE OF CURRENT INVESTMENT]]</f>
        <v>0</v>
      </c>
      <c r="AR384" s="6">
        <f>SUMIFS(DivAndTax[Tax Amount],DivAndTax[Investor ID],INVESTORS_LIST[[#This Row],[INVESTOR CODE]])</f>
        <v>0</v>
      </c>
      <c r="AS384" s="6">
        <f>SUMIFS(DivAndTax[Gross Dividend],DivAndTax[Investor ID],INVESTORS_LIST[[#This Row],[INVESTOR CODE]])</f>
        <v>0</v>
      </c>
      <c r="AT384" s="5">
        <f>IFERROR(INVESTORS_LIST[[#This Row],[TOTAL CURRENT UNITS]]/SUM(INVESTORS_LIST[TOTAL CURRENT UNITS]),0)</f>
        <v>0</v>
      </c>
    </row>
    <row r="385" spans="1:46" hidden="1">
      <c r="A385" t="s">
        <v>868</v>
      </c>
      <c r="B385" t="s">
        <v>713</v>
      </c>
      <c r="C385" t="s">
        <v>536</v>
      </c>
      <c r="D385" s="8" t="s">
        <v>2</v>
      </c>
      <c r="E385" s="2">
        <f>SUMIFS(LS[Unit],LS[Investor ID],INVESTORS_LIST[[#This Row],[INVESTOR CODE]],LS[B/S],"B")</f>
        <v>0</v>
      </c>
      <c r="F385" s="2">
        <f>-SUMIFS(LS[Unit],LS[Investor ID],INVESTORS_LIST[[#This Row],[INVESTOR CODE]],LS[B/S],"S")</f>
        <v>0</v>
      </c>
      <c r="G385" s="2">
        <f>IF(INVESTORS_LIST[[#This Row],[LS_TOTAL UNITS BUY]]=0,0,INVESTORS_LIST[[#This Row],[LS_TOTAL UNITS BUY]]-INVESTORS_LIST[[#This Row],[LS_TOTAL UNITS SOLD]])</f>
        <v>0</v>
      </c>
      <c r="H385" s="4">
        <f>IF(INVESTORS_LIST[[#This Row],[LS_TOTAL UNITS BUY]]=0,0,SUMIFS(LS[Amount],LS[Investor ID],INVESTORS_LIST[[#This Row],[INVESTOR CODE]],LS[B/S],"B"))</f>
        <v>0</v>
      </c>
      <c r="I385" s="6">
        <f>IF(INVESTORS_LIST[[#This Row],[LS_TOTAL UNITS SOLD]]=0,0,SUMIFS(LS[Cost of Units Sold],LS[Investor ID],INVESTORS_LIST[[#This Row],[INVESTOR CODE]],LS[B/S],"S"))</f>
        <v>0</v>
      </c>
      <c r="J385" s="6">
        <f>IF(INVESTORS_LIST[[#This Row],[LS_TOTAL CURRENT UNITS]]=0,0,INVESTORS_LIST[[#This Row],[LS_TOTAL CURRENT UNITS]]*INVESTORS_LIST[[#This Row],[LS_AVERAGE COST]])</f>
        <v>0</v>
      </c>
      <c r="K385" s="4">
        <f>IF(INVESTORS_LIST[[#This Row],[LS_TOTAL UNITS SOLD]]=0,0,SUMIFS(LS[Realized Gain],LS[Investor ID],INVESTORS_LIST[[#This Row],[INVESTOR CODE]],LS[B/S],"S"))</f>
        <v>0</v>
      </c>
      <c r="L385" s="2">
        <f>SUMIFS(SIP[Unit],SIP[Investor ID],INVESTORS_LIST[[#This Row],[INVESTOR CODE]],SIP[B/S],"B")</f>
        <v>0</v>
      </c>
      <c r="M385" s="2">
        <f>-SUMIFS(SIP[Unit],SIP[Investor ID],INVESTORS_LIST[[#This Row],[INVESTOR CODE]],SIP[B/S],"S")</f>
        <v>0</v>
      </c>
      <c r="N385" s="33">
        <f>IF(INVESTORS_LIST[[#This Row],[SIP_TOTAL UNITS BUY]]=0,0,INVESTORS_LIST[[#This Row],[SIP_TOTAL UNITS BUY]]-INVESTORS_LIST[[#This Row],[SIP_TOTAL UNITS SOLD]])</f>
        <v>0</v>
      </c>
      <c r="O385" s="4">
        <f>IF(INVESTORS_LIST[[#This Row],[SIP_TOTAL UNITS BUY]]=0,0,SUMIFS(SIP[Amount],SIP[Investor ID],INVESTORS_LIST[[#This Row],[INVESTOR CODE]],SIP[B/S],"B"))</f>
        <v>0</v>
      </c>
      <c r="P385" s="4">
        <f>IF(INVESTORS_LIST[[#This Row],[SIP_TOTAL UNITS SOLD]]=0,0,SUMIFS(SIP[Cost of Units Sold],SIP[Investor ID],INVESTORS_LIST[[#This Row],[INVESTOR CODE]],SIP[B/S],"S"))</f>
        <v>0</v>
      </c>
      <c r="Q385" s="6">
        <f>IF(INVESTORS_LIST[[#This Row],[SIP_TOTAL CURRENT UNITS]]=0,0,INVESTORS_LIST[[#This Row],[SIP_TOTAL CURRENT UNITS]]*INVESTORS_LIST[[#This Row],[SIP_AVERAGE COST]])</f>
        <v>0</v>
      </c>
      <c r="R385" s="6">
        <f>IF(INVESTORS_LIST[[#This Row],[SIP_TOTAL UNITS SOLD]]=0,0,SUMIFS(SIP[Realized Gain],SIP[Investor ID],INVESTORS_LIST[[#This Row],[INVESTOR CODE]],SIP[B/S],"S"))</f>
        <v>0</v>
      </c>
      <c r="S385" s="33">
        <f>INVESTORS_LIST[[#This Row],[LS_TOTAL UNITS BUY]]+INVESTORS_LIST[[#This Row],[SIP_TOTAL UNITS BUY]]</f>
        <v>0</v>
      </c>
      <c r="T385" s="33">
        <f>INVESTORS_LIST[[#This Row],[LS_TOTAL UNITS SOLD]]+INVESTORS_LIST[[#This Row],[SIP_TOTAL UNITS SOLD]]</f>
        <v>0</v>
      </c>
      <c r="U385" s="33">
        <v>0</v>
      </c>
      <c r="V385" s="33">
        <f>SUMIFS(LS[BO UNIT TRANSFER],LS[Investor ID],INVESTORS_LIST[[#This Row],[INVESTOR CODE]],LS[B/S],"B")</f>
        <v>0</v>
      </c>
      <c r="W385" s="33">
        <f>SUMIFS(LS[BO UNIT TRANSFER],LS[Investor ID],INVESTORS_LIST[[#This Row],[INVESTOR CODE]],LS[B/S],"S")</f>
        <v>0</v>
      </c>
      <c r="X385" s="33">
        <f>SUMIFS(SIP[BO UNIT TRANSFER],SIP[Investor ID],INVESTORS_LIST[[#This Row],[INVESTOR CODE]],SIP[B/S],"S")</f>
        <v>0</v>
      </c>
      <c r="Y385" s="33">
        <f>SUMIFS(SIP[BO UNIT TRANSFER],SIP[Investor ID],INVESTORS_LIST[[#This Row],[INVESTOR CODE]],SIP[B/S],"B")</f>
        <v>0</v>
      </c>
      <c r="Z38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85" s="119">
        <f>INVESTORS_LIST[[#This Row],[TOTAL UNITS BUY]]-INVESTORS_LIST[[#This Row],[TOTAL UNITS SOLD]]</f>
        <v>0</v>
      </c>
      <c r="AB385" s="119">
        <f>INVESTORS_LIST[[#This Row],[TOTAL CURRENT UNITS]]-INVESTORS_LIST[[#This Row],[BO UNITS HOLD]]</f>
        <v>0</v>
      </c>
      <c r="AC385" s="119" t="e">
        <f>INDEX([4]!Table_1[BO ID],MATCH(INVESTORS_LIST[[#This Row],[INVESTOR CODE]],[4]!Table_1[INVESTOR CODE],0))</f>
        <v>#REF!</v>
      </c>
      <c r="AD385" s="33">
        <f>INVESTORS_LIST[[#This Row],[LS_TOTAL COST VALUE OF CURRENT UNITS]]+INVESTORS_LIST[[#This Row],[SIP_TOTAL COST VALUE OF CURRENT UNITS]]</f>
        <v>0</v>
      </c>
      <c r="AE385" s="44">
        <f>IF(INVESTORS_LIST[[#This Row],[TOTAL CURRENT UNITS]]=0,0,INVESTORS_LIST[[#This Row],[LS_TOTAL CURRENT UNITS]]/INVESTORS_LIST[[#This Row],[TOTAL CURRENT UNITS]])</f>
        <v>0</v>
      </c>
      <c r="AF385" s="44">
        <f>IF(INVESTORS_LIST[[#This Row],[TOTAL CURRENT UNITS]]=0,0,INVESTORS_LIST[[#This Row],[SIP_TOTAL CURRENT UNITS]]/INVESTORS_LIST[[#This Row],[TOTAL CURRENT UNITS]])</f>
        <v>0</v>
      </c>
      <c r="AG385" s="4" cm="1">
        <f t="array" ref="AG3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85" s="4" cm="1">
        <f t="array" ref="AH38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8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85" s="178">
        <f t="shared" si="5"/>
        <v>12.552</v>
      </c>
      <c r="AK385" s="118">
        <f>IF(INVESTORS_LIST[[#This Row],[TOTAL CURRENT UNITS]]=0,0,INVESTORS_LIST[[#This Row],[TOTAL CURRENT UNITS]]*INVESTORS_LIST[[#This Row],[NAV]])</f>
        <v>0</v>
      </c>
      <c r="AL385" s="4">
        <f>IF(INVESTORS_LIST[[#This Row],[LS_TOTAL CURRENT UNITS]]=0,0,INVESTORS_LIST[[#This Row],[LS_TOTAL CURRENT UNITS]]*INVESTORS_LIST[[#This Row],[NAV]])</f>
        <v>0</v>
      </c>
      <c r="AM385" s="6">
        <f>IF(INVESTORS_LIST[[#This Row],[SIP_TOTAL CURRENT UNITS]]=0,0,INVESTORS_LIST[[#This Row],[SIP_TOTAL CURRENT UNITS]]*INVESTORS_LIST[[#This Row],[NAV]])</f>
        <v>0</v>
      </c>
      <c r="AO385" s="6">
        <f>IF(INVESTORS_LIST[[#This Row],[TOTAL SELLABLE UNITS]]=0,0,INVESTORS_LIST[[#This Row],[TOTAL SELLABLE UNITS]]*INVESTORS_LIST[[#This Row],[NAV]])</f>
        <v>0</v>
      </c>
      <c r="AP385" s="6">
        <f>INVESTORS_LIST[[#This Row],[LS_TOTAL REALIZED GAIN]]+INVESTORS_LIST[[#This Row],[SIP_TOTAL REALIZED GAIN]]</f>
        <v>0</v>
      </c>
      <c r="AQ385" s="6">
        <f>INVESTORS_LIST[[#This Row],[TOTAL MARKET VALUE]]-INVESTORS_LIST[[#This Row],[TOTAL COST VALUE OF CURRENT INVESTMENT]]</f>
        <v>0</v>
      </c>
      <c r="AR385" s="6">
        <f>SUMIFS(DivAndTax[Tax Amount],DivAndTax[Investor ID],INVESTORS_LIST[[#This Row],[INVESTOR CODE]])</f>
        <v>0</v>
      </c>
      <c r="AS385" s="6">
        <f>SUMIFS(DivAndTax[Gross Dividend],DivAndTax[Investor ID],INVESTORS_LIST[[#This Row],[INVESTOR CODE]])</f>
        <v>0</v>
      </c>
      <c r="AT385" s="5">
        <f>IFERROR(INVESTORS_LIST[[#This Row],[TOTAL CURRENT UNITS]]/SUM(INVESTORS_LIST[TOTAL CURRENT UNITS]),0)</f>
        <v>0</v>
      </c>
    </row>
    <row r="386" spans="1:46" hidden="1">
      <c r="A386" t="s">
        <v>714</v>
      </c>
      <c r="B386" t="s">
        <v>715</v>
      </c>
      <c r="C386" t="s">
        <v>536</v>
      </c>
      <c r="D386" s="8" t="s">
        <v>2</v>
      </c>
      <c r="E386" s="2">
        <f>SUMIFS(LS[Unit],LS[Investor ID],INVESTORS_LIST[[#This Row],[INVESTOR CODE]],LS[B/S],"B")</f>
        <v>10000</v>
      </c>
      <c r="F386" s="2">
        <f>-SUMIFS(LS[Unit],LS[Investor ID],INVESTORS_LIST[[#This Row],[INVESTOR CODE]],LS[B/S],"S")</f>
        <v>10000</v>
      </c>
      <c r="G386" s="2">
        <f>IF(INVESTORS_LIST[[#This Row],[LS_TOTAL UNITS BUY]]=0,0,INVESTORS_LIST[[#This Row],[LS_TOTAL UNITS BUY]]-INVESTORS_LIST[[#This Row],[LS_TOTAL UNITS SOLD]])</f>
        <v>0</v>
      </c>
      <c r="H386" s="4">
        <f>IF(INVESTORS_LIST[[#This Row],[LS_TOTAL UNITS BUY]]=0,0,SUMIFS(LS[Amount],LS[Investor ID],INVESTORS_LIST[[#This Row],[INVESTOR CODE]],LS[B/S],"B"))</f>
        <v>100000</v>
      </c>
      <c r="I386" s="6">
        <f>IF(INVESTORS_LIST[[#This Row],[LS_TOTAL UNITS SOLD]]=0,0,SUMIFS(LS[Cost of Units Sold],LS[Investor ID],INVESTORS_LIST[[#This Row],[INVESTOR CODE]],LS[B/S],"S"))</f>
        <v>100000</v>
      </c>
      <c r="J386" s="6">
        <f>IF(INVESTORS_LIST[[#This Row],[LS_TOTAL CURRENT UNITS]]=0,0,INVESTORS_LIST[[#This Row],[LS_TOTAL CURRENT UNITS]]*INVESTORS_LIST[[#This Row],[LS_AVERAGE COST]])</f>
        <v>0</v>
      </c>
      <c r="K386" s="4">
        <f>IF(INVESTORS_LIST[[#This Row],[LS_TOTAL UNITS SOLD]]=0,0,SUMIFS(LS[Realized Gain],LS[Investor ID],INVESTORS_LIST[[#This Row],[INVESTOR CODE]],LS[B/S],"S"))</f>
        <v>250.00000000000358</v>
      </c>
      <c r="L386" s="2">
        <f>SUMIFS(SIP[Unit],SIP[Investor ID],INVESTORS_LIST[[#This Row],[INVESTOR CODE]],SIP[B/S],"B")</f>
        <v>0</v>
      </c>
      <c r="M386" s="2">
        <f>-SUMIFS(SIP[Unit],SIP[Investor ID],INVESTORS_LIST[[#This Row],[INVESTOR CODE]],SIP[B/S],"S")</f>
        <v>0</v>
      </c>
      <c r="N386" s="33">
        <f>IF(INVESTORS_LIST[[#This Row],[SIP_TOTAL UNITS BUY]]=0,0,INVESTORS_LIST[[#This Row],[SIP_TOTAL UNITS BUY]]-INVESTORS_LIST[[#This Row],[SIP_TOTAL UNITS SOLD]])</f>
        <v>0</v>
      </c>
      <c r="O386" s="4">
        <f>IF(INVESTORS_LIST[[#This Row],[SIP_TOTAL UNITS BUY]]=0,0,SUMIFS(SIP[Amount],SIP[Investor ID],INVESTORS_LIST[[#This Row],[INVESTOR CODE]],SIP[B/S],"B"))</f>
        <v>0</v>
      </c>
      <c r="P386" s="4">
        <f>IF(INVESTORS_LIST[[#This Row],[SIP_TOTAL UNITS SOLD]]=0,0,SUMIFS(SIP[Cost of Units Sold],SIP[Investor ID],INVESTORS_LIST[[#This Row],[INVESTOR CODE]],SIP[B/S],"S"))</f>
        <v>0</v>
      </c>
      <c r="Q386" s="6">
        <f>IF(INVESTORS_LIST[[#This Row],[SIP_TOTAL CURRENT UNITS]]=0,0,INVESTORS_LIST[[#This Row],[SIP_TOTAL CURRENT UNITS]]*INVESTORS_LIST[[#This Row],[SIP_AVERAGE COST]])</f>
        <v>0</v>
      </c>
      <c r="R386" s="6">
        <f>IF(INVESTORS_LIST[[#This Row],[SIP_TOTAL UNITS SOLD]]=0,0,SUMIFS(SIP[Realized Gain],SIP[Investor ID],INVESTORS_LIST[[#This Row],[INVESTOR CODE]],SIP[B/S],"S"))</f>
        <v>0</v>
      </c>
      <c r="S386" s="33">
        <f>INVESTORS_LIST[[#This Row],[LS_TOTAL UNITS BUY]]+INVESTORS_LIST[[#This Row],[SIP_TOTAL UNITS BUY]]</f>
        <v>10000</v>
      </c>
      <c r="T386" s="33">
        <f>INVESTORS_LIST[[#This Row],[LS_TOTAL UNITS SOLD]]+INVESTORS_LIST[[#This Row],[SIP_TOTAL UNITS SOLD]]</f>
        <v>10000</v>
      </c>
      <c r="U386" s="33">
        <v>0</v>
      </c>
      <c r="V386" s="33">
        <f>SUMIFS(LS[BO UNIT TRANSFER],LS[Investor ID],INVESTORS_LIST[[#This Row],[INVESTOR CODE]],LS[B/S],"B")</f>
        <v>0</v>
      </c>
      <c r="W386" s="33">
        <f>SUMIFS(LS[BO UNIT TRANSFER],LS[Investor ID],INVESTORS_LIST[[#This Row],[INVESTOR CODE]],LS[B/S],"S")</f>
        <v>0</v>
      </c>
      <c r="X386" s="33">
        <f>SUMIFS(SIP[BO UNIT TRANSFER],SIP[Investor ID],INVESTORS_LIST[[#This Row],[INVESTOR CODE]],SIP[B/S],"S")</f>
        <v>0</v>
      </c>
      <c r="Y386" s="33">
        <f>SUMIFS(SIP[BO UNIT TRANSFER],SIP[Investor ID],INVESTORS_LIST[[#This Row],[INVESTOR CODE]],SIP[B/S],"B")</f>
        <v>0</v>
      </c>
      <c r="Z38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86" s="119">
        <f>INVESTORS_LIST[[#This Row],[TOTAL UNITS BUY]]-INVESTORS_LIST[[#This Row],[TOTAL UNITS SOLD]]</f>
        <v>0</v>
      </c>
      <c r="AB386" s="119">
        <f>INVESTORS_LIST[[#This Row],[TOTAL CURRENT UNITS]]-INVESTORS_LIST[[#This Row],[BO UNITS HOLD]]</f>
        <v>0</v>
      </c>
      <c r="AC386" s="119" t="e">
        <f>INDEX([4]!Table_1[BO ID],MATCH(INVESTORS_LIST[[#This Row],[INVESTOR CODE]],[4]!Table_1[INVESTOR CODE],0))</f>
        <v>#REF!</v>
      </c>
      <c r="AD386" s="33">
        <f>INVESTORS_LIST[[#This Row],[LS_TOTAL COST VALUE OF CURRENT UNITS]]+INVESTORS_LIST[[#This Row],[SIP_TOTAL COST VALUE OF CURRENT UNITS]]</f>
        <v>0</v>
      </c>
      <c r="AE386" s="44">
        <f>IF(INVESTORS_LIST[[#This Row],[TOTAL CURRENT UNITS]]=0,0,INVESTORS_LIST[[#This Row],[LS_TOTAL CURRENT UNITS]]/INVESTORS_LIST[[#This Row],[TOTAL CURRENT UNITS]])</f>
        <v>0</v>
      </c>
      <c r="AF386" s="44">
        <f>IF(INVESTORS_LIST[[#This Row],[TOTAL CURRENT UNITS]]=0,0,INVESTORS_LIST[[#This Row],[SIP_TOTAL CURRENT UNITS]]/INVESTORS_LIST[[#This Row],[TOTAL CURRENT UNITS]])</f>
        <v>0</v>
      </c>
      <c r="AG386" s="4" cm="1">
        <f t="array" ref="AG3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86" s="4" cm="1">
        <f t="array" ref="AH38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8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86" s="178">
        <f t="shared" ref="AJ386:AJ438" si="6">NAV_MKT</f>
        <v>12.552</v>
      </c>
      <c r="AK386" s="118">
        <f>IF(INVESTORS_LIST[[#This Row],[TOTAL CURRENT UNITS]]=0,0,INVESTORS_LIST[[#This Row],[TOTAL CURRENT UNITS]]*INVESTORS_LIST[[#This Row],[NAV]])</f>
        <v>0</v>
      </c>
      <c r="AL386" s="4">
        <f>IF(INVESTORS_LIST[[#This Row],[LS_TOTAL CURRENT UNITS]]=0,0,INVESTORS_LIST[[#This Row],[LS_TOTAL CURRENT UNITS]]*INVESTORS_LIST[[#This Row],[NAV]])</f>
        <v>0</v>
      </c>
      <c r="AM386" s="6">
        <f>IF(INVESTORS_LIST[[#This Row],[SIP_TOTAL CURRENT UNITS]]=0,0,INVESTORS_LIST[[#This Row],[SIP_TOTAL CURRENT UNITS]]*INVESTORS_LIST[[#This Row],[NAV]])</f>
        <v>0</v>
      </c>
      <c r="AO386" s="6">
        <f>IF(INVESTORS_LIST[[#This Row],[TOTAL SELLABLE UNITS]]=0,0,INVESTORS_LIST[[#This Row],[TOTAL SELLABLE UNITS]]*INVESTORS_LIST[[#This Row],[NAV]])</f>
        <v>0</v>
      </c>
      <c r="AP386" s="6">
        <f>INVESTORS_LIST[[#This Row],[LS_TOTAL REALIZED GAIN]]+INVESTORS_LIST[[#This Row],[SIP_TOTAL REALIZED GAIN]]</f>
        <v>250.00000000000358</v>
      </c>
      <c r="AQ386" s="6">
        <f>INVESTORS_LIST[[#This Row],[TOTAL MARKET VALUE]]-INVESTORS_LIST[[#This Row],[TOTAL COST VALUE OF CURRENT INVESTMENT]]</f>
        <v>0</v>
      </c>
      <c r="AR386" s="6">
        <f>SUMIFS(DivAndTax[Tax Amount],DivAndTax[Investor ID],INVESTORS_LIST[[#This Row],[INVESTOR CODE]])</f>
        <v>0</v>
      </c>
      <c r="AS386" s="6">
        <f>SUMIFS(DivAndTax[Gross Dividend],DivAndTax[Investor ID],INVESTORS_LIST[[#This Row],[INVESTOR CODE]])</f>
        <v>0</v>
      </c>
      <c r="AT386" s="5">
        <f>IFERROR(INVESTORS_LIST[[#This Row],[TOTAL CURRENT UNITS]]/SUM(INVESTORS_LIST[TOTAL CURRENT UNITS]),0)</f>
        <v>0</v>
      </c>
    </row>
    <row r="387" spans="1:46" hidden="1">
      <c r="A387" t="s">
        <v>716</v>
      </c>
      <c r="B387" t="s">
        <v>717</v>
      </c>
      <c r="C387" t="s">
        <v>536</v>
      </c>
      <c r="D387" s="8" t="s">
        <v>2</v>
      </c>
      <c r="E387" s="2">
        <f>SUMIFS(LS[Unit],LS[Investor ID],INVESTORS_LIST[[#This Row],[INVESTOR CODE]],LS[B/S],"B")</f>
        <v>0</v>
      </c>
      <c r="F387" s="2">
        <f>-SUMIFS(LS[Unit],LS[Investor ID],INVESTORS_LIST[[#This Row],[INVESTOR CODE]],LS[B/S],"S")</f>
        <v>0</v>
      </c>
      <c r="G387" s="2">
        <f>IF(INVESTORS_LIST[[#This Row],[LS_TOTAL UNITS BUY]]=0,0,INVESTORS_LIST[[#This Row],[LS_TOTAL UNITS BUY]]-INVESTORS_LIST[[#This Row],[LS_TOTAL UNITS SOLD]])</f>
        <v>0</v>
      </c>
      <c r="H387" s="4">
        <f>IF(INVESTORS_LIST[[#This Row],[LS_TOTAL UNITS BUY]]=0,0,SUMIFS(LS[Amount],LS[Investor ID],INVESTORS_LIST[[#This Row],[INVESTOR CODE]],LS[B/S],"B"))</f>
        <v>0</v>
      </c>
      <c r="I387" s="6">
        <f>IF(INVESTORS_LIST[[#This Row],[LS_TOTAL UNITS SOLD]]=0,0,SUMIFS(LS[Cost of Units Sold],LS[Investor ID],INVESTORS_LIST[[#This Row],[INVESTOR CODE]],LS[B/S],"S"))</f>
        <v>0</v>
      </c>
      <c r="J387" s="6">
        <f>IF(INVESTORS_LIST[[#This Row],[LS_TOTAL CURRENT UNITS]]=0,0,INVESTORS_LIST[[#This Row],[LS_TOTAL CURRENT UNITS]]*INVESTORS_LIST[[#This Row],[LS_AVERAGE COST]])</f>
        <v>0</v>
      </c>
      <c r="K387" s="4">
        <f>IF(INVESTORS_LIST[[#This Row],[LS_TOTAL UNITS SOLD]]=0,0,SUMIFS(LS[Realized Gain],LS[Investor ID],INVESTORS_LIST[[#This Row],[INVESTOR CODE]],LS[B/S],"S"))</f>
        <v>0</v>
      </c>
      <c r="L387" s="2">
        <f>SUMIFS(SIP[Unit],SIP[Investor ID],INVESTORS_LIST[[#This Row],[INVESTOR CODE]],SIP[B/S],"B")</f>
        <v>0</v>
      </c>
      <c r="M387" s="2">
        <f>-SUMIFS(SIP[Unit],SIP[Investor ID],INVESTORS_LIST[[#This Row],[INVESTOR CODE]],SIP[B/S],"S")</f>
        <v>0</v>
      </c>
      <c r="N387" s="33">
        <f>IF(INVESTORS_LIST[[#This Row],[SIP_TOTAL UNITS BUY]]=0,0,INVESTORS_LIST[[#This Row],[SIP_TOTAL UNITS BUY]]-INVESTORS_LIST[[#This Row],[SIP_TOTAL UNITS SOLD]])</f>
        <v>0</v>
      </c>
      <c r="O387" s="4">
        <f>IF(INVESTORS_LIST[[#This Row],[SIP_TOTAL UNITS BUY]]=0,0,SUMIFS(SIP[Amount],SIP[Investor ID],INVESTORS_LIST[[#This Row],[INVESTOR CODE]],SIP[B/S],"B"))</f>
        <v>0</v>
      </c>
      <c r="P387" s="4">
        <f>IF(INVESTORS_LIST[[#This Row],[SIP_TOTAL UNITS SOLD]]=0,0,SUMIFS(SIP[Cost of Units Sold],SIP[Investor ID],INVESTORS_LIST[[#This Row],[INVESTOR CODE]],SIP[B/S],"S"))</f>
        <v>0</v>
      </c>
      <c r="Q387" s="6">
        <f>IF(INVESTORS_LIST[[#This Row],[SIP_TOTAL CURRENT UNITS]]=0,0,INVESTORS_LIST[[#This Row],[SIP_TOTAL CURRENT UNITS]]*INVESTORS_LIST[[#This Row],[SIP_AVERAGE COST]])</f>
        <v>0</v>
      </c>
      <c r="R387" s="6">
        <f>IF(INVESTORS_LIST[[#This Row],[SIP_TOTAL UNITS SOLD]]=0,0,SUMIFS(SIP[Realized Gain],SIP[Investor ID],INVESTORS_LIST[[#This Row],[INVESTOR CODE]],SIP[B/S],"S"))</f>
        <v>0</v>
      </c>
      <c r="S387" s="33">
        <f>INVESTORS_LIST[[#This Row],[LS_TOTAL UNITS BUY]]+INVESTORS_LIST[[#This Row],[SIP_TOTAL UNITS BUY]]</f>
        <v>0</v>
      </c>
      <c r="T387" s="33">
        <f>INVESTORS_LIST[[#This Row],[LS_TOTAL UNITS SOLD]]+INVESTORS_LIST[[#This Row],[SIP_TOTAL UNITS SOLD]]</f>
        <v>0</v>
      </c>
      <c r="U387" s="33">
        <v>0</v>
      </c>
      <c r="V387" s="33">
        <f>SUMIFS(LS[BO UNIT TRANSFER],LS[Investor ID],INVESTORS_LIST[[#This Row],[INVESTOR CODE]],LS[B/S],"B")</f>
        <v>0</v>
      </c>
      <c r="W387" s="33">
        <f>SUMIFS(LS[BO UNIT TRANSFER],LS[Investor ID],INVESTORS_LIST[[#This Row],[INVESTOR CODE]],LS[B/S],"S")</f>
        <v>0</v>
      </c>
      <c r="X387" s="33">
        <f>SUMIFS(SIP[BO UNIT TRANSFER],SIP[Investor ID],INVESTORS_LIST[[#This Row],[INVESTOR CODE]],SIP[B/S],"S")</f>
        <v>0</v>
      </c>
      <c r="Y387" s="33">
        <f>SUMIFS(SIP[BO UNIT TRANSFER],SIP[Investor ID],INVESTORS_LIST[[#This Row],[INVESTOR CODE]],SIP[B/S],"B")</f>
        <v>0</v>
      </c>
      <c r="Z38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87" s="119">
        <f>INVESTORS_LIST[[#This Row],[TOTAL UNITS BUY]]-INVESTORS_LIST[[#This Row],[TOTAL UNITS SOLD]]</f>
        <v>0</v>
      </c>
      <c r="AB387" s="119">
        <f>INVESTORS_LIST[[#This Row],[TOTAL CURRENT UNITS]]-INVESTORS_LIST[[#This Row],[BO UNITS HOLD]]</f>
        <v>0</v>
      </c>
      <c r="AC387" s="119" t="e">
        <f>INDEX([4]!Table_1[BO ID],MATCH(INVESTORS_LIST[[#This Row],[INVESTOR CODE]],[4]!Table_1[INVESTOR CODE],0))</f>
        <v>#REF!</v>
      </c>
      <c r="AD387" s="33">
        <f>INVESTORS_LIST[[#This Row],[LS_TOTAL COST VALUE OF CURRENT UNITS]]+INVESTORS_LIST[[#This Row],[SIP_TOTAL COST VALUE OF CURRENT UNITS]]</f>
        <v>0</v>
      </c>
      <c r="AE387" s="44">
        <f>IF(INVESTORS_LIST[[#This Row],[TOTAL CURRENT UNITS]]=0,0,INVESTORS_LIST[[#This Row],[LS_TOTAL CURRENT UNITS]]/INVESTORS_LIST[[#This Row],[TOTAL CURRENT UNITS]])</f>
        <v>0</v>
      </c>
      <c r="AF387" s="44">
        <f>IF(INVESTORS_LIST[[#This Row],[TOTAL CURRENT UNITS]]=0,0,INVESTORS_LIST[[#This Row],[SIP_TOTAL CURRENT UNITS]]/INVESTORS_LIST[[#This Row],[TOTAL CURRENT UNITS]])</f>
        <v>0</v>
      </c>
      <c r="AG387" s="4" cm="1">
        <f t="array" ref="AG38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87" s="4" cm="1">
        <f t="array" ref="AH38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8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87" s="178">
        <f t="shared" si="6"/>
        <v>12.552</v>
      </c>
      <c r="AK387" s="118">
        <f>IF(INVESTORS_LIST[[#This Row],[TOTAL CURRENT UNITS]]=0,0,INVESTORS_LIST[[#This Row],[TOTAL CURRENT UNITS]]*INVESTORS_LIST[[#This Row],[NAV]])</f>
        <v>0</v>
      </c>
      <c r="AL387" s="4">
        <f>IF(INVESTORS_LIST[[#This Row],[LS_TOTAL CURRENT UNITS]]=0,0,INVESTORS_LIST[[#This Row],[LS_TOTAL CURRENT UNITS]]*INVESTORS_LIST[[#This Row],[NAV]])</f>
        <v>0</v>
      </c>
      <c r="AM387" s="6">
        <f>IF(INVESTORS_LIST[[#This Row],[SIP_TOTAL CURRENT UNITS]]=0,0,INVESTORS_LIST[[#This Row],[SIP_TOTAL CURRENT UNITS]]*INVESTORS_LIST[[#This Row],[NAV]])</f>
        <v>0</v>
      </c>
      <c r="AO387" s="6">
        <f>IF(INVESTORS_LIST[[#This Row],[TOTAL SELLABLE UNITS]]=0,0,INVESTORS_LIST[[#This Row],[TOTAL SELLABLE UNITS]]*INVESTORS_LIST[[#This Row],[NAV]])</f>
        <v>0</v>
      </c>
      <c r="AP387" s="6">
        <f>INVESTORS_LIST[[#This Row],[LS_TOTAL REALIZED GAIN]]+INVESTORS_LIST[[#This Row],[SIP_TOTAL REALIZED GAIN]]</f>
        <v>0</v>
      </c>
      <c r="AQ387" s="6">
        <f>INVESTORS_LIST[[#This Row],[TOTAL MARKET VALUE]]-INVESTORS_LIST[[#This Row],[TOTAL COST VALUE OF CURRENT INVESTMENT]]</f>
        <v>0</v>
      </c>
      <c r="AR387" s="6">
        <f>SUMIFS(DivAndTax[Tax Amount],DivAndTax[Investor ID],INVESTORS_LIST[[#This Row],[INVESTOR CODE]])</f>
        <v>0</v>
      </c>
      <c r="AS387" s="6">
        <f>SUMIFS(DivAndTax[Gross Dividend],DivAndTax[Investor ID],INVESTORS_LIST[[#This Row],[INVESTOR CODE]])</f>
        <v>0</v>
      </c>
      <c r="AT387" s="5">
        <f>IFERROR(INVESTORS_LIST[[#This Row],[TOTAL CURRENT UNITS]]/SUM(INVESTORS_LIST[TOTAL CURRENT UNITS]),0)</f>
        <v>0</v>
      </c>
    </row>
    <row r="388" spans="1:46" hidden="1">
      <c r="A388" t="s">
        <v>850</v>
      </c>
      <c r="B388" t="s">
        <v>851</v>
      </c>
      <c r="C388" t="s">
        <v>536</v>
      </c>
      <c r="D388" s="8" t="s">
        <v>2</v>
      </c>
      <c r="E388" s="2">
        <f>SUMIFS(LS[Unit],LS[Investor ID],INVESTORS_LIST[[#This Row],[INVESTOR CODE]],LS[B/S],"B")</f>
        <v>0</v>
      </c>
      <c r="F388" s="2">
        <f>-SUMIFS(LS[Unit],LS[Investor ID],INVESTORS_LIST[[#This Row],[INVESTOR CODE]],LS[B/S],"S")</f>
        <v>0</v>
      </c>
      <c r="G388" s="2">
        <f>IF(INVESTORS_LIST[[#This Row],[LS_TOTAL UNITS BUY]]=0,0,INVESTORS_LIST[[#This Row],[LS_TOTAL UNITS BUY]]-INVESTORS_LIST[[#This Row],[LS_TOTAL UNITS SOLD]])</f>
        <v>0</v>
      </c>
      <c r="H388" s="4">
        <f>IF(INVESTORS_LIST[[#This Row],[LS_TOTAL UNITS BUY]]=0,0,SUMIFS(LS[Amount],LS[Investor ID],INVESTORS_LIST[[#This Row],[INVESTOR CODE]],LS[B/S],"B"))</f>
        <v>0</v>
      </c>
      <c r="I388" s="6">
        <f>IF(INVESTORS_LIST[[#This Row],[LS_TOTAL UNITS SOLD]]=0,0,SUMIFS(LS[Cost of Units Sold],LS[Investor ID],INVESTORS_LIST[[#This Row],[INVESTOR CODE]],LS[B/S],"S"))</f>
        <v>0</v>
      </c>
      <c r="J388" s="6">
        <f>IF(INVESTORS_LIST[[#This Row],[LS_TOTAL CURRENT UNITS]]=0,0,INVESTORS_LIST[[#This Row],[LS_TOTAL CURRENT UNITS]]*INVESTORS_LIST[[#This Row],[LS_AVERAGE COST]])</f>
        <v>0</v>
      </c>
      <c r="K388" s="4">
        <f>IF(INVESTORS_LIST[[#This Row],[LS_TOTAL UNITS SOLD]]=0,0,SUMIFS(LS[Realized Gain],LS[Investor ID],INVESTORS_LIST[[#This Row],[INVESTOR CODE]],LS[B/S],"S"))</f>
        <v>0</v>
      </c>
      <c r="L388" s="2">
        <f>SUMIFS(SIP[Unit],SIP[Investor ID],INVESTORS_LIST[[#This Row],[INVESTOR CODE]],SIP[B/S],"B")</f>
        <v>0</v>
      </c>
      <c r="M388" s="2">
        <f>-SUMIFS(SIP[Unit],SIP[Investor ID],INVESTORS_LIST[[#This Row],[INVESTOR CODE]],SIP[B/S],"S")</f>
        <v>0</v>
      </c>
      <c r="N388" s="33">
        <f>IF(INVESTORS_LIST[[#This Row],[SIP_TOTAL UNITS BUY]]=0,0,INVESTORS_LIST[[#This Row],[SIP_TOTAL UNITS BUY]]-INVESTORS_LIST[[#This Row],[SIP_TOTAL UNITS SOLD]])</f>
        <v>0</v>
      </c>
      <c r="O388" s="4">
        <f>IF(INVESTORS_LIST[[#This Row],[SIP_TOTAL UNITS BUY]]=0,0,SUMIFS(SIP[Amount],SIP[Investor ID],INVESTORS_LIST[[#This Row],[INVESTOR CODE]],SIP[B/S],"B"))</f>
        <v>0</v>
      </c>
      <c r="P388" s="4">
        <f>IF(INVESTORS_LIST[[#This Row],[SIP_TOTAL UNITS SOLD]]=0,0,SUMIFS(SIP[Cost of Units Sold],SIP[Investor ID],INVESTORS_LIST[[#This Row],[INVESTOR CODE]],SIP[B/S],"S"))</f>
        <v>0</v>
      </c>
      <c r="Q388" s="6">
        <f>IF(INVESTORS_LIST[[#This Row],[SIP_TOTAL CURRENT UNITS]]=0,0,INVESTORS_LIST[[#This Row],[SIP_TOTAL CURRENT UNITS]]*INVESTORS_LIST[[#This Row],[SIP_AVERAGE COST]])</f>
        <v>0</v>
      </c>
      <c r="R388" s="6">
        <f>IF(INVESTORS_LIST[[#This Row],[SIP_TOTAL UNITS SOLD]]=0,0,SUMIFS(SIP[Realized Gain],SIP[Investor ID],INVESTORS_LIST[[#This Row],[INVESTOR CODE]],SIP[B/S],"S"))</f>
        <v>0</v>
      </c>
      <c r="S388" s="33">
        <f>INVESTORS_LIST[[#This Row],[LS_TOTAL UNITS BUY]]+INVESTORS_LIST[[#This Row],[SIP_TOTAL UNITS BUY]]</f>
        <v>0</v>
      </c>
      <c r="T388" s="33">
        <f>INVESTORS_LIST[[#This Row],[LS_TOTAL UNITS SOLD]]+INVESTORS_LIST[[#This Row],[SIP_TOTAL UNITS SOLD]]</f>
        <v>0</v>
      </c>
      <c r="U388" s="33">
        <v>0</v>
      </c>
      <c r="V388" s="33">
        <f>SUMIFS(LS[BO UNIT TRANSFER],LS[Investor ID],INVESTORS_LIST[[#This Row],[INVESTOR CODE]],LS[B/S],"B")</f>
        <v>0</v>
      </c>
      <c r="W388" s="33">
        <f>SUMIFS(LS[BO UNIT TRANSFER],LS[Investor ID],INVESTORS_LIST[[#This Row],[INVESTOR CODE]],LS[B/S],"S")</f>
        <v>0</v>
      </c>
      <c r="X388" s="33">
        <f>SUMIFS(SIP[BO UNIT TRANSFER],SIP[Investor ID],INVESTORS_LIST[[#This Row],[INVESTOR CODE]],SIP[B/S],"S")</f>
        <v>0</v>
      </c>
      <c r="Y388" s="33">
        <f>SUMIFS(SIP[BO UNIT TRANSFER],SIP[Investor ID],INVESTORS_LIST[[#This Row],[INVESTOR CODE]],SIP[B/S],"B")</f>
        <v>0</v>
      </c>
      <c r="Z38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88" s="119">
        <f>INVESTORS_LIST[[#This Row],[TOTAL UNITS BUY]]-INVESTORS_LIST[[#This Row],[TOTAL UNITS SOLD]]</f>
        <v>0</v>
      </c>
      <c r="AB388" s="119">
        <f>INVESTORS_LIST[[#This Row],[TOTAL CURRENT UNITS]]-INVESTORS_LIST[[#This Row],[BO UNITS HOLD]]</f>
        <v>0</v>
      </c>
      <c r="AC388" s="119" t="e">
        <f>INDEX([4]!Table_1[BO ID],MATCH(INVESTORS_LIST[[#This Row],[INVESTOR CODE]],[4]!Table_1[INVESTOR CODE],0))</f>
        <v>#REF!</v>
      </c>
      <c r="AD388" s="33">
        <f>INVESTORS_LIST[[#This Row],[LS_TOTAL COST VALUE OF CURRENT UNITS]]+INVESTORS_LIST[[#This Row],[SIP_TOTAL COST VALUE OF CURRENT UNITS]]</f>
        <v>0</v>
      </c>
      <c r="AE388" s="44">
        <f>IF(INVESTORS_LIST[[#This Row],[TOTAL CURRENT UNITS]]=0,0,INVESTORS_LIST[[#This Row],[LS_TOTAL CURRENT UNITS]]/INVESTORS_LIST[[#This Row],[TOTAL CURRENT UNITS]])</f>
        <v>0</v>
      </c>
      <c r="AF388" s="44">
        <f>IF(INVESTORS_LIST[[#This Row],[TOTAL CURRENT UNITS]]=0,0,INVESTORS_LIST[[#This Row],[SIP_TOTAL CURRENT UNITS]]/INVESTORS_LIST[[#This Row],[TOTAL CURRENT UNITS]])</f>
        <v>0</v>
      </c>
      <c r="AG388" s="4" cm="1">
        <f t="array" ref="AG38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88" s="4" cm="1">
        <f t="array" ref="AH38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8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88" s="178">
        <f t="shared" si="6"/>
        <v>12.552</v>
      </c>
      <c r="AK388" s="118">
        <f>IF(INVESTORS_LIST[[#This Row],[TOTAL CURRENT UNITS]]=0,0,INVESTORS_LIST[[#This Row],[TOTAL CURRENT UNITS]]*INVESTORS_LIST[[#This Row],[NAV]])</f>
        <v>0</v>
      </c>
      <c r="AL388" s="4">
        <f>IF(INVESTORS_LIST[[#This Row],[LS_TOTAL CURRENT UNITS]]=0,0,INVESTORS_LIST[[#This Row],[LS_TOTAL CURRENT UNITS]]*INVESTORS_LIST[[#This Row],[NAV]])</f>
        <v>0</v>
      </c>
      <c r="AM388" s="6">
        <f>IF(INVESTORS_LIST[[#This Row],[SIP_TOTAL CURRENT UNITS]]=0,0,INVESTORS_LIST[[#This Row],[SIP_TOTAL CURRENT UNITS]]*INVESTORS_LIST[[#This Row],[NAV]])</f>
        <v>0</v>
      </c>
      <c r="AO388" s="6">
        <f>IF(INVESTORS_LIST[[#This Row],[TOTAL SELLABLE UNITS]]=0,0,INVESTORS_LIST[[#This Row],[TOTAL SELLABLE UNITS]]*INVESTORS_LIST[[#This Row],[NAV]])</f>
        <v>0</v>
      </c>
      <c r="AP388" s="6">
        <f>INVESTORS_LIST[[#This Row],[LS_TOTAL REALIZED GAIN]]+INVESTORS_LIST[[#This Row],[SIP_TOTAL REALIZED GAIN]]</f>
        <v>0</v>
      </c>
      <c r="AQ388" s="6">
        <f>INVESTORS_LIST[[#This Row],[TOTAL MARKET VALUE]]-INVESTORS_LIST[[#This Row],[TOTAL COST VALUE OF CURRENT INVESTMENT]]</f>
        <v>0</v>
      </c>
      <c r="AR388" s="6">
        <f>SUMIFS(DivAndTax[Tax Amount],DivAndTax[Investor ID],INVESTORS_LIST[[#This Row],[INVESTOR CODE]])</f>
        <v>0</v>
      </c>
      <c r="AS388" s="6">
        <f>SUMIFS(DivAndTax[Gross Dividend],DivAndTax[Investor ID],INVESTORS_LIST[[#This Row],[INVESTOR CODE]])</f>
        <v>0</v>
      </c>
      <c r="AT388" s="5">
        <f>IFERROR(INVESTORS_LIST[[#This Row],[TOTAL CURRENT UNITS]]/SUM(INVESTORS_LIST[TOTAL CURRENT UNITS]),0)</f>
        <v>0</v>
      </c>
    </row>
    <row r="389" spans="1:46">
      <c r="A389" t="s">
        <v>852</v>
      </c>
      <c r="B389" t="s">
        <v>853</v>
      </c>
      <c r="C389" t="s">
        <v>539</v>
      </c>
      <c r="D389" s="8" t="s">
        <v>2</v>
      </c>
      <c r="E389" s="2">
        <f>SUMIFS(LS[Unit],LS[Investor ID],INVESTORS_LIST[[#This Row],[INVESTOR CODE]],LS[B/S],"B")</f>
        <v>16385</v>
      </c>
      <c r="F389" s="2">
        <f>-SUMIFS(LS[Unit],LS[Investor ID],INVESTORS_LIST[[#This Row],[INVESTOR CODE]],LS[B/S],"S")</f>
        <v>0</v>
      </c>
      <c r="G389" s="2">
        <f>IF(INVESTORS_LIST[[#This Row],[LS_TOTAL UNITS BUY]]=0,0,INVESTORS_LIST[[#This Row],[LS_TOTAL UNITS BUY]]-INVESTORS_LIST[[#This Row],[LS_TOTAL UNITS SOLD]])</f>
        <v>16385</v>
      </c>
      <c r="H389" s="4">
        <f>IF(INVESTORS_LIST[[#This Row],[LS_TOTAL UNITS BUY]]=0,0,SUMIFS(LS[Amount],LS[Investor ID],INVESTORS_LIST[[#This Row],[INVESTOR CODE]],LS[B/S],"B"))</f>
        <v>165294.97</v>
      </c>
      <c r="I389" s="6">
        <f>IF(INVESTORS_LIST[[#This Row],[LS_TOTAL UNITS SOLD]]=0,0,SUMIFS(LS[Cost of Units Sold],LS[Investor ID],INVESTORS_LIST[[#This Row],[INVESTOR CODE]],LS[B/S],"S"))</f>
        <v>0</v>
      </c>
      <c r="J389" s="6">
        <f>IF(INVESTORS_LIST[[#This Row],[LS_TOTAL CURRENT UNITS]]=0,0,INVESTORS_LIST[[#This Row],[LS_TOTAL CURRENT UNITS]]*INVESTORS_LIST[[#This Row],[LS_AVERAGE COST]])</f>
        <v>165294.97000000006</v>
      </c>
      <c r="K389" s="4">
        <f>IF(INVESTORS_LIST[[#This Row],[LS_TOTAL UNITS SOLD]]=0,0,SUMIFS(LS[Realized Gain],LS[Investor ID],INVESTORS_LIST[[#This Row],[INVESTOR CODE]],LS[B/S],"S"))</f>
        <v>0</v>
      </c>
      <c r="L389" s="2">
        <f>SUMIFS(SIP[Unit],SIP[Investor ID],INVESTORS_LIST[[#This Row],[INVESTOR CODE]],SIP[B/S],"B")</f>
        <v>0</v>
      </c>
      <c r="M389" s="2">
        <f>-SUMIFS(SIP[Unit],SIP[Investor ID],INVESTORS_LIST[[#This Row],[INVESTOR CODE]],SIP[B/S],"S")</f>
        <v>0</v>
      </c>
      <c r="N389" s="33">
        <f>IF(INVESTORS_LIST[[#This Row],[SIP_TOTAL UNITS BUY]]=0,0,INVESTORS_LIST[[#This Row],[SIP_TOTAL UNITS BUY]]-INVESTORS_LIST[[#This Row],[SIP_TOTAL UNITS SOLD]])</f>
        <v>0</v>
      </c>
      <c r="O389" s="4">
        <f>IF(INVESTORS_LIST[[#This Row],[SIP_TOTAL UNITS BUY]]=0,0,SUMIFS(SIP[Amount],SIP[Investor ID],INVESTORS_LIST[[#This Row],[INVESTOR CODE]],SIP[B/S],"B"))</f>
        <v>0</v>
      </c>
      <c r="P389" s="4">
        <f>IF(INVESTORS_LIST[[#This Row],[SIP_TOTAL UNITS SOLD]]=0,0,SUMIFS(SIP[Cost of Units Sold],SIP[Investor ID],INVESTORS_LIST[[#This Row],[INVESTOR CODE]],SIP[B/S],"S"))</f>
        <v>0</v>
      </c>
      <c r="Q389" s="6">
        <f>IF(INVESTORS_LIST[[#This Row],[SIP_TOTAL CURRENT UNITS]]=0,0,INVESTORS_LIST[[#This Row],[SIP_TOTAL CURRENT UNITS]]*INVESTORS_LIST[[#This Row],[SIP_AVERAGE COST]])</f>
        <v>0</v>
      </c>
      <c r="R389" s="6">
        <f>IF(INVESTORS_LIST[[#This Row],[SIP_TOTAL UNITS SOLD]]=0,0,SUMIFS(SIP[Realized Gain],SIP[Investor ID],INVESTORS_LIST[[#This Row],[INVESTOR CODE]],SIP[B/S],"S"))</f>
        <v>0</v>
      </c>
      <c r="S389" s="33">
        <f>INVESTORS_LIST[[#This Row],[LS_TOTAL UNITS BUY]]+INVESTORS_LIST[[#This Row],[SIP_TOTAL UNITS BUY]]</f>
        <v>16385</v>
      </c>
      <c r="T389" s="33">
        <f>INVESTORS_LIST[[#This Row],[LS_TOTAL UNITS SOLD]]+INVESTORS_LIST[[#This Row],[SIP_TOTAL UNITS SOLD]]</f>
        <v>0</v>
      </c>
      <c r="U389" s="33">
        <v>15962</v>
      </c>
      <c r="V389" s="33">
        <f>SUMIFS(LS[BO UNIT TRANSFER],LS[Investor ID],INVESTORS_LIST[[#This Row],[INVESTOR CODE]],LS[B/S],"B")</f>
        <v>423</v>
      </c>
      <c r="W389" s="33">
        <f>SUMIFS(LS[BO UNIT TRANSFER],LS[Investor ID],INVESTORS_LIST[[#This Row],[INVESTOR CODE]],LS[B/S],"S")</f>
        <v>0</v>
      </c>
      <c r="X389" s="33">
        <f>SUMIFS(SIP[BO UNIT TRANSFER],SIP[Investor ID],INVESTORS_LIST[[#This Row],[INVESTOR CODE]],SIP[B/S],"S")</f>
        <v>0</v>
      </c>
      <c r="Y389" s="33">
        <f>SUMIFS(SIP[BO UNIT TRANSFER],SIP[Investor ID],INVESTORS_LIST[[#This Row],[INVESTOR CODE]],SIP[B/S],"B")</f>
        <v>0</v>
      </c>
      <c r="Z38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16385</v>
      </c>
      <c r="AA389" s="119">
        <f>INVESTORS_LIST[[#This Row],[TOTAL UNITS BUY]]-INVESTORS_LIST[[#This Row],[TOTAL UNITS SOLD]]</f>
        <v>16385</v>
      </c>
      <c r="AB389" s="119">
        <f>INVESTORS_LIST[[#This Row],[TOTAL CURRENT UNITS]]-INVESTORS_LIST[[#This Row],[BO UNITS HOLD]]</f>
        <v>0</v>
      </c>
      <c r="AC389" s="119" t="e">
        <f>INDEX([4]!Table_1[BO ID],MATCH(INVESTORS_LIST[[#This Row],[INVESTOR CODE]],[4]!Table_1[INVESTOR CODE],0))</f>
        <v>#REF!</v>
      </c>
      <c r="AD389" s="33">
        <f>INVESTORS_LIST[[#This Row],[LS_TOTAL COST VALUE OF CURRENT UNITS]]+INVESTORS_LIST[[#This Row],[SIP_TOTAL COST VALUE OF CURRENT UNITS]]</f>
        <v>165294.97000000006</v>
      </c>
      <c r="AE389" s="44">
        <f>IF(INVESTORS_LIST[[#This Row],[TOTAL CURRENT UNITS]]=0,0,INVESTORS_LIST[[#This Row],[LS_TOTAL CURRENT UNITS]]/INVESTORS_LIST[[#This Row],[TOTAL CURRENT UNITS]])</f>
        <v>1</v>
      </c>
      <c r="AF389" s="44">
        <f>IF(INVESTORS_LIST[[#This Row],[TOTAL CURRENT UNITS]]=0,0,INVESTORS_LIST[[#This Row],[SIP_TOTAL CURRENT UNITS]]/INVESTORS_LIST[[#This Row],[TOTAL CURRENT UNITS]])</f>
        <v>0</v>
      </c>
      <c r="AG389" s="4" cm="1">
        <f t="array" ref="AG389">IF(INVESTORS_LIST[[#This Row],[LS_TOTAL UNITS BUY]]&gt;0,INDEX(LS[NAV at Cost (Average)],MATCH(CONCATENATE(COUNTIFS(LS[Investor ID],INVESTORS_LIST[[#This Row],[INVESTOR CODE]]),INVESTORS_LIST[[#This Row],[INVESTOR CODE]]),LS[Unique Code],0),),0)</f>
        <v>10.088188587122371</v>
      </c>
      <c r="AH389" s="4" cm="1">
        <f t="array" ref="AH38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89" s="178">
        <f>IF(INVESTORS_LIST[[#This Row],[TOTAL CURRENT UNITS]]=0,0,(INVESTORS_LIST[[#This Row],[LS_WEIGHT]]*INVESTORS_LIST[[#This Row],[LS_AVERAGE COST]])+(INVESTORS_LIST[[#This Row],[SIP_WEIGHT]]*INVESTORS_LIST[[#This Row],[SIP_AVERAGE COST]]))</f>
        <v>10.088188587122371</v>
      </c>
      <c r="AJ389" s="178">
        <f t="shared" si="6"/>
        <v>12.552</v>
      </c>
      <c r="AK389" s="118">
        <f>IF(INVESTORS_LIST[[#This Row],[TOTAL CURRENT UNITS]]=0,0,INVESTORS_LIST[[#This Row],[TOTAL CURRENT UNITS]]*INVESTORS_LIST[[#This Row],[NAV]])</f>
        <v>205664.52</v>
      </c>
      <c r="AL389" s="4">
        <f>IF(INVESTORS_LIST[[#This Row],[LS_TOTAL CURRENT UNITS]]=0,0,INVESTORS_LIST[[#This Row],[LS_TOTAL CURRENT UNITS]]*INVESTORS_LIST[[#This Row],[NAV]])</f>
        <v>205664.52</v>
      </c>
      <c r="AM389" s="6">
        <f>IF(INVESTORS_LIST[[#This Row],[SIP_TOTAL CURRENT UNITS]]=0,0,INVESTORS_LIST[[#This Row],[SIP_TOTAL CURRENT UNITS]]*INVESTORS_LIST[[#This Row],[NAV]])</f>
        <v>0</v>
      </c>
      <c r="AO389" s="6">
        <f>IF(INVESTORS_LIST[[#This Row],[TOTAL SELLABLE UNITS]]=0,0,INVESTORS_LIST[[#This Row],[TOTAL SELLABLE UNITS]]*INVESTORS_LIST[[#This Row],[NAV]])</f>
        <v>0</v>
      </c>
      <c r="AP389" s="6">
        <f>INVESTORS_LIST[[#This Row],[LS_TOTAL REALIZED GAIN]]+INVESTORS_LIST[[#This Row],[SIP_TOTAL REALIZED GAIN]]</f>
        <v>0</v>
      </c>
      <c r="AQ389" s="6">
        <f>INVESTORS_LIST[[#This Row],[TOTAL MARKET VALUE]]-INVESTORS_LIST[[#This Row],[TOTAL COST VALUE OF CURRENT INVESTMENT]]</f>
        <v>40369.54999999993</v>
      </c>
      <c r="AR389" s="6">
        <f>SUMIFS(DivAndTax[Tax Amount],DivAndTax[Investor ID],INVESTORS_LIST[[#This Row],[INVESTOR CODE]])</f>
        <v>2551.2399999999998</v>
      </c>
      <c r="AS389" s="6">
        <f>SUMIFS(DivAndTax[Gross Dividend],DivAndTax[Investor ID],INVESTORS_LIST[[#This Row],[INVESTOR CODE]])</f>
        <v>17008.2</v>
      </c>
      <c r="AT389" s="5">
        <f>IFERROR(INVESTORS_LIST[[#This Row],[TOTAL CURRENT UNITS]]/SUM(INVESTORS_LIST[TOTAL CURRENT UNITS]),0)</f>
        <v>7.855761223981776E-4</v>
      </c>
    </row>
    <row r="390" spans="1:46" hidden="1">
      <c r="A390" t="s">
        <v>854</v>
      </c>
      <c r="B390" t="s">
        <v>855</v>
      </c>
      <c r="C390" t="s">
        <v>536</v>
      </c>
      <c r="D390" s="8" t="s">
        <v>2</v>
      </c>
      <c r="E390" s="2">
        <f>SUMIFS(LS[Unit],LS[Investor ID],INVESTORS_LIST[[#This Row],[INVESTOR CODE]],LS[B/S],"B")</f>
        <v>0</v>
      </c>
      <c r="F390" s="2">
        <f>-SUMIFS(LS[Unit],LS[Investor ID],INVESTORS_LIST[[#This Row],[INVESTOR CODE]],LS[B/S],"S")</f>
        <v>0</v>
      </c>
      <c r="G390" s="2">
        <f>IF(INVESTORS_LIST[[#This Row],[LS_TOTAL UNITS BUY]]=0,0,INVESTORS_LIST[[#This Row],[LS_TOTAL UNITS BUY]]-INVESTORS_LIST[[#This Row],[LS_TOTAL UNITS SOLD]])</f>
        <v>0</v>
      </c>
      <c r="H390" s="4">
        <f>IF(INVESTORS_LIST[[#This Row],[LS_TOTAL UNITS BUY]]=0,0,SUMIFS(LS[Amount],LS[Investor ID],INVESTORS_LIST[[#This Row],[INVESTOR CODE]],LS[B/S],"B"))</f>
        <v>0</v>
      </c>
      <c r="I390" s="6">
        <f>IF(INVESTORS_LIST[[#This Row],[LS_TOTAL UNITS SOLD]]=0,0,SUMIFS(LS[Cost of Units Sold],LS[Investor ID],INVESTORS_LIST[[#This Row],[INVESTOR CODE]],LS[B/S],"S"))</f>
        <v>0</v>
      </c>
      <c r="J390" s="6">
        <f>IF(INVESTORS_LIST[[#This Row],[LS_TOTAL CURRENT UNITS]]=0,0,INVESTORS_LIST[[#This Row],[LS_TOTAL CURRENT UNITS]]*INVESTORS_LIST[[#This Row],[LS_AVERAGE COST]])</f>
        <v>0</v>
      </c>
      <c r="K390" s="4">
        <f>IF(INVESTORS_LIST[[#This Row],[LS_TOTAL UNITS SOLD]]=0,0,SUMIFS(LS[Realized Gain],LS[Investor ID],INVESTORS_LIST[[#This Row],[INVESTOR CODE]],LS[B/S],"S"))</f>
        <v>0</v>
      </c>
      <c r="L390" s="2">
        <f>SUMIFS(SIP[Unit],SIP[Investor ID],INVESTORS_LIST[[#This Row],[INVESTOR CODE]],SIP[B/S],"B")</f>
        <v>0</v>
      </c>
      <c r="M390" s="2">
        <f>-SUMIFS(SIP[Unit],SIP[Investor ID],INVESTORS_LIST[[#This Row],[INVESTOR CODE]],SIP[B/S],"S")</f>
        <v>0</v>
      </c>
      <c r="N390" s="33">
        <f>IF(INVESTORS_LIST[[#This Row],[SIP_TOTAL UNITS BUY]]=0,0,INVESTORS_LIST[[#This Row],[SIP_TOTAL UNITS BUY]]-INVESTORS_LIST[[#This Row],[SIP_TOTAL UNITS SOLD]])</f>
        <v>0</v>
      </c>
      <c r="O390" s="4">
        <f>IF(INVESTORS_LIST[[#This Row],[SIP_TOTAL UNITS BUY]]=0,0,SUMIFS(SIP[Amount],SIP[Investor ID],INVESTORS_LIST[[#This Row],[INVESTOR CODE]],SIP[B/S],"B"))</f>
        <v>0</v>
      </c>
      <c r="P390" s="4">
        <f>IF(INVESTORS_LIST[[#This Row],[SIP_TOTAL UNITS SOLD]]=0,0,SUMIFS(SIP[Cost of Units Sold],SIP[Investor ID],INVESTORS_LIST[[#This Row],[INVESTOR CODE]],SIP[B/S],"S"))</f>
        <v>0</v>
      </c>
      <c r="Q390" s="6">
        <f>IF(INVESTORS_LIST[[#This Row],[SIP_TOTAL CURRENT UNITS]]=0,0,INVESTORS_LIST[[#This Row],[SIP_TOTAL CURRENT UNITS]]*INVESTORS_LIST[[#This Row],[SIP_AVERAGE COST]])</f>
        <v>0</v>
      </c>
      <c r="R390" s="6">
        <f>IF(INVESTORS_LIST[[#This Row],[SIP_TOTAL UNITS SOLD]]=0,0,SUMIFS(SIP[Realized Gain],SIP[Investor ID],INVESTORS_LIST[[#This Row],[INVESTOR CODE]],SIP[B/S],"S"))</f>
        <v>0</v>
      </c>
      <c r="S390" s="33">
        <f>INVESTORS_LIST[[#This Row],[LS_TOTAL UNITS BUY]]+INVESTORS_LIST[[#This Row],[SIP_TOTAL UNITS BUY]]</f>
        <v>0</v>
      </c>
      <c r="T390" s="33">
        <f>INVESTORS_LIST[[#This Row],[LS_TOTAL UNITS SOLD]]+INVESTORS_LIST[[#This Row],[SIP_TOTAL UNITS SOLD]]</f>
        <v>0</v>
      </c>
      <c r="U390" s="33">
        <v>0</v>
      </c>
      <c r="V390" s="33">
        <f>SUMIFS(LS[BO UNIT TRANSFER],LS[Investor ID],INVESTORS_LIST[[#This Row],[INVESTOR CODE]],LS[B/S],"B")</f>
        <v>0</v>
      </c>
      <c r="W390" s="33">
        <f>SUMIFS(LS[BO UNIT TRANSFER],LS[Investor ID],INVESTORS_LIST[[#This Row],[INVESTOR CODE]],LS[B/S],"S")</f>
        <v>0</v>
      </c>
      <c r="X390" s="33">
        <f>SUMIFS(SIP[BO UNIT TRANSFER],SIP[Investor ID],INVESTORS_LIST[[#This Row],[INVESTOR CODE]],SIP[B/S],"S")</f>
        <v>0</v>
      </c>
      <c r="Y390" s="33">
        <f>SUMIFS(SIP[BO UNIT TRANSFER],SIP[Investor ID],INVESTORS_LIST[[#This Row],[INVESTOR CODE]],SIP[B/S],"B")</f>
        <v>0</v>
      </c>
      <c r="Z39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90" s="119">
        <f>INVESTORS_LIST[[#This Row],[TOTAL UNITS BUY]]-INVESTORS_LIST[[#This Row],[TOTAL UNITS SOLD]]</f>
        <v>0</v>
      </c>
      <c r="AB390" s="119">
        <f>INVESTORS_LIST[[#This Row],[TOTAL CURRENT UNITS]]-INVESTORS_LIST[[#This Row],[BO UNITS HOLD]]</f>
        <v>0</v>
      </c>
      <c r="AC390" s="119" t="e">
        <f>INDEX([4]!Table_1[BO ID],MATCH(INVESTORS_LIST[[#This Row],[INVESTOR CODE]],[4]!Table_1[INVESTOR CODE],0))</f>
        <v>#REF!</v>
      </c>
      <c r="AD390" s="33">
        <f>INVESTORS_LIST[[#This Row],[LS_TOTAL COST VALUE OF CURRENT UNITS]]+INVESTORS_LIST[[#This Row],[SIP_TOTAL COST VALUE OF CURRENT UNITS]]</f>
        <v>0</v>
      </c>
      <c r="AE390" s="44">
        <f>IF(INVESTORS_LIST[[#This Row],[TOTAL CURRENT UNITS]]=0,0,INVESTORS_LIST[[#This Row],[LS_TOTAL CURRENT UNITS]]/INVESTORS_LIST[[#This Row],[TOTAL CURRENT UNITS]])</f>
        <v>0</v>
      </c>
      <c r="AF390" s="44">
        <f>IF(INVESTORS_LIST[[#This Row],[TOTAL CURRENT UNITS]]=0,0,INVESTORS_LIST[[#This Row],[SIP_TOTAL CURRENT UNITS]]/INVESTORS_LIST[[#This Row],[TOTAL CURRENT UNITS]])</f>
        <v>0</v>
      </c>
      <c r="AG390" s="4" cm="1">
        <f t="array" ref="AG39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90" s="4" cm="1">
        <f t="array" ref="AH3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9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90" s="178">
        <f t="shared" si="6"/>
        <v>12.552</v>
      </c>
      <c r="AK390" s="118">
        <f>IF(INVESTORS_LIST[[#This Row],[TOTAL CURRENT UNITS]]=0,0,INVESTORS_LIST[[#This Row],[TOTAL CURRENT UNITS]]*INVESTORS_LIST[[#This Row],[NAV]])</f>
        <v>0</v>
      </c>
      <c r="AL390" s="4">
        <f>IF(INVESTORS_LIST[[#This Row],[LS_TOTAL CURRENT UNITS]]=0,0,INVESTORS_LIST[[#This Row],[LS_TOTAL CURRENT UNITS]]*INVESTORS_LIST[[#This Row],[NAV]])</f>
        <v>0</v>
      </c>
      <c r="AM390" s="6">
        <f>IF(INVESTORS_LIST[[#This Row],[SIP_TOTAL CURRENT UNITS]]=0,0,INVESTORS_LIST[[#This Row],[SIP_TOTAL CURRENT UNITS]]*INVESTORS_LIST[[#This Row],[NAV]])</f>
        <v>0</v>
      </c>
      <c r="AO390" s="6">
        <f>IF(INVESTORS_LIST[[#This Row],[TOTAL SELLABLE UNITS]]=0,0,INVESTORS_LIST[[#This Row],[TOTAL SELLABLE UNITS]]*INVESTORS_LIST[[#This Row],[NAV]])</f>
        <v>0</v>
      </c>
      <c r="AP390" s="6">
        <f>INVESTORS_LIST[[#This Row],[LS_TOTAL REALIZED GAIN]]+INVESTORS_LIST[[#This Row],[SIP_TOTAL REALIZED GAIN]]</f>
        <v>0</v>
      </c>
      <c r="AQ390" s="6">
        <f>INVESTORS_LIST[[#This Row],[TOTAL MARKET VALUE]]-INVESTORS_LIST[[#This Row],[TOTAL COST VALUE OF CURRENT INVESTMENT]]</f>
        <v>0</v>
      </c>
      <c r="AR390" s="6">
        <f>SUMIFS(DivAndTax[Tax Amount],DivAndTax[Investor ID],INVESTORS_LIST[[#This Row],[INVESTOR CODE]])</f>
        <v>0</v>
      </c>
      <c r="AS390" s="6">
        <f>SUMIFS(DivAndTax[Gross Dividend],DivAndTax[Investor ID],INVESTORS_LIST[[#This Row],[INVESTOR CODE]])</f>
        <v>0</v>
      </c>
      <c r="AT390" s="5">
        <f>IFERROR(INVESTORS_LIST[[#This Row],[TOTAL CURRENT UNITS]]/SUM(INVESTORS_LIST[TOTAL CURRENT UNITS]),0)</f>
        <v>0</v>
      </c>
    </row>
    <row r="391" spans="1:46" hidden="1">
      <c r="A391" t="s">
        <v>856</v>
      </c>
      <c r="B391" t="s">
        <v>857</v>
      </c>
      <c r="C391" t="s">
        <v>536</v>
      </c>
      <c r="D391" s="8" t="s">
        <v>2</v>
      </c>
      <c r="E391" s="2">
        <f>SUMIFS(LS[Unit],LS[Investor ID],INVESTORS_LIST[[#This Row],[INVESTOR CODE]],LS[B/S],"B")</f>
        <v>0</v>
      </c>
      <c r="F391" s="2">
        <f>-SUMIFS(LS[Unit],LS[Investor ID],INVESTORS_LIST[[#This Row],[INVESTOR CODE]],LS[B/S],"S")</f>
        <v>0</v>
      </c>
      <c r="G391" s="2">
        <f>IF(INVESTORS_LIST[[#This Row],[LS_TOTAL UNITS BUY]]=0,0,INVESTORS_LIST[[#This Row],[LS_TOTAL UNITS BUY]]-INVESTORS_LIST[[#This Row],[LS_TOTAL UNITS SOLD]])</f>
        <v>0</v>
      </c>
      <c r="H391" s="4">
        <f>IF(INVESTORS_LIST[[#This Row],[LS_TOTAL UNITS BUY]]=0,0,SUMIFS(LS[Amount],LS[Investor ID],INVESTORS_LIST[[#This Row],[INVESTOR CODE]],LS[B/S],"B"))</f>
        <v>0</v>
      </c>
      <c r="I391" s="6">
        <f>IF(INVESTORS_LIST[[#This Row],[LS_TOTAL UNITS SOLD]]=0,0,SUMIFS(LS[Cost of Units Sold],LS[Investor ID],INVESTORS_LIST[[#This Row],[INVESTOR CODE]],LS[B/S],"S"))</f>
        <v>0</v>
      </c>
      <c r="J391" s="6">
        <f>IF(INVESTORS_LIST[[#This Row],[LS_TOTAL CURRENT UNITS]]=0,0,INVESTORS_LIST[[#This Row],[LS_TOTAL CURRENT UNITS]]*INVESTORS_LIST[[#This Row],[LS_AVERAGE COST]])</f>
        <v>0</v>
      </c>
      <c r="K391" s="4">
        <f>IF(INVESTORS_LIST[[#This Row],[LS_TOTAL UNITS SOLD]]=0,0,SUMIFS(LS[Realized Gain],LS[Investor ID],INVESTORS_LIST[[#This Row],[INVESTOR CODE]],LS[B/S],"S"))</f>
        <v>0</v>
      </c>
      <c r="L391" s="2">
        <f>SUMIFS(SIP[Unit],SIP[Investor ID],INVESTORS_LIST[[#This Row],[INVESTOR CODE]],SIP[B/S],"B")</f>
        <v>0</v>
      </c>
      <c r="M391" s="2">
        <f>-SUMIFS(SIP[Unit],SIP[Investor ID],INVESTORS_LIST[[#This Row],[INVESTOR CODE]],SIP[B/S],"S")</f>
        <v>0</v>
      </c>
      <c r="N391" s="33">
        <f>IF(INVESTORS_LIST[[#This Row],[SIP_TOTAL UNITS BUY]]=0,0,INVESTORS_LIST[[#This Row],[SIP_TOTAL UNITS BUY]]-INVESTORS_LIST[[#This Row],[SIP_TOTAL UNITS SOLD]])</f>
        <v>0</v>
      </c>
      <c r="O391" s="4">
        <f>IF(INVESTORS_LIST[[#This Row],[SIP_TOTAL UNITS BUY]]=0,0,SUMIFS(SIP[Amount],SIP[Investor ID],INVESTORS_LIST[[#This Row],[INVESTOR CODE]],SIP[B/S],"B"))</f>
        <v>0</v>
      </c>
      <c r="P391" s="4">
        <f>IF(INVESTORS_LIST[[#This Row],[SIP_TOTAL UNITS SOLD]]=0,0,SUMIFS(SIP[Cost of Units Sold],SIP[Investor ID],INVESTORS_LIST[[#This Row],[INVESTOR CODE]],SIP[B/S],"S"))</f>
        <v>0</v>
      </c>
      <c r="Q391" s="6">
        <f>IF(INVESTORS_LIST[[#This Row],[SIP_TOTAL CURRENT UNITS]]=0,0,INVESTORS_LIST[[#This Row],[SIP_TOTAL CURRENT UNITS]]*INVESTORS_LIST[[#This Row],[SIP_AVERAGE COST]])</f>
        <v>0</v>
      </c>
      <c r="R391" s="6">
        <f>IF(INVESTORS_LIST[[#This Row],[SIP_TOTAL UNITS SOLD]]=0,0,SUMIFS(SIP[Realized Gain],SIP[Investor ID],INVESTORS_LIST[[#This Row],[INVESTOR CODE]],SIP[B/S],"S"))</f>
        <v>0</v>
      </c>
      <c r="S391" s="33">
        <f>INVESTORS_LIST[[#This Row],[LS_TOTAL UNITS BUY]]+INVESTORS_LIST[[#This Row],[SIP_TOTAL UNITS BUY]]</f>
        <v>0</v>
      </c>
      <c r="T391" s="33">
        <f>INVESTORS_LIST[[#This Row],[LS_TOTAL UNITS SOLD]]+INVESTORS_LIST[[#This Row],[SIP_TOTAL UNITS SOLD]]</f>
        <v>0</v>
      </c>
      <c r="U391" s="33">
        <v>0</v>
      </c>
      <c r="V391" s="33">
        <f>SUMIFS(LS[BO UNIT TRANSFER],LS[Investor ID],INVESTORS_LIST[[#This Row],[INVESTOR CODE]],LS[B/S],"B")</f>
        <v>0</v>
      </c>
      <c r="W391" s="33">
        <f>SUMIFS(LS[BO UNIT TRANSFER],LS[Investor ID],INVESTORS_LIST[[#This Row],[INVESTOR CODE]],LS[B/S],"S")</f>
        <v>0</v>
      </c>
      <c r="X391" s="33">
        <f>SUMIFS(SIP[BO UNIT TRANSFER],SIP[Investor ID],INVESTORS_LIST[[#This Row],[INVESTOR CODE]],SIP[B/S],"S")</f>
        <v>0</v>
      </c>
      <c r="Y391" s="33">
        <f>SUMIFS(SIP[BO UNIT TRANSFER],SIP[Investor ID],INVESTORS_LIST[[#This Row],[INVESTOR CODE]],SIP[B/S],"B")</f>
        <v>0</v>
      </c>
      <c r="Z39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91" s="119">
        <f>INVESTORS_LIST[[#This Row],[TOTAL UNITS BUY]]-INVESTORS_LIST[[#This Row],[TOTAL UNITS SOLD]]</f>
        <v>0</v>
      </c>
      <c r="AB391" s="119">
        <f>INVESTORS_LIST[[#This Row],[TOTAL CURRENT UNITS]]-INVESTORS_LIST[[#This Row],[BO UNITS HOLD]]</f>
        <v>0</v>
      </c>
      <c r="AC391" s="119" t="e">
        <f>INDEX([4]!Table_1[BO ID],MATCH(INVESTORS_LIST[[#This Row],[INVESTOR CODE]],[4]!Table_1[INVESTOR CODE],0))</f>
        <v>#REF!</v>
      </c>
      <c r="AD391" s="33">
        <f>INVESTORS_LIST[[#This Row],[LS_TOTAL COST VALUE OF CURRENT UNITS]]+INVESTORS_LIST[[#This Row],[SIP_TOTAL COST VALUE OF CURRENT UNITS]]</f>
        <v>0</v>
      </c>
      <c r="AE391" s="44">
        <f>IF(INVESTORS_LIST[[#This Row],[TOTAL CURRENT UNITS]]=0,0,INVESTORS_LIST[[#This Row],[LS_TOTAL CURRENT UNITS]]/INVESTORS_LIST[[#This Row],[TOTAL CURRENT UNITS]])</f>
        <v>0</v>
      </c>
      <c r="AF391" s="44">
        <f>IF(INVESTORS_LIST[[#This Row],[TOTAL CURRENT UNITS]]=0,0,INVESTORS_LIST[[#This Row],[SIP_TOTAL CURRENT UNITS]]/INVESTORS_LIST[[#This Row],[TOTAL CURRENT UNITS]])</f>
        <v>0</v>
      </c>
      <c r="AG391" s="4" cm="1">
        <f t="array" ref="AG3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91" s="4" cm="1">
        <f t="array" ref="AH3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9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91" s="178">
        <f t="shared" si="6"/>
        <v>12.552</v>
      </c>
      <c r="AK391" s="118">
        <f>IF(INVESTORS_LIST[[#This Row],[TOTAL CURRENT UNITS]]=0,0,INVESTORS_LIST[[#This Row],[TOTAL CURRENT UNITS]]*INVESTORS_LIST[[#This Row],[NAV]])</f>
        <v>0</v>
      </c>
      <c r="AL391" s="4">
        <f>IF(INVESTORS_LIST[[#This Row],[LS_TOTAL CURRENT UNITS]]=0,0,INVESTORS_LIST[[#This Row],[LS_TOTAL CURRENT UNITS]]*INVESTORS_LIST[[#This Row],[NAV]])</f>
        <v>0</v>
      </c>
      <c r="AM391" s="6">
        <f>IF(INVESTORS_LIST[[#This Row],[SIP_TOTAL CURRENT UNITS]]=0,0,INVESTORS_LIST[[#This Row],[SIP_TOTAL CURRENT UNITS]]*INVESTORS_LIST[[#This Row],[NAV]])</f>
        <v>0</v>
      </c>
      <c r="AO391" s="6">
        <f>IF(INVESTORS_LIST[[#This Row],[TOTAL SELLABLE UNITS]]=0,0,INVESTORS_LIST[[#This Row],[TOTAL SELLABLE UNITS]]*INVESTORS_LIST[[#This Row],[NAV]])</f>
        <v>0</v>
      </c>
      <c r="AP391" s="6">
        <f>INVESTORS_LIST[[#This Row],[LS_TOTAL REALIZED GAIN]]+INVESTORS_LIST[[#This Row],[SIP_TOTAL REALIZED GAIN]]</f>
        <v>0</v>
      </c>
      <c r="AQ391" s="6">
        <f>INVESTORS_LIST[[#This Row],[TOTAL MARKET VALUE]]-INVESTORS_LIST[[#This Row],[TOTAL COST VALUE OF CURRENT INVESTMENT]]</f>
        <v>0</v>
      </c>
      <c r="AR391" s="6">
        <f>SUMIFS(DivAndTax[Tax Amount],DivAndTax[Investor ID],INVESTORS_LIST[[#This Row],[INVESTOR CODE]])</f>
        <v>0</v>
      </c>
      <c r="AS391" s="6">
        <f>SUMIFS(DivAndTax[Gross Dividend],DivAndTax[Investor ID],INVESTORS_LIST[[#This Row],[INVESTOR CODE]])</f>
        <v>0</v>
      </c>
      <c r="AT391" s="5">
        <f>IFERROR(INVESTORS_LIST[[#This Row],[TOTAL CURRENT UNITS]]/SUM(INVESTORS_LIST[TOTAL CURRENT UNITS]),0)</f>
        <v>0</v>
      </c>
    </row>
    <row r="392" spans="1:46">
      <c r="A392" t="s">
        <v>858</v>
      </c>
      <c r="B392" t="s">
        <v>859</v>
      </c>
      <c r="C392" t="s">
        <v>537</v>
      </c>
      <c r="D392" s="8" t="s">
        <v>11</v>
      </c>
      <c r="E392" s="2">
        <f>SUMIFS(LS[Unit],LS[Investor ID],INVESTORS_LIST[[#This Row],[INVESTOR CODE]],LS[B/S],"B")</f>
        <v>48882</v>
      </c>
      <c r="F392" s="2">
        <f>-SUMIFS(LS[Unit],LS[Investor ID],INVESTORS_LIST[[#This Row],[INVESTOR CODE]],LS[B/S],"S")</f>
        <v>0</v>
      </c>
      <c r="G392" s="2">
        <f>IF(INVESTORS_LIST[[#This Row],[LS_TOTAL UNITS BUY]]=0,0,INVESTORS_LIST[[#This Row],[LS_TOTAL UNITS BUY]]-INVESTORS_LIST[[#This Row],[LS_TOTAL UNITS SOLD]])</f>
        <v>48882</v>
      </c>
      <c r="H392" s="4">
        <f>IF(INVESTORS_LIST[[#This Row],[LS_TOTAL UNITS BUY]]=0,0,SUMIFS(LS[Amount],LS[Investor ID],INVESTORS_LIST[[#This Row],[INVESTOR CODE]],LS[B/S],"B"))</f>
        <v>581666.65</v>
      </c>
      <c r="I392" s="6">
        <f>IF(INVESTORS_LIST[[#This Row],[LS_TOTAL UNITS SOLD]]=0,0,SUMIFS(LS[Cost of Units Sold],LS[Investor ID],INVESTORS_LIST[[#This Row],[INVESTOR CODE]],LS[B/S],"S"))</f>
        <v>0</v>
      </c>
      <c r="J392" s="6">
        <f>IF(INVESTORS_LIST[[#This Row],[LS_TOTAL CURRENT UNITS]]=0,0,INVESTORS_LIST[[#This Row],[LS_TOTAL CURRENT UNITS]]*INVESTORS_LIST[[#This Row],[LS_AVERAGE COST]])</f>
        <v>581666.65</v>
      </c>
      <c r="K392" s="4">
        <f>IF(INVESTORS_LIST[[#This Row],[LS_TOTAL UNITS SOLD]]=0,0,SUMIFS(LS[Realized Gain],LS[Investor ID],INVESTORS_LIST[[#This Row],[INVESTOR CODE]],LS[B/S],"S"))</f>
        <v>0</v>
      </c>
      <c r="L392" s="2">
        <f>SUMIFS(SIP[Unit],SIP[Investor ID],INVESTORS_LIST[[#This Row],[INVESTOR CODE]],SIP[B/S],"B")</f>
        <v>0</v>
      </c>
      <c r="M392" s="2">
        <f>-SUMIFS(SIP[Unit],SIP[Investor ID],INVESTORS_LIST[[#This Row],[INVESTOR CODE]],SIP[B/S],"S")</f>
        <v>0</v>
      </c>
      <c r="N392" s="33">
        <f>IF(INVESTORS_LIST[[#This Row],[SIP_TOTAL UNITS BUY]]=0,0,INVESTORS_LIST[[#This Row],[SIP_TOTAL UNITS BUY]]-INVESTORS_LIST[[#This Row],[SIP_TOTAL UNITS SOLD]])</f>
        <v>0</v>
      </c>
      <c r="O392" s="4">
        <f>IF(INVESTORS_LIST[[#This Row],[SIP_TOTAL UNITS BUY]]=0,0,SUMIFS(SIP[Amount],SIP[Investor ID],INVESTORS_LIST[[#This Row],[INVESTOR CODE]],SIP[B/S],"B"))</f>
        <v>0</v>
      </c>
      <c r="P392" s="4">
        <f>IF(INVESTORS_LIST[[#This Row],[SIP_TOTAL UNITS SOLD]]=0,0,SUMIFS(SIP[Cost of Units Sold],SIP[Investor ID],INVESTORS_LIST[[#This Row],[INVESTOR CODE]],SIP[B/S],"S"))</f>
        <v>0</v>
      </c>
      <c r="Q392" s="6">
        <f>IF(INVESTORS_LIST[[#This Row],[SIP_TOTAL CURRENT UNITS]]=0,0,INVESTORS_LIST[[#This Row],[SIP_TOTAL CURRENT UNITS]]*INVESTORS_LIST[[#This Row],[SIP_AVERAGE COST]])</f>
        <v>0</v>
      </c>
      <c r="R392" s="6">
        <f>IF(INVESTORS_LIST[[#This Row],[SIP_TOTAL UNITS SOLD]]=0,0,SUMIFS(SIP[Realized Gain],SIP[Investor ID],INVESTORS_LIST[[#This Row],[INVESTOR CODE]],SIP[B/S],"S"))</f>
        <v>0</v>
      </c>
      <c r="S392" s="33">
        <f>INVESTORS_LIST[[#This Row],[LS_TOTAL UNITS BUY]]+INVESTORS_LIST[[#This Row],[SIP_TOTAL UNITS BUY]]</f>
        <v>48882</v>
      </c>
      <c r="T392" s="33">
        <f>INVESTORS_LIST[[#This Row],[LS_TOTAL UNITS SOLD]]+INVESTORS_LIST[[#This Row],[SIP_TOTAL UNITS SOLD]]</f>
        <v>0</v>
      </c>
      <c r="U392" s="33">
        <v>0</v>
      </c>
      <c r="V392" s="33">
        <f>SUMIFS(LS[BO UNIT TRANSFER],LS[Investor ID],INVESTORS_LIST[[#This Row],[INVESTOR CODE]],LS[B/S],"B")</f>
        <v>0</v>
      </c>
      <c r="W392" s="33">
        <f>SUMIFS(LS[BO UNIT TRANSFER],LS[Investor ID],INVESTORS_LIST[[#This Row],[INVESTOR CODE]],LS[B/S],"S")</f>
        <v>0</v>
      </c>
      <c r="X392" s="33">
        <f>SUMIFS(SIP[BO UNIT TRANSFER],SIP[Investor ID],INVESTORS_LIST[[#This Row],[INVESTOR CODE]],SIP[B/S],"S")</f>
        <v>0</v>
      </c>
      <c r="Y392" s="33">
        <f>SUMIFS(SIP[BO UNIT TRANSFER],SIP[Investor ID],INVESTORS_LIST[[#This Row],[INVESTOR CODE]],SIP[B/S],"B")</f>
        <v>0</v>
      </c>
      <c r="Z39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92" s="119">
        <f>INVESTORS_LIST[[#This Row],[TOTAL UNITS BUY]]-INVESTORS_LIST[[#This Row],[TOTAL UNITS SOLD]]</f>
        <v>48882</v>
      </c>
      <c r="AB392" s="119">
        <f>INVESTORS_LIST[[#This Row],[TOTAL CURRENT UNITS]]-INVESTORS_LIST[[#This Row],[BO UNITS HOLD]]</f>
        <v>48882</v>
      </c>
      <c r="AC392" s="119" t="e">
        <f>INDEX([4]!Table_1[BO ID],MATCH(INVESTORS_LIST[[#This Row],[INVESTOR CODE]],[4]!Table_1[INVESTOR CODE],0))</f>
        <v>#REF!</v>
      </c>
      <c r="AD392" s="33">
        <f>INVESTORS_LIST[[#This Row],[LS_TOTAL COST VALUE OF CURRENT UNITS]]+INVESTORS_LIST[[#This Row],[SIP_TOTAL COST VALUE OF CURRENT UNITS]]</f>
        <v>581666.65</v>
      </c>
      <c r="AE392" s="44">
        <f>IF(INVESTORS_LIST[[#This Row],[TOTAL CURRENT UNITS]]=0,0,INVESTORS_LIST[[#This Row],[LS_TOTAL CURRENT UNITS]]/INVESTORS_LIST[[#This Row],[TOTAL CURRENT UNITS]])</f>
        <v>1</v>
      </c>
      <c r="AF392" s="44">
        <f>IF(INVESTORS_LIST[[#This Row],[TOTAL CURRENT UNITS]]=0,0,INVESTORS_LIST[[#This Row],[SIP_TOTAL CURRENT UNITS]]/INVESTORS_LIST[[#This Row],[TOTAL CURRENT UNITS]])</f>
        <v>0</v>
      </c>
      <c r="AG392" s="4" cm="1">
        <f t="array" ref="AG392">IF(INVESTORS_LIST[[#This Row],[LS_TOTAL UNITS BUY]]&gt;0,INDEX(LS[NAV at Cost (Average)],MATCH(CONCATENATE(COUNTIFS(LS[Investor ID],INVESTORS_LIST[[#This Row],[INVESTOR CODE]]),INVESTORS_LIST[[#This Row],[INVESTOR CODE]]),LS[Unique Code],0),),0)</f>
        <v>11.899403665971114</v>
      </c>
      <c r="AH392" s="4" cm="1">
        <f t="array" ref="AH39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92" s="178">
        <f>IF(INVESTORS_LIST[[#This Row],[TOTAL CURRENT UNITS]]=0,0,(INVESTORS_LIST[[#This Row],[LS_WEIGHT]]*INVESTORS_LIST[[#This Row],[LS_AVERAGE COST]])+(INVESTORS_LIST[[#This Row],[SIP_WEIGHT]]*INVESTORS_LIST[[#This Row],[SIP_AVERAGE COST]]))</f>
        <v>11.899403665971114</v>
      </c>
      <c r="AJ392" s="178">
        <f t="shared" si="6"/>
        <v>12.552</v>
      </c>
      <c r="AK392" s="118">
        <f>IF(INVESTORS_LIST[[#This Row],[TOTAL CURRENT UNITS]]=0,0,INVESTORS_LIST[[#This Row],[TOTAL CURRENT UNITS]]*INVESTORS_LIST[[#This Row],[NAV]])</f>
        <v>613566.86399999994</v>
      </c>
      <c r="AL392" s="4">
        <f>IF(INVESTORS_LIST[[#This Row],[LS_TOTAL CURRENT UNITS]]=0,0,INVESTORS_LIST[[#This Row],[LS_TOTAL CURRENT UNITS]]*INVESTORS_LIST[[#This Row],[NAV]])</f>
        <v>613566.86399999994</v>
      </c>
      <c r="AM392" s="6">
        <f>IF(INVESTORS_LIST[[#This Row],[SIP_TOTAL CURRENT UNITS]]=0,0,INVESTORS_LIST[[#This Row],[SIP_TOTAL CURRENT UNITS]]*INVESTORS_LIST[[#This Row],[NAV]])</f>
        <v>0</v>
      </c>
      <c r="AO392" s="6">
        <f>IF(INVESTORS_LIST[[#This Row],[TOTAL SELLABLE UNITS]]=0,0,INVESTORS_LIST[[#This Row],[TOTAL SELLABLE UNITS]]*INVESTORS_LIST[[#This Row],[NAV]])</f>
        <v>0</v>
      </c>
      <c r="AP392" s="6">
        <f>INVESTORS_LIST[[#This Row],[LS_TOTAL REALIZED GAIN]]+INVESTORS_LIST[[#This Row],[SIP_TOTAL REALIZED GAIN]]</f>
        <v>0</v>
      </c>
      <c r="AQ392" s="6">
        <f>INVESTORS_LIST[[#This Row],[TOTAL MARKET VALUE]]-INVESTORS_LIST[[#This Row],[TOTAL COST VALUE OF CURRENT INVESTMENT]]</f>
        <v>31900.21399999992</v>
      </c>
      <c r="AR392" s="6">
        <f>SUMIFS(DivAndTax[Tax Amount],DivAndTax[Investor ID],INVESTORS_LIST[[#This Row],[INVESTOR CODE]])</f>
        <v>1666.67</v>
      </c>
      <c r="AS392" s="6">
        <f>SUMIFS(DivAndTax[Gross Dividend],DivAndTax[Investor ID],INVESTORS_LIST[[#This Row],[INVESTOR CODE]])</f>
        <v>16666.649999999998</v>
      </c>
      <c r="AT392" s="5">
        <f>IFERROR(INVESTORS_LIST[[#This Row],[TOTAL CURRENT UNITS]]/SUM(INVESTORS_LIST[TOTAL CURRENT UNITS]),0)</f>
        <v>2.3436394272241512E-3</v>
      </c>
    </row>
    <row r="393" spans="1:46" hidden="1">
      <c r="A393" t="s">
        <v>860</v>
      </c>
      <c r="B393" t="s">
        <v>861</v>
      </c>
      <c r="C393" t="s">
        <v>536</v>
      </c>
      <c r="D393" s="8" t="s">
        <v>2</v>
      </c>
      <c r="E393" s="2">
        <f>SUMIFS(LS[Unit],LS[Investor ID],INVESTORS_LIST[[#This Row],[INVESTOR CODE]],LS[B/S],"B")</f>
        <v>10000</v>
      </c>
      <c r="F393" s="2">
        <f>-SUMIFS(LS[Unit],LS[Investor ID],INVESTORS_LIST[[#This Row],[INVESTOR CODE]],LS[B/S],"S")</f>
        <v>10000</v>
      </c>
      <c r="G393" s="2">
        <f>IF(INVESTORS_LIST[[#This Row],[LS_TOTAL UNITS BUY]]=0,0,INVESTORS_LIST[[#This Row],[LS_TOTAL UNITS BUY]]-INVESTORS_LIST[[#This Row],[LS_TOTAL UNITS SOLD]])</f>
        <v>0</v>
      </c>
      <c r="H393" s="4">
        <f>IF(INVESTORS_LIST[[#This Row],[LS_TOTAL UNITS BUY]]=0,0,SUMIFS(LS[Amount],LS[Investor ID],INVESTORS_LIST[[#This Row],[INVESTOR CODE]],LS[B/S],"B"))</f>
        <v>100000</v>
      </c>
      <c r="I393" s="6">
        <f>IF(INVESTORS_LIST[[#This Row],[LS_TOTAL UNITS SOLD]]=0,0,SUMIFS(LS[Cost of Units Sold],LS[Investor ID],INVESTORS_LIST[[#This Row],[INVESTOR CODE]],LS[B/S],"S"))</f>
        <v>100000</v>
      </c>
      <c r="J393" s="6">
        <f>IF(INVESTORS_LIST[[#This Row],[LS_TOTAL CURRENT UNITS]]=0,0,INVESTORS_LIST[[#This Row],[LS_TOTAL CURRENT UNITS]]*INVESTORS_LIST[[#This Row],[LS_AVERAGE COST]])</f>
        <v>0</v>
      </c>
      <c r="K393" s="4">
        <f>IF(INVESTORS_LIST[[#This Row],[LS_TOTAL UNITS SOLD]]=0,0,SUMIFS(LS[Realized Gain],LS[Investor ID],INVESTORS_LIST[[#This Row],[INVESTOR CODE]],LS[B/S],"S"))</f>
        <v>500.00000000000711</v>
      </c>
      <c r="L393" s="2">
        <f>SUMIFS(SIP[Unit],SIP[Investor ID],INVESTORS_LIST[[#This Row],[INVESTOR CODE]],SIP[B/S],"B")</f>
        <v>0</v>
      </c>
      <c r="M393" s="2">
        <f>-SUMIFS(SIP[Unit],SIP[Investor ID],INVESTORS_LIST[[#This Row],[INVESTOR CODE]],SIP[B/S],"S")</f>
        <v>0</v>
      </c>
      <c r="N393" s="33">
        <f>IF(INVESTORS_LIST[[#This Row],[SIP_TOTAL UNITS BUY]]=0,0,INVESTORS_LIST[[#This Row],[SIP_TOTAL UNITS BUY]]-INVESTORS_LIST[[#This Row],[SIP_TOTAL UNITS SOLD]])</f>
        <v>0</v>
      </c>
      <c r="O393" s="4">
        <f>IF(INVESTORS_LIST[[#This Row],[SIP_TOTAL UNITS BUY]]=0,0,SUMIFS(SIP[Amount],SIP[Investor ID],INVESTORS_LIST[[#This Row],[INVESTOR CODE]],SIP[B/S],"B"))</f>
        <v>0</v>
      </c>
      <c r="P393" s="4">
        <f>IF(INVESTORS_LIST[[#This Row],[SIP_TOTAL UNITS SOLD]]=0,0,SUMIFS(SIP[Cost of Units Sold],SIP[Investor ID],INVESTORS_LIST[[#This Row],[INVESTOR CODE]],SIP[B/S],"S"))</f>
        <v>0</v>
      </c>
      <c r="Q393" s="6">
        <f>IF(INVESTORS_LIST[[#This Row],[SIP_TOTAL CURRENT UNITS]]=0,0,INVESTORS_LIST[[#This Row],[SIP_TOTAL CURRENT UNITS]]*INVESTORS_LIST[[#This Row],[SIP_AVERAGE COST]])</f>
        <v>0</v>
      </c>
      <c r="R393" s="6">
        <f>IF(INVESTORS_LIST[[#This Row],[SIP_TOTAL UNITS SOLD]]=0,0,SUMIFS(SIP[Realized Gain],SIP[Investor ID],INVESTORS_LIST[[#This Row],[INVESTOR CODE]],SIP[B/S],"S"))</f>
        <v>0</v>
      </c>
      <c r="S393" s="33">
        <f>INVESTORS_LIST[[#This Row],[LS_TOTAL UNITS BUY]]+INVESTORS_LIST[[#This Row],[SIP_TOTAL UNITS BUY]]</f>
        <v>10000</v>
      </c>
      <c r="T393" s="33">
        <f>INVESTORS_LIST[[#This Row],[LS_TOTAL UNITS SOLD]]+INVESTORS_LIST[[#This Row],[SIP_TOTAL UNITS SOLD]]</f>
        <v>10000</v>
      </c>
      <c r="U393" s="33">
        <v>0</v>
      </c>
      <c r="V393" s="33">
        <f>SUMIFS(LS[BO UNIT TRANSFER],LS[Investor ID],INVESTORS_LIST[[#This Row],[INVESTOR CODE]],LS[B/S],"B")</f>
        <v>0</v>
      </c>
      <c r="W393" s="33">
        <f>SUMIFS(LS[BO UNIT TRANSFER],LS[Investor ID],INVESTORS_LIST[[#This Row],[INVESTOR CODE]],LS[B/S],"S")</f>
        <v>0</v>
      </c>
      <c r="X393" s="33">
        <f>SUMIFS(SIP[BO UNIT TRANSFER],SIP[Investor ID],INVESTORS_LIST[[#This Row],[INVESTOR CODE]],SIP[B/S],"S")</f>
        <v>0</v>
      </c>
      <c r="Y393" s="33">
        <f>SUMIFS(SIP[BO UNIT TRANSFER],SIP[Investor ID],INVESTORS_LIST[[#This Row],[INVESTOR CODE]],SIP[B/S],"B")</f>
        <v>0</v>
      </c>
      <c r="Z39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93" s="119">
        <f>INVESTORS_LIST[[#This Row],[TOTAL UNITS BUY]]-INVESTORS_LIST[[#This Row],[TOTAL UNITS SOLD]]</f>
        <v>0</v>
      </c>
      <c r="AB393" s="119">
        <f>INVESTORS_LIST[[#This Row],[TOTAL CURRENT UNITS]]-INVESTORS_LIST[[#This Row],[BO UNITS HOLD]]</f>
        <v>0</v>
      </c>
      <c r="AC393" s="119" t="e">
        <f>INDEX([4]!Table_1[BO ID],MATCH(INVESTORS_LIST[[#This Row],[INVESTOR CODE]],[4]!Table_1[INVESTOR CODE],0))</f>
        <v>#REF!</v>
      </c>
      <c r="AD393" s="33">
        <f>INVESTORS_LIST[[#This Row],[LS_TOTAL COST VALUE OF CURRENT UNITS]]+INVESTORS_LIST[[#This Row],[SIP_TOTAL COST VALUE OF CURRENT UNITS]]</f>
        <v>0</v>
      </c>
      <c r="AE393" s="44">
        <f>IF(INVESTORS_LIST[[#This Row],[TOTAL CURRENT UNITS]]=0,0,INVESTORS_LIST[[#This Row],[LS_TOTAL CURRENT UNITS]]/INVESTORS_LIST[[#This Row],[TOTAL CURRENT UNITS]])</f>
        <v>0</v>
      </c>
      <c r="AF393" s="44">
        <f>IF(INVESTORS_LIST[[#This Row],[TOTAL CURRENT UNITS]]=0,0,INVESTORS_LIST[[#This Row],[SIP_TOTAL CURRENT UNITS]]/INVESTORS_LIST[[#This Row],[TOTAL CURRENT UNITS]])</f>
        <v>0</v>
      </c>
      <c r="AG393" s="4" cm="1">
        <f t="array" ref="AG39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93" s="4" cm="1">
        <f t="array" ref="AH39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9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93" s="178">
        <f t="shared" si="6"/>
        <v>12.552</v>
      </c>
      <c r="AK393" s="118">
        <f>IF(INVESTORS_LIST[[#This Row],[TOTAL CURRENT UNITS]]=0,0,INVESTORS_LIST[[#This Row],[TOTAL CURRENT UNITS]]*INVESTORS_LIST[[#This Row],[NAV]])</f>
        <v>0</v>
      </c>
      <c r="AL393" s="4">
        <f>IF(INVESTORS_LIST[[#This Row],[LS_TOTAL CURRENT UNITS]]=0,0,INVESTORS_LIST[[#This Row],[LS_TOTAL CURRENT UNITS]]*INVESTORS_LIST[[#This Row],[NAV]])</f>
        <v>0</v>
      </c>
      <c r="AM393" s="6">
        <f>IF(INVESTORS_LIST[[#This Row],[SIP_TOTAL CURRENT UNITS]]=0,0,INVESTORS_LIST[[#This Row],[SIP_TOTAL CURRENT UNITS]]*INVESTORS_LIST[[#This Row],[NAV]])</f>
        <v>0</v>
      </c>
      <c r="AO393" s="6">
        <f>IF(INVESTORS_LIST[[#This Row],[TOTAL SELLABLE UNITS]]=0,0,INVESTORS_LIST[[#This Row],[TOTAL SELLABLE UNITS]]*INVESTORS_LIST[[#This Row],[NAV]])</f>
        <v>0</v>
      </c>
      <c r="AP393" s="6">
        <f>INVESTORS_LIST[[#This Row],[LS_TOTAL REALIZED GAIN]]+INVESTORS_LIST[[#This Row],[SIP_TOTAL REALIZED GAIN]]</f>
        <v>500.00000000000711</v>
      </c>
      <c r="AQ393" s="6">
        <f>INVESTORS_LIST[[#This Row],[TOTAL MARKET VALUE]]-INVESTORS_LIST[[#This Row],[TOTAL COST VALUE OF CURRENT INVESTMENT]]</f>
        <v>0</v>
      </c>
      <c r="AR393" s="6">
        <f>SUMIFS(DivAndTax[Tax Amount],DivAndTax[Investor ID],INVESTORS_LIST[[#This Row],[INVESTOR CODE]])</f>
        <v>0</v>
      </c>
      <c r="AS393" s="6">
        <f>SUMIFS(DivAndTax[Gross Dividend],DivAndTax[Investor ID],INVESTORS_LIST[[#This Row],[INVESTOR CODE]])</f>
        <v>0</v>
      </c>
      <c r="AT393" s="5">
        <f>IFERROR(INVESTORS_LIST[[#This Row],[TOTAL CURRENT UNITS]]/SUM(INVESTORS_LIST[TOTAL CURRENT UNITS]),0)</f>
        <v>0</v>
      </c>
    </row>
    <row r="394" spans="1:46" hidden="1">
      <c r="A394" t="s">
        <v>862</v>
      </c>
      <c r="B394" t="s">
        <v>863</v>
      </c>
      <c r="C394" t="s">
        <v>536</v>
      </c>
      <c r="D394" s="8" t="s">
        <v>2</v>
      </c>
      <c r="E394" s="2">
        <f>SUMIFS(LS[Unit],LS[Investor ID],INVESTORS_LIST[[#This Row],[INVESTOR CODE]],LS[B/S],"B")</f>
        <v>5005</v>
      </c>
      <c r="F394" s="2">
        <f>-SUMIFS(LS[Unit],LS[Investor ID],INVESTORS_LIST[[#This Row],[INVESTOR CODE]],LS[B/S],"S")</f>
        <v>5005</v>
      </c>
      <c r="G394" s="2">
        <f>IF(INVESTORS_LIST[[#This Row],[LS_TOTAL UNITS BUY]]=0,0,INVESTORS_LIST[[#This Row],[LS_TOTAL UNITS BUY]]-INVESTORS_LIST[[#This Row],[LS_TOTAL UNITS SOLD]])</f>
        <v>0</v>
      </c>
      <c r="H394" s="4">
        <f>IF(INVESTORS_LIST[[#This Row],[LS_TOTAL UNITS BUY]]=0,0,SUMIFS(LS[Amount],LS[Investor ID],INVESTORS_LIST[[#This Row],[INVESTOR CODE]],LS[B/S],"B"))</f>
        <v>50000</v>
      </c>
      <c r="I394" s="6">
        <f>IF(INVESTORS_LIST[[#This Row],[LS_TOTAL UNITS SOLD]]=0,0,SUMIFS(LS[Cost of Units Sold],LS[Investor ID],INVESTORS_LIST[[#This Row],[INVESTOR CODE]],LS[B/S],"S"))</f>
        <v>49999.999999999993</v>
      </c>
      <c r="J394" s="6">
        <f>IF(INVESTORS_LIST[[#This Row],[LS_TOTAL CURRENT UNITS]]=0,0,INVESTORS_LIST[[#This Row],[LS_TOTAL CURRENT UNITS]]*INVESTORS_LIST[[#This Row],[LS_AVERAGE COST]])</f>
        <v>0</v>
      </c>
      <c r="K394" s="4">
        <f>IF(INVESTORS_LIST[[#This Row],[LS_TOTAL UNITS SOLD]]=0,0,SUMIFS(LS[Realized Gain],LS[Investor ID],INVESTORS_LIST[[#This Row],[INVESTOR CODE]],LS[B/S],"S"))</f>
        <v>-850.89999999999475</v>
      </c>
      <c r="L394" s="2">
        <f>SUMIFS(SIP[Unit],SIP[Investor ID],INVESTORS_LIST[[#This Row],[INVESTOR CODE]],SIP[B/S],"B")</f>
        <v>0</v>
      </c>
      <c r="M394" s="2">
        <f>-SUMIFS(SIP[Unit],SIP[Investor ID],INVESTORS_LIST[[#This Row],[INVESTOR CODE]],SIP[B/S],"S")</f>
        <v>0</v>
      </c>
      <c r="N394" s="33">
        <f>IF(INVESTORS_LIST[[#This Row],[SIP_TOTAL UNITS BUY]]=0,0,INVESTORS_LIST[[#This Row],[SIP_TOTAL UNITS BUY]]-INVESTORS_LIST[[#This Row],[SIP_TOTAL UNITS SOLD]])</f>
        <v>0</v>
      </c>
      <c r="O394" s="4">
        <f>IF(INVESTORS_LIST[[#This Row],[SIP_TOTAL UNITS BUY]]=0,0,SUMIFS(SIP[Amount],SIP[Investor ID],INVESTORS_LIST[[#This Row],[INVESTOR CODE]],SIP[B/S],"B"))</f>
        <v>0</v>
      </c>
      <c r="P394" s="4">
        <f>IF(INVESTORS_LIST[[#This Row],[SIP_TOTAL UNITS SOLD]]=0,0,SUMIFS(SIP[Cost of Units Sold],SIP[Investor ID],INVESTORS_LIST[[#This Row],[INVESTOR CODE]],SIP[B/S],"S"))</f>
        <v>0</v>
      </c>
      <c r="Q394" s="6">
        <f>IF(INVESTORS_LIST[[#This Row],[SIP_TOTAL CURRENT UNITS]]=0,0,INVESTORS_LIST[[#This Row],[SIP_TOTAL CURRENT UNITS]]*INVESTORS_LIST[[#This Row],[SIP_AVERAGE COST]])</f>
        <v>0</v>
      </c>
      <c r="R394" s="6">
        <f>IF(INVESTORS_LIST[[#This Row],[SIP_TOTAL UNITS SOLD]]=0,0,SUMIFS(SIP[Realized Gain],SIP[Investor ID],INVESTORS_LIST[[#This Row],[INVESTOR CODE]],SIP[B/S],"S"))</f>
        <v>0</v>
      </c>
      <c r="S394" s="33">
        <f>INVESTORS_LIST[[#This Row],[LS_TOTAL UNITS BUY]]+INVESTORS_LIST[[#This Row],[SIP_TOTAL UNITS BUY]]</f>
        <v>5005</v>
      </c>
      <c r="T394" s="33">
        <f>INVESTORS_LIST[[#This Row],[LS_TOTAL UNITS SOLD]]+INVESTORS_LIST[[#This Row],[SIP_TOTAL UNITS SOLD]]</f>
        <v>5005</v>
      </c>
      <c r="U394" s="33">
        <v>0</v>
      </c>
      <c r="V394" s="33">
        <f>SUMIFS(LS[BO UNIT TRANSFER],LS[Investor ID],INVESTORS_LIST[[#This Row],[INVESTOR CODE]],LS[B/S],"B")</f>
        <v>0</v>
      </c>
      <c r="W394" s="33">
        <f>SUMIFS(LS[BO UNIT TRANSFER],LS[Investor ID],INVESTORS_LIST[[#This Row],[INVESTOR CODE]],LS[B/S],"S")</f>
        <v>0</v>
      </c>
      <c r="X394" s="33">
        <f>SUMIFS(SIP[BO UNIT TRANSFER],SIP[Investor ID],INVESTORS_LIST[[#This Row],[INVESTOR CODE]],SIP[B/S],"S")</f>
        <v>0</v>
      </c>
      <c r="Y394" s="33">
        <f>SUMIFS(SIP[BO UNIT TRANSFER],SIP[Investor ID],INVESTORS_LIST[[#This Row],[INVESTOR CODE]],SIP[B/S],"B")</f>
        <v>0</v>
      </c>
      <c r="Z39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94" s="119">
        <f>INVESTORS_LIST[[#This Row],[TOTAL UNITS BUY]]-INVESTORS_LIST[[#This Row],[TOTAL UNITS SOLD]]</f>
        <v>0</v>
      </c>
      <c r="AB394" s="119">
        <f>INVESTORS_LIST[[#This Row],[TOTAL CURRENT UNITS]]-INVESTORS_LIST[[#This Row],[BO UNITS HOLD]]</f>
        <v>0</v>
      </c>
      <c r="AC394" s="119" t="e">
        <f>INDEX([4]!Table_1[BO ID],MATCH(INVESTORS_LIST[[#This Row],[INVESTOR CODE]],[4]!Table_1[INVESTOR CODE],0))</f>
        <v>#REF!</v>
      </c>
      <c r="AD394" s="33">
        <f>INVESTORS_LIST[[#This Row],[LS_TOTAL COST VALUE OF CURRENT UNITS]]+INVESTORS_LIST[[#This Row],[SIP_TOTAL COST VALUE OF CURRENT UNITS]]</f>
        <v>0</v>
      </c>
      <c r="AE394" s="44">
        <f>IF(INVESTORS_LIST[[#This Row],[TOTAL CURRENT UNITS]]=0,0,INVESTORS_LIST[[#This Row],[LS_TOTAL CURRENT UNITS]]/INVESTORS_LIST[[#This Row],[TOTAL CURRENT UNITS]])</f>
        <v>0</v>
      </c>
      <c r="AF394" s="44">
        <f>IF(INVESTORS_LIST[[#This Row],[TOTAL CURRENT UNITS]]=0,0,INVESTORS_LIST[[#This Row],[SIP_TOTAL CURRENT UNITS]]/INVESTORS_LIST[[#This Row],[TOTAL CURRENT UNITS]])</f>
        <v>0</v>
      </c>
      <c r="AG394" s="4" cm="1">
        <f t="array" ref="AG39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94" s="4" cm="1">
        <f t="array" ref="AH39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9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94" s="178">
        <f t="shared" si="6"/>
        <v>12.552</v>
      </c>
      <c r="AK394" s="118">
        <f>IF(INVESTORS_LIST[[#This Row],[TOTAL CURRENT UNITS]]=0,0,INVESTORS_LIST[[#This Row],[TOTAL CURRENT UNITS]]*INVESTORS_LIST[[#This Row],[NAV]])</f>
        <v>0</v>
      </c>
      <c r="AL394" s="4">
        <f>IF(INVESTORS_LIST[[#This Row],[LS_TOTAL CURRENT UNITS]]=0,0,INVESTORS_LIST[[#This Row],[LS_TOTAL CURRENT UNITS]]*INVESTORS_LIST[[#This Row],[NAV]])</f>
        <v>0</v>
      </c>
      <c r="AM394" s="6">
        <f>IF(INVESTORS_LIST[[#This Row],[SIP_TOTAL CURRENT UNITS]]=0,0,INVESTORS_LIST[[#This Row],[SIP_TOTAL CURRENT UNITS]]*INVESTORS_LIST[[#This Row],[NAV]])</f>
        <v>0</v>
      </c>
      <c r="AO394" s="6">
        <f>IF(INVESTORS_LIST[[#This Row],[TOTAL SELLABLE UNITS]]=0,0,INVESTORS_LIST[[#This Row],[TOTAL SELLABLE UNITS]]*INVESTORS_LIST[[#This Row],[NAV]])</f>
        <v>0</v>
      </c>
      <c r="AP394" s="6">
        <f>INVESTORS_LIST[[#This Row],[LS_TOTAL REALIZED GAIN]]+INVESTORS_LIST[[#This Row],[SIP_TOTAL REALIZED GAIN]]</f>
        <v>-850.89999999999475</v>
      </c>
      <c r="AQ394" s="6">
        <f>INVESTORS_LIST[[#This Row],[TOTAL MARKET VALUE]]-INVESTORS_LIST[[#This Row],[TOTAL COST VALUE OF CURRENT INVESTMENT]]</f>
        <v>0</v>
      </c>
      <c r="AR394" s="6">
        <f>SUMIFS(DivAndTax[Tax Amount],DivAndTax[Investor ID],INVESTORS_LIST[[#This Row],[INVESTOR CODE]])</f>
        <v>0</v>
      </c>
      <c r="AS394" s="6">
        <f>SUMIFS(DivAndTax[Gross Dividend],DivAndTax[Investor ID],INVESTORS_LIST[[#This Row],[INVESTOR CODE]])</f>
        <v>0</v>
      </c>
      <c r="AT394" s="5">
        <f>IFERROR(INVESTORS_LIST[[#This Row],[TOTAL CURRENT UNITS]]/SUM(INVESTORS_LIST[TOTAL CURRENT UNITS]),0)</f>
        <v>0</v>
      </c>
    </row>
    <row r="395" spans="1:46" hidden="1">
      <c r="A395" t="s">
        <v>864</v>
      </c>
      <c r="B395" t="s">
        <v>865</v>
      </c>
      <c r="C395" t="s">
        <v>536</v>
      </c>
      <c r="D395" s="8" t="s">
        <v>2</v>
      </c>
      <c r="E395" s="2">
        <f>SUMIFS(LS[Unit],LS[Investor ID],INVESTORS_LIST[[#This Row],[INVESTOR CODE]],LS[B/S],"B")</f>
        <v>0</v>
      </c>
      <c r="F395" s="2">
        <f>-SUMIFS(LS[Unit],LS[Investor ID],INVESTORS_LIST[[#This Row],[INVESTOR CODE]],LS[B/S],"S")</f>
        <v>0</v>
      </c>
      <c r="G395" s="2">
        <f>IF(INVESTORS_LIST[[#This Row],[LS_TOTAL UNITS BUY]]=0,0,INVESTORS_LIST[[#This Row],[LS_TOTAL UNITS BUY]]-INVESTORS_LIST[[#This Row],[LS_TOTAL UNITS SOLD]])</f>
        <v>0</v>
      </c>
      <c r="H395" s="4">
        <f>IF(INVESTORS_LIST[[#This Row],[LS_TOTAL UNITS BUY]]=0,0,SUMIFS(LS[Amount],LS[Investor ID],INVESTORS_LIST[[#This Row],[INVESTOR CODE]],LS[B/S],"B"))</f>
        <v>0</v>
      </c>
      <c r="I395" s="6">
        <f>IF(INVESTORS_LIST[[#This Row],[LS_TOTAL UNITS SOLD]]=0,0,SUMIFS(LS[Cost of Units Sold],LS[Investor ID],INVESTORS_LIST[[#This Row],[INVESTOR CODE]],LS[B/S],"S"))</f>
        <v>0</v>
      </c>
      <c r="J395" s="6">
        <f>IF(INVESTORS_LIST[[#This Row],[LS_TOTAL CURRENT UNITS]]=0,0,INVESTORS_LIST[[#This Row],[LS_TOTAL CURRENT UNITS]]*INVESTORS_LIST[[#This Row],[LS_AVERAGE COST]])</f>
        <v>0</v>
      </c>
      <c r="K395" s="4">
        <f>IF(INVESTORS_LIST[[#This Row],[LS_TOTAL UNITS SOLD]]=0,0,SUMIFS(LS[Realized Gain],LS[Investor ID],INVESTORS_LIST[[#This Row],[INVESTOR CODE]],LS[B/S],"S"))</f>
        <v>0</v>
      </c>
      <c r="L395" s="2">
        <f>SUMIFS(SIP[Unit],SIP[Investor ID],INVESTORS_LIST[[#This Row],[INVESTOR CODE]],SIP[B/S],"B")</f>
        <v>0</v>
      </c>
      <c r="M395" s="2">
        <f>-SUMIFS(SIP[Unit],SIP[Investor ID],INVESTORS_LIST[[#This Row],[INVESTOR CODE]],SIP[B/S],"S")</f>
        <v>0</v>
      </c>
      <c r="N395" s="33">
        <f>IF(INVESTORS_LIST[[#This Row],[SIP_TOTAL UNITS BUY]]=0,0,INVESTORS_LIST[[#This Row],[SIP_TOTAL UNITS BUY]]-INVESTORS_LIST[[#This Row],[SIP_TOTAL UNITS SOLD]])</f>
        <v>0</v>
      </c>
      <c r="O395" s="4">
        <f>IF(INVESTORS_LIST[[#This Row],[SIP_TOTAL UNITS BUY]]=0,0,SUMIFS(SIP[Amount],SIP[Investor ID],INVESTORS_LIST[[#This Row],[INVESTOR CODE]],SIP[B/S],"B"))</f>
        <v>0</v>
      </c>
      <c r="P395" s="4">
        <f>IF(INVESTORS_LIST[[#This Row],[SIP_TOTAL UNITS SOLD]]=0,0,SUMIFS(SIP[Cost of Units Sold],SIP[Investor ID],INVESTORS_LIST[[#This Row],[INVESTOR CODE]],SIP[B/S],"S"))</f>
        <v>0</v>
      </c>
      <c r="Q395" s="6">
        <f>IF(INVESTORS_LIST[[#This Row],[SIP_TOTAL CURRENT UNITS]]=0,0,INVESTORS_LIST[[#This Row],[SIP_TOTAL CURRENT UNITS]]*INVESTORS_LIST[[#This Row],[SIP_AVERAGE COST]])</f>
        <v>0</v>
      </c>
      <c r="R395" s="6">
        <f>IF(INVESTORS_LIST[[#This Row],[SIP_TOTAL UNITS SOLD]]=0,0,SUMIFS(SIP[Realized Gain],SIP[Investor ID],INVESTORS_LIST[[#This Row],[INVESTOR CODE]],SIP[B/S],"S"))</f>
        <v>0</v>
      </c>
      <c r="S395" s="33">
        <f>INVESTORS_LIST[[#This Row],[LS_TOTAL UNITS BUY]]+INVESTORS_LIST[[#This Row],[SIP_TOTAL UNITS BUY]]</f>
        <v>0</v>
      </c>
      <c r="T395" s="33">
        <f>INVESTORS_LIST[[#This Row],[LS_TOTAL UNITS SOLD]]+INVESTORS_LIST[[#This Row],[SIP_TOTAL UNITS SOLD]]</f>
        <v>0</v>
      </c>
      <c r="U395" s="33">
        <v>0</v>
      </c>
      <c r="V395" s="33">
        <f>SUMIFS(LS[BO UNIT TRANSFER],LS[Investor ID],INVESTORS_LIST[[#This Row],[INVESTOR CODE]],LS[B/S],"B")</f>
        <v>0</v>
      </c>
      <c r="W395" s="33">
        <f>SUMIFS(LS[BO UNIT TRANSFER],LS[Investor ID],INVESTORS_LIST[[#This Row],[INVESTOR CODE]],LS[B/S],"S")</f>
        <v>0</v>
      </c>
      <c r="X395" s="33">
        <f>SUMIFS(SIP[BO UNIT TRANSFER],SIP[Investor ID],INVESTORS_LIST[[#This Row],[INVESTOR CODE]],SIP[B/S],"S")</f>
        <v>0</v>
      </c>
      <c r="Y395" s="33">
        <f>SUMIFS(SIP[BO UNIT TRANSFER],SIP[Investor ID],INVESTORS_LIST[[#This Row],[INVESTOR CODE]],SIP[B/S],"B")</f>
        <v>0</v>
      </c>
      <c r="Z39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95" s="119">
        <f>INVESTORS_LIST[[#This Row],[TOTAL UNITS BUY]]-INVESTORS_LIST[[#This Row],[TOTAL UNITS SOLD]]</f>
        <v>0</v>
      </c>
      <c r="AB395" s="119">
        <f>INVESTORS_LIST[[#This Row],[TOTAL CURRENT UNITS]]-INVESTORS_LIST[[#This Row],[BO UNITS HOLD]]</f>
        <v>0</v>
      </c>
      <c r="AC395" s="119" t="e">
        <f>INDEX([4]!Table_1[BO ID],MATCH(INVESTORS_LIST[[#This Row],[INVESTOR CODE]],[4]!Table_1[INVESTOR CODE],0))</f>
        <v>#REF!</v>
      </c>
      <c r="AD395" s="33">
        <f>INVESTORS_LIST[[#This Row],[LS_TOTAL COST VALUE OF CURRENT UNITS]]+INVESTORS_LIST[[#This Row],[SIP_TOTAL COST VALUE OF CURRENT UNITS]]</f>
        <v>0</v>
      </c>
      <c r="AE395" s="44">
        <f>IF(INVESTORS_LIST[[#This Row],[TOTAL CURRENT UNITS]]=0,0,INVESTORS_LIST[[#This Row],[LS_TOTAL CURRENT UNITS]]/INVESTORS_LIST[[#This Row],[TOTAL CURRENT UNITS]])</f>
        <v>0</v>
      </c>
      <c r="AF395" s="44">
        <f>IF(INVESTORS_LIST[[#This Row],[TOTAL CURRENT UNITS]]=0,0,INVESTORS_LIST[[#This Row],[SIP_TOTAL CURRENT UNITS]]/INVESTORS_LIST[[#This Row],[TOTAL CURRENT UNITS]])</f>
        <v>0</v>
      </c>
      <c r="AG395" s="4" cm="1">
        <f t="array" ref="AG39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95" s="4" cm="1">
        <f t="array" ref="AH3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9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95" s="178">
        <f t="shared" si="6"/>
        <v>12.552</v>
      </c>
      <c r="AK395" s="118">
        <f>IF(INVESTORS_LIST[[#This Row],[TOTAL CURRENT UNITS]]=0,0,INVESTORS_LIST[[#This Row],[TOTAL CURRENT UNITS]]*INVESTORS_LIST[[#This Row],[NAV]])</f>
        <v>0</v>
      </c>
      <c r="AL395" s="4">
        <f>IF(INVESTORS_LIST[[#This Row],[LS_TOTAL CURRENT UNITS]]=0,0,INVESTORS_LIST[[#This Row],[LS_TOTAL CURRENT UNITS]]*INVESTORS_LIST[[#This Row],[NAV]])</f>
        <v>0</v>
      </c>
      <c r="AM395" s="6">
        <f>IF(INVESTORS_LIST[[#This Row],[SIP_TOTAL CURRENT UNITS]]=0,0,INVESTORS_LIST[[#This Row],[SIP_TOTAL CURRENT UNITS]]*INVESTORS_LIST[[#This Row],[NAV]])</f>
        <v>0</v>
      </c>
      <c r="AO395" s="6">
        <f>IF(INVESTORS_LIST[[#This Row],[TOTAL SELLABLE UNITS]]=0,0,INVESTORS_LIST[[#This Row],[TOTAL SELLABLE UNITS]]*INVESTORS_LIST[[#This Row],[NAV]])</f>
        <v>0</v>
      </c>
      <c r="AP395" s="6">
        <f>INVESTORS_LIST[[#This Row],[LS_TOTAL REALIZED GAIN]]+INVESTORS_LIST[[#This Row],[SIP_TOTAL REALIZED GAIN]]</f>
        <v>0</v>
      </c>
      <c r="AQ395" s="6">
        <f>INVESTORS_LIST[[#This Row],[TOTAL MARKET VALUE]]-INVESTORS_LIST[[#This Row],[TOTAL COST VALUE OF CURRENT INVESTMENT]]</f>
        <v>0</v>
      </c>
      <c r="AR395" s="6">
        <f>SUMIFS(DivAndTax[Tax Amount],DivAndTax[Investor ID],INVESTORS_LIST[[#This Row],[INVESTOR CODE]])</f>
        <v>0</v>
      </c>
      <c r="AS395" s="6">
        <f>SUMIFS(DivAndTax[Gross Dividend],DivAndTax[Investor ID],INVESTORS_LIST[[#This Row],[INVESTOR CODE]])</f>
        <v>0</v>
      </c>
      <c r="AT395" s="5">
        <f>IFERROR(INVESTORS_LIST[[#This Row],[TOTAL CURRENT UNITS]]/SUM(INVESTORS_LIST[TOTAL CURRENT UNITS]),0)</f>
        <v>0</v>
      </c>
    </row>
    <row r="396" spans="1:46" hidden="1">
      <c r="A396" t="s">
        <v>869</v>
      </c>
      <c r="B396" t="s">
        <v>870</v>
      </c>
      <c r="C396" t="s">
        <v>539</v>
      </c>
      <c r="D396" s="8" t="s">
        <v>2</v>
      </c>
      <c r="E396" s="2">
        <f>SUMIFS(LS[Unit],LS[Investor ID],INVESTORS_LIST[[#This Row],[INVESTOR CODE]],LS[B/S],"B")</f>
        <v>0</v>
      </c>
      <c r="F396" s="2">
        <f>-SUMIFS(LS[Unit],LS[Investor ID],INVESTORS_LIST[[#This Row],[INVESTOR CODE]],LS[B/S],"S")</f>
        <v>0</v>
      </c>
      <c r="G396" s="2">
        <f>IF(INVESTORS_LIST[[#This Row],[LS_TOTAL UNITS BUY]]=0,0,INVESTORS_LIST[[#This Row],[LS_TOTAL UNITS BUY]]-INVESTORS_LIST[[#This Row],[LS_TOTAL UNITS SOLD]])</f>
        <v>0</v>
      </c>
      <c r="H396" s="4">
        <f>IF(INVESTORS_LIST[[#This Row],[LS_TOTAL UNITS BUY]]=0,0,SUMIFS(LS[Amount],LS[Investor ID],INVESTORS_LIST[[#This Row],[INVESTOR CODE]],LS[B/S],"B"))</f>
        <v>0</v>
      </c>
      <c r="I396" s="6">
        <f>IF(INVESTORS_LIST[[#This Row],[LS_TOTAL UNITS SOLD]]=0,0,SUMIFS(LS[Cost of Units Sold],LS[Investor ID],INVESTORS_LIST[[#This Row],[INVESTOR CODE]],LS[B/S],"S"))</f>
        <v>0</v>
      </c>
      <c r="J396" s="6">
        <f>IF(INVESTORS_LIST[[#This Row],[LS_TOTAL CURRENT UNITS]]=0,0,INVESTORS_LIST[[#This Row],[LS_TOTAL CURRENT UNITS]]*INVESTORS_LIST[[#This Row],[LS_AVERAGE COST]])</f>
        <v>0</v>
      </c>
      <c r="K396" s="4">
        <f>IF(INVESTORS_LIST[[#This Row],[LS_TOTAL UNITS SOLD]]=0,0,SUMIFS(LS[Realized Gain],LS[Investor ID],INVESTORS_LIST[[#This Row],[INVESTOR CODE]],LS[B/S],"S"))</f>
        <v>0</v>
      </c>
      <c r="L396" s="2">
        <f>SUMIFS(SIP[Unit],SIP[Investor ID],INVESTORS_LIST[[#This Row],[INVESTOR CODE]],SIP[B/S],"B")</f>
        <v>0</v>
      </c>
      <c r="M396" s="2">
        <f>-SUMIFS(SIP[Unit],SIP[Investor ID],INVESTORS_LIST[[#This Row],[INVESTOR CODE]],SIP[B/S],"S")</f>
        <v>0</v>
      </c>
      <c r="N396" s="33">
        <f>IF(INVESTORS_LIST[[#This Row],[SIP_TOTAL UNITS BUY]]=0,0,INVESTORS_LIST[[#This Row],[SIP_TOTAL UNITS BUY]]-INVESTORS_LIST[[#This Row],[SIP_TOTAL UNITS SOLD]])</f>
        <v>0</v>
      </c>
      <c r="O396" s="4">
        <f>IF(INVESTORS_LIST[[#This Row],[SIP_TOTAL UNITS BUY]]=0,0,SUMIFS(SIP[Amount],SIP[Investor ID],INVESTORS_LIST[[#This Row],[INVESTOR CODE]],SIP[B/S],"B"))</f>
        <v>0</v>
      </c>
      <c r="P396" s="4">
        <f>IF(INVESTORS_LIST[[#This Row],[SIP_TOTAL UNITS SOLD]]=0,0,SUMIFS(SIP[Cost of Units Sold],SIP[Investor ID],INVESTORS_LIST[[#This Row],[INVESTOR CODE]],SIP[B/S],"S"))</f>
        <v>0</v>
      </c>
      <c r="Q396" s="6">
        <f>IF(INVESTORS_LIST[[#This Row],[SIP_TOTAL CURRENT UNITS]]=0,0,INVESTORS_LIST[[#This Row],[SIP_TOTAL CURRENT UNITS]]*INVESTORS_LIST[[#This Row],[SIP_AVERAGE COST]])</f>
        <v>0</v>
      </c>
      <c r="R396" s="6">
        <f>IF(INVESTORS_LIST[[#This Row],[SIP_TOTAL UNITS SOLD]]=0,0,SUMIFS(SIP[Realized Gain],SIP[Investor ID],INVESTORS_LIST[[#This Row],[INVESTOR CODE]],SIP[B/S],"S"))</f>
        <v>0</v>
      </c>
      <c r="S396" s="33">
        <f>INVESTORS_LIST[[#This Row],[LS_TOTAL UNITS BUY]]+INVESTORS_LIST[[#This Row],[SIP_TOTAL UNITS BUY]]</f>
        <v>0</v>
      </c>
      <c r="T396" s="33">
        <f>INVESTORS_LIST[[#This Row],[LS_TOTAL UNITS SOLD]]+INVESTORS_LIST[[#This Row],[SIP_TOTAL UNITS SOLD]]</f>
        <v>0</v>
      </c>
      <c r="U396" s="33">
        <v>0</v>
      </c>
      <c r="V396" s="33">
        <f>SUMIFS(LS[BO UNIT TRANSFER],LS[Investor ID],INVESTORS_LIST[[#This Row],[INVESTOR CODE]],LS[B/S],"B")</f>
        <v>0</v>
      </c>
      <c r="W396" s="33">
        <f>SUMIFS(LS[BO UNIT TRANSFER],LS[Investor ID],INVESTORS_LIST[[#This Row],[INVESTOR CODE]],LS[B/S],"S")</f>
        <v>0</v>
      </c>
      <c r="X396" s="33">
        <f>SUMIFS(SIP[BO UNIT TRANSFER],SIP[Investor ID],INVESTORS_LIST[[#This Row],[INVESTOR CODE]],SIP[B/S],"S")</f>
        <v>0</v>
      </c>
      <c r="Y396" s="33">
        <f>SUMIFS(SIP[BO UNIT TRANSFER],SIP[Investor ID],INVESTORS_LIST[[#This Row],[INVESTOR CODE]],SIP[B/S],"B")</f>
        <v>0</v>
      </c>
      <c r="Z39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96" s="119">
        <f>INVESTORS_LIST[[#This Row],[TOTAL UNITS BUY]]-INVESTORS_LIST[[#This Row],[TOTAL UNITS SOLD]]</f>
        <v>0</v>
      </c>
      <c r="AB396" s="119">
        <f>INVESTORS_LIST[[#This Row],[TOTAL CURRENT UNITS]]-INVESTORS_LIST[[#This Row],[BO UNITS HOLD]]</f>
        <v>0</v>
      </c>
      <c r="AC396" s="119" t="e">
        <f>INDEX([4]!Table_1[BO ID],MATCH(INVESTORS_LIST[[#This Row],[INVESTOR CODE]],[4]!Table_1[INVESTOR CODE],0))</f>
        <v>#REF!</v>
      </c>
      <c r="AD396" s="33">
        <f>INVESTORS_LIST[[#This Row],[LS_TOTAL COST VALUE OF CURRENT UNITS]]+INVESTORS_LIST[[#This Row],[SIP_TOTAL COST VALUE OF CURRENT UNITS]]</f>
        <v>0</v>
      </c>
      <c r="AE396" s="44">
        <f>IF(INVESTORS_LIST[[#This Row],[TOTAL CURRENT UNITS]]=0,0,INVESTORS_LIST[[#This Row],[LS_TOTAL CURRENT UNITS]]/INVESTORS_LIST[[#This Row],[TOTAL CURRENT UNITS]])</f>
        <v>0</v>
      </c>
      <c r="AF396" s="44">
        <f>IF(INVESTORS_LIST[[#This Row],[TOTAL CURRENT UNITS]]=0,0,INVESTORS_LIST[[#This Row],[SIP_TOTAL CURRENT UNITS]]/INVESTORS_LIST[[#This Row],[TOTAL CURRENT UNITS]])</f>
        <v>0</v>
      </c>
      <c r="AG396" s="4" cm="1">
        <f t="array" ref="AG39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96" s="4" cm="1">
        <f t="array" ref="AH39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9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96" s="178">
        <f t="shared" si="6"/>
        <v>12.552</v>
      </c>
      <c r="AK396" s="118">
        <f>IF(INVESTORS_LIST[[#This Row],[TOTAL CURRENT UNITS]]=0,0,INVESTORS_LIST[[#This Row],[TOTAL CURRENT UNITS]]*INVESTORS_LIST[[#This Row],[NAV]])</f>
        <v>0</v>
      </c>
      <c r="AL396" s="4">
        <f>IF(INVESTORS_LIST[[#This Row],[LS_TOTAL CURRENT UNITS]]=0,0,INVESTORS_LIST[[#This Row],[LS_TOTAL CURRENT UNITS]]*INVESTORS_LIST[[#This Row],[NAV]])</f>
        <v>0</v>
      </c>
      <c r="AM396" s="6">
        <f>IF(INVESTORS_LIST[[#This Row],[SIP_TOTAL CURRENT UNITS]]=0,0,INVESTORS_LIST[[#This Row],[SIP_TOTAL CURRENT UNITS]]*INVESTORS_LIST[[#This Row],[NAV]])</f>
        <v>0</v>
      </c>
      <c r="AO396" s="6">
        <f>IF(INVESTORS_LIST[[#This Row],[TOTAL SELLABLE UNITS]]=0,0,INVESTORS_LIST[[#This Row],[TOTAL SELLABLE UNITS]]*INVESTORS_LIST[[#This Row],[NAV]])</f>
        <v>0</v>
      </c>
      <c r="AP396" s="6">
        <f>INVESTORS_LIST[[#This Row],[LS_TOTAL REALIZED GAIN]]+INVESTORS_LIST[[#This Row],[SIP_TOTAL REALIZED GAIN]]</f>
        <v>0</v>
      </c>
      <c r="AQ396" s="6">
        <f>INVESTORS_LIST[[#This Row],[TOTAL MARKET VALUE]]-INVESTORS_LIST[[#This Row],[TOTAL COST VALUE OF CURRENT INVESTMENT]]</f>
        <v>0</v>
      </c>
      <c r="AR396" s="6">
        <f>SUMIFS(DivAndTax[Tax Amount],DivAndTax[Investor ID],INVESTORS_LIST[[#This Row],[INVESTOR CODE]])</f>
        <v>0</v>
      </c>
      <c r="AS396" s="6">
        <f>SUMIFS(DivAndTax[Gross Dividend],DivAndTax[Investor ID],INVESTORS_LIST[[#This Row],[INVESTOR CODE]])</f>
        <v>0</v>
      </c>
      <c r="AT396" s="5">
        <f>IFERROR(INVESTORS_LIST[[#This Row],[TOTAL CURRENT UNITS]]/SUM(INVESTORS_LIST[TOTAL CURRENT UNITS]),0)</f>
        <v>0</v>
      </c>
    </row>
    <row r="397" spans="1:46" hidden="1">
      <c r="A397" t="s">
        <v>885</v>
      </c>
      <c r="B397" t="s">
        <v>871</v>
      </c>
      <c r="C397" t="s">
        <v>536</v>
      </c>
      <c r="D397" s="8" t="s">
        <v>2</v>
      </c>
      <c r="E397" s="2">
        <f>SUMIFS(LS[Unit],LS[Investor ID],INVESTORS_LIST[[#This Row],[INVESTOR CODE]],LS[B/S],"B")</f>
        <v>0</v>
      </c>
      <c r="F397" s="2">
        <f>-SUMIFS(LS[Unit],LS[Investor ID],INVESTORS_LIST[[#This Row],[INVESTOR CODE]],LS[B/S],"S")</f>
        <v>0</v>
      </c>
      <c r="G397" s="2">
        <f>IF(INVESTORS_LIST[[#This Row],[LS_TOTAL UNITS BUY]]=0,0,INVESTORS_LIST[[#This Row],[LS_TOTAL UNITS BUY]]-INVESTORS_LIST[[#This Row],[LS_TOTAL UNITS SOLD]])</f>
        <v>0</v>
      </c>
      <c r="H397" s="4">
        <f>IF(INVESTORS_LIST[[#This Row],[LS_TOTAL UNITS BUY]]=0,0,SUMIFS(LS[Amount],LS[Investor ID],INVESTORS_LIST[[#This Row],[INVESTOR CODE]],LS[B/S],"B"))</f>
        <v>0</v>
      </c>
      <c r="I397" s="6">
        <f>IF(INVESTORS_LIST[[#This Row],[LS_TOTAL UNITS SOLD]]=0,0,SUMIFS(LS[Cost of Units Sold],LS[Investor ID],INVESTORS_LIST[[#This Row],[INVESTOR CODE]],LS[B/S],"S"))</f>
        <v>0</v>
      </c>
      <c r="J397" s="6">
        <f>IF(INVESTORS_LIST[[#This Row],[LS_TOTAL CURRENT UNITS]]=0,0,INVESTORS_LIST[[#This Row],[LS_TOTAL CURRENT UNITS]]*INVESTORS_LIST[[#This Row],[LS_AVERAGE COST]])</f>
        <v>0</v>
      </c>
      <c r="K397" s="4">
        <f>IF(INVESTORS_LIST[[#This Row],[LS_TOTAL UNITS SOLD]]=0,0,SUMIFS(LS[Realized Gain],LS[Investor ID],INVESTORS_LIST[[#This Row],[INVESTOR CODE]],LS[B/S],"S"))</f>
        <v>0</v>
      </c>
      <c r="L397" s="2">
        <f>SUMIFS(SIP[Unit],SIP[Investor ID],INVESTORS_LIST[[#This Row],[INVESTOR CODE]],SIP[B/S],"B")</f>
        <v>0</v>
      </c>
      <c r="M397" s="2">
        <f>-SUMIFS(SIP[Unit],SIP[Investor ID],INVESTORS_LIST[[#This Row],[INVESTOR CODE]],SIP[B/S],"S")</f>
        <v>0</v>
      </c>
      <c r="N397" s="33">
        <f>IF(INVESTORS_LIST[[#This Row],[SIP_TOTAL UNITS BUY]]=0,0,INVESTORS_LIST[[#This Row],[SIP_TOTAL UNITS BUY]]-INVESTORS_LIST[[#This Row],[SIP_TOTAL UNITS SOLD]])</f>
        <v>0</v>
      </c>
      <c r="O397" s="4">
        <f>IF(INVESTORS_LIST[[#This Row],[SIP_TOTAL UNITS BUY]]=0,0,SUMIFS(SIP[Amount],SIP[Investor ID],INVESTORS_LIST[[#This Row],[INVESTOR CODE]],SIP[B/S],"B"))</f>
        <v>0</v>
      </c>
      <c r="P397" s="4">
        <f>IF(INVESTORS_LIST[[#This Row],[SIP_TOTAL UNITS SOLD]]=0,0,SUMIFS(SIP[Cost of Units Sold],SIP[Investor ID],INVESTORS_LIST[[#This Row],[INVESTOR CODE]],SIP[B/S],"S"))</f>
        <v>0</v>
      </c>
      <c r="Q397" s="6">
        <f>IF(INVESTORS_LIST[[#This Row],[SIP_TOTAL CURRENT UNITS]]=0,0,INVESTORS_LIST[[#This Row],[SIP_TOTAL CURRENT UNITS]]*INVESTORS_LIST[[#This Row],[SIP_AVERAGE COST]])</f>
        <v>0</v>
      </c>
      <c r="R397" s="6">
        <f>IF(INVESTORS_LIST[[#This Row],[SIP_TOTAL UNITS SOLD]]=0,0,SUMIFS(SIP[Realized Gain],SIP[Investor ID],INVESTORS_LIST[[#This Row],[INVESTOR CODE]],SIP[B/S],"S"))</f>
        <v>0</v>
      </c>
      <c r="S397" s="33">
        <f>INVESTORS_LIST[[#This Row],[LS_TOTAL UNITS BUY]]+INVESTORS_LIST[[#This Row],[SIP_TOTAL UNITS BUY]]</f>
        <v>0</v>
      </c>
      <c r="T397" s="33">
        <f>INVESTORS_LIST[[#This Row],[LS_TOTAL UNITS SOLD]]+INVESTORS_LIST[[#This Row],[SIP_TOTAL UNITS SOLD]]</f>
        <v>0</v>
      </c>
      <c r="U397" s="33">
        <v>0</v>
      </c>
      <c r="V397" s="33">
        <f>SUMIFS(LS[BO UNIT TRANSFER],LS[Investor ID],INVESTORS_LIST[[#This Row],[INVESTOR CODE]],LS[B/S],"B")</f>
        <v>0</v>
      </c>
      <c r="W397" s="33">
        <f>SUMIFS(LS[BO UNIT TRANSFER],LS[Investor ID],INVESTORS_LIST[[#This Row],[INVESTOR CODE]],LS[B/S],"S")</f>
        <v>0</v>
      </c>
      <c r="X397" s="33">
        <f>SUMIFS(SIP[BO UNIT TRANSFER],SIP[Investor ID],INVESTORS_LIST[[#This Row],[INVESTOR CODE]],SIP[B/S],"S")</f>
        <v>0</v>
      </c>
      <c r="Y397" s="33">
        <f>SUMIFS(SIP[BO UNIT TRANSFER],SIP[Investor ID],INVESTORS_LIST[[#This Row],[INVESTOR CODE]],SIP[B/S],"B")</f>
        <v>0</v>
      </c>
      <c r="Z39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97" s="119">
        <f>INVESTORS_LIST[[#This Row],[TOTAL UNITS BUY]]-INVESTORS_LIST[[#This Row],[TOTAL UNITS SOLD]]</f>
        <v>0</v>
      </c>
      <c r="AB397" s="119">
        <f>INVESTORS_LIST[[#This Row],[TOTAL CURRENT UNITS]]-INVESTORS_LIST[[#This Row],[BO UNITS HOLD]]</f>
        <v>0</v>
      </c>
      <c r="AC397" s="119" t="e">
        <f>INDEX([4]!Table_1[BO ID],MATCH(INVESTORS_LIST[[#This Row],[INVESTOR CODE]],[4]!Table_1[INVESTOR CODE],0))</f>
        <v>#REF!</v>
      </c>
      <c r="AD397" s="33">
        <f>INVESTORS_LIST[[#This Row],[LS_TOTAL COST VALUE OF CURRENT UNITS]]+INVESTORS_LIST[[#This Row],[SIP_TOTAL COST VALUE OF CURRENT UNITS]]</f>
        <v>0</v>
      </c>
      <c r="AE397" s="44">
        <f>IF(INVESTORS_LIST[[#This Row],[TOTAL CURRENT UNITS]]=0,0,INVESTORS_LIST[[#This Row],[LS_TOTAL CURRENT UNITS]]/INVESTORS_LIST[[#This Row],[TOTAL CURRENT UNITS]])</f>
        <v>0</v>
      </c>
      <c r="AF397" s="44">
        <f>IF(INVESTORS_LIST[[#This Row],[TOTAL CURRENT UNITS]]=0,0,INVESTORS_LIST[[#This Row],[SIP_TOTAL CURRENT UNITS]]/INVESTORS_LIST[[#This Row],[TOTAL CURRENT UNITS]])</f>
        <v>0</v>
      </c>
      <c r="AG397" s="4" cm="1">
        <f t="array" ref="AG39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97" s="4" cm="1">
        <f t="array" ref="AH39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9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97" s="178">
        <f t="shared" si="6"/>
        <v>12.552</v>
      </c>
      <c r="AK397" s="118">
        <f>IF(INVESTORS_LIST[[#This Row],[TOTAL CURRENT UNITS]]=0,0,INVESTORS_LIST[[#This Row],[TOTAL CURRENT UNITS]]*INVESTORS_LIST[[#This Row],[NAV]])</f>
        <v>0</v>
      </c>
      <c r="AL397" s="4">
        <f>IF(INVESTORS_LIST[[#This Row],[LS_TOTAL CURRENT UNITS]]=0,0,INVESTORS_LIST[[#This Row],[LS_TOTAL CURRENT UNITS]]*INVESTORS_LIST[[#This Row],[NAV]])</f>
        <v>0</v>
      </c>
      <c r="AM397" s="6">
        <f>IF(INVESTORS_LIST[[#This Row],[SIP_TOTAL CURRENT UNITS]]=0,0,INVESTORS_LIST[[#This Row],[SIP_TOTAL CURRENT UNITS]]*INVESTORS_LIST[[#This Row],[NAV]])</f>
        <v>0</v>
      </c>
      <c r="AO397" s="6">
        <f>IF(INVESTORS_LIST[[#This Row],[TOTAL SELLABLE UNITS]]=0,0,INVESTORS_LIST[[#This Row],[TOTAL SELLABLE UNITS]]*INVESTORS_LIST[[#This Row],[NAV]])</f>
        <v>0</v>
      </c>
      <c r="AP397" s="6">
        <f>INVESTORS_LIST[[#This Row],[LS_TOTAL REALIZED GAIN]]+INVESTORS_LIST[[#This Row],[SIP_TOTAL REALIZED GAIN]]</f>
        <v>0</v>
      </c>
      <c r="AQ397" s="6">
        <f>INVESTORS_LIST[[#This Row],[TOTAL MARKET VALUE]]-INVESTORS_LIST[[#This Row],[TOTAL COST VALUE OF CURRENT INVESTMENT]]</f>
        <v>0</v>
      </c>
      <c r="AR397" s="6">
        <f>SUMIFS(DivAndTax[Tax Amount],DivAndTax[Investor ID],INVESTORS_LIST[[#This Row],[INVESTOR CODE]])</f>
        <v>0</v>
      </c>
      <c r="AS397" s="6">
        <f>SUMIFS(DivAndTax[Gross Dividend],DivAndTax[Investor ID],INVESTORS_LIST[[#This Row],[INVESTOR CODE]])</f>
        <v>0</v>
      </c>
      <c r="AT397" s="5">
        <f>IFERROR(INVESTORS_LIST[[#This Row],[TOTAL CURRENT UNITS]]/SUM(INVESTORS_LIST[TOTAL CURRENT UNITS]),0)</f>
        <v>0</v>
      </c>
    </row>
    <row r="398" spans="1:46" hidden="1">
      <c r="A398" t="s">
        <v>886</v>
      </c>
      <c r="B398" t="s">
        <v>872</v>
      </c>
      <c r="C398" t="s">
        <v>536</v>
      </c>
      <c r="D398" s="8" t="s">
        <v>2</v>
      </c>
      <c r="E398" s="2">
        <f>SUMIFS(LS[Unit],LS[Investor ID],INVESTORS_LIST[[#This Row],[INVESTOR CODE]],LS[B/S],"B")</f>
        <v>0</v>
      </c>
      <c r="F398" s="2">
        <f>-SUMIFS(LS[Unit],LS[Investor ID],INVESTORS_LIST[[#This Row],[INVESTOR CODE]],LS[B/S],"S")</f>
        <v>0</v>
      </c>
      <c r="G398" s="2">
        <f>IF(INVESTORS_LIST[[#This Row],[LS_TOTAL UNITS BUY]]=0,0,INVESTORS_LIST[[#This Row],[LS_TOTAL UNITS BUY]]-INVESTORS_LIST[[#This Row],[LS_TOTAL UNITS SOLD]])</f>
        <v>0</v>
      </c>
      <c r="H398" s="4">
        <f>IF(INVESTORS_LIST[[#This Row],[LS_TOTAL UNITS BUY]]=0,0,SUMIFS(LS[Amount],LS[Investor ID],INVESTORS_LIST[[#This Row],[INVESTOR CODE]],LS[B/S],"B"))</f>
        <v>0</v>
      </c>
      <c r="I398" s="6">
        <f>IF(INVESTORS_LIST[[#This Row],[LS_TOTAL UNITS SOLD]]=0,0,SUMIFS(LS[Cost of Units Sold],LS[Investor ID],INVESTORS_LIST[[#This Row],[INVESTOR CODE]],LS[B/S],"S"))</f>
        <v>0</v>
      </c>
      <c r="J398" s="6">
        <f>IF(INVESTORS_LIST[[#This Row],[LS_TOTAL CURRENT UNITS]]=0,0,INVESTORS_LIST[[#This Row],[LS_TOTAL CURRENT UNITS]]*INVESTORS_LIST[[#This Row],[LS_AVERAGE COST]])</f>
        <v>0</v>
      </c>
      <c r="K398" s="4">
        <f>IF(INVESTORS_LIST[[#This Row],[LS_TOTAL UNITS SOLD]]=0,0,SUMIFS(LS[Realized Gain],LS[Investor ID],INVESTORS_LIST[[#This Row],[INVESTOR CODE]],LS[B/S],"S"))</f>
        <v>0</v>
      </c>
      <c r="L398" s="2">
        <f>SUMIFS(SIP[Unit],SIP[Investor ID],INVESTORS_LIST[[#This Row],[INVESTOR CODE]],SIP[B/S],"B")</f>
        <v>0</v>
      </c>
      <c r="M398" s="2">
        <f>-SUMIFS(SIP[Unit],SIP[Investor ID],INVESTORS_LIST[[#This Row],[INVESTOR CODE]],SIP[B/S],"S")</f>
        <v>0</v>
      </c>
      <c r="N398" s="33">
        <f>IF(INVESTORS_LIST[[#This Row],[SIP_TOTAL UNITS BUY]]=0,0,INVESTORS_LIST[[#This Row],[SIP_TOTAL UNITS BUY]]-INVESTORS_LIST[[#This Row],[SIP_TOTAL UNITS SOLD]])</f>
        <v>0</v>
      </c>
      <c r="O398" s="4">
        <f>IF(INVESTORS_LIST[[#This Row],[SIP_TOTAL UNITS BUY]]=0,0,SUMIFS(SIP[Amount],SIP[Investor ID],INVESTORS_LIST[[#This Row],[INVESTOR CODE]],SIP[B/S],"B"))</f>
        <v>0</v>
      </c>
      <c r="P398" s="4">
        <f>IF(INVESTORS_LIST[[#This Row],[SIP_TOTAL UNITS SOLD]]=0,0,SUMIFS(SIP[Cost of Units Sold],SIP[Investor ID],INVESTORS_LIST[[#This Row],[INVESTOR CODE]],SIP[B/S],"S"))</f>
        <v>0</v>
      </c>
      <c r="Q398" s="6">
        <f>IF(INVESTORS_LIST[[#This Row],[SIP_TOTAL CURRENT UNITS]]=0,0,INVESTORS_LIST[[#This Row],[SIP_TOTAL CURRENT UNITS]]*INVESTORS_LIST[[#This Row],[SIP_AVERAGE COST]])</f>
        <v>0</v>
      </c>
      <c r="R398" s="6">
        <f>IF(INVESTORS_LIST[[#This Row],[SIP_TOTAL UNITS SOLD]]=0,0,SUMIFS(SIP[Realized Gain],SIP[Investor ID],INVESTORS_LIST[[#This Row],[INVESTOR CODE]],SIP[B/S],"S"))</f>
        <v>0</v>
      </c>
      <c r="S398" s="33">
        <f>INVESTORS_LIST[[#This Row],[LS_TOTAL UNITS BUY]]+INVESTORS_LIST[[#This Row],[SIP_TOTAL UNITS BUY]]</f>
        <v>0</v>
      </c>
      <c r="T398" s="33">
        <f>INVESTORS_LIST[[#This Row],[LS_TOTAL UNITS SOLD]]+INVESTORS_LIST[[#This Row],[SIP_TOTAL UNITS SOLD]]</f>
        <v>0</v>
      </c>
      <c r="U398" s="33">
        <v>0</v>
      </c>
      <c r="V398" s="33">
        <f>SUMIFS(LS[BO UNIT TRANSFER],LS[Investor ID],INVESTORS_LIST[[#This Row],[INVESTOR CODE]],LS[B/S],"B")</f>
        <v>0</v>
      </c>
      <c r="W398" s="33">
        <f>SUMIFS(LS[BO UNIT TRANSFER],LS[Investor ID],INVESTORS_LIST[[#This Row],[INVESTOR CODE]],LS[B/S],"S")</f>
        <v>0</v>
      </c>
      <c r="X398" s="33">
        <f>SUMIFS(SIP[BO UNIT TRANSFER],SIP[Investor ID],INVESTORS_LIST[[#This Row],[INVESTOR CODE]],SIP[B/S],"S")</f>
        <v>0</v>
      </c>
      <c r="Y398" s="33">
        <f>SUMIFS(SIP[BO UNIT TRANSFER],SIP[Investor ID],INVESTORS_LIST[[#This Row],[INVESTOR CODE]],SIP[B/S],"B")</f>
        <v>0</v>
      </c>
      <c r="Z39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98" s="119">
        <f>INVESTORS_LIST[[#This Row],[TOTAL UNITS BUY]]-INVESTORS_LIST[[#This Row],[TOTAL UNITS SOLD]]</f>
        <v>0</v>
      </c>
      <c r="AB398" s="119">
        <f>INVESTORS_LIST[[#This Row],[TOTAL CURRENT UNITS]]-INVESTORS_LIST[[#This Row],[BO UNITS HOLD]]</f>
        <v>0</v>
      </c>
      <c r="AC398" s="119" t="e">
        <f>INDEX([4]!Table_1[BO ID],MATCH(INVESTORS_LIST[[#This Row],[INVESTOR CODE]],[4]!Table_1[INVESTOR CODE],0))</f>
        <v>#REF!</v>
      </c>
      <c r="AD398" s="33">
        <f>INVESTORS_LIST[[#This Row],[LS_TOTAL COST VALUE OF CURRENT UNITS]]+INVESTORS_LIST[[#This Row],[SIP_TOTAL COST VALUE OF CURRENT UNITS]]</f>
        <v>0</v>
      </c>
      <c r="AE398" s="44">
        <f>IF(INVESTORS_LIST[[#This Row],[TOTAL CURRENT UNITS]]=0,0,INVESTORS_LIST[[#This Row],[LS_TOTAL CURRENT UNITS]]/INVESTORS_LIST[[#This Row],[TOTAL CURRENT UNITS]])</f>
        <v>0</v>
      </c>
      <c r="AF398" s="44">
        <f>IF(INVESTORS_LIST[[#This Row],[TOTAL CURRENT UNITS]]=0,0,INVESTORS_LIST[[#This Row],[SIP_TOTAL CURRENT UNITS]]/INVESTORS_LIST[[#This Row],[TOTAL CURRENT UNITS]])</f>
        <v>0</v>
      </c>
      <c r="AG398" s="4" cm="1">
        <f t="array" ref="AG39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98" s="4" cm="1">
        <f t="array" ref="AH3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9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98" s="178">
        <f t="shared" si="6"/>
        <v>12.552</v>
      </c>
      <c r="AK398" s="118">
        <f>IF(INVESTORS_LIST[[#This Row],[TOTAL CURRENT UNITS]]=0,0,INVESTORS_LIST[[#This Row],[TOTAL CURRENT UNITS]]*INVESTORS_LIST[[#This Row],[NAV]])</f>
        <v>0</v>
      </c>
      <c r="AL398" s="4">
        <f>IF(INVESTORS_LIST[[#This Row],[LS_TOTAL CURRENT UNITS]]=0,0,INVESTORS_LIST[[#This Row],[LS_TOTAL CURRENT UNITS]]*INVESTORS_LIST[[#This Row],[NAV]])</f>
        <v>0</v>
      </c>
      <c r="AM398" s="6">
        <f>IF(INVESTORS_LIST[[#This Row],[SIP_TOTAL CURRENT UNITS]]=0,0,INVESTORS_LIST[[#This Row],[SIP_TOTAL CURRENT UNITS]]*INVESTORS_LIST[[#This Row],[NAV]])</f>
        <v>0</v>
      </c>
      <c r="AO398" s="6">
        <f>IF(INVESTORS_LIST[[#This Row],[TOTAL SELLABLE UNITS]]=0,0,INVESTORS_LIST[[#This Row],[TOTAL SELLABLE UNITS]]*INVESTORS_LIST[[#This Row],[NAV]])</f>
        <v>0</v>
      </c>
      <c r="AP398" s="6">
        <f>INVESTORS_LIST[[#This Row],[LS_TOTAL REALIZED GAIN]]+INVESTORS_LIST[[#This Row],[SIP_TOTAL REALIZED GAIN]]</f>
        <v>0</v>
      </c>
      <c r="AQ398" s="6">
        <f>INVESTORS_LIST[[#This Row],[TOTAL MARKET VALUE]]-INVESTORS_LIST[[#This Row],[TOTAL COST VALUE OF CURRENT INVESTMENT]]</f>
        <v>0</v>
      </c>
      <c r="AR398" s="6">
        <f>SUMIFS(DivAndTax[Tax Amount],DivAndTax[Investor ID],INVESTORS_LIST[[#This Row],[INVESTOR CODE]])</f>
        <v>0</v>
      </c>
      <c r="AS398" s="6">
        <f>SUMIFS(DivAndTax[Gross Dividend],DivAndTax[Investor ID],INVESTORS_LIST[[#This Row],[INVESTOR CODE]])</f>
        <v>0</v>
      </c>
      <c r="AT398" s="5">
        <f>IFERROR(INVESTORS_LIST[[#This Row],[TOTAL CURRENT UNITS]]/SUM(INVESTORS_LIST[TOTAL CURRENT UNITS]),0)</f>
        <v>0</v>
      </c>
    </row>
    <row r="399" spans="1:46" hidden="1">
      <c r="A399" t="s">
        <v>873</v>
      </c>
      <c r="B399" t="s">
        <v>874</v>
      </c>
      <c r="C399" t="s">
        <v>536</v>
      </c>
      <c r="D399" s="8" t="s">
        <v>2</v>
      </c>
      <c r="E399" s="2">
        <f>SUMIFS(LS[Unit],LS[Investor ID],INVESTORS_LIST[[#This Row],[INVESTOR CODE]],LS[B/S],"B")</f>
        <v>0</v>
      </c>
      <c r="F399" s="2">
        <f>-SUMIFS(LS[Unit],LS[Investor ID],INVESTORS_LIST[[#This Row],[INVESTOR CODE]],LS[B/S],"S")</f>
        <v>0</v>
      </c>
      <c r="G399" s="2">
        <f>IF(INVESTORS_LIST[[#This Row],[LS_TOTAL UNITS BUY]]=0,0,INVESTORS_LIST[[#This Row],[LS_TOTAL UNITS BUY]]-INVESTORS_LIST[[#This Row],[LS_TOTAL UNITS SOLD]])</f>
        <v>0</v>
      </c>
      <c r="H399" s="4">
        <f>IF(INVESTORS_LIST[[#This Row],[LS_TOTAL UNITS BUY]]=0,0,SUMIFS(LS[Amount],LS[Investor ID],INVESTORS_LIST[[#This Row],[INVESTOR CODE]],LS[B/S],"B"))</f>
        <v>0</v>
      </c>
      <c r="I399" s="6">
        <f>IF(INVESTORS_LIST[[#This Row],[LS_TOTAL UNITS SOLD]]=0,0,SUMIFS(LS[Cost of Units Sold],LS[Investor ID],INVESTORS_LIST[[#This Row],[INVESTOR CODE]],LS[B/S],"S"))</f>
        <v>0</v>
      </c>
      <c r="J399" s="6">
        <f>IF(INVESTORS_LIST[[#This Row],[LS_TOTAL CURRENT UNITS]]=0,0,INVESTORS_LIST[[#This Row],[LS_TOTAL CURRENT UNITS]]*INVESTORS_LIST[[#This Row],[LS_AVERAGE COST]])</f>
        <v>0</v>
      </c>
      <c r="K399" s="4">
        <f>IF(INVESTORS_LIST[[#This Row],[LS_TOTAL UNITS SOLD]]=0,0,SUMIFS(LS[Realized Gain],LS[Investor ID],INVESTORS_LIST[[#This Row],[INVESTOR CODE]],LS[B/S],"S"))</f>
        <v>0</v>
      </c>
      <c r="L399" s="2">
        <f>SUMIFS(SIP[Unit],SIP[Investor ID],INVESTORS_LIST[[#This Row],[INVESTOR CODE]],SIP[B/S],"B")</f>
        <v>0</v>
      </c>
      <c r="M399" s="2">
        <f>-SUMIFS(SIP[Unit],SIP[Investor ID],INVESTORS_LIST[[#This Row],[INVESTOR CODE]],SIP[B/S],"S")</f>
        <v>0</v>
      </c>
      <c r="N399" s="33">
        <f>IF(INVESTORS_LIST[[#This Row],[SIP_TOTAL UNITS BUY]]=0,0,INVESTORS_LIST[[#This Row],[SIP_TOTAL UNITS BUY]]-INVESTORS_LIST[[#This Row],[SIP_TOTAL UNITS SOLD]])</f>
        <v>0</v>
      </c>
      <c r="O399" s="4">
        <f>IF(INVESTORS_LIST[[#This Row],[SIP_TOTAL UNITS BUY]]=0,0,SUMIFS(SIP[Amount],SIP[Investor ID],INVESTORS_LIST[[#This Row],[INVESTOR CODE]],SIP[B/S],"B"))</f>
        <v>0</v>
      </c>
      <c r="P399" s="4">
        <f>IF(INVESTORS_LIST[[#This Row],[SIP_TOTAL UNITS SOLD]]=0,0,SUMIFS(SIP[Cost of Units Sold],SIP[Investor ID],INVESTORS_LIST[[#This Row],[INVESTOR CODE]],SIP[B/S],"S"))</f>
        <v>0</v>
      </c>
      <c r="Q399" s="6">
        <f>IF(INVESTORS_LIST[[#This Row],[SIP_TOTAL CURRENT UNITS]]=0,0,INVESTORS_LIST[[#This Row],[SIP_TOTAL CURRENT UNITS]]*INVESTORS_LIST[[#This Row],[SIP_AVERAGE COST]])</f>
        <v>0</v>
      </c>
      <c r="R399" s="6">
        <f>IF(INVESTORS_LIST[[#This Row],[SIP_TOTAL UNITS SOLD]]=0,0,SUMIFS(SIP[Realized Gain],SIP[Investor ID],INVESTORS_LIST[[#This Row],[INVESTOR CODE]],SIP[B/S],"S"))</f>
        <v>0</v>
      </c>
      <c r="S399" s="33">
        <f>INVESTORS_LIST[[#This Row],[LS_TOTAL UNITS BUY]]+INVESTORS_LIST[[#This Row],[SIP_TOTAL UNITS BUY]]</f>
        <v>0</v>
      </c>
      <c r="T399" s="33">
        <f>INVESTORS_LIST[[#This Row],[LS_TOTAL UNITS SOLD]]+INVESTORS_LIST[[#This Row],[SIP_TOTAL UNITS SOLD]]</f>
        <v>0</v>
      </c>
      <c r="U399" s="33">
        <v>0</v>
      </c>
      <c r="V399" s="33">
        <f>SUMIFS(LS[BO UNIT TRANSFER],LS[Investor ID],INVESTORS_LIST[[#This Row],[INVESTOR CODE]],LS[B/S],"B")</f>
        <v>0</v>
      </c>
      <c r="W399" s="33">
        <f>SUMIFS(LS[BO UNIT TRANSFER],LS[Investor ID],INVESTORS_LIST[[#This Row],[INVESTOR CODE]],LS[B/S],"S")</f>
        <v>0</v>
      </c>
      <c r="X399" s="33">
        <f>SUMIFS(SIP[BO UNIT TRANSFER],SIP[Investor ID],INVESTORS_LIST[[#This Row],[INVESTOR CODE]],SIP[B/S],"S")</f>
        <v>0</v>
      </c>
      <c r="Y399" s="33">
        <f>SUMIFS(SIP[BO UNIT TRANSFER],SIP[Investor ID],INVESTORS_LIST[[#This Row],[INVESTOR CODE]],SIP[B/S],"B")</f>
        <v>0</v>
      </c>
      <c r="Z39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399" s="119">
        <f>INVESTORS_LIST[[#This Row],[TOTAL UNITS BUY]]-INVESTORS_LIST[[#This Row],[TOTAL UNITS SOLD]]</f>
        <v>0</v>
      </c>
      <c r="AB399" s="119">
        <f>INVESTORS_LIST[[#This Row],[TOTAL CURRENT UNITS]]-INVESTORS_LIST[[#This Row],[BO UNITS HOLD]]</f>
        <v>0</v>
      </c>
      <c r="AC399" s="119" t="e">
        <f>INDEX([4]!Table_1[BO ID],MATCH(INVESTORS_LIST[[#This Row],[INVESTOR CODE]],[4]!Table_1[INVESTOR CODE],0))</f>
        <v>#REF!</v>
      </c>
      <c r="AD399" s="33">
        <f>INVESTORS_LIST[[#This Row],[LS_TOTAL COST VALUE OF CURRENT UNITS]]+INVESTORS_LIST[[#This Row],[SIP_TOTAL COST VALUE OF CURRENT UNITS]]</f>
        <v>0</v>
      </c>
      <c r="AE399" s="44">
        <f>IF(INVESTORS_LIST[[#This Row],[TOTAL CURRENT UNITS]]=0,0,INVESTORS_LIST[[#This Row],[LS_TOTAL CURRENT UNITS]]/INVESTORS_LIST[[#This Row],[TOTAL CURRENT UNITS]])</f>
        <v>0</v>
      </c>
      <c r="AF399" s="44">
        <f>IF(INVESTORS_LIST[[#This Row],[TOTAL CURRENT UNITS]]=0,0,INVESTORS_LIST[[#This Row],[SIP_TOTAL CURRENT UNITS]]/INVESTORS_LIST[[#This Row],[TOTAL CURRENT UNITS]])</f>
        <v>0</v>
      </c>
      <c r="AG399" s="4" cm="1">
        <f t="array" ref="AG3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399" s="4" cm="1">
        <f t="array" ref="AH3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39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399" s="178">
        <f t="shared" si="6"/>
        <v>12.552</v>
      </c>
      <c r="AK399" s="118">
        <f>IF(INVESTORS_LIST[[#This Row],[TOTAL CURRENT UNITS]]=0,0,INVESTORS_LIST[[#This Row],[TOTAL CURRENT UNITS]]*INVESTORS_LIST[[#This Row],[NAV]])</f>
        <v>0</v>
      </c>
      <c r="AL399" s="4">
        <f>IF(INVESTORS_LIST[[#This Row],[LS_TOTAL CURRENT UNITS]]=0,0,INVESTORS_LIST[[#This Row],[LS_TOTAL CURRENT UNITS]]*INVESTORS_LIST[[#This Row],[NAV]])</f>
        <v>0</v>
      </c>
      <c r="AM399" s="6">
        <f>IF(INVESTORS_LIST[[#This Row],[SIP_TOTAL CURRENT UNITS]]=0,0,INVESTORS_LIST[[#This Row],[SIP_TOTAL CURRENT UNITS]]*INVESTORS_LIST[[#This Row],[NAV]])</f>
        <v>0</v>
      </c>
      <c r="AO399" s="6">
        <f>IF(INVESTORS_LIST[[#This Row],[TOTAL SELLABLE UNITS]]=0,0,INVESTORS_LIST[[#This Row],[TOTAL SELLABLE UNITS]]*INVESTORS_LIST[[#This Row],[NAV]])</f>
        <v>0</v>
      </c>
      <c r="AP399" s="6">
        <f>INVESTORS_LIST[[#This Row],[LS_TOTAL REALIZED GAIN]]+INVESTORS_LIST[[#This Row],[SIP_TOTAL REALIZED GAIN]]</f>
        <v>0</v>
      </c>
      <c r="AQ399" s="6">
        <f>INVESTORS_LIST[[#This Row],[TOTAL MARKET VALUE]]-INVESTORS_LIST[[#This Row],[TOTAL COST VALUE OF CURRENT INVESTMENT]]</f>
        <v>0</v>
      </c>
      <c r="AR399" s="6">
        <f>SUMIFS(DivAndTax[Tax Amount],DivAndTax[Investor ID],INVESTORS_LIST[[#This Row],[INVESTOR CODE]])</f>
        <v>0</v>
      </c>
      <c r="AS399" s="6">
        <f>SUMIFS(DivAndTax[Gross Dividend],DivAndTax[Investor ID],INVESTORS_LIST[[#This Row],[INVESTOR CODE]])</f>
        <v>0</v>
      </c>
      <c r="AT399" s="5">
        <f>IFERROR(INVESTORS_LIST[[#This Row],[TOTAL CURRENT UNITS]]/SUM(INVESTORS_LIST[TOTAL CURRENT UNITS]),0)</f>
        <v>0</v>
      </c>
    </row>
    <row r="400" spans="1:46" hidden="1">
      <c r="A400" t="s">
        <v>875</v>
      </c>
      <c r="B400" t="s">
        <v>876</v>
      </c>
      <c r="C400" t="s">
        <v>537</v>
      </c>
      <c r="D400" s="8" t="s">
        <v>5</v>
      </c>
      <c r="E400" s="2">
        <f>SUMIFS(LS[Unit],LS[Investor ID],INVESTORS_LIST[[#This Row],[INVESTOR CODE]],LS[B/S],"B")</f>
        <v>1010101</v>
      </c>
      <c r="F400" s="2">
        <f>-SUMIFS(LS[Unit],LS[Investor ID],INVESTORS_LIST[[#This Row],[INVESTOR CODE]],LS[B/S],"S")</f>
        <v>1010101</v>
      </c>
      <c r="G400" s="2">
        <f>IF(INVESTORS_LIST[[#This Row],[LS_TOTAL UNITS BUY]]=0,0,INVESTORS_LIST[[#This Row],[LS_TOTAL UNITS BUY]]-INVESTORS_LIST[[#This Row],[LS_TOTAL UNITS SOLD]])</f>
        <v>0</v>
      </c>
      <c r="H400" s="4">
        <f>IF(INVESTORS_LIST[[#This Row],[LS_TOTAL UNITS BUY]]=0,0,SUMIFS(LS[Amount],LS[Investor ID],INVESTORS_LIST[[#This Row],[INVESTOR CODE]],LS[B/S],"B"))</f>
        <v>10000000</v>
      </c>
      <c r="I400" s="6">
        <f>IF(INVESTORS_LIST[[#This Row],[LS_TOTAL UNITS SOLD]]=0,0,SUMIFS(LS[Cost of Units Sold],LS[Investor ID],INVESTORS_LIST[[#This Row],[INVESTOR CODE]],LS[B/S],"S"))</f>
        <v>10000000</v>
      </c>
      <c r="J400" s="6">
        <f>IF(INVESTORS_LIST[[#This Row],[LS_TOTAL CURRENT UNITS]]=0,0,INVESTORS_LIST[[#This Row],[LS_TOTAL CURRENT UNITS]]*INVESTORS_LIST[[#This Row],[LS_AVERAGE COST]])</f>
        <v>0</v>
      </c>
      <c r="K400" s="4">
        <f>IF(INVESTORS_LIST[[#This Row],[LS_TOTAL UNITS SOLD]]=0,0,SUMIFS(LS[Realized Gain],LS[Investor ID],INVESTORS_LIST[[#This Row],[INVESTOR CODE]],LS[B/S],"S"))</f>
        <v>121212.01999999912</v>
      </c>
      <c r="L400" s="2">
        <f>SUMIFS(SIP[Unit],SIP[Investor ID],INVESTORS_LIST[[#This Row],[INVESTOR CODE]],SIP[B/S],"B")</f>
        <v>0</v>
      </c>
      <c r="M400" s="2">
        <f>-SUMIFS(SIP[Unit],SIP[Investor ID],INVESTORS_LIST[[#This Row],[INVESTOR CODE]],SIP[B/S],"S")</f>
        <v>0</v>
      </c>
      <c r="N400" s="33">
        <f>IF(INVESTORS_LIST[[#This Row],[SIP_TOTAL UNITS BUY]]=0,0,INVESTORS_LIST[[#This Row],[SIP_TOTAL UNITS BUY]]-INVESTORS_LIST[[#This Row],[SIP_TOTAL UNITS SOLD]])</f>
        <v>0</v>
      </c>
      <c r="O400" s="4">
        <f>IF(INVESTORS_LIST[[#This Row],[SIP_TOTAL UNITS BUY]]=0,0,SUMIFS(SIP[Amount],SIP[Investor ID],INVESTORS_LIST[[#This Row],[INVESTOR CODE]],SIP[B/S],"B"))</f>
        <v>0</v>
      </c>
      <c r="P400" s="4">
        <f>IF(INVESTORS_LIST[[#This Row],[SIP_TOTAL UNITS SOLD]]=0,0,SUMIFS(SIP[Cost of Units Sold],SIP[Investor ID],INVESTORS_LIST[[#This Row],[INVESTOR CODE]],SIP[B/S],"S"))</f>
        <v>0</v>
      </c>
      <c r="Q400" s="6">
        <f>IF(INVESTORS_LIST[[#This Row],[SIP_TOTAL CURRENT UNITS]]=0,0,INVESTORS_LIST[[#This Row],[SIP_TOTAL CURRENT UNITS]]*INVESTORS_LIST[[#This Row],[SIP_AVERAGE COST]])</f>
        <v>0</v>
      </c>
      <c r="R400" s="6">
        <f>IF(INVESTORS_LIST[[#This Row],[SIP_TOTAL UNITS SOLD]]=0,0,SUMIFS(SIP[Realized Gain],SIP[Investor ID],INVESTORS_LIST[[#This Row],[INVESTOR CODE]],SIP[B/S],"S"))</f>
        <v>0</v>
      </c>
      <c r="S400" s="33">
        <f>INVESTORS_LIST[[#This Row],[LS_TOTAL UNITS BUY]]+INVESTORS_LIST[[#This Row],[SIP_TOTAL UNITS BUY]]</f>
        <v>1010101</v>
      </c>
      <c r="T400" s="33">
        <f>INVESTORS_LIST[[#This Row],[LS_TOTAL UNITS SOLD]]+INVESTORS_LIST[[#This Row],[SIP_TOTAL UNITS SOLD]]</f>
        <v>1010101</v>
      </c>
      <c r="U400" s="33">
        <v>0</v>
      </c>
      <c r="V400" s="33">
        <f>SUMIFS(LS[BO UNIT TRANSFER],LS[Investor ID],INVESTORS_LIST[[#This Row],[INVESTOR CODE]],LS[B/S],"B")</f>
        <v>0</v>
      </c>
      <c r="W400" s="33">
        <f>SUMIFS(LS[BO UNIT TRANSFER],LS[Investor ID],INVESTORS_LIST[[#This Row],[INVESTOR CODE]],LS[B/S],"S")</f>
        <v>0</v>
      </c>
      <c r="X400" s="33">
        <f>SUMIFS(SIP[BO UNIT TRANSFER],SIP[Investor ID],INVESTORS_LIST[[#This Row],[INVESTOR CODE]],SIP[B/S],"S")</f>
        <v>0</v>
      </c>
      <c r="Y400" s="33">
        <f>SUMIFS(SIP[BO UNIT TRANSFER],SIP[Investor ID],INVESTORS_LIST[[#This Row],[INVESTOR CODE]],SIP[B/S],"B")</f>
        <v>0</v>
      </c>
      <c r="Z40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00" s="119">
        <f>INVESTORS_LIST[[#This Row],[TOTAL UNITS BUY]]-INVESTORS_LIST[[#This Row],[TOTAL UNITS SOLD]]</f>
        <v>0</v>
      </c>
      <c r="AB400" s="119">
        <f>INVESTORS_LIST[[#This Row],[TOTAL CURRENT UNITS]]-INVESTORS_LIST[[#This Row],[BO UNITS HOLD]]</f>
        <v>0</v>
      </c>
      <c r="AC400" s="119" t="e">
        <f>INDEX([4]!Table_1[BO ID],MATCH(INVESTORS_LIST[[#This Row],[INVESTOR CODE]],[4]!Table_1[INVESTOR CODE],0))</f>
        <v>#REF!</v>
      </c>
      <c r="AD400" s="33">
        <f>INVESTORS_LIST[[#This Row],[LS_TOTAL COST VALUE OF CURRENT UNITS]]+INVESTORS_LIST[[#This Row],[SIP_TOTAL COST VALUE OF CURRENT UNITS]]</f>
        <v>0</v>
      </c>
      <c r="AE400" s="44">
        <f>IF(INVESTORS_LIST[[#This Row],[TOTAL CURRENT UNITS]]=0,0,INVESTORS_LIST[[#This Row],[LS_TOTAL CURRENT UNITS]]/INVESTORS_LIST[[#This Row],[TOTAL CURRENT UNITS]])</f>
        <v>0</v>
      </c>
      <c r="AF400" s="44">
        <f>IF(INVESTORS_LIST[[#This Row],[TOTAL CURRENT UNITS]]=0,0,INVESTORS_LIST[[#This Row],[SIP_TOTAL CURRENT UNITS]]/INVESTORS_LIST[[#This Row],[TOTAL CURRENT UNITS]])</f>
        <v>0</v>
      </c>
      <c r="AG400" s="4" cm="1">
        <f t="array" ref="AG4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00" s="4" cm="1">
        <f t="array" ref="AH4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0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00" s="178">
        <f t="shared" si="6"/>
        <v>12.552</v>
      </c>
      <c r="AK400" s="118">
        <f>IF(INVESTORS_LIST[[#This Row],[TOTAL CURRENT UNITS]]=0,0,INVESTORS_LIST[[#This Row],[TOTAL CURRENT UNITS]]*INVESTORS_LIST[[#This Row],[NAV]])</f>
        <v>0</v>
      </c>
      <c r="AL400" s="4">
        <f>IF(INVESTORS_LIST[[#This Row],[LS_TOTAL CURRENT UNITS]]=0,0,INVESTORS_LIST[[#This Row],[LS_TOTAL CURRENT UNITS]]*INVESTORS_LIST[[#This Row],[NAV]])</f>
        <v>0</v>
      </c>
      <c r="AM400" s="6">
        <f>IF(INVESTORS_LIST[[#This Row],[SIP_TOTAL CURRENT UNITS]]=0,0,INVESTORS_LIST[[#This Row],[SIP_TOTAL CURRENT UNITS]]*INVESTORS_LIST[[#This Row],[NAV]])</f>
        <v>0</v>
      </c>
      <c r="AO400" s="6">
        <f>IF(INVESTORS_LIST[[#This Row],[TOTAL SELLABLE UNITS]]=0,0,INVESTORS_LIST[[#This Row],[TOTAL SELLABLE UNITS]]*INVESTORS_LIST[[#This Row],[NAV]])</f>
        <v>0</v>
      </c>
      <c r="AP400" s="6">
        <f>INVESTORS_LIST[[#This Row],[LS_TOTAL REALIZED GAIN]]+INVESTORS_LIST[[#This Row],[SIP_TOTAL REALIZED GAIN]]</f>
        <v>121212.01999999912</v>
      </c>
      <c r="AQ400" s="6">
        <f>INVESTORS_LIST[[#This Row],[TOTAL MARKET VALUE]]-INVESTORS_LIST[[#This Row],[TOTAL COST VALUE OF CURRENT INVESTMENT]]</f>
        <v>0</v>
      </c>
      <c r="AR400" s="6">
        <f>SUMIFS(DivAndTax[Tax Amount],DivAndTax[Investor ID],INVESTORS_LIST[[#This Row],[INVESTOR CODE]])</f>
        <v>0</v>
      </c>
      <c r="AS400" s="6">
        <f>SUMIFS(DivAndTax[Gross Dividend],DivAndTax[Investor ID],INVESTORS_LIST[[#This Row],[INVESTOR CODE]])</f>
        <v>0</v>
      </c>
      <c r="AT400" s="5">
        <f>IFERROR(INVESTORS_LIST[[#This Row],[TOTAL CURRENT UNITS]]/SUM(INVESTORS_LIST[TOTAL CURRENT UNITS]),0)</f>
        <v>0</v>
      </c>
    </row>
    <row r="401" spans="1:46" hidden="1">
      <c r="A401" t="s">
        <v>877</v>
      </c>
      <c r="B401" t="s">
        <v>878</v>
      </c>
      <c r="C401" t="s">
        <v>536</v>
      </c>
      <c r="D401" s="8" t="s">
        <v>2</v>
      </c>
      <c r="E401" s="2">
        <f>SUMIFS(LS[Unit],LS[Investor ID],INVESTORS_LIST[[#This Row],[INVESTOR CODE]],LS[B/S],"B")</f>
        <v>0</v>
      </c>
      <c r="F401" s="2">
        <f>-SUMIFS(LS[Unit],LS[Investor ID],INVESTORS_LIST[[#This Row],[INVESTOR CODE]],LS[B/S],"S")</f>
        <v>0</v>
      </c>
      <c r="G401" s="2">
        <f>IF(INVESTORS_LIST[[#This Row],[LS_TOTAL UNITS BUY]]=0,0,INVESTORS_LIST[[#This Row],[LS_TOTAL UNITS BUY]]-INVESTORS_LIST[[#This Row],[LS_TOTAL UNITS SOLD]])</f>
        <v>0</v>
      </c>
      <c r="H401" s="4">
        <f>IF(INVESTORS_LIST[[#This Row],[LS_TOTAL UNITS BUY]]=0,0,SUMIFS(LS[Amount],LS[Investor ID],INVESTORS_LIST[[#This Row],[INVESTOR CODE]],LS[B/S],"B"))</f>
        <v>0</v>
      </c>
      <c r="I401" s="6">
        <f>IF(INVESTORS_LIST[[#This Row],[LS_TOTAL UNITS SOLD]]=0,0,SUMIFS(LS[Cost of Units Sold],LS[Investor ID],INVESTORS_LIST[[#This Row],[INVESTOR CODE]],LS[B/S],"S"))</f>
        <v>0</v>
      </c>
      <c r="J401" s="6">
        <f>IF(INVESTORS_LIST[[#This Row],[LS_TOTAL CURRENT UNITS]]=0,0,INVESTORS_LIST[[#This Row],[LS_TOTAL CURRENT UNITS]]*INVESTORS_LIST[[#This Row],[LS_AVERAGE COST]])</f>
        <v>0</v>
      </c>
      <c r="K401" s="4">
        <f>IF(INVESTORS_LIST[[#This Row],[LS_TOTAL UNITS SOLD]]=0,0,SUMIFS(LS[Realized Gain],LS[Investor ID],INVESTORS_LIST[[#This Row],[INVESTOR CODE]],LS[B/S],"S"))</f>
        <v>0</v>
      </c>
      <c r="L401" s="2">
        <f>SUMIFS(SIP[Unit],SIP[Investor ID],INVESTORS_LIST[[#This Row],[INVESTOR CODE]],SIP[B/S],"B")</f>
        <v>0</v>
      </c>
      <c r="M401" s="2">
        <f>-SUMIFS(SIP[Unit],SIP[Investor ID],INVESTORS_LIST[[#This Row],[INVESTOR CODE]],SIP[B/S],"S")</f>
        <v>0</v>
      </c>
      <c r="N401" s="33">
        <f>IF(INVESTORS_LIST[[#This Row],[SIP_TOTAL UNITS BUY]]=0,0,INVESTORS_LIST[[#This Row],[SIP_TOTAL UNITS BUY]]-INVESTORS_LIST[[#This Row],[SIP_TOTAL UNITS SOLD]])</f>
        <v>0</v>
      </c>
      <c r="O401" s="4">
        <f>IF(INVESTORS_LIST[[#This Row],[SIP_TOTAL UNITS BUY]]=0,0,SUMIFS(SIP[Amount],SIP[Investor ID],INVESTORS_LIST[[#This Row],[INVESTOR CODE]],SIP[B/S],"B"))</f>
        <v>0</v>
      </c>
      <c r="P401" s="4">
        <f>IF(INVESTORS_LIST[[#This Row],[SIP_TOTAL UNITS SOLD]]=0,0,SUMIFS(SIP[Cost of Units Sold],SIP[Investor ID],INVESTORS_LIST[[#This Row],[INVESTOR CODE]],SIP[B/S],"S"))</f>
        <v>0</v>
      </c>
      <c r="Q401" s="6">
        <f>IF(INVESTORS_LIST[[#This Row],[SIP_TOTAL CURRENT UNITS]]=0,0,INVESTORS_LIST[[#This Row],[SIP_TOTAL CURRENT UNITS]]*INVESTORS_LIST[[#This Row],[SIP_AVERAGE COST]])</f>
        <v>0</v>
      </c>
      <c r="R401" s="6">
        <f>IF(INVESTORS_LIST[[#This Row],[SIP_TOTAL UNITS SOLD]]=0,0,SUMIFS(SIP[Realized Gain],SIP[Investor ID],INVESTORS_LIST[[#This Row],[INVESTOR CODE]],SIP[B/S],"S"))</f>
        <v>0</v>
      </c>
      <c r="S401" s="33">
        <f>INVESTORS_LIST[[#This Row],[LS_TOTAL UNITS BUY]]+INVESTORS_LIST[[#This Row],[SIP_TOTAL UNITS BUY]]</f>
        <v>0</v>
      </c>
      <c r="T401" s="33">
        <f>INVESTORS_LIST[[#This Row],[LS_TOTAL UNITS SOLD]]+INVESTORS_LIST[[#This Row],[SIP_TOTAL UNITS SOLD]]</f>
        <v>0</v>
      </c>
      <c r="U401" s="33">
        <v>0</v>
      </c>
      <c r="V401" s="33">
        <f>SUMIFS(LS[BO UNIT TRANSFER],LS[Investor ID],INVESTORS_LIST[[#This Row],[INVESTOR CODE]],LS[B/S],"B")</f>
        <v>0</v>
      </c>
      <c r="W401" s="33">
        <f>SUMIFS(LS[BO UNIT TRANSFER],LS[Investor ID],INVESTORS_LIST[[#This Row],[INVESTOR CODE]],LS[B/S],"S")</f>
        <v>0</v>
      </c>
      <c r="X401" s="33">
        <f>SUMIFS(SIP[BO UNIT TRANSFER],SIP[Investor ID],INVESTORS_LIST[[#This Row],[INVESTOR CODE]],SIP[B/S],"S")</f>
        <v>0</v>
      </c>
      <c r="Y401" s="33">
        <f>SUMIFS(SIP[BO UNIT TRANSFER],SIP[Investor ID],INVESTORS_LIST[[#This Row],[INVESTOR CODE]],SIP[B/S],"B")</f>
        <v>0</v>
      </c>
      <c r="Z40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01" s="119">
        <f>INVESTORS_LIST[[#This Row],[TOTAL UNITS BUY]]-INVESTORS_LIST[[#This Row],[TOTAL UNITS SOLD]]</f>
        <v>0</v>
      </c>
      <c r="AB401" s="119">
        <f>INVESTORS_LIST[[#This Row],[TOTAL CURRENT UNITS]]-INVESTORS_LIST[[#This Row],[BO UNITS HOLD]]</f>
        <v>0</v>
      </c>
      <c r="AC401" s="119" t="e">
        <f>INDEX([4]!Table_1[BO ID],MATCH(INVESTORS_LIST[[#This Row],[INVESTOR CODE]],[4]!Table_1[INVESTOR CODE],0))</f>
        <v>#REF!</v>
      </c>
      <c r="AD401" s="33">
        <f>INVESTORS_LIST[[#This Row],[LS_TOTAL COST VALUE OF CURRENT UNITS]]+INVESTORS_LIST[[#This Row],[SIP_TOTAL COST VALUE OF CURRENT UNITS]]</f>
        <v>0</v>
      </c>
      <c r="AE401" s="44">
        <f>IF(INVESTORS_LIST[[#This Row],[TOTAL CURRENT UNITS]]=0,0,INVESTORS_LIST[[#This Row],[LS_TOTAL CURRENT UNITS]]/INVESTORS_LIST[[#This Row],[TOTAL CURRENT UNITS]])</f>
        <v>0</v>
      </c>
      <c r="AF401" s="44">
        <f>IF(INVESTORS_LIST[[#This Row],[TOTAL CURRENT UNITS]]=0,0,INVESTORS_LIST[[#This Row],[SIP_TOTAL CURRENT UNITS]]/INVESTORS_LIST[[#This Row],[TOTAL CURRENT UNITS]])</f>
        <v>0</v>
      </c>
      <c r="AG401" s="4" cm="1">
        <f t="array" ref="AG40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01" s="4" cm="1">
        <f t="array" ref="AH4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0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01" s="178">
        <f t="shared" si="6"/>
        <v>12.552</v>
      </c>
      <c r="AK401" s="118">
        <f>IF(INVESTORS_LIST[[#This Row],[TOTAL CURRENT UNITS]]=0,0,INVESTORS_LIST[[#This Row],[TOTAL CURRENT UNITS]]*INVESTORS_LIST[[#This Row],[NAV]])</f>
        <v>0</v>
      </c>
      <c r="AL401" s="4">
        <f>IF(INVESTORS_LIST[[#This Row],[LS_TOTAL CURRENT UNITS]]=0,0,INVESTORS_LIST[[#This Row],[LS_TOTAL CURRENT UNITS]]*INVESTORS_LIST[[#This Row],[NAV]])</f>
        <v>0</v>
      </c>
      <c r="AM401" s="6">
        <f>IF(INVESTORS_LIST[[#This Row],[SIP_TOTAL CURRENT UNITS]]=0,0,INVESTORS_LIST[[#This Row],[SIP_TOTAL CURRENT UNITS]]*INVESTORS_LIST[[#This Row],[NAV]])</f>
        <v>0</v>
      </c>
      <c r="AO401" s="6">
        <f>IF(INVESTORS_LIST[[#This Row],[TOTAL SELLABLE UNITS]]=0,0,INVESTORS_LIST[[#This Row],[TOTAL SELLABLE UNITS]]*INVESTORS_LIST[[#This Row],[NAV]])</f>
        <v>0</v>
      </c>
      <c r="AP401" s="6">
        <f>INVESTORS_LIST[[#This Row],[LS_TOTAL REALIZED GAIN]]+INVESTORS_LIST[[#This Row],[SIP_TOTAL REALIZED GAIN]]</f>
        <v>0</v>
      </c>
      <c r="AQ401" s="6">
        <f>INVESTORS_LIST[[#This Row],[TOTAL MARKET VALUE]]-INVESTORS_LIST[[#This Row],[TOTAL COST VALUE OF CURRENT INVESTMENT]]</f>
        <v>0</v>
      </c>
      <c r="AR401" s="6">
        <f>SUMIFS(DivAndTax[Tax Amount],DivAndTax[Investor ID],INVESTORS_LIST[[#This Row],[INVESTOR CODE]])</f>
        <v>0</v>
      </c>
      <c r="AS401" s="6">
        <f>SUMIFS(DivAndTax[Gross Dividend],DivAndTax[Investor ID],INVESTORS_LIST[[#This Row],[INVESTOR CODE]])</f>
        <v>0</v>
      </c>
      <c r="AT401" s="5">
        <f>IFERROR(INVESTORS_LIST[[#This Row],[TOTAL CURRENT UNITS]]/SUM(INVESTORS_LIST[TOTAL CURRENT UNITS]),0)</f>
        <v>0</v>
      </c>
    </row>
    <row r="402" spans="1:46" hidden="1">
      <c r="A402" t="s">
        <v>879</v>
      </c>
      <c r="B402" t="s">
        <v>880</v>
      </c>
      <c r="C402" t="s">
        <v>536</v>
      </c>
      <c r="D402" s="8" t="s">
        <v>2</v>
      </c>
      <c r="E402" s="2">
        <f>SUMIFS(LS[Unit],LS[Investor ID],INVESTORS_LIST[[#This Row],[INVESTOR CODE]],LS[B/S],"B")</f>
        <v>0</v>
      </c>
      <c r="F402" s="2">
        <f>-SUMIFS(LS[Unit],LS[Investor ID],INVESTORS_LIST[[#This Row],[INVESTOR CODE]],LS[B/S],"S")</f>
        <v>0</v>
      </c>
      <c r="G402" s="2">
        <f>IF(INVESTORS_LIST[[#This Row],[LS_TOTAL UNITS BUY]]=0,0,INVESTORS_LIST[[#This Row],[LS_TOTAL UNITS BUY]]-INVESTORS_LIST[[#This Row],[LS_TOTAL UNITS SOLD]])</f>
        <v>0</v>
      </c>
      <c r="H402" s="4">
        <f>IF(INVESTORS_LIST[[#This Row],[LS_TOTAL UNITS BUY]]=0,0,SUMIFS(LS[Amount],LS[Investor ID],INVESTORS_LIST[[#This Row],[INVESTOR CODE]],LS[B/S],"B"))</f>
        <v>0</v>
      </c>
      <c r="I402" s="6">
        <f>IF(INVESTORS_LIST[[#This Row],[LS_TOTAL UNITS SOLD]]=0,0,SUMIFS(LS[Cost of Units Sold],LS[Investor ID],INVESTORS_LIST[[#This Row],[INVESTOR CODE]],LS[B/S],"S"))</f>
        <v>0</v>
      </c>
      <c r="J402" s="6">
        <f>IF(INVESTORS_LIST[[#This Row],[LS_TOTAL CURRENT UNITS]]=0,0,INVESTORS_LIST[[#This Row],[LS_TOTAL CURRENT UNITS]]*INVESTORS_LIST[[#This Row],[LS_AVERAGE COST]])</f>
        <v>0</v>
      </c>
      <c r="K402" s="4">
        <f>IF(INVESTORS_LIST[[#This Row],[LS_TOTAL UNITS SOLD]]=0,0,SUMIFS(LS[Realized Gain],LS[Investor ID],INVESTORS_LIST[[#This Row],[INVESTOR CODE]],LS[B/S],"S"))</f>
        <v>0</v>
      </c>
      <c r="L402" s="2">
        <f>SUMIFS(SIP[Unit],SIP[Investor ID],INVESTORS_LIST[[#This Row],[INVESTOR CODE]],SIP[B/S],"B")</f>
        <v>0</v>
      </c>
      <c r="M402" s="2">
        <f>-SUMIFS(SIP[Unit],SIP[Investor ID],INVESTORS_LIST[[#This Row],[INVESTOR CODE]],SIP[B/S],"S")</f>
        <v>0</v>
      </c>
      <c r="N402" s="33">
        <f>IF(INVESTORS_LIST[[#This Row],[SIP_TOTAL UNITS BUY]]=0,0,INVESTORS_LIST[[#This Row],[SIP_TOTAL UNITS BUY]]-INVESTORS_LIST[[#This Row],[SIP_TOTAL UNITS SOLD]])</f>
        <v>0</v>
      </c>
      <c r="O402" s="4">
        <f>IF(INVESTORS_LIST[[#This Row],[SIP_TOTAL UNITS BUY]]=0,0,SUMIFS(SIP[Amount],SIP[Investor ID],INVESTORS_LIST[[#This Row],[INVESTOR CODE]],SIP[B/S],"B"))</f>
        <v>0</v>
      </c>
      <c r="P402" s="4">
        <f>IF(INVESTORS_LIST[[#This Row],[SIP_TOTAL UNITS SOLD]]=0,0,SUMIFS(SIP[Cost of Units Sold],SIP[Investor ID],INVESTORS_LIST[[#This Row],[INVESTOR CODE]],SIP[B/S],"S"))</f>
        <v>0</v>
      </c>
      <c r="Q402" s="6">
        <f>IF(INVESTORS_LIST[[#This Row],[SIP_TOTAL CURRENT UNITS]]=0,0,INVESTORS_LIST[[#This Row],[SIP_TOTAL CURRENT UNITS]]*INVESTORS_LIST[[#This Row],[SIP_AVERAGE COST]])</f>
        <v>0</v>
      </c>
      <c r="R402" s="6">
        <f>IF(INVESTORS_LIST[[#This Row],[SIP_TOTAL UNITS SOLD]]=0,0,SUMIFS(SIP[Realized Gain],SIP[Investor ID],INVESTORS_LIST[[#This Row],[INVESTOR CODE]],SIP[B/S],"S"))</f>
        <v>0</v>
      </c>
      <c r="S402" s="33">
        <f>INVESTORS_LIST[[#This Row],[LS_TOTAL UNITS BUY]]+INVESTORS_LIST[[#This Row],[SIP_TOTAL UNITS BUY]]</f>
        <v>0</v>
      </c>
      <c r="T402" s="33">
        <f>INVESTORS_LIST[[#This Row],[LS_TOTAL UNITS SOLD]]+INVESTORS_LIST[[#This Row],[SIP_TOTAL UNITS SOLD]]</f>
        <v>0</v>
      </c>
      <c r="U402" s="33">
        <v>0</v>
      </c>
      <c r="V402" s="33">
        <f>SUMIFS(LS[BO UNIT TRANSFER],LS[Investor ID],INVESTORS_LIST[[#This Row],[INVESTOR CODE]],LS[B/S],"B")</f>
        <v>0</v>
      </c>
      <c r="W402" s="33">
        <f>SUMIFS(LS[BO UNIT TRANSFER],LS[Investor ID],INVESTORS_LIST[[#This Row],[INVESTOR CODE]],LS[B/S],"S")</f>
        <v>0</v>
      </c>
      <c r="X402" s="33">
        <f>SUMIFS(SIP[BO UNIT TRANSFER],SIP[Investor ID],INVESTORS_LIST[[#This Row],[INVESTOR CODE]],SIP[B/S],"S")</f>
        <v>0</v>
      </c>
      <c r="Y402" s="33">
        <f>SUMIFS(SIP[BO UNIT TRANSFER],SIP[Investor ID],INVESTORS_LIST[[#This Row],[INVESTOR CODE]],SIP[B/S],"B")</f>
        <v>0</v>
      </c>
      <c r="Z40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02" s="119">
        <f>INVESTORS_LIST[[#This Row],[TOTAL UNITS BUY]]-INVESTORS_LIST[[#This Row],[TOTAL UNITS SOLD]]</f>
        <v>0</v>
      </c>
      <c r="AB402" s="119">
        <f>INVESTORS_LIST[[#This Row],[TOTAL CURRENT UNITS]]-INVESTORS_LIST[[#This Row],[BO UNITS HOLD]]</f>
        <v>0</v>
      </c>
      <c r="AC402" s="119" t="e">
        <f>INDEX([4]!Table_1[BO ID],MATCH(INVESTORS_LIST[[#This Row],[INVESTOR CODE]],[4]!Table_1[INVESTOR CODE],0))</f>
        <v>#REF!</v>
      </c>
      <c r="AD402" s="33">
        <f>INVESTORS_LIST[[#This Row],[LS_TOTAL COST VALUE OF CURRENT UNITS]]+INVESTORS_LIST[[#This Row],[SIP_TOTAL COST VALUE OF CURRENT UNITS]]</f>
        <v>0</v>
      </c>
      <c r="AE402" s="44">
        <f>IF(INVESTORS_LIST[[#This Row],[TOTAL CURRENT UNITS]]=0,0,INVESTORS_LIST[[#This Row],[LS_TOTAL CURRENT UNITS]]/INVESTORS_LIST[[#This Row],[TOTAL CURRENT UNITS]])</f>
        <v>0</v>
      </c>
      <c r="AF402" s="44">
        <f>IF(INVESTORS_LIST[[#This Row],[TOTAL CURRENT UNITS]]=0,0,INVESTORS_LIST[[#This Row],[SIP_TOTAL CURRENT UNITS]]/INVESTORS_LIST[[#This Row],[TOTAL CURRENT UNITS]])</f>
        <v>0</v>
      </c>
      <c r="AG402" s="4" cm="1">
        <f t="array" ref="AG40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02" s="4" cm="1">
        <f t="array" ref="AH4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0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02" s="178">
        <f t="shared" si="6"/>
        <v>12.552</v>
      </c>
      <c r="AK402" s="118">
        <f>IF(INVESTORS_LIST[[#This Row],[TOTAL CURRENT UNITS]]=0,0,INVESTORS_LIST[[#This Row],[TOTAL CURRENT UNITS]]*INVESTORS_LIST[[#This Row],[NAV]])</f>
        <v>0</v>
      </c>
      <c r="AL402" s="4">
        <f>IF(INVESTORS_LIST[[#This Row],[LS_TOTAL CURRENT UNITS]]=0,0,INVESTORS_LIST[[#This Row],[LS_TOTAL CURRENT UNITS]]*INVESTORS_LIST[[#This Row],[NAV]])</f>
        <v>0</v>
      </c>
      <c r="AM402" s="6">
        <f>IF(INVESTORS_LIST[[#This Row],[SIP_TOTAL CURRENT UNITS]]=0,0,INVESTORS_LIST[[#This Row],[SIP_TOTAL CURRENT UNITS]]*INVESTORS_LIST[[#This Row],[NAV]])</f>
        <v>0</v>
      </c>
      <c r="AO402" s="6">
        <f>IF(INVESTORS_LIST[[#This Row],[TOTAL SELLABLE UNITS]]=0,0,INVESTORS_LIST[[#This Row],[TOTAL SELLABLE UNITS]]*INVESTORS_LIST[[#This Row],[NAV]])</f>
        <v>0</v>
      </c>
      <c r="AP402" s="6">
        <f>INVESTORS_LIST[[#This Row],[LS_TOTAL REALIZED GAIN]]+INVESTORS_LIST[[#This Row],[SIP_TOTAL REALIZED GAIN]]</f>
        <v>0</v>
      </c>
      <c r="AQ402" s="6">
        <f>INVESTORS_LIST[[#This Row],[TOTAL MARKET VALUE]]-INVESTORS_LIST[[#This Row],[TOTAL COST VALUE OF CURRENT INVESTMENT]]</f>
        <v>0</v>
      </c>
      <c r="AR402" s="6">
        <f>SUMIFS(DivAndTax[Tax Amount],DivAndTax[Investor ID],INVESTORS_LIST[[#This Row],[INVESTOR CODE]])</f>
        <v>0</v>
      </c>
      <c r="AS402" s="6">
        <f>SUMIFS(DivAndTax[Gross Dividend],DivAndTax[Investor ID],INVESTORS_LIST[[#This Row],[INVESTOR CODE]])</f>
        <v>0</v>
      </c>
      <c r="AT402" s="5">
        <f>IFERROR(INVESTORS_LIST[[#This Row],[TOTAL CURRENT UNITS]]/SUM(INVESTORS_LIST[TOTAL CURRENT UNITS]),0)</f>
        <v>0</v>
      </c>
    </row>
    <row r="403" spans="1:46" hidden="1">
      <c r="A403" t="s">
        <v>887</v>
      </c>
      <c r="B403" t="s">
        <v>888</v>
      </c>
      <c r="C403" t="s">
        <v>536</v>
      </c>
      <c r="D403" s="8" t="s">
        <v>2</v>
      </c>
      <c r="E403" s="2">
        <f>SUMIFS(LS[Unit],LS[Investor ID],INVESTORS_LIST[[#This Row],[INVESTOR CODE]],LS[B/S],"B")</f>
        <v>0</v>
      </c>
      <c r="F403" s="2">
        <f>-SUMIFS(LS[Unit],LS[Investor ID],INVESTORS_LIST[[#This Row],[INVESTOR CODE]],LS[B/S],"S")</f>
        <v>0</v>
      </c>
      <c r="G403" s="2">
        <f>IF(INVESTORS_LIST[[#This Row],[LS_TOTAL UNITS BUY]]=0,0,INVESTORS_LIST[[#This Row],[LS_TOTAL UNITS BUY]]-INVESTORS_LIST[[#This Row],[LS_TOTAL UNITS SOLD]])</f>
        <v>0</v>
      </c>
      <c r="H403" s="4">
        <f>IF(INVESTORS_LIST[[#This Row],[LS_TOTAL UNITS BUY]]=0,0,SUMIFS(LS[Amount],LS[Investor ID],INVESTORS_LIST[[#This Row],[INVESTOR CODE]],LS[B/S],"B"))</f>
        <v>0</v>
      </c>
      <c r="I403" s="6">
        <f>IF(INVESTORS_LIST[[#This Row],[LS_TOTAL UNITS SOLD]]=0,0,SUMIFS(LS[Cost of Units Sold],LS[Investor ID],INVESTORS_LIST[[#This Row],[INVESTOR CODE]],LS[B/S],"S"))</f>
        <v>0</v>
      </c>
      <c r="J403" s="6">
        <f>IF(INVESTORS_LIST[[#This Row],[LS_TOTAL CURRENT UNITS]]=0,0,INVESTORS_LIST[[#This Row],[LS_TOTAL CURRENT UNITS]]*INVESTORS_LIST[[#This Row],[LS_AVERAGE COST]])</f>
        <v>0</v>
      </c>
      <c r="K403" s="4">
        <f>IF(INVESTORS_LIST[[#This Row],[LS_TOTAL UNITS SOLD]]=0,0,SUMIFS(LS[Realized Gain],LS[Investor ID],INVESTORS_LIST[[#This Row],[INVESTOR CODE]],LS[B/S],"S"))</f>
        <v>0</v>
      </c>
      <c r="L403" s="2">
        <f>SUMIFS(SIP[Unit],SIP[Investor ID],INVESTORS_LIST[[#This Row],[INVESTOR CODE]],SIP[B/S],"B")</f>
        <v>0</v>
      </c>
      <c r="M403" s="2">
        <f>-SUMIFS(SIP[Unit],SIP[Investor ID],INVESTORS_LIST[[#This Row],[INVESTOR CODE]],SIP[B/S],"S")</f>
        <v>0</v>
      </c>
      <c r="N403" s="33">
        <f>IF(INVESTORS_LIST[[#This Row],[SIP_TOTAL UNITS BUY]]=0,0,INVESTORS_LIST[[#This Row],[SIP_TOTAL UNITS BUY]]-INVESTORS_LIST[[#This Row],[SIP_TOTAL UNITS SOLD]])</f>
        <v>0</v>
      </c>
      <c r="O403" s="4">
        <f>IF(INVESTORS_LIST[[#This Row],[SIP_TOTAL UNITS BUY]]=0,0,SUMIFS(SIP[Amount],SIP[Investor ID],INVESTORS_LIST[[#This Row],[INVESTOR CODE]],SIP[B/S],"B"))</f>
        <v>0</v>
      </c>
      <c r="P403" s="4">
        <f>IF(INVESTORS_LIST[[#This Row],[SIP_TOTAL UNITS SOLD]]=0,0,SUMIFS(SIP[Cost of Units Sold],SIP[Investor ID],INVESTORS_LIST[[#This Row],[INVESTOR CODE]],SIP[B/S],"S"))</f>
        <v>0</v>
      </c>
      <c r="Q403" s="6">
        <f>IF(INVESTORS_LIST[[#This Row],[SIP_TOTAL CURRENT UNITS]]=0,0,INVESTORS_LIST[[#This Row],[SIP_TOTAL CURRENT UNITS]]*INVESTORS_LIST[[#This Row],[SIP_AVERAGE COST]])</f>
        <v>0</v>
      </c>
      <c r="R403" s="6">
        <f>IF(INVESTORS_LIST[[#This Row],[SIP_TOTAL UNITS SOLD]]=0,0,SUMIFS(SIP[Realized Gain],SIP[Investor ID],INVESTORS_LIST[[#This Row],[INVESTOR CODE]],SIP[B/S],"S"))</f>
        <v>0</v>
      </c>
      <c r="S403" s="33">
        <f>INVESTORS_LIST[[#This Row],[LS_TOTAL UNITS BUY]]+INVESTORS_LIST[[#This Row],[SIP_TOTAL UNITS BUY]]</f>
        <v>0</v>
      </c>
      <c r="T403" s="33">
        <f>INVESTORS_LIST[[#This Row],[LS_TOTAL UNITS SOLD]]+INVESTORS_LIST[[#This Row],[SIP_TOTAL UNITS SOLD]]</f>
        <v>0</v>
      </c>
      <c r="U403" s="33">
        <v>0</v>
      </c>
      <c r="V403" s="33">
        <f>SUMIFS(LS[BO UNIT TRANSFER],LS[Investor ID],INVESTORS_LIST[[#This Row],[INVESTOR CODE]],LS[B/S],"B")</f>
        <v>0</v>
      </c>
      <c r="W403" s="33">
        <f>SUMIFS(LS[BO UNIT TRANSFER],LS[Investor ID],INVESTORS_LIST[[#This Row],[INVESTOR CODE]],LS[B/S],"S")</f>
        <v>0</v>
      </c>
      <c r="X403" s="33">
        <f>SUMIFS(SIP[BO UNIT TRANSFER],SIP[Investor ID],INVESTORS_LIST[[#This Row],[INVESTOR CODE]],SIP[B/S],"S")</f>
        <v>0</v>
      </c>
      <c r="Y403" s="33">
        <f>SUMIFS(SIP[BO UNIT TRANSFER],SIP[Investor ID],INVESTORS_LIST[[#This Row],[INVESTOR CODE]],SIP[B/S],"B")</f>
        <v>0</v>
      </c>
      <c r="Z40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03" s="119">
        <f>INVESTORS_LIST[[#This Row],[TOTAL UNITS BUY]]-INVESTORS_LIST[[#This Row],[TOTAL UNITS SOLD]]</f>
        <v>0</v>
      </c>
      <c r="AB403" s="119">
        <f>INVESTORS_LIST[[#This Row],[TOTAL CURRENT UNITS]]-INVESTORS_LIST[[#This Row],[BO UNITS HOLD]]</f>
        <v>0</v>
      </c>
      <c r="AC403" s="119" t="e">
        <f>INDEX([4]!Table_1[BO ID],MATCH(INVESTORS_LIST[[#This Row],[INVESTOR CODE]],[4]!Table_1[INVESTOR CODE],0))</f>
        <v>#REF!</v>
      </c>
      <c r="AD403" s="33">
        <f>INVESTORS_LIST[[#This Row],[LS_TOTAL COST VALUE OF CURRENT UNITS]]+INVESTORS_LIST[[#This Row],[SIP_TOTAL COST VALUE OF CURRENT UNITS]]</f>
        <v>0</v>
      </c>
      <c r="AE403" s="44">
        <f>IF(INVESTORS_LIST[[#This Row],[TOTAL CURRENT UNITS]]=0,0,INVESTORS_LIST[[#This Row],[LS_TOTAL CURRENT UNITS]]/INVESTORS_LIST[[#This Row],[TOTAL CURRENT UNITS]])</f>
        <v>0</v>
      </c>
      <c r="AF403" s="44">
        <f>IF(INVESTORS_LIST[[#This Row],[TOTAL CURRENT UNITS]]=0,0,INVESTORS_LIST[[#This Row],[SIP_TOTAL CURRENT UNITS]]/INVESTORS_LIST[[#This Row],[TOTAL CURRENT UNITS]])</f>
        <v>0</v>
      </c>
      <c r="AG403" s="4" cm="1">
        <f t="array" ref="AG4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03" s="4" cm="1">
        <f t="array" ref="AH40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0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03" s="178">
        <f t="shared" si="6"/>
        <v>12.552</v>
      </c>
      <c r="AK403" s="118">
        <f>IF(INVESTORS_LIST[[#This Row],[TOTAL CURRENT UNITS]]=0,0,INVESTORS_LIST[[#This Row],[TOTAL CURRENT UNITS]]*INVESTORS_LIST[[#This Row],[NAV]])</f>
        <v>0</v>
      </c>
      <c r="AL403" s="4">
        <f>IF(INVESTORS_LIST[[#This Row],[LS_TOTAL CURRENT UNITS]]=0,0,INVESTORS_LIST[[#This Row],[LS_TOTAL CURRENT UNITS]]*INVESTORS_LIST[[#This Row],[NAV]])</f>
        <v>0</v>
      </c>
      <c r="AM403" s="6">
        <f>IF(INVESTORS_LIST[[#This Row],[SIP_TOTAL CURRENT UNITS]]=0,0,INVESTORS_LIST[[#This Row],[SIP_TOTAL CURRENT UNITS]]*INVESTORS_LIST[[#This Row],[NAV]])</f>
        <v>0</v>
      </c>
      <c r="AO403" s="6">
        <f>IF(INVESTORS_LIST[[#This Row],[TOTAL SELLABLE UNITS]]=0,0,INVESTORS_LIST[[#This Row],[TOTAL SELLABLE UNITS]]*INVESTORS_LIST[[#This Row],[NAV]])</f>
        <v>0</v>
      </c>
      <c r="AP403" s="6">
        <f>INVESTORS_LIST[[#This Row],[LS_TOTAL REALIZED GAIN]]+INVESTORS_LIST[[#This Row],[SIP_TOTAL REALIZED GAIN]]</f>
        <v>0</v>
      </c>
      <c r="AQ403" s="6">
        <f>INVESTORS_LIST[[#This Row],[TOTAL MARKET VALUE]]-INVESTORS_LIST[[#This Row],[TOTAL COST VALUE OF CURRENT INVESTMENT]]</f>
        <v>0</v>
      </c>
      <c r="AR403" s="6">
        <f>SUMIFS(DivAndTax[Tax Amount],DivAndTax[Investor ID],INVESTORS_LIST[[#This Row],[INVESTOR CODE]])</f>
        <v>0</v>
      </c>
      <c r="AS403" s="6">
        <f>SUMIFS(DivAndTax[Gross Dividend],DivAndTax[Investor ID],INVESTORS_LIST[[#This Row],[INVESTOR CODE]])</f>
        <v>0</v>
      </c>
      <c r="AT403" s="5">
        <f>IFERROR(INVESTORS_LIST[[#This Row],[TOTAL CURRENT UNITS]]/SUM(INVESTORS_LIST[TOTAL CURRENT UNITS]),0)</f>
        <v>0</v>
      </c>
    </row>
    <row r="404" spans="1:46" hidden="1">
      <c r="A404" t="s">
        <v>889</v>
      </c>
      <c r="B404" t="s">
        <v>890</v>
      </c>
      <c r="C404" t="s">
        <v>536</v>
      </c>
      <c r="D404" s="8" t="s">
        <v>2</v>
      </c>
      <c r="E404" s="2">
        <f>SUMIFS(LS[Unit],LS[Investor ID],INVESTORS_LIST[[#This Row],[INVESTOR CODE]],LS[B/S],"B")</f>
        <v>0</v>
      </c>
      <c r="F404" s="2">
        <f>-SUMIFS(LS[Unit],LS[Investor ID],INVESTORS_LIST[[#This Row],[INVESTOR CODE]],LS[B/S],"S")</f>
        <v>0</v>
      </c>
      <c r="G404" s="2">
        <f>IF(INVESTORS_LIST[[#This Row],[LS_TOTAL UNITS BUY]]=0,0,INVESTORS_LIST[[#This Row],[LS_TOTAL UNITS BUY]]-INVESTORS_LIST[[#This Row],[LS_TOTAL UNITS SOLD]])</f>
        <v>0</v>
      </c>
      <c r="H404" s="4">
        <f>IF(INVESTORS_LIST[[#This Row],[LS_TOTAL UNITS BUY]]=0,0,SUMIFS(LS[Amount],LS[Investor ID],INVESTORS_LIST[[#This Row],[INVESTOR CODE]],LS[B/S],"B"))</f>
        <v>0</v>
      </c>
      <c r="I404" s="6">
        <f>IF(INVESTORS_LIST[[#This Row],[LS_TOTAL UNITS SOLD]]=0,0,SUMIFS(LS[Cost of Units Sold],LS[Investor ID],INVESTORS_LIST[[#This Row],[INVESTOR CODE]],LS[B/S],"S"))</f>
        <v>0</v>
      </c>
      <c r="J404" s="6">
        <f>IF(INVESTORS_LIST[[#This Row],[LS_TOTAL CURRENT UNITS]]=0,0,INVESTORS_LIST[[#This Row],[LS_TOTAL CURRENT UNITS]]*INVESTORS_LIST[[#This Row],[LS_AVERAGE COST]])</f>
        <v>0</v>
      </c>
      <c r="K404" s="4">
        <f>IF(INVESTORS_LIST[[#This Row],[LS_TOTAL UNITS SOLD]]=0,0,SUMIFS(LS[Realized Gain],LS[Investor ID],INVESTORS_LIST[[#This Row],[INVESTOR CODE]],LS[B/S],"S"))</f>
        <v>0</v>
      </c>
      <c r="L404" s="2">
        <f>SUMIFS(SIP[Unit],SIP[Investor ID],INVESTORS_LIST[[#This Row],[INVESTOR CODE]],SIP[B/S],"B")</f>
        <v>0</v>
      </c>
      <c r="M404" s="2">
        <f>-SUMIFS(SIP[Unit],SIP[Investor ID],INVESTORS_LIST[[#This Row],[INVESTOR CODE]],SIP[B/S],"S")</f>
        <v>0</v>
      </c>
      <c r="N404" s="33">
        <f>IF(INVESTORS_LIST[[#This Row],[SIP_TOTAL UNITS BUY]]=0,0,INVESTORS_LIST[[#This Row],[SIP_TOTAL UNITS BUY]]-INVESTORS_LIST[[#This Row],[SIP_TOTAL UNITS SOLD]])</f>
        <v>0</v>
      </c>
      <c r="O404" s="4">
        <f>IF(INVESTORS_LIST[[#This Row],[SIP_TOTAL UNITS BUY]]=0,0,SUMIFS(SIP[Amount],SIP[Investor ID],INVESTORS_LIST[[#This Row],[INVESTOR CODE]],SIP[B/S],"B"))</f>
        <v>0</v>
      </c>
      <c r="P404" s="4">
        <f>IF(INVESTORS_LIST[[#This Row],[SIP_TOTAL UNITS SOLD]]=0,0,SUMIFS(SIP[Cost of Units Sold],SIP[Investor ID],INVESTORS_LIST[[#This Row],[INVESTOR CODE]],SIP[B/S],"S"))</f>
        <v>0</v>
      </c>
      <c r="Q404" s="6">
        <f>IF(INVESTORS_LIST[[#This Row],[SIP_TOTAL CURRENT UNITS]]=0,0,INVESTORS_LIST[[#This Row],[SIP_TOTAL CURRENT UNITS]]*INVESTORS_LIST[[#This Row],[SIP_AVERAGE COST]])</f>
        <v>0</v>
      </c>
      <c r="R404" s="6">
        <f>IF(INVESTORS_LIST[[#This Row],[SIP_TOTAL UNITS SOLD]]=0,0,SUMIFS(SIP[Realized Gain],SIP[Investor ID],INVESTORS_LIST[[#This Row],[INVESTOR CODE]],SIP[B/S],"S"))</f>
        <v>0</v>
      </c>
      <c r="S404" s="33">
        <f>INVESTORS_LIST[[#This Row],[LS_TOTAL UNITS BUY]]+INVESTORS_LIST[[#This Row],[SIP_TOTAL UNITS BUY]]</f>
        <v>0</v>
      </c>
      <c r="T404" s="33">
        <f>INVESTORS_LIST[[#This Row],[LS_TOTAL UNITS SOLD]]+INVESTORS_LIST[[#This Row],[SIP_TOTAL UNITS SOLD]]</f>
        <v>0</v>
      </c>
      <c r="U404" s="33">
        <v>0</v>
      </c>
      <c r="V404" s="33">
        <f>SUMIFS(LS[BO UNIT TRANSFER],LS[Investor ID],INVESTORS_LIST[[#This Row],[INVESTOR CODE]],LS[B/S],"B")</f>
        <v>0</v>
      </c>
      <c r="W404" s="33">
        <f>SUMIFS(LS[BO UNIT TRANSFER],LS[Investor ID],INVESTORS_LIST[[#This Row],[INVESTOR CODE]],LS[B/S],"S")</f>
        <v>0</v>
      </c>
      <c r="X404" s="33">
        <f>SUMIFS(SIP[BO UNIT TRANSFER],SIP[Investor ID],INVESTORS_LIST[[#This Row],[INVESTOR CODE]],SIP[B/S],"S")</f>
        <v>0</v>
      </c>
      <c r="Y404" s="33">
        <f>SUMIFS(SIP[BO UNIT TRANSFER],SIP[Investor ID],INVESTORS_LIST[[#This Row],[INVESTOR CODE]],SIP[B/S],"B")</f>
        <v>0</v>
      </c>
      <c r="Z40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04" s="119">
        <f>INVESTORS_LIST[[#This Row],[TOTAL UNITS BUY]]-INVESTORS_LIST[[#This Row],[TOTAL UNITS SOLD]]</f>
        <v>0</v>
      </c>
      <c r="AB404" s="119">
        <f>INVESTORS_LIST[[#This Row],[TOTAL CURRENT UNITS]]-INVESTORS_LIST[[#This Row],[BO UNITS HOLD]]</f>
        <v>0</v>
      </c>
      <c r="AC404" s="119" t="e">
        <f>INDEX([4]!Table_1[BO ID],MATCH(INVESTORS_LIST[[#This Row],[INVESTOR CODE]],[4]!Table_1[INVESTOR CODE],0))</f>
        <v>#REF!</v>
      </c>
      <c r="AD404" s="33">
        <f>INVESTORS_LIST[[#This Row],[LS_TOTAL COST VALUE OF CURRENT UNITS]]+INVESTORS_LIST[[#This Row],[SIP_TOTAL COST VALUE OF CURRENT UNITS]]</f>
        <v>0</v>
      </c>
      <c r="AE404" s="44">
        <f>IF(INVESTORS_LIST[[#This Row],[TOTAL CURRENT UNITS]]=0,0,INVESTORS_LIST[[#This Row],[LS_TOTAL CURRENT UNITS]]/INVESTORS_LIST[[#This Row],[TOTAL CURRENT UNITS]])</f>
        <v>0</v>
      </c>
      <c r="AF404" s="44">
        <f>IF(INVESTORS_LIST[[#This Row],[TOTAL CURRENT UNITS]]=0,0,INVESTORS_LIST[[#This Row],[SIP_TOTAL CURRENT UNITS]]/INVESTORS_LIST[[#This Row],[TOTAL CURRENT UNITS]])</f>
        <v>0</v>
      </c>
      <c r="AG404" s="4" cm="1">
        <f t="array" ref="AG40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04" s="4" cm="1">
        <f t="array" ref="AH4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0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04" s="178">
        <f t="shared" si="6"/>
        <v>12.552</v>
      </c>
      <c r="AK404" s="118">
        <f>IF(INVESTORS_LIST[[#This Row],[TOTAL CURRENT UNITS]]=0,0,INVESTORS_LIST[[#This Row],[TOTAL CURRENT UNITS]]*INVESTORS_LIST[[#This Row],[NAV]])</f>
        <v>0</v>
      </c>
      <c r="AL404" s="4">
        <f>IF(INVESTORS_LIST[[#This Row],[LS_TOTAL CURRENT UNITS]]=0,0,INVESTORS_LIST[[#This Row],[LS_TOTAL CURRENT UNITS]]*INVESTORS_LIST[[#This Row],[NAV]])</f>
        <v>0</v>
      </c>
      <c r="AM404" s="6">
        <f>IF(INVESTORS_LIST[[#This Row],[SIP_TOTAL CURRENT UNITS]]=0,0,INVESTORS_LIST[[#This Row],[SIP_TOTAL CURRENT UNITS]]*INVESTORS_LIST[[#This Row],[NAV]])</f>
        <v>0</v>
      </c>
      <c r="AO404" s="6">
        <f>IF(INVESTORS_LIST[[#This Row],[TOTAL SELLABLE UNITS]]=0,0,INVESTORS_LIST[[#This Row],[TOTAL SELLABLE UNITS]]*INVESTORS_LIST[[#This Row],[NAV]])</f>
        <v>0</v>
      </c>
      <c r="AP404" s="6">
        <f>INVESTORS_LIST[[#This Row],[LS_TOTAL REALIZED GAIN]]+INVESTORS_LIST[[#This Row],[SIP_TOTAL REALIZED GAIN]]</f>
        <v>0</v>
      </c>
      <c r="AQ404" s="6">
        <f>INVESTORS_LIST[[#This Row],[TOTAL MARKET VALUE]]-INVESTORS_LIST[[#This Row],[TOTAL COST VALUE OF CURRENT INVESTMENT]]</f>
        <v>0</v>
      </c>
      <c r="AR404" s="6">
        <f>SUMIFS(DivAndTax[Tax Amount],DivAndTax[Investor ID],INVESTORS_LIST[[#This Row],[INVESTOR CODE]])</f>
        <v>0</v>
      </c>
      <c r="AS404" s="6">
        <f>SUMIFS(DivAndTax[Gross Dividend],DivAndTax[Investor ID],INVESTORS_LIST[[#This Row],[INVESTOR CODE]])</f>
        <v>0</v>
      </c>
      <c r="AT404" s="5">
        <f>IFERROR(INVESTORS_LIST[[#This Row],[TOTAL CURRENT UNITS]]/SUM(INVESTORS_LIST[TOTAL CURRENT UNITS]),0)</f>
        <v>0</v>
      </c>
    </row>
    <row r="405" spans="1:46" hidden="1">
      <c r="A405" t="s">
        <v>891</v>
      </c>
      <c r="B405" t="s">
        <v>883</v>
      </c>
      <c r="C405" t="s">
        <v>539</v>
      </c>
      <c r="D405" s="8" t="s">
        <v>2</v>
      </c>
      <c r="E405" s="2">
        <f>SUMIFS(LS[Unit],LS[Investor ID],INVESTORS_LIST[[#This Row],[INVESTOR CODE]],LS[B/S],"B")</f>
        <v>10511</v>
      </c>
      <c r="F405" s="2">
        <f>-SUMIFS(LS[Unit],LS[Investor ID],INVESTORS_LIST[[#This Row],[INVESTOR CODE]],LS[B/S],"S")</f>
        <v>10511</v>
      </c>
      <c r="G405" s="2">
        <f>IF(INVESTORS_LIST[[#This Row],[LS_TOTAL UNITS BUY]]=0,0,INVESTORS_LIST[[#This Row],[LS_TOTAL UNITS BUY]]-INVESTORS_LIST[[#This Row],[LS_TOTAL UNITS SOLD]])</f>
        <v>0</v>
      </c>
      <c r="H405" s="4">
        <f>IF(INVESTORS_LIST[[#This Row],[LS_TOTAL UNITS BUY]]=0,0,SUMIFS(LS[Amount],LS[Investor ID],INVESTORS_LIST[[#This Row],[INVESTOR CODE]],LS[B/S],"B"))</f>
        <v>105000</v>
      </c>
      <c r="I405" s="6">
        <f>IF(INVESTORS_LIST[[#This Row],[LS_TOTAL UNITS SOLD]]=0,0,SUMIFS(LS[Cost of Units Sold],LS[Investor ID],INVESTORS_LIST[[#This Row],[INVESTOR CODE]],LS[B/S],"S"))</f>
        <v>105000</v>
      </c>
      <c r="J405" s="6">
        <f>IF(INVESTORS_LIST[[#This Row],[LS_TOTAL CURRENT UNITS]]=0,0,INVESTORS_LIST[[#This Row],[LS_TOTAL CURRENT UNITS]]*INVESTORS_LIST[[#This Row],[LS_AVERAGE COST]])</f>
        <v>0</v>
      </c>
      <c r="K405" s="4">
        <f>IF(INVESTORS_LIST[[#This Row],[LS_TOTAL UNITS SOLD]]=0,0,SUMIFS(LS[Realized Gain],LS[Investor ID],INVESTORS_LIST[[#This Row],[INVESTOR CODE]],LS[B/S],"S"))</f>
        <v>9002.3100000000049</v>
      </c>
      <c r="L405" s="2">
        <f>SUMIFS(SIP[Unit],SIP[Investor ID],INVESTORS_LIST[[#This Row],[INVESTOR CODE]],SIP[B/S],"B")</f>
        <v>0</v>
      </c>
      <c r="M405" s="2">
        <f>-SUMIFS(SIP[Unit],SIP[Investor ID],INVESTORS_LIST[[#This Row],[INVESTOR CODE]],SIP[B/S],"S")</f>
        <v>0</v>
      </c>
      <c r="N405" s="33">
        <f>IF(INVESTORS_LIST[[#This Row],[SIP_TOTAL UNITS BUY]]=0,0,INVESTORS_LIST[[#This Row],[SIP_TOTAL UNITS BUY]]-INVESTORS_LIST[[#This Row],[SIP_TOTAL UNITS SOLD]])</f>
        <v>0</v>
      </c>
      <c r="O405" s="4">
        <f>IF(INVESTORS_LIST[[#This Row],[SIP_TOTAL UNITS BUY]]=0,0,SUMIFS(SIP[Amount],SIP[Investor ID],INVESTORS_LIST[[#This Row],[INVESTOR CODE]],SIP[B/S],"B"))</f>
        <v>0</v>
      </c>
      <c r="P405" s="4">
        <f>IF(INVESTORS_LIST[[#This Row],[SIP_TOTAL UNITS SOLD]]=0,0,SUMIFS(SIP[Cost of Units Sold],SIP[Investor ID],INVESTORS_LIST[[#This Row],[INVESTOR CODE]],SIP[B/S],"S"))</f>
        <v>0</v>
      </c>
      <c r="Q405" s="6">
        <f>IF(INVESTORS_LIST[[#This Row],[SIP_TOTAL CURRENT UNITS]]=0,0,INVESTORS_LIST[[#This Row],[SIP_TOTAL CURRENT UNITS]]*INVESTORS_LIST[[#This Row],[SIP_AVERAGE COST]])</f>
        <v>0</v>
      </c>
      <c r="R405" s="6">
        <f>IF(INVESTORS_LIST[[#This Row],[SIP_TOTAL UNITS SOLD]]=0,0,SUMIFS(SIP[Realized Gain],SIP[Investor ID],INVESTORS_LIST[[#This Row],[INVESTOR CODE]],SIP[B/S],"S"))</f>
        <v>0</v>
      </c>
      <c r="S405" s="33">
        <f>INVESTORS_LIST[[#This Row],[LS_TOTAL UNITS BUY]]+INVESTORS_LIST[[#This Row],[SIP_TOTAL UNITS BUY]]</f>
        <v>10511</v>
      </c>
      <c r="T405" s="33">
        <f>INVESTORS_LIST[[#This Row],[LS_TOTAL UNITS SOLD]]+INVESTORS_LIST[[#This Row],[SIP_TOTAL UNITS SOLD]]</f>
        <v>10511</v>
      </c>
      <c r="U405" s="33">
        <v>10511</v>
      </c>
      <c r="V405" s="33">
        <f>SUMIFS(LS[BO UNIT TRANSFER],LS[Investor ID],INVESTORS_LIST[[#This Row],[INVESTOR CODE]],LS[B/S],"B")</f>
        <v>0</v>
      </c>
      <c r="W405" s="33">
        <f>SUMIFS(LS[BO UNIT TRANSFER],LS[Investor ID],INVESTORS_LIST[[#This Row],[INVESTOR CODE]],LS[B/S],"S")</f>
        <v>0</v>
      </c>
      <c r="X405" s="33">
        <f>SUMIFS(SIP[BO UNIT TRANSFER],SIP[Investor ID],INVESTORS_LIST[[#This Row],[INVESTOR CODE]],SIP[B/S],"S")</f>
        <v>0</v>
      </c>
      <c r="Y405" s="33">
        <f>SUMIFS(SIP[BO UNIT TRANSFER],SIP[Investor ID],INVESTORS_LIST[[#This Row],[INVESTOR CODE]],SIP[B/S],"B")</f>
        <v>0</v>
      </c>
      <c r="Z40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10511</v>
      </c>
      <c r="AA405" s="119">
        <f>INVESTORS_LIST[[#This Row],[TOTAL UNITS BUY]]-INVESTORS_LIST[[#This Row],[TOTAL UNITS SOLD]]</f>
        <v>0</v>
      </c>
      <c r="AB405" s="119">
        <f>INVESTORS_LIST[[#This Row],[TOTAL CURRENT UNITS]]-INVESTORS_LIST[[#This Row],[BO UNITS HOLD]]</f>
        <v>-10511</v>
      </c>
      <c r="AC405" s="119" t="e">
        <f>INDEX([4]!Table_1[BO ID],MATCH(INVESTORS_LIST[[#This Row],[INVESTOR CODE]],[4]!Table_1[INVESTOR CODE],0))</f>
        <v>#REF!</v>
      </c>
      <c r="AD405" s="33">
        <f>INVESTORS_LIST[[#This Row],[LS_TOTAL COST VALUE OF CURRENT UNITS]]+INVESTORS_LIST[[#This Row],[SIP_TOTAL COST VALUE OF CURRENT UNITS]]</f>
        <v>0</v>
      </c>
      <c r="AE405" s="44">
        <f>IF(INVESTORS_LIST[[#This Row],[TOTAL CURRENT UNITS]]=0,0,INVESTORS_LIST[[#This Row],[LS_TOTAL CURRENT UNITS]]/INVESTORS_LIST[[#This Row],[TOTAL CURRENT UNITS]])</f>
        <v>0</v>
      </c>
      <c r="AF405" s="44">
        <f>IF(INVESTORS_LIST[[#This Row],[TOTAL CURRENT UNITS]]=0,0,INVESTORS_LIST[[#This Row],[SIP_TOTAL CURRENT UNITS]]/INVESTORS_LIST[[#This Row],[TOTAL CURRENT UNITS]])</f>
        <v>0</v>
      </c>
      <c r="AG405" s="4" cm="1">
        <f t="array" ref="AG40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05" s="4" cm="1">
        <f t="array" ref="AH40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0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05" s="178">
        <f t="shared" si="6"/>
        <v>12.552</v>
      </c>
      <c r="AK405" s="118">
        <f>IF(INVESTORS_LIST[[#This Row],[TOTAL CURRENT UNITS]]=0,0,INVESTORS_LIST[[#This Row],[TOTAL CURRENT UNITS]]*INVESTORS_LIST[[#This Row],[NAV]])</f>
        <v>0</v>
      </c>
      <c r="AL405" s="4">
        <f>IF(INVESTORS_LIST[[#This Row],[LS_TOTAL CURRENT UNITS]]=0,0,INVESTORS_LIST[[#This Row],[LS_TOTAL CURRENT UNITS]]*INVESTORS_LIST[[#This Row],[NAV]])</f>
        <v>0</v>
      </c>
      <c r="AM405" s="6">
        <f>IF(INVESTORS_LIST[[#This Row],[SIP_TOTAL CURRENT UNITS]]=0,0,INVESTORS_LIST[[#This Row],[SIP_TOTAL CURRENT UNITS]]*INVESTORS_LIST[[#This Row],[NAV]])</f>
        <v>0</v>
      </c>
      <c r="AO405" s="6">
        <f>IF(INVESTORS_LIST[[#This Row],[TOTAL SELLABLE UNITS]]=0,0,INVESTORS_LIST[[#This Row],[TOTAL SELLABLE UNITS]]*INVESTORS_LIST[[#This Row],[NAV]])</f>
        <v>0</v>
      </c>
      <c r="AP405" s="6">
        <f>INVESTORS_LIST[[#This Row],[LS_TOTAL REALIZED GAIN]]+INVESTORS_LIST[[#This Row],[SIP_TOTAL REALIZED GAIN]]</f>
        <v>9002.3100000000049</v>
      </c>
      <c r="AQ405" s="6">
        <f>INVESTORS_LIST[[#This Row],[TOTAL MARKET VALUE]]-INVESTORS_LIST[[#This Row],[TOTAL COST VALUE OF CURRENT INVESTMENT]]</f>
        <v>0</v>
      </c>
      <c r="AR405" s="6">
        <f>SUMIFS(DivAndTax[Tax Amount],DivAndTax[Investor ID],INVESTORS_LIST[[#This Row],[INVESTOR CODE]])</f>
        <v>788.32999999999993</v>
      </c>
      <c r="AS405" s="6">
        <f>SUMIFS(DivAndTax[Gross Dividend],DivAndTax[Investor ID],INVESTORS_LIST[[#This Row],[INVESTOR CODE]])</f>
        <v>7883.25</v>
      </c>
      <c r="AT405" s="5">
        <f>IFERROR(INVESTORS_LIST[[#This Row],[TOTAL CURRENT UNITS]]/SUM(INVESTORS_LIST[TOTAL CURRENT UNITS]),0)</f>
        <v>0</v>
      </c>
    </row>
    <row r="406" spans="1:46" hidden="1">
      <c r="A406" t="s">
        <v>892</v>
      </c>
      <c r="B406" t="s">
        <v>893</v>
      </c>
      <c r="C406" t="s">
        <v>539</v>
      </c>
      <c r="D406" s="8" t="s">
        <v>2</v>
      </c>
      <c r="E406" s="2">
        <f>SUMIFS(LS[Unit],LS[Investor ID],INVESTORS_LIST[[#This Row],[INVESTOR CODE]],LS[B/S],"B")</f>
        <v>0</v>
      </c>
      <c r="F406" s="2">
        <f>-SUMIFS(LS[Unit],LS[Investor ID],INVESTORS_LIST[[#This Row],[INVESTOR CODE]],LS[B/S],"S")</f>
        <v>0</v>
      </c>
      <c r="G406" s="2">
        <f>IF(INVESTORS_LIST[[#This Row],[LS_TOTAL UNITS BUY]]=0,0,INVESTORS_LIST[[#This Row],[LS_TOTAL UNITS BUY]]-INVESTORS_LIST[[#This Row],[LS_TOTAL UNITS SOLD]])</f>
        <v>0</v>
      </c>
      <c r="H406" s="4">
        <f>IF(INVESTORS_LIST[[#This Row],[LS_TOTAL UNITS BUY]]=0,0,SUMIFS(LS[Amount],LS[Investor ID],INVESTORS_LIST[[#This Row],[INVESTOR CODE]],LS[B/S],"B"))</f>
        <v>0</v>
      </c>
      <c r="I406" s="6">
        <f>IF(INVESTORS_LIST[[#This Row],[LS_TOTAL UNITS SOLD]]=0,0,SUMIFS(LS[Cost of Units Sold],LS[Investor ID],INVESTORS_LIST[[#This Row],[INVESTOR CODE]],LS[B/S],"S"))</f>
        <v>0</v>
      </c>
      <c r="J406" s="6">
        <f>IF(INVESTORS_LIST[[#This Row],[LS_TOTAL CURRENT UNITS]]=0,0,INVESTORS_LIST[[#This Row],[LS_TOTAL CURRENT UNITS]]*INVESTORS_LIST[[#This Row],[LS_AVERAGE COST]])</f>
        <v>0</v>
      </c>
      <c r="K406" s="4">
        <f>IF(INVESTORS_LIST[[#This Row],[LS_TOTAL UNITS SOLD]]=0,0,SUMIFS(LS[Realized Gain],LS[Investor ID],INVESTORS_LIST[[#This Row],[INVESTOR CODE]],LS[B/S],"S"))</f>
        <v>0</v>
      </c>
      <c r="L406" s="2">
        <f>SUMIFS(SIP[Unit],SIP[Investor ID],INVESTORS_LIST[[#This Row],[INVESTOR CODE]],SIP[B/S],"B")</f>
        <v>0</v>
      </c>
      <c r="M406" s="2">
        <f>-SUMIFS(SIP[Unit],SIP[Investor ID],INVESTORS_LIST[[#This Row],[INVESTOR CODE]],SIP[B/S],"S")</f>
        <v>0</v>
      </c>
      <c r="N406" s="33">
        <f>IF(INVESTORS_LIST[[#This Row],[SIP_TOTAL UNITS BUY]]=0,0,INVESTORS_LIST[[#This Row],[SIP_TOTAL UNITS BUY]]-INVESTORS_LIST[[#This Row],[SIP_TOTAL UNITS SOLD]])</f>
        <v>0</v>
      </c>
      <c r="O406" s="4">
        <f>IF(INVESTORS_LIST[[#This Row],[SIP_TOTAL UNITS BUY]]=0,0,SUMIFS(SIP[Amount],SIP[Investor ID],INVESTORS_LIST[[#This Row],[INVESTOR CODE]],SIP[B/S],"B"))</f>
        <v>0</v>
      </c>
      <c r="P406" s="4">
        <f>IF(INVESTORS_LIST[[#This Row],[SIP_TOTAL UNITS SOLD]]=0,0,SUMIFS(SIP[Cost of Units Sold],SIP[Investor ID],INVESTORS_LIST[[#This Row],[INVESTOR CODE]],SIP[B/S],"S"))</f>
        <v>0</v>
      </c>
      <c r="Q406" s="6">
        <f>IF(INVESTORS_LIST[[#This Row],[SIP_TOTAL CURRENT UNITS]]=0,0,INVESTORS_LIST[[#This Row],[SIP_TOTAL CURRENT UNITS]]*INVESTORS_LIST[[#This Row],[SIP_AVERAGE COST]])</f>
        <v>0</v>
      </c>
      <c r="R406" s="6">
        <f>IF(INVESTORS_LIST[[#This Row],[SIP_TOTAL UNITS SOLD]]=0,0,SUMIFS(SIP[Realized Gain],SIP[Investor ID],INVESTORS_LIST[[#This Row],[INVESTOR CODE]],SIP[B/S],"S"))</f>
        <v>0</v>
      </c>
      <c r="S406" s="33">
        <f>INVESTORS_LIST[[#This Row],[LS_TOTAL UNITS BUY]]+INVESTORS_LIST[[#This Row],[SIP_TOTAL UNITS BUY]]</f>
        <v>0</v>
      </c>
      <c r="T406" s="33">
        <f>INVESTORS_LIST[[#This Row],[LS_TOTAL UNITS SOLD]]+INVESTORS_LIST[[#This Row],[SIP_TOTAL UNITS SOLD]]</f>
        <v>0</v>
      </c>
      <c r="U406" s="33">
        <v>0</v>
      </c>
      <c r="V406" s="33">
        <f>SUMIFS(LS[BO UNIT TRANSFER],LS[Investor ID],INVESTORS_LIST[[#This Row],[INVESTOR CODE]],LS[B/S],"B")</f>
        <v>0</v>
      </c>
      <c r="W406" s="33">
        <f>SUMIFS(LS[BO UNIT TRANSFER],LS[Investor ID],INVESTORS_LIST[[#This Row],[INVESTOR CODE]],LS[B/S],"S")</f>
        <v>0</v>
      </c>
      <c r="X406" s="33">
        <f>SUMIFS(SIP[BO UNIT TRANSFER],SIP[Investor ID],INVESTORS_LIST[[#This Row],[INVESTOR CODE]],SIP[B/S],"S")</f>
        <v>0</v>
      </c>
      <c r="Y406" s="33">
        <f>SUMIFS(SIP[BO UNIT TRANSFER],SIP[Investor ID],INVESTORS_LIST[[#This Row],[INVESTOR CODE]],SIP[B/S],"B")</f>
        <v>0</v>
      </c>
      <c r="Z40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06" s="119">
        <f>INVESTORS_LIST[[#This Row],[TOTAL UNITS BUY]]-INVESTORS_LIST[[#This Row],[TOTAL UNITS SOLD]]</f>
        <v>0</v>
      </c>
      <c r="AB406" s="119">
        <f>INVESTORS_LIST[[#This Row],[TOTAL CURRENT UNITS]]-INVESTORS_LIST[[#This Row],[BO UNITS HOLD]]</f>
        <v>0</v>
      </c>
      <c r="AC406" s="119" t="e">
        <f>INDEX([4]!Table_1[BO ID],MATCH(INVESTORS_LIST[[#This Row],[INVESTOR CODE]],[4]!Table_1[INVESTOR CODE],0))</f>
        <v>#REF!</v>
      </c>
      <c r="AD406" s="33">
        <f>INVESTORS_LIST[[#This Row],[LS_TOTAL COST VALUE OF CURRENT UNITS]]+INVESTORS_LIST[[#This Row],[SIP_TOTAL COST VALUE OF CURRENT UNITS]]</f>
        <v>0</v>
      </c>
      <c r="AE406" s="44">
        <f>IF(INVESTORS_LIST[[#This Row],[TOTAL CURRENT UNITS]]=0,0,INVESTORS_LIST[[#This Row],[LS_TOTAL CURRENT UNITS]]/INVESTORS_LIST[[#This Row],[TOTAL CURRENT UNITS]])</f>
        <v>0</v>
      </c>
      <c r="AF406" s="44">
        <f>IF(INVESTORS_LIST[[#This Row],[TOTAL CURRENT UNITS]]=0,0,INVESTORS_LIST[[#This Row],[SIP_TOTAL CURRENT UNITS]]/INVESTORS_LIST[[#This Row],[TOTAL CURRENT UNITS]])</f>
        <v>0</v>
      </c>
      <c r="AG406" s="4" cm="1">
        <f t="array" ref="AG4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06" s="4" cm="1">
        <f t="array" ref="AH4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0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06" s="178">
        <f t="shared" si="6"/>
        <v>12.552</v>
      </c>
      <c r="AK406" s="118">
        <f>IF(INVESTORS_LIST[[#This Row],[TOTAL CURRENT UNITS]]=0,0,INVESTORS_LIST[[#This Row],[TOTAL CURRENT UNITS]]*INVESTORS_LIST[[#This Row],[NAV]])</f>
        <v>0</v>
      </c>
      <c r="AL406" s="4">
        <f>IF(INVESTORS_LIST[[#This Row],[LS_TOTAL CURRENT UNITS]]=0,0,INVESTORS_LIST[[#This Row],[LS_TOTAL CURRENT UNITS]]*INVESTORS_LIST[[#This Row],[NAV]])</f>
        <v>0</v>
      </c>
      <c r="AM406" s="6">
        <f>IF(INVESTORS_LIST[[#This Row],[SIP_TOTAL CURRENT UNITS]]=0,0,INVESTORS_LIST[[#This Row],[SIP_TOTAL CURRENT UNITS]]*INVESTORS_LIST[[#This Row],[NAV]])</f>
        <v>0</v>
      </c>
      <c r="AO406" s="6">
        <f>IF(INVESTORS_LIST[[#This Row],[TOTAL SELLABLE UNITS]]=0,0,INVESTORS_LIST[[#This Row],[TOTAL SELLABLE UNITS]]*INVESTORS_LIST[[#This Row],[NAV]])</f>
        <v>0</v>
      </c>
      <c r="AP406" s="6">
        <f>INVESTORS_LIST[[#This Row],[LS_TOTAL REALIZED GAIN]]+INVESTORS_LIST[[#This Row],[SIP_TOTAL REALIZED GAIN]]</f>
        <v>0</v>
      </c>
      <c r="AQ406" s="6">
        <f>INVESTORS_LIST[[#This Row],[TOTAL MARKET VALUE]]-INVESTORS_LIST[[#This Row],[TOTAL COST VALUE OF CURRENT INVESTMENT]]</f>
        <v>0</v>
      </c>
      <c r="AR406" s="6">
        <f>SUMIFS(DivAndTax[Tax Amount],DivAndTax[Investor ID],INVESTORS_LIST[[#This Row],[INVESTOR CODE]])</f>
        <v>0</v>
      </c>
      <c r="AS406" s="6">
        <f>SUMIFS(DivAndTax[Gross Dividend],DivAndTax[Investor ID],INVESTORS_LIST[[#This Row],[INVESTOR CODE]])</f>
        <v>0</v>
      </c>
      <c r="AT406" s="5">
        <f>IFERROR(INVESTORS_LIST[[#This Row],[TOTAL CURRENT UNITS]]/SUM(INVESTORS_LIST[TOTAL CURRENT UNITS]),0)</f>
        <v>0</v>
      </c>
    </row>
    <row r="407" spans="1:46" hidden="1">
      <c r="A407" t="s">
        <v>565</v>
      </c>
      <c r="B407" t="s">
        <v>894</v>
      </c>
      <c r="C407" t="s">
        <v>536</v>
      </c>
      <c r="D407" s="8" t="s">
        <v>2</v>
      </c>
      <c r="E407" s="2">
        <f>SUMIFS(LS[Unit],LS[Investor ID],INVESTORS_LIST[[#This Row],[INVESTOR CODE]],LS[B/S],"B")</f>
        <v>0</v>
      </c>
      <c r="F407" s="2">
        <f>-SUMIFS(LS[Unit],LS[Investor ID],INVESTORS_LIST[[#This Row],[INVESTOR CODE]],LS[B/S],"S")</f>
        <v>0</v>
      </c>
      <c r="G407" s="2">
        <f>IF(INVESTORS_LIST[[#This Row],[LS_TOTAL UNITS BUY]]=0,0,INVESTORS_LIST[[#This Row],[LS_TOTAL UNITS BUY]]-INVESTORS_LIST[[#This Row],[LS_TOTAL UNITS SOLD]])</f>
        <v>0</v>
      </c>
      <c r="H407" s="4">
        <f>IF(INVESTORS_LIST[[#This Row],[LS_TOTAL UNITS BUY]]=0,0,SUMIFS(LS[Amount],LS[Investor ID],INVESTORS_LIST[[#This Row],[INVESTOR CODE]],LS[B/S],"B"))</f>
        <v>0</v>
      </c>
      <c r="I407" s="6">
        <f>IF(INVESTORS_LIST[[#This Row],[LS_TOTAL UNITS SOLD]]=0,0,SUMIFS(LS[Cost of Units Sold],LS[Investor ID],INVESTORS_LIST[[#This Row],[INVESTOR CODE]],LS[B/S],"S"))</f>
        <v>0</v>
      </c>
      <c r="J407" s="6">
        <f>IF(INVESTORS_LIST[[#This Row],[LS_TOTAL CURRENT UNITS]]=0,0,INVESTORS_LIST[[#This Row],[LS_TOTAL CURRENT UNITS]]*INVESTORS_LIST[[#This Row],[LS_AVERAGE COST]])</f>
        <v>0</v>
      </c>
      <c r="K407" s="4">
        <f>IF(INVESTORS_LIST[[#This Row],[LS_TOTAL UNITS SOLD]]=0,0,SUMIFS(LS[Realized Gain],LS[Investor ID],INVESTORS_LIST[[#This Row],[INVESTOR CODE]],LS[B/S],"S"))</f>
        <v>0</v>
      </c>
      <c r="L407" s="2">
        <f>SUMIFS(SIP[Unit],SIP[Investor ID],INVESTORS_LIST[[#This Row],[INVESTOR CODE]],SIP[B/S],"B")</f>
        <v>0</v>
      </c>
      <c r="M407" s="2">
        <f>-SUMIFS(SIP[Unit],SIP[Investor ID],INVESTORS_LIST[[#This Row],[INVESTOR CODE]],SIP[B/S],"S")</f>
        <v>0</v>
      </c>
      <c r="N407" s="33">
        <f>IF(INVESTORS_LIST[[#This Row],[SIP_TOTAL UNITS BUY]]=0,0,INVESTORS_LIST[[#This Row],[SIP_TOTAL UNITS BUY]]-INVESTORS_LIST[[#This Row],[SIP_TOTAL UNITS SOLD]])</f>
        <v>0</v>
      </c>
      <c r="O407" s="4">
        <f>IF(INVESTORS_LIST[[#This Row],[SIP_TOTAL UNITS BUY]]=0,0,SUMIFS(SIP[Amount],SIP[Investor ID],INVESTORS_LIST[[#This Row],[INVESTOR CODE]],SIP[B/S],"B"))</f>
        <v>0</v>
      </c>
      <c r="P407" s="4">
        <f>IF(INVESTORS_LIST[[#This Row],[SIP_TOTAL UNITS SOLD]]=0,0,SUMIFS(SIP[Cost of Units Sold],SIP[Investor ID],INVESTORS_LIST[[#This Row],[INVESTOR CODE]],SIP[B/S],"S"))</f>
        <v>0</v>
      </c>
      <c r="Q407" s="6">
        <f>IF(INVESTORS_LIST[[#This Row],[SIP_TOTAL CURRENT UNITS]]=0,0,INVESTORS_LIST[[#This Row],[SIP_TOTAL CURRENT UNITS]]*INVESTORS_LIST[[#This Row],[SIP_AVERAGE COST]])</f>
        <v>0</v>
      </c>
      <c r="R407" s="6">
        <f>IF(INVESTORS_LIST[[#This Row],[SIP_TOTAL UNITS SOLD]]=0,0,SUMIFS(SIP[Realized Gain],SIP[Investor ID],INVESTORS_LIST[[#This Row],[INVESTOR CODE]],SIP[B/S],"S"))</f>
        <v>0</v>
      </c>
      <c r="S407" s="33">
        <f>INVESTORS_LIST[[#This Row],[LS_TOTAL UNITS BUY]]+INVESTORS_LIST[[#This Row],[SIP_TOTAL UNITS BUY]]</f>
        <v>0</v>
      </c>
      <c r="T407" s="33">
        <f>INVESTORS_LIST[[#This Row],[LS_TOTAL UNITS SOLD]]+INVESTORS_LIST[[#This Row],[SIP_TOTAL UNITS SOLD]]</f>
        <v>0</v>
      </c>
      <c r="U407" s="33">
        <v>0</v>
      </c>
      <c r="V407" s="33">
        <f>SUMIFS(LS[BO UNIT TRANSFER],LS[Investor ID],INVESTORS_LIST[[#This Row],[INVESTOR CODE]],LS[B/S],"B")</f>
        <v>0</v>
      </c>
      <c r="W407" s="33">
        <f>SUMIFS(LS[BO UNIT TRANSFER],LS[Investor ID],INVESTORS_LIST[[#This Row],[INVESTOR CODE]],LS[B/S],"S")</f>
        <v>0</v>
      </c>
      <c r="X407" s="33">
        <f>SUMIFS(SIP[BO UNIT TRANSFER],SIP[Investor ID],INVESTORS_LIST[[#This Row],[INVESTOR CODE]],SIP[B/S],"S")</f>
        <v>0</v>
      </c>
      <c r="Y407" s="33">
        <f>SUMIFS(SIP[BO UNIT TRANSFER],SIP[Investor ID],INVESTORS_LIST[[#This Row],[INVESTOR CODE]],SIP[B/S],"B")</f>
        <v>0</v>
      </c>
      <c r="Z40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07" s="119">
        <f>INVESTORS_LIST[[#This Row],[TOTAL UNITS BUY]]-INVESTORS_LIST[[#This Row],[TOTAL UNITS SOLD]]</f>
        <v>0</v>
      </c>
      <c r="AB407" s="119">
        <f>INVESTORS_LIST[[#This Row],[TOTAL CURRENT UNITS]]-INVESTORS_LIST[[#This Row],[BO UNITS HOLD]]</f>
        <v>0</v>
      </c>
      <c r="AC407" s="119" t="e">
        <f>INDEX([4]!Table_1[BO ID],MATCH(INVESTORS_LIST[[#This Row],[INVESTOR CODE]],[4]!Table_1[INVESTOR CODE],0))</f>
        <v>#REF!</v>
      </c>
      <c r="AD407" s="33">
        <f>INVESTORS_LIST[[#This Row],[LS_TOTAL COST VALUE OF CURRENT UNITS]]+INVESTORS_LIST[[#This Row],[SIP_TOTAL COST VALUE OF CURRENT UNITS]]</f>
        <v>0</v>
      </c>
      <c r="AE407" s="44">
        <f>IF(INVESTORS_LIST[[#This Row],[TOTAL CURRENT UNITS]]=0,0,INVESTORS_LIST[[#This Row],[LS_TOTAL CURRENT UNITS]]/INVESTORS_LIST[[#This Row],[TOTAL CURRENT UNITS]])</f>
        <v>0</v>
      </c>
      <c r="AF407" s="44">
        <f>IF(INVESTORS_LIST[[#This Row],[TOTAL CURRENT UNITS]]=0,0,INVESTORS_LIST[[#This Row],[SIP_TOTAL CURRENT UNITS]]/INVESTORS_LIST[[#This Row],[TOTAL CURRENT UNITS]])</f>
        <v>0</v>
      </c>
      <c r="AG407" s="4" cm="1">
        <f t="array" ref="AG40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07" s="4" cm="1">
        <f t="array" ref="AH40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0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07" s="178">
        <f t="shared" si="6"/>
        <v>12.552</v>
      </c>
      <c r="AK407" s="118">
        <f>IF(INVESTORS_LIST[[#This Row],[TOTAL CURRENT UNITS]]=0,0,INVESTORS_LIST[[#This Row],[TOTAL CURRENT UNITS]]*INVESTORS_LIST[[#This Row],[NAV]])</f>
        <v>0</v>
      </c>
      <c r="AL407" s="4">
        <f>IF(INVESTORS_LIST[[#This Row],[LS_TOTAL CURRENT UNITS]]=0,0,INVESTORS_LIST[[#This Row],[LS_TOTAL CURRENT UNITS]]*INVESTORS_LIST[[#This Row],[NAV]])</f>
        <v>0</v>
      </c>
      <c r="AM407" s="6">
        <f>IF(INVESTORS_LIST[[#This Row],[SIP_TOTAL CURRENT UNITS]]=0,0,INVESTORS_LIST[[#This Row],[SIP_TOTAL CURRENT UNITS]]*INVESTORS_LIST[[#This Row],[NAV]])</f>
        <v>0</v>
      </c>
      <c r="AO407" s="6">
        <f>IF(INVESTORS_LIST[[#This Row],[TOTAL SELLABLE UNITS]]=0,0,INVESTORS_LIST[[#This Row],[TOTAL SELLABLE UNITS]]*INVESTORS_LIST[[#This Row],[NAV]])</f>
        <v>0</v>
      </c>
      <c r="AP407" s="6">
        <f>INVESTORS_LIST[[#This Row],[LS_TOTAL REALIZED GAIN]]+INVESTORS_LIST[[#This Row],[SIP_TOTAL REALIZED GAIN]]</f>
        <v>0</v>
      </c>
      <c r="AQ407" s="6">
        <f>INVESTORS_LIST[[#This Row],[TOTAL MARKET VALUE]]-INVESTORS_LIST[[#This Row],[TOTAL COST VALUE OF CURRENT INVESTMENT]]</f>
        <v>0</v>
      </c>
      <c r="AR407" s="6">
        <f>SUMIFS(DivAndTax[Tax Amount],DivAndTax[Investor ID],INVESTORS_LIST[[#This Row],[INVESTOR CODE]])</f>
        <v>0</v>
      </c>
      <c r="AS407" s="6">
        <f>SUMIFS(DivAndTax[Gross Dividend],DivAndTax[Investor ID],INVESTORS_LIST[[#This Row],[INVESTOR CODE]])</f>
        <v>0</v>
      </c>
      <c r="AT407" s="5">
        <f>IFERROR(INVESTORS_LIST[[#This Row],[TOTAL CURRENT UNITS]]/SUM(INVESTORS_LIST[TOTAL CURRENT UNITS]),0)</f>
        <v>0</v>
      </c>
    </row>
    <row r="408" spans="1:46" hidden="1">
      <c r="A408" t="s">
        <v>895</v>
      </c>
      <c r="B408" t="s">
        <v>896</v>
      </c>
      <c r="C408" t="s">
        <v>536</v>
      </c>
      <c r="D408" s="8" t="s">
        <v>2</v>
      </c>
      <c r="E408" s="2">
        <f>SUMIFS(LS[Unit],LS[Investor ID],INVESTORS_LIST[[#This Row],[INVESTOR CODE]],LS[B/S],"B")</f>
        <v>0</v>
      </c>
      <c r="F408" s="2">
        <f>-SUMIFS(LS[Unit],LS[Investor ID],INVESTORS_LIST[[#This Row],[INVESTOR CODE]],LS[B/S],"S")</f>
        <v>0</v>
      </c>
      <c r="G408" s="2">
        <f>IF(INVESTORS_LIST[[#This Row],[LS_TOTAL UNITS BUY]]=0,0,INVESTORS_LIST[[#This Row],[LS_TOTAL UNITS BUY]]-INVESTORS_LIST[[#This Row],[LS_TOTAL UNITS SOLD]])</f>
        <v>0</v>
      </c>
      <c r="H408" s="4">
        <f>IF(INVESTORS_LIST[[#This Row],[LS_TOTAL UNITS BUY]]=0,0,SUMIFS(LS[Amount],LS[Investor ID],INVESTORS_LIST[[#This Row],[INVESTOR CODE]],LS[B/S],"B"))</f>
        <v>0</v>
      </c>
      <c r="I408" s="6">
        <f>IF(INVESTORS_LIST[[#This Row],[LS_TOTAL UNITS SOLD]]=0,0,SUMIFS(LS[Cost of Units Sold],LS[Investor ID],INVESTORS_LIST[[#This Row],[INVESTOR CODE]],LS[B/S],"S"))</f>
        <v>0</v>
      </c>
      <c r="J408" s="6">
        <f>IF(INVESTORS_LIST[[#This Row],[LS_TOTAL CURRENT UNITS]]=0,0,INVESTORS_LIST[[#This Row],[LS_TOTAL CURRENT UNITS]]*INVESTORS_LIST[[#This Row],[LS_AVERAGE COST]])</f>
        <v>0</v>
      </c>
      <c r="K408" s="4">
        <f>IF(INVESTORS_LIST[[#This Row],[LS_TOTAL UNITS SOLD]]=0,0,SUMIFS(LS[Realized Gain],LS[Investor ID],INVESTORS_LIST[[#This Row],[INVESTOR CODE]],LS[B/S],"S"))</f>
        <v>0</v>
      </c>
      <c r="L408" s="2">
        <f>SUMIFS(SIP[Unit],SIP[Investor ID],INVESTORS_LIST[[#This Row],[INVESTOR CODE]],SIP[B/S],"B")</f>
        <v>0</v>
      </c>
      <c r="M408" s="2">
        <f>-SUMIFS(SIP[Unit],SIP[Investor ID],INVESTORS_LIST[[#This Row],[INVESTOR CODE]],SIP[B/S],"S")</f>
        <v>0</v>
      </c>
      <c r="N408" s="33">
        <f>IF(INVESTORS_LIST[[#This Row],[SIP_TOTAL UNITS BUY]]=0,0,INVESTORS_LIST[[#This Row],[SIP_TOTAL UNITS BUY]]-INVESTORS_LIST[[#This Row],[SIP_TOTAL UNITS SOLD]])</f>
        <v>0</v>
      </c>
      <c r="O408" s="4">
        <f>IF(INVESTORS_LIST[[#This Row],[SIP_TOTAL UNITS BUY]]=0,0,SUMIFS(SIP[Amount],SIP[Investor ID],INVESTORS_LIST[[#This Row],[INVESTOR CODE]],SIP[B/S],"B"))</f>
        <v>0</v>
      </c>
      <c r="P408" s="4">
        <f>IF(INVESTORS_LIST[[#This Row],[SIP_TOTAL UNITS SOLD]]=0,0,SUMIFS(SIP[Cost of Units Sold],SIP[Investor ID],INVESTORS_LIST[[#This Row],[INVESTOR CODE]],SIP[B/S],"S"))</f>
        <v>0</v>
      </c>
      <c r="Q408" s="6">
        <f>IF(INVESTORS_LIST[[#This Row],[SIP_TOTAL CURRENT UNITS]]=0,0,INVESTORS_LIST[[#This Row],[SIP_TOTAL CURRENT UNITS]]*INVESTORS_LIST[[#This Row],[SIP_AVERAGE COST]])</f>
        <v>0</v>
      </c>
      <c r="R408" s="6">
        <f>IF(INVESTORS_LIST[[#This Row],[SIP_TOTAL UNITS SOLD]]=0,0,SUMIFS(SIP[Realized Gain],SIP[Investor ID],INVESTORS_LIST[[#This Row],[INVESTOR CODE]],SIP[B/S],"S"))</f>
        <v>0</v>
      </c>
      <c r="S408" s="33">
        <f>INVESTORS_LIST[[#This Row],[LS_TOTAL UNITS BUY]]+INVESTORS_LIST[[#This Row],[SIP_TOTAL UNITS BUY]]</f>
        <v>0</v>
      </c>
      <c r="T408" s="33">
        <f>INVESTORS_LIST[[#This Row],[LS_TOTAL UNITS SOLD]]+INVESTORS_LIST[[#This Row],[SIP_TOTAL UNITS SOLD]]</f>
        <v>0</v>
      </c>
      <c r="U408" s="33">
        <v>0</v>
      </c>
      <c r="V408" s="33">
        <f>SUMIFS(LS[BO UNIT TRANSFER],LS[Investor ID],INVESTORS_LIST[[#This Row],[INVESTOR CODE]],LS[B/S],"B")</f>
        <v>0</v>
      </c>
      <c r="W408" s="33">
        <f>SUMIFS(LS[BO UNIT TRANSFER],LS[Investor ID],INVESTORS_LIST[[#This Row],[INVESTOR CODE]],LS[B/S],"S")</f>
        <v>0</v>
      </c>
      <c r="X408" s="33">
        <f>SUMIFS(SIP[BO UNIT TRANSFER],SIP[Investor ID],INVESTORS_LIST[[#This Row],[INVESTOR CODE]],SIP[B/S],"S")</f>
        <v>0</v>
      </c>
      <c r="Y408" s="33">
        <f>SUMIFS(SIP[BO UNIT TRANSFER],SIP[Investor ID],INVESTORS_LIST[[#This Row],[INVESTOR CODE]],SIP[B/S],"B")</f>
        <v>0</v>
      </c>
      <c r="Z40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08" s="119">
        <f>INVESTORS_LIST[[#This Row],[TOTAL UNITS BUY]]-INVESTORS_LIST[[#This Row],[TOTAL UNITS SOLD]]</f>
        <v>0</v>
      </c>
      <c r="AB408" s="119">
        <f>INVESTORS_LIST[[#This Row],[TOTAL CURRENT UNITS]]-INVESTORS_LIST[[#This Row],[BO UNITS HOLD]]</f>
        <v>0</v>
      </c>
      <c r="AC408" s="119" t="e">
        <f>INDEX([4]!Table_1[BO ID],MATCH(INVESTORS_LIST[[#This Row],[INVESTOR CODE]],[4]!Table_1[INVESTOR CODE],0))</f>
        <v>#REF!</v>
      </c>
      <c r="AD408" s="33">
        <f>INVESTORS_LIST[[#This Row],[LS_TOTAL COST VALUE OF CURRENT UNITS]]+INVESTORS_LIST[[#This Row],[SIP_TOTAL COST VALUE OF CURRENT UNITS]]</f>
        <v>0</v>
      </c>
      <c r="AE408" s="44">
        <f>IF(INVESTORS_LIST[[#This Row],[TOTAL CURRENT UNITS]]=0,0,INVESTORS_LIST[[#This Row],[LS_TOTAL CURRENT UNITS]]/INVESTORS_LIST[[#This Row],[TOTAL CURRENT UNITS]])</f>
        <v>0</v>
      </c>
      <c r="AF408" s="44">
        <f>IF(INVESTORS_LIST[[#This Row],[TOTAL CURRENT UNITS]]=0,0,INVESTORS_LIST[[#This Row],[SIP_TOTAL CURRENT UNITS]]/INVESTORS_LIST[[#This Row],[TOTAL CURRENT UNITS]])</f>
        <v>0</v>
      </c>
      <c r="AG408" s="4" cm="1">
        <f t="array" ref="AG4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08" s="4" cm="1">
        <f t="array" ref="AH40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0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08" s="178">
        <f t="shared" si="6"/>
        <v>12.552</v>
      </c>
      <c r="AK408" s="118">
        <f>IF(INVESTORS_LIST[[#This Row],[TOTAL CURRENT UNITS]]=0,0,INVESTORS_LIST[[#This Row],[TOTAL CURRENT UNITS]]*INVESTORS_LIST[[#This Row],[NAV]])</f>
        <v>0</v>
      </c>
      <c r="AL408" s="4">
        <f>IF(INVESTORS_LIST[[#This Row],[LS_TOTAL CURRENT UNITS]]=0,0,INVESTORS_LIST[[#This Row],[LS_TOTAL CURRENT UNITS]]*INVESTORS_LIST[[#This Row],[NAV]])</f>
        <v>0</v>
      </c>
      <c r="AM408" s="6">
        <f>IF(INVESTORS_LIST[[#This Row],[SIP_TOTAL CURRENT UNITS]]=0,0,INVESTORS_LIST[[#This Row],[SIP_TOTAL CURRENT UNITS]]*INVESTORS_LIST[[#This Row],[NAV]])</f>
        <v>0</v>
      </c>
      <c r="AO408" s="6">
        <f>IF(INVESTORS_LIST[[#This Row],[TOTAL SELLABLE UNITS]]=0,0,INVESTORS_LIST[[#This Row],[TOTAL SELLABLE UNITS]]*INVESTORS_LIST[[#This Row],[NAV]])</f>
        <v>0</v>
      </c>
      <c r="AP408" s="6">
        <f>INVESTORS_LIST[[#This Row],[LS_TOTAL REALIZED GAIN]]+INVESTORS_LIST[[#This Row],[SIP_TOTAL REALIZED GAIN]]</f>
        <v>0</v>
      </c>
      <c r="AQ408" s="6">
        <f>INVESTORS_LIST[[#This Row],[TOTAL MARKET VALUE]]-INVESTORS_LIST[[#This Row],[TOTAL COST VALUE OF CURRENT INVESTMENT]]</f>
        <v>0</v>
      </c>
      <c r="AR408" s="6">
        <f>SUMIFS(DivAndTax[Tax Amount],DivAndTax[Investor ID],INVESTORS_LIST[[#This Row],[INVESTOR CODE]])</f>
        <v>0</v>
      </c>
      <c r="AS408" s="6">
        <f>SUMIFS(DivAndTax[Gross Dividend],DivAndTax[Investor ID],INVESTORS_LIST[[#This Row],[INVESTOR CODE]])</f>
        <v>0</v>
      </c>
      <c r="AT408" s="5">
        <f>IFERROR(INVESTORS_LIST[[#This Row],[TOTAL CURRENT UNITS]]/SUM(INVESTORS_LIST[TOTAL CURRENT UNITS]),0)</f>
        <v>0</v>
      </c>
    </row>
    <row r="409" spans="1:46" hidden="1">
      <c r="A409" t="s">
        <v>1048</v>
      </c>
      <c r="B409" t="s">
        <v>897</v>
      </c>
      <c r="C409" t="s">
        <v>539</v>
      </c>
      <c r="D409" s="8" t="s">
        <v>2</v>
      </c>
      <c r="E409" s="2">
        <f>SUMIFS(LS[Unit],LS[Investor ID],INVESTORS_LIST[[#This Row],[INVESTOR CODE]],LS[B/S],"B")</f>
        <v>0</v>
      </c>
      <c r="F409" s="2">
        <f>-SUMIFS(LS[Unit],LS[Investor ID],INVESTORS_LIST[[#This Row],[INVESTOR CODE]],LS[B/S],"S")</f>
        <v>0</v>
      </c>
      <c r="G409" s="2">
        <f>IF(INVESTORS_LIST[[#This Row],[LS_TOTAL UNITS BUY]]=0,0,INVESTORS_LIST[[#This Row],[LS_TOTAL UNITS BUY]]-INVESTORS_LIST[[#This Row],[LS_TOTAL UNITS SOLD]])</f>
        <v>0</v>
      </c>
      <c r="H409" s="4">
        <f>IF(INVESTORS_LIST[[#This Row],[LS_TOTAL UNITS BUY]]=0,0,SUMIFS(LS[Amount],LS[Investor ID],INVESTORS_LIST[[#This Row],[INVESTOR CODE]],LS[B/S],"B"))</f>
        <v>0</v>
      </c>
      <c r="I409" s="6">
        <f>IF(INVESTORS_LIST[[#This Row],[LS_TOTAL UNITS SOLD]]=0,0,SUMIFS(LS[Cost of Units Sold],LS[Investor ID],INVESTORS_LIST[[#This Row],[INVESTOR CODE]],LS[B/S],"S"))</f>
        <v>0</v>
      </c>
      <c r="J409" s="6">
        <f>IF(INVESTORS_LIST[[#This Row],[LS_TOTAL CURRENT UNITS]]=0,0,INVESTORS_LIST[[#This Row],[LS_TOTAL CURRENT UNITS]]*INVESTORS_LIST[[#This Row],[LS_AVERAGE COST]])</f>
        <v>0</v>
      </c>
      <c r="K409" s="4">
        <f>IF(INVESTORS_LIST[[#This Row],[LS_TOTAL UNITS SOLD]]=0,0,SUMIFS(LS[Realized Gain],LS[Investor ID],INVESTORS_LIST[[#This Row],[INVESTOR CODE]],LS[B/S],"S"))</f>
        <v>0</v>
      </c>
      <c r="L409" s="2">
        <f>SUMIFS(SIP[Unit],SIP[Investor ID],INVESTORS_LIST[[#This Row],[INVESTOR CODE]],SIP[B/S],"B")</f>
        <v>0</v>
      </c>
      <c r="M409" s="2">
        <f>-SUMIFS(SIP[Unit],SIP[Investor ID],INVESTORS_LIST[[#This Row],[INVESTOR CODE]],SIP[B/S],"S")</f>
        <v>0</v>
      </c>
      <c r="N409" s="33">
        <f>IF(INVESTORS_LIST[[#This Row],[SIP_TOTAL UNITS BUY]]=0,0,INVESTORS_LIST[[#This Row],[SIP_TOTAL UNITS BUY]]-INVESTORS_LIST[[#This Row],[SIP_TOTAL UNITS SOLD]])</f>
        <v>0</v>
      </c>
      <c r="O409" s="4">
        <f>IF(INVESTORS_LIST[[#This Row],[SIP_TOTAL UNITS BUY]]=0,0,SUMIFS(SIP[Amount],SIP[Investor ID],INVESTORS_LIST[[#This Row],[INVESTOR CODE]],SIP[B/S],"B"))</f>
        <v>0</v>
      </c>
      <c r="P409" s="4">
        <f>IF(INVESTORS_LIST[[#This Row],[SIP_TOTAL UNITS SOLD]]=0,0,SUMIFS(SIP[Cost of Units Sold],SIP[Investor ID],INVESTORS_LIST[[#This Row],[INVESTOR CODE]],SIP[B/S],"S"))</f>
        <v>0</v>
      </c>
      <c r="Q409" s="6">
        <f>IF(INVESTORS_LIST[[#This Row],[SIP_TOTAL CURRENT UNITS]]=0,0,INVESTORS_LIST[[#This Row],[SIP_TOTAL CURRENT UNITS]]*INVESTORS_LIST[[#This Row],[SIP_AVERAGE COST]])</f>
        <v>0</v>
      </c>
      <c r="R409" s="6">
        <f>IF(INVESTORS_LIST[[#This Row],[SIP_TOTAL UNITS SOLD]]=0,0,SUMIFS(SIP[Realized Gain],SIP[Investor ID],INVESTORS_LIST[[#This Row],[INVESTOR CODE]],SIP[B/S],"S"))</f>
        <v>0</v>
      </c>
      <c r="S409" s="33">
        <f>INVESTORS_LIST[[#This Row],[LS_TOTAL UNITS BUY]]+INVESTORS_LIST[[#This Row],[SIP_TOTAL UNITS BUY]]</f>
        <v>0</v>
      </c>
      <c r="T409" s="33">
        <f>INVESTORS_LIST[[#This Row],[LS_TOTAL UNITS SOLD]]+INVESTORS_LIST[[#This Row],[SIP_TOTAL UNITS SOLD]]</f>
        <v>0</v>
      </c>
      <c r="U409" s="33">
        <v>0</v>
      </c>
      <c r="V409" s="33">
        <f>SUMIFS(LS[BO UNIT TRANSFER],LS[Investor ID],INVESTORS_LIST[[#This Row],[INVESTOR CODE]],LS[B/S],"B")</f>
        <v>0</v>
      </c>
      <c r="W409" s="33">
        <f>SUMIFS(LS[BO UNIT TRANSFER],LS[Investor ID],INVESTORS_LIST[[#This Row],[INVESTOR CODE]],LS[B/S],"S")</f>
        <v>0</v>
      </c>
      <c r="X409" s="33">
        <f>SUMIFS(SIP[BO UNIT TRANSFER],SIP[Investor ID],INVESTORS_LIST[[#This Row],[INVESTOR CODE]],SIP[B/S],"S")</f>
        <v>0</v>
      </c>
      <c r="Y409" s="33">
        <f>SUMIFS(SIP[BO UNIT TRANSFER],SIP[Investor ID],INVESTORS_LIST[[#This Row],[INVESTOR CODE]],SIP[B/S],"B")</f>
        <v>0</v>
      </c>
      <c r="Z40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09" s="119">
        <f>INVESTORS_LIST[[#This Row],[TOTAL UNITS BUY]]-INVESTORS_LIST[[#This Row],[TOTAL UNITS SOLD]]</f>
        <v>0</v>
      </c>
      <c r="AB409" s="119">
        <f>INVESTORS_LIST[[#This Row],[TOTAL CURRENT UNITS]]-INVESTORS_LIST[[#This Row],[BO UNITS HOLD]]</f>
        <v>0</v>
      </c>
      <c r="AC409" s="119" t="e">
        <f>INDEX([4]!Table_1[BO ID],MATCH(INVESTORS_LIST[[#This Row],[INVESTOR CODE]],[4]!Table_1[INVESTOR CODE],0))</f>
        <v>#REF!</v>
      </c>
      <c r="AD409" s="33">
        <f>INVESTORS_LIST[[#This Row],[LS_TOTAL COST VALUE OF CURRENT UNITS]]+INVESTORS_LIST[[#This Row],[SIP_TOTAL COST VALUE OF CURRENT UNITS]]</f>
        <v>0</v>
      </c>
      <c r="AE409" s="44">
        <f>IF(INVESTORS_LIST[[#This Row],[TOTAL CURRENT UNITS]]=0,0,INVESTORS_LIST[[#This Row],[LS_TOTAL CURRENT UNITS]]/INVESTORS_LIST[[#This Row],[TOTAL CURRENT UNITS]])</f>
        <v>0</v>
      </c>
      <c r="AF409" s="44">
        <f>IF(INVESTORS_LIST[[#This Row],[TOTAL CURRENT UNITS]]=0,0,INVESTORS_LIST[[#This Row],[SIP_TOTAL CURRENT UNITS]]/INVESTORS_LIST[[#This Row],[TOTAL CURRENT UNITS]])</f>
        <v>0</v>
      </c>
      <c r="AG409" s="4" cm="1">
        <f t="array" ref="AG40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09" s="4" cm="1">
        <f t="array" ref="AH4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0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09" s="178">
        <f t="shared" si="6"/>
        <v>12.552</v>
      </c>
      <c r="AK409" s="118">
        <f>IF(INVESTORS_LIST[[#This Row],[TOTAL CURRENT UNITS]]=0,0,INVESTORS_LIST[[#This Row],[TOTAL CURRENT UNITS]]*INVESTORS_LIST[[#This Row],[NAV]])</f>
        <v>0</v>
      </c>
      <c r="AL409" s="4">
        <f>IF(INVESTORS_LIST[[#This Row],[LS_TOTAL CURRENT UNITS]]=0,0,INVESTORS_LIST[[#This Row],[LS_TOTAL CURRENT UNITS]]*INVESTORS_LIST[[#This Row],[NAV]])</f>
        <v>0</v>
      </c>
      <c r="AM409" s="6">
        <f>IF(INVESTORS_LIST[[#This Row],[SIP_TOTAL CURRENT UNITS]]=0,0,INVESTORS_LIST[[#This Row],[SIP_TOTAL CURRENT UNITS]]*INVESTORS_LIST[[#This Row],[NAV]])</f>
        <v>0</v>
      </c>
      <c r="AO409" s="6">
        <f>IF(INVESTORS_LIST[[#This Row],[TOTAL SELLABLE UNITS]]=0,0,INVESTORS_LIST[[#This Row],[TOTAL SELLABLE UNITS]]*INVESTORS_LIST[[#This Row],[NAV]])</f>
        <v>0</v>
      </c>
      <c r="AP409" s="6">
        <f>INVESTORS_LIST[[#This Row],[LS_TOTAL REALIZED GAIN]]+INVESTORS_LIST[[#This Row],[SIP_TOTAL REALIZED GAIN]]</f>
        <v>0</v>
      </c>
      <c r="AQ409" s="6">
        <f>INVESTORS_LIST[[#This Row],[TOTAL MARKET VALUE]]-INVESTORS_LIST[[#This Row],[TOTAL COST VALUE OF CURRENT INVESTMENT]]</f>
        <v>0</v>
      </c>
      <c r="AR409" s="6">
        <f>SUMIFS(DivAndTax[Tax Amount],DivAndTax[Investor ID],INVESTORS_LIST[[#This Row],[INVESTOR CODE]])</f>
        <v>0</v>
      </c>
      <c r="AS409" s="6">
        <f>SUMIFS(DivAndTax[Gross Dividend],DivAndTax[Investor ID],INVESTORS_LIST[[#This Row],[INVESTOR CODE]])</f>
        <v>0</v>
      </c>
      <c r="AT409" s="5">
        <f>IFERROR(INVESTORS_LIST[[#This Row],[TOTAL CURRENT UNITS]]/SUM(INVESTORS_LIST[TOTAL CURRENT UNITS]),0)</f>
        <v>0</v>
      </c>
    </row>
    <row r="410" spans="1:46" hidden="1">
      <c r="A410" t="s">
        <v>898</v>
      </c>
      <c r="B410" t="s">
        <v>899</v>
      </c>
      <c r="C410" t="s">
        <v>536</v>
      </c>
      <c r="D410" s="8" t="s">
        <v>2</v>
      </c>
      <c r="E410" s="2">
        <f>SUMIFS(LS[Unit],LS[Investor ID],INVESTORS_LIST[[#This Row],[INVESTOR CODE]],LS[B/S],"B")</f>
        <v>0</v>
      </c>
      <c r="F410" s="2">
        <f>-SUMIFS(LS[Unit],LS[Investor ID],INVESTORS_LIST[[#This Row],[INVESTOR CODE]],LS[B/S],"S")</f>
        <v>0</v>
      </c>
      <c r="G410" s="2">
        <f>IF(INVESTORS_LIST[[#This Row],[LS_TOTAL UNITS BUY]]=0,0,INVESTORS_LIST[[#This Row],[LS_TOTAL UNITS BUY]]-INVESTORS_LIST[[#This Row],[LS_TOTAL UNITS SOLD]])</f>
        <v>0</v>
      </c>
      <c r="H410" s="4">
        <f>IF(INVESTORS_LIST[[#This Row],[LS_TOTAL UNITS BUY]]=0,0,SUMIFS(LS[Amount],LS[Investor ID],INVESTORS_LIST[[#This Row],[INVESTOR CODE]],LS[B/S],"B"))</f>
        <v>0</v>
      </c>
      <c r="I410" s="6">
        <f>IF(INVESTORS_LIST[[#This Row],[LS_TOTAL UNITS SOLD]]=0,0,SUMIFS(LS[Cost of Units Sold],LS[Investor ID],INVESTORS_LIST[[#This Row],[INVESTOR CODE]],LS[B/S],"S"))</f>
        <v>0</v>
      </c>
      <c r="J410" s="6">
        <f>IF(INVESTORS_LIST[[#This Row],[LS_TOTAL CURRENT UNITS]]=0,0,INVESTORS_LIST[[#This Row],[LS_TOTAL CURRENT UNITS]]*INVESTORS_LIST[[#This Row],[LS_AVERAGE COST]])</f>
        <v>0</v>
      </c>
      <c r="K410" s="4">
        <f>IF(INVESTORS_LIST[[#This Row],[LS_TOTAL UNITS SOLD]]=0,0,SUMIFS(LS[Realized Gain],LS[Investor ID],INVESTORS_LIST[[#This Row],[INVESTOR CODE]],LS[B/S],"S"))</f>
        <v>0</v>
      </c>
      <c r="L410" s="2">
        <f>SUMIFS(SIP[Unit],SIP[Investor ID],INVESTORS_LIST[[#This Row],[INVESTOR CODE]],SIP[B/S],"B")</f>
        <v>0</v>
      </c>
      <c r="M410" s="2">
        <f>-SUMIFS(SIP[Unit],SIP[Investor ID],INVESTORS_LIST[[#This Row],[INVESTOR CODE]],SIP[B/S],"S")</f>
        <v>0</v>
      </c>
      <c r="N410" s="33">
        <f>IF(INVESTORS_LIST[[#This Row],[SIP_TOTAL UNITS BUY]]=0,0,INVESTORS_LIST[[#This Row],[SIP_TOTAL UNITS BUY]]-INVESTORS_LIST[[#This Row],[SIP_TOTAL UNITS SOLD]])</f>
        <v>0</v>
      </c>
      <c r="O410" s="4">
        <f>IF(INVESTORS_LIST[[#This Row],[SIP_TOTAL UNITS BUY]]=0,0,SUMIFS(SIP[Amount],SIP[Investor ID],INVESTORS_LIST[[#This Row],[INVESTOR CODE]],SIP[B/S],"B"))</f>
        <v>0</v>
      </c>
      <c r="P410" s="4">
        <f>IF(INVESTORS_LIST[[#This Row],[SIP_TOTAL UNITS SOLD]]=0,0,SUMIFS(SIP[Cost of Units Sold],SIP[Investor ID],INVESTORS_LIST[[#This Row],[INVESTOR CODE]],SIP[B/S],"S"))</f>
        <v>0</v>
      </c>
      <c r="Q410" s="6">
        <f>IF(INVESTORS_LIST[[#This Row],[SIP_TOTAL CURRENT UNITS]]=0,0,INVESTORS_LIST[[#This Row],[SIP_TOTAL CURRENT UNITS]]*INVESTORS_LIST[[#This Row],[SIP_AVERAGE COST]])</f>
        <v>0</v>
      </c>
      <c r="R410" s="6">
        <f>IF(INVESTORS_LIST[[#This Row],[SIP_TOTAL UNITS SOLD]]=0,0,SUMIFS(SIP[Realized Gain],SIP[Investor ID],INVESTORS_LIST[[#This Row],[INVESTOR CODE]],SIP[B/S],"S"))</f>
        <v>0</v>
      </c>
      <c r="S410" s="33">
        <f>INVESTORS_LIST[[#This Row],[LS_TOTAL UNITS BUY]]+INVESTORS_LIST[[#This Row],[SIP_TOTAL UNITS BUY]]</f>
        <v>0</v>
      </c>
      <c r="T410" s="33">
        <f>INVESTORS_LIST[[#This Row],[LS_TOTAL UNITS SOLD]]+INVESTORS_LIST[[#This Row],[SIP_TOTAL UNITS SOLD]]</f>
        <v>0</v>
      </c>
      <c r="U410" s="33">
        <v>0</v>
      </c>
      <c r="V410" s="33">
        <f>SUMIFS(LS[BO UNIT TRANSFER],LS[Investor ID],INVESTORS_LIST[[#This Row],[INVESTOR CODE]],LS[B/S],"B")</f>
        <v>0</v>
      </c>
      <c r="W410" s="33">
        <f>SUMIFS(LS[BO UNIT TRANSFER],LS[Investor ID],INVESTORS_LIST[[#This Row],[INVESTOR CODE]],LS[B/S],"S")</f>
        <v>0</v>
      </c>
      <c r="X410" s="33">
        <f>SUMIFS(SIP[BO UNIT TRANSFER],SIP[Investor ID],INVESTORS_LIST[[#This Row],[INVESTOR CODE]],SIP[B/S],"S")</f>
        <v>0</v>
      </c>
      <c r="Y410" s="33">
        <f>SUMIFS(SIP[BO UNIT TRANSFER],SIP[Investor ID],INVESTORS_LIST[[#This Row],[INVESTOR CODE]],SIP[B/S],"B")</f>
        <v>0</v>
      </c>
      <c r="Z41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10" s="119">
        <f>INVESTORS_LIST[[#This Row],[TOTAL UNITS BUY]]-INVESTORS_LIST[[#This Row],[TOTAL UNITS SOLD]]</f>
        <v>0</v>
      </c>
      <c r="AB410" s="119">
        <f>INVESTORS_LIST[[#This Row],[TOTAL CURRENT UNITS]]-INVESTORS_LIST[[#This Row],[BO UNITS HOLD]]</f>
        <v>0</v>
      </c>
      <c r="AC410" s="119" t="e">
        <f>INDEX([4]!Table_1[BO ID],MATCH(INVESTORS_LIST[[#This Row],[INVESTOR CODE]],[4]!Table_1[INVESTOR CODE],0))</f>
        <v>#REF!</v>
      </c>
      <c r="AD410" s="33">
        <f>INVESTORS_LIST[[#This Row],[LS_TOTAL COST VALUE OF CURRENT UNITS]]+INVESTORS_LIST[[#This Row],[SIP_TOTAL COST VALUE OF CURRENT UNITS]]</f>
        <v>0</v>
      </c>
      <c r="AE410" s="44">
        <f>IF(INVESTORS_LIST[[#This Row],[TOTAL CURRENT UNITS]]=0,0,INVESTORS_LIST[[#This Row],[LS_TOTAL CURRENT UNITS]]/INVESTORS_LIST[[#This Row],[TOTAL CURRENT UNITS]])</f>
        <v>0</v>
      </c>
      <c r="AF410" s="44">
        <f>IF(INVESTORS_LIST[[#This Row],[TOTAL CURRENT UNITS]]=0,0,INVESTORS_LIST[[#This Row],[SIP_TOTAL CURRENT UNITS]]/INVESTORS_LIST[[#This Row],[TOTAL CURRENT UNITS]])</f>
        <v>0</v>
      </c>
      <c r="AG410" s="4" cm="1">
        <f t="array" ref="AG4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10" s="4" cm="1">
        <f t="array" ref="AH4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1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10" s="178">
        <f t="shared" si="6"/>
        <v>12.552</v>
      </c>
      <c r="AK410" s="118">
        <f>IF(INVESTORS_LIST[[#This Row],[TOTAL CURRENT UNITS]]=0,0,INVESTORS_LIST[[#This Row],[TOTAL CURRENT UNITS]]*INVESTORS_LIST[[#This Row],[NAV]])</f>
        <v>0</v>
      </c>
      <c r="AL410" s="4">
        <f>IF(INVESTORS_LIST[[#This Row],[LS_TOTAL CURRENT UNITS]]=0,0,INVESTORS_LIST[[#This Row],[LS_TOTAL CURRENT UNITS]]*INVESTORS_LIST[[#This Row],[NAV]])</f>
        <v>0</v>
      </c>
      <c r="AM410" s="6">
        <f>IF(INVESTORS_LIST[[#This Row],[SIP_TOTAL CURRENT UNITS]]=0,0,INVESTORS_LIST[[#This Row],[SIP_TOTAL CURRENT UNITS]]*INVESTORS_LIST[[#This Row],[NAV]])</f>
        <v>0</v>
      </c>
      <c r="AO410" s="6">
        <f>IF(INVESTORS_LIST[[#This Row],[TOTAL SELLABLE UNITS]]=0,0,INVESTORS_LIST[[#This Row],[TOTAL SELLABLE UNITS]]*INVESTORS_LIST[[#This Row],[NAV]])</f>
        <v>0</v>
      </c>
      <c r="AP410" s="6">
        <f>INVESTORS_LIST[[#This Row],[LS_TOTAL REALIZED GAIN]]+INVESTORS_LIST[[#This Row],[SIP_TOTAL REALIZED GAIN]]</f>
        <v>0</v>
      </c>
      <c r="AQ410" s="6">
        <f>INVESTORS_LIST[[#This Row],[TOTAL MARKET VALUE]]-INVESTORS_LIST[[#This Row],[TOTAL COST VALUE OF CURRENT INVESTMENT]]</f>
        <v>0</v>
      </c>
      <c r="AR410" s="6">
        <f>SUMIFS(DivAndTax[Tax Amount],DivAndTax[Investor ID],INVESTORS_LIST[[#This Row],[INVESTOR CODE]])</f>
        <v>0</v>
      </c>
      <c r="AS410" s="6">
        <f>SUMIFS(DivAndTax[Gross Dividend],DivAndTax[Investor ID],INVESTORS_LIST[[#This Row],[INVESTOR CODE]])</f>
        <v>0</v>
      </c>
      <c r="AT410" s="5">
        <f>IFERROR(INVESTORS_LIST[[#This Row],[TOTAL CURRENT UNITS]]/SUM(INVESTORS_LIST[TOTAL CURRENT UNITS]),0)</f>
        <v>0</v>
      </c>
    </row>
    <row r="411" spans="1:46" hidden="1">
      <c r="A411" t="s">
        <v>901</v>
      </c>
      <c r="B411" t="s">
        <v>902</v>
      </c>
      <c r="C411" t="s">
        <v>536</v>
      </c>
      <c r="D411" s="8" t="s">
        <v>2</v>
      </c>
      <c r="E411" s="2">
        <f>SUMIFS(LS[Unit],LS[Investor ID],INVESTORS_LIST[[#This Row],[INVESTOR CODE]],LS[B/S],"B")</f>
        <v>0</v>
      </c>
      <c r="F411" s="2">
        <f>-SUMIFS(LS[Unit],LS[Investor ID],INVESTORS_LIST[[#This Row],[INVESTOR CODE]],LS[B/S],"S")</f>
        <v>0</v>
      </c>
      <c r="G411" s="2">
        <f>IF(INVESTORS_LIST[[#This Row],[LS_TOTAL UNITS BUY]]=0,0,INVESTORS_LIST[[#This Row],[LS_TOTAL UNITS BUY]]-INVESTORS_LIST[[#This Row],[LS_TOTAL UNITS SOLD]])</f>
        <v>0</v>
      </c>
      <c r="H411" s="4">
        <f>IF(INVESTORS_LIST[[#This Row],[LS_TOTAL UNITS BUY]]=0,0,SUMIFS(LS[Amount],LS[Investor ID],INVESTORS_LIST[[#This Row],[INVESTOR CODE]],LS[B/S],"B"))</f>
        <v>0</v>
      </c>
      <c r="I411" s="6">
        <f>IF(INVESTORS_LIST[[#This Row],[LS_TOTAL UNITS SOLD]]=0,0,SUMIFS(LS[Cost of Units Sold],LS[Investor ID],INVESTORS_LIST[[#This Row],[INVESTOR CODE]],LS[B/S],"S"))</f>
        <v>0</v>
      </c>
      <c r="J411" s="6">
        <f>IF(INVESTORS_LIST[[#This Row],[LS_TOTAL CURRENT UNITS]]=0,0,INVESTORS_LIST[[#This Row],[LS_TOTAL CURRENT UNITS]]*INVESTORS_LIST[[#This Row],[LS_AVERAGE COST]])</f>
        <v>0</v>
      </c>
      <c r="K411" s="4">
        <f>IF(INVESTORS_LIST[[#This Row],[LS_TOTAL UNITS SOLD]]=0,0,SUMIFS(LS[Realized Gain],LS[Investor ID],INVESTORS_LIST[[#This Row],[INVESTOR CODE]],LS[B/S],"S"))</f>
        <v>0</v>
      </c>
      <c r="L411" s="2">
        <f>SUMIFS(SIP[Unit],SIP[Investor ID],INVESTORS_LIST[[#This Row],[INVESTOR CODE]],SIP[B/S],"B")</f>
        <v>0</v>
      </c>
      <c r="M411" s="2">
        <f>-SUMIFS(SIP[Unit],SIP[Investor ID],INVESTORS_LIST[[#This Row],[INVESTOR CODE]],SIP[B/S],"S")</f>
        <v>0</v>
      </c>
      <c r="N411" s="33">
        <f>IF(INVESTORS_LIST[[#This Row],[SIP_TOTAL UNITS BUY]]=0,0,INVESTORS_LIST[[#This Row],[SIP_TOTAL UNITS BUY]]-INVESTORS_LIST[[#This Row],[SIP_TOTAL UNITS SOLD]])</f>
        <v>0</v>
      </c>
      <c r="O411" s="4">
        <f>IF(INVESTORS_LIST[[#This Row],[SIP_TOTAL UNITS BUY]]=0,0,SUMIFS(SIP[Amount],SIP[Investor ID],INVESTORS_LIST[[#This Row],[INVESTOR CODE]],SIP[B/S],"B"))</f>
        <v>0</v>
      </c>
      <c r="P411" s="4">
        <f>IF(INVESTORS_LIST[[#This Row],[SIP_TOTAL UNITS SOLD]]=0,0,SUMIFS(SIP[Cost of Units Sold],SIP[Investor ID],INVESTORS_LIST[[#This Row],[INVESTOR CODE]],SIP[B/S],"S"))</f>
        <v>0</v>
      </c>
      <c r="Q411" s="6">
        <f>IF(INVESTORS_LIST[[#This Row],[SIP_TOTAL CURRENT UNITS]]=0,0,INVESTORS_LIST[[#This Row],[SIP_TOTAL CURRENT UNITS]]*INVESTORS_LIST[[#This Row],[SIP_AVERAGE COST]])</f>
        <v>0</v>
      </c>
      <c r="R411" s="6">
        <f>IF(INVESTORS_LIST[[#This Row],[SIP_TOTAL UNITS SOLD]]=0,0,SUMIFS(SIP[Realized Gain],SIP[Investor ID],INVESTORS_LIST[[#This Row],[INVESTOR CODE]],SIP[B/S],"S"))</f>
        <v>0</v>
      </c>
      <c r="S411" s="33">
        <f>INVESTORS_LIST[[#This Row],[LS_TOTAL UNITS BUY]]+INVESTORS_LIST[[#This Row],[SIP_TOTAL UNITS BUY]]</f>
        <v>0</v>
      </c>
      <c r="T411" s="33">
        <f>INVESTORS_LIST[[#This Row],[LS_TOTAL UNITS SOLD]]+INVESTORS_LIST[[#This Row],[SIP_TOTAL UNITS SOLD]]</f>
        <v>0</v>
      </c>
      <c r="U411" s="33">
        <v>0</v>
      </c>
      <c r="V411" s="33">
        <f>SUMIFS(LS[BO UNIT TRANSFER],LS[Investor ID],INVESTORS_LIST[[#This Row],[INVESTOR CODE]],LS[B/S],"B")</f>
        <v>0</v>
      </c>
      <c r="W411" s="33">
        <f>SUMIFS(LS[BO UNIT TRANSFER],LS[Investor ID],INVESTORS_LIST[[#This Row],[INVESTOR CODE]],LS[B/S],"S")</f>
        <v>0</v>
      </c>
      <c r="X411" s="33">
        <f>SUMIFS(SIP[BO UNIT TRANSFER],SIP[Investor ID],INVESTORS_LIST[[#This Row],[INVESTOR CODE]],SIP[B/S],"S")</f>
        <v>0</v>
      </c>
      <c r="Y411" s="33">
        <f>SUMIFS(SIP[BO UNIT TRANSFER],SIP[Investor ID],INVESTORS_LIST[[#This Row],[INVESTOR CODE]],SIP[B/S],"B")</f>
        <v>0</v>
      </c>
      <c r="Z41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11" s="119">
        <f>INVESTORS_LIST[[#This Row],[TOTAL UNITS BUY]]-INVESTORS_LIST[[#This Row],[TOTAL UNITS SOLD]]</f>
        <v>0</v>
      </c>
      <c r="AB411" s="119">
        <f>INVESTORS_LIST[[#This Row],[TOTAL CURRENT UNITS]]-INVESTORS_LIST[[#This Row],[BO UNITS HOLD]]</f>
        <v>0</v>
      </c>
      <c r="AC411" s="119" t="e">
        <f>INDEX([4]!Table_1[BO ID],MATCH(INVESTORS_LIST[[#This Row],[INVESTOR CODE]],[4]!Table_1[INVESTOR CODE],0))</f>
        <v>#REF!</v>
      </c>
      <c r="AD411" s="33">
        <f>INVESTORS_LIST[[#This Row],[LS_TOTAL COST VALUE OF CURRENT UNITS]]+INVESTORS_LIST[[#This Row],[SIP_TOTAL COST VALUE OF CURRENT UNITS]]</f>
        <v>0</v>
      </c>
      <c r="AE411" s="44">
        <f>IF(INVESTORS_LIST[[#This Row],[TOTAL CURRENT UNITS]]=0,0,INVESTORS_LIST[[#This Row],[LS_TOTAL CURRENT UNITS]]/INVESTORS_LIST[[#This Row],[TOTAL CURRENT UNITS]])</f>
        <v>0</v>
      </c>
      <c r="AF411" s="44">
        <f>IF(INVESTORS_LIST[[#This Row],[TOTAL CURRENT UNITS]]=0,0,INVESTORS_LIST[[#This Row],[SIP_TOTAL CURRENT UNITS]]/INVESTORS_LIST[[#This Row],[TOTAL CURRENT UNITS]])</f>
        <v>0</v>
      </c>
      <c r="AG411" s="4" cm="1">
        <f t="array" ref="AG4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11" s="4" cm="1">
        <f t="array" ref="AH4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1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11" s="178">
        <f t="shared" si="6"/>
        <v>12.552</v>
      </c>
      <c r="AK411" s="118">
        <f>IF(INVESTORS_LIST[[#This Row],[TOTAL CURRENT UNITS]]=0,0,INVESTORS_LIST[[#This Row],[TOTAL CURRENT UNITS]]*INVESTORS_LIST[[#This Row],[NAV]])</f>
        <v>0</v>
      </c>
      <c r="AL411" s="4">
        <f>IF(INVESTORS_LIST[[#This Row],[LS_TOTAL CURRENT UNITS]]=0,0,INVESTORS_LIST[[#This Row],[LS_TOTAL CURRENT UNITS]]*INVESTORS_LIST[[#This Row],[NAV]])</f>
        <v>0</v>
      </c>
      <c r="AM411" s="6">
        <f>IF(INVESTORS_LIST[[#This Row],[SIP_TOTAL CURRENT UNITS]]=0,0,INVESTORS_LIST[[#This Row],[SIP_TOTAL CURRENT UNITS]]*INVESTORS_LIST[[#This Row],[NAV]])</f>
        <v>0</v>
      </c>
      <c r="AO411" s="6">
        <f>IF(INVESTORS_LIST[[#This Row],[TOTAL SELLABLE UNITS]]=0,0,INVESTORS_LIST[[#This Row],[TOTAL SELLABLE UNITS]]*INVESTORS_LIST[[#This Row],[NAV]])</f>
        <v>0</v>
      </c>
      <c r="AP411" s="6">
        <f>INVESTORS_LIST[[#This Row],[LS_TOTAL REALIZED GAIN]]+INVESTORS_LIST[[#This Row],[SIP_TOTAL REALIZED GAIN]]</f>
        <v>0</v>
      </c>
      <c r="AQ411" s="6">
        <f>INVESTORS_LIST[[#This Row],[TOTAL MARKET VALUE]]-INVESTORS_LIST[[#This Row],[TOTAL COST VALUE OF CURRENT INVESTMENT]]</f>
        <v>0</v>
      </c>
      <c r="AR411" s="6">
        <f>SUMIFS(DivAndTax[Tax Amount],DivAndTax[Investor ID],INVESTORS_LIST[[#This Row],[INVESTOR CODE]])</f>
        <v>0</v>
      </c>
      <c r="AS411" s="6">
        <f>SUMIFS(DivAndTax[Gross Dividend],DivAndTax[Investor ID],INVESTORS_LIST[[#This Row],[INVESTOR CODE]])</f>
        <v>0</v>
      </c>
      <c r="AT411" s="5">
        <f>IFERROR(INVESTORS_LIST[[#This Row],[TOTAL CURRENT UNITS]]/SUM(INVESTORS_LIST[TOTAL CURRENT UNITS]),0)</f>
        <v>0</v>
      </c>
    </row>
    <row r="412" spans="1:46" hidden="1">
      <c r="A412" t="s">
        <v>903</v>
      </c>
      <c r="B412" t="s">
        <v>904</v>
      </c>
      <c r="C412" t="s">
        <v>536</v>
      </c>
      <c r="D412" s="8" t="s">
        <v>2</v>
      </c>
      <c r="E412" s="2">
        <f>SUMIFS(LS[Unit],LS[Investor ID],INVESTORS_LIST[[#This Row],[INVESTOR CODE]],LS[B/S],"B")</f>
        <v>1996</v>
      </c>
      <c r="F412" s="2">
        <f>-SUMIFS(LS[Unit],LS[Investor ID],INVESTORS_LIST[[#This Row],[INVESTOR CODE]],LS[B/S],"S")</f>
        <v>1996</v>
      </c>
      <c r="G412" s="2">
        <f>IF(INVESTORS_LIST[[#This Row],[LS_TOTAL UNITS BUY]]=0,0,INVESTORS_LIST[[#This Row],[LS_TOTAL UNITS BUY]]-INVESTORS_LIST[[#This Row],[LS_TOTAL UNITS SOLD]])</f>
        <v>0</v>
      </c>
      <c r="H412" s="4">
        <f>IF(INVESTORS_LIST[[#This Row],[LS_TOTAL UNITS BUY]]=0,0,SUMIFS(LS[Amount],LS[Investor ID],INVESTORS_LIST[[#This Row],[INVESTOR CODE]],LS[B/S],"B"))</f>
        <v>20000</v>
      </c>
      <c r="I412" s="6">
        <f>IF(INVESTORS_LIST[[#This Row],[LS_TOTAL UNITS SOLD]]=0,0,SUMIFS(LS[Cost of Units Sold],LS[Investor ID],INVESTORS_LIST[[#This Row],[INVESTOR CODE]],LS[B/S],"S"))</f>
        <v>20000</v>
      </c>
      <c r="J412" s="6">
        <f>IF(INVESTORS_LIST[[#This Row],[LS_TOTAL CURRENT UNITS]]=0,0,INVESTORS_LIST[[#This Row],[LS_TOTAL CURRENT UNITS]]*INVESTORS_LIST[[#This Row],[LS_AVERAGE COST]])</f>
        <v>0</v>
      </c>
      <c r="K412" s="4">
        <f>IF(INVESTORS_LIST[[#This Row],[LS_TOTAL UNITS SOLD]]=0,0,SUMIFS(LS[Realized Gain],LS[Investor ID],INVESTORS_LIST[[#This Row],[INVESTOR CODE]],LS[B/S],"S"))</f>
        <v>578.75999999999692</v>
      </c>
      <c r="L412" s="2">
        <f>SUMIFS(SIP[Unit],SIP[Investor ID],INVESTORS_LIST[[#This Row],[INVESTOR CODE]],SIP[B/S],"B")</f>
        <v>0</v>
      </c>
      <c r="M412" s="2">
        <f>-SUMIFS(SIP[Unit],SIP[Investor ID],INVESTORS_LIST[[#This Row],[INVESTOR CODE]],SIP[B/S],"S")</f>
        <v>0</v>
      </c>
      <c r="N412" s="33">
        <f>IF(INVESTORS_LIST[[#This Row],[SIP_TOTAL UNITS BUY]]=0,0,INVESTORS_LIST[[#This Row],[SIP_TOTAL UNITS BUY]]-INVESTORS_LIST[[#This Row],[SIP_TOTAL UNITS SOLD]])</f>
        <v>0</v>
      </c>
      <c r="O412" s="4">
        <f>IF(INVESTORS_LIST[[#This Row],[SIP_TOTAL UNITS BUY]]=0,0,SUMIFS(SIP[Amount],SIP[Investor ID],INVESTORS_LIST[[#This Row],[INVESTOR CODE]],SIP[B/S],"B"))</f>
        <v>0</v>
      </c>
      <c r="P412" s="4">
        <f>IF(INVESTORS_LIST[[#This Row],[SIP_TOTAL UNITS SOLD]]=0,0,SUMIFS(SIP[Cost of Units Sold],SIP[Investor ID],INVESTORS_LIST[[#This Row],[INVESTOR CODE]],SIP[B/S],"S"))</f>
        <v>0</v>
      </c>
      <c r="Q412" s="6">
        <f>IF(INVESTORS_LIST[[#This Row],[SIP_TOTAL CURRENT UNITS]]=0,0,INVESTORS_LIST[[#This Row],[SIP_TOTAL CURRENT UNITS]]*INVESTORS_LIST[[#This Row],[SIP_AVERAGE COST]])</f>
        <v>0</v>
      </c>
      <c r="R412" s="6">
        <f>IF(INVESTORS_LIST[[#This Row],[SIP_TOTAL UNITS SOLD]]=0,0,SUMIFS(SIP[Realized Gain],SIP[Investor ID],INVESTORS_LIST[[#This Row],[INVESTOR CODE]],SIP[B/S],"S"))</f>
        <v>0</v>
      </c>
      <c r="S412" s="33">
        <f>INVESTORS_LIST[[#This Row],[LS_TOTAL UNITS BUY]]+INVESTORS_LIST[[#This Row],[SIP_TOTAL UNITS BUY]]</f>
        <v>1996</v>
      </c>
      <c r="T412" s="33">
        <f>INVESTORS_LIST[[#This Row],[LS_TOTAL UNITS SOLD]]+INVESTORS_LIST[[#This Row],[SIP_TOTAL UNITS SOLD]]</f>
        <v>1996</v>
      </c>
      <c r="U412" s="33">
        <v>0</v>
      </c>
      <c r="V412" s="33">
        <f>SUMIFS(LS[BO UNIT TRANSFER],LS[Investor ID],INVESTORS_LIST[[#This Row],[INVESTOR CODE]],LS[B/S],"B")</f>
        <v>0</v>
      </c>
      <c r="W412" s="33">
        <f>SUMIFS(LS[BO UNIT TRANSFER],LS[Investor ID],INVESTORS_LIST[[#This Row],[INVESTOR CODE]],LS[B/S],"S")</f>
        <v>0</v>
      </c>
      <c r="X412" s="33">
        <f>SUMIFS(SIP[BO UNIT TRANSFER],SIP[Investor ID],INVESTORS_LIST[[#This Row],[INVESTOR CODE]],SIP[B/S],"S")</f>
        <v>0</v>
      </c>
      <c r="Y412" s="33">
        <f>SUMIFS(SIP[BO UNIT TRANSFER],SIP[Investor ID],INVESTORS_LIST[[#This Row],[INVESTOR CODE]],SIP[B/S],"B")</f>
        <v>0</v>
      </c>
      <c r="Z41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12" s="119">
        <f>INVESTORS_LIST[[#This Row],[TOTAL UNITS BUY]]-INVESTORS_LIST[[#This Row],[TOTAL UNITS SOLD]]</f>
        <v>0</v>
      </c>
      <c r="AB412" s="119">
        <f>INVESTORS_LIST[[#This Row],[TOTAL CURRENT UNITS]]-INVESTORS_LIST[[#This Row],[BO UNITS HOLD]]</f>
        <v>0</v>
      </c>
      <c r="AC412" s="119" t="e">
        <f>INDEX([4]!Table_1[BO ID],MATCH(INVESTORS_LIST[[#This Row],[INVESTOR CODE]],[4]!Table_1[INVESTOR CODE],0))</f>
        <v>#REF!</v>
      </c>
      <c r="AD412" s="33">
        <f>INVESTORS_LIST[[#This Row],[LS_TOTAL COST VALUE OF CURRENT UNITS]]+INVESTORS_LIST[[#This Row],[SIP_TOTAL COST VALUE OF CURRENT UNITS]]</f>
        <v>0</v>
      </c>
      <c r="AE412" s="44">
        <f>IF(INVESTORS_LIST[[#This Row],[TOTAL CURRENT UNITS]]=0,0,INVESTORS_LIST[[#This Row],[LS_TOTAL CURRENT UNITS]]/INVESTORS_LIST[[#This Row],[TOTAL CURRENT UNITS]])</f>
        <v>0</v>
      </c>
      <c r="AF412" s="44">
        <f>IF(INVESTORS_LIST[[#This Row],[TOTAL CURRENT UNITS]]=0,0,INVESTORS_LIST[[#This Row],[SIP_TOTAL CURRENT UNITS]]/INVESTORS_LIST[[#This Row],[TOTAL CURRENT UNITS]])</f>
        <v>0</v>
      </c>
      <c r="AG412" s="4" cm="1">
        <f t="array" ref="AG4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12" s="4" cm="1">
        <f t="array" ref="AH4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1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12" s="178">
        <f t="shared" si="6"/>
        <v>12.552</v>
      </c>
      <c r="AK412" s="118">
        <f>IF(INVESTORS_LIST[[#This Row],[TOTAL CURRENT UNITS]]=0,0,INVESTORS_LIST[[#This Row],[TOTAL CURRENT UNITS]]*INVESTORS_LIST[[#This Row],[NAV]])</f>
        <v>0</v>
      </c>
      <c r="AL412" s="4">
        <f>IF(INVESTORS_LIST[[#This Row],[LS_TOTAL CURRENT UNITS]]=0,0,INVESTORS_LIST[[#This Row],[LS_TOTAL CURRENT UNITS]]*INVESTORS_LIST[[#This Row],[NAV]])</f>
        <v>0</v>
      </c>
      <c r="AM412" s="6">
        <f>IF(INVESTORS_LIST[[#This Row],[SIP_TOTAL CURRENT UNITS]]=0,0,INVESTORS_LIST[[#This Row],[SIP_TOTAL CURRENT UNITS]]*INVESTORS_LIST[[#This Row],[NAV]])</f>
        <v>0</v>
      </c>
      <c r="AO412" s="6">
        <f>IF(INVESTORS_LIST[[#This Row],[TOTAL SELLABLE UNITS]]=0,0,INVESTORS_LIST[[#This Row],[TOTAL SELLABLE UNITS]]*INVESTORS_LIST[[#This Row],[NAV]])</f>
        <v>0</v>
      </c>
      <c r="AP412" s="6">
        <f>INVESTORS_LIST[[#This Row],[LS_TOTAL REALIZED GAIN]]+INVESTORS_LIST[[#This Row],[SIP_TOTAL REALIZED GAIN]]</f>
        <v>578.75999999999692</v>
      </c>
      <c r="AQ412" s="6">
        <f>INVESTORS_LIST[[#This Row],[TOTAL MARKET VALUE]]-INVESTORS_LIST[[#This Row],[TOTAL COST VALUE OF CURRENT INVESTMENT]]</f>
        <v>0</v>
      </c>
      <c r="AR412" s="6">
        <f>SUMIFS(DivAndTax[Tax Amount],DivAndTax[Investor ID],INVESTORS_LIST[[#This Row],[INVESTOR CODE]])</f>
        <v>0</v>
      </c>
      <c r="AS412" s="6">
        <f>SUMIFS(DivAndTax[Gross Dividend],DivAndTax[Investor ID],INVESTORS_LIST[[#This Row],[INVESTOR CODE]])</f>
        <v>0</v>
      </c>
      <c r="AT412" s="5">
        <f>IFERROR(INVESTORS_LIST[[#This Row],[TOTAL CURRENT UNITS]]/SUM(INVESTORS_LIST[TOTAL CURRENT UNITS]),0)</f>
        <v>0</v>
      </c>
    </row>
    <row r="413" spans="1:46" hidden="1">
      <c r="A413" t="s">
        <v>905</v>
      </c>
      <c r="B413" t="s">
        <v>906</v>
      </c>
      <c r="C413" t="s">
        <v>539</v>
      </c>
      <c r="D413" s="8" t="s">
        <v>2</v>
      </c>
      <c r="E413" s="2">
        <f>SUMIFS(LS[Unit],LS[Investor ID],INVESTORS_LIST[[#This Row],[INVESTOR CODE]],LS[B/S],"B")</f>
        <v>31640</v>
      </c>
      <c r="F413" s="2">
        <f>-SUMIFS(LS[Unit],LS[Investor ID],INVESTORS_LIST[[#This Row],[INVESTOR CODE]],LS[B/S],"S")</f>
        <v>31640</v>
      </c>
      <c r="G413" s="2">
        <f>IF(INVESTORS_LIST[[#This Row],[LS_TOTAL UNITS BUY]]=0,0,INVESTORS_LIST[[#This Row],[LS_TOTAL UNITS BUY]]-INVESTORS_LIST[[#This Row],[LS_TOTAL UNITS SOLD]])</f>
        <v>0</v>
      </c>
      <c r="H413" s="4">
        <f>IF(INVESTORS_LIST[[#This Row],[LS_TOTAL UNITS BUY]]=0,0,SUMIFS(LS[Amount],LS[Investor ID],INVESTORS_LIST[[#This Row],[INVESTOR CODE]],LS[B/S],"B"))</f>
        <v>375409</v>
      </c>
      <c r="I413" s="6">
        <f>IF(INVESTORS_LIST[[#This Row],[LS_TOTAL UNITS SOLD]]=0,0,SUMIFS(LS[Cost of Units Sold],LS[Investor ID],INVESTORS_LIST[[#This Row],[INVESTOR CODE]],LS[B/S],"S"))</f>
        <v>375409</v>
      </c>
      <c r="J413" s="6">
        <f>IF(INVESTORS_LIST[[#This Row],[LS_TOTAL CURRENT UNITS]]=0,0,INVESTORS_LIST[[#This Row],[LS_TOTAL CURRENT UNITS]]*INVESTORS_LIST[[#This Row],[LS_AVERAGE COST]])</f>
        <v>0</v>
      </c>
      <c r="K413" s="4">
        <f>IF(INVESTORS_LIST[[#This Row],[LS_TOTAL UNITS SOLD]]=0,0,SUMIFS(LS[Realized Gain],LS[Investor ID],INVESTORS_LIST[[#This Row],[INVESTOR CODE]],LS[B/S],"S"))</f>
        <v>45972.520000000019</v>
      </c>
      <c r="L413" s="2">
        <f>SUMIFS(SIP[Unit],SIP[Investor ID],INVESTORS_LIST[[#This Row],[INVESTOR CODE]],SIP[B/S],"B")</f>
        <v>0</v>
      </c>
      <c r="M413" s="2">
        <f>-SUMIFS(SIP[Unit],SIP[Investor ID],INVESTORS_LIST[[#This Row],[INVESTOR CODE]],SIP[B/S],"S")</f>
        <v>0</v>
      </c>
      <c r="N413" s="33">
        <f>IF(INVESTORS_LIST[[#This Row],[SIP_TOTAL UNITS BUY]]=0,0,INVESTORS_LIST[[#This Row],[SIP_TOTAL UNITS BUY]]-INVESTORS_LIST[[#This Row],[SIP_TOTAL UNITS SOLD]])</f>
        <v>0</v>
      </c>
      <c r="O413" s="4">
        <f>IF(INVESTORS_LIST[[#This Row],[SIP_TOTAL UNITS BUY]]=0,0,SUMIFS(SIP[Amount],SIP[Investor ID],INVESTORS_LIST[[#This Row],[INVESTOR CODE]],SIP[B/S],"B"))</f>
        <v>0</v>
      </c>
      <c r="P413" s="4">
        <f>IF(INVESTORS_LIST[[#This Row],[SIP_TOTAL UNITS SOLD]]=0,0,SUMIFS(SIP[Cost of Units Sold],SIP[Investor ID],INVESTORS_LIST[[#This Row],[INVESTOR CODE]],SIP[B/S],"S"))</f>
        <v>0</v>
      </c>
      <c r="Q413" s="6">
        <f>IF(INVESTORS_LIST[[#This Row],[SIP_TOTAL CURRENT UNITS]]=0,0,INVESTORS_LIST[[#This Row],[SIP_TOTAL CURRENT UNITS]]*INVESTORS_LIST[[#This Row],[SIP_AVERAGE COST]])</f>
        <v>0</v>
      </c>
      <c r="R413" s="6">
        <f>IF(INVESTORS_LIST[[#This Row],[SIP_TOTAL UNITS SOLD]]=0,0,SUMIFS(SIP[Realized Gain],SIP[Investor ID],INVESTORS_LIST[[#This Row],[INVESTOR CODE]],SIP[B/S],"S"))</f>
        <v>0</v>
      </c>
      <c r="S413" s="33">
        <f>INVESTORS_LIST[[#This Row],[LS_TOTAL UNITS BUY]]+INVESTORS_LIST[[#This Row],[SIP_TOTAL UNITS BUY]]</f>
        <v>31640</v>
      </c>
      <c r="T413" s="33">
        <f>INVESTORS_LIST[[#This Row],[LS_TOTAL UNITS SOLD]]+INVESTORS_LIST[[#This Row],[SIP_TOTAL UNITS SOLD]]</f>
        <v>31640</v>
      </c>
      <c r="U413" s="33">
        <v>0</v>
      </c>
      <c r="V413" s="33">
        <f>SUMIFS(LS[BO UNIT TRANSFER],LS[Investor ID],INVESTORS_LIST[[#This Row],[INVESTOR CODE]],LS[B/S],"B")</f>
        <v>0</v>
      </c>
      <c r="W413" s="33">
        <f>SUMIFS(LS[BO UNIT TRANSFER],LS[Investor ID],INVESTORS_LIST[[#This Row],[INVESTOR CODE]],LS[B/S],"S")</f>
        <v>0</v>
      </c>
      <c r="X413" s="33">
        <f>SUMIFS(SIP[BO UNIT TRANSFER],SIP[Investor ID],INVESTORS_LIST[[#This Row],[INVESTOR CODE]],SIP[B/S],"S")</f>
        <v>0</v>
      </c>
      <c r="Y413" s="33">
        <f>SUMIFS(SIP[BO UNIT TRANSFER],SIP[Investor ID],INVESTORS_LIST[[#This Row],[INVESTOR CODE]],SIP[B/S],"B")</f>
        <v>0</v>
      </c>
      <c r="Z41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13" s="119">
        <f>INVESTORS_LIST[[#This Row],[TOTAL UNITS BUY]]-INVESTORS_LIST[[#This Row],[TOTAL UNITS SOLD]]</f>
        <v>0</v>
      </c>
      <c r="AB413" s="119">
        <f>INVESTORS_LIST[[#This Row],[TOTAL CURRENT UNITS]]-INVESTORS_LIST[[#This Row],[BO UNITS HOLD]]</f>
        <v>0</v>
      </c>
      <c r="AC413" s="119" t="e">
        <f>INDEX([4]!Table_1[BO ID],MATCH(INVESTORS_LIST[[#This Row],[INVESTOR CODE]],[4]!Table_1[INVESTOR CODE],0))</f>
        <v>#REF!</v>
      </c>
      <c r="AD413" s="33">
        <f>INVESTORS_LIST[[#This Row],[LS_TOTAL COST VALUE OF CURRENT UNITS]]+INVESTORS_LIST[[#This Row],[SIP_TOTAL COST VALUE OF CURRENT UNITS]]</f>
        <v>0</v>
      </c>
      <c r="AE413" s="44">
        <f>IF(INVESTORS_LIST[[#This Row],[TOTAL CURRENT UNITS]]=0,0,INVESTORS_LIST[[#This Row],[LS_TOTAL CURRENT UNITS]]/INVESTORS_LIST[[#This Row],[TOTAL CURRENT UNITS]])</f>
        <v>0</v>
      </c>
      <c r="AF413" s="44">
        <f>IF(INVESTORS_LIST[[#This Row],[TOTAL CURRENT UNITS]]=0,0,INVESTORS_LIST[[#This Row],[SIP_TOTAL CURRENT UNITS]]/INVESTORS_LIST[[#This Row],[TOTAL CURRENT UNITS]])</f>
        <v>0</v>
      </c>
      <c r="AG413" s="4" cm="1">
        <f t="array" ref="AG41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13" s="4" cm="1">
        <f t="array" ref="AH4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1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13" s="178">
        <f t="shared" si="6"/>
        <v>12.552</v>
      </c>
      <c r="AK413" s="118">
        <f>IF(INVESTORS_LIST[[#This Row],[TOTAL CURRENT UNITS]]=0,0,INVESTORS_LIST[[#This Row],[TOTAL CURRENT UNITS]]*INVESTORS_LIST[[#This Row],[NAV]])</f>
        <v>0</v>
      </c>
      <c r="AL413" s="4">
        <f>IF(INVESTORS_LIST[[#This Row],[LS_TOTAL CURRENT UNITS]]=0,0,INVESTORS_LIST[[#This Row],[LS_TOTAL CURRENT UNITS]]*INVESTORS_LIST[[#This Row],[NAV]])</f>
        <v>0</v>
      </c>
      <c r="AM413" s="6">
        <f>IF(INVESTORS_LIST[[#This Row],[SIP_TOTAL CURRENT UNITS]]=0,0,INVESTORS_LIST[[#This Row],[SIP_TOTAL CURRENT UNITS]]*INVESTORS_LIST[[#This Row],[NAV]])</f>
        <v>0</v>
      </c>
      <c r="AO413" s="6">
        <f>IF(INVESTORS_LIST[[#This Row],[TOTAL SELLABLE UNITS]]=0,0,INVESTORS_LIST[[#This Row],[TOTAL SELLABLE UNITS]]*INVESTORS_LIST[[#This Row],[NAV]])</f>
        <v>0</v>
      </c>
      <c r="AP413" s="6">
        <f>INVESTORS_LIST[[#This Row],[LS_TOTAL REALIZED GAIN]]+INVESTORS_LIST[[#This Row],[SIP_TOTAL REALIZED GAIN]]</f>
        <v>45972.520000000019</v>
      </c>
      <c r="AQ413" s="6">
        <f>INVESTORS_LIST[[#This Row],[TOTAL MARKET VALUE]]-INVESTORS_LIST[[#This Row],[TOTAL COST VALUE OF CURRENT INVESTMENT]]</f>
        <v>0</v>
      </c>
      <c r="AR413" s="6">
        <f>SUMIFS(DivAndTax[Tax Amount],DivAndTax[Investor ID],INVESTORS_LIST[[#This Row],[INVESTOR CODE]])</f>
        <v>1107.4000000000001</v>
      </c>
      <c r="AS413" s="6">
        <f>SUMIFS(DivAndTax[Gross Dividend],DivAndTax[Investor ID],INVESTORS_LIST[[#This Row],[INVESTOR CODE]])</f>
        <v>11074</v>
      </c>
      <c r="AT413" s="5">
        <f>IFERROR(INVESTORS_LIST[[#This Row],[TOTAL CURRENT UNITS]]/SUM(INVESTORS_LIST[TOTAL CURRENT UNITS]),0)</f>
        <v>0</v>
      </c>
    </row>
    <row r="414" spans="1:46" hidden="1">
      <c r="A414" t="s">
        <v>907</v>
      </c>
      <c r="B414" t="s">
        <v>908</v>
      </c>
      <c r="C414" t="s">
        <v>536</v>
      </c>
      <c r="D414" s="8" t="s">
        <v>2</v>
      </c>
      <c r="E414" s="2">
        <f>SUMIFS(LS[Unit],LS[Investor ID],INVESTORS_LIST[[#This Row],[INVESTOR CODE]],LS[B/S],"B")</f>
        <v>0</v>
      </c>
      <c r="F414" s="2">
        <f>-SUMIFS(LS[Unit],LS[Investor ID],INVESTORS_LIST[[#This Row],[INVESTOR CODE]],LS[B/S],"S")</f>
        <v>0</v>
      </c>
      <c r="G414" s="2">
        <f>IF(INVESTORS_LIST[[#This Row],[LS_TOTAL UNITS BUY]]=0,0,INVESTORS_LIST[[#This Row],[LS_TOTAL UNITS BUY]]-INVESTORS_LIST[[#This Row],[LS_TOTAL UNITS SOLD]])</f>
        <v>0</v>
      </c>
      <c r="H414" s="4">
        <f>IF(INVESTORS_LIST[[#This Row],[LS_TOTAL UNITS BUY]]=0,0,SUMIFS(LS[Amount],LS[Investor ID],INVESTORS_LIST[[#This Row],[INVESTOR CODE]],LS[B/S],"B"))</f>
        <v>0</v>
      </c>
      <c r="I414" s="6">
        <f>IF(INVESTORS_LIST[[#This Row],[LS_TOTAL UNITS SOLD]]=0,0,SUMIFS(LS[Cost of Units Sold],LS[Investor ID],INVESTORS_LIST[[#This Row],[INVESTOR CODE]],LS[B/S],"S"))</f>
        <v>0</v>
      </c>
      <c r="J414" s="6">
        <f>IF(INVESTORS_LIST[[#This Row],[LS_TOTAL CURRENT UNITS]]=0,0,INVESTORS_LIST[[#This Row],[LS_TOTAL CURRENT UNITS]]*INVESTORS_LIST[[#This Row],[LS_AVERAGE COST]])</f>
        <v>0</v>
      </c>
      <c r="K414" s="4">
        <f>IF(INVESTORS_LIST[[#This Row],[LS_TOTAL UNITS SOLD]]=0,0,SUMIFS(LS[Realized Gain],LS[Investor ID],INVESTORS_LIST[[#This Row],[INVESTOR CODE]],LS[B/S],"S"))</f>
        <v>0</v>
      </c>
      <c r="L414" s="2">
        <f>SUMIFS(SIP[Unit],SIP[Investor ID],INVESTORS_LIST[[#This Row],[INVESTOR CODE]],SIP[B/S],"B")</f>
        <v>0</v>
      </c>
      <c r="M414" s="2">
        <f>-SUMIFS(SIP[Unit],SIP[Investor ID],INVESTORS_LIST[[#This Row],[INVESTOR CODE]],SIP[B/S],"S")</f>
        <v>0</v>
      </c>
      <c r="N414" s="33">
        <f>IF(INVESTORS_LIST[[#This Row],[SIP_TOTAL UNITS BUY]]=0,0,INVESTORS_LIST[[#This Row],[SIP_TOTAL UNITS BUY]]-INVESTORS_LIST[[#This Row],[SIP_TOTAL UNITS SOLD]])</f>
        <v>0</v>
      </c>
      <c r="O414" s="4">
        <f>IF(INVESTORS_LIST[[#This Row],[SIP_TOTAL UNITS BUY]]=0,0,SUMIFS(SIP[Amount],SIP[Investor ID],INVESTORS_LIST[[#This Row],[INVESTOR CODE]],SIP[B/S],"B"))</f>
        <v>0</v>
      </c>
      <c r="P414" s="4">
        <f>IF(INVESTORS_LIST[[#This Row],[SIP_TOTAL UNITS SOLD]]=0,0,SUMIFS(SIP[Cost of Units Sold],SIP[Investor ID],INVESTORS_LIST[[#This Row],[INVESTOR CODE]],SIP[B/S],"S"))</f>
        <v>0</v>
      </c>
      <c r="Q414" s="6">
        <f>IF(INVESTORS_LIST[[#This Row],[SIP_TOTAL CURRENT UNITS]]=0,0,INVESTORS_LIST[[#This Row],[SIP_TOTAL CURRENT UNITS]]*INVESTORS_LIST[[#This Row],[SIP_AVERAGE COST]])</f>
        <v>0</v>
      </c>
      <c r="R414" s="6">
        <f>IF(INVESTORS_LIST[[#This Row],[SIP_TOTAL UNITS SOLD]]=0,0,SUMIFS(SIP[Realized Gain],SIP[Investor ID],INVESTORS_LIST[[#This Row],[INVESTOR CODE]],SIP[B/S],"S"))</f>
        <v>0</v>
      </c>
      <c r="S414" s="33">
        <f>INVESTORS_LIST[[#This Row],[LS_TOTAL UNITS BUY]]+INVESTORS_LIST[[#This Row],[SIP_TOTAL UNITS BUY]]</f>
        <v>0</v>
      </c>
      <c r="T414" s="33">
        <f>INVESTORS_LIST[[#This Row],[LS_TOTAL UNITS SOLD]]+INVESTORS_LIST[[#This Row],[SIP_TOTAL UNITS SOLD]]</f>
        <v>0</v>
      </c>
      <c r="U414" s="33">
        <v>0</v>
      </c>
      <c r="V414" s="33">
        <f>SUMIFS(LS[BO UNIT TRANSFER],LS[Investor ID],INVESTORS_LIST[[#This Row],[INVESTOR CODE]],LS[B/S],"B")</f>
        <v>0</v>
      </c>
      <c r="W414" s="33">
        <f>SUMIFS(LS[BO UNIT TRANSFER],LS[Investor ID],INVESTORS_LIST[[#This Row],[INVESTOR CODE]],LS[B/S],"S")</f>
        <v>0</v>
      </c>
      <c r="X414" s="33">
        <f>SUMIFS(SIP[BO UNIT TRANSFER],SIP[Investor ID],INVESTORS_LIST[[#This Row],[INVESTOR CODE]],SIP[B/S],"S")</f>
        <v>0</v>
      </c>
      <c r="Y414" s="33">
        <f>SUMIFS(SIP[BO UNIT TRANSFER],SIP[Investor ID],INVESTORS_LIST[[#This Row],[INVESTOR CODE]],SIP[B/S],"B")</f>
        <v>0</v>
      </c>
      <c r="Z41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14" s="119">
        <f>INVESTORS_LIST[[#This Row],[TOTAL UNITS BUY]]-INVESTORS_LIST[[#This Row],[TOTAL UNITS SOLD]]</f>
        <v>0</v>
      </c>
      <c r="AB414" s="119">
        <f>INVESTORS_LIST[[#This Row],[TOTAL CURRENT UNITS]]-INVESTORS_LIST[[#This Row],[BO UNITS HOLD]]</f>
        <v>0</v>
      </c>
      <c r="AC414" s="119" t="e">
        <f>INDEX([4]!Table_1[BO ID],MATCH(INVESTORS_LIST[[#This Row],[INVESTOR CODE]],[4]!Table_1[INVESTOR CODE],0))</f>
        <v>#REF!</v>
      </c>
      <c r="AD414" s="33">
        <f>INVESTORS_LIST[[#This Row],[LS_TOTAL COST VALUE OF CURRENT UNITS]]+INVESTORS_LIST[[#This Row],[SIP_TOTAL COST VALUE OF CURRENT UNITS]]</f>
        <v>0</v>
      </c>
      <c r="AE414" s="44">
        <f>IF(INVESTORS_LIST[[#This Row],[TOTAL CURRENT UNITS]]=0,0,INVESTORS_LIST[[#This Row],[LS_TOTAL CURRENT UNITS]]/INVESTORS_LIST[[#This Row],[TOTAL CURRENT UNITS]])</f>
        <v>0</v>
      </c>
      <c r="AF414" s="44">
        <f>IF(INVESTORS_LIST[[#This Row],[TOTAL CURRENT UNITS]]=0,0,INVESTORS_LIST[[#This Row],[SIP_TOTAL CURRENT UNITS]]/INVESTORS_LIST[[#This Row],[TOTAL CURRENT UNITS]])</f>
        <v>0</v>
      </c>
      <c r="AG414" s="4" cm="1">
        <f t="array" ref="AG4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14" s="4" cm="1">
        <f t="array" ref="AH4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1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14" s="178">
        <f t="shared" si="6"/>
        <v>12.552</v>
      </c>
      <c r="AK414" s="118">
        <f>IF(INVESTORS_LIST[[#This Row],[TOTAL CURRENT UNITS]]=0,0,INVESTORS_LIST[[#This Row],[TOTAL CURRENT UNITS]]*INVESTORS_LIST[[#This Row],[NAV]])</f>
        <v>0</v>
      </c>
      <c r="AL414" s="4">
        <f>IF(INVESTORS_LIST[[#This Row],[LS_TOTAL CURRENT UNITS]]=0,0,INVESTORS_LIST[[#This Row],[LS_TOTAL CURRENT UNITS]]*INVESTORS_LIST[[#This Row],[NAV]])</f>
        <v>0</v>
      </c>
      <c r="AM414" s="6">
        <f>IF(INVESTORS_LIST[[#This Row],[SIP_TOTAL CURRENT UNITS]]=0,0,INVESTORS_LIST[[#This Row],[SIP_TOTAL CURRENT UNITS]]*INVESTORS_LIST[[#This Row],[NAV]])</f>
        <v>0</v>
      </c>
      <c r="AO414" s="6">
        <f>IF(INVESTORS_LIST[[#This Row],[TOTAL SELLABLE UNITS]]=0,0,INVESTORS_LIST[[#This Row],[TOTAL SELLABLE UNITS]]*INVESTORS_LIST[[#This Row],[NAV]])</f>
        <v>0</v>
      </c>
      <c r="AP414" s="6">
        <f>INVESTORS_LIST[[#This Row],[LS_TOTAL REALIZED GAIN]]+INVESTORS_LIST[[#This Row],[SIP_TOTAL REALIZED GAIN]]</f>
        <v>0</v>
      </c>
      <c r="AQ414" s="6">
        <f>INVESTORS_LIST[[#This Row],[TOTAL MARKET VALUE]]-INVESTORS_LIST[[#This Row],[TOTAL COST VALUE OF CURRENT INVESTMENT]]</f>
        <v>0</v>
      </c>
      <c r="AR414" s="6">
        <f>SUMIFS(DivAndTax[Tax Amount],DivAndTax[Investor ID],INVESTORS_LIST[[#This Row],[INVESTOR CODE]])</f>
        <v>0</v>
      </c>
      <c r="AS414" s="6">
        <f>SUMIFS(DivAndTax[Gross Dividend],DivAndTax[Investor ID],INVESTORS_LIST[[#This Row],[INVESTOR CODE]])</f>
        <v>0</v>
      </c>
      <c r="AT414" s="5">
        <f>IFERROR(INVESTORS_LIST[[#This Row],[TOTAL CURRENT UNITS]]/SUM(INVESTORS_LIST[TOTAL CURRENT UNITS]),0)</f>
        <v>0</v>
      </c>
    </row>
    <row r="415" spans="1:46" hidden="1">
      <c r="A415" t="s">
        <v>909</v>
      </c>
      <c r="B415" t="s">
        <v>900</v>
      </c>
      <c r="C415" t="s">
        <v>536</v>
      </c>
      <c r="D415" s="8" t="s">
        <v>2</v>
      </c>
      <c r="E415" s="2">
        <f>SUMIFS(LS[Unit],LS[Investor ID],INVESTORS_LIST[[#This Row],[INVESTOR CODE]],LS[B/S],"B")</f>
        <v>45179</v>
      </c>
      <c r="F415" s="2">
        <f>-SUMIFS(LS[Unit],LS[Investor ID],INVESTORS_LIST[[#This Row],[INVESTOR CODE]],LS[B/S],"S")</f>
        <v>45179</v>
      </c>
      <c r="G415" s="2">
        <f>IF(INVESTORS_LIST[[#This Row],[LS_TOTAL UNITS BUY]]=0,0,INVESTORS_LIST[[#This Row],[LS_TOTAL UNITS BUY]]-INVESTORS_LIST[[#This Row],[LS_TOTAL UNITS SOLD]])</f>
        <v>0</v>
      </c>
      <c r="H415" s="4">
        <f>IF(INVESTORS_LIST[[#This Row],[LS_TOTAL UNITS BUY]]=0,0,SUMIFS(LS[Amount],LS[Investor ID],INVESTORS_LIST[[#This Row],[INVESTOR CODE]],LS[B/S],"B"))</f>
        <v>453600</v>
      </c>
      <c r="I415" s="6">
        <f>IF(INVESTORS_LIST[[#This Row],[LS_TOTAL UNITS SOLD]]=0,0,SUMIFS(LS[Cost of Units Sold],LS[Investor ID],INVESTORS_LIST[[#This Row],[INVESTOR CODE]],LS[B/S],"S"))</f>
        <v>453600</v>
      </c>
      <c r="J415" s="6">
        <f>IF(INVESTORS_LIST[[#This Row],[LS_TOTAL CURRENT UNITS]]=0,0,INVESTORS_LIST[[#This Row],[LS_TOTAL CURRENT UNITS]]*INVESTORS_LIST[[#This Row],[LS_AVERAGE COST]])</f>
        <v>0</v>
      </c>
      <c r="K415" s="4">
        <f>IF(INVESTORS_LIST[[#This Row],[LS_TOTAL UNITS SOLD]]=0,0,SUMIFS(LS[Realized Gain],LS[Investor ID],INVESTORS_LIST[[#This Row],[INVESTOR CODE]],LS[B/S],"S"))</f>
        <v>0</v>
      </c>
      <c r="L415" s="2">
        <f>SUMIFS(SIP[Unit],SIP[Investor ID],INVESTORS_LIST[[#This Row],[INVESTOR CODE]],SIP[B/S],"B")</f>
        <v>0</v>
      </c>
      <c r="M415" s="2">
        <f>-SUMIFS(SIP[Unit],SIP[Investor ID],INVESTORS_LIST[[#This Row],[INVESTOR CODE]],SIP[B/S],"S")</f>
        <v>0</v>
      </c>
      <c r="N415" s="33">
        <f>IF(INVESTORS_LIST[[#This Row],[SIP_TOTAL UNITS BUY]]=0,0,INVESTORS_LIST[[#This Row],[SIP_TOTAL UNITS BUY]]-INVESTORS_LIST[[#This Row],[SIP_TOTAL UNITS SOLD]])</f>
        <v>0</v>
      </c>
      <c r="O415" s="4">
        <f>IF(INVESTORS_LIST[[#This Row],[SIP_TOTAL UNITS BUY]]=0,0,SUMIFS(SIP[Amount],SIP[Investor ID],INVESTORS_LIST[[#This Row],[INVESTOR CODE]],SIP[B/S],"B"))</f>
        <v>0</v>
      </c>
      <c r="P415" s="4">
        <f>IF(INVESTORS_LIST[[#This Row],[SIP_TOTAL UNITS SOLD]]=0,0,SUMIFS(SIP[Cost of Units Sold],SIP[Investor ID],INVESTORS_LIST[[#This Row],[INVESTOR CODE]],SIP[B/S],"S"))</f>
        <v>0</v>
      </c>
      <c r="Q415" s="6">
        <f>IF(INVESTORS_LIST[[#This Row],[SIP_TOTAL CURRENT UNITS]]=0,0,INVESTORS_LIST[[#This Row],[SIP_TOTAL CURRENT UNITS]]*INVESTORS_LIST[[#This Row],[SIP_AVERAGE COST]])</f>
        <v>0</v>
      </c>
      <c r="R415" s="6">
        <f>IF(INVESTORS_LIST[[#This Row],[SIP_TOTAL UNITS SOLD]]=0,0,SUMIFS(SIP[Realized Gain],SIP[Investor ID],INVESTORS_LIST[[#This Row],[INVESTOR CODE]],SIP[B/S],"S"))</f>
        <v>0</v>
      </c>
      <c r="S415" s="33">
        <f>INVESTORS_LIST[[#This Row],[LS_TOTAL UNITS BUY]]+INVESTORS_LIST[[#This Row],[SIP_TOTAL UNITS BUY]]</f>
        <v>45179</v>
      </c>
      <c r="T415" s="33">
        <f>INVESTORS_LIST[[#This Row],[LS_TOTAL UNITS SOLD]]+INVESTORS_LIST[[#This Row],[SIP_TOTAL UNITS SOLD]]</f>
        <v>45179</v>
      </c>
      <c r="U415" s="33">
        <v>0</v>
      </c>
      <c r="V415" s="33">
        <f>SUMIFS(LS[BO UNIT TRANSFER],LS[Investor ID],INVESTORS_LIST[[#This Row],[INVESTOR CODE]],LS[B/S],"B")</f>
        <v>0</v>
      </c>
      <c r="W415" s="33">
        <f>SUMIFS(LS[BO UNIT TRANSFER],LS[Investor ID],INVESTORS_LIST[[#This Row],[INVESTOR CODE]],LS[B/S],"S")</f>
        <v>0</v>
      </c>
      <c r="X415" s="33">
        <f>SUMIFS(SIP[BO UNIT TRANSFER],SIP[Investor ID],INVESTORS_LIST[[#This Row],[INVESTOR CODE]],SIP[B/S],"S")</f>
        <v>0</v>
      </c>
      <c r="Y415" s="33">
        <f>SUMIFS(SIP[BO UNIT TRANSFER],SIP[Investor ID],INVESTORS_LIST[[#This Row],[INVESTOR CODE]],SIP[B/S],"B")</f>
        <v>0</v>
      </c>
      <c r="Z41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15" s="119">
        <f>INVESTORS_LIST[[#This Row],[TOTAL UNITS BUY]]-INVESTORS_LIST[[#This Row],[TOTAL UNITS SOLD]]</f>
        <v>0</v>
      </c>
      <c r="AB415" s="119">
        <f>INVESTORS_LIST[[#This Row],[TOTAL CURRENT UNITS]]-INVESTORS_LIST[[#This Row],[BO UNITS HOLD]]</f>
        <v>0</v>
      </c>
      <c r="AC415" s="119" t="e">
        <f>INDEX([4]!Table_1[BO ID],MATCH(INVESTORS_LIST[[#This Row],[INVESTOR CODE]],[4]!Table_1[INVESTOR CODE],0))</f>
        <v>#REF!</v>
      </c>
      <c r="AD415" s="33">
        <f>INVESTORS_LIST[[#This Row],[LS_TOTAL COST VALUE OF CURRENT UNITS]]+INVESTORS_LIST[[#This Row],[SIP_TOTAL COST VALUE OF CURRENT UNITS]]</f>
        <v>0</v>
      </c>
      <c r="AE415" s="44">
        <f>IF(INVESTORS_LIST[[#This Row],[TOTAL CURRENT UNITS]]=0,0,INVESTORS_LIST[[#This Row],[LS_TOTAL CURRENT UNITS]]/INVESTORS_LIST[[#This Row],[TOTAL CURRENT UNITS]])</f>
        <v>0</v>
      </c>
      <c r="AF415" s="44">
        <f>IF(INVESTORS_LIST[[#This Row],[TOTAL CURRENT UNITS]]=0,0,INVESTORS_LIST[[#This Row],[SIP_TOTAL CURRENT UNITS]]/INVESTORS_LIST[[#This Row],[TOTAL CURRENT UNITS]])</f>
        <v>0</v>
      </c>
      <c r="AG415" s="4" cm="1">
        <f t="array" ref="AG41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15" s="4" cm="1">
        <f t="array" ref="AH4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1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15" s="178">
        <f t="shared" si="6"/>
        <v>12.552</v>
      </c>
      <c r="AK415" s="118">
        <f>IF(INVESTORS_LIST[[#This Row],[TOTAL CURRENT UNITS]]=0,0,INVESTORS_LIST[[#This Row],[TOTAL CURRENT UNITS]]*INVESTORS_LIST[[#This Row],[NAV]])</f>
        <v>0</v>
      </c>
      <c r="AL415" s="4">
        <f>IF(INVESTORS_LIST[[#This Row],[LS_TOTAL CURRENT UNITS]]=0,0,INVESTORS_LIST[[#This Row],[LS_TOTAL CURRENT UNITS]]*INVESTORS_LIST[[#This Row],[NAV]])</f>
        <v>0</v>
      </c>
      <c r="AM415" s="6">
        <f>IF(INVESTORS_LIST[[#This Row],[SIP_TOTAL CURRENT UNITS]]=0,0,INVESTORS_LIST[[#This Row],[SIP_TOTAL CURRENT UNITS]]*INVESTORS_LIST[[#This Row],[NAV]])</f>
        <v>0</v>
      </c>
      <c r="AO415" s="6">
        <f>IF(INVESTORS_LIST[[#This Row],[TOTAL SELLABLE UNITS]]=0,0,INVESTORS_LIST[[#This Row],[TOTAL SELLABLE UNITS]]*INVESTORS_LIST[[#This Row],[NAV]])</f>
        <v>0</v>
      </c>
      <c r="AP415" s="6">
        <f>INVESTORS_LIST[[#This Row],[LS_TOTAL REALIZED GAIN]]+INVESTORS_LIST[[#This Row],[SIP_TOTAL REALIZED GAIN]]</f>
        <v>0</v>
      </c>
      <c r="AQ415" s="6">
        <f>INVESTORS_LIST[[#This Row],[TOTAL MARKET VALUE]]-INVESTORS_LIST[[#This Row],[TOTAL COST VALUE OF CURRENT INVESTMENT]]</f>
        <v>0</v>
      </c>
      <c r="AR415" s="6">
        <f>SUMIFS(DivAndTax[Tax Amount],DivAndTax[Investor ID],INVESTORS_LIST[[#This Row],[INVESTOR CODE]])</f>
        <v>0</v>
      </c>
      <c r="AS415" s="6">
        <f>SUMIFS(DivAndTax[Gross Dividend],DivAndTax[Investor ID],INVESTORS_LIST[[#This Row],[INVESTOR CODE]])</f>
        <v>0</v>
      </c>
      <c r="AT415" s="5">
        <f>IFERROR(INVESTORS_LIST[[#This Row],[TOTAL CURRENT UNITS]]/SUM(INVESTORS_LIST[TOTAL CURRENT UNITS]),0)</f>
        <v>0</v>
      </c>
    </row>
    <row r="416" spans="1:46" hidden="1">
      <c r="A416" t="s">
        <v>910</v>
      </c>
      <c r="B416" t="s">
        <v>911</v>
      </c>
      <c r="C416" t="s">
        <v>536</v>
      </c>
      <c r="D416" s="8" t="s">
        <v>2</v>
      </c>
      <c r="E416" s="2">
        <f>SUMIFS(LS[Unit],LS[Investor ID],INVESTORS_LIST[[#This Row],[INVESTOR CODE]],LS[B/S],"B")</f>
        <v>152594</v>
      </c>
      <c r="F416" s="2">
        <f>-SUMIFS(LS[Unit],LS[Investor ID],INVESTORS_LIST[[#This Row],[INVESTOR CODE]],LS[B/S],"S")</f>
        <v>152594</v>
      </c>
      <c r="G416" s="2">
        <f>IF(INVESTORS_LIST[[#This Row],[LS_TOTAL UNITS BUY]]=0,0,INVESTORS_LIST[[#This Row],[LS_TOTAL UNITS BUY]]-INVESTORS_LIST[[#This Row],[LS_TOTAL UNITS SOLD]])</f>
        <v>0</v>
      </c>
      <c r="H416" s="4">
        <f>IF(INVESTORS_LIST[[#This Row],[LS_TOTAL UNITS BUY]]=0,0,SUMIFS(LS[Amount],LS[Investor ID],INVESTORS_LIST[[#This Row],[INVESTOR CODE]],LS[B/S],"B"))</f>
        <v>1500000</v>
      </c>
      <c r="I416" s="6">
        <f>IF(INVESTORS_LIST[[#This Row],[LS_TOTAL UNITS SOLD]]=0,0,SUMIFS(LS[Cost of Units Sold],LS[Investor ID],INVESTORS_LIST[[#This Row],[INVESTOR CODE]],LS[B/S],"S"))</f>
        <v>1500000</v>
      </c>
      <c r="J416" s="6">
        <f>IF(INVESTORS_LIST[[#This Row],[LS_TOTAL CURRENT UNITS]]=0,0,INVESTORS_LIST[[#This Row],[LS_TOTAL CURRENT UNITS]]*INVESTORS_LIST[[#This Row],[LS_AVERAGE COST]])</f>
        <v>0</v>
      </c>
      <c r="K416" s="4">
        <f>IF(INVESTORS_LIST[[#This Row],[LS_TOTAL UNITS SOLD]]=0,0,SUMIFS(LS[Realized Gain],LS[Investor ID],INVESTORS_LIST[[#This Row],[INVESTOR CODE]],LS[B/S],"S"))</f>
        <v>13732.47999999996</v>
      </c>
      <c r="L416" s="2">
        <f>SUMIFS(SIP[Unit],SIP[Investor ID],INVESTORS_LIST[[#This Row],[INVESTOR CODE]],SIP[B/S],"B")</f>
        <v>0</v>
      </c>
      <c r="M416" s="2">
        <f>-SUMIFS(SIP[Unit],SIP[Investor ID],INVESTORS_LIST[[#This Row],[INVESTOR CODE]],SIP[B/S],"S")</f>
        <v>0</v>
      </c>
      <c r="N416" s="33">
        <f>IF(INVESTORS_LIST[[#This Row],[SIP_TOTAL UNITS BUY]]=0,0,INVESTORS_LIST[[#This Row],[SIP_TOTAL UNITS BUY]]-INVESTORS_LIST[[#This Row],[SIP_TOTAL UNITS SOLD]])</f>
        <v>0</v>
      </c>
      <c r="O416" s="4">
        <f>IF(INVESTORS_LIST[[#This Row],[SIP_TOTAL UNITS BUY]]=0,0,SUMIFS(SIP[Amount],SIP[Investor ID],INVESTORS_LIST[[#This Row],[INVESTOR CODE]],SIP[B/S],"B"))</f>
        <v>0</v>
      </c>
      <c r="P416" s="4">
        <f>IF(INVESTORS_LIST[[#This Row],[SIP_TOTAL UNITS SOLD]]=0,0,SUMIFS(SIP[Cost of Units Sold],SIP[Investor ID],INVESTORS_LIST[[#This Row],[INVESTOR CODE]],SIP[B/S],"S"))</f>
        <v>0</v>
      </c>
      <c r="Q416" s="6">
        <f>IF(INVESTORS_LIST[[#This Row],[SIP_TOTAL CURRENT UNITS]]=0,0,INVESTORS_LIST[[#This Row],[SIP_TOTAL CURRENT UNITS]]*INVESTORS_LIST[[#This Row],[SIP_AVERAGE COST]])</f>
        <v>0</v>
      </c>
      <c r="R416" s="6">
        <f>IF(INVESTORS_LIST[[#This Row],[SIP_TOTAL UNITS SOLD]]=0,0,SUMIFS(SIP[Realized Gain],SIP[Investor ID],INVESTORS_LIST[[#This Row],[INVESTOR CODE]],SIP[B/S],"S"))</f>
        <v>0</v>
      </c>
      <c r="S416" s="33">
        <f>INVESTORS_LIST[[#This Row],[LS_TOTAL UNITS BUY]]+INVESTORS_LIST[[#This Row],[SIP_TOTAL UNITS BUY]]</f>
        <v>152594</v>
      </c>
      <c r="T416" s="33">
        <f>INVESTORS_LIST[[#This Row],[LS_TOTAL UNITS SOLD]]+INVESTORS_LIST[[#This Row],[SIP_TOTAL UNITS SOLD]]</f>
        <v>152594</v>
      </c>
      <c r="U416" s="33">
        <v>0</v>
      </c>
      <c r="V416" s="33">
        <f>SUMIFS(LS[BO UNIT TRANSFER],LS[Investor ID],INVESTORS_LIST[[#This Row],[INVESTOR CODE]],LS[B/S],"B")</f>
        <v>0</v>
      </c>
      <c r="W416" s="33">
        <f>SUMIFS(LS[BO UNIT TRANSFER],LS[Investor ID],INVESTORS_LIST[[#This Row],[INVESTOR CODE]],LS[B/S],"S")</f>
        <v>0</v>
      </c>
      <c r="X416" s="33">
        <f>SUMIFS(SIP[BO UNIT TRANSFER],SIP[Investor ID],INVESTORS_LIST[[#This Row],[INVESTOR CODE]],SIP[B/S],"S")</f>
        <v>0</v>
      </c>
      <c r="Y416" s="33">
        <f>SUMIFS(SIP[BO UNIT TRANSFER],SIP[Investor ID],INVESTORS_LIST[[#This Row],[INVESTOR CODE]],SIP[B/S],"B")</f>
        <v>0</v>
      </c>
      <c r="Z41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16" s="119">
        <f>INVESTORS_LIST[[#This Row],[TOTAL UNITS BUY]]-INVESTORS_LIST[[#This Row],[TOTAL UNITS SOLD]]</f>
        <v>0</v>
      </c>
      <c r="AB416" s="119">
        <f>INVESTORS_LIST[[#This Row],[TOTAL CURRENT UNITS]]-INVESTORS_LIST[[#This Row],[BO UNITS HOLD]]</f>
        <v>0</v>
      </c>
      <c r="AC416" s="119" t="e">
        <f>INDEX([4]!Table_1[BO ID],MATCH(INVESTORS_LIST[[#This Row],[INVESTOR CODE]],[4]!Table_1[INVESTOR CODE],0))</f>
        <v>#REF!</v>
      </c>
      <c r="AD416" s="33">
        <f>INVESTORS_LIST[[#This Row],[LS_TOTAL COST VALUE OF CURRENT UNITS]]+INVESTORS_LIST[[#This Row],[SIP_TOTAL COST VALUE OF CURRENT UNITS]]</f>
        <v>0</v>
      </c>
      <c r="AE416" s="44">
        <f>IF(INVESTORS_LIST[[#This Row],[TOTAL CURRENT UNITS]]=0,0,INVESTORS_LIST[[#This Row],[LS_TOTAL CURRENT UNITS]]/INVESTORS_LIST[[#This Row],[TOTAL CURRENT UNITS]])</f>
        <v>0</v>
      </c>
      <c r="AF416" s="44">
        <f>IF(INVESTORS_LIST[[#This Row],[TOTAL CURRENT UNITS]]=0,0,INVESTORS_LIST[[#This Row],[SIP_TOTAL CURRENT UNITS]]/INVESTORS_LIST[[#This Row],[TOTAL CURRENT UNITS]])</f>
        <v>0</v>
      </c>
      <c r="AG416" s="4" cm="1">
        <f t="array" ref="AG4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16" s="4" cm="1">
        <f t="array" ref="AH4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1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16" s="178">
        <f t="shared" si="6"/>
        <v>12.552</v>
      </c>
      <c r="AK416" s="118">
        <f>IF(INVESTORS_LIST[[#This Row],[TOTAL CURRENT UNITS]]=0,0,INVESTORS_LIST[[#This Row],[TOTAL CURRENT UNITS]]*INVESTORS_LIST[[#This Row],[NAV]])</f>
        <v>0</v>
      </c>
      <c r="AL416" s="4">
        <f>IF(INVESTORS_LIST[[#This Row],[LS_TOTAL CURRENT UNITS]]=0,0,INVESTORS_LIST[[#This Row],[LS_TOTAL CURRENT UNITS]]*INVESTORS_LIST[[#This Row],[NAV]])</f>
        <v>0</v>
      </c>
      <c r="AM416" s="6">
        <f>IF(INVESTORS_LIST[[#This Row],[SIP_TOTAL CURRENT UNITS]]=0,0,INVESTORS_LIST[[#This Row],[SIP_TOTAL CURRENT UNITS]]*INVESTORS_LIST[[#This Row],[NAV]])</f>
        <v>0</v>
      </c>
      <c r="AO416" s="6">
        <f>IF(INVESTORS_LIST[[#This Row],[TOTAL SELLABLE UNITS]]=0,0,INVESTORS_LIST[[#This Row],[TOTAL SELLABLE UNITS]]*INVESTORS_LIST[[#This Row],[NAV]])</f>
        <v>0</v>
      </c>
      <c r="AP416" s="6">
        <f>INVESTORS_LIST[[#This Row],[LS_TOTAL REALIZED GAIN]]+INVESTORS_LIST[[#This Row],[SIP_TOTAL REALIZED GAIN]]</f>
        <v>13732.47999999996</v>
      </c>
      <c r="AQ416" s="6">
        <f>INVESTORS_LIST[[#This Row],[TOTAL MARKET VALUE]]-INVESTORS_LIST[[#This Row],[TOTAL COST VALUE OF CURRENT INVESTMENT]]</f>
        <v>0</v>
      </c>
      <c r="AR416" s="6">
        <f>SUMIFS(DivAndTax[Tax Amount],DivAndTax[Investor ID],INVESTORS_LIST[[#This Row],[INVESTOR CODE]])</f>
        <v>0</v>
      </c>
      <c r="AS416" s="6">
        <f>SUMIFS(DivAndTax[Gross Dividend],DivAndTax[Investor ID],INVESTORS_LIST[[#This Row],[INVESTOR CODE]])</f>
        <v>0</v>
      </c>
      <c r="AT416" s="5">
        <f>IFERROR(INVESTORS_LIST[[#This Row],[TOTAL CURRENT UNITS]]/SUM(INVESTORS_LIST[TOTAL CURRENT UNITS]),0)</f>
        <v>0</v>
      </c>
    </row>
    <row r="417" spans="1:46" hidden="1">
      <c r="A417" t="s">
        <v>915</v>
      </c>
      <c r="B417" t="s">
        <v>912</v>
      </c>
      <c r="C417" t="s">
        <v>536</v>
      </c>
      <c r="D417" s="8" t="s">
        <v>2</v>
      </c>
      <c r="E417" s="2">
        <f>SUMIFS(LS[Unit],LS[Investor ID],INVESTORS_LIST[[#This Row],[INVESTOR CODE]],LS[B/S],"B")</f>
        <v>16277</v>
      </c>
      <c r="F417" s="2">
        <f>-SUMIFS(LS[Unit],LS[Investor ID],INVESTORS_LIST[[#This Row],[INVESTOR CODE]],LS[B/S],"S")</f>
        <v>16277</v>
      </c>
      <c r="G417" s="2">
        <f>IF(INVESTORS_LIST[[#This Row],[LS_TOTAL UNITS BUY]]=0,0,INVESTORS_LIST[[#This Row],[LS_TOTAL UNITS BUY]]-INVESTORS_LIST[[#This Row],[LS_TOTAL UNITS SOLD]])</f>
        <v>0</v>
      </c>
      <c r="H417" s="4">
        <f>IF(INVESTORS_LIST[[#This Row],[LS_TOTAL UNITS BUY]]=0,0,SUMIFS(LS[Amount],LS[Investor ID],INVESTORS_LIST[[#This Row],[INVESTOR CODE]],LS[B/S],"B"))</f>
        <v>160000</v>
      </c>
      <c r="I417" s="6">
        <f>IF(INVESTORS_LIST[[#This Row],[LS_TOTAL UNITS SOLD]]=0,0,SUMIFS(LS[Cost of Units Sold],LS[Investor ID],INVESTORS_LIST[[#This Row],[INVESTOR CODE]],LS[B/S],"S"))</f>
        <v>160000</v>
      </c>
      <c r="J417" s="6">
        <f>IF(INVESTORS_LIST[[#This Row],[LS_TOTAL CURRENT UNITS]]=0,0,INVESTORS_LIST[[#This Row],[LS_TOTAL CURRENT UNITS]]*INVESTORS_LIST[[#This Row],[LS_AVERAGE COST]])</f>
        <v>0</v>
      </c>
      <c r="K417" s="4">
        <f>IF(INVESTORS_LIST[[#This Row],[LS_TOTAL UNITS SOLD]]=0,0,SUMIFS(LS[Realized Gain],LS[Investor ID],INVESTORS_LIST[[#This Row],[INVESTOR CODE]],LS[B/S],"S"))</f>
        <v>3213.3600000000019</v>
      </c>
      <c r="L417" s="2">
        <f>SUMIFS(SIP[Unit],SIP[Investor ID],INVESTORS_LIST[[#This Row],[INVESTOR CODE]],SIP[B/S],"B")</f>
        <v>0</v>
      </c>
      <c r="M417" s="2">
        <f>-SUMIFS(SIP[Unit],SIP[Investor ID],INVESTORS_LIST[[#This Row],[INVESTOR CODE]],SIP[B/S],"S")</f>
        <v>0</v>
      </c>
      <c r="N417" s="33">
        <f>IF(INVESTORS_LIST[[#This Row],[SIP_TOTAL UNITS BUY]]=0,0,INVESTORS_LIST[[#This Row],[SIP_TOTAL UNITS BUY]]-INVESTORS_LIST[[#This Row],[SIP_TOTAL UNITS SOLD]])</f>
        <v>0</v>
      </c>
      <c r="O417" s="4">
        <f>IF(INVESTORS_LIST[[#This Row],[SIP_TOTAL UNITS BUY]]=0,0,SUMIFS(SIP[Amount],SIP[Investor ID],INVESTORS_LIST[[#This Row],[INVESTOR CODE]],SIP[B/S],"B"))</f>
        <v>0</v>
      </c>
      <c r="P417" s="4">
        <f>IF(INVESTORS_LIST[[#This Row],[SIP_TOTAL UNITS SOLD]]=0,0,SUMIFS(SIP[Cost of Units Sold],SIP[Investor ID],INVESTORS_LIST[[#This Row],[INVESTOR CODE]],SIP[B/S],"S"))</f>
        <v>0</v>
      </c>
      <c r="Q417" s="6">
        <f>IF(INVESTORS_LIST[[#This Row],[SIP_TOTAL CURRENT UNITS]]=0,0,INVESTORS_LIST[[#This Row],[SIP_TOTAL CURRENT UNITS]]*INVESTORS_LIST[[#This Row],[SIP_AVERAGE COST]])</f>
        <v>0</v>
      </c>
      <c r="R417" s="6">
        <f>IF(INVESTORS_LIST[[#This Row],[SIP_TOTAL UNITS SOLD]]=0,0,SUMIFS(SIP[Realized Gain],SIP[Investor ID],INVESTORS_LIST[[#This Row],[INVESTOR CODE]],SIP[B/S],"S"))</f>
        <v>0</v>
      </c>
      <c r="S417" s="33">
        <f>INVESTORS_LIST[[#This Row],[LS_TOTAL UNITS BUY]]+INVESTORS_LIST[[#This Row],[SIP_TOTAL UNITS BUY]]</f>
        <v>16277</v>
      </c>
      <c r="T417" s="33">
        <f>INVESTORS_LIST[[#This Row],[LS_TOTAL UNITS SOLD]]+INVESTORS_LIST[[#This Row],[SIP_TOTAL UNITS SOLD]]</f>
        <v>16277</v>
      </c>
      <c r="U417" s="33">
        <v>0</v>
      </c>
      <c r="V417" s="33">
        <f>SUMIFS(LS[BO UNIT TRANSFER],LS[Investor ID],INVESTORS_LIST[[#This Row],[INVESTOR CODE]],LS[B/S],"B")</f>
        <v>0</v>
      </c>
      <c r="W417" s="33">
        <f>SUMIFS(LS[BO UNIT TRANSFER],LS[Investor ID],INVESTORS_LIST[[#This Row],[INVESTOR CODE]],LS[B/S],"S")</f>
        <v>0</v>
      </c>
      <c r="X417" s="33">
        <f>SUMIFS(SIP[BO UNIT TRANSFER],SIP[Investor ID],INVESTORS_LIST[[#This Row],[INVESTOR CODE]],SIP[B/S],"S")</f>
        <v>0</v>
      </c>
      <c r="Y417" s="33">
        <f>SUMIFS(SIP[BO UNIT TRANSFER],SIP[Investor ID],INVESTORS_LIST[[#This Row],[INVESTOR CODE]],SIP[B/S],"B")</f>
        <v>0</v>
      </c>
      <c r="Z41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17" s="119">
        <f>INVESTORS_LIST[[#This Row],[TOTAL UNITS BUY]]-INVESTORS_LIST[[#This Row],[TOTAL UNITS SOLD]]</f>
        <v>0</v>
      </c>
      <c r="AB417" s="119">
        <f>INVESTORS_LIST[[#This Row],[TOTAL CURRENT UNITS]]-INVESTORS_LIST[[#This Row],[BO UNITS HOLD]]</f>
        <v>0</v>
      </c>
      <c r="AC417" s="119" t="e">
        <f>INDEX([4]!Table_1[BO ID],MATCH(INVESTORS_LIST[[#This Row],[INVESTOR CODE]],[4]!Table_1[INVESTOR CODE],0))</f>
        <v>#REF!</v>
      </c>
      <c r="AD417" s="33">
        <f>INVESTORS_LIST[[#This Row],[LS_TOTAL COST VALUE OF CURRENT UNITS]]+INVESTORS_LIST[[#This Row],[SIP_TOTAL COST VALUE OF CURRENT UNITS]]</f>
        <v>0</v>
      </c>
      <c r="AE417" s="44">
        <f>IF(INVESTORS_LIST[[#This Row],[TOTAL CURRENT UNITS]]=0,0,INVESTORS_LIST[[#This Row],[LS_TOTAL CURRENT UNITS]]/INVESTORS_LIST[[#This Row],[TOTAL CURRENT UNITS]])</f>
        <v>0</v>
      </c>
      <c r="AF417" s="44">
        <f>IF(INVESTORS_LIST[[#This Row],[TOTAL CURRENT UNITS]]=0,0,INVESTORS_LIST[[#This Row],[SIP_TOTAL CURRENT UNITS]]/INVESTORS_LIST[[#This Row],[TOTAL CURRENT UNITS]])</f>
        <v>0</v>
      </c>
      <c r="AG417" s="4" cm="1">
        <f t="array" ref="AG4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17" s="4" cm="1">
        <f t="array" ref="AH4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1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17" s="178">
        <f t="shared" si="6"/>
        <v>12.552</v>
      </c>
      <c r="AK417" s="118">
        <f>IF(INVESTORS_LIST[[#This Row],[TOTAL CURRENT UNITS]]=0,0,INVESTORS_LIST[[#This Row],[TOTAL CURRENT UNITS]]*INVESTORS_LIST[[#This Row],[NAV]])</f>
        <v>0</v>
      </c>
      <c r="AL417" s="4">
        <f>IF(INVESTORS_LIST[[#This Row],[LS_TOTAL CURRENT UNITS]]=0,0,INVESTORS_LIST[[#This Row],[LS_TOTAL CURRENT UNITS]]*INVESTORS_LIST[[#This Row],[NAV]])</f>
        <v>0</v>
      </c>
      <c r="AM417" s="6">
        <f>IF(INVESTORS_LIST[[#This Row],[SIP_TOTAL CURRENT UNITS]]=0,0,INVESTORS_LIST[[#This Row],[SIP_TOTAL CURRENT UNITS]]*INVESTORS_LIST[[#This Row],[NAV]])</f>
        <v>0</v>
      </c>
      <c r="AO417" s="6">
        <f>IF(INVESTORS_LIST[[#This Row],[TOTAL SELLABLE UNITS]]=0,0,INVESTORS_LIST[[#This Row],[TOTAL SELLABLE UNITS]]*INVESTORS_LIST[[#This Row],[NAV]])</f>
        <v>0</v>
      </c>
      <c r="AP417" s="6">
        <f>INVESTORS_LIST[[#This Row],[LS_TOTAL REALIZED GAIN]]+INVESTORS_LIST[[#This Row],[SIP_TOTAL REALIZED GAIN]]</f>
        <v>3213.3600000000019</v>
      </c>
      <c r="AQ417" s="6">
        <f>INVESTORS_LIST[[#This Row],[TOTAL MARKET VALUE]]-INVESTORS_LIST[[#This Row],[TOTAL COST VALUE OF CURRENT INVESTMENT]]</f>
        <v>0</v>
      </c>
      <c r="AR417" s="6">
        <f>SUMIFS(DivAndTax[Tax Amount],DivAndTax[Investor ID],INVESTORS_LIST[[#This Row],[INVESTOR CODE]])</f>
        <v>133.30000000000001</v>
      </c>
      <c r="AS417" s="6">
        <f>SUMIFS(DivAndTax[Gross Dividend],DivAndTax[Investor ID],INVESTORS_LIST[[#This Row],[INVESTOR CODE]])</f>
        <v>1333</v>
      </c>
      <c r="AT417" s="5">
        <f>IFERROR(INVESTORS_LIST[[#This Row],[TOTAL CURRENT UNITS]]/SUM(INVESTORS_LIST[TOTAL CURRENT UNITS]),0)</f>
        <v>0</v>
      </c>
    </row>
    <row r="418" spans="1:46" hidden="1">
      <c r="A418" t="s">
        <v>916</v>
      </c>
      <c r="B418" t="s">
        <v>914</v>
      </c>
      <c r="C418" t="s">
        <v>536</v>
      </c>
      <c r="D418" s="8" t="s">
        <v>2</v>
      </c>
      <c r="E418" s="2">
        <f>SUMIFS(LS[Unit],LS[Investor ID],INVESTORS_LIST[[#This Row],[INVESTOR CODE]],LS[B/S],"B")</f>
        <v>50865</v>
      </c>
      <c r="F418" s="2">
        <f>-SUMIFS(LS[Unit],LS[Investor ID],INVESTORS_LIST[[#This Row],[INVESTOR CODE]],LS[B/S],"S")</f>
        <v>50865</v>
      </c>
      <c r="G418" s="2">
        <f>IF(INVESTORS_LIST[[#This Row],[LS_TOTAL UNITS BUY]]=0,0,INVESTORS_LIST[[#This Row],[LS_TOTAL UNITS BUY]]-INVESTORS_LIST[[#This Row],[LS_TOTAL UNITS SOLD]])</f>
        <v>0</v>
      </c>
      <c r="H418" s="4">
        <f>IF(INVESTORS_LIST[[#This Row],[LS_TOTAL UNITS BUY]]=0,0,SUMIFS(LS[Amount],LS[Investor ID],INVESTORS_LIST[[#This Row],[INVESTOR CODE]],LS[B/S],"B"))</f>
        <v>500000</v>
      </c>
      <c r="I418" s="6">
        <f>IF(INVESTORS_LIST[[#This Row],[LS_TOTAL UNITS SOLD]]=0,0,SUMIFS(LS[Cost of Units Sold],LS[Investor ID],INVESTORS_LIST[[#This Row],[INVESTOR CODE]],LS[B/S],"S"))</f>
        <v>500000</v>
      </c>
      <c r="J418" s="6">
        <f>IF(INVESTORS_LIST[[#This Row],[LS_TOTAL CURRENT UNITS]]=0,0,INVESTORS_LIST[[#This Row],[LS_TOTAL CURRENT UNITS]]*INVESTORS_LIST[[#This Row],[LS_AVERAGE COST]])</f>
        <v>0</v>
      </c>
      <c r="K418" s="4">
        <f>IF(INVESTORS_LIST[[#This Row],[LS_TOTAL UNITS SOLD]]=0,0,SUMIFS(LS[Realized Gain],LS[Investor ID],INVESTORS_LIST[[#This Row],[INVESTOR CODE]],LS[B/S],"S"))</f>
        <v>167959.18000000005</v>
      </c>
      <c r="L418" s="2">
        <f>SUMIFS(SIP[Unit],SIP[Investor ID],INVESTORS_LIST[[#This Row],[INVESTOR CODE]],SIP[B/S],"B")</f>
        <v>0</v>
      </c>
      <c r="M418" s="2">
        <f>-SUMIFS(SIP[Unit],SIP[Investor ID],INVESTORS_LIST[[#This Row],[INVESTOR CODE]],SIP[B/S],"S")</f>
        <v>0</v>
      </c>
      <c r="N418" s="33">
        <f>IF(INVESTORS_LIST[[#This Row],[SIP_TOTAL UNITS BUY]]=0,0,INVESTORS_LIST[[#This Row],[SIP_TOTAL UNITS BUY]]-INVESTORS_LIST[[#This Row],[SIP_TOTAL UNITS SOLD]])</f>
        <v>0</v>
      </c>
      <c r="O418" s="4">
        <f>IF(INVESTORS_LIST[[#This Row],[SIP_TOTAL UNITS BUY]]=0,0,SUMIFS(SIP[Amount],SIP[Investor ID],INVESTORS_LIST[[#This Row],[INVESTOR CODE]],SIP[B/S],"B"))</f>
        <v>0</v>
      </c>
      <c r="P418" s="4">
        <f>IF(INVESTORS_LIST[[#This Row],[SIP_TOTAL UNITS SOLD]]=0,0,SUMIFS(SIP[Cost of Units Sold],SIP[Investor ID],INVESTORS_LIST[[#This Row],[INVESTOR CODE]],SIP[B/S],"S"))</f>
        <v>0</v>
      </c>
      <c r="Q418" s="6">
        <f>IF(INVESTORS_LIST[[#This Row],[SIP_TOTAL CURRENT UNITS]]=0,0,INVESTORS_LIST[[#This Row],[SIP_TOTAL CURRENT UNITS]]*INVESTORS_LIST[[#This Row],[SIP_AVERAGE COST]])</f>
        <v>0</v>
      </c>
      <c r="R418" s="6">
        <f>IF(INVESTORS_LIST[[#This Row],[SIP_TOTAL UNITS SOLD]]=0,0,SUMIFS(SIP[Realized Gain],SIP[Investor ID],INVESTORS_LIST[[#This Row],[INVESTOR CODE]],SIP[B/S],"S"))</f>
        <v>0</v>
      </c>
      <c r="S418" s="33">
        <f>INVESTORS_LIST[[#This Row],[LS_TOTAL UNITS BUY]]+INVESTORS_LIST[[#This Row],[SIP_TOTAL UNITS BUY]]</f>
        <v>50865</v>
      </c>
      <c r="T418" s="33">
        <f>INVESTORS_LIST[[#This Row],[LS_TOTAL UNITS SOLD]]+INVESTORS_LIST[[#This Row],[SIP_TOTAL UNITS SOLD]]</f>
        <v>50865</v>
      </c>
      <c r="U418" s="33">
        <v>0</v>
      </c>
      <c r="V418" s="33">
        <f>SUMIFS(LS[BO UNIT TRANSFER],LS[Investor ID],INVESTORS_LIST[[#This Row],[INVESTOR CODE]],LS[B/S],"B")</f>
        <v>0</v>
      </c>
      <c r="W418" s="33">
        <f>SUMIFS(LS[BO UNIT TRANSFER],LS[Investor ID],INVESTORS_LIST[[#This Row],[INVESTOR CODE]],LS[B/S],"S")</f>
        <v>0</v>
      </c>
      <c r="X418" s="33">
        <f>SUMIFS(SIP[BO UNIT TRANSFER],SIP[Investor ID],INVESTORS_LIST[[#This Row],[INVESTOR CODE]],SIP[B/S],"S")</f>
        <v>0</v>
      </c>
      <c r="Y418" s="33">
        <f>SUMIFS(SIP[BO UNIT TRANSFER],SIP[Investor ID],INVESTORS_LIST[[#This Row],[INVESTOR CODE]],SIP[B/S],"B")</f>
        <v>0</v>
      </c>
      <c r="Z41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18" s="119">
        <f>INVESTORS_LIST[[#This Row],[TOTAL UNITS BUY]]-INVESTORS_LIST[[#This Row],[TOTAL UNITS SOLD]]</f>
        <v>0</v>
      </c>
      <c r="AB418" s="119">
        <f>INVESTORS_LIST[[#This Row],[TOTAL CURRENT UNITS]]-INVESTORS_LIST[[#This Row],[BO UNITS HOLD]]</f>
        <v>0</v>
      </c>
      <c r="AC418" s="119" t="e">
        <f>INDEX([4]!Table_1[BO ID],MATCH(INVESTORS_LIST[[#This Row],[INVESTOR CODE]],[4]!Table_1[INVESTOR CODE],0))</f>
        <v>#REF!</v>
      </c>
      <c r="AD418" s="33">
        <f>INVESTORS_LIST[[#This Row],[LS_TOTAL COST VALUE OF CURRENT UNITS]]+INVESTORS_LIST[[#This Row],[SIP_TOTAL COST VALUE OF CURRENT UNITS]]</f>
        <v>0</v>
      </c>
      <c r="AE418" s="44">
        <f>IF(INVESTORS_LIST[[#This Row],[TOTAL CURRENT UNITS]]=0,0,INVESTORS_LIST[[#This Row],[LS_TOTAL CURRENT UNITS]]/INVESTORS_LIST[[#This Row],[TOTAL CURRENT UNITS]])</f>
        <v>0</v>
      </c>
      <c r="AF418" s="44">
        <f>IF(INVESTORS_LIST[[#This Row],[TOTAL CURRENT UNITS]]=0,0,INVESTORS_LIST[[#This Row],[SIP_TOTAL CURRENT UNITS]]/INVESTORS_LIST[[#This Row],[TOTAL CURRENT UNITS]])</f>
        <v>0</v>
      </c>
      <c r="AG418" s="4" cm="1">
        <f t="array" ref="AG4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18" s="4" cm="1">
        <f t="array" ref="AH4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1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18" s="178">
        <f t="shared" si="6"/>
        <v>12.552</v>
      </c>
      <c r="AK418" s="118">
        <f>IF(INVESTORS_LIST[[#This Row],[TOTAL CURRENT UNITS]]=0,0,INVESTORS_LIST[[#This Row],[TOTAL CURRENT UNITS]]*INVESTORS_LIST[[#This Row],[NAV]])</f>
        <v>0</v>
      </c>
      <c r="AL418" s="4">
        <f>IF(INVESTORS_LIST[[#This Row],[LS_TOTAL CURRENT UNITS]]=0,0,INVESTORS_LIST[[#This Row],[LS_TOTAL CURRENT UNITS]]*INVESTORS_LIST[[#This Row],[NAV]])</f>
        <v>0</v>
      </c>
      <c r="AM418" s="6">
        <f>IF(INVESTORS_LIST[[#This Row],[SIP_TOTAL CURRENT UNITS]]=0,0,INVESTORS_LIST[[#This Row],[SIP_TOTAL CURRENT UNITS]]*INVESTORS_LIST[[#This Row],[NAV]])</f>
        <v>0</v>
      </c>
      <c r="AO418" s="6">
        <f>IF(INVESTORS_LIST[[#This Row],[TOTAL SELLABLE UNITS]]=0,0,INVESTORS_LIST[[#This Row],[TOTAL SELLABLE UNITS]]*INVESTORS_LIST[[#This Row],[NAV]])</f>
        <v>0</v>
      </c>
      <c r="AP418" s="6">
        <f>INVESTORS_LIST[[#This Row],[LS_TOTAL REALIZED GAIN]]+INVESTORS_LIST[[#This Row],[SIP_TOTAL REALIZED GAIN]]</f>
        <v>167959.18000000005</v>
      </c>
      <c r="AQ418" s="6">
        <f>INVESTORS_LIST[[#This Row],[TOTAL MARKET VALUE]]-INVESTORS_LIST[[#This Row],[TOTAL COST VALUE OF CURRENT INVESTMENT]]</f>
        <v>0</v>
      </c>
      <c r="AR418" s="6">
        <f>SUMIFS(DivAndTax[Tax Amount],DivAndTax[Investor ID],INVESTORS_LIST[[#This Row],[INVESTOR CODE]])</f>
        <v>5595.16</v>
      </c>
      <c r="AS418" s="6">
        <f>SUMIFS(DivAndTax[Gross Dividend],DivAndTax[Investor ID],INVESTORS_LIST[[#This Row],[INVESTOR CODE]])</f>
        <v>55951.5</v>
      </c>
      <c r="AT418" s="5">
        <f>IFERROR(INVESTORS_LIST[[#This Row],[TOTAL CURRENT UNITS]]/SUM(INVESTORS_LIST[TOTAL CURRENT UNITS]),0)</f>
        <v>0</v>
      </c>
    </row>
    <row r="419" spans="1:46">
      <c r="A419" t="s">
        <v>917</v>
      </c>
      <c r="B419" t="s">
        <v>913</v>
      </c>
      <c r="C419" t="s">
        <v>536</v>
      </c>
      <c r="D419" s="8" t="s">
        <v>2</v>
      </c>
      <c r="E419" s="2">
        <f>SUMIFS(LS[Unit],LS[Investor ID],INVESTORS_LIST[[#This Row],[INVESTOR CODE]],LS[B/S],"B")</f>
        <v>84411</v>
      </c>
      <c r="F419" s="2">
        <f>-SUMIFS(LS[Unit],LS[Investor ID],INVESTORS_LIST[[#This Row],[INVESTOR CODE]],LS[B/S],"S")</f>
        <v>80940</v>
      </c>
      <c r="G419" s="2">
        <f>IF(INVESTORS_LIST[[#This Row],[LS_TOTAL UNITS BUY]]=0,0,INVESTORS_LIST[[#This Row],[LS_TOTAL UNITS BUY]]-INVESTORS_LIST[[#This Row],[LS_TOTAL UNITS SOLD]])</f>
        <v>3471</v>
      </c>
      <c r="H419" s="4">
        <f>IF(INVESTORS_LIST[[#This Row],[LS_TOTAL UNITS BUY]]=0,0,SUMIFS(LS[Amount],LS[Investor ID],INVESTORS_LIST[[#This Row],[INVESTOR CODE]],LS[B/S],"B"))</f>
        <v>850000</v>
      </c>
      <c r="I419" s="6">
        <f>IF(INVESTORS_LIST[[#This Row],[LS_TOTAL UNITS SOLD]]=0,0,SUMIFS(LS[Cost of Units Sold],LS[Investor ID],INVESTORS_LIST[[#This Row],[INVESTOR CODE]],LS[B/S],"S"))</f>
        <v>814682.01883236493</v>
      </c>
      <c r="J419" s="6">
        <f>IF(INVESTORS_LIST[[#This Row],[LS_TOTAL CURRENT UNITS]]=0,0,INVESTORS_LIST[[#This Row],[LS_TOTAL CURRENT UNITS]]*INVESTORS_LIST[[#This Row],[LS_AVERAGE COST]])</f>
        <v>35317.981167635175</v>
      </c>
      <c r="K419" s="4">
        <f>IF(INVESTORS_LIST[[#This Row],[LS_TOTAL UNITS SOLD]]=0,0,SUMIFS(LS[Realized Gain],LS[Investor ID],INVESTORS_LIST[[#This Row],[INVESTOR CODE]],LS[B/S],"S"))</f>
        <v>35317.98116763516</v>
      </c>
      <c r="L419" s="2">
        <f>SUMIFS(SIP[Unit],SIP[Investor ID],INVESTORS_LIST[[#This Row],[INVESTOR CODE]],SIP[B/S],"B")</f>
        <v>0</v>
      </c>
      <c r="M419" s="2">
        <f>-SUMIFS(SIP[Unit],SIP[Investor ID],INVESTORS_LIST[[#This Row],[INVESTOR CODE]],SIP[B/S],"S")</f>
        <v>0</v>
      </c>
      <c r="N419" s="33">
        <f>IF(INVESTORS_LIST[[#This Row],[SIP_TOTAL UNITS BUY]]=0,0,INVESTORS_LIST[[#This Row],[SIP_TOTAL UNITS BUY]]-INVESTORS_LIST[[#This Row],[SIP_TOTAL UNITS SOLD]])</f>
        <v>0</v>
      </c>
      <c r="O419" s="4">
        <f>IF(INVESTORS_LIST[[#This Row],[SIP_TOTAL UNITS BUY]]=0,0,SUMIFS(SIP[Amount],SIP[Investor ID],INVESTORS_LIST[[#This Row],[INVESTOR CODE]],SIP[B/S],"B"))</f>
        <v>0</v>
      </c>
      <c r="P419" s="4">
        <f>IF(INVESTORS_LIST[[#This Row],[SIP_TOTAL UNITS SOLD]]=0,0,SUMIFS(SIP[Cost of Units Sold],SIP[Investor ID],INVESTORS_LIST[[#This Row],[INVESTOR CODE]],SIP[B/S],"S"))</f>
        <v>0</v>
      </c>
      <c r="Q419" s="6">
        <f>IF(INVESTORS_LIST[[#This Row],[SIP_TOTAL CURRENT UNITS]]=0,0,INVESTORS_LIST[[#This Row],[SIP_TOTAL CURRENT UNITS]]*INVESTORS_LIST[[#This Row],[SIP_AVERAGE COST]])</f>
        <v>0</v>
      </c>
      <c r="R419" s="6">
        <f>IF(INVESTORS_LIST[[#This Row],[SIP_TOTAL UNITS SOLD]]=0,0,SUMIFS(SIP[Realized Gain],SIP[Investor ID],INVESTORS_LIST[[#This Row],[INVESTOR CODE]],SIP[B/S],"S"))</f>
        <v>0</v>
      </c>
      <c r="S419" s="33">
        <f>INVESTORS_LIST[[#This Row],[LS_TOTAL UNITS BUY]]+INVESTORS_LIST[[#This Row],[SIP_TOTAL UNITS BUY]]</f>
        <v>84411</v>
      </c>
      <c r="T419" s="33">
        <f>INVESTORS_LIST[[#This Row],[LS_TOTAL UNITS SOLD]]+INVESTORS_LIST[[#This Row],[SIP_TOTAL UNITS SOLD]]</f>
        <v>80940</v>
      </c>
      <c r="U419" s="33">
        <v>0</v>
      </c>
      <c r="V419" s="33">
        <f>SUMIFS(LS[BO UNIT TRANSFER],LS[Investor ID],INVESTORS_LIST[[#This Row],[INVESTOR CODE]],LS[B/S],"B")</f>
        <v>0</v>
      </c>
      <c r="W419" s="33">
        <f>SUMIFS(LS[BO UNIT TRANSFER],LS[Investor ID],INVESTORS_LIST[[#This Row],[INVESTOR CODE]],LS[B/S],"S")</f>
        <v>0</v>
      </c>
      <c r="X419" s="33">
        <f>SUMIFS(SIP[BO UNIT TRANSFER],SIP[Investor ID],INVESTORS_LIST[[#This Row],[INVESTOR CODE]],SIP[B/S],"S")</f>
        <v>0</v>
      </c>
      <c r="Y419" s="33">
        <f>SUMIFS(SIP[BO UNIT TRANSFER],SIP[Investor ID],INVESTORS_LIST[[#This Row],[INVESTOR CODE]],SIP[B/S],"B")</f>
        <v>0</v>
      </c>
      <c r="Z41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19" s="119">
        <f>INVESTORS_LIST[[#This Row],[TOTAL UNITS BUY]]-INVESTORS_LIST[[#This Row],[TOTAL UNITS SOLD]]</f>
        <v>3471</v>
      </c>
      <c r="AB419" s="119">
        <f>INVESTORS_LIST[[#This Row],[TOTAL CURRENT UNITS]]-INVESTORS_LIST[[#This Row],[BO UNITS HOLD]]</f>
        <v>3471</v>
      </c>
      <c r="AC419" s="119" t="e">
        <f>INDEX([4]!Table_1[BO ID],MATCH(INVESTORS_LIST[[#This Row],[INVESTOR CODE]],[4]!Table_1[INVESTOR CODE],0))</f>
        <v>#REF!</v>
      </c>
      <c r="AD419" s="33">
        <f>INVESTORS_LIST[[#This Row],[LS_TOTAL COST VALUE OF CURRENT UNITS]]+INVESTORS_LIST[[#This Row],[SIP_TOTAL COST VALUE OF CURRENT UNITS]]</f>
        <v>35317.981167635175</v>
      </c>
      <c r="AE419" s="44">
        <f>IF(INVESTORS_LIST[[#This Row],[TOTAL CURRENT UNITS]]=0,0,INVESTORS_LIST[[#This Row],[LS_TOTAL CURRENT UNITS]]/INVESTORS_LIST[[#This Row],[TOTAL CURRENT UNITS]])</f>
        <v>1</v>
      </c>
      <c r="AF419" s="44">
        <f>IF(INVESTORS_LIST[[#This Row],[TOTAL CURRENT UNITS]]=0,0,INVESTORS_LIST[[#This Row],[SIP_TOTAL CURRENT UNITS]]/INVESTORS_LIST[[#This Row],[TOTAL CURRENT UNITS]])</f>
        <v>0</v>
      </c>
      <c r="AG419" s="4" cm="1">
        <f t="array" ref="AG419">IF(INVESTORS_LIST[[#This Row],[LS_TOTAL UNITS BUY]]&gt;0,INDEX(LS[NAV at Cost (Average)],MATCH(CONCATENATE(COUNTIFS(LS[Investor ID],INVESTORS_LIST[[#This Row],[INVESTOR CODE]]),INVESTORS_LIST[[#This Row],[INVESTOR CODE]]),LS[Unique Code],0),),0)</f>
        <v>10.175160232680835</v>
      </c>
      <c r="AH419" s="4" cm="1">
        <f t="array" ref="AH4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19" s="178">
        <f>IF(INVESTORS_LIST[[#This Row],[TOTAL CURRENT UNITS]]=0,0,(INVESTORS_LIST[[#This Row],[LS_WEIGHT]]*INVESTORS_LIST[[#This Row],[LS_AVERAGE COST]])+(INVESTORS_LIST[[#This Row],[SIP_WEIGHT]]*INVESTORS_LIST[[#This Row],[SIP_AVERAGE COST]]))</f>
        <v>10.175160232680835</v>
      </c>
      <c r="AJ419" s="178">
        <f t="shared" si="6"/>
        <v>12.552</v>
      </c>
      <c r="AK419" s="118">
        <f>IF(INVESTORS_LIST[[#This Row],[TOTAL CURRENT UNITS]]=0,0,INVESTORS_LIST[[#This Row],[TOTAL CURRENT UNITS]]*INVESTORS_LIST[[#This Row],[NAV]])</f>
        <v>43567.991999999998</v>
      </c>
      <c r="AL419" s="4">
        <f>IF(INVESTORS_LIST[[#This Row],[LS_TOTAL CURRENT UNITS]]=0,0,INVESTORS_LIST[[#This Row],[LS_TOTAL CURRENT UNITS]]*INVESTORS_LIST[[#This Row],[NAV]])</f>
        <v>43567.991999999998</v>
      </c>
      <c r="AM419" s="6">
        <f>IF(INVESTORS_LIST[[#This Row],[SIP_TOTAL CURRENT UNITS]]=0,0,INVESTORS_LIST[[#This Row],[SIP_TOTAL CURRENT UNITS]]*INVESTORS_LIST[[#This Row],[NAV]])</f>
        <v>0</v>
      </c>
      <c r="AO419" s="6">
        <f>IF(INVESTORS_LIST[[#This Row],[TOTAL SELLABLE UNITS]]=0,0,INVESTORS_LIST[[#This Row],[TOTAL SELLABLE UNITS]]*INVESTORS_LIST[[#This Row],[NAV]])</f>
        <v>0</v>
      </c>
      <c r="AP419" s="6">
        <f>INVESTORS_LIST[[#This Row],[LS_TOTAL REALIZED GAIN]]+INVESTORS_LIST[[#This Row],[SIP_TOTAL REALIZED GAIN]]</f>
        <v>35317.98116763516</v>
      </c>
      <c r="AQ419" s="6">
        <f>INVESTORS_LIST[[#This Row],[TOTAL MARKET VALUE]]-INVESTORS_LIST[[#This Row],[TOTAL COST VALUE OF CURRENT INVESTMENT]]</f>
        <v>8250.0108323648237</v>
      </c>
      <c r="AR419" s="6">
        <f>SUMIFS(DivAndTax[Tax Amount],DivAndTax[Investor ID],INVESTORS_LIST[[#This Row],[INVESTOR CODE]])</f>
        <v>1637.47</v>
      </c>
      <c r="AS419" s="6">
        <f>SUMIFS(DivAndTax[Gross Dividend],DivAndTax[Investor ID],INVESTORS_LIST[[#This Row],[INVESTOR CODE]])</f>
        <v>16374.6</v>
      </c>
      <c r="AT419" s="5">
        <f>IFERROR(INVESTORS_LIST[[#This Row],[TOTAL CURRENT UNITS]]/SUM(INVESTORS_LIST[TOTAL CURRENT UNITS]),0)</f>
        <v>1.6641652248056604E-4</v>
      </c>
    </row>
    <row r="420" spans="1:46" hidden="1">
      <c r="A420" t="s">
        <v>919</v>
      </c>
      <c r="B420" t="s">
        <v>920</v>
      </c>
      <c r="C420" t="s">
        <v>539</v>
      </c>
      <c r="D420" s="8" t="s">
        <v>2</v>
      </c>
      <c r="E420" s="2">
        <f>SUMIFS(LS[Unit],LS[Investor ID],INVESTORS_LIST[[#This Row],[INVESTOR CODE]],LS[B/S],"B")</f>
        <v>0</v>
      </c>
      <c r="F420" s="2">
        <f>-SUMIFS(LS[Unit],LS[Investor ID],INVESTORS_LIST[[#This Row],[INVESTOR CODE]],LS[B/S],"S")</f>
        <v>0</v>
      </c>
      <c r="G420" s="2">
        <f>IF(INVESTORS_LIST[[#This Row],[LS_TOTAL UNITS BUY]]=0,0,INVESTORS_LIST[[#This Row],[LS_TOTAL UNITS BUY]]-INVESTORS_LIST[[#This Row],[LS_TOTAL UNITS SOLD]])</f>
        <v>0</v>
      </c>
      <c r="H420" s="4">
        <f>IF(INVESTORS_LIST[[#This Row],[LS_TOTAL UNITS BUY]]=0,0,SUMIFS(LS[Amount],LS[Investor ID],INVESTORS_LIST[[#This Row],[INVESTOR CODE]],LS[B/S],"B"))</f>
        <v>0</v>
      </c>
      <c r="I420" s="6">
        <f>IF(INVESTORS_LIST[[#This Row],[LS_TOTAL UNITS SOLD]]=0,0,SUMIFS(LS[Cost of Units Sold],LS[Investor ID],INVESTORS_LIST[[#This Row],[INVESTOR CODE]],LS[B/S],"S"))</f>
        <v>0</v>
      </c>
      <c r="J420" s="6">
        <f>IF(INVESTORS_LIST[[#This Row],[LS_TOTAL CURRENT UNITS]]=0,0,INVESTORS_LIST[[#This Row],[LS_TOTAL CURRENT UNITS]]*INVESTORS_LIST[[#This Row],[LS_AVERAGE COST]])</f>
        <v>0</v>
      </c>
      <c r="K420" s="4">
        <f>IF(INVESTORS_LIST[[#This Row],[LS_TOTAL UNITS SOLD]]=0,0,SUMIFS(LS[Realized Gain],LS[Investor ID],INVESTORS_LIST[[#This Row],[INVESTOR CODE]],LS[B/S],"S"))</f>
        <v>0</v>
      </c>
      <c r="L420" s="2">
        <f>SUMIFS(SIP[Unit],SIP[Investor ID],INVESTORS_LIST[[#This Row],[INVESTOR CODE]],SIP[B/S],"B")</f>
        <v>9238</v>
      </c>
      <c r="M420" s="2">
        <f>-SUMIFS(SIP[Unit],SIP[Investor ID],INVESTORS_LIST[[#This Row],[INVESTOR CODE]],SIP[B/S],"S")</f>
        <v>9238</v>
      </c>
      <c r="N420" s="33">
        <f>IF(INVESTORS_LIST[[#This Row],[SIP_TOTAL UNITS BUY]]=0,0,INVESTORS_LIST[[#This Row],[SIP_TOTAL UNITS BUY]]-INVESTORS_LIST[[#This Row],[SIP_TOTAL UNITS SOLD]])</f>
        <v>0</v>
      </c>
      <c r="O420" s="4">
        <f>IF(INVESTORS_LIST[[#This Row],[SIP_TOTAL UNITS BUY]]=0,0,SUMIFS(SIP[Amount],SIP[Investor ID],INVESTORS_LIST[[#This Row],[INVESTOR CODE]],SIP[B/S],"B"))</f>
        <v>91028.25</v>
      </c>
      <c r="P420" s="4">
        <f>IF(INVESTORS_LIST[[#This Row],[SIP_TOTAL UNITS SOLD]]=0,0,SUMIFS(SIP[Cost of Units Sold],SIP[Investor ID],INVESTORS_LIST[[#This Row],[INVESTOR CODE]],SIP[B/S],"S"))</f>
        <v>91028.25</v>
      </c>
      <c r="Q420" s="6">
        <f>IF(INVESTORS_LIST[[#This Row],[SIP_TOTAL CURRENT UNITS]]=0,0,INVESTORS_LIST[[#This Row],[SIP_TOTAL CURRENT UNITS]]*INVESTORS_LIST[[#This Row],[SIP_AVERAGE COST]])</f>
        <v>0</v>
      </c>
      <c r="R420" s="6">
        <f>IF(INVESTORS_LIST[[#This Row],[SIP_TOTAL UNITS SOLD]]=0,0,SUMIFS(SIP[Realized Gain],SIP[Investor ID],INVESTORS_LIST[[#This Row],[INVESTOR CODE]],SIP[B/S],"S"))</f>
        <v>1626.9500000000035</v>
      </c>
      <c r="S420" s="33">
        <f>INVESTORS_LIST[[#This Row],[LS_TOTAL UNITS BUY]]+INVESTORS_LIST[[#This Row],[SIP_TOTAL UNITS BUY]]</f>
        <v>9238</v>
      </c>
      <c r="T420" s="33">
        <f>INVESTORS_LIST[[#This Row],[LS_TOTAL UNITS SOLD]]+INVESTORS_LIST[[#This Row],[SIP_TOTAL UNITS SOLD]]</f>
        <v>9238</v>
      </c>
      <c r="U420" s="33">
        <v>0</v>
      </c>
      <c r="V420" s="33">
        <f>SUMIFS(LS[BO UNIT TRANSFER],LS[Investor ID],INVESTORS_LIST[[#This Row],[INVESTOR CODE]],LS[B/S],"B")</f>
        <v>0</v>
      </c>
      <c r="W420" s="33">
        <f>SUMIFS(LS[BO UNIT TRANSFER],LS[Investor ID],INVESTORS_LIST[[#This Row],[INVESTOR CODE]],LS[B/S],"S")</f>
        <v>0</v>
      </c>
      <c r="X420" s="33">
        <f>SUMIFS(SIP[BO UNIT TRANSFER],SIP[Investor ID],INVESTORS_LIST[[#This Row],[INVESTOR CODE]],SIP[B/S],"S")</f>
        <v>0</v>
      </c>
      <c r="Y420" s="33">
        <f>SUMIFS(SIP[BO UNIT TRANSFER],SIP[Investor ID],INVESTORS_LIST[[#This Row],[INVESTOR CODE]],SIP[B/S],"B")</f>
        <v>0</v>
      </c>
      <c r="Z42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20" s="119">
        <f>INVESTORS_LIST[[#This Row],[TOTAL UNITS BUY]]-INVESTORS_LIST[[#This Row],[TOTAL UNITS SOLD]]</f>
        <v>0</v>
      </c>
      <c r="AB420" s="119">
        <f>INVESTORS_LIST[[#This Row],[TOTAL CURRENT UNITS]]-INVESTORS_LIST[[#This Row],[BO UNITS HOLD]]</f>
        <v>0</v>
      </c>
      <c r="AC420" s="119" t="e">
        <f>INDEX([4]!Table_1[BO ID],MATCH(INVESTORS_LIST[[#This Row],[INVESTOR CODE]],[4]!Table_1[INVESTOR CODE],0))</f>
        <v>#REF!</v>
      </c>
      <c r="AD420" s="33">
        <f>INVESTORS_LIST[[#This Row],[LS_TOTAL COST VALUE OF CURRENT UNITS]]+INVESTORS_LIST[[#This Row],[SIP_TOTAL COST VALUE OF CURRENT UNITS]]</f>
        <v>0</v>
      </c>
      <c r="AE420" s="44">
        <f>IF(INVESTORS_LIST[[#This Row],[TOTAL CURRENT UNITS]]=0,0,INVESTORS_LIST[[#This Row],[LS_TOTAL CURRENT UNITS]]/INVESTORS_LIST[[#This Row],[TOTAL CURRENT UNITS]])</f>
        <v>0</v>
      </c>
      <c r="AF420" s="44">
        <f>IF(INVESTORS_LIST[[#This Row],[TOTAL CURRENT UNITS]]=0,0,INVESTORS_LIST[[#This Row],[SIP_TOTAL CURRENT UNITS]]/INVESTORS_LIST[[#This Row],[TOTAL CURRENT UNITS]])</f>
        <v>0</v>
      </c>
      <c r="AG420" s="4" cm="1">
        <f t="array" ref="AG42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20" s="4" cm="1">
        <f t="array" ref="AH4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2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20" s="178">
        <f t="shared" si="6"/>
        <v>12.552</v>
      </c>
      <c r="AK420" s="118">
        <f>IF(INVESTORS_LIST[[#This Row],[TOTAL CURRENT UNITS]]=0,0,INVESTORS_LIST[[#This Row],[TOTAL CURRENT UNITS]]*INVESTORS_LIST[[#This Row],[NAV]])</f>
        <v>0</v>
      </c>
      <c r="AL420" s="4">
        <f>IF(INVESTORS_LIST[[#This Row],[LS_TOTAL CURRENT UNITS]]=0,0,INVESTORS_LIST[[#This Row],[LS_TOTAL CURRENT UNITS]]*INVESTORS_LIST[[#This Row],[NAV]])</f>
        <v>0</v>
      </c>
      <c r="AM420" s="6">
        <f>IF(INVESTORS_LIST[[#This Row],[SIP_TOTAL CURRENT UNITS]]=0,0,INVESTORS_LIST[[#This Row],[SIP_TOTAL CURRENT UNITS]]*INVESTORS_LIST[[#This Row],[NAV]])</f>
        <v>0</v>
      </c>
      <c r="AO420" s="6">
        <f>IF(INVESTORS_LIST[[#This Row],[TOTAL SELLABLE UNITS]]=0,0,INVESTORS_LIST[[#This Row],[TOTAL SELLABLE UNITS]]*INVESTORS_LIST[[#This Row],[NAV]])</f>
        <v>0</v>
      </c>
      <c r="AP420" s="6">
        <f>INVESTORS_LIST[[#This Row],[LS_TOTAL REALIZED GAIN]]+INVESTORS_LIST[[#This Row],[SIP_TOTAL REALIZED GAIN]]</f>
        <v>1626.9500000000035</v>
      </c>
      <c r="AQ420" s="6">
        <f>INVESTORS_LIST[[#This Row],[TOTAL MARKET VALUE]]-INVESTORS_LIST[[#This Row],[TOTAL COST VALUE OF CURRENT INVESTMENT]]</f>
        <v>0</v>
      </c>
      <c r="AR420" s="6">
        <f>SUMIFS(DivAndTax[Tax Amount],DivAndTax[Investor ID],INVESTORS_LIST[[#This Row],[INVESTOR CODE]])</f>
        <v>0</v>
      </c>
      <c r="AS420" s="6">
        <f>SUMIFS(DivAndTax[Gross Dividend],DivAndTax[Investor ID],INVESTORS_LIST[[#This Row],[INVESTOR CODE]])</f>
        <v>1028.25</v>
      </c>
      <c r="AT420" s="5">
        <f>IFERROR(INVESTORS_LIST[[#This Row],[TOTAL CURRENT UNITS]]/SUM(INVESTORS_LIST[TOTAL CURRENT UNITS]),0)</f>
        <v>0</v>
      </c>
    </row>
    <row r="421" spans="1:46" hidden="1">
      <c r="A421" t="s">
        <v>921</v>
      </c>
      <c r="B421" t="s">
        <v>918</v>
      </c>
      <c r="C421" t="s">
        <v>536</v>
      </c>
      <c r="D421" s="8" t="s">
        <v>2</v>
      </c>
      <c r="E421" s="2">
        <f>SUMIFS(LS[Unit],LS[Investor ID],INVESTORS_LIST[[#This Row],[INVESTOR CODE]],LS[B/S],"B")</f>
        <v>25459</v>
      </c>
      <c r="F421" s="2">
        <f>-SUMIFS(LS[Unit],LS[Investor ID],INVESTORS_LIST[[#This Row],[INVESTOR CODE]],LS[B/S],"S")</f>
        <v>25459</v>
      </c>
      <c r="G421" s="2">
        <f>IF(INVESTORS_LIST[[#This Row],[LS_TOTAL UNITS BUY]]=0,0,INVESTORS_LIST[[#This Row],[LS_TOTAL UNITS BUY]]-INVESTORS_LIST[[#This Row],[LS_TOTAL UNITS SOLD]])</f>
        <v>0</v>
      </c>
      <c r="H421" s="4">
        <f>IF(INVESTORS_LIST[[#This Row],[LS_TOTAL UNITS BUY]]=0,0,SUMIFS(LS[Amount],LS[Investor ID],INVESTORS_LIST[[#This Row],[INVESTOR CODE]],LS[B/S],"B"))</f>
        <v>250000</v>
      </c>
      <c r="I421" s="6">
        <f>IF(INVESTORS_LIST[[#This Row],[LS_TOTAL UNITS SOLD]]=0,0,SUMIFS(LS[Cost of Units Sold],LS[Investor ID],INVESTORS_LIST[[#This Row],[INVESTOR CODE]],LS[B/S],"S"))</f>
        <v>250000</v>
      </c>
      <c r="J421" s="6">
        <f>IF(INVESTORS_LIST[[#This Row],[LS_TOTAL CURRENT UNITS]]=0,0,INVESTORS_LIST[[#This Row],[LS_TOTAL CURRENT UNITS]]*INVESTORS_LIST[[#This Row],[LS_AVERAGE COST]])</f>
        <v>0</v>
      </c>
      <c r="K421" s="4">
        <f>IF(INVESTORS_LIST[[#This Row],[LS_TOTAL UNITS SOLD]]=0,0,SUMIFS(LS[Realized Gain],LS[Investor ID],INVESTORS_LIST[[#This Row],[INVESTOR CODE]],LS[B/S],"S"))</f>
        <v>2807.8700000000058</v>
      </c>
      <c r="L421" s="2">
        <f>SUMIFS(SIP[Unit],SIP[Investor ID],INVESTORS_LIST[[#This Row],[INVESTOR CODE]],SIP[B/S],"B")</f>
        <v>0</v>
      </c>
      <c r="M421" s="2">
        <f>-SUMIFS(SIP[Unit],SIP[Investor ID],INVESTORS_LIST[[#This Row],[INVESTOR CODE]],SIP[B/S],"S")</f>
        <v>0</v>
      </c>
      <c r="N421" s="33">
        <f>IF(INVESTORS_LIST[[#This Row],[SIP_TOTAL UNITS BUY]]=0,0,INVESTORS_LIST[[#This Row],[SIP_TOTAL UNITS BUY]]-INVESTORS_LIST[[#This Row],[SIP_TOTAL UNITS SOLD]])</f>
        <v>0</v>
      </c>
      <c r="O421" s="4">
        <f>IF(INVESTORS_LIST[[#This Row],[SIP_TOTAL UNITS BUY]]=0,0,SUMIFS(SIP[Amount],SIP[Investor ID],INVESTORS_LIST[[#This Row],[INVESTOR CODE]],SIP[B/S],"B"))</f>
        <v>0</v>
      </c>
      <c r="P421" s="4">
        <f>IF(INVESTORS_LIST[[#This Row],[SIP_TOTAL UNITS SOLD]]=0,0,SUMIFS(SIP[Cost of Units Sold],SIP[Investor ID],INVESTORS_LIST[[#This Row],[INVESTOR CODE]],SIP[B/S],"S"))</f>
        <v>0</v>
      </c>
      <c r="Q421" s="6">
        <f>IF(INVESTORS_LIST[[#This Row],[SIP_TOTAL CURRENT UNITS]]=0,0,INVESTORS_LIST[[#This Row],[SIP_TOTAL CURRENT UNITS]]*INVESTORS_LIST[[#This Row],[SIP_AVERAGE COST]])</f>
        <v>0</v>
      </c>
      <c r="R421" s="6">
        <f>IF(INVESTORS_LIST[[#This Row],[SIP_TOTAL UNITS SOLD]]=0,0,SUMIFS(SIP[Realized Gain],SIP[Investor ID],INVESTORS_LIST[[#This Row],[INVESTOR CODE]],SIP[B/S],"S"))</f>
        <v>0</v>
      </c>
      <c r="S421" s="33">
        <f>INVESTORS_LIST[[#This Row],[LS_TOTAL UNITS BUY]]+INVESTORS_LIST[[#This Row],[SIP_TOTAL UNITS BUY]]</f>
        <v>25459</v>
      </c>
      <c r="T421" s="33">
        <f>INVESTORS_LIST[[#This Row],[LS_TOTAL UNITS SOLD]]+INVESTORS_LIST[[#This Row],[SIP_TOTAL UNITS SOLD]]</f>
        <v>25459</v>
      </c>
      <c r="U421" s="33">
        <v>0</v>
      </c>
      <c r="V421" s="33">
        <f>SUMIFS(LS[BO UNIT TRANSFER],LS[Investor ID],INVESTORS_LIST[[#This Row],[INVESTOR CODE]],LS[B/S],"B")</f>
        <v>0</v>
      </c>
      <c r="W421" s="33">
        <f>SUMIFS(LS[BO UNIT TRANSFER],LS[Investor ID],INVESTORS_LIST[[#This Row],[INVESTOR CODE]],LS[B/S],"S")</f>
        <v>0</v>
      </c>
      <c r="X421" s="33">
        <f>SUMIFS(SIP[BO UNIT TRANSFER],SIP[Investor ID],INVESTORS_LIST[[#This Row],[INVESTOR CODE]],SIP[B/S],"S")</f>
        <v>0</v>
      </c>
      <c r="Y421" s="33">
        <f>SUMIFS(SIP[BO UNIT TRANSFER],SIP[Investor ID],INVESTORS_LIST[[#This Row],[INVESTOR CODE]],SIP[B/S],"B")</f>
        <v>0</v>
      </c>
      <c r="Z42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21" s="119">
        <f>INVESTORS_LIST[[#This Row],[TOTAL UNITS BUY]]-INVESTORS_LIST[[#This Row],[TOTAL UNITS SOLD]]</f>
        <v>0</v>
      </c>
      <c r="AB421" s="119">
        <f>INVESTORS_LIST[[#This Row],[TOTAL CURRENT UNITS]]-INVESTORS_LIST[[#This Row],[BO UNITS HOLD]]</f>
        <v>0</v>
      </c>
      <c r="AC421" s="119" t="e">
        <f>INDEX([4]!Table_1[BO ID],MATCH(INVESTORS_LIST[[#This Row],[INVESTOR CODE]],[4]!Table_1[INVESTOR CODE],0))</f>
        <v>#REF!</v>
      </c>
      <c r="AD421" s="33">
        <f>INVESTORS_LIST[[#This Row],[LS_TOTAL COST VALUE OF CURRENT UNITS]]+INVESTORS_LIST[[#This Row],[SIP_TOTAL COST VALUE OF CURRENT UNITS]]</f>
        <v>0</v>
      </c>
      <c r="AE421" s="44">
        <f>IF(INVESTORS_LIST[[#This Row],[TOTAL CURRENT UNITS]]=0,0,INVESTORS_LIST[[#This Row],[LS_TOTAL CURRENT UNITS]]/INVESTORS_LIST[[#This Row],[TOTAL CURRENT UNITS]])</f>
        <v>0</v>
      </c>
      <c r="AF421" s="44">
        <f>IF(INVESTORS_LIST[[#This Row],[TOTAL CURRENT UNITS]]=0,0,INVESTORS_LIST[[#This Row],[SIP_TOTAL CURRENT UNITS]]/INVESTORS_LIST[[#This Row],[TOTAL CURRENT UNITS]])</f>
        <v>0</v>
      </c>
      <c r="AG421" s="4" cm="1">
        <f t="array" ref="AG4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21" s="4" cm="1">
        <f t="array" ref="AH4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2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21" s="178">
        <f t="shared" si="6"/>
        <v>12.552</v>
      </c>
      <c r="AK421" s="118">
        <f>IF(INVESTORS_LIST[[#This Row],[TOTAL CURRENT UNITS]]=0,0,INVESTORS_LIST[[#This Row],[TOTAL CURRENT UNITS]]*INVESTORS_LIST[[#This Row],[NAV]])</f>
        <v>0</v>
      </c>
      <c r="AL421" s="4">
        <f>IF(INVESTORS_LIST[[#This Row],[LS_TOTAL CURRENT UNITS]]=0,0,INVESTORS_LIST[[#This Row],[LS_TOTAL CURRENT UNITS]]*INVESTORS_LIST[[#This Row],[NAV]])</f>
        <v>0</v>
      </c>
      <c r="AM421" s="6">
        <f>IF(INVESTORS_LIST[[#This Row],[SIP_TOTAL CURRENT UNITS]]=0,0,INVESTORS_LIST[[#This Row],[SIP_TOTAL CURRENT UNITS]]*INVESTORS_LIST[[#This Row],[NAV]])</f>
        <v>0</v>
      </c>
      <c r="AO421" s="6">
        <f>IF(INVESTORS_LIST[[#This Row],[TOTAL SELLABLE UNITS]]=0,0,INVESTORS_LIST[[#This Row],[TOTAL SELLABLE UNITS]]*INVESTORS_LIST[[#This Row],[NAV]])</f>
        <v>0</v>
      </c>
      <c r="AP421" s="6">
        <f>INVESTORS_LIST[[#This Row],[LS_TOTAL REALIZED GAIN]]+INVESTORS_LIST[[#This Row],[SIP_TOTAL REALIZED GAIN]]</f>
        <v>2807.8700000000058</v>
      </c>
      <c r="AQ421" s="6">
        <f>INVESTORS_LIST[[#This Row],[TOTAL MARKET VALUE]]-INVESTORS_LIST[[#This Row],[TOTAL COST VALUE OF CURRENT INVESTMENT]]</f>
        <v>0</v>
      </c>
      <c r="AR421" s="6">
        <f>SUMIFS(DivAndTax[Tax Amount],DivAndTax[Investor ID],INVESTORS_LIST[[#This Row],[INVESTOR CODE]])</f>
        <v>0</v>
      </c>
      <c r="AS421" s="6">
        <f>SUMIFS(DivAndTax[Gross Dividend],DivAndTax[Investor ID],INVESTORS_LIST[[#This Row],[INVESTOR CODE]])</f>
        <v>0</v>
      </c>
      <c r="AT421" s="5">
        <f>IFERROR(INVESTORS_LIST[[#This Row],[TOTAL CURRENT UNITS]]/SUM(INVESTORS_LIST[TOTAL CURRENT UNITS]),0)</f>
        <v>0</v>
      </c>
    </row>
    <row r="422" spans="1:46" hidden="1">
      <c r="A422" t="s">
        <v>922</v>
      </c>
      <c r="B422" t="s">
        <v>923</v>
      </c>
      <c r="C422" t="s">
        <v>536</v>
      </c>
      <c r="D422" s="8" t="s">
        <v>2</v>
      </c>
      <c r="E422" s="2">
        <f>SUMIFS(LS[Unit],LS[Investor ID],INVESTORS_LIST[[#This Row],[INVESTOR CODE]],LS[B/S],"B")</f>
        <v>0</v>
      </c>
      <c r="F422" s="2">
        <f>-SUMIFS(LS[Unit],LS[Investor ID],INVESTORS_LIST[[#This Row],[INVESTOR CODE]],LS[B/S],"S")</f>
        <v>0</v>
      </c>
      <c r="G422" s="2">
        <f>IF(INVESTORS_LIST[[#This Row],[LS_TOTAL UNITS BUY]]=0,0,INVESTORS_LIST[[#This Row],[LS_TOTAL UNITS BUY]]-INVESTORS_LIST[[#This Row],[LS_TOTAL UNITS SOLD]])</f>
        <v>0</v>
      </c>
      <c r="H422" s="4">
        <f>IF(INVESTORS_LIST[[#This Row],[LS_TOTAL UNITS BUY]]=0,0,SUMIFS(LS[Amount],LS[Investor ID],INVESTORS_LIST[[#This Row],[INVESTOR CODE]],LS[B/S],"B"))</f>
        <v>0</v>
      </c>
      <c r="I422" s="6">
        <f>IF(INVESTORS_LIST[[#This Row],[LS_TOTAL UNITS SOLD]]=0,0,SUMIFS(LS[Cost of Units Sold],LS[Investor ID],INVESTORS_LIST[[#This Row],[INVESTOR CODE]],LS[B/S],"S"))</f>
        <v>0</v>
      </c>
      <c r="J422" s="6">
        <f>IF(INVESTORS_LIST[[#This Row],[LS_TOTAL CURRENT UNITS]]=0,0,INVESTORS_LIST[[#This Row],[LS_TOTAL CURRENT UNITS]]*INVESTORS_LIST[[#This Row],[LS_AVERAGE COST]])</f>
        <v>0</v>
      </c>
      <c r="K422" s="4">
        <f>IF(INVESTORS_LIST[[#This Row],[LS_TOTAL UNITS SOLD]]=0,0,SUMIFS(LS[Realized Gain],LS[Investor ID],INVESTORS_LIST[[#This Row],[INVESTOR CODE]],LS[B/S],"S"))</f>
        <v>0</v>
      </c>
      <c r="L422" s="2">
        <f>SUMIFS(SIP[Unit],SIP[Investor ID],INVESTORS_LIST[[#This Row],[INVESTOR CODE]],SIP[B/S],"B")</f>
        <v>0</v>
      </c>
      <c r="M422" s="2">
        <f>-SUMIFS(SIP[Unit],SIP[Investor ID],INVESTORS_LIST[[#This Row],[INVESTOR CODE]],SIP[B/S],"S")</f>
        <v>0</v>
      </c>
      <c r="N422" s="33">
        <f>IF(INVESTORS_LIST[[#This Row],[SIP_TOTAL UNITS BUY]]=0,0,INVESTORS_LIST[[#This Row],[SIP_TOTAL UNITS BUY]]-INVESTORS_LIST[[#This Row],[SIP_TOTAL UNITS SOLD]])</f>
        <v>0</v>
      </c>
      <c r="O422" s="4">
        <f>IF(INVESTORS_LIST[[#This Row],[SIP_TOTAL UNITS BUY]]=0,0,SUMIFS(SIP[Amount],SIP[Investor ID],INVESTORS_LIST[[#This Row],[INVESTOR CODE]],SIP[B/S],"B"))</f>
        <v>0</v>
      </c>
      <c r="P422" s="4">
        <f>IF(INVESTORS_LIST[[#This Row],[SIP_TOTAL UNITS SOLD]]=0,0,SUMIFS(SIP[Cost of Units Sold],SIP[Investor ID],INVESTORS_LIST[[#This Row],[INVESTOR CODE]],SIP[B/S],"S"))</f>
        <v>0</v>
      </c>
      <c r="Q422" s="6">
        <f>IF(INVESTORS_LIST[[#This Row],[SIP_TOTAL CURRENT UNITS]]=0,0,INVESTORS_LIST[[#This Row],[SIP_TOTAL CURRENT UNITS]]*INVESTORS_LIST[[#This Row],[SIP_AVERAGE COST]])</f>
        <v>0</v>
      </c>
      <c r="R422" s="6">
        <f>IF(INVESTORS_LIST[[#This Row],[SIP_TOTAL UNITS SOLD]]=0,0,SUMIFS(SIP[Realized Gain],SIP[Investor ID],INVESTORS_LIST[[#This Row],[INVESTOR CODE]],SIP[B/S],"S"))</f>
        <v>0</v>
      </c>
      <c r="S422" s="33">
        <f>INVESTORS_LIST[[#This Row],[LS_TOTAL UNITS BUY]]+INVESTORS_LIST[[#This Row],[SIP_TOTAL UNITS BUY]]</f>
        <v>0</v>
      </c>
      <c r="T422" s="33">
        <f>INVESTORS_LIST[[#This Row],[LS_TOTAL UNITS SOLD]]+INVESTORS_LIST[[#This Row],[SIP_TOTAL UNITS SOLD]]</f>
        <v>0</v>
      </c>
      <c r="U422" s="33">
        <v>0</v>
      </c>
      <c r="V422" s="33">
        <f>SUMIFS(LS[BO UNIT TRANSFER],LS[Investor ID],INVESTORS_LIST[[#This Row],[INVESTOR CODE]],LS[B/S],"B")</f>
        <v>0</v>
      </c>
      <c r="W422" s="33">
        <f>SUMIFS(LS[BO UNIT TRANSFER],LS[Investor ID],INVESTORS_LIST[[#This Row],[INVESTOR CODE]],LS[B/S],"S")</f>
        <v>0</v>
      </c>
      <c r="X422" s="33">
        <f>SUMIFS(SIP[BO UNIT TRANSFER],SIP[Investor ID],INVESTORS_LIST[[#This Row],[INVESTOR CODE]],SIP[B/S],"S")</f>
        <v>0</v>
      </c>
      <c r="Y422" s="33">
        <f>SUMIFS(SIP[BO UNIT TRANSFER],SIP[Investor ID],INVESTORS_LIST[[#This Row],[INVESTOR CODE]],SIP[B/S],"B")</f>
        <v>0</v>
      </c>
      <c r="Z42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22" s="119">
        <f>INVESTORS_LIST[[#This Row],[TOTAL UNITS BUY]]-INVESTORS_LIST[[#This Row],[TOTAL UNITS SOLD]]</f>
        <v>0</v>
      </c>
      <c r="AB422" s="119">
        <f>INVESTORS_LIST[[#This Row],[TOTAL CURRENT UNITS]]-INVESTORS_LIST[[#This Row],[BO UNITS HOLD]]</f>
        <v>0</v>
      </c>
      <c r="AC422" s="119" t="e">
        <f>INDEX([4]!Table_1[BO ID],MATCH(INVESTORS_LIST[[#This Row],[INVESTOR CODE]],[4]!Table_1[INVESTOR CODE],0))</f>
        <v>#REF!</v>
      </c>
      <c r="AD422" s="33">
        <f>INVESTORS_LIST[[#This Row],[LS_TOTAL COST VALUE OF CURRENT UNITS]]+INVESTORS_LIST[[#This Row],[SIP_TOTAL COST VALUE OF CURRENT UNITS]]</f>
        <v>0</v>
      </c>
      <c r="AE422" s="44">
        <f>IF(INVESTORS_LIST[[#This Row],[TOTAL CURRENT UNITS]]=0,0,INVESTORS_LIST[[#This Row],[LS_TOTAL CURRENT UNITS]]/INVESTORS_LIST[[#This Row],[TOTAL CURRENT UNITS]])</f>
        <v>0</v>
      </c>
      <c r="AF422" s="44">
        <f>IF(INVESTORS_LIST[[#This Row],[TOTAL CURRENT UNITS]]=0,0,INVESTORS_LIST[[#This Row],[SIP_TOTAL CURRENT UNITS]]/INVESTORS_LIST[[#This Row],[TOTAL CURRENT UNITS]])</f>
        <v>0</v>
      </c>
      <c r="AG422" s="4" cm="1">
        <f t="array" ref="AG4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22" s="4" cm="1">
        <f t="array" ref="AH4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2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22" s="178">
        <f t="shared" si="6"/>
        <v>12.552</v>
      </c>
      <c r="AK422" s="118">
        <f>IF(INVESTORS_LIST[[#This Row],[TOTAL CURRENT UNITS]]=0,0,INVESTORS_LIST[[#This Row],[TOTAL CURRENT UNITS]]*INVESTORS_LIST[[#This Row],[NAV]])</f>
        <v>0</v>
      </c>
      <c r="AL422" s="4">
        <f>IF(INVESTORS_LIST[[#This Row],[LS_TOTAL CURRENT UNITS]]=0,0,INVESTORS_LIST[[#This Row],[LS_TOTAL CURRENT UNITS]]*INVESTORS_LIST[[#This Row],[NAV]])</f>
        <v>0</v>
      </c>
      <c r="AM422" s="6">
        <f>IF(INVESTORS_LIST[[#This Row],[SIP_TOTAL CURRENT UNITS]]=0,0,INVESTORS_LIST[[#This Row],[SIP_TOTAL CURRENT UNITS]]*INVESTORS_LIST[[#This Row],[NAV]])</f>
        <v>0</v>
      </c>
      <c r="AO422" s="6">
        <f>IF(INVESTORS_LIST[[#This Row],[TOTAL SELLABLE UNITS]]=0,0,INVESTORS_LIST[[#This Row],[TOTAL SELLABLE UNITS]]*INVESTORS_LIST[[#This Row],[NAV]])</f>
        <v>0</v>
      </c>
      <c r="AP422" s="6">
        <f>INVESTORS_LIST[[#This Row],[LS_TOTAL REALIZED GAIN]]+INVESTORS_LIST[[#This Row],[SIP_TOTAL REALIZED GAIN]]</f>
        <v>0</v>
      </c>
      <c r="AQ422" s="6">
        <f>INVESTORS_LIST[[#This Row],[TOTAL MARKET VALUE]]-INVESTORS_LIST[[#This Row],[TOTAL COST VALUE OF CURRENT INVESTMENT]]</f>
        <v>0</v>
      </c>
      <c r="AR422" s="6">
        <f>SUMIFS(DivAndTax[Tax Amount],DivAndTax[Investor ID],INVESTORS_LIST[[#This Row],[INVESTOR CODE]])</f>
        <v>0</v>
      </c>
      <c r="AS422" s="6">
        <f>SUMIFS(DivAndTax[Gross Dividend],DivAndTax[Investor ID],INVESTORS_LIST[[#This Row],[INVESTOR CODE]])</f>
        <v>0</v>
      </c>
      <c r="AT422" s="5">
        <f>IFERROR(INVESTORS_LIST[[#This Row],[TOTAL CURRENT UNITS]]/SUM(INVESTORS_LIST[TOTAL CURRENT UNITS]),0)</f>
        <v>0</v>
      </c>
    </row>
    <row r="423" spans="1:46" hidden="1">
      <c r="A423" t="s">
        <v>924</v>
      </c>
      <c r="B423" t="s">
        <v>925</v>
      </c>
      <c r="C423" t="s">
        <v>536</v>
      </c>
      <c r="D423" s="8" t="s">
        <v>2</v>
      </c>
      <c r="E423" s="2">
        <f>SUMIFS(LS[Unit],LS[Investor ID],INVESTORS_LIST[[#This Row],[INVESTOR CODE]],LS[B/S],"B")</f>
        <v>50916</v>
      </c>
      <c r="F423" s="2">
        <f>-SUMIFS(LS[Unit],LS[Investor ID],INVESTORS_LIST[[#This Row],[INVESTOR CODE]],LS[B/S],"S")</f>
        <v>50916</v>
      </c>
      <c r="G423" s="2">
        <f>IF(INVESTORS_LIST[[#This Row],[LS_TOTAL UNITS BUY]]=0,0,INVESTORS_LIST[[#This Row],[LS_TOTAL UNITS BUY]]-INVESTORS_LIST[[#This Row],[LS_TOTAL UNITS SOLD]])</f>
        <v>0</v>
      </c>
      <c r="H423" s="4">
        <f>IF(INVESTORS_LIST[[#This Row],[LS_TOTAL UNITS BUY]]=0,0,SUMIFS(LS[Amount],LS[Investor ID],INVESTORS_LIST[[#This Row],[INVESTOR CODE]],LS[B/S],"B"))</f>
        <v>500000</v>
      </c>
      <c r="I423" s="6">
        <f>IF(INVESTORS_LIST[[#This Row],[LS_TOTAL UNITS SOLD]]=0,0,SUMIFS(LS[Cost of Units Sold],LS[Investor ID],INVESTORS_LIST[[#This Row],[INVESTOR CODE]],LS[B/S],"S"))</f>
        <v>500000</v>
      </c>
      <c r="J423" s="6">
        <f>IF(INVESTORS_LIST[[#This Row],[LS_TOTAL CURRENT UNITS]]=0,0,INVESTORS_LIST[[#This Row],[LS_TOTAL CURRENT UNITS]]*INVESTORS_LIST[[#This Row],[LS_AVERAGE COST]])</f>
        <v>0</v>
      </c>
      <c r="K423" s="4">
        <f>IF(INVESTORS_LIST[[#This Row],[LS_TOTAL UNITS SOLD]]=0,0,SUMIFS(LS[Realized Gain],LS[Investor ID],INVESTORS_LIST[[#This Row],[INVESTOR CODE]],LS[B/S],"S"))</f>
        <v>36196.400000000016</v>
      </c>
      <c r="L423" s="2">
        <f>SUMIFS(SIP[Unit],SIP[Investor ID],INVESTORS_LIST[[#This Row],[INVESTOR CODE]],SIP[B/S],"B")</f>
        <v>0</v>
      </c>
      <c r="M423" s="2">
        <f>-SUMIFS(SIP[Unit],SIP[Investor ID],INVESTORS_LIST[[#This Row],[INVESTOR CODE]],SIP[B/S],"S")</f>
        <v>0</v>
      </c>
      <c r="N423" s="33">
        <f>IF(INVESTORS_LIST[[#This Row],[SIP_TOTAL UNITS BUY]]=0,0,INVESTORS_LIST[[#This Row],[SIP_TOTAL UNITS BUY]]-INVESTORS_LIST[[#This Row],[SIP_TOTAL UNITS SOLD]])</f>
        <v>0</v>
      </c>
      <c r="O423" s="4">
        <f>IF(INVESTORS_LIST[[#This Row],[SIP_TOTAL UNITS BUY]]=0,0,SUMIFS(SIP[Amount],SIP[Investor ID],INVESTORS_LIST[[#This Row],[INVESTOR CODE]],SIP[B/S],"B"))</f>
        <v>0</v>
      </c>
      <c r="P423" s="4">
        <f>IF(INVESTORS_LIST[[#This Row],[SIP_TOTAL UNITS SOLD]]=0,0,SUMIFS(SIP[Cost of Units Sold],SIP[Investor ID],INVESTORS_LIST[[#This Row],[INVESTOR CODE]],SIP[B/S],"S"))</f>
        <v>0</v>
      </c>
      <c r="Q423" s="6">
        <f>IF(INVESTORS_LIST[[#This Row],[SIP_TOTAL CURRENT UNITS]]=0,0,INVESTORS_LIST[[#This Row],[SIP_TOTAL CURRENT UNITS]]*INVESTORS_LIST[[#This Row],[SIP_AVERAGE COST]])</f>
        <v>0</v>
      </c>
      <c r="R423" s="6">
        <f>IF(INVESTORS_LIST[[#This Row],[SIP_TOTAL UNITS SOLD]]=0,0,SUMIFS(SIP[Realized Gain],SIP[Investor ID],INVESTORS_LIST[[#This Row],[INVESTOR CODE]],SIP[B/S],"S"))</f>
        <v>0</v>
      </c>
      <c r="S423" s="33">
        <f>INVESTORS_LIST[[#This Row],[LS_TOTAL UNITS BUY]]+INVESTORS_LIST[[#This Row],[SIP_TOTAL UNITS BUY]]</f>
        <v>50916</v>
      </c>
      <c r="T423" s="33">
        <f>INVESTORS_LIST[[#This Row],[LS_TOTAL UNITS SOLD]]+INVESTORS_LIST[[#This Row],[SIP_TOTAL UNITS SOLD]]</f>
        <v>50916</v>
      </c>
      <c r="U423" s="33">
        <v>0</v>
      </c>
      <c r="V423" s="33">
        <f>SUMIFS(LS[BO UNIT TRANSFER],LS[Investor ID],INVESTORS_LIST[[#This Row],[INVESTOR CODE]],LS[B/S],"B")</f>
        <v>0</v>
      </c>
      <c r="W423" s="33">
        <f>SUMIFS(LS[BO UNIT TRANSFER],LS[Investor ID],INVESTORS_LIST[[#This Row],[INVESTOR CODE]],LS[B/S],"S")</f>
        <v>0</v>
      </c>
      <c r="X423" s="33">
        <f>SUMIFS(SIP[BO UNIT TRANSFER],SIP[Investor ID],INVESTORS_LIST[[#This Row],[INVESTOR CODE]],SIP[B/S],"S")</f>
        <v>0</v>
      </c>
      <c r="Y423" s="33">
        <f>SUMIFS(SIP[BO UNIT TRANSFER],SIP[Investor ID],INVESTORS_LIST[[#This Row],[INVESTOR CODE]],SIP[B/S],"B")</f>
        <v>0</v>
      </c>
      <c r="Z42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23" s="119">
        <f>INVESTORS_LIST[[#This Row],[TOTAL UNITS BUY]]-INVESTORS_LIST[[#This Row],[TOTAL UNITS SOLD]]</f>
        <v>0</v>
      </c>
      <c r="AB423" s="119">
        <f>INVESTORS_LIST[[#This Row],[TOTAL CURRENT UNITS]]-INVESTORS_LIST[[#This Row],[BO UNITS HOLD]]</f>
        <v>0</v>
      </c>
      <c r="AC423" s="119" t="e">
        <f>INDEX([4]!Table_1[BO ID],MATCH(INVESTORS_LIST[[#This Row],[INVESTOR CODE]],[4]!Table_1[INVESTOR CODE],0))</f>
        <v>#REF!</v>
      </c>
      <c r="AD423" s="33">
        <f>INVESTORS_LIST[[#This Row],[LS_TOTAL COST VALUE OF CURRENT UNITS]]+INVESTORS_LIST[[#This Row],[SIP_TOTAL COST VALUE OF CURRENT UNITS]]</f>
        <v>0</v>
      </c>
      <c r="AE423" s="44">
        <f>IF(INVESTORS_LIST[[#This Row],[TOTAL CURRENT UNITS]]=0,0,INVESTORS_LIST[[#This Row],[LS_TOTAL CURRENT UNITS]]/INVESTORS_LIST[[#This Row],[TOTAL CURRENT UNITS]])</f>
        <v>0</v>
      </c>
      <c r="AF423" s="44">
        <f>IF(INVESTORS_LIST[[#This Row],[TOTAL CURRENT UNITS]]=0,0,INVESTORS_LIST[[#This Row],[SIP_TOTAL CURRENT UNITS]]/INVESTORS_LIST[[#This Row],[TOTAL CURRENT UNITS]])</f>
        <v>0</v>
      </c>
      <c r="AG423" s="4" cm="1">
        <f t="array" ref="AG4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23" s="4" cm="1">
        <f t="array" ref="AH4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2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23" s="178">
        <f t="shared" si="6"/>
        <v>12.552</v>
      </c>
      <c r="AK423" s="118">
        <f>IF(INVESTORS_LIST[[#This Row],[TOTAL CURRENT UNITS]]=0,0,INVESTORS_LIST[[#This Row],[TOTAL CURRENT UNITS]]*INVESTORS_LIST[[#This Row],[NAV]])</f>
        <v>0</v>
      </c>
      <c r="AL423" s="4">
        <f>IF(INVESTORS_LIST[[#This Row],[LS_TOTAL CURRENT UNITS]]=0,0,INVESTORS_LIST[[#This Row],[LS_TOTAL CURRENT UNITS]]*INVESTORS_LIST[[#This Row],[NAV]])</f>
        <v>0</v>
      </c>
      <c r="AM423" s="6">
        <f>IF(INVESTORS_LIST[[#This Row],[SIP_TOTAL CURRENT UNITS]]=0,0,INVESTORS_LIST[[#This Row],[SIP_TOTAL CURRENT UNITS]]*INVESTORS_LIST[[#This Row],[NAV]])</f>
        <v>0</v>
      </c>
      <c r="AO423" s="6">
        <f>IF(INVESTORS_LIST[[#This Row],[TOTAL SELLABLE UNITS]]=0,0,INVESTORS_LIST[[#This Row],[TOTAL SELLABLE UNITS]]*INVESTORS_LIST[[#This Row],[NAV]])</f>
        <v>0</v>
      </c>
      <c r="AP423" s="6">
        <f>INVESTORS_LIST[[#This Row],[LS_TOTAL REALIZED GAIN]]+INVESTORS_LIST[[#This Row],[SIP_TOTAL REALIZED GAIN]]</f>
        <v>36196.400000000016</v>
      </c>
      <c r="AQ423" s="6">
        <f>INVESTORS_LIST[[#This Row],[TOTAL MARKET VALUE]]-INVESTORS_LIST[[#This Row],[TOTAL COST VALUE OF CURRENT INVESTMENT]]</f>
        <v>0</v>
      </c>
      <c r="AR423" s="6">
        <f>SUMIFS(DivAndTax[Tax Amount],DivAndTax[Investor ID],INVESTORS_LIST[[#This Row],[INVESTOR CODE]])</f>
        <v>3818.7000000000003</v>
      </c>
      <c r="AS423" s="6">
        <f>SUMIFS(DivAndTax[Gross Dividend],DivAndTax[Investor ID],INVESTORS_LIST[[#This Row],[INVESTOR CODE]])</f>
        <v>38187</v>
      </c>
      <c r="AT423" s="5">
        <f>IFERROR(INVESTORS_LIST[[#This Row],[TOTAL CURRENT UNITS]]/SUM(INVESTORS_LIST[TOTAL CURRENT UNITS]),0)</f>
        <v>0</v>
      </c>
    </row>
    <row r="424" spans="1:46" hidden="1">
      <c r="A424" t="s">
        <v>926</v>
      </c>
      <c r="B424" t="s">
        <v>927</v>
      </c>
      <c r="C424" t="s">
        <v>536</v>
      </c>
      <c r="D424" s="8" t="s">
        <v>2</v>
      </c>
      <c r="E424" s="2">
        <f>SUMIFS(LS[Unit],LS[Investor ID],INVESTORS_LIST[[#This Row],[INVESTOR CODE]],LS[B/S],"B")</f>
        <v>11148</v>
      </c>
      <c r="F424" s="2">
        <f>-SUMIFS(LS[Unit],LS[Investor ID],INVESTORS_LIST[[#This Row],[INVESTOR CODE]],LS[B/S],"S")</f>
        <v>11148</v>
      </c>
      <c r="G424" s="2">
        <f>IF(INVESTORS_LIST[[#This Row],[LS_TOTAL UNITS BUY]]=0,0,INVESTORS_LIST[[#This Row],[LS_TOTAL UNITS BUY]]-INVESTORS_LIST[[#This Row],[LS_TOTAL UNITS SOLD]])</f>
        <v>0</v>
      </c>
      <c r="H424" s="4">
        <f>IF(INVESTORS_LIST[[#This Row],[LS_TOTAL UNITS BUY]]=0,0,SUMIFS(LS[Amount],LS[Investor ID],INVESTORS_LIST[[#This Row],[INVESTOR CODE]],LS[B/S],"B"))</f>
        <v>132536.70000000001</v>
      </c>
      <c r="I424" s="6">
        <f>IF(INVESTORS_LIST[[#This Row],[LS_TOTAL UNITS SOLD]]=0,0,SUMIFS(LS[Cost of Units Sold],LS[Investor ID],INVESTORS_LIST[[#This Row],[INVESTOR CODE]],LS[B/S],"S"))</f>
        <v>132536.70000000001</v>
      </c>
      <c r="J424" s="6">
        <f>IF(INVESTORS_LIST[[#This Row],[LS_TOTAL CURRENT UNITS]]=0,0,INVESTORS_LIST[[#This Row],[LS_TOTAL CURRENT UNITS]]*INVESTORS_LIST[[#This Row],[LS_AVERAGE COST]])</f>
        <v>0</v>
      </c>
      <c r="K424" s="4">
        <f>IF(INVESTORS_LIST[[#This Row],[LS_TOTAL UNITS SOLD]]=0,0,SUMIFS(LS[Realized Gain],LS[Investor ID],INVESTORS_LIST[[#This Row],[INVESTOR CODE]],LS[B/S],"S"))</f>
        <v>11547.499999999989</v>
      </c>
      <c r="L424" s="2">
        <f>SUMIFS(SIP[Unit],SIP[Investor ID],INVESTORS_LIST[[#This Row],[INVESTOR CODE]],SIP[B/S],"B")</f>
        <v>0</v>
      </c>
      <c r="M424" s="2">
        <f>-SUMIFS(SIP[Unit],SIP[Investor ID],INVESTORS_LIST[[#This Row],[INVESTOR CODE]],SIP[B/S],"S")</f>
        <v>0</v>
      </c>
      <c r="N424" s="33">
        <f>IF(INVESTORS_LIST[[#This Row],[SIP_TOTAL UNITS BUY]]=0,0,INVESTORS_LIST[[#This Row],[SIP_TOTAL UNITS BUY]]-INVESTORS_LIST[[#This Row],[SIP_TOTAL UNITS SOLD]])</f>
        <v>0</v>
      </c>
      <c r="O424" s="4">
        <f>IF(INVESTORS_LIST[[#This Row],[SIP_TOTAL UNITS BUY]]=0,0,SUMIFS(SIP[Amount],SIP[Investor ID],INVESTORS_LIST[[#This Row],[INVESTOR CODE]],SIP[B/S],"B"))</f>
        <v>0</v>
      </c>
      <c r="P424" s="4">
        <f>IF(INVESTORS_LIST[[#This Row],[SIP_TOTAL UNITS SOLD]]=0,0,SUMIFS(SIP[Cost of Units Sold],SIP[Investor ID],INVESTORS_LIST[[#This Row],[INVESTOR CODE]],SIP[B/S],"S"))</f>
        <v>0</v>
      </c>
      <c r="Q424" s="6">
        <f>IF(INVESTORS_LIST[[#This Row],[SIP_TOTAL CURRENT UNITS]]=0,0,INVESTORS_LIST[[#This Row],[SIP_TOTAL CURRENT UNITS]]*INVESTORS_LIST[[#This Row],[SIP_AVERAGE COST]])</f>
        <v>0</v>
      </c>
      <c r="R424" s="6">
        <f>IF(INVESTORS_LIST[[#This Row],[SIP_TOTAL UNITS SOLD]]=0,0,SUMIFS(SIP[Realized Gain],SIP[Investor ID],INVESTORS_LIST[[#This Row],[INVESTOR CODE]],SIP[B/S],"S"))</f>
        <v>0</v>
      </c>
      <c r="S424" s="33">
        <f>INVESTORS_LIST[[#This Row],[LS_TOTAL UNITS BUY]]+INVESTORS_LIST[[#This Row],[SIP_TOTAL UNITS BUY]]</f>
        <v>11148</v>
      </c>
      <c r="T424" s="33">
        <f>INVESTORS_LIST[[#This Row],[LS_TOTAL UNITS SOLD]]+INVESTORS_LIST[[#This Row],[SIP_TOTAL UNITS SOLD]]</f>
        <v>11148</v>
      </c>
      <c r="U424" s="33">
        <v>0</v>
      </c>
      <c r="V424" s="33">
        <f>SUMIFS(LS[BO UNIT TRANSFER],LS[Investor ID],INVESTORS_LIST[[#This Row],[INVESTOR CODE]],LS[B/S],"B")</f>
        <v>0</v>
      </c>
      <c r="W424" s="33">
        <f>SUMIFS(LS[BO UNIT TRANSFER],LS[Investor ID],INVESTORS_LIST[[#This Row],[INVESTOR CODE]],LS[B/S],"S")</f>
        <v>0</v>
      </c>
      <c r="X424" s="33">
        <f>SUMIFS(SIP[BO UNIT TRANSFER],SIP[Investor ID],INVESTORS_LIST[[#This Row],[INVESTOR CODE]],SIP[B/S],"S")</f>
        <v>0</v>
      </c>
      <c r="Y424" s="33">
        <f>SUMIFS(SIP[BO UNIT TRANSFER],SIP[Investor ID],INVESTORS_LIST[[#This Row],[INVESTOR CODE]],SIP[B/S],"B")</f>
        <v>0</v>
      </c>
      <c r="Z42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24" s="119">
        <f>INVESTORS_LIST[[#This Row],[TOTAL UNITS BUY]]-INVESTORS_LIST[[#This Row],[TOTAL UNITS SOLD]]</f>
        <v>0</v>
      </c>
      <c r="AB424" s="119">
        <f>INVESTORS_LIST[[#This Row],[TOTAL CURRENT UNITS]]-INVESTORS_LIST[[#This Row],[BO UNITS HOLD]]</f>
        <v>0</v>
      </c>
      <c r="AC424" s="119" t="e">
        <f>INDEX([4]!Table_1[BO ID],MATCH(INVESTORS_LIST[[#This Row],[INVESTOR CODE]],[4]!Table_1[INVESTOR CODE],0))</f>
        <v>#REF!</v>
      </c>
      <c r="AD424" s="33">
        <f>INVESTORS_LIST[[#This Row],[LS_TOTAL COST VALUE OF CURRENT UNITS]]+INVESTORS_LIST[[#This Row],[SIP_TOTAL COST VALUE OF CURRENT UNITS]]</f>
        <v>0</v>
      </c>
      <c r="AE424" s="44">
        <f>IF(INVESTORS_LIST[[#This Row],[TOTAL CURRENT UNITS]]=0,0,INVESTORS_LIST[[#This Row],[LS_TOTAL CURRENT UNITS]]/INVESTORS_LIST[[#This Row],[TOTAL CURRENT UNITS]])</f>
        <v>0</v>
      </c>
      <c r="AF424" s="44">
        <f>IF(INVESTORS_LIST[[#This Row],[TOTAL CURRENT UNITS]]=0,0,INVESTORS_LIST[[#This Row],[SIP_TOTAL CURRENT UNITS]]/INVESTORS_LIST[[#This Row],[TOTAL CURRENT UNITS]])</f>
        <v>0</v>
      </c>
      <c r="AG424" s="4" cm="1">
        <f t="array" ref="AG42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24" s="4" cm="1">
        <f t="array" ref="AH4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2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24" s="178">
        <f t="shared" si="6"/>
        <v>12.552</v>
      </c>
      <c r="AK424" s="118">
        <f>IF(INVESTORS_LIST[[#This Row],[TOTAL CURRENT UNITS]]=0,0,INVESTORS_LIST[[#This Row],[TOTAL CURRENT UNITS]]*INVESTORS_LIST[[#This Row],[NAV]])</f>
        <v>0</v>
      </c>
      <c r="AL424" s="4">
        <f>IF(INVESTORS_LIST[[#This Row],[LS_TOTAL CURRENT UNITS]]=0,0,INVESTORS_LIST[[#This Row],[LS_TOTAL CURRENT UNITS]]*INVESTORS_LIST[[#This Row],[NAV]])</f>
        <v>0</v>
      </c>
      <c r="AM424" s="6">
        <f>IF(INVESTORS_LIST[[#This Row],[SIP_TOTAL CURRENT UNITS]]=0,0,INVESTORS_LIST[[#This Row],[SIP_TOTAL CURRENT UNITS]]*INVESTORS_LIST[[#This Row],[NAV]])</f>
        <v>0</v>
      </c>
      <c r="AO424" s="6">
        <f>IF(INVESTORS_LIST[[#This Row],[TOTAL SELLABLE UNITS]]=0,0,INVESTORS_LIST[[#This Row],[TOTAL SELLABLE UNITS]]*INVESTORS_LIST[[#This Row],[NAV]])</f>
        <v>0</v>
      </c>
      <c r="AP424" s="6">
        <f>INVESTORS_LIST[[#This Row],[LS_TOTAL REALIZED GAIN]]+INVESTORS_LIST[[#This Row],[SIP_TOTAL REALIZED GAIN]]</f>
        <v>11547.499999999989</v>
      </c>
      <c r="AQ424" s="6">
        <f>INVESTORS_LIST[[#This Row],[TOTAL MARKET VALUE]]-INVESTORS_LIST[[#This Row],[TOTAL COST VALUE OF CURRENT INVESTMENT]]</f>
        <v>0</v>
      </c>
      <c r="AR424" s="6">
        <f>SUMIFS(DivAndTax[Tax Amount],DivAndTax[Investor ID],INVESTORS_LIST[[#This Row],[INVESTOR CODE]])</f>
        <v>3.9</v>
      </c>
      <c r="AS424" s="6">
        <f>SUMIFS(DivAndTax[Gross Dividend],DivAndTax[Investor ID],INVESTORS_LIST[[#This Row],[INVESTOR CODE]])</f>
        <v>38.950000000000003</v>
      </c>
      <c r="AT424" s="5">
        <f>IFERROR(INVESTORS_LIST[[#This Row],[TOTAL CURRENT UNITS]]/SUM(INVESTORS_LIST[TOTAL CURRENT UNITS]),0)</f>
        <v>0</v>
      </c>
    </row>
    <row r="425" spans="1:46" hidden="1">
      <c r="A425" t="s">
        <v>928</v>
      </c>
      <c r="B425" t="s">
        <v>929</v>
      </c>
      <c r="C425" t="s">
        <v>536</v>
      </c>
      <c r="D425" s="8" t="s">
        <v>2</v>
      </c>
      <c r="E425" s="2">
        <f>SUMIFS(LS[Unit],LS[Investor ID],INVESTORS_LIST[[#This Row],[INVESTOR CODE]],LS[B/S],"B")</f>
        <v>30550</v>
      </c>
      <c r="F425" s="2">
        <f>-SUMIFS(LS[Unit],LS[Investor ID],INVESTORS_LIST[[#This Row],[INVESTOR CODE]],LS[B/S],"S")</f>
        <v>30550</v>
      </c>
      <c r="G425" s="2">
        <f>IF(INVESTORS_LIST[[#This Row],[LS_TOTAL UNITS BUY]]=0,0,INVESTORS_LIST[[#This Row],[LS_TOTAL UNITS BUY]]-INVESTORS_LIST[[#This Row],[LS_TOTAL UNITS SOLD]])</f>
        <v>0</v>
      </c>
      <c r="H425" s="4">
        <f>IF(INVESTORS_LIST[[#This Row],[LS_TOTAL UNITS BUY]]=0,0,SUMIFS(LS[Amount],LS[Investor ID],INVESTORS_LIST[[#This Row],[INVESTOR CODE]],LS[B/S],"B"))</f>
        <v>300000</v>
      </c>
      <c r="I425" s="6">
        <f>IF(INVESTORS_LIST[[#This Row],[LS_TOTAL UNITS SOLD]]=0,0,SUMIFS(LS[Cost of Units Sold],LS[Investor ID],INVESTORS_LIST[[#This Row],[INVESTOR CODE]],LS[B/S],"S"))</f>
        <v>300000</v>
      </c>
      <c r="J425" s="6">
        <f>IF(INVESTORS_LIST[[#This Row],[LS_TOTAL CURRENT UNITS]]=0,0,INVESTORS_LIST[[#This Row],[LS_TOTAL CURRENT UNITS]]*INVESTORS_LIST[[#This Row],[LS_AVERAGE COST]])</f>
        <v>0</v>
      </c>
      <c r="K425" s="4">
        <f>IF(INVESTORS_LIST[[#This Row],[LS_TOTAL UNITS SOLD]]=0,0,SUMIFS(LS[Realized Gain],LS[Investor ID],INVESTORS_LIST[[#This Row],[INVESTOR CODE]],LS[B/S],"S"))</f>
        <v>4583.5000000000418</v>
      </c>
      <c r="L425" s="2">
        <f>SUMIFS(SIP[Unit],SIP[Investor ID],INVESTORS_LIST[[#This Row],[INVESTOR CODE]],SIP[B/S],"B")</f>
        <v>0</v>
      </c>
      <c r="M425" s="2">
        <f>-SUMIFS(SIP[Unit],SIP[Investor ID],INVESTORS_LIST[[#This Row],[INVESTOR CODE]],SIP[B/S],"S")</f>
        <v>0</v>
      </c>
      <c r="N425" s="33">
        <f>IF(INVESTORS_LIST[[#This Row],[SIP_TOTAL UNITS BUY]]=0,0,INVESTORS_LIST[[#This Row],[SIP_TOTAL UNITS BUY]]-INVESTORS_LIST[[#This Row],[SIP_TOTAL UNITS SOLD]])</f>
        <v>0</v>
      </c>
      <c r="O425" s="4">
        <f>IF(INVESTORS_LIST[[#This Row],[SIP_TOTAL UNITS BUY]]=0,0,SUMIFS(SIP[Amount],SIP[Investor ID],INVESTORS_LIST[[#This Row],[INVESTOR CODE]],SIP[B/S],"B"))</f>
        <v>0</v>
      </c>
      <c r="P425" s="4">
        <f>IF(INVESTORS_LIST[[#This Row],[SIP_TOTAL UNITS SOLD]]=0,0,SUMIFS(SIP[Cost of Units Sold],SIP[Investor ID],INVESTORS_LIST[[#This Row],[INVESTOR CODE]],SIP[B/S],"S"))</f>
        <v>0</v>
      </c>
      <c r="Q425" s="6">
        <f>IF(INVESTORS_LIST[[#This Row],[SIP_TOTAL CURRENT UNITS]]=0,0,INVESTORS_LIST[[#This Row],[SIP_TOTAL CURRENT UNITS]]*INVESTORS_LIST[[#This Row],[SIP_AVERAGE COST]])</f>
        <v>0</v>
      </c>
      <c r="R425" s="6">
        <f>IF(INVESTORS_LIST[[#This Row],[SIP_TOTAL UNITS SOLD]]=0,0,SUMIFS(SIP[Realized Gain],SIP[Investor ID],INVESTORS_LIST[[#This Row],[INVESTOR CODE]],SIP[B/S],"S"))</f>
        <v>0</v>
      </c>
      <c r="S425" s="33">
        <f>INVESTORS_LIST[[#This Row],[LS_TOTAL UNITS BUY]]+INVESTORS_LIST[[#This Row],[SIP_TOTAL UNITS BUY]]</f>
        <v>30550</v>
      </c>
      <c r="T425" s="33">
        <f>INVESTORS_LIST[[#This Row],[LS_TOTAL UNITS SOLD]]+INVESTORS_LIST[[#This Row],[SIP_TOTAL UNITS SOLD]]</f>
        <v>30550</v>
      </c>
      <c r="U425" s="33">
        <v>0</v>
      </c>
      <c r="V425" s="33">
        <f>SUMIFS(LS[BO UNIT TRANSFER],LS[Investor ID],INVESTORS_LIST[[#This Row],[INVESTOR CODE]],LS[B/S],"B")</f>
        <v>0</v>
      </c>
      <c r="W425" s="33">
        <f>SUMIFS(LS[BO UNIT TRANSFER],LS[Investor ID],INVESTORS_LIST[[#This Row],[INVESTOR CODE]],LS[B/S],"S")</f>
        <v>0</v>
      </c>
      <c r="X425" s="33">
        <f>SUMIFS(SIP[BO UNIT TRANSFER],SIP[Investor ID],INVESTORS_LIST[[#This Row],[INVESTOR CODE]],SIP[B/S],"S")</f>
        <v>0</v>
      </c>
      <c r="Y425" s="33">
        <f>SUMIFS(SIP[BO UNIT TRANSFER],SIP[Investor ID],INVESTORS_LIST[[#This Row],[INVESTOR CODE]],SIP[B/S],"B")</f>
        <v>0</v>
      </c>
      <c r="Z42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25" s="119">
        <f>INVESTORS_LIST[[#This Row],[TOTAL UNITS BUY]]-INVESTORS_LIST[[#This Row],[TOTAL UNITS SOLD]]</f>
        <v>0</v>
      </c>
      <c r="AB425" s="119">
        <f>INVESTORS_LIST[[#This Row],[TOTAL CURRENT UNITS]]-INVESTORS_LIST[[#This Row],[BO UNITS HOLD]]</f>
        <v>0</v>
      </c>
      <c r="AC425" s="119" t="e">
        <f>INDEX([4]!Table_1[BO ID],MATCH(INVESTORS_LIST[[#This Row],[INVESTOR CODE]],[4]!Table_1[INVESTOR CODE],0))</f>
        <v>#REF!</v>
      </c>
      <c r="AD425" s="33">
        <f>INVESTORS_LIST[[#This Row],[LS_TOTAL COST VALUE OF CURRENT UNITS]]+INVESTORS_LIST[[#This Row],[SIP_TOTAL COST VALUE OF CURRENT UNITS]]</f>
        <v>0</v>
      </c>
      <c r="AE425" s="44">
        <f>IF(INVESTORS_LIST[[#This Row],[TOTAL CURRENT UNITS]]=0,0,INVESTORS_LIST[[#This Row],[LS_TOTAL CURRENT UNITS]]/INVESTORS_LIST[[#This Row],[TOTAL CURRENT UNITS]])</f>
        <v>0</v>
      </c>
      <c r="AF425" s="44">
        <f>IF(INVESTORS_LIST[[#This Row],[TOTAL CURRENT UNITS]]=0,0,INVESTORS_LIST[[#This Row],[SIP_TOTAL CURRENT UNITS]]/INVESTORS_LIST[[#This Row],[TOTAL CURRENT UNITS]])</f>
        <v>0</v>
      </c>
      <c r="AG425" s="4" cm="1">
        <f t="array" ref="AG4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25" s="4" cm="1">
        <f t="array" ref="AH4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2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25" s="178">
        <f t="shared" si="6"/>
        <v>12.552</v>
      </c>
      <c r="AK425" s="118">
        <f>IF(INVESTORS_LIST[[#This Row],[TOTAL CURRENT UNITS]]=0,0,INVESTORS_LIST[[#This Row],[TOTAL CURRENT UNITS]]*INVESTORS_LIST[[#This Row],[NAV]])</f>
        <v>0</v>
      </c>
      <c r="AL425" s="4">
        <f>IF(INVESTORS_LIST[[#This Row],[LS_TOTAL CURRENT UNITS]]=0,0,INVESTORS_LIST[[#This Row],[LS_TOTAL CURRENT UNITS]]*INVESTORS_LIST[[#This Row],[NAV]])</f>
        <v>0</v>
      </c>
      <c r="AM425" s="6">
        <f>IF(INVESTORS_LIST[[#This Row],[SIP_TOTAL CURRENT UNITS]]=0,0,INVESTORS_LIST[[#This Row],[SIP_TOTAL CURRENT UNITS]]*INVESTORS_LIST[[#This Row],[NAV]])</f>
        <v>0</v>
      </c>
      <c r="AO425" s="6">
        <f>IF(INVESTORS_LIST[[#This Row],[TOTAL SELLABLE UNITS]]=0,0,INVESTORS_LIST[[#This Row],[TOTAL SELLABLE UNITS]]*INVESTORS_LIST[[#This Row],[NAV]])</f>
        <v>0</v>
      </c>
      <c r="AP425" s="6">
        <f>INVESTORS_LIST[[#This Row],[LS_TOTAL REALIZED GAIN]]+INVESTORS_LIST[[#This Row],[SIP_TOTAL REALIZED GAIN]]</f>
        <v>4583.5000000000418</v>
      </c>
      <c r="AQ425" s="6">
        <f>INVESTORS_LIST[[#This Row],[TOTAL MARKET VALUE]]-INVESTORS_LIST[[#This Row],[TOTAL COST VALUE OF CURRENT INVESTMENT]]</f>
        <v>0</v>
      </c>
      <c r="AR425" s="6">
        <f>SUMIFS(DivAndTax[Tax Amount],DivAndTax[Investor ID],INVESTORS_LIST[[#This Row],[INVESTOR CODE]])</f>
        <v>0</v>
      </c>
      <c r="AS425" s="6">
        <f>SUMIFS(DivAndTax[Gross Dividend],DivAndTax[Investor ID],INVESTORS_LIST[[#This Row],[INVESTOR CODE]])</f>
        <v>0</v>
      </c>
      <c r="AT425" s="5">
        <f>IFERROR(INVESTORS_LIST[[#This Row],[TOTAL CURRENT UNITS]]/SUM(INVESTORS_LIST[TOTAL CURRENT UNITS]),0)</f>
        <v>0</v>
      </c>
    </row>
    <row r="426" spans="1:46" hidden="1">
      <c r="A426" t="s">
        <v>930</v>
      </c>
      <c r="B426" t="s">
        <v>931</v>
      </c>
      <c r="C426" t="s">
        <v>536</v>
      </c>
      <c r="D426" s="8" t="s">
        <v>2</v>
      </c>
      <c r="E426" s="2">
        <f>SUMIFS(LS[Unit],LS[Investor ID],INVESTORS_LIST[[#This Row],[INVESTOR CODE]],LS[B/S],"B")</f>
        <v>20367</v>
      </c>
      <c r="F426" s="2">
        <f>-SUMIFS(LS[Unit],LS[Investor ID],INVESTORS_LIST[[#This Row],[INVESTOR CODE]],LS[B/S],"S")</f>
        <v>20367</v>
      </c>
      <c r="G426" s="2">
        <f>IF(INVESTORS_LIST[[#This Row],[LS_TOTAL UNITS BUY]]=0,0,INVESTORS_LIST[[#This Row],[LS_TOTAL UNITS BUY]]-INVESTORS_LIST[[#This Row],[LS_TOTAL UNITS SOLD]])</f>
        <v>0</v>
      </c>
      <c r="H426" s="4">
        <f>IF(INVESTORS_LIST[[#This Row],[LS_TOTAL UNITS BUY]]=0,0,SUMIFS(LS[Amount],LS[Investor ID],INVESTORS_LIST[[#This Row],[INVESTOR CODE]],LS[B/S],"B"))</f>
        <v>200000</v>
      </c>
      <c r="I426" s="6">
        <f>IF(INVESTORS_LIST[[#This Row],[LS_TOTAL UNITS SOLD]]=0,0,SUMIFS(LS[Cost of Units Sold],LS[Investor ID],INVESTORS_LIST[[#This Row],[INVESTOR CODE]],LS[B/S],"S"))</f>
        <v>200000</v>
      </c>
      <c r="J426" s="6">
        <f>IF(INVESTORS_LIST[[#This Row],[LS_TOTAL CURRENT UNITS]]=0,0,INVESTORS_LIST[[#This Row],[LS_TOTAL CURRENT UNITS]]*INVESTORS_LIST[[#This Row],[LS_AVERAGE COST]])</f>
        <v>0</v>
      </c>
      <c r="K426" s="4">
        <f>IF(INVESTORS_LIST[[#This Row],[LS_TOTAL UNITS SOLD]]=0,0,SUMIFS(LS[Realized Gain],LS[Investor ID],INVESTORS_LIST[[#This Row],[INVESTOR CODE]],LS[B/S],"S"))</f>
        <v>3058.9899999999893</v>
      </c>
      <c r="L426" s="2">
        <f>SUMIFS(SIP[Unit],SIP[Investor ID],INVESTORS_LIST[[#This Row],[INVESTOR CODE]],SIP[B/S],"B")</f>
        <v>0</v>
      </c>
      <c r="M426" s="2">
        <f>-SUMIFS(SIP[Unit],SIP[Investor ID],INVESTORS_LIST[[#This Row],[INVESTOR CODE]],SIP[B/S],"S")</f>
        <v>0</v>
      </c>
      <c r="N426" s="33">
        <f>IF(INVESTORS_LIST[[#This Row],[SIP_TOTAL UNITS BUY]]=0,0,INVESTORS_LIST[[#This Row],[SIP_TOTAL UNITS BUY]]-INVESTORS_LIST[[#This Row],[SIP_TOTAL UNITS SOLD]])</f>
        <v>0</v>
      </c>
      <c r="O426" s="4">
        <f>IF(INVESTORS_LIST[[#This Row],[SIP_TOTAL UNITS BUY]]=0,0,SUMIFS(SIP[Amount],SIP[Investor ID],INVESTORS_LIST[[#This Row],[INVESTOR CODE]],SIP[B/S],"B"))</f>
        <v>0</v>
      </c>
      <c r="P426" s="4">
        <f>IF(INVESTORS_LIST[[#This Row],[SIP_TOTAL UNITS SOLD]]=0,0,SUMIFS(SIP[Cost of Units Sold],SIP[Investor ID],INVESTORS_LIST[[#This Row],[INVESTOR CODE]],SIP[B/S],"S"))</f>
        <v>0</v>
      </c>
      <c r="Q426" s="6">
        <f>IF(INVESTORS_LIST[[#This Row],[SIP_TOTAL CURRENT UNITS]]=0,0,INVESTORS_LIST[[#This Row],[SIP_TOTAL CURRENT UNITS]]*INVESTORS_LIST[[#This Row],[SIP_AVERAGE COST]])</f>
        <v>0</v>
      </c>
      <c r="R426" s="6">
        <f>IF(INVESTORS_LIST[[#This Row],[SIP_TOTAL UNITS SOLD]]=0,0,SUMIFS(SIP[Realized Gain],SIP[Investor ID],INVESTORS_LIST[[#This Row],[INVESTOR CODE]],SIP[B/S],"S"))</f>
        <v>0</v>
      </c>
      <c r="S426" s="33">
        <f>INVESTORS_LIST[[#This Row],[LS_TOTAL UNITS BUY]]+INVESTORS_LIST[[#This Row],[SIP_TOTAL UNITS BUY]]</f>
        <v>20367</v>
      </c>
      <c r="T426" s="33">
        <f>INVESTORS_LIST[[#This Row],[LS_TOTAL UNITS SOLD]]+INVESTORS_LIST[[#This Row],[SIP_TOTAL UNITS SOLD]]</f>
        <v>20367</v>
      </c>
      <c r="U426" s="33">
        <v>0</v>
      </c>
      <c r="V426" s="33">
        <f>SUMIFS(LS[BO UNIT TRANSFER],LS[Investor ID],INVESTORS_LIST[[#This Row],[INVESTOR CODE]],LS[B/S],"B")</f>
        <v>0</v>
      </c>
      <c r="W426" s="33">
        <f>SUMIFS(LS[BO UNIT TRANSFER],LS[Investor ID],INVESTORS_LIST[[#This Row],[INVESTOR CODE]],LS[B/S],"S")</f>
        <v>0</v>
      </c>
      <c r="X426" s="33">
        <f>SUMIFS(SIP[BO UNIT TRANSFER],SIP[Investor ID],INVESTORS_LIST[[#This Row],[INVESTOR CODE]],SIP[B/S],"S")</f>
        <v>0</v>
      </c>
      <c r="Y426" s="33">
        <f>SUMIFS(SIP[BO UNIT TRANSFER],SIP[Investor ID],INVESTORS_LIST[[#This Row],[INVESTOR CODE]],SIP[B/S],"B")</f>
        <v>0</v>
      </c>
      <c r="Z42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26" s="119">
        <f>INVESTORS_LIST[[#This Row],[TOTAL UNITS BUY]]-INVESTORS_LIST[[#This Row],[TOTAL UNITS SOLD]]</f>
        <v>0</v>
      </c>
      <c r="AB426" s="119">
        <f>INVESTORS_LIST[[#This Row],[TOTAL CURRENT UNITS]]-INVESTORS_LIST[[#This Row],[BO UNITS HOLD]]</f>
        <v>0</v>
      </c>
      <c r="AC426" s="119" t="e">
        <f>INDEX([4]!Table_1[BO ID],MATCH(INVESTORS_LIST[[#This Row],[INVESTOR CODE]],[4]!Table_1[INVESTOR CODE],0))</f>
        <v>#REF!</v>
      </c>
      <c r="AD426" s="33">
        <f>INVESTORS_LIST[[#This Row],[LS_TOTAL COST VALUE OF CURRENT UNITS]]+INVESTORS_LIST[[#This Row],[SIP_TOTAL COST VALUE OF CURRENT UNITS]]</f>
        <v>0</v>
      </c>
      <c r="AE426" s="44">
        <f>IF(INVESTORS_LIST[[#This Row],[TOTAL CURRENT UNITS]]=0,0,INVESTORS_LIST[[#This Row],[LS_TOTAL CURRENT UNITS]]/INVESTORS_LIST[[#This Row],[TOTAL CURRENT UNITS]])</f>
        <v>0</v>
      </c>
      <c r="AF426" s="44">
        <f>IF(INVESTORS_LIST[[#This Row],[TOTAL CURRENT UNITS]]=0,0,INVESTORS_LIST[[#This Row],[SIP_TOTAL CURRENT UNITS]]/INVESTORS_LIST[[#This Row],[TOTAL CURRENT UNITS]])</f>
        <v>0</v>
      </c>
      <c r="AG426" s="4" cm="1">
        <f t="array" ref="AG42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26" s="4" cm="1">
        <f t="array" ref="AH4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2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26" s="178">
        <f t="shared" si="6"/>
        <v>12.552</v>
      </c>
      <c r="AK426" s="118">
        <f>IF(INVESTORS_LIST[[#This Row],[TOTAL CURRENT UNITS]]=0,0,INVESTORS_LIST[[#This Row],[TOTAL CURRENT UNITS]]*INVESTORS_LIST[[#This Row],[NAV]])</f>
        <v>0</v>
      </c>
      <c r="AL426" s="4">
        <f>IF(INVESTORS_LIST[[#This Row],[LS_TOTAL CURRENT UNITS]]=0,0,INVESTORS_LIST[[#This Row],[LS_TOTAL CURRENT UNITS]]*INVESTORS_LIST[[#This Row],[NAV]])</f>
        <v>0</v>
      </c>
      <c r="AM426" s="6">
        <f>IF(INVESTORS_LIST[[#This Row],[SIP_TOTAL CURRENT UNITS]]=0,0,INVESTORS_LIST[[#This Row],[SIP_TOTAL CURRENT UNITS]]*INVESTORS_LIST[[#This Row],[NAV]])</f>
        <v>0</v>
      </c>
      <c r="AO426" s="6">
        <f>IF(INVESTORS_LIST[[#This Row],[TOTAL SELLABLE UNITS]]=0,0,INVESTORS_LIST[[#This Row],[TOTAL SELLABLE UNITS]]*INVESTORS_LIST[[#This Row],[NAV]])</f>
        <v>0</v>
      </c>
      <c r="AP426" s="6">
        <f>INVESTORS_LIST[[#This Row],[LS_TOTAL REALIZED GAIN]]+INVESTORS_LIST[[#This Row],[SIP_TOTAL REALIZED GAIN]]</f>
        <v>3058.9899999999893</v>
      </c>
      <c r="AQ426" s="6">
        <f>INVESTORS_LIST[[#This Row],[TOTAL MARKET VALUE]]-INVESTORS_LIST[[#This Row],[TOTAL COST VALUE OF CURRENT INVESTMENT]]</f>
        <v>0</v>
      </c>
      <c r="AR426" s="6">
        <f>SUMIFS(DivAndTax[Tax Amount],DivAndTax[Investor ID],INVESTORS_LIST[[#This Row],[INVESTOR CODE]])</f>
        <v>0</v>
      </c>
      <c r="AS426" s="6">
        <f>SUMIFS(DivAndTax[Gross Dividend],DivAndTax[Investor ID],INVESTORS_LIST[[#This Row],[INVESTOR CODE]])</f>
        <v>0</v>
      </c>
      <c r="AT426" s="5">
        <f>IFERROR(INVESTORS_LIST[[#This Row],[TOTAL CURRENT UNITS]]/SUM(INVESTORS_LIST[TOTAL CURRENT UNITS]),0)</f>
        <v>0</v>
      </c>
    </row>
    <row r="427" spans="1:46">
      <c r="A427" t="s">
        <v>932</v>
      </c>
      <c r="B427" t="s">
        <v>933</v>
      </c>
      <c r="C427" t="s">
        <v>539</v>
      </c>
      <c r="D427" s="8" t="s">
        <v>2</v>
      </c>
      <c r="E427" s="2">
        <f>SUMIFS(LS[Unit],LS[Investor ID],INVESTORS_LIST[[#This Row],[INVESTOR CODE]],LS[B/S],"B")</f>
        <v>117737</v>
      </c>
      <c r="F427" s="2">
        <f>-SUMIFS(LS[Unit],LS[Investor ID],INVESTORS_LIST[[#This Row],[INVESTOR CODE]],LS[B/S],"S")</f>
        <v>50916</v>
      </c>
      <c r="G427" s="2">
        <f>IF(INVESTORS_LIST[[#This Row],[LS_TOTAL UNITS BUY]]=0,0,INVESTORS_LIST[[#This Row],[LS_TOTAL UNITS BUY]]-INVESTORS_LIST[[#This Row],[LS_TOTAL UNITS SOLD]])</f>
        <v>66821</v>
      </c>
      <c r="H427" s="4">
        <f>IF(INVESTORS_LIST[[#This Row],[LS_TOTAL UNITS BUY]]=0,0,SUMIFS(LS[Amount],LS[Investor ID],INVESTORS_LIST[[#This Row],[INVESTOR CODE]],LS[B/S],"B"))</f>
        <v>1314181.6499999999</v>
      </c>
      <c r="I427" s="6">
        <f>IF(INVESTORS_LIST[[#This Row],[LS_TOTAL UNITS SOLD]]=0,0,SUMIFS(LS[Cost of Units Sold],LS[Investor ID],INVESTORS_LIST[[#This Row],[INVESTOR CODE]],LS[B/S],"S"))</f>
        <v>500000</v>
      </c>
      <c r="J427" s="6">
        <f>IF(INVESTORS_LIST[[#This Row],[LS_TOTAL CURRENT UNITS]]=0,0,INVESTORS_LIST[[#This Row],[LS_TOTAL CURRENT UNITS]]*INVESTORS_LIST[[#This Row],[LS_AVERAGE COST]])</f>
        <v>814181.64999999991</v>
      </c>
      <c r="K427" s="4">
        <f>IF(INVESTORS_LIST[[#This Row],[LS_TOTAL UNITS SOLD]]=0,0,SUMIFS(LS[Realized Gain],LS[Investor ID],INVESTORS_LIST[[#This Row],[INVESTOR CODE]],LS[B/S],"S"))</f>
        <v>2540.9199999999419</v>
      </c>
      <c r="L427" s="2">
        <f>SUMIFS(SIP[Unit],SIP[Investor ID],INVESTORS_LIST[[#This Row],[INVESTOR CODE]],SIP[B/S],"B")</f>
        <v>0</v>
      </c>
      <c r="M427" s="2">
        <f>-SUMIFS(SIP[Unit],SIP[Investor ID],INVESTORS_LIST[[#This Row],[INVESTOR CODE]],SIP[B/S],"S")</f>
        <v>0</v>
      </c>
      <c r="N427" s="33">
        <f>IF(INVESTORS_LIST[[#This Row],[SIP_TOTAL UNITS BUY]]=0,0,INVESTORS_LIST[[#This Row],[SIP_TOTAL UNITS BUY]]-INVESTORS_LIST[[#This Row],[SIP_TOTAL UNITS SOLD]])</f>
        <v>0</v>
      </c>
      <c r="O427" s="4">
        <f>IF(INVESTORS_LIST[[#This Row],[SIP_TOTAL UNITS BUY]]=0,0,SUMIFS(SIP[Amount],SIP[Investor ID],INVESTORS_LIST[[#This Row],[INVESTOR CODE]],SIP[B/S],"B"))</f>
        <v>0</v>
      </c>
      <c r="P427" s="4">
        <f>IF(INVESTORS_LIST[[#This Row],[SIP_TOTAL UNITS SOLD]]=0,0,SUMIFS(SIP[Cost of Units Sold],SIP[Investor ID],INVESTORS_LIST[[#This Row],[INVESTOR CODE]],SIP[B/S],"S"))</f>
        <v>0</v>
      </c>
      <c r="Q427" s="6">
        <f>IF(INVESTORS_LIST[[#This Row],[SIP_TOTAL CURRENT UNITS]]=0,0,INVESTORS_LIST[[#This Row],[SIP_TOTAL CURRENT UNITS]]*INVESTORS_LIST[[#This Row],[SIP_AVERAGE COST]])</f>
        <v>0</v>
      </c>
      <c r="R427" s="6">
        <f>IF(INVESTORS_LIST[[#This Row],[SIP_TOTAL UNITS SOLD]]=0,0,SUMIFS(SIP[Realized Gain],SIP[Investor ID],INVESTORS_LIST[[#This Row],[INVESTOR CODE]],SIP[B/S],"S"))</f>
        <v>0</v>
      </c>
      <c r="S427" s="33">
        <f>INVESTORS_LIST[[#This Row],[LS_TOTAL UNITS BUY]]+INVESTORS_LIST[[#This Row],[SIP_TOTAL UNITS BUY]]</f>
        <v>117737</v>
      </c>
      <c r="T427" s="33">
        <f>INVESTORS_LIST[[#This Row],[LS_TOTAL UNITS SOLD]]+INVESTORS_LIST[[#This Row],[SIP_TOTAL UNITS SOLD]]</f>
        <v>50916</v>
      </c>
      <c r="U427" s="33">
        <v>0</v>
      </c>
      <c r="V427" s="33">
        <f>SUMIFS(LS[BO UNIT TRANSFER],LS[Investor ID],INVESTORS_LIST[[#This Row],[INVESTOR CODE]],LS[B/S],"B")</f>
        <v>117737</v>
      </c>
      <c r="W427" s="33">
        <f>SUMIFS(LS[BO UNIT TRANSFER],LS[Investor ID],INVESTORS_LIST[[#This Row],[INVESTOR CODE]],LS[B/S],"S")</f>
        <v>-50916</v>
      </c>
      <c r="X427" s="33">
        <f>SUMIFS(SIP[BO UNIT TRANSFER],SIP[Investor ID],INVESTORS_LIST[[#This Row],[INVESTOR CODE]],SIP[B/S],"S")</f>
        <v>0</v>
      </c>
      <c r="Y427" s="33">
        <f>SUMIFS(SIP[BO UNIT TRANSFER],SIP[Investor ID],INVESTORS_LIST[[#This Row],[INVESTOR CODE]],SIP[B/S],"B")</f>
        <v>0</v>
      </c>
      <c r="Z42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66821</v>
      </c>
      <c r="AA427" s="119">
        <f>INVESTORS_LIST[[#This Row],[TOTAL UNITS BUY]]-INVESTORS_LIST[[#This Row],[TOTAL UNITS SOLD]]</f>
        <v>66821</v>
      </c>
      <c r="AB427" s="119">
        <f>INVESTORS_LIST[[#This Row],[TOTAL CURRENT UNITS]]-INVESTORS_LIST[[#This Row],[BO UNITS HOLD]]</f>
        <v>0</v>
      </c>
      <c r="AC427" s="119" t="e">
        <f>INDEX([4]!Table_1[BO ID],MATCH(INVESTORS_LIST[[#This Row],[INVESTOR CODE]],[4]!Table_1[INVESTOR CODE],0))</f>
        <v>#REF!</v>
      </c>
      <c r="AD427" s="33">
        <f>INVESTORS_LIST[[#This Row],[LS_TOTAL COST VALUE OF CURRENT UNITS]]+INVESTORS_LIST[[#This Row],[SIP_TOTAL COST VALUE OF CURRENT UNITS]]</f>
        <v>814181.64999999991</v>
      </c>
      <c r="AE427" s="44">
        <f>IF(INVESTORS_LIST[[#This Row],[TOTAL CURRENT UNITS]]=0,0,INVESTORS_LIST[[#This Row],[LS_TOTAL CURRENT UNITS]]/INVESTORS_LIST[[#This Row],[TOTAL CURRENT UNITS]])</f>
        <v>1</v>
      </c>
      <c r="AF427" s="44">
        <f>IF(INVESTORS_LIST[[#This Row],[TOTAL CURRENT UNITS]]=0,0,INVESTORS_LIST[[#This Row],[SIP_TOTAL CURRENT UNITS]]/INVESTORS_LIST[[#This Row],[TOTAL CURRENT UNITS]])</f>
        <v>0</v>
      </c>
      <c r="AG427" s="4" cm="1">
        <f t="array" ref="AG427">IF(INVESTORS_LIST[[#This Row],[LS_TOTAL UNITS BUY]]&gt;0,INDEX(LS[NAV at Cost (Average)],MATCH(CONCATENATE(COUNTIFS(LS[Investor ID],INVESTORS_LIST[[#This Row],[INVESTOR CODE]]),INVESTORS_LIST[[#This Row],[INVESTOR CODE]]),LS[Unique Code],0),),0)</f>
        <v>12.184517591775039</v>
      </c>
      <c r="AH427" s="4" cm="1">
        <f t="array" ref="AH42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27" s="178">
        <f>IF(INVESTORS_LIST[[#This Row],[TOTAL CURRENT UNITS]]=0,0,(INVESTORS_LIST[[#This Row],[LS_WEIGHT]]*INVESTORS_LIST[[#This Row],[LS_AVERAGE COST]])+(INVESTORS_LIST[[#This Row],[SIP_WEIGHT]]*INVESTORS_LIST[[#This Row],[SIP_AVERAGE COST]]))</f>
        <v>12.184517591775039</v>
      </c>
      <c r="AJ427" s="178">
        <f t="shared" si="6"/>
        <v>12.552</v>
      </c>
      <c r="AK427" s="118">
        <f>IF(INVESTORS_LIST[[#This Row],[TOTAL CURRENT UNITS]]=0,0,INVESTORS_LIST[[#This Row],[TOTAL CURRENT UNITS]]*INVESTORS_LIST[[#This Row],[NAV]])</f>
        <v>838737.19199999992</v>
      </c>
      <c r="AL427" s="4">
        <f>IF(INVESTORS_LIST[[#This Row],[LS_TOTAL CURRENT UNITS]]=0,0,INVESTORS_LIST[[#This Row],[LS_TOTAL CURRENT UNITS]]*INVESTORS_LIST[[#This Row],[NAV]])</f>
        <v>838737.19199999992</v>
      </c>
      <c r="AM427" s="6">
        <f>IF(INVESTORS_LIST[[#This Row],[SIP_TOTAL CURRENT UNITS]]=0,0,INVESTORS_LIST[[#This Row],[SIP_TOTAL CURRENT UNITS]]*INVESTORS_LIST[[#This Row],[NAV]])</f>
        <v>0</v>
      </c>
      <c r="AO427" s="6">
        <f>IF(INVESTORS_LIST[[#This Row],[TOTAL SELLABLE UNITS]]=0,0,INVESTORS_LIST[[#This Row],[TOTAL SELLABLE UNITS]]*INVESTORS_LIST[[#This Row],[NAV]])</f>
        <v>0</v>
      </c>
      <c r="AP427" s="6">
        <f>INVESTORS_LIST[[#This Row],[LS_TOTAL REALIZED GAIN]]+INVESTORS_LIST[[#This Row],[SIP_TOTAL REALIZED GAIN]]</f>
        <v>2540.9199999999419</v>
      </c>
      <c r="AQ427" s="6">
        <f>INVESTORS_LIST[[#This Row],[TOTAL MARKET VALUE]]-INVESTORS_LIST[[#This Row],[TOTAL COST VALUE OF CURRENT INVESTMENT]]</f>
        <v>24555.542000000016</v>
      </c>
      <c r="AR427" s="6">
        <f>SUMIFS(DivAndTax[Tax Amount],DivAndTax[Investor ID],INVESTORS_LIST[[#This Row],[INVESTOR CODE]])</f>
        <v>1418.17</v>
      </c>
      <c r="AS427" s="6">
        <f>SUMIFS(DivAndTax[Gross Dividend],DivAndTax[Investor ID],INVESTORS_LIST[[#This Row],[INVESTOR CODE]])</f>
        <v>14181.65</v>
      </c>
      <c r="AT427" s="5">
        <f>IFERROR(INVESTORS_LIST[[#This Row],[TOTAL CURRENT UNITS]]/SUM(INVESTORS_LIST[TOTAL CURRENT UNITS]),0)</f>
        <v>3.2037218232998858E-3</v>
      </c>
    </row>
    <row r="428" spans="1:46">
      <c r="A428" t="s">
        <v>934</v>
      </c>
      <c r="B428" t="s">
        <v>935</v>
      </c>
      <c r="C428" t="s">
        <v>539</v>
      </c>
      <c r="D428" s="8" t="s">
        <v>2</v>
      </c>
      <c r="E428" s="2">
        <f>SUMIFS(LS[Unit],LS[Investor ID],INVESTORS_LIST[[#This Row],[INVESTOR CODE]],LS[B/S],"B")</f>
        <v>90291</v>
      </c>
      <c r="F428" s="2">
        <f>-SUMIFS(LS[Unit],LS[Investor ID],INVESTORS_LIST[[#This Row],[INVESTOR CODE]],LS[B/S],"S")</f>
        <v>87355</v>
      </c>
      <c r="G428" s="2">
        <f>IF(INVESTORS_LIST[[#This Row],[LS_TOTAL UNITS BUY]]=0,0,INVESTORS_LIST[[#This Row],[LS_TOTAL UNITS BUY]]-INVESTORS_LIST[[#This Row],[LS_TOTAL UNITS SOLD]])</f>
        <v>2936</v>
      </c>
      <c r="H428" s="4">
        <f>IF(INVESTORS_LIST[[#This Row],[LS_TOTAL UNITS BUY]]=0,0,SUMIFS(LS[Amount],LS[Investor ID],INVESTORS_LIST[[#This Row],[INVESTOR CODE]],LS[B/S],"B"))</f>
        <v>908217.2</v>
      </c>
      <c r="I428" s="6">
        <f>IF(INVESTORS_LIST[[#This Row],[LS_TOTAL UNITS SOLD]]=0,0,SUMIFS(LS[Cost of Units Sold],LS[Investor ID],INVESTORS_LIST[[#This Row],[INVESTOR CODE]],LS[B/S],"S"))</f>
        <v>878096.3106132471</v>
      </c>
      <c r="J428" s="6">
        <f>IF(INVESTORS_LIST[[#This Row],[LS_TOTAL CURRENT UNITS]]=0,0,INVESTORS_LIST[[#This Row],[LS_TOTAL CURRENT UNITS]]*INVESTORS_LIST[[#This Row],[LS_AVERAGE COST]])</f>
        <v>30120.88938675294</v>
      </c>
      <c r="K428" s="4">
        <f>IF(INVESTORS_LIST[[#This Row],[LS_TOTAL UNITS SOLD]]=0,0,SUMIFS(LS[Realized Gain],LS[Investor ID],INVESTORS_LIST[[#This Row],[INVESTOR CODE]],LS[B/S],"S"))</f>
        <v>21903.689386752972</v>
      </c>
      <c r="L428" s="2">
        <f>SUMIFS(SIP[Unit],SIP[Investor ID],INVESTORS_LIST[[#This Row],[INVESTOR CODE]],SIP[B/S],"B")</f>
        <v>0</v>
      </c>
      <c r="M428" s="2">
        <f>-SUMIFS(SIP[Unit],SIP[Investor ID],INVESTORS_LIST[[#This Row],[INVESTOR CODE]],SIP[B/S],"S")</f>
        <v>0</v>
      </c>
      <c r="N428" s="33">
        <f>IF(INVESTORS_LIST[[#This Row],[SIP_TOTAL UNITS BUY]]=0,0,INVESTORS_LIST[[#This Row],[SIP_TOTAL UNITS BUY]]-INVESTORS_LIST[[#This Row],[SIP_TOTAL UNITS SOLD]])</f>
        <v>0</v>
      </c>
      <c r="O428" s="4">
        <f>IF(INVESTORS_LIST[[#This Row],[SIP_TOTAL UNITS BUY]]=0,0,SUMIFS(SIP[Amount],SIP[Investor ID],INVESTORS_LIST[[#This Row],[INVESTOR CODE]],SIP[B/S],"B"))</f>
        <v>0</v>
      </c>
      <c r="P428" s="4">
        <f>IF(INVESTORS_LIST[[#This Row],[SIP_TOTAL UNITS SOLD]]=0,0,SUMIFS(SIP[Cost of Units Sold],SIP[Investor ID],INVESTORS_LIST[[#This Row],[INVESTOR CODE]],SIP[B/S],"S"))</f>
        <v>0</v>
      </c>
      <c r="Q428" s="6">
        <f>IF(INVESTORS_LIST[[#This Row],[SIP_TOTAL CURRENT UNITS]]=0,0,INVESTORS_LIST[[#This Row],[SIP_TOTAL CURRENT UNITS]]*INVESTORS_LIST[[#This Row],[SIP_AVERAGE COST]])</f>
        <v>0</v>
      </c>
      <c r="R428" s="6">
        <f>IF(INVESTORS_LIST[[#This Row],[SIP_TOTAL UNITS SOLD]]=0,0,SUMIFS(SIP[Realized Gain],SIP[Investor ID],INVESTORS_LIST[[#This Row],[INVESTOR CODE]],SIP[B/S],"S"))</f>
        <v>0</v>
      </c>
      <c r="S428" s="33">
        <f>INVESTORS_LIST[[#This Row],[LS_TOTAL UNITS BUY]]+INVESTORS_LIST[[#This Row],[SIP_TOTAL UNITS BUY]]</f>
        <v>90291</v>
      </c>
      <c r="T428" s="33">
        <f>INVESTORS_LIST[[#This Row],[LS_TOTAL UNITS SOLD]]+INVESTORS_LIST[[#This Row],[SIP_TOTAL UNITS SOLD]]</f>
        <v>87355</v>
      </c>
      <c r="U428" s="33">
        <v>0</v>
      </c>
      <c r="V428" s="33">
        <f>SUMIFS(LS[BO UNIT TRANSFER],LS[Investor ID],INVESTORS_LIST[[#This Row],[INVESTOR CODE]],LS[B/S],"B")</f>
        <v>0</v>
      </c>
      <c r="W428" s="33">
        <f>SUMIFS(LS[BO UNIT TRANSFER],LS[Investor ID],INVESTORS_LIST[[#This Row],[INVESTOR CODE]],LS[B/S],"S")</f>
        <v>0</v>
      </c>
      <c r="X428" s="33">
        <f>SUMIFS(SIP[BO UNIT TRANSFER],SIP[Investor ID],INVESTORS_LIST[[#This Row],[INVESTOR CODE]],SIP[B/S],"S")</f>
        <v>0</v>
      </c>
      <c r="Y428" s="33">
        <f>SUMIFS(SIP[BO UNIT TRANSFER],SIP[Investor ID],INVESTORS_LIST[[#This Row],[INVESTOR CODE]],SIP[B/S],"B")</f>
        <v>0</v>
      </c>
      <c r="Z42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28" s="119">
        <f>INVESTORS_LIST[[#This Row],[TOTAL UNITS BUY]]-INVESTORS_LIST[[#This Row],[TOTAL UNITS SOLD]]</f>
        <v>2936</v>
      </c>
      <c r="AB428" s="119">
        <f>INVESTORS_LIST[[#This Row],[TOTAL CURRENT UNITS]]-INVESTORS_LIST[[#This Row],[BO UNITS HOLD]]</f>
        <v>2936</v>
      </c>
      <c r="AC428" s="119" t="e">
        <f>INDEX([4]!Table_1[BO ID],MATCH(INVESTORS_LIST[[#This Row],[INVESTOR CODE]],[4]!Table_1[INVESTOR CODE],0))</f>
        <v>#REF!</v>
      </c>
      <c r="AD428" s="33">
        <f>INVESTORS_LIST[[#This Row],[LS_TOTAL COST VALUE OF CURRENT UNITS]]+INVESTORS_LIST[[#This Row],[SIP_TOTAL COST VALUE OF CURRENT UNITS]]</f>
        <v>30120.88938675294</v>
      </c>
      <c r="AE428" s="44">
        <f>IF(INVESTORS_LIST[[#This Row],[TOTAL CURRENT UNITS]]=0,0,INVESTORS_LIST[[#This Row],[LS_TOTAL CURRENT UNITS]]/INVESTORS_LIST[[#This Row],[TOTAL CURRENT UNITS]])</f>
        <v>1</v>
      </c>
      <c r="AF428" s="44">
        <f>IF(INVESTORS_LIST[[#This Row],[TOTAL CURRENT UNITS]]=0,0,INVESTORS_LIST[[#This Row],[SIP_TOTAL CURRENT UNITS]]/INVESTORS_LIST[[#This Row],[TOTAL CURRENT UNITS]])</f>
        <v>0</v>
      </c>
      <c r="AG428" s="4" cm="1">
        <f t="array" ref="AG428">IF(INVESTORS_LIST[[#This Row],[LS_TOTAL UNITS BUY]]&gt;0,INDEX(LS[NAV at Cost (Average)],MATCH(CONCATENATE(COUNTIFS(LS[Investor ID],INVESTORS_LIST[[#This Row],[INVESTOR CODE]]),INVESTORS_LIST[[#This Row],[INVESTOR CODE]]),LS[Unique Code],0),),0)</f>
        <v>10.259158510474435</v>
      </c>
      <c r="AH428" s="4" cm="1">
        <f t="array" ref="AH4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28" s="178">
        <f>IF(INVESTORS_LIST[[#This Row],[TOTAL CURRENT UNITS]]=0,0,(INVESTORS_LIST[[#This Row],[LS_WEIGHT]]*INVESTORS_LIST[[#This Row],[LS_AVERAGE COST]])+(INVESTORS_LIST[[#This Row],[SIP_WEIGHT]]*INVESTORS_LIST[[#This Row],[SIP_AVERAGE COST]]))</f>
        <v>10.259158510474435</v>
      </c>
      <c r="AJ428" s="178">
        <f t="shared" si="6"/>
        <v>12.552</v>
      </c>
      <c r="AK428" s="118">
        <f>IF(INVESTORS_LIST[[#This Row],[TOTAL CURRENT UNITS]]=0,0,INVESTORS_LIST[[#This Row],[TOTAL CURRENT UNITS]]*INVESTORS_LIST[[#This Row],[NAV]])</f>
        <v>36852.671999999999</v>
      </c>
      <c r="AL428" s="4">
        <f>IF(INVESTORS_LIST[[#This Row],[LS_TOTAL CURRENT UNITS]]=0,0,INVESTORS_LIST[[#This Row],[LS_TOTAL CURRENT UNITS]]*INVESTORS_LIST[[#This Row],[NAV]])</f>
        <v>36852.671999999999</v>
      </c>
      <c r="AM428" s="6">
        <f>IF(INVESTORS_LIST[[#This Row],[SIP_TOTAL CURRENT UNITS]]=0,0,INVESTORS_LIST[[#This Row],[SIP_TOTAL CURRENT UNITS]]*INVESTORS_LIST[[#This Row],[NAV]])</f>
        <v>0</v>
      </c>
      <c r="AO428" s="6">
        <f>IF(INVESTORS_LIST[[#This Row],[TOTAL SELLABLE UNITS]]=0,0,INVESTORS_LIST[[#This Row],[TOTAL SELLABLE UNITS]]*INVESTORS_LIST[[#This Row],[NAV]])</f>
        <v>0</v>
      </c>
      <c r="AP428" s="6">
        <f>INVESTORS_LIST[[#This Row],[LS_TOTAL REALIZED GAIN]]+INVESTORS_LIST[[#This Row],[SIP_TOTAL REALIZED GAIN]]</f>
        <v>21903.689386752972</v>
      </c>
      <c r="AQ428" s="6">
        <f>INVESTORS_LIST[[#This Row],[TOTAL MARKET VALUE]]-INVESTORS_LIST[[#This Row],[TOTAL COST VALUE OF CURRENT INVESTMENT]]</f>
        <v>6731.7826132470582</v>
      </c>
      <c r="AR428" s="6">
        <f>SUMIFS(DivAndTax[Tax Amount],DivAndTax[Investor ID],INVESTORS_LIST[[#This Row],[INVESTOR CODE]])</f>
        <v>901.9</v>
      </c>
      <c r="AS428" s="6">
        <f>SUMIFS(DivAndTax[Gross Dividend],DivAndTax[Investor ID],INVESTORS_LIST[[#This Row],[INVESTOR CODE]])</f>
        <v>9019</v>
      </c>
      <c r="AT428" s="5">
        <f>IFERROR(INVESTORS_LIST[[#This Row],[TOTAL CURRENT UNITS]]/SUM(INVESTORS_LIST[TOTAL CURRENT UNITS]),0)</f>
        <v>1.4076603572542261E-4</v>
      </c>
    </row>
    <row r="429" spans="1:46" hidden="1">
      <c r="A429" t="s">
        <v>936</v>
      </c>
      <c r="B429" t="s">
        <v>937</v>
      </c>
      <c r="C429" t="s">
        <v>539</v>
      </c>
      <c r="D429" s="8" t="s">
        <v>2</v>
      </c>
      <c r="E429" s="2">
        <f>SUMIFS(LS[Unit],LS[Investor ID],INVESTORS_LIST[[#This Row],[INVESTOR CODE]],LS[B/S],"B")</f>
        <v>10183</v>
      </c>
      <c r="F429" s="2">
        <f>-SUMIFS(LS[Unit],LS[Investor ID],INVESTORS_LIST[[#This Row],[INVESTOR CODE]],LS[B/S],"S")</f>
        <v>10183</v>
      </c>
      <c r="G429" s="2">
        <f>IF(INVESTORS_LIST[[#This Row],[LS_TOTAL UNITS BUY]]=0,0,INVESTORS_LIST[[#This Row],[LS_TOTAL UNITS BUY]]-INVESTORS_LIST[[#This Row],[LS_TOTAL UNITS SOLD]])</f>
        <v>0</v>
      </c>
      <c r="H429" s="4">
        <f>IF(INVESTORS_LIST[[#This Row],[LS_TOTAL UNITS BUY]]=0,0,SUMIFS(LS[Amount],LS[Investor ID],INVESTORS_LIST[[#This Row],[INVESTOR CODE]],LS[B/S],"B"))</f>
        <v>100000</v>
      </c>
      <c r="I429" s="6">
        <f>IF(INVESTORS_LIST[[#This Row],[LS_TOTAL UNITS SOLD]]=0,0,SUMIFS(LS[Cost of Units Sold],LS[Investor ID],INVESTORS_LIST[[#This Row],[INVESTOR CODE]],LS[B/S],"S"))</f>
        <v>99999.999999999985</v>
      </c>
      <c r="J429" s="6">
        <f>IF(INVESTORS_LIST[[#This Row],[LS_TOTAL CURRENT UNITS]]=0,0,INVESTORS_LIST[[#This Row],[LS_TOTAL CURRENT UNITS]]*INVESTORS_LIST[[#This Row],[LS_AVERAGE COST]])</f>
        <v>0</v>
      </c>
      <c r="K429" s="4">
        <f>IF(INVESTORS_LIST[[#This Row],[LS_TOTAL UNITS SOLD]]=0,0,SUMIFS(LS[Realized Gain],LS[Investor ID],INVESTORS_LIST[[#This Row],[INVESTOR CODE]],LS[B/S],"S"))</f>
        <v>1626.3400000000124</v>
      </c>
      <c r="L429" s="2">
        <f>SUMIFS(SIP[Unit],SIP[Investor ID],INVESTORS_LIST[[#This Row],[INVESTOR CODE]],SIP[B/S],"B")</f>
        <v>0</v>
      </c>
      <c r="M429" s="2">
        <f>-SUMIFS(SIP[Unit],SIP[Investor ID],INVESTORS_LIST[[#This Row],[INVESTOR CODE]],SIP[B/S],"S")</f>
        <v>0</v>
      </c>
      <c r="N429" s="33">
        <f>IF(INVESTORS_LIST[[#This Row],[SIP_TOTAL UNITS BUY]]=0,0,INVESTORS_LIST[[#This Row],[SIP_TOTAL UNITS BUY]]-INVESTORS_LIST[[#This Row],[SIP_TOTAL UNITS SOLD]])</f>
        <v>0</v>
      </c>
      <c r="O429" s="4">
        <f>IF(INVESTORS_LIST[[#This Row],[SIP_TOTAL UNITS BUY]]=0,0,SUMIFS(SIP[Amount],SIP[Investor ID],INVESTORS_LIST[[#This Row],[INVESTOR CODE]],SIP[B/S],"B"))</f>
        <v>0</v>
      </c>
      <c r="P429" s="4">
        <f>IF(INVESTORS_LIST[[#This Row],[SIP_TOTAL UNITS SOLD]]=0,0,SUMIFS(SIP[Cost of Units Sold],SIP[Investor ID],INVESTORS_LIST[[#This Row],[INVESTOR CODE]],SIP[B/S],"S"))</f>
        <v>0</v>
      </c>
      <c r="Q429" s="6">
        <f>IF(INVESTORS_LIST[[#This Row],[SIP_TOTAL CURRENT UNITS]]=0,0,INVESTORS_LIST[[#This Row],[SIP_TOTAL CURRENT UNITS]]*INVESTORS_LIST[[#This Row],[SIP_AVERAGE COST]])</f>
        <v>0</v>
      </c>
      <c r="R429" s="6">
        <f>IF(INVESTORS_LIST[[#This Row],[SIP_TOTAL UNITS SOLD]]=0,0,SUMIFS(SIP[Realized Gain],SIP[Investor ID],INVESTORS_LIST[[#This Row],[INVESTOR CODE]],SIP[B/S],"S"))</f>
        <v>0</v>
      </c>
      <c r="S429" s="33">
        <f>INVESTORS_LIST[[#This Row],[LS_TOTAL UNITS BUY]]+INVESTORS_LIST[[#This Row],[SIP_TOTAL UNITS BUY]]</f>
        <v>10183</v>
      </c>
      <c r="T429" s="33">
        <f>INVESTORS_LIST[[#This Row],[LS_TOTAL UNITS SOLD]]+INVESTORS_LIST[[#This Row],[SIP_TOTAL UNITS SOLD]]</f>
        <v>10183</v>
      </c>
      <c r="U429" s="33">
        <v>0</v>
      </c>
      <c r="V429" s="33">
        <f>SUMIFS(LS[BO UNIT TRANSFER],LS[Investor ID],INVESTORS_LIST[[#This Row],[INVESTOR CODE]],LS[B/S],"B")</f>
        <v>0</v>
      </c>
      <c r="W429" s="33">
        <f>SUMIFS(LS[BO UNIT TRANSFER],LS[Investor ID],INVESTORS_LIST[[#This Row],[INVESTOR CODE]],LS[B/S],"S")</f>
        <v>0</v>
      </c>
      <c r="X429" s="33">
        <f>SUMIFS(SIP[BO UNIT TRANSFER],SIP[Investor ID],INVESTORS_LIST[[#This Row],[INVESTOR CODE]],SIP[B/S],"S")</f>
        <v>0</v>
      </c>
      <c r="Y429" s="33">
        <f>SUMIFS(SIP[BO UNIT TRANSFER],SIP[Investor ID],INVESTORS_LIST[[#This Row],[INVESTOR CODE]],SIP[B/S],"B")</f>
        <v>0</v>
      </c>
      <c r="Z42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29" s="119">
        <f>INVESTORS_LIST[[#This Row],[TOTAL UNITS BUY]]-INVESTORS_LIST[[#This Row],[TOTAL UNITS SOLD]]</f>
        <v>0</v>
      </c>
      <c r="AB429" s="119">
        <f>INVESTORS_LIST[[#This Row],[TOTAL CURRENT UNITS]]-INVESTORS_LIST[[#This Row],[BO UNITS HOLD]]</f>
        <v>0</v>
      </c>
      <c r="AC429" s="119" t="e">
        <f>INDEX([4]!Table_1[BO ID],MATCH(INVESTORS_LIST[[#This Row],[INVESTOR CODE]],[4]!Table_1[INVESTOR CODE],0))</f>
        <v>#REF!</v>
      </c>
      <c r="AD429" s="33">
        <f>INVESTORS_LIST[[#This Row],[LS_TOTAL COST VALUE OF CURRENT UNITS]]+INVESTORS_LIST[[#This Row],[SIP_TOTAL COST VALUE OF CURRENT UNITS]]</f>
        <v>0</v>
      </c>
      <c r="AE429" s="44">
        <f>IF(INVESTORS_LIST[[#This Row],[TOTAL CURRENT UNITS]]=0,0,INVESTORS_LIST[[#This Row],[LS_TOTAL CURRENT UNITS]]/INVESTORS_LIST[[#This Row],[TOTAL CURRENT UNITS]])</f>
        <v>0</v>
      </c>
      <c r="AF429" s="44">
        <f>IF(INVESTORS_LIST[[#This Row],[TOTAL CURRENT UNITS]]=0,0,INVESTORS_LIST[[#This Row],[SIP_TOTAL CURRENT UNITS]]/INVESTORS_LIST[[#This Row],[TOTAL CURRENT UNITS]])</f>
        <v>0</v>
      </c>
      <c r="AG429" s="4" cm="1">
        <f t="array" ref="AG42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29" s="4" cm="1">
        <f t="array" ref="AH4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2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29" s="178">
        <f t="shared" si="6"/>
        <v>12.552</v>
      </c>
      <c r="AK429" s="118">
        <f>IF(INVESTORS_LIST[[#This Row],[TOTAL CURRENT UNITS]]=0,0,INVESTORS_LIST[[#This Row],[TOTAL CURRENT UNITS]]*INVESTORS_LIST[[#This Row],[NAV]])</f>
        <v>0</v>
      </c>
      <c r="AL429" s="4">
        <f>IF(INVESTORS_LIST[[#This Row],[LS_TOTAL CURRENT UNITS]]=0,0,INVESTORS_LIST[[#This Row],[LS_TOTAL CURRENT UNITS]]*INVESTORS_LIST[[#This Row],[NAV]])</f>
        <v>0</v>
      </c>
      <c r="AM429" s="6">
        <f>IF(INVESTORS_LIST[[#This Row],[SIP_TOTAL CURRENT UNITS]]=0,0,INVESTORS_LIST[[#This Row],[SIP_TOTAL CURRENT UNITS]]*INVESTORS_LIST[[#This Row],[NAV]])</f>
        <v>0</v>
      </c>
      <c r="AO429" s="6">
        <f>IF(INVESTORS_LIST[[#This Row],[TOTAL SELLABLE UNITS]]=0,0,INVESTORS_LIST[[#This Row],[TOTAL SELLABLE UNITS]]*INVESTORS_LIST[[#This Row],[NAV]])</f>
        <v>0</v>
      </c>
      <c r="AP429" s="6">
        <f>INVESTORS_LIST[[#This Row],[LS_TOTAL REALIZED GAIN]]+INVESTORS_LIST[[#This Row],[SIP_TOTAL REALIZED GAIN]]</f>
        <v>1626.3400000000124</v>
      </c>
      <c r="AQ429" s="6">
        <f>INVESTORS_LIST[[#This Row],[TOTAL MARKET VALUE]]-INVESTORS_LIST[[#This Row],[TOTAL COST VALUE OF CURRENT INVESTMENT]]</f>
        <v>0</v>
      </c>
      <c r="AR429" s="6">
        <f>SUMIFS(DivAndTax[Tax Amount],DivAndTax[Investor ID],INVESTORS_LIST[[#This Row],[INVESTOR CODE]])</f>
        <v>0</v>
      </c>
      <c r="AS429" s="6">
        <f>SUMIFS(DivAndTax[Gross Dividend],DivAndTax[Investor ID],INVESTORS_LIST[[#This Row],[INVESTOR CODE]])</f>
        <v>0</v>
      </c>
      <c r="AT429" s="5">
        <f>IFERROR(INVESTORS_LIST[[#This Row],[TOTAL CURRENT UNITS]]/SUM(INVESTORS_LIST[TOTAL CURRENT UNITS]),0)</f>
        <v>0</v>
      </c>
    </row>
    <row r="430" spans="1:46" hidden="1">
      <c r="A430" t="s">
        <v>938</v>
      </c>
      <c r="B430" t="s">
        <v>939</v>
      </c>
      <c r="C430" t="s">
        <v>536</v>
      </c>
      <c r="D430" s="8" t="s">
        <v>2</v>
      </c>
      <c r="E430" s="2">
        <f>SUMIFS(LS[Unit],LS[Investor ID],INVESTORS_LIST[[#This Row],[INVESTOR CODE]],LS[B/S],"B")</f>
        <v>0</v>
      </c>
      <c r="F430" s="2">
        <f>-SUMIFS(LS[Unit],LS[Investor ID],INVESTORS_LIST[[#This Row],[INVESTOR CODE]],LS[B/S],"S")</f>
        <v>0</v>
      </c>
      <c r="G430" s="2">
        <f>IF(INVESTORS_LIST[[#This Row],[LS_TOTAL UNITS BUY]]=0,0,INVESTORS_LIST[[#This Row],[LS_TOTAL UNITS BUY]]-INVESTORS_LIST[[#This Row],[LS_TOTAL UNITS SOLD]])</f>
        <v>0</v>
      </c>
      <c r="H430" s="4">
        <f>IF(INVESTORS_LIST[[#This Row],[LS_TOTAL UNITS BUY]]=0,0,SUMIFS(LS[Amount],LS[Investor ID],INVESTORS_LIST[[#This Row],[INVESTOR CODE]],LS[B/S],"B"))</f>
        <v>0</v>
      </c>
      <c r="I430" s="6">
        <f>IF(INVESTORS_LIST[[#This Row],[LS_TOTAL UNITS SOLD]]=0,0,SUMIFS(LS[Cost of Units Sold],LS[Investor ID],INVESTORS_LIST[[#This Row],[INVESTOR CODE]],LS[B/S],"S"))</f>
        <v>0</v>
      </c>
      <c r="J430" s="6">
        <f>IF(INVESTORS_LIST[[#This Row],[LS_TOTAL CURRENT UNITS]]=0,0,INVESTORS_LIST[[#This Row],[LS_TOTAL CURRENT UNITS]]*INVESTORS_LIST[[#This Row],[LS_AVERAGE COST]])</f>
        <v>0</v>
      </c>
      <c r="K430" s="4">
        <f>IF(INVESTORS_LIST[[#This Row],[LS_TOTAL UNITS SOLD]]=0,0,SUMIFS(LS[Realized Gain],LS[Investor ID],INVESTORS_LIST[[#This Row],[INVESTOR CODE]],LS[B/S],"S"))</f>
        <v>0</v>
      </c>
      <c r="L430" s="2">
        <f>SUMIFS(SIP[Unit],SIP[Investor ID],INVESTORS_LIST[[#This Row],[INVESTOR CODE]],SIP[B/S],"B")</f>
        <v>0</v>
      </c>
      <c r="M430" s="2">
        <f>-SUMIFS(SIP[Unit],SIP[Investor ID],INVESTORS_LIST[[#This Row],[INVESTOR CODE]],SIP[B/S],"S")</f>
        <v>0</v>
      </c>
      <c r="N430" s="33">
        <f>IF(INVESTORS_LIST[[#This Row],[SIP_TOTAL UNITS BUY]]=0,0,INVESTORS_LIST[[#This Row],[SIP_TOTAL UNITS BUY]]-INVESTORS_LIST[[#This Row],[SIP_TOTAL UNITS SOLD]])</f>
        <v>0</v>
      </c>
      <c r="O430" s="4">
        <f>IF(INVESTORS_LIST[[#This Row],[SIP_TOTAL UNITS BUY]]=0,0,SUMIFS(SIP[Amount],SIP[Investor ID],INVESTORS_LIST[[#This Row],[INVESTOR CODE]],SIP[B/S],"B"))</f>
        <v>0</v>
      </c>
      <c r="P430" s="4">
        <f>IF(INVESTORS_LIST[[#This Row],[SIP_TOTAL UNITS SOLD]]=0,0,SUMIFS(SIP[Cost of Units Sold],SIP[Investor ID],INVESTORS_LIST[[#This Row],[INVESTOR CODE]],SIP[B/S],"S"))</f>
        <v>0</v>
      </c>
      <c r="Q430" s="6">
        <f>IF(INVESTORS_LIST[[#This Row],[SIP_TOTAL CURRENT UNITS]]=0,0,INVESTORS_LIST[[#This Row],[SIP_TOTAL CURRENT UNITS]]*INVESTORS_LIST[[#This Row],[SIP_AVERAGE COST]])</f>
        <v>0</v>
      </c>
      <c r="R430" s="6">
        <f>IF(INVESTORS_LIST[[#This Row],[SIP_TOTAL UNITS SOLD]]=0,0,SUMIFS(SIP[Realized Gain],SIP[Investor ID],INVESTORS_LIST[[#This Row],[INVESTOR CODE]],SIP[B/S],"S"))</f>
        <v>0</v>
      </c>
      <c r="S430" s="33">
        <f>INVESTORS_LIST[[#This Row],[LS_TOTAL UNITS BUY]]+INVESTORS_LIST[[#This Row],[SIP_TOTAL UNITS BUY]]</f>
        <v>0</v>
      </c>
      <c r="T430" s="33">
        <f>INVESTORS_LIST[[#This Row],[LS_TOTAL UNITS SOLD]]+INVESTORS_LIST[[#This Row],[SIP_TOTAL UNITS SOLD]]</f>
        <v>0</v>
      </c>
      <c r="U430" s="33">
        <v>0</v>
      </c>
      <c r="V430" s="33">
        <f>SUMIFS(LS[BO UNIT TRANSFER],LS[Investor ID],INVESTORS_LIST[[#This Row],[INVESTOR CODE]],LS[B/S],"B")</f>
        <v>0</v>
      </c>
      <c r="W430" s="33">
        <f>SUMIFS(LS[BO UNIT TRANSFER],LS[Investor ID],INVESTORS_LIST[[#This Row],[INVESTOR CODE]],LS[B/S],"S")</f>
        <v>0</v>
      </c>
      <c r="X430" s="33">
        <f>SUMIFS(SIP[BO UNIT TRANSFER],SIP[Investor ID],INVESTORS_LIST[[#This Row],[INVESTOR CODE]],SIP[B/S],"S")</f>
        <v>0</v>
      </c>
      <c r="Y430" s="33">
        <f>SUMIFS(SIP[BO UNIT TRANSFER],SIP[Investor ID],INVESTORS_LIST[[#This Row],[INVESTOR CODE]],SIP[B/S],"B")</f>
        <v>0</v>
      </c>
      <c r="Z43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30" s="119">
        <f>INVESTORS_LIST[[#This Row],[TOTAL UNITS BUY]]-INVESTORS_LIST[[#This Row],[TOTAL UNITS SOLD]]</f>
        <v>0</v>
      </c>
      <c r="AB430" s="119">
        <f>INVESTORS_LIST[[#This Row],[TOTAL CURRENT UNITS]]-INVESTORS_LIST[[#This Row],[BO UNITS HOLD]]</f>
        <v>0</v>
      </c>
      <c r="AC430" s="119" t="e">
        <f>INDEX([4]!Table_1[BO ID],MATCH(INVESTORS_LIST[[#This Row],[INVESTOR CODE]],[4]!Table_1[INVESTOR CODE],0))</f>
        <v>#REF!</v>
      </c>
      <c r="AD430" s="33">
        <f>INVESTORS_LIST[[#This Row],[LS_TOTAL COST VALUE OF CURRENT UNITS]]+INVESTORS_LIST[[#This Row],[SIP_TOTAL COST VALUE OF CURRENT UNITS]]</f>
        <v>0</v>
      </c>
      <c r="AE430" s="44">
        <f>IF(INVESTORS_LIST[[#This Row],[TOTAL CURRENT UNITS]]=0,0,INVESTORS_LIST[[#This Row],[LS_TOTAL CURRENT UNITS]]/INVESTORS_LIST[[#This Row],[TOTAL CURRENT UNITS]])</f>
        <v>0</v>
      </c>
      <c r="AF430" s="44">
        <f>IF(INVESTORS_LIST[[#This Row],[TOTAL CURRENT UNITS]]=0,0,INVESTORS_LIST[[#This Row],[SIP_TOTAL CURRENT UNITS]]/INVESTORS_LIST[[#This Row],[TOTAL CURRENT UNITS]])</f>
        <v>0</v>
      </c>
      <c r="AG430" s="4" cm="1">
        <f t="array" ref="AG4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30" s="4" cm="1">
        <f t="array" ref="AH4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3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30" s="178">
        <f t="shared" si="6"/>
        <v>12.552</v>
      </c>
      <c r="AK430" s="118">
        <f>IF(INVESTORS_LIST[[#This Row],[TOTAL CURRENT UNITS]]=0,0,INVESTORS_LIST[[#This Row],[TOTAL CURRENT UNITS]]*INVESTORS_LIST[[#This Row],[NAV]])</f>
        <v>0</v>
      </c>
      <c r="AL430" s="4">
        <f>IF(INVESTORS_LIST[[#This Row],[LS_TOTAL CURRENT UNITS]]=0,0,INVESTORS_LIST[[#This Row],[LS_TOTAL CURRENT UNITS]]*INVESTORS_LIST[[#This Row],[NAV]])</f>
        <v>0</v>
      </c>
      <c r="AM430" s="6">
        <f>IF(INVESTORS_LIST[[#This Row],[SIP_TOTAL CURRENT UNITS]]=0,0,INVESTORS_LIST[[#This Row],[SIP_TOTAL CURRENT UNITS]]*INVESTORS_LIST[[#This Row],[NAV]])</f>
        <v>0</v>
      </c>
      <c r="AO430" s="6">
        <f>IF(INVESTORS_LIST[[#This Row],[TOTAL SELLABLE UNITS]]=0,0,INVESTORS_LIST[[#This Row],[TOTAL SELLABLE UNITS]]*INVESTORS_LIST[[#This Row],[NAV]])</f>
        <v>0</v>
      </c>
      <c r="AP430" s="6">
        <f>INVESTORS_LIST[[#This Row],[LS_TOTAL REALIZED GAIN]]+INVESTORS_LIST[[#This Row],[SIP_TOTAL REALIZED GAIN]]</f>
        <v>0</v>
      </c>
      <c r="AQ430" s="6">
        <f>INVESTORS_LIST[[#This Row],[TOTAL MARKET VALUE]]-INVESTORS_LIST[[#This Row],[TOTAL COST VALUE OF CURRENT INVESTMENT]]</f>
        <v>0</v>
      </c>
      <c r="AR430" s="6">
        <f>SUMIFS(DivAndTax[Tax Amount],DivAndTax[Investor ID],INVESTORS_LIST[[#This Row],[INVESTOR CODE]])</f>
        <v>0</v>
      </c>
      <c r="AS430" s="6">
        <f>SUMIFS(DivAndTax[Gross Dividend],DivAndTax[Investor ID],INVESTORS_LIST[[#This Row],[INVESTOR CODE]])</f>
        <v>0</v>
      </c>
      <c r="AT430" s="5">
        <f>IFERROR(INVESTORS_LIST[[#This Row],[TOTAL CURRENT UNITS]]/SUM(INVESTORS_LIST[TOTAL CURRENT UNITS]),0)</f>
        <v>0</v>
      </c>
    </row>
    <row r="431" spans="1:46" hidden="1">
      <c r="A431" t="s">
        <v>940</v>
      </c>
      <c r="B431" t="s">
        <v>941</v>
      </c>
      <c r="C431" t="s">
        <v>536</v>
      </c>
      <c r="D431" s="8" t="s">
        <v>2</v>
      </c>
      <c r="E431" s="2">
        <f>SUMIFS(LS[Unit],LS[Investor ID],INVESTORS_LIST[[#This Row],[INVESTOR CODE]],LS[B/S],"B")</f>
        <v>0</v>
      </c>
      <c r="F431" s="2">
        <f>-SUMIFS(LS[Unit],LS[Investor ID],INVESTORS_LIST[[#This Row],[INVESTOR CODE]],LS[B/S],"S")</f>
        <v>0</v>
      </c>
      <c r="G431" s="2">
        <f>IF(INVESTORS_LIST[[#This Row],[LS_TOTAL UNITS BUY]]=0,0,INVESTORS_LIST[[#This Row],[LS_TOTAL UNITS BUY]]-INVESTORS_LIST[[#This Row],[LS_TOTAL UNITS SOLD]])</f>
        <v>0</v>
      </c>
      <c r="H431" s="4">
        <f>IF(INVESTORS_LIST[[#This Row],[LS_TOTAL UNITS BUY]]=0,0,SUMIFS(LS[Amount],LS[Investor ID],INVESTORS_LIST[[#This Row],[INVESTOR CODE]],LS[B/S],"B"))</f>
        <v>0</v>
      </c>
      <c r="I431" s="6">
        <f>IF(INVESTORS_LIST[[#This Row],[LS_TOTAL UNITS SOLD]]=0,0,SUMIFS(LS[Cost of Units Sold],LS[Investor ID],INVESTORS_LIST[[#This Row],[INVESTOR CODE]],LS[B/S],"S"))</f>
        <v>0</v>
      </c>
      <c r="J431" s="6">
        <f>IF(INVESTORS_LIST[[#This Row],[LS_TOTAL CURRENT UNITS]]=0,0,INVESTORS_LIST[[#This Row],[LS_TOTAL CURRENT UNITS]]*INVESTORS_LIST[[#This Row],[LS_AVERAGE COST]])</f>
        <v>0</v>
      </c>
      <c r="K431" s="4">
        <f>IF(INVESTORS_LIST[[#This Row],[LS_TOTAL UNITS SOLD]]=0,0,SUMIFS(LS[Realized Gain],LS[Investor ID],INVESTORS_LIST[[#This Row],[INVESTOR CODE]],LS[B/S],"S"))</f>
        <v>0</v>
      </c>
      <c r="L431" s="2">
        <f>SUMIFS(SIP[Unit],SIP[Investor ID],INVESTORS_LIST[[#This Row],[INVESTOR CODE]],SIP[B/S],"B")</f>
        <v>0</v>
      </c>
      <c r="M431" s="2">
        <f>-SUMIFS(SIP[Unit],SIP[Investor ID],INVESTORS_LIST[[#This Row],[INVESTOR CODE]],SIP[B/S],"S")</f>
        <v>0</v>
      </c>
      <c r="N431" s="33">
        <f>IF(INVESTORS_LIST[[#This Row],[SIP_TOTAL UNITS BUY]]=0,0,INVESTORS_LIST[[#This Row],[SIP_TOTAL UNITS BUY]]-INVESTORS_LIST[[#This Row],[SIP_TOTAL UNITS SOLD]])</f>
        <v>0</v>
      </c>
      <c r="O431" s="4">
        <f>IF(INVESTORS_LIST[[#This Row],[SIP_TOTAL UNITS BUY]]=0,0,SUMIFS(SIP[Amount],SIP[Investor ID],INVESTORS_LIST[[#This Row],[INVESTOR CODE]],SIP[B/S],"B"))</f>
        <v>0</v>
      </c>
      <c r="P431" s="4">
        <f>IF(INVESTORS_LIST[[#This Row],[SIP_TOTAL UNITS SOLD]]=0,0,SUMIFS(SIP[Cost of Units Sold],SIP[Investor ID],INVESTORS_LIST[[#This Row],[INVESTOR CODE]],SIP[B/S],"S"))</f>
        <v>0</v>
      </c>
      <c r="Q431" s="6">
        <f>IF(INVESTORS_LIST[[#This Row],[SIP_TOTAL CURRENT UNITS]]=0,0,INVESTORS_LIST[[#This Row],[SIP_TOTAL CURRENT UNITS]]*INVESTORS_LIST[[#This Row],[SIP_AVERAGE COST]])</f>
        <v>0</v>
      </c>
      <c r="R431" s="6">
        <f>IF(INVESTORS_LIST[[#This Row],[SIP_TOTAL UNITS SOLD]]=0,0,SUMIFS(SIP[Realized Gain],SIP[Investor ID],INVESTORS_LIST[[#This Row],[INVESTOR CODE]],SIP[B/S],"S"))</f>
        <v>0</v>
      </c>
      <c r="S431" s="33">
        <f>INVESTORS_LIST[[#This Row],[LS_TOTAL UNITS BUY]]+INVESTORS_LIST[[#This Row],[SIP_TOTAL UNITS BUY]]</f>
        <v>0</v>
      </c>
      <c r="T431" s="33">
        <f>INVESTORS_LIST[[#This Row],[LS_TOTAL UNITS SOLD]]+INVESTORS_LIST[[#This Row],[SIP_TOTAL UNITS SOLD]]</f>
        <v>0</v>
      </c>
      <c r="U431" s="33">
        <v>0</v>
      </c>
      <c r="V431" s="33">
        <f>SUMIFS(LS[BO UNIT TRANSFER],LS[Investor ID],INVESTORS_LIST[[#This Row],[INVESTOR CODE]],LS[B/S],"B")</f>
        <v>0</v>
      </c>
      <c r="W431" s="33">
        <f>SUMIFS(LS[BO UNIT TRANSFER],LS[Investor ID],INVESTORS_LIST[[#This Row],[INVESTOR CODE]],LS[B/S],"S")</f>
        <v>0</v>
      </c>
      <c r="X431" s="33">
        <f>SUMIFS(SIP[BO UNIT TRANSFER],SIP[Investor ID],INVESTORS_LIST[[#This Row],[INVESTOR CODE]],SIP[B/S],"S")</f>
        <v>0</v>
      </c>
      <c r="Y431" s="33">
        <f>SUMIFS(SIP[BO UNIT TRANSFER],SIP[Investor ID],INVESTORS_LIST[[#This Row],[INVESTOR CODE]],SIP[B/S],"B")</f>
        <v>0</v>
      </c>
      <c r="Z43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31" s="119">
        <f>INVESTORS_LIST[[#This Row],[TOTAL UNITS BUY]]-INVESTORS_LIST[[#This Row],[TOTAL UNITS SOLD]]</f>
        <v>0</v>
      </c>
      <c r="AB431" s="119">
        <f>INVESTORS_LIST[[#This Row],[TOTAL CURRENT UNITS]]-INVESTORS_LIST[[#This Row],[BO UNITS HOLD]]</f>
        <v>0</v>
      </c>
      <c r="AC431" s="119" t="e">
        <f>INDEX([4]!Table_1[BO ID],MATCH(INVESTORS_LIST[[#This Row],[INVESTOR CODE]],[4]!Table_1[INVESTOR CODE],0))</f>
        <v>#REF!</v>
      </c>
      <c r="AD431" s="33">
        <f>INVESTORS_LIST[[#This Row],[LS_TOTAL COST VALUE OF CURRENT UNITS]]+INVESTORS_LIST[[#This Row],[SIP_TOTAL COST VALUE OF CURRENT UNITS]]</f>
        <v>0</v>
      </c>
      <c r="AE431" s="44">
        <f>IF(INVESTORS_LIST[[#This Row],[TOTAL CURRENT UNITS]]=0,0,INVESTORS_LIST[[#This Row],[LS_TOTAL CURRENT UNITS]]/INVESTORS_LIST[[#This Row],[TOTAL CURRENT UNITS]])</f>
        <v>0</v>
      </c>
      <c r="AF431" s="44">
        <f>IF(INVESTORS_LIST[[#This Row],[TOTAL CURRENT UNITS]]=0,0,INVESTORS_LIST[[#This Row],[SIP_TOTAL CURRENT UNITS]]/INVESTORS_LIST[[#This Row],[TOTAL CURRENT UNITS]])</f>
        <v>0</v>
      </c>
      <c r="AG431" s="4" cm="1">
        <f t="array" ref="AG43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31" s="4" cm="1">
        <f t="array" ref="AH4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3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31" s="178">
        <f t="shared" si="6"/>
        <v>12.552</v>
      </c>
      <c r="AK431" s="118">
        <f>IF(INVESTORS_LIST[[#This Row],[TOTAL CURRENT UNITS]]=0,0,INVESTORS_LIST[[#This Row],[TOTAL CURRENT UNITS]]*INVESTORS_LIST[[#This Row],[NAV]])</f>
        <v>0</v>
      </c>
      <c r="AL431" s="4">
        <f>IF(INVESTORS_LIST[[#This Row],[LS_TOTAL CURRENT UNITS]]=0,0,INVESTORS_LIST[[#This Row],[LS_TOTAL CURRENT UNITS]]*INVESTORS_LIST[[#This Row],[NAV]])</f>
        <v>0</v>
      </c>
      <c r="AM431" s="6">
        <f>IF(INVESTORS_LIST[[#This Row],[SIP_TOTAL CURRENT UNITS]]=0,0,INVESTORS_LIST[[#This Row],[SIP_TOTAL CURRENT UNITS]]*INVESTORS_LIST[[#This Row],[NAV]])</f>
        <v>0</v>
      </c>
      <c r="AO431" s="6">
        <f>IF(INVESTORS_LIST[[#This Row],[TOTAL SELLABLE UNITS]]=0,0,INVESTORS_LIST[[#This Row],[TOTAL SELLABLE UNITS]]*INVESTORS_LIST[[#This Row],[NAV]])</f>
        <v>0</v>
      </c>
      <c r="AP431" s="6">
        <f>INVESTORS_LIST[[#This Row],[LS_TOTAL REALIZED GAIN]]+INVESTORS_LIST[[#This Row],[SIP_TOTAL REALIZED GAIN]]</f>
        <v>0</v>
      </c>
      <c r="AQ431" s="6">
        <f>INVESTORS_LIST[[#This Row],[TOTAL MARKET VALUE]]-INVESTORS_LIST[[#This Row],[TOTAL COST VALUE OF CURRENT INVESTMENT]]</f>
        <v>0</v>
      </c>
      <c r="AR431" s="6">
        <f>SUMIFS(DivAndTax[Tax Amount],DivAndTax[Investor ID],INVESTORS_LIST[[#This Row],[INVESTOR CODE]])</f>
        <v>0</v>
      </c>
      <c r="AS431" s="6">
        <f>SUMIFS(DivAndTax[Gross Dividend],DivAndTax[Investor ID],INVESTORS_LIST[[#This Row],[INVESTOR CODE]])</f>
        <v>0</v>
      </c>
      <c r="AT431" s="5">
        <f>IFERROR(INVESTORS_LIST[[#This Row],[TOTAL CURRENT UNITS]]/SUM(INVESTORS_LIST[TOTAL CURRENT UNITS]),0)</f>
        <v>0</v>
      </c>
    </row>
    <row r="432" spans="1:46" hidden="1">
      <c r="A432" t="s">
        <v>942</v>
      </c>
      <c r="B432" t="s">
        <v>943</v>
      </c>
      <c r="C432" t="s">
        <v>536</v>
      </c>
      <c r="D432" s="8" t="s">
        <v>2</v>
      </c>
      <c r="E432" s="2">
        <f>SUMIFS(LS[Unit],LS[Investor ID],INVESTORS_LIST[[#This Row],[INVESTOR CODE]],LS[B/S],"B")</f>
        <v>0</v>
      </c>
      <c r="F432" s="2">
        <f>-SUMIFS(LS[Unit],LS[Investor ID],INVESTORS_LIST[[#This Row],[INVESTOR CODE]],LS[B/S],"S")</f>
        <v>0</v>
      </c>
      <c r="G432" s="2">
        <f>IF(INVESTORS_LIST[[#This Row],[LS_TOTAL UNITS BUY]]=0,0,INVESTORS_LIST[[#This Row],[LS_TOTAL UNITS BUY]]-INVESTORS_LIST[[#This Row],[LS_TOTAL UNITS SOLD]])</f>
        <v>0</v>
      </c>
      <c r="H432" s="4">
        <f>IF(INVESTORS_LIST[[#This Row],[LS_TOTAL UNITS BUY]]=0,0,SUMIFS(LS[Amount],LS[Investor ID],INVESTORS_LIST[[#This Row],[INVESTOR CODE]],LS[B/S],"B"))</f>
        <v>0</v>
      </c>
      <c r="I432" s="6">
        <f>IF(INVESTORS_LIST[[#This Row],[LS_TOTAL UNITS SOLD]]=0,0,SUMIFS(LS[Cost of Units Sold],LS[Investor ID],INVESTORS_LIST[[#This Row],[INVESTOR CODE]],LS[B/S],"S"))</f>
        <v>0</v>
      </c>
      <c r="J432" s="6">
        <f>IF(INVESTORS_LIST[[#This Row],[LS_TOTAL CURRENT UNITS]]=0,0,INVESTORS_LIST[[#This Row],[LS_TOTAL CURRENT UNITS]]*INVESTORS_LIST[[#This Row],[LS_AVERAGE COST]])</f>
        <v>0</v>
      </c>
      <c r="K432" s="4">
        <f>IF(INVESTORS_LIST[[#This Row],[LS_TOTAL UNITS SOLD]]=0,0,SUMIFS(LS[Realized Gain],LS[Investor ID],INVESTORS_LIST[[#This Row],[INVESTOR CODE]],LS[B/S],"S"))</f>
        <v>0</v>
      </c>
      <c r="L432" s="2">
        <f>SUMIFS(SIP[Unit],SIP[Investor ID],INVESTORS_LIST[[#This Row],[INVESTOR CODE]],SIP[B/S],"B")</f>
        <v>6491</v>
      </c>
      <c r="M432" s="2">
        <f>-SUMIFS(SIP[Unit],SIP[Investor ID],INVESTORS_LIST[[#This Row],[INVESTOR CODE]],SIP[B/S],"S")</f>
        <v>6491</v>
      </c>
      <c r="N432" s="33">
        <f>IF(INVESTORS_LIST[[#This Row],[SIP_TOTAL UNITS BUY]]=0,0,INVESTORS_LIST[[#This Row],[SIP_TOTAL UNITS BUY]]-INVESTORS_LIST[[#This Row],[SIP_TOTAL UNITS SOLD]])</f>
        <v>0</v>
      </c>
      <c r="O432" s="4">
        <f>IF(INVESTORS_LIST[[#This Row],[SIP_TOTAL UNITS BUY]]=0,0,SUMIFS(SIP[Amount],SIP[Investor ID],INVESTORS_LIST[[#This Row],[INVESTOR CODE]],SIP[B/S],"B"))</f>
        <v>65000</v>
      </c>
      <c r="P432" s="4">
        <f>IF(INVESTORS_LIST[[#This Row],[SIP_TOTAL UNITS SOLD]]=0,0,SUMIFS(SIP[Cost of Units Sold],SIP[Investor ID],INVESTORS_LIST[[#This Row],[INVESTOR CODE]],SIP[B/S],"S"))</f>
        <v>64999.999999999985</v>
      </c>
      <c r="Q432" s="6">
        <f>IF(INVESTORS_LIST[[#This Row],[SIP_TOTAL CURRENT UNITS]]=0,0,INVESTORS_LIST[[#This Row],[SIP_TOTAL CURRENT UNITS]]*INVESTORS_LIST[[#This Row],[SIP_AVERAGE COST]])</f>
        <v>0</v>
      </c>
      <c r="R432" s="6">
        <f>IF(INVESTORS_LIST[[#This Row],[SIP_TOTAL UNITS SOLD]]=0,0,SUMIFS(SIP[Realized Gain],SIP[Investor ID],INVESTORS_LIST[[#This Row],[INVESTOR CODE]],SIP[B/S],"S"))</f>
        <v>1688.53000000001</v>
      </c>
      <c r="S432" s="33">
        <f>INVESTORS_LIST[[#This Row],[LS_TOTAL UNITS BUY]]+INVESTORS_LIST[[#This Row],[SIP_TOTAL UNITS BUY]]</f>
        <v>6491</v>
      </c>
      <c r="T432" s="33">
        <f>INVESTORS_LIST[[#This Row],[LS_TOTAL UNITS SOLD]]+INVESTORS_LIST[[#This Row],[SIP_TOTAL UNITS SOLD]]</f>
        <v>6491</v>
      </c>
      <c r="U432" s="33">
        <v>0</v>
      </c>
      <c r="V432" s="33">
        <f>SUMIFS(LS[BO UNIT TRANSFER],LS[Investor ID],INVESTORS_LIST[[#This Row],[INVESTOR CODE]],LS[B/S],"B")</f>
        <v>0</v>
      </c>
      <c r="W432" s="33">
        <f>SUMIFS(LS[BO UNIT TRANSFER],LS[Investor ID],INVESTORS_LIST[[#This Row],[INVESTOR CODE]],LS[B/S],"S")</f>
        <v>0</v>
      </c>
      <c r="X432" s="33">
        <f>SUMIFS(SIP[BO UNIT TRANSFER],SIP[Investor ID],INVESTORS_LIST[[#This Row],[INVESTOR CODE]],SIP[B/S],"S")</f>
        <v>0</v>
      </c>
      <c r="Y432" s="33">
        <f>SUMIFS(SIP[BO UNIT TRANSFER],SIP[Investor ID],INVESTORS_LIST[[#This Row],[INVESTOR CODE]],SIP[B/S],"B")</f>
        <v>0</v>
      </c>
      <c r="Z43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32" s="119">
        <f>INVESTORS_LIST[[#This Row],[TOTAL UNITS BUY]]-INVESTORS_LIST[[#This Row],[TOTAL UNITS SOLD]]</f>
        <v>0</v>
      </c>
      <c r="AB432" s="119">
        <f>INVESTORS_LIST[[#This Row],[TOTAL CURRENT UNITS]]-INVESTORS_LIST[[#This Row],[BO UNITS HOLD]]</f>
        <v>0</v>
      </c>
      <c r="AC432" s="119" t="e">
        <f>INDEX([4]!Table_1[BO ID],MATCH(INVESTORS_LIST[[#This Row],[INVESTOR CODE]],[4]!Table_1[INVESTOR CODE],0))</f>
        <v>#REF!</v>
      </c>
      <c r="AD432" s="33">
        <f>INVESTORS_LIST[[#This Row],[LS_TOTAL COST VALUE OF CURRENT UNITS]]+INVESTORS_LIST[[#This Row],[SIP_TOTAL COST VALUE OF CURRENT UNITS]]</f>
        <v>0</v>
      </c>
      <c r="AE432" s="44">
        <f>IF(INVESTORS_LIST[[#This Row],[TOTAL CURRENT UNITS]]=0,0,INVESTORS_LIST[[#This Row],[LS_TOTAL CURRENT UNITS]]/INVESTORS_LIST[[#This Row],[TOTAL CURRENT UNITS]])</f>
        <v>0</v>
      </c>
      <c r="AF432" s="44">
        <f>IF(INVESTORS_LIST[[#This Row],[TOTAL CURRENT UNITS]]=0,0,INVESTORS_LIST[[#This Row],[SIP_TOTAL CURRENT UNITS]]/INVESTORS_LIST[[#This Row],[TOTAL CURRENT UNITS]])</f>
        <v>0</v>
      </c>
      <c r="AG432" s="4" cm="1">
        <f t="array" ref="AG4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32" s="4" cm="1">
        <f t="array" ref="AH4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3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32" s="178">
        <f t="shared" si="6"/>
        <v>12.552</v>
      </c>
      <c r="AK432" s="118">
        <f>IF(INVESTORS_LIST[[#This Row],[TOTAL CURRENT UNITS]]=0,0,INVESTORS_LIST[[#This Row],[TOTAL CURRENT UNITS]]*INVESTORS_LIST[[#This Row],[NAV]])</f>
        <v>0</v>
      </c>
      <c r="AL432" s="4">
        <f>IF(INVESTORS_LIST[[#This Row],[LS_TOTAL CURRENT UNITS]]=0,0,INVESTORS_LIST[[#This Row],[LS_TOTAL CURRENT UNITS]]*INVESTORS_LIST[[#This Row],[NAV]])</f>
        <v>0</v>
      </c>
      <c r="AM432" s="6">
        <f>IF(INVESTORS_LIST[[#This Row],[SIP_TOTAL CURRENT UNITS]]=0,0,INVESTORS_LIST[[#This Row],[SIP_TOTAL CURRENT UNITS]]*INVESTORS_LIST[[#This Row],[NAV]])</f>
        <v>0</v>
      </c>
      <c r="AO432" s="6">
        <f>IF(INVESTORS_LIST[[#This Row],[TOTAL SELLABLE UNITS]]=0,0,INVESTORS_LIST[[#This Row],[TOTAL SELLABLE UNITS]]*INVESTORS_LIST[[#This Row],[NAV]])</f>
        <v>0</v>
      </c>
      <c r="AP432" s="6">
        <f>INVESTORS_LIST[[#This Row],[LS_TOTAL REALIZED GAIN]]+INVESTORS_LIST[[#This Row],[SIP_TOTAL REALIZED GAIN]]</f>
        <v>1688.53000000001</v>
      </c>
      <c r="AQ432" s="6">
        <f>INVESTORS_LIST[[#This Row],[TOTAL MARKET VALUE]]-INVESTORS_LIST[[#This Row],[TOTAL COST VALUE OF CURRENT INVESTMENT]]</f>
        <v>0</v>
      </c>
      <c r="AR432" s="6">
        <f>SUMIFS(DivAndTax[Tax Amount],DivAndTax[Investor ID],INVESTORS_LIST[[#This Row],[INVESTOR CODE]])</f>
        <v>0</v>
      </c>
      <c r="AS432" s="6">
        <f>SUMIFS(DivAndTax[Gross Dividend],DivAndTax[Investor ID],INVESTORS_LIST[[#This Row],[INVESTOR CODE]])</f>
        <v>0</v>
      </c>
      <c r="AT432" s="5">
        <f>IFERROR(INVESTORS_LIST[[#This Row],[TOTAL CURRENT UNITS]]/SUM(INVESTORS_LIST[TOTAL CURRENT UNITS]),0)</f>
        <v>0</v>
      </c>
    </row>
    <row r="433" spans="1:46" hidden="1">
      <c r="A433" t="s">
        <v>944</v>
      </c>
      <c r="B433" t="s">
        <v>945</v>
      </c>
      <c r="C433" t="s">
        <v>536</v>
      </c>
      <c r="D433" s="8" t="s">
        <v>2</v>
      </c>
      <c r="E433" s="2">
        <f>SUMIFS(LS[Unit],LS[Investor ID],INVESTORS_LIST[[#This Row],[INVESTOR CODE]],LS[B/S],"B")</f>
        <v>0</v>
      </c>
      <c r="F433" s="2">
        <f>-SUMIFS(LS[Unit],LS[Investor ID],INVESTORS_LIST[[#This Row],[INVESTOR CODE]],LS[B/S],"S")</f>
        <v>0</v>
      </c>
      <c r="G433" s="2">
        <f>IF(INVESTORS_LIST[[#This Row],[LS_TOTAL UNITS BUY]]=0,0,INVESTORS_LIST[[#This Row],[LS_TOTAL UNITS BUY]]-INVESTORS_LIST[[#This Row],[LS_TOTAL UNITS SOLD]])</f>
        <v>0</v>
      </c>
      <c r="H433" s="4">
        <f>IF(INVESTORS_LIST[[#This Row],[LS_TOTAL UNITS BUY]]=0,0,SUMIFS(LS[Amount],LS[Investor ID],INVESTORS_LIST[[#This Row],[INVESTOR CODE]],LS[B/S],"B"))</f>
        <v>0</v>
      </c>
      <c r="I433" s="6">
        <f>IF(INVESTORS_LIST[[#This Row],[LS_TOTAL UNITS SOLD]]=0,0,SUMIFS(LS[Cost of Units Sold],LS[Investor ID],INVESTORS_LIST[[#This Row],[INVESTOR CODE]],LS[B/S],"S"))</f>
        <v>0</v>
      </c>
      <c r="J433" s="6">
        <f>IF(INVESTORS_LIST[[#This Row],[LS_TOTAL CURRENT UNITS]]=0,0,INVESTORS_LIST[[#This Row],[LS_TOTAL CURRENT UNITS]]*INVESTORS_LIST[[#This Row],[LS_AVERAGE COST]])</f>
        <v>0</v>
      </c>
      <c r="K433" s="4">
        <f>IF(INVESTORS_LIST[[#This Row],[LS_TOTAL UNITS SOLD]]=0,0,SUMIFS(LS[Realized Gain],LS[Investor ID],INVESTORS_LIST[[#This Row],[INVESTOR CODE]],LS[B/S],"S"))</f>
        <v>0</v>
      </c>
      <c r="L433" s="2">
        <f>SUMIFS(SIP[Unit],SIP[Investor ID],INVESTORS_LIST[[#This Row],[INVESTOR CODE]],SIP[B/S],"B")</f>
        <v>0</v>
      </c>
      <c r="M433" s="2">
        <f>-SUMIFS(SIP[Unit],SIP[Investor ID],INVESTORS_LIST[[#This Row],[INVESTOR CODE]],SIP[B/S],"S")</f>
        <v>0</v>
      </c>
      <c r="N433" s="33">
        <f>IF(INVESTORS_LIST[[#This Row],[SIP_TOTAL UNITS BUY]]=0,0,INVESTORS_LIST[[#This Row],[SIP_TOTAL UNITS BUY]]-INVESTORS_LIST[[#This Row],[SIP_TOTAL UNITS SOLD]])</f>
        <v>0</v>
      </c>
      <c r="O433" s="4">
        <f>IF(INVESTORS_LIST[[#This Row],[SIP_TOTAL UNITS BUY]]=0,0,SUMIFS(SIP[Amount],SIP[Investor ID],INVESTORS_LIST[[#This Row],[INVESTOR CODE]],SIP[B/S],"B"))</f>
        <v>0</v>
      </c>
      <c r="P433" s="4">
        <f>IF(INVESTORS_LIST[[#This Row],[SIP_TOTAL UNITS SOLD]]=0,0,SUMIFS(SIP[Cost of Units Sold],SIP[Investor ID],INVESTORS_LIST[[#This Row],[INVESTOR CODE]],SIP[B/S],"S"))</f>
        <v>0</v>
      </c>
      <c r="Q433" s="6">
        <f>IF(INVESTORS_LIST[[#This Row],[SIP_TOTAL CURRENT UNITS]]=0,0,INVESTORS_LIST[[#This Row],[SIP_TOTAL CURRENT UNITS]]*INVESTORS_LIST[[#This Row],[SIP_AVERAGE COST]])</f>
        <v>0</v>
      </c>
      <c r="R433" s="6">
        <f>IF(INVESTORS_LIST[[#This Row],[SIP_TOTAL UNITS SOLD]]=0,0,SUMIFS(SIP[Realized Gain],SIP[Investor ID],INVESTORS_LIST[[#This Row],[INVESTOR CODE]],SIP[B/S],"S"))</f>
        <v>0</v>
      </c>
      <c r="S433" s="33">
        <f>INVESTORS_LIST[[#This Row],[LS_TOTAL UNITS BUY]]+INVESTORS_LIST[[#This Row],[SIP_TOTAL UNITS BUY]]</f>
        <v>0</v>
      </c>
      <c r="T433" s="33">
        <f>INVESTORS_LIST[[#This Row],[LS_TOTAL UNITS SOLD]]+INVESTORS_LIST[[#This Row],[SIP_TOTAL UNITS SOLD]]</f>
        <v>0</v>
      </c>
      <c r="U433" s="33">
        <v>0</v>
      </c>
      <c r="V433" s="33">
        <f>SUMIFS(LS[BO UNIT TRANSFER],LS[Investor ID],INVESTORS_LIST[[#This Row],[INVESTOR CODE]],LS[B/S],"B")</f>
        <v>0</v>
      </c>
      <c r="W433" s="33">
        <f>SUMIFS(LS[BO UNIT TRANSFER],LS[Investor ID],INVESTORS_LIST[[#This Row],[INVESTOR CODE]],LS[B/S],"S")</f>
        <v>0</v>
      </c>
      <c r="X433" s="33">
        <f>SUMIFS(SIP[BO UNIT TRANSFER],SIP[Investor ID],INVESTORS_LIST[[#This Row],[INVESTOR CODE]],SIP[B/S],"S")</f>
        <v>0</v>
      </c>
      <c r="Y433" s="33">
        <f>SUMIFS(SIP[BO UNIT TRANSFER],SIP[Investor ID],INVESTORS_LIST[[#This Row],[INVESTOR CODE]],SIP[B/S],"B")</f>
        <v>0</v>
      </c>
      <c r="Z43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33" s="119">
        <f>INVESTORS_LIST[[#This Row],[TOTAL UNITS BUY]]-INVESTORS_LIST[[#This Row],[TOTAL UNITS SOLD]]</f>
        <v>0</v>
      </c>
      <c r="AB433" s="119">
        <f>INVESTORS_LIST[[#This Row],[TOTAL CURRENT UNITS]]-INVESTORS_LIST[[#This Row],[BO UNITS HOLD]]</f>
        <v>0</v>
      </c>
      <c r="AC433" s="119" t="e">
        <f>INDEX([4]!Table_1[BO ID],MATCH(INVESTORS_LIST[[#This Row],[INVESTOR CODE]],[4]!Table_1[INVESTOR CODE],0))</f>
        <v>#REF!</v>
      </c>
      <c r="AD433" s="33">
        <f>INVESTORS_LIST[[#This Row],[LS_TOTAL COST VALUE OF CURRENT UNITS]]+INVESTORS_LIST[[#This Row],[SIP_TOTAL COST VALUE OF CURRENT UNITS]]</f>
        <v>0</v>
      </c>
      <c r="AE433" s="44">
        <f>IF(INVESTORS_LIST[[#This Row],[TOTAL CURRENT UNITS]]=0,0,INVESTORS_LIST[[#This Row],[LS_TOTAL CURRENT UNITS]]/INVESTORS_LIST[[#This Row],[TOTAL CURRENT UNITS]])</f>
        <v>0</v>
      </c>
      <c r="AF433" s="44">
        <f>IF(INVESTORS_LIST[[#This Row],[TOTAL CURRENT UNITS]]=0,0,INVESTORS_LIST[[#This Row],[SIP_TOTAL CURRENT UNITS]]/INVESTORS_LIST[[#This Row],[TOTAL CURRENT UNITS]])</f>
        <v>0</v>
      </c>
      <c r="AG433" s="4" cm="1">
        <f t="array" ref="AG4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33" s="4" cm="1">
        <f t="array" ref="AH4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3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33" s="178">
        <f t="shared" si="6"/>
        <v>12.552</v>
      </c>
      <c r="AK433" s="118">
        <f>IF(INVESTORS_LIST[[#This Row],[TOTAL CURRENT UNITS]]=0,0,INVESTORS_LIST[[#This Row],[TOTAL CURRENT UNITS]]*INVESTORS_LIST[[#This Row],[NAV]])</f>
        <v>0</v>
      </c>
      <c r="AL433" s="4">
        <f>IF(INVESTORS_LIST[[#This Row],[LS_TOTAL CURRENT UNITS]]=0,0,INVESTORS_LIST[[#This Row],[LS_TOTAL CURRENT UNITS]]*INVESTORS_LIST[[#This Row],[NAV]])</f>
        <v>0</v>
      </c>
      <c r="AM433" s="6">
        <f>IF(INVESTORS_LIST[[#This Row],[SIP_TOTAL CURRENT UNITS]]=0,0,INVESTORS_LIST[[#This Row],[SIP_TOTAL CURRENT UNITS]]*INVESTORS_LIST[[#This Row],[NAV]])</f>
        <v>0</v>
      </c>
      <c r="AO433" s="6">
        <f>IF(INVESTORS_LIST[[#This Row],[TOTAL SELLABLE UNITS]]=0,0,INVESTORS_LIST[[#This Row],[TOTAL SELLABLE UNITS]]*INVESTORS_LIST[[#This Row],[NAV]])</f>
        <v>0</v>
      </c>
      <c r="AP433" s="6">
        <f>INVESTORS_LIST[[#This Row],[LS_TOTAL REALIZED GAIN]]+INVESTORS_LIST[[#This Row],[SIP_TOTAL REALIZED GAIN]]</f>
        <v>0</v>
      </c>
      <c r="AQ433" s="6">
        <f>INVESTORS_LIST[[#This Row],[TOTAL MARKET VALUE]]-INVESTORS_LIST[[#This Row],[TOTAL COST VALUE OF CURRENT INVESTMENT]]</f>
        <v>0</v>
      </c>
      <c r="AR433" s="6">
        <f>SUMIFS(DivAndTax[Tax Amount],DivAndTax[Investor ID],INVESTORS_LIST[[#This Row],[INVESTOR CODE]])</f>
        <v>0</v>
      </c>
      <c r="AS433" s="6">
        <f>SUMIFS(DivAndTax[Gross Dividend],DivAndTax[Investor ID],INVESTORS_LIST[[#This Row],[INVESTOR CODE]])</f>
        <v>0</v>
      </c>
      <c r="AT433" s="5">
        <f>IFERROR(INVESTORS_LIST[[#This Row],[TOTAL CURRENT UNITS]]/SUM(INVESTORS_LIST[TOTAL CURRENT UNITS]),0)</f>
        <v>0</v>
      </c>
    </row>
    <row r="434" spans="1:46" hidden="1">
      <c r="A434" t="s">
        <v>946</v>
      </c>
      <c r="B434" t="s">
        <v>947</v>
      </c>
      <c r="C434" t="s">
        <v>536</v>
      </c>
      <c r="D434" s="8" t="s">
        <v>2</v>
      </c>
      <c r="E434" s="2">
        <f>SUMIFS(LS[Unit],LS[Investor ID],INVESTORS_LIST[[#This Row],[INVESTOR CODE]],LS[B/S],"B")</f>
        <v>0</v>
      </c>
      <c r="F434" s="2">
        <f>-SUMIFS(LS[Unit],LS[Investor ID],INVESTORS_LIST[[#This Row],[INVESTOR CODE]],LS[B/S],"S")</f>
        <v>0</v>
      </c>
      <c r="G434" s="2">
        <f>IF(INVESTORS_LIST[[#This Row],[LS_TOTAL UNITS BUY]]=0,0,INVESTORS_LIST[[#This Row],[LS_TOTAL UNITS BUY]]-INVESTORS_LIST[[#This Row],[LS_TOTAL UNITS SOLD]])</f>
        <v>0</v>
      </c>
      <c r="H434" s="4">
        <f>IF(INVESTORS_LIST[[#This Row],[LS_TOTAL UNITS BUY]]=0,0,SUMIFS(LS[Amount],LS[Investor ID],INVESTORS_LIST[[#This Row],[INVESTOR CODE]],LS[B/S],"B"))</f>
        <v>0</v>
      </c>
      <c r="I434" s="6">
        <f>IF(INVESTORS_LIST[[#This Row],[LS_TOTAL UNITS SOLD]]=0,0,SUMIFS(LS[Cost of Units Sold],LS[Investor ID],INVESTORS_LIST[[#This Row],[INVESTOR CODE]],LS[B/S],"S"))</f>
        <v>0</v>
      </c>
      <c r="J434" s="6">
        <f>IF(INVESTORS_LIST[[#This Row],[LS_TOTAL CURRENT UNITS]]=0,0,INVESTORS_LIST[[#This Row],[LS_TOTAL CURRENT UNITS]]*INVESTORS_LIST[[#This Row],[LS_AVERAGE COST]])</f>
        <v>0</v>
      </c>
      <c r="K434" s="4">
        <f>IF(INVESTORS_LIST[[#This Row],[LS_TOTAL UNITS SOLD]]=0,0,SUMIFS(LS[Realized Gain],LS[Investor ID],INVESTORS_LIST[[#This Row],[INVESTOR CODE]],LS[B/S],"S"))</f>
        <v>0</v>
      </c>
      <c r="L434" s="2">
        <f>SUMIFS(SIP[Unit],SIP[Investor ID],INVESTORS_LIST[[#This Row],[INVESTOR CODE]],SIP[B/S],"B")</f>
        <v>0</v>
      </c>
      <c r="M434" s="2">
        <f>-SUMIFS(SIP[Unit],SIP[Investor ID],INVESTORS_LIST[[#This Row],[INVESTOR CODE]],SIP[B/S],"S")</f>
        <v>0</v>
      </c>
      <c r="N434" s="33">
        <f>IF(INVESTORS_LIST[[#This Row],[SIP_TOTAL UNITS BUY]]=0,0,INVESTORS_LIST[[#This Row],[SIP_TOTAL UNITS BUY]]-INVESTORS_LIST[[#This Row],[SIP_TOTAL UNITS SOLD]])</f>
        <v>0</v>
      </c>
      <c r="O434" s="4">
        <f>IF(INVESTORS_LIST[[#This Row],[SIP_TOTAL UNITS BUY]]=0,0,SUMIFS(SIP[Amount],SIP[Investor ID],INVESTORS_LIST[[#This Row],[INVESTOR CODE]],SIP[B/S],"B"))</f>
        <v>0</v>
      </c>
      <c r="P434" s="4">
        <f>IF(INVESTORS_LIST[[#This Row],[SIP_TOTAL UNITS SOLD]]=0,0,SUMIFS(SIP[Cost of Units Sold],SIP[Investor ID],INVESTORS_LIST[[#This Row],[INVESTOR CODE]],SIP[B/S],"S"))</f>
        <v>0</v>
      </c>
      <c r="Q434" s="6">
        <f>IF(INVESTORS_LIST[[#This Row],[SIP_TOTAL CURRENT UNITS]]=0,0,INVESTORS_LIST[[#This Row],[SIP_TOTAL CURRENT UNITS]]*INVESTORS_LIST[[#This Row],[SIP_AVERAGE COST]])</f>
        <v>0</v>
      </c>
      <c r="R434" s="6">
        <f>IF(INVESTORS_LIST[[#This Row],[SIP_TOTAL UNITS SOLD]]=0,0,SUMIFS(SIP[Realized Gain],SIP[Investor ID],INVESTORS_LIST[[#This Row],[INVESTOR CODE]],SIP[B/S],"S"))</f>
        <v>0</v>
      </c>
      <c r="S434" s="33">
        <f>INVESTORS_LIST[[#This Row],[LS_TOTAL UNITS BUY]]+INVESTORS_LIST[[#This Row],[SIP_TOTAL UNITS BUY]]</f>
        <v>0</v>
      </c>
      <c r="T434" s="33">
        <f>INVESTORS_LIST[[#This Row],[LS_TOTAL UNITS SOLD]]+INVESTORS_LIST[[#This Row],[SIP_TOTAL UNITS SOLD]]</f>
        <v>0</v>
      </c>
      <c r="U434" s="33">
        <v>0</v>
      </c>
      <c r="V434" s="33">
        <f>SUMIFS(LS[BO UNIT TRANSFER],LS[Investor ID],INVESTORS_LIST[[#This Row],[INVESTOR CODE]],LS[B/S],"B")</f>
        <v>0</v>
      </c>
      <c r="W434" s="33">
        <f>SUMIFS(LS[BO UNIT TRANSFER],LS[Investor ID],INVESTORS_LIST[[#This Row],[INVESTOR CODE]],LS[B/S],"S")</f>
        <v>0</v>
      </c>
      <c r="X434" s="33">
        <f>SUMIFS(SIP[BO UNIT TRANSFER],SIP[Investor ID],INVESTORS_LIST[[#This Row],[INVESTOR CODE]],SIP[B/S],"S")</f>
        <v>0</v>
      </c>
      <c r="Y434" s="33">
        <f>SUMIFS(SIP[BO UNIT TRANSFER],SIP[Investor ID],INVESTORS_LIST[[#This Row],[INVESTOR CODE]],SIP[B/S],"B")</f>
        <v>0</v>
      </c>
      <c r="Z43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34" s="119">
        <f>INVESTORS_LIST[[#This Row],[TOTAL UNITS BUY]]-INVESTORS_LIST[[#This Row],[TOTAL UNITS SOLD]]</f>
        <v>0</v>
      </c>
      <c r="AB434" s="119">
        <f>INVESTORS_LIST[[#This Row],[TOTAL CURRENT UNITS]]-INVESTORS_LIST[[#This Row],[BO UNITS HOLD]]</f>
        <v>0</v>
      </c>
      <c r="AC434" s="119" t="e">
        <f>INDEX([4]!Table_1[BO ID],MATCH(INVESTORS_LIST[[#This Row],[INVESTOR CODE]],[4]!Table_1[INVESTOR CODE],0))</f>
        <v>#REF!</v>
      </c>
      <c r="AD434" s="33">
        <f>INVESTORS_LIST[[#This Row],[LS_TOTAL COST VALUE OF CURRENT UNITS]]+INVESTORS_LIST[[#This Row],[SIP_TOTAL COST VALUE OF CURRENT UNITS]]</f>
        <v>0</v>
      </c>
      <c r="AE434" s="44">
        <f>IF(INVESTORS_LIST[[#This Row],[TOTAL CURRENT UNITS]]=0,0,INVESTORS_LIST[[#This Row],[LS_TOTAL CURRENT UNITS]]/INVESTORS_LIST[[#This Row],[TOTAL CURRENT UNITS]])</f>
        <v>0</v>
      </c>
      <c r="AF434" s="44">
        <f>IF(INVESTORS_LIST[[#This Row],[TOTAL CURRENT UNITS]]=0,0,INVESTORS_LIST[[#This Row],[SIP_TOTAL CURRENT UNITS]]/INVESTORS_LIST[[#This Row],[TOTAL CURRENT UNITS]])</f>
        <v>0</v>
      </c>
      <c r="AG434" s="4" cm="1">
        <f t="array" ref="AG43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34" s="4" cm="1">
        <f t="array" ref="AH4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3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34" s="178">
        <f t="shared" si="6"/>
        <v>12.552</v>
      </c>
      <c r="AK434" s="118">
        <f>IF(INVESTORS_LIST[[#This Row],[TOTAL CURRENT UNITS]]=0,0,INVESTORS_LIST[[#This Row],[TOTAL CURRENT UNITS]]*INVESTORS_LIST[[#This Row],[NAV]])</f>
        <v>0</v>
      </c>
      <c r="AL434" s="4">
        <f>IF(INVESTORS_LIST[[#This Row],[LS_TOTAL CURRENT UNITS]]=0,0,INVESTORS_LIST[[#This Row],[LS_TOTAL CURRENT UNITS]]*INVESTORS_LIST[[#This Row],[NAV]])</f>
        <v>0</v>
      </c>
      <c r="AM434" s="6">
        <f>IF(INVESTORS_LIST[[#This Row],[SIP_TOTAL CURRENT UNITS]]=0,0,INVESTORS_LIST[[#This Row],[SIP_TOTAL CURRENT UNITS]]*INVESTORS_LIST[[#This Row],[NAV]])</f>
        <v>0</v>
      </c>
      <c r="AO434" s="6">
        <f>IF(INVESTORS_LIST[[#This Row],[TOTAL SELLABLE UNITS]]=0,0,INVESTORS_LIST[[#This Row],[TOTAL SELLABLE UNITS]]*INVESTORS_LIST[[#This Row],[NAV]])</f>
        <v>0</v>
      </c>
      <c r="AP434" s="6">
        <f>INVESTORS_LIST[[#This Row],[LS_TOTAL REALIZED GAIN]]+INVESTORS_LIST[[#This Row],[SIP_TOTAL REALIZED GAIN]]</f>
        <v>0</v>
      </c>
      <c r="AQ434" s="6">
        <f>INVESTORS_LIST[[#This Row],[TOTAL MARKET VALUE]]-INVESTORS_LIST[[#This Row],[TOTAL COST VALUE OF CURRENT INVESTMENT]]</f>
        <v>0</v>
      </c>
      <c r="AR434" s="6">
        <f>SUMIFS(DivAndTax[Tax Amount],DivAndTax[Investor ID],INVESTORS_LIST[[#This Row],[INVESTOR CODE]])</f>
        <v>0</v>
      </c>
      <c r="AS434" s="6">
        <f>SUMIFS(DivAndTax[Gross Dividend],DivAndTax[Investor ID],INVESTORS_LIST[[#This Row],[INVESTOR CODE]])</f>
        <v>0</v>
      </c>
      <c r="AT434" s="5">
        <f>IFERROR(INVESTORS_LIST[[#This Row],[TOTAL CURRENT UNITS]]/SUM(INVESTORS_LIST[TOTAL CURRENT UNITS]),0)</f>
        <v>0</v>
      </c>
    </row>
    <row r="435" spans="1:46" hidden="1">
      <c r="A435" t="s">
        <v>948</v>
      </c>
      <c r="B435" t="s">
        <v>949</v>
      </c>
      <c r="C435" t="s">
        <v>539</v>
      </c>
      <c r="D435" s="8" t="s">
        <v>2</v>
      </c>
      <c r="E435" s="2">
        <f>SUMIFS(LS[Unit],LS[Investor ID],INVESTORS_LIST[[#This Row],[INVESTOR CODE]],LS[B/S],"B")</f>
        <v>0</v>
      </c>
      <c r="F435" s="2">
        <f>-SUMIFS(LS[Unit],LS[Investor ID],INVESTORS_LIST[[#This Row],[INVESTOR CODE]],LS[B/S],"S")</f>
        <v>0</v>
      </c>
      <c r="G435" s="2">
        <f>IF(INVESTORS_LIST[[#This Row],[LS_TOTAL UNITS BUY]]=0,0,INVESTORS_LIST[[#This Row],[LS_TOTAL UNITS BUY]]-INVESTORS_LIST[[#This Row],[LS_TOTAL UNITS SOLD]])</f>
        <v>0</v>
      </c>
      <c r="H435" s="4">
        <f>IF(INVESTORS_LIST[[#This Row],[LS_TOTAL UNITS BUY]]=0,0,SUMIFS(LS[Amount],LS[Investor ID],INVESTORS_LIST[[#This Row],[INVESTOR CODE]],LS[B/S],"B"))</f>
        <v>0</v>
      </c>
      <c r="I435" s="6">
        <f>IF(INVESTORS_LIST[[#This Row],[LS_TOTAL UNITS SOLD]]=0,0,SUMIFS(LS[Cost of Units Sold],LS[Investor ID],INVESTORS_LIST[[#This Row],[INVESTOR CODE]],LS[B/S],"S"))</f>
        <v>0</v>
      </c>
      <c r="J435" s="6">
        <f>IF(INVESTORS_LIST[[#This Row],[LS_TOTAL CURRENT UNITS]]=0,0,INVESTORS_LIST[[#This Row],[LS_TOTAL CURRENT UNITS]]*INVESTORS_LIST[[#This Row],[LS_AVERAGE COST]])</f>
        <v>0</v>
      </c>
      <c r="K435" s="4">
        <f>IF(INVESTORS_LIST[[#This Row],[LS_TOTAL UNITS SOLD]]=0,0,SUMIFS(LS[Realized Gain],LS[Investor ID],INVESTORS_LIST[[#This Row],[INVESTOR CODE]],LS[B/S],"S"))</f>
        <v>0</v>
      </c>
      <c r="L435" s="2">
        <f>SUMIFS(SIP[Unit],SIP[Investor ID],INVESTORS_LIST[[#This Row],[INVESTOR CODE]],SIP[B/S],"B")</f>
        <v>0</v>
      </c>
      <c r="M435" s="2">
        <f>-SUMIFS(SIP[Unit],SIP[Investor ID],INVESTORS_LIST[[#This Row],[INVESTOR CODE]],SIP[B/S],"S")</f>
        <v>0</v>
      </c>
      <c r="N435" s="33">
        <f>IF(INVESTORS_LIST[[#This Row],[SIP_TOTAL UNITS BUY]]=0,0,INVESTORS_LIST[[#This Row],[SIP_TOTAL UNITS BUY]]-INVESTORS_LIST[[#This Row],[SIP_TOTAL UNITS SOLD]])</f>
        <v>0</v>
      </c>
      <c r="O435" s="4">
        <f>IF(INVESTORS_LIST[[#This Row],[SIP_TOTAL UNITS BUY]]=0,0,SUMIFS(SIP[Amount],SIP[Investor ID],INVESTORS_LIST[[#This Row],[INVESTOR CODE]],SIP[B/S],"B"))</f>
        <v>0</v>
      </c>
      <c r="P435" s="4">
        <f>IF(INVESTORS_LIST[[#This Row],[SIP_TOTAL UNITS SOLD]]=0,0,SUMIFS(SIP[Cost of Units Sold],SIP[Investor ID],INVESTORS_LIST[[#This Row],[INVESTOR CODE]],SIP[B/S],"S"))</f>
        <v>0</v>
      </c>
      <c r="Q435" s="6">
        <f>IF(INVESTORS_LIST[[#This Row],[SIP_TOTAL CURRENT UNITS]]=0,0,INVESTORS_LIST[[#This Row],[SIP_TOTAL CURRENT UNITS]]*INVESTORS_LIST[[#This Row],[SIP_AVERAGE COST]])</f>
        <v>0</v>
      </c>
      <c r="R435" s="6">
        <f>IF(INVESTORS_LIST[[#This Row],[SIP_TOTAL UNITS SOLD]]=0,0,SUMIFS(SIP[Realized Gain],SIP[Investor ID],INVESTORS_LIST[[#This Row],[INVESTOR CODE]],SIP[B/S],"S"))</f>
        <v>0</v>
      </c>
      <c r="S435" s="33">
        <f>INVESTORS_LIST[[#This Row],[LS_TOTAL UNITS BUY]]+INVESTORS_LIST[[#This Row],[SIP_TOTAL UNITS BUY]]</f>
        <v>0</v>
      </c>
      <c r="T435" s="33">
        <f>INVESTORS_LIST[[#This Row],[LS_TOTAL UNITS SOLD]]+INVESTORS_LIST[[#This Row],[SIP_TOTAL UNITS SOLD]]</f>
        <v>0</v>
      </c>
      <c r="U435" s="33">
        <v>0</v>
      </c>
      <c r="V435" s="33">
        <f>SUMIFS(LS[BO UNIT TRANSFER],LS[Investor ID],INVESTORS_LIST[[#This Row],[INVESTOR CODE]],LS[B/S],"B")</f>
        <v>0</v>
      </c>
      <c r="W435" s="33">
        <f>SUMIFS(LS[BO UNIT TRANSFER],LS[Investor ID],INVESTORS_LIST[[#This Row],[INVESTOR CODE]],LS[B/S],"S")</f>
        <v>0</v>
      </c>
      <c r="X435" s="33">
        <f>SUMIFS(SIP[BO UNIT TRANSFER],SIP[Investor ID],INVESTORS_LIST[[#This Row],[INVESTOR CODE]],SIP[B/S],"S")</f>
        <v>0</v>
      </c>
      <c r="Y435" s="33">
        <f>SUMIFS(SIP[BO UNIT TRANSFER],SIP[Investor ID],INVESTORS_LIST[[#This Row],[INVESTOR CODE]],SIP[B/S],"B")</f>
        <v>0</v>
      </c>
      <c r="Z43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35" s="119">
        <f>INVESTORS_LIST[[#This Row],[TOTAL UNITS BUY]]-INVESTORS_LIST[[#This Row],[TOTAL UNITS SOLD]]</f>
        <v>0</v>
      </c>
      <c r="AB435" s="119">
        <f>INVESTORS_LIST[[#This Row],[TOTAL CURRENT UNITS]]-INVESTORS_LIST[[#This Row],[BO UNITS HOLD]]</f>
        <v>0</v>
      </c>
      <c r="AC435" s="119" t="e">
        <f>INDEX([4]!Table_1[BO ID],MATCH(INVESTORS_LIST[[#This Row],[INVESTOR CODE]],[4]!Table_1[INVESTOR CODE],0))</f>
        <v>#REF!</v>
      </c>
      <c r="AD435" s="33">
        <f>INVESTORS_LIST[[#This Row],[LS_TOTAL COST VALUE OF CURRENT UNITS]]+INVESTORS_LIST[[#This Row],[SIP_TOTAL COST VALUE OF CURRENT UNITS]]</f>
        <v>0</v>
      </c>
      <c r="AE435" s="44">
        <f>IF(INVESTORS_LIST[[#This Row],[TOTAL CURRENT UNITS]]=0,0,INVESTORS_LIST[[#This Row],[LS_TOTAL CURRENT UNITS]]/INVESTORS_LIST[[#This Row],[TOTAL CURRENT UNITS]])</f>
        <v>0</v>
      </c>
      <c r="AF435" s="44">
        <f>IF(INVESTORS_LIST[[#This Row],[TOTAL CURRENT UNITS]]=0,0,INVESTORS_LIST[[#This Row],[SIP_TOTAL CURRENT UNITS]]/INVESTORS_LIST[[#This Row],[TOTAL CURRENT UNITS]])</f>
        <v>0</v>
      </c>
      <c r="AG435" s="4" cm="1">
        <f t="array" ref="AG4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35" s="4" cm="1">
        <f t="array" ref="AH4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3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35" s="178">
        <f t="shared" si="6"/>
        <v>12.552</v>
      </c>
      <c r="AK435" s="118">
        <f>IF(INVESTORS_LIST[[#This Row],[TOTAL CURRENT UNITS]]=0,0,INVESTORS_LIST[[#This Row],[TOTAL CURRENT UNITS]]*INVESTORS_LIST[[#This Row],[NAV]])</f>
        <v>0</v>
      </c>
      <c r="AL435" s="4">
        <f>IF(INVESTORS_LIST[[#This Row],[LS_TOTAL CURRENT UNITS]]=0,0,INVESTORS_LIST[[#This Row],[LS_TOTAL CURRENT UNITS]]*INVESTORS_LIST[[#This Row],[NAV]])</f>
        <v>0</v>
      </c>
      <c r="AM435" s="6">
        <f>IF(INVESTORS_LIST[[#This Row],[SIP_TOTAL CURRENT UNITS]]=0,0,INVESTORS_LIST[[#This Row],[SIP_TOTAL CURRENT UNITS]]*INVESTORS_LIST[[#This Row],[NAV]])</f>
        <v>0</v>
      </c>
      <c r="AO435" s="6">
        <f>IF(INVESTORS_LIST[[#This Row],[TOTAL SELLABLE UNITS]]=0,0,INVESTORS_LIST[[#This Row],[TOTAL SELLABLE UNITS]]*INVESTORS_LIST[[#This Row],[NAV]])</f>
        <v>0</v>
      </c>
      <c r="AP435" s="6">
        <f>INVESTORS_LIST[[#This Row],[LS_TOTAL REALIZED GAIN]]+INVESTORS_LIST[[#This Row],[SIP_TOTAL REALIZED GAIN]]</f>
        <v>0</v>
      </c>
      <c r="AQ435" s="6">
        <f>INVESTORS_LIST[[#This Row],[TOTAL MARKET VALUE]]-INVESTORS_LIST[[#This Row],[TOTAL COST VALUE OF CURRENT INVESTMENT]]</f>
        <v>0</v>
      </c>
      <c r="AR435" s="6">
        <f>SUMIFS(DivAndTax[Tax Amount],DivAndTax[Investor ID],INVESTORS_LIST[[#This Row],[INVESTOR CODE]])</f>
        <v>0</v>
      </c>
      <c r="AS435" s="6">
        <f>SUMIFS(DivAndTax[Gross Dividend],DivAndTax[Investor ID],INVESTORS_LIST[[#This Row],[INVESTOR CODE]])</f>
        <v>0</v>
      </c>
      <c r="AT435" s="5">
        <f>IFERROR(INVESTORS_LIST[[#This Row],[TOTAL CURRENT UNITS]]/SUM(INVESTORS_LIST[TOTAL CURRENT UNITS]),0)</f>
        <v>0</v>
      </c>
    </row>
    <row r="436" spans="1:46" hidden="1">
      <c r="A436" t="s">
        <v>950</v>
      </c>
      <c r="B436" t="s">
        <v>951</v>
      </c>
      <c r="C436" t="s">
        <v>539</v>
      </c>
      <c r="D436" s="8" t="s">
        <v>2</v>
      </c>
      <c r="E436" s="2">
        <f>SUMIFS(LS[Unit],LS[Investor ID],INVESTORS_LIST[[#This Row],[INVESTOR CODE]],LS[B/S],"B")</f>
        <v>0</v>
      </c>
      <c r="F436" s="2">
        <f>-SUMIFS(LS[Unit],LS[Investor ID],INVESTORS_LIST[[#This Row],[INVESTOR CODE]],LS[B/S],"S")</f>
        <v>0</v>
      </c>
      <c r="G436" s="2">
        <f>IF(INVESTORS_LIST[[#This Row],[LS_TOTAL UNITS BUY]]=0,0,INVESTORS_LIST[[#This Row],[LS_TOTAL UNITS BUY]]-INVESTORS_LIST[[#This Row],[LS_TOTAL UNITS SOLD]])</f>
        <v>0</v>
      </c>
      <c r="H436" s="4">
        <f>IF(INVESTORS_LIST[[#This Row],[LS_TOTAL UNITS BUY]]=0,0,SUMIFS(LS[Amount],LS[Investor ID],INVESTORS_LIST[[#This Row],[INVESTOR CODE]],LS[B/S],"B"))</f>
        <v>0</v>
      </c>
      <c r="I436" s="6">
        <f>IF(INVESTORS_LIST[[#This Row],[LS_TOTAL UNITS SOLD]]=0,0,SUMIFS(LS[Cost of Units Sold],LS[Investor ID],INVESTORS_LIST[[#This Row],[INVESTOR CODE]],LS[B/S],"S"))</f>
        <v>0</v>
      </c>
      <c r="J436" s="6">
        <f>IF(INVESTORS_LIST[[#This Row],[LS_TOTAL CURRENT UNITS]]=0,0,INVESTORS_LIST[[#This Row],[LS_TOTAL CURRENT UNITS]]*INVESTORS_LIST[[#This Row],[LS_AVERAGE COST]])</f>
        <v>0</v>
      </c>
      <c r="K436" s="4">
        <f>IF(INVESTORS_LIST[[#This Row],[LS_TOTAL UNITS SOLD]]=0,0,SUMIFS(LS[Realized Gain],LS[Investor ID],INVESTORS_LIST[[#This Row],[INVESTOR CODE]],LS[B/S],"S"))</f>
        <v>0</v>
      </c>
      <c r="L436" s="2">
        <f>SUMIFS(SIP[Unit],SIP[Investor ID],INVESTORS_LIST[[#This Row],[INVESTOR CODE]],SIP[B/S],"B")</f>
        <v>0</v>
      </c>
      <c r="M436" s="2">
        <f>-SUMIFS(SIP[Unit],SIP[Investor ID],INVESTORS_LIST[[#This Row],[INVESTOR CODE]],SIP[B/S],"S")</f>
        <v>0</v>
      </c>
      <c r="N436" s="33">
        <f>IF(INVESTORS_LIST[[#This Row],[SIP_TOTAL UNITS BUY]]=0,0,INVESTORS_LIST[[#This Row],[SIP_TOTAL UNITS BUY]]-INVESTORS_LIST[[#This Row],[SIP_TOTAL UNITS SOLD]])</f>
        <v>0</v>
      </c>
      <c r="O436" s="4">
        <f>IF(INVESTORS_LIST[[#This Row],[SIP_TOTAL UNITS BUY]]=0,0,SUMIFS(SIP[Amount],SIP[Investor ID],INVESTORS_LIST[[#This Row],[INVESTOR CODE]],SIP[B/S],"B"))</f>
        <v>0</v>
      </c>
      <c r="P436" s="4">
        <f>IF(INVESTORS_LIST[[#This Row],[SIP_TOTAL UNITS SOLD]]=0,0,SUMIFS(SIP[Cost of Units Sold],SIP[Investor ID],INVESTORS_LIST[[#This Row],[INVESTOR CODE]],SIP[B/S],"S"))</f>
        <v>0</v>
      </c>
      <c r="Q436" s="6">
        <f>IF(INVESTORS_LIST[[#This Row],[SIP_TOTAL CURRENT UNITS]]=0,0,INVESTORS_LIST[[#This Row],[SIP_TOTAL CURRENT UNITS]]*INVESTORS_LIST[[#This Row],[SIP_AVERAGE COST]])</f>
        <v>0</v>
      </c>
      <c r="R436" s="6">
        <f>IF(INVESTORS_LIST[[#This Row],[SIP_TOTAL UNITS SOLD]]=0,0,SUMIFS(SIP[Realized Gain],SIP[Investor ID],INVESTORS_LIST[[#This Row],[INVESTOR CODE]],SIP[B/S],"S"))</f>
        <v>0</v>
      </c>
      <c r="S436" s="33">
        <f>INVESTORS_LIST[[#This Row],[LS_TOTAL UNITS BUY]]+INVESTORS_LIST[[#This Row],[SIP_TOTAL UNITS BUY]]</f>
        <v>0</v>
      </c>
      <c r="T436" s="33">
        <f>INVESTORS_LIST[[#This Row],[LS_TOTAL UNITS SOLD]]+INVESTORS_LIST[[#This Row],[SIP_TOTAL UNITS SOLD]]</f>
        <v>0</v>
      </c>
      <c r="U436" s="33">
        <v>0</v>
      </c>
      <c r="V436" s="33">
        <f>SUMIFS(LS[BO UNIT TRANSFER],LS[Investor ID],INVESTORS_LIST[[#This Row],[INVESTOR CODE]],LS[B/S],"B")</f>
        <v>0</v>
      </c>
      <c r="W436" s="33">
        <f>SUMIFS(LS[BO UNIT TRANSFER],LS[Investor ID],INVESTORS_LIST[[#This Row],[INVESTOR CODE]],LS[B/S],"S")</f>
        <v>0</v>
      </c>
      <c r="X436" s="33">
        <f>SUMIFS(SIP[BO UNIT TRANSFER],SIP[Investor ID],INVESTORS_LIST[[#This Row],[INVESTOR CODE]],SIP[B/S],"S")</f>
        <v>0</v>
      </c>
      <c r="Y436" s="33">
        <f>SUMIFS(SIP[BO UNIT TRANSFER],SIP[Investor ID],INVESTORS_LIST[[#This Row],[INVESTOR CODE]],SIP[B/S],"B")</f>
        <v>0</v>
      </c>
      <c r="Z43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36" s="119">
        <f>INVESTORS_LIST[[#This Row],[TOTAL UNITS BUY]]-INVESTORS_LIST[[#This Row],[TOTAL UNITS SOLD]]</f>
        <v>0</v>
      </c>
      <c r="AB436" s="119">
        <f>INVESTORS_LIST[[#This Row],[TOTAL CURRENT UNITS]]-INVESTORS_LIST[[#This Row],[BO UNITS HOLD]]</f>
        <v>0</v>
      </c>
      <c r="AC436" s="119" t="e">
        <f>INDEX([4]!Table_1[BO ID],MATCH(INVESTORS_LIST[[#This Row],[INVESTOR CODE]],[4]!Table_1[INVESTOR CODE],0))</f>
        <v>#REF!</v>
      </c>
      <c r="AD436" s="33">
        <f>INVESTORS_LIST[[#This Row],[LS_TOTAL COST VALUE OF CURRENT UNITS]]+INVESTORS_LIST[[#This Row],[SIP_TOTAL COST VALUE OF CURRENT UNITS]]</f>
        <v>0</v>
      </c>
      <c r="AE436" s="44">
        <f>IF(INVESTORS_LIST[[#This Row],[TOTAL CURRENT UNITS]]=0,0,INVESTORS_LIST[[#This Row],[LS_TOTAL CURRENT UNITS]]/INVESTORS_LIST[[#This Row],[TOTAL CURRENT UNITS]])</f>
        <v>0</v>
      </c>
      <c r="AF436" s="44">
        <f>IF(INVESTORS_LIST[[#This Row],[TOTAL CURRENT UNITS]]=0,0,INVESTORS_LIST[[#This Row],[SIP_TOTAL CURRENT UNITS]]/INVESTORS_LIST[[#This Row],[TOTAL CURRENT UNITS]])</f>
        <v>0</v>
      </c>
      <c r="AG436" s="4" cm="1">
        <f t="array" ref="AG43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36" s="4" cm="1">
        <f t="array" ref="AH4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3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36" s="178">
        <f t="shared" si="6"/>
        <v>12.552</v>
      </c>
      <c r="AK436" s="118">
        <f>IF(INVESTORS_LIST[[#This Row],[TOTAL CURRENT UNITS]]=0,0,INVESTORS_LIST[[#This Row],[TOTAL CURRENT UNITS]]*INVESTORS_LIST[[#This Row],[NAV]])</f>
        <v>0</v>
      </c>
      <c r="AL436" s="4">
        <f>IF(INVESTORS_LIST[[#This Row],[LS_TOTAL CURRENT UNITS]]=0,0,INVESTORS_LIST[[#This Row],[LS_TOTAL CURRENT UNITS]]*INVESTORS_LIST[[#This Row],[NAV]])</f>
        <v>0</v>
      </c>
      <c r="AM436" s="6">
        <f>IF(INVESTORS_LIST[[#This Row],[SIP_TOTAL CURRENT UNITS]]=0,0,INVESTORS_LIST[[#This Row],[SIP_TOTAL CURRENT UNITS]]*INVESTORS_LIST[[#This Row],[NAV]])</f>
        <v>0</v>
      </c>
      <c r="AO436" s="6">
        <f>IF(INVESTORS_LIST[[#This Row],[TOTAL SELLABLE UNITS]]=0,0,INVESTORS_LIST[[#This Row],[TOTAL SELLABLE UNITS]]*INVESTORS_LIST[[#This Row],[NAV]])</f>
        <v>0</v>
      </c>
      <c r="AP436" s="6">
        <f>INVESTORS_LIST[[#This Row],[LS_TOTAL REALIZED GAIN]]+INVESTORS_LIST[[#This Row],[SIP_TOTAL REALIZED GAIN]]</f>
        <v>0</v>
      </c>
      <c r="AQ436" s="6">
        <f>INVESTORS_LIST[[#This Row],[TOTAL MARKET VALUE]]-INVESTORS_LIST[[#This Row],[TOTAL COST VALUE OF CURRENT INVESTMENT]]</f>
        <v>0</v>
      </c>
      <c r="AR436" s="6">
        <f>SUMIFS(DivAndTax[Tax Amount],DivAndTax[Investor ID],INVESTORS_LIST[[#This Row],[INVESTOR CODE]])</f>
        <v>0</v>
      </c>
      <c r="AS436" s="6">
        <f>SUMIFS(DivAndTax[Gross Dividend],DivAndTax[Investor ID],INVESTORS_LIST[[#This Row],[INVESTOR CODE]])</f>
        <v>0</v>
      </c>
      <c r="AT436" s="5">
        <f>IFERROR(INVESTORS_LIST[[#This Row],[TOTAL CURRENT UNITS]]/SUM(INVESTORS_LIST[TOTAL CURRENT UNITS]),0)</f>
        <v>0</v>
      </c>
    </row>
    <row r="437" spans="1:46" hidden="1">
      <c r="A437" t="s">
        <v>952</v>
      </c>
      <c r="B437" t="s">
        <v>953</v>
      </c>
      <c r="C437" t="s">
        <v>536</v>
      </c>
      <c r="D437" s="8" t="s">
        <v>2</v>
      </c>
      <c r="E437" s="2">
        <f>SUMIFS(LS[Unit],LS[Investor ID],INVESTORS_LIST[[#This Row],[INVESTOR CODE]],LS[B/S],"B")</f>
        <v>0</v>
      </c>
      <c r="F437" s="2">
        <f>-SUMIFS(LS[Unit],LS[Investor ID],INVESTORS_LIST[[#This Row],[INVESTOR CODE]],LS[B/S],"S")</f>
        <v>0</v>
      </c>
      <c r="G437" s="2">
        <f>IF(INVESTORS_LIST[[#This Row],[LS_TOTAL UNITS BUY]]=0,0,INVESTORS_LIST[[#This Row],[LS_TOTAL UNITS BUY]]-INVESTORS_LIST[[#This Row],[LS_TOTAL UNITS SOLD]])</f>
        <v>0</v>
      </c>
      <c r="H437" s="4">
        <f>IF(INVESTORS_LIST[[#This Row],[LS_TOTAL UNITS BUY]]=0,0,SUMIFS(LS[Amount],LS[Investor ID],INVESTORS_LIST[[#This Row],[INVESTOR CODE]],LS[B/S],"B"))</f>
        <v>0</v>
      </c>
      <c r="I437" s="6">
        <f>IF(INVESTORS_LIST[[#This Row],[LS_TOTAL UNITS SOLD]]=0,0,SUMIFS(LS[Cost of Units Sold],LS[Investor ID],INVESTORS_LIST[[#This Row],[INVESTOR CODE]],LS[B/S],"S"))</f>
        <v>0</v>
      </c>
      <c r="J437" s="6">
        <f>IF(INVESTORS_LIST[[#This Row],[LS_TOTAL CURRENT UNITS]]=0,0,INVESTORS_LIST[[#This Row],[LS_TOTAL CURRENT UNITS]]*INVESTORS_LIST[[#This Row],[LS_AVERAGE COST]])</f>
        <v>0</v>
      </c>
      <c r="K437" s="4">
        <f>IF(INVESTORS_LIST[[#This Row],[LS_TOTAL UNITS SOLD]]=0,0,SUMIFS(LS[Realized Gain],LS[Investor ID],INVESTORS_LIST[[#This Row],[INVESTOR CODE]],LS[B/S],"S"))</f>
        <v>0</v>
      </c>
      <c r="L437" s="2">
        <f>SUMIFS(SIP[Unit],SIP[Investor ID],INVESTORS_LIST[[#This Row],[INVESTOR CODE]],SIP[B/S],"B")</f>
        <v>0</v>
      </c>
      <c r="M437" s="2">
        <f>-SUMIFS(SIP[Unit],SIP[Investor ID],INVESTORS_LIST[[#This Row],[INVESTOR CODE]],SIP[B/S],"S")</f>
        <v>0</v>
      </c>
      <c r="N437" s="33">
        <f>IF(INVESTORS_LIST[[#This Row],[SIP_TOTAL UNITS BUY]]=0,0,INVESTORS_LIST[[#This Row],[SIP_TOTAL UNITS BUY]]-INVESTORS_LIST[[#This Row],[SIP_TOTAL UNITS SOLD]])</f>
        <v>0</v>
      </c>
      <c r="O437" s="4">
        <f>IF(INVESTORS_LIST[[#This Row],[SIP_TOTAL UNITS BUY]]=0,0,SUMIFS(SIP[Amount],SIP[Investor ID],INVESTORS_LIST[[#This Row],[INVESTOR CODE]],SIP[B/S],"B"))</f>
        <v>0</v>
      </c>
      <c r="P437" s="4">
        <f>IF(INVESTORS_LIST[[#This Row],[SIP_TOTAL UNITS SOLD]]=0,0,SUMIFS(SIP[Cost of Units Sold],SIP[Investor ID],INVESTORS_LIST[[#This Row],[INVESTOR CODE]],SIP[B/S],"S"))</f>
        <v>0</v>
      </c>
      <c r="Q437" s="6">
        <f>IF(INVESTORS_LIST[[#This Row],[SIP_TOTAL CURRENT UNITS]]=0,0,INVESTORS_LIST[[#This Row],[SIP_TOTAL CURRENT UNITS]]*INVESTORS_LIST[[#This Row],[SIP_AVERAGE COST]])</f>
        <v>0</v>
      </c>
      <c r="R437" s="6">
        <f>IF(INVESTORS_LIST[[#This Row],[SIP_TOTAL UNITS SOLD]]=0,0,SUMIFS(SIP[Realized Gain],SIP[Investor ID],INVESTORS_LIST[[#This Row],[INVESTOR CODE]],SIP[B/S],"S"))</f>
        <v>0</v>
      </c>
      <c r="S437" s="33">
        <f>INVESTORS_LIST[[#This Row],[LS_TOTAL UNITS BUY]]+INVESTORS_LIST[[#This Row],[SIP_TOTAL UNITS BUY]]</f>
        <v>0</v>
      </c>
      <c r="T437" s="33">
        <f>INVESTORS_LIST[[#This Row],[LS_TOTAL UNITS SOLD]]+INVESTORS_LIST[[#This Row],[SIP_TOTAL UNITS SOLD]]</f>
        <v>0</v>
      </c>
      <c r="U437" s="33">
        <v>0</v>
      </c>
      <c r="V437" s="33">
        <f>SUMIFS(LS[BO UNIT TRANSFER],LS[Investor ID],INVESTORS_LIST[[#This Row],[INVESTOR CODE]],LS[B/S],"B")</f>
        <v>0</v>
      </c>
      <c r="W437" s="33">
        <f>SUMIFS(LS[BO UNIT TRANSFER],LS[Investor ID],INVESTORS_LIST[[#This Row],[INVESTOR CODE]],LS[B/S],"S")</f>
        <v>0</v>
      </c>
      <c r="X437" s="33">
        <f>SUMIFS(SIP[BO UNIT TRANSFER],SIP[Investor ID],INVESTORS_LIST[[#This Row],[INVESTOR CODE]],SIP[B/S],"S")</f>
        <v>0</v>
      </c>
      <c r="Y437" s="33">
        <f>SUMIFS(SIP[BO UNIT TRANSFER],SIP[Investor ID],INVESTORS_LIST[[#This Row],[INVESTOR CODE]],SIP[B/S],"B")</f>
        <v>0</v>
      </c>
      <c r="Z43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37" s="119">
        <f>INVESTORS_LIST[[#This Row],[TOTAL UNITS BUY]]-INVESTORS_LIST[[#This Row],[TOTAL UNITS SOLD]]</f>
        <v>0</v>
      </c>
      <c r="AB437" s="119">
        <f>INVESTORS_LIST[[#This Row],[TOTAL CURRENT UNITS]]-INVESTORS_LIST[[#This Row],[BO UNITS HOLD]]</f>
        <v>0</v>
      </c>
      <c r="AC437" s="119" t="e">
        <f>INDEX([4]!Table_1[BO ID],MATCH(INVESTORS_LIST[[#This Row],[INVESTOR CODE]],[4]!Table_1[INVESTOR CODE],0))</f>
        <v>#REF!</v>
      </c>
      <c r="AD437" s="33">
        <f>INVESTORS_LIST[[#This Row],[LS_TOTAL COST VALUE OF CURRENT UNITS]]+INVESTORS_LIST[[#This Row],[SIP_TOTAL COST VALUE OF CURRENT UNITS]]</f>
        <v>0</v>
      </c>
      <c r="AE437" s="44">
        <f>IF(INVESTORS_LIST[[#This Row],[TOTAL CURRENT UNITS]]=0,0,INVESTORS_LIST[[#This Row],[LS_TOTAL CURRENT UNITS]]/INVESTORS_LIST[[#This Row],[TOTAL CURRENT UNITS]])</f>
        <v>0</v>
      </c>
      <c r="AF437" s="44">
        <f>IF(INVESTORS_LIST[[#This Row],[TOTAL CURRENT UNITS]]=0,0,INVESTORS_LIST[[#This Row],[SIP_TOTAL CURRENT UNITS]]/INVESTORS_LIST[[#This Row],[TOTAL CURRENT UNITS]])</f>
        <v>0</v>
      </c>
      <c r="AG437" s="4" cm="1">
        <f t="array" ref="AG4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37" s="4" cm="1">
        <f t="array" ref="AH4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3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37" s="178">
        <f t="shared" si="6"/>
        <v>12.552</v>
      </c>
      <c r="AK437" s="118">
        <f>IF(INVESTORS_LIST[[#This Row],[TOTAL CURRENT UNITS]]=0,0,INVESTORS_LIST[[#This Row],[TOTAL CURRENT UNITS]]*INVESTORS_LIST[[#This Row],[NAV]])</f>
        <v>0</v>
      </c>
      <c r="AL437" s="4">
        <f>IF(INVESTORS_LIST[[#This Row],[LS_TOTAL CURRENT UNITS]]=0,0,INVESTORS_LIST[[#This Row],[LS_TOTAL CURRENT UNITS]]*INVESTORS_LIST[[#This Row],[NAV]])</f>
        <v>0</v>
      </c>
      <c r="AM437" s="6">
        <f>IF(INVESTORS_LIST[[#This Row],[SIP_TOTAL CURRENT UNITS]]=0,0,INVESTORS_LIST[[#This Row],[SIP_TOTAL CURRENT UNITS]]*INVESTORS_LIST[[#This Row],[NAV]])</f>
        <v>0</v>
      </c>
      <c r="AO437" s="6">
        <f>IF(INVESTORS_LIST[[#This Row],[TOTAL SELLABLE UNITS]]=0,0,INVESTORS_LIST[[#This Row],[TOTAL SELLABLE UNITS]]*INVESTORS_LIST[[#This Row],[NAV]])</f>
        <v>0</v>
      </c>
      <c r="AP437" s="6">
        <f>INVESTORS_LIST[[#This Row],[LS_TOTAL REALIZED GAIN]]+INVESTORS_LIST[[#This Row],[SIP_TOTAL REALIZED GAIN]]</f>
        <v>0</v>
      </c>
      <c r="AQ437" s="6">
        <f>INVESTORS_LIST[[#This Row],[TOTAL MARKET VALUE]]-INVESTORS_LIST[[#This Row],[TOTAL COST VALUE OF CURRENT INVESTMENT]]</f>
        <v>0</v>
      </c>
      <c r="AR437" s="6">
        <f>SUMIFS(DivAndTax[Tax Amount],DivAndTax[Investor ID],INVESTORS_LIST[[#This Row],[INVESTOR CODE]])</f>
        <v>0</v>
      </c>
      <c r="AS437" s="6">
        <f>SUMIFS(DivAndTax[Gross Dividend],DivAndTax[Investor ID],INVESTORS_LIST[[#This Row],[INVESTOR CODE]])</f>
        <v>0</v>
      </c>
      <c r="AT437" s="5">
        <f>IFERROR(INVESTORS_LIST[[#This Row],[TOTAL CURRENT UNITS]]/SUM(INVESTORS_LIST[TOTAL CURRENT UNITS]),0)</f>
        <v>0</v>
      </c>
    </row>
    <row r="438" spans="1:46" hidden="1">
      <c r="A438" t="s">
        <v>954</v>
      </c>
      <c r="B438" t="s">
        <v>955</v>
      </c>
      <c r="C438" t="s">
        <v>537</v>
      </c>
      <c r="D438" s="8" t="s">
        <v>5</v>
      </c>
      <c r="E438" s="2">
        <f>SUMIFS(LS[Unit],LS[Investor ID],INVESTORS_LIST[[#This Row],[INVESTOR CODE]],LS[B/S],"B")</f>
        <v>0</v>
      </c>
      <c r="F438" s="2">
        <f>-SUMIFS(LS[Unit],LS[Investor ID],INVESTORS_LIST[[#This Row],[INVESTOR CODE]],LS[B/S],"S")</f>
        <v>0</v>
      </c>
      <c r="G438" s="2">
        <f>IF(INVESTORS_LIST[[#This Row],[LS_TOTAL UNITS BUY]]=0,0,INVESTORS_LIST[[#This Row],[LS_TOTAL UNITS BUY]]-INVESTORS_LIST[[#This Row],[LS_TOTAL UNITS SOLD]])</f>
        <v>0</v>
      </c>
      <c r="H438" s="4">
        <f>IF(INVESTORS_LIST[[#This Row],[LS_TOTAL UNITS BUY]]=0,0,SUMIFS(LS[Amount],LS[Investor ID],INVESTORS_LIST[[#This Row],[INVESTOR CODE]],LS[B/S],"B"))</f>
        <v>0</v>
      </c>
      <c r="I438" s="6">
        <f>IF(INVESTORS_LIST[[#This Row],[LS_TOTAL UNITS SOLD]]=0,0,SUMIFS(LS[Cost of Units Sold],LS[Investor ID],INVESTORS_LIST[[#This Row],[INVESTOR CODE]],LS[B/S],"S"))</f>
        <v>0</v>
      </c>
      <c r="J438" s="6">
        <f>IF(INVESTORS_LIST[[#This Row],[LS_TOTAL CURRENT UNITS]]=0,0,INVESTORS_LIST[[#This Row],[LS_TOTAL CURRENT UNITS]]*INVESTORS_LIST[[#This Row],[LS_AVERAGE COST]])</f>
        <v>0</v>
      </c>
      <c r="K438" s="4">
        <f>IF(INVESTORS_LIST[[#This Row],[LS_TOTAL UNITS SOLD]]=0,0,SUMIFS(LS[Realized Gain],LS[Investor ID],INVESTORS_LIST[[#This Row],[INVESTOR CODE]],LS[B/S],"S"))</f>
        <v>0</v>
      </c>
      <c r="L438" s="2">
        <f>SUMIFS(SIP[Unit],SIP[Investor ID],INVESTORS_LIST[[#This Row],[INVESTOR CODE]],SIP[B/S],"B")</f>
        <v>0</v>
      </c>
      <c r="M438" s="2">
        <f>-SUMIFS(SIP[Unit],SIP[Investor ID],INVESTORS_LIST[[#This Row],[INVESTOR CODE]],SIP[B/S],"S")</f>
        <v>0</v>
      </c>
      <c r="N438" s="33">
        <f>IF(INVESTORS_LIST[[#This Row],[SIP_TOTAL UNITS BUY]]=0,0,INVESTORS_LIST[[#This Row],[SIP_TOTAL UNITS BUY]]-INVESTORS_LIST[[#This Row],[SIP_TOTAL UNITS SOLD]])</f>
        <v>0</v>
      </c>
      <c r="O438" s="4">
        <f>IF(INVESTORS_LIST[[#This Row],[SIP_TOTAL UNITS BUY]]=0,0,SUMIFS(SIP[Amount],SIP[Investor ID],INVESTORS_LIST[[#This Row],[INVESTOR CODE]],SIP[B/S],"B"))</f>
        <v>0</v>
      </c>
      <c r="P438" s="4">
        <f>IF(INVESTORS_LIST[[#This Row],[SIP_TOTAL UNITS SOLD]]=0,0,SUMIFS(SIP[Cost of Units Sold],SIP[Investor ID],INVESTORS_LIST[[#This Row],[INVESTOR CODE]],SIP[B/S],"S"))</f>
        <v>0</v>
      </c>
      <c r="Q438" s="6">
        <f>IF(INVESTORS_LIST[[#This Row],[SIP_TOTAL CURRENT UNITS]]=0,0,INVESTORS_LIST[[#This Row],[SIP_TOTAL CURRENT UNITS]]*INVESTORS_LIST[[#This Row],[SIP_AVERAGE COST]])</f>
        <v>0</v>
      </c>
      <c r="R438" s="6">
        <f>IF(INVESTORS_LIST[[#This Row],[SIP_TOTAL UNITS SOLD]]=0,0,SUMIFS(SIP[Realized Gain],SIP[Investor ID],INVESTORS_LIST[[#This Row],[INVESTOR CODE]],SIP[B/S],"S"))</f>
        <v>0</v>
      </c>
      <c r="S438" s="33">
        <f>INVESTORS_LIST[[#This Row],[LS_TOTAL UNITS BUY]]+INVESTORS_LIST[[#This Row],[SIP_TOTAL UNITS BUY]]</f>
        <v>0</v>
      </c>
      <c r="T438" s="33">
        <f>INVESTORS_LIST[[#This Row],[LS_TOTAL UNITS SOLD]]+INVESTORS_LIST[[#This Row],[SIP_TOTAL UNITS SOLD]]</f>
        <v>0</v>
      </c>
      <c r="U438" s="33">
        <v>0</v>
      </c>
      <c r="V438" s="33">
        <f>SUMIFS(LS[BO UNIT TRANSFER],LS[Investor ID],INVESTORS_LIST[[#This Row],[INVESTOR CODE]],LS[B/S],"B")</f>
        <v>0</v>
      </c>
      <c r="W438" s="33">
        <f>SUMIFS(LS[BO UNIT TRANSFER],LS[Investor ID],INVESTORS_LIST[[#This Row],[INVESTOR CODE]],LS[B/S],"S")</f>
        <v>0</v>
      </c>
      <c r="X438" s="33">
        <f>SUMIFS(SIP[BO UNIT TRANSFER],SIP[Investor ID],INVESTORS_LIST[[#This Row],[INVESTOR CODE]],SIP[B/S],"S")</f>
        <v>0</v>
      </c>
      <c r="Y438" s="33">
        <f>SUMIFS(SIP[BO UNIT TRANSFER],SIP[Investor ID],INVESTORS_LIST[[#This Row],[INVESTOR CODE]],SIP[B/S],"B")</f>
        <v>0</v>
      </c>
      <c r="Z43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38" s="119">
        <f>INVESTORS_LIST[[#This Row],[TOTAL UNITS BUY]]-INVESTORS_LIST[[#This Row],[TOTAL UNITS SOLD]]</f>
        <v>0</v>
      </c>
      <c r="AB438" s="119">
        <f>INVESTORS_LIST[[#This Row],[TOTAL CURRENT UNITS]]-INVESTORS_LIST[[#This Row],[BO UNITS HOLD]]</f>
        <v>0</v>
      </c>
      <c r="AC438" s="119" t="e">
        <f>INDEX([4]!Table_1[BO ID],MATCH(INVESTORS_LIST[[#This Row],[INVESTOR CODE]],[4]!Table_1[INVESTOR CODE],0))</f>
        <v>#REF!</v>
      </c>
      <c r="AD438" s="33">
        <f>INVESTORS_LIST[[#This Row],[LS_TOTAL COST VALUE OF CURRENT UNITS]]+INVESTORS_LIST[[#This Row],[SIP_TOTAL COST VALUE OF CURRENT UNITS]]</f>
        <v>0</v>
      </c>
      <c r="AE438" s="44">
        <f>IF(INVESTORS_LIST[[#This Row],[TOTAL CURRENT UNITS]]=0,0,INVESTORS_LIST[[#This Row],[LS_TOTAL CURRENT UNITS]]/INVESTORS_LIST[[#This Row],[TOTAL CURRENT UNITS]])</f>
        <v>0</v>
      </c>
      <c r="AF438" s="44">
        <f>IF(INVESTORS_LIST[[#This Row],[TOTAL CURRENT UNITS]]=0,0,INVESTORS_LIST[[#This Row],[SIP_TOTAL CURRENT UNITS]]/INVESTORS_LIST[[#This Row],[TOTAL CURRENT UNITS]])</f>
        <v>0</v>
      </c>
      <c r="AG438" s="4" cm="1">
        <f t="array" ref="AG43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38" s="4" cm="1">
        <f t="array" ref="AH4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3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38" s="178">
        <f t="shared" si="6"/>
        <v>12.552</v>
      </c>
      <c r="AK438" s="118">
        <f>IF(INVESTORS_LIST[[#This Row],[TOTAL CURRENT UNITS]]=0,0,INVESTORS_LIST[[#This Row],[TOTAL CURRENT UNITS]]*INVESTORS_LIST[[#This Row],[NAV]])</f>
        <v>0</v>
      </c>
      <c r="AL438" s="4">
        <f>IF(INVESTORS_LIST[[#This Row],[LS_TOTAL CURRENT UNITS]]=0,0,INVESTORS_LIST[[#This Row],[LS_TOTAL CURRENT UNITS]]*INVESTORS_LIST[[#This Row],[NAV]])</f>
        <v>0</v>
      </c>
      <c r="AM438" s="6">
        <f>IF(INVESTORS_LIST[[#This Row],[SIP_TOTAL CURRENT UNITS]]=0,0,INVESTORS_LIST[[#This Row],[SIP_TOTAL CURRENT UNITS]]*INVESTORS_LIST[[#This Row],[NAV]])</f>
        <v>0</v>
      </c>
      <c r="AO438" s="6">
        <f>IF(INVESTORS_LIST[[#This Row],[TOTAL SELLABLE UNITS]]=0,0,INVESTORS_LIST[[#This Row],[TOTAL SELLABLE UNITS]]*INVESTORS_LIST[[#This Row],[NAV]])</f>
        <v>0</v>
      </c>
      <c r="AP438" s="6">
        <f>INVESTORS_LIST[[#This Row],[LS_TOTAL REALIZED GAIN]]+INVESTORS_LIST[[#This Row],[SIP_TOTAL REALIZED GAIN]]</f>
        <v>0</v>
      </c>
      <c r="AQ438" s="6">
        <f>INVESTORS_LIST[[#This Row],[TOTAL MARKET VALUE]]-INVESTORS_LIST[[#This Row],[TOTAL COST VALUE OF CURRENT INVESTMENT]]</f>
        <v>0</v>
      </c>
      <c r="AR438" s="6">
        <f>SUMIFS(DivAndTax[Tax Amount],DivAndTax[Investor ID],INVESTORS_LIST[[#This Row],[INVESTOR CODE]])</f>
        <v>0</v>
      </c>
      <c r="AS438" s="6">
        <f>SUMIFS(DivAndTax[Gross Dividend],DivAndTax[Investor ID],INVESTORS_LIST[[#This Row],[INVESTOR CODE]])</f>
        <v>0</v>
      </c>
      <c r="AT438" s="5">
        <f>IFERROR(INVESTORS_LIST[[#This Row],[TOTAL CURRENT UNITS]]/SUM(INVESTORS_LIST[TOTAL CURRENT UNITS]),0)</f>
        <v>0</v>
      </c>
    </row>
    <row r="439" spans="1:46" hidden="1">
      <c r="A439" t="s">
        <v>962</v>
      </c>
      <c r="B439" t="s">
        <v>963</v>
      </c>
      <c r="C439" t="s">
        <v>536</v>
      </c>
      <c r="D439" s="8" t="s">
        <v>2</v>
      </c>
      <c r="E439" s="2">
        <f>SUMIFS(LS[Unit],LS[Investor ID],INVESTORS_LIST[[#This Row],[INVESTOR CODE]],LS[B/S],"B")</f>
        <v>0</v>
      </c>
      <c r="F439" s="2">
        <f>-SUMIFS(LS[Unit],LS[Investor ID],INVESTORS_LIST[[#This Row],[INVESTOR CODE]],LS[B/S],"S")</f>
        <v>0</v>
      </c>
      <c r="G439" s="2">
        <f>IF(INVESTORS_LIST[[#This Row],[LS_TOTAL UNITS BUY]]=0,0,INVESTORS_LIST[[#This Row],[LS_TOTAL UNITS BUY]]-INVESTORS_LIST[[#This Row],[LS_TOTAL UNITS SOLD]])</f>
        <v>0</v>
      </c>
      <c r="H439" s="4">
        <f>IF(INVESTORS_LIST[[#This Row],[LS_TOTAL UNITS BUY]]=0,0,SUMIFS(LS[Amount],LS[Investor ID],INVESTORS_LIST[[#This Row],[INVESTOR CODE]],LS[B/S],"B"))</f>
        <v>0</v>
      </c>
      <c r="I439" s="6">
        <f>IF(INVESTORS_LIST[[#This Row],[LS_TOTAL UNITS SOLD]]=0,0,SUMIFS(LS[Cost of Units Sold],LS[Investor ID],INVESTORS_LIST[[#This Row],[INVESTOR CODE]],LS[B/S],"S"))</f>
        <v>0</v>
      </c>
      <c r="J439" s="6">
        <f>IF(INVESTORS_LIST[[#This Row],[LS_TOTAL CURRENT UNITS]]=0,0,INVESTORS_LIST[[#This Row],[LS_TOTAL CURRENT UNITS]]*INVESTORS_LIST[[#This Row],[LS_AVERAGE COST]])</f>
        <v>0</v>
      </c>
      <c r="K439" s="4">
        <f>IF(INVESTORS_LIST[[#This Row],[LS_TOTAL UNITS SOLD]]=0,0,SUMIFS(LS[Realized Gain],LS[Investor ID],INVESTORS_LIST[[#This Row],[INVESTOR CODE]],LS[B/S],"S"))</f>
        <v>0</v>
      </c>
      <c r="L439" s="2">
        <f>SUMIFS(SIP[Unit],SIP[Investor ID],INVESTORS_LIST[[#This Row],[INVESTOR CODE]],SIP[B/S],"B")</f>
        <v>0</v>
      </c>
      <c r="M439" s="2">
        <f>-SUMIFS(SIP[Unit],SIP[Investor ID],INVESTORS_LIST[[#This Row],[INVESTOR CODE]],SIP[B/S],"S")</f>
        <v>0</v>
      </c>
      <c r="N439" s="33">
        <f>IF(INVESTORS_LIST[[#This Row],[SIP_TOTAL UNITS BUY]]=0,0,INVESTORS_LIST[[#This Row],[SIP_TOTAL UNITS BUY]]-INVESTORS_LIST[[#This Row],[SIP_TOTAL UNITS SOLD]])</f>
        <v>0</v>
      </c>
      <c r="O439" s="4">
        <f>IF(INVESTORS_LIST[[#This Row],[SIP_TOTAL UNITS BUY]]=0,0,SUMIFS(SIP[Amount],SIP[Investor ID],INVESTORS_LIST[[#This Row],[INVESTOR CODE]],SIP[B/S],"B"))</f>
        <v>0</v>
      </c>
      <c r="P439" s="4">
        <f>IF(INVESTORS_LIST[[#This Row],[SIP_TOTAL UNITS SOLD]]=0,0,SUMIFS(SIP[Cost of Units Sold],SIP[Investor ID],INVESTORS_LIST[[#This Row],[INVESTOR CODE]],SIP[B/S],"S"))</f>
        <v>0</v>
      </c>
      <c r="Q439" s="6">
        <f>IF(INVESTORS_LIST[[#This Row],[SIP_TOTAL CURRENT UNITS]]=0,0,INVESTORS_LIST[[#This Row],[SIP_TOTAL CURRENT UNITS]]*INVESTORS_LIST[[#This Row],[SIP_AVERAGE COST]])</f>
        <v>0</v>
      </c>
      <c r="R439" s="6">
        <f>IF(INVESTORS_LIST[[#This Row],[SIP_TOTAL UNITS SOLD]]=0,0,SUMIFS(SIP[Realized Gain],SIP[Investor ID],INVESTORS_LIST[[#This Row],[INVESTOR CODE]],SIP[B/S],"S"))</f>
        <v>0</v>
      </c>
      <c r="S439" s="33">
        <f>INVESTORS_LIST[[#This Row],[LS_TOTAL UNITS BUY]]+INVESTORS_LIST[[#This Row],[SIP_TOTAL UNITS BUY]]</f>
        <v>0</v>
      </c>
      <c r="T439" s="33">
        <f>INVESTORS_LIST[[#This Row],[LS_TOTAL UNITS SOLD]]+INVESTORS_LIST[[#This Row],[SIP_TOTAL UNITS SOLD]]</f>
        <v>0</v>
      </c>
      <c r="U439" s="33">
        <v>0</v>
      </c>
      <c r="V439" s="33">
        <f>SUMIFS(LS[BO UNIT TRANSFER],LS[Investor ID],INVESTORS_LIST[[#This Row],[INVESTOR CODE]],LS[B/S],"B")</f>
        <v>0</v>
      </c>
      <c r="W439" s="33">
        <f>SUMIFS(LS[BO UNIT TRANSFER],LS[Investor ID],INVESTORS_LIST[[#This Row],[INVESTOR CODE]],LS[B/S],"S")</f>
        <v>0</v>
      </c>
      <c r="X439" s="33">
        <f>SUMIFS(SIP[BO UNIT TRANSFER],SIP[Investor ID],INVESTORS_LIST[[#This Row],[INVESTOR CODE]],SIP[B/S],"S")</f>
        <v>0</v>
      </c>
      <c r="Y439" s="33">
        <f>SUMIFS(SIP[BO UNIT TRANSFER],SIP[Investor ID],INVESTORS_LIST[[#This Row],[INVESTOR CODE]],SIP[B/S],"B")</f>
        <v>0</v>
      </c>
      <c r="Z43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39" s="119">
        <f>INVESTORS_LIST[[#This Row],[TOTAL UNITS BUY]]-INVESTORS_LIST[[#This Row],[TOTAL UNITS SOLD]]</f>
        <v>0</v>
      </c>
      <c r="AB439" s="119">
        <f>INVESTORS_LIST[[#This Row],[TOTAL CURRENT UNITS]]-INVESTORS_LIST[[#This Row],[BO UNITS HOLD]]</f>
        <v>0</v>
      </c>
      <c r="AC439" s="119" t="e">
        <f>INDEX([4]!Table_1[BO ID],MATCH(INVESTORS_LIST[[#This Row],[INVESTOR CODE]],[4]!Table_1[INVESTOR CODE],0))</f>
        <v>#REF!</v>
      </c>
      <c r="AD439" s="33">
        <f>INVESTORS_LIST[[#This Row],[LS_TOTAL COST VALUE OF CURRENT UNITS]]+INVESTORS_LIST[[#This Row],[SIP_TOTAL COST VALUE OF CURRENT UNITS]]</f>
        <v>0</v>
      </c>
      <c r="AE439" s="44">
        <f>IF(INVESTORS_LIST[[#This Row],[TOTAL CURRENT UNITS]]=0,0,INVESTORS_LIST[[#This Row],[LS_TOTAL CURRENT UNITS]]/INVESTORS_LIST[[#This Row],[TOTAL CURRENT UNITS]])</f>
        <v>0</v>
      </c>
      <c r="AF439" s="44">
        <f>IF(INVESTORS_LIST[[#This Row],[TOTAL CURRENT UNITS]]=0,0,INVESTORS_LIST[[#This Row],[SIP_TOTAL CURRENT UNITS]]/INVESTORS_LIST[[#This Row],[TOTAL CURRENT UNITS]])</f>
        <v>0</v>
      </c>
      <c r="AG439" s="4" cm="1">
        <f t="array" ref="AG4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39" s="4" cm="1">
        <f t="array" ref="AH4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3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39" s="178">
        <f t="shared" ref="AJ439:AJ462" si="7">NAV_MKT</f>
        <v>12.552</v>
      </c>
      <c r="AK439" s="118">
        <f>IF(INVESTORS_LIST[[#This Row],[TOTAL CURRENT UNITS]]=0,0,INVESTORS_LIST[[#This Row],[TOTAL CURRENT UNITS]]*INVESTORS_LIST[[#This Row],[NAV]])</f>
        <v>0</v>
      </c>
      <c r="AL439" s="4">
        <f>IF(INVESTORS_LIST[[#This Row],[LS_TOTAL CURRENT UNITS]]=0,0,INVESTORS_LIST[[#This Row],[LS_TOTAL CURRENT UNITS]]*INVESTORS_LIST[[#This Row],[NAV]])</f>
        <v>0</v>
      </c>
      <c r="AM439" s="6">
        <f>IF(INVESTORS_LIST[[#This Row],[SIP_TOTAL CURRENT UNITS]]=0,0,INVESTORS_LIST[[#This Row],[SIP_TOTAL CURRENT UNITS]]*INVESTORS_LIST[[#This Row],[NAV]])</f>
        <v>0</v>
      </c>
      <c r="AO439" s="6">
        <f>IF(INVESTORS_LIST[[#This Row],[TOTAL SELLABLE UNITS]]=0,0,INVESTORS_LIST[[#This Row],[TOTAL SELLABLE UNITS]]*INVESTORS_LIST[[#This Row],[NAV]])</f>
        <v>0</v>
      </c>
      <c r="AP439" s="6">
        <f>INVESTORS_LIST[[#This Row],[LS_TOTAL REALIZED GAIN]]+INVESTORS_LIST[[#This Row],[SIP_TOTAL REALIZED GAIN]]</f>
        <v>0</v>
      </c>
      <c r="AQ439" s="6">
        <f>INVESTORS_LIST[[#This Row],[TOTAL MARKET VALUE]]-INVESTORS_LIST[[#This Row],[TOTAL COST VALUE OF CURRENT INVESTMENT]]</f>
        <v>0</v>
      </c>
      <c r="AR439" s="6">
        <f>SUMIFS(DivAndTax[Tax Amount],DivAndTax[Investor ID],INVESTORS_LIST[[#This Row],[INVESTOR CODE]])</f>
        <v>0</v>
      </c>
      <c r="AS439" s="6">
        <f>SUMIFS(DivAndTax[Gross Dividend],DivAndTax[Investor ID],INVESTORS_LIST[[#This Row],[INVESTOR CODE]])</f>
        <v>0</v>
      </c>
      <c r="AT439" s="5">
        <f>IFERROR(INVESTORS_LIST[[#This Row],[TOTAL CURRENT UNITS]]/SUM(INVESTORS_LIST[TOTAL CURRENT UNITS]),0)</f>
        <v>0</v>
      </c>
    </row>
    <row r="440" spans="1:46" hidden="1">
      <c r="A440" t="s">
        <v>964</v>
      </c>
      <c r="B440" t="s">
        <v>965</v>
      </c>
      <c r="C440" t="s">
        <v>539</v>
      </c>
      <c r="D440" s="8" t="s">
        <v>2</v>
      </c>
      <c r="E440" s="2">
        <f>SUMIFS(LS[Unit],LS[Investor ID],INVESTORS_LIST[[#This Row],[INVESTOR CODE]],LS[B/S],"B")</f>
        <v>0</v>
      </c>
      <c r="F440" s="2">
        <f>-SUMIFS(LS[Unit],LS[Investor ID],INVESTORS_LIST[[#This Row],[INVESTOR CODE]],LS[B/S],"S")</f>
        <v>0</v>
      </c>
      <c r="G440" s="2">
        <f>IF(INVESTORS_LIST[[#This Row],[LS_TOTAL UNITS BUY]]=0,0,INVESTORS_LIST[[#This Row],[LS_TOTAL UNITS BUY]]-INVESTORS_LIST[[#This Row],[LS_TOTAL UNITS SOLD]])</f>
        <v>0</v>
      </c>
      <c r="H440" s="4">
        <f>IF(INVESTORS_LIST[[#This Row],[LS_TOTAL UNITS BUY]]=0,0,SUMIFS(LS[Amount],LS[Investor ID],INVESTORS_LIST[[#This Row],[INVESTOR CODE]],LS[B/S],"B"))</f>
        <v>0</v>
      </c>
      <c r="I440" s="6">
        <f>IF(INVESTORS_LIST[[#This Row],[LS_TOTAL UNITS SOLD]]=0,0,SUMIFS(LS[Cost of Units Sold],LS[Investor ID],INVESTORS_LIST[[#This Row],[INVESTOR CODE]],LS[B/S],"S"))</f>
        <v>0</v>
      </c>
      <c r="J440" s="6">
        <f>IF(INVESTORS_LIST[[#This Row],[LS_TOTAL CURRENT UNITS]]=0,0,INVESTORS_LIST[[#This Row],[LS_TOTAL CURRENT UNITS]]*INVESTORS_LIST[[#This Row],[LS_AVERAGE COST]])</f>
        <v>0</v>
      </c>
      <c r="K440" s="4">
        <f>IF(INVESTORS_LIST[[#This Row],[LS_TOTAL UNITS SOLD]]=0,0,SUMIFS(LS[Realized Gain],LS[Investor ID],INVESTORS_LIST[[#This Row],[INVESTOR CODE]],LS[B/S],"S"))</f>
        <v>0</v>
      </c>
      <c r="L440" s="2">
        <f>SUMIFS(SIP[Unit],SIP[Investor ID],INVESTORS_LIST[[#This Row],[INVESTOR CODE]],SIP[B/S],"B")</f>
        <v>0</v>
      </c>
      <c r="M440" s="2">
        <f>-SUMIFS(SIP[Unit],SIP[Investor ID],INVESTORS_LIST[[#This Row],[INVESTOR CODE]],SIP[B/S],"S")</f>
        <v>0</v>
      </c>
      <c r="N440" s="33">
        <f>IF(INVESTORS_LIST[[#This Row],[SIP_TOTAL UNITS BUY]]=0,0,INVESTORS_LIST[[#This Row],[SIP_TOTAL UNITS BUY]]-INVESTORS_LIST[[#This Row],[SIP_TOTAL UNITS SOLD]])</f>
        <v>0</v>
      </c>
      <c r="O440" s="4">
        <f>IF(INVESTORS_LIST[[#This Row],[SIP_TOTAL UNITS BUY]]=0,0,SUMIFS(SIP[Amount],SIP[Investor ID],INVESTORS_LIST[[#This Row],[INVESTOR CODE]],SIP[B/S],"B"))</f>
        <v>0</v>
      </c>
      <c r="P440" s="4">
        <f>IF(INVESTORS_LIST[[#This Row],[SIP_TOTAL UNITS SOLD]]=0,0,SUMIFS(SIP[Cost of Units Sold],SIP[Investor ID],INVESTORS_LIST[[#This Row],[INVESTOR CODE]],SIP[B/S],"S"))</f>
        <v>0</v>
      </c>
      <c r="Q440" s="6">
        <f>IF(INVESTORS_LIST[[#This Row],[SIP_TOTAL CURRENT UNITS]]=0,0,INVESTORS_LIST[[#This Row],[SIP_TOTAL CURRENT UNITS]]*INVESTORS_LIST[[#This Row],[SIP_AVERAGE COST]])</f>
        <v>0</v>
      </c>
      <c r="R440" s="6">
        <f>IF(INVESTORS_LIST[[#This Row],[SIP_TOTAL UNITS SOLD]]=0,0,SUMIFS(SIP[Realized Gain],SIP[Investor ID],INVESTORS_LIST[[#This Row],[INVESTOR CODE]],SIP[B/S],"S"))</f>
        <v>0</v>
      </c>
      <c r="S440" s="33">
        <f>INVESTORS_LIST[[#This Row],[LS_TOTAL UNITS BUY]]+INVESTORS_LIST[[#This Row],[SIP_TOTAL UNITS BUY]]</f>
        <v>0</v>
      </c>
      <c r="T440" s="33">
        <f>INVESTORS_LIST[[#This Row],[LS_TOTAL UNITS SOLD]]+INVESTORS_LIST[[#This Row],[SIP_TOTAL UNITS SOLD]]</f>
        <v>0</v>
      </c>
      <c r="U440" s="33">
        <v>0</v>
      </c>
      <c r="V440" s="33">
        <f>SUMIFS(LS[BO UNIT TRANSFER],LS[Investor ID],INVESTORS_LIST[[#This Row],[INVESTOR CODE]],LS[B/S],"B")</f>
        <v>0</v>
      </c>
      <c r="W440" s="33">
        <f>SUMIFS(LS[BO UNIT TRANSFER],LS[Investor ID],INVESTORS_LIST[[#This Row],[INVESTOR CODE]],LS[B/S],"S")</f>
        <v>0</v>
      </c>
      <c r="X440" s="33">
        <f>SUMIFS(SIP[BO UNIT TRANSFER],SIP[Investor ID],INVESTORS_LIST[[#This Row],[INVESTOR CODE]],SIP[B/S],"S")</f>
        <v>0</v>
      </c>
      <c r="Y440" s="33">
        <f>SUMIFS(SIP[BO UNIT TRANSFER],SIP[Investor ID],INVESTORS_LIST[[#This Row],[INVESTOR CODE]],SIP[B/S],"B")</f>
        <v>0</v>
      </c>
      <c r="Z44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40" s="119">
        <f>INVESTORS_LIST[[#This Row],[TOTAL UNITS BUY]]-INVESTORS_LIST[[#This Row],[TOTAL UNITS SOLD]]</f>
        <v>0</v>
      </c>
      <c r="AB440" s="119">
        <f>INVESTORS_LIST[[#This Row],[TOTAL CURRENT UNITS]]-INVESTORS_LIST[[#This Row],[BO UNITS HOLD]]</f>
        <v>0</v>
      </c>
      <c r="AC440" s="119" t="e">
        <f>INDEX([4]!Table_1[BO ID],MATCH(INVESTORS_LIST[[#This Row],[INVESTOR CODE]],[4]!Table_1[INVESTOR CODE],0))</f>
        <v>#REF!</v>
      </c>
      <c r="AD440" s="33">
        <f>INVESTORS_LIST[[#This Row],[LS_TOTAL COST VALUE OF CURRENT UNITS]]+INVESTORS_LIST[[#This Row],[SIP_TOTAL COST VALUE OF CURRENT UNITS]]</f>
        <v>0</v>
      </c>
      <c r="AE440" s="44">
        <f>IF(INVESTORS_LIST[[#This Row],[TOTAL CURRENT UNITS]]=0,0,INVESTORS_LIST[[#This Row],[LS_TOTAL CURRENT UNITS]]/INVESTORS_LIST[[#This Row],[TOTAL CURRENT UNITS]])</f>
        <v>0</v>
      </c>
      <c r="AF440" s="44">
        <f>IF(INVESTORS_LIST[[#This Row],[TOTAL CURRENT UNITS]]=0,0,INVESTORS_LIST[[#This Row],[SIP_TOTAL CURRENT UNITS]]/INVESTORS_LIST[[#This Row],[TOTAL CURRENT UNITS]])</f>
        <v>0</v>
      </c>
      <c r="AG440" s="4" cm="1">
        <f t="array" ref="AG4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40" s="4" cm="1">
        <f t="array" ref="AH4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4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40" s="178">
        <f t="shared" si="7"/>
        <v>12.552</v>
      </c>
      <c r="AK440" s="118">
        <f>IF(INVESTORS_LIST[[#This Row],[TOTAL CURRENT UNITS]]=0,0,INVESTORS_LIST[[#This Row],[TOTAL CURRENT UNITS]]*INVESTORS_LIST[[#This Row],[NAV]])</f>
        <v>0</v>
      </c>
      <c r="AL440" s="4">
        <f>IF(INVESTORS_LIST[[#This Row],[LS_TOTAL CURRENT UNITS]]=0,0,INVESTORS_LIST[[#This Row],[LS_TOTAL CURRENT UNITS]]*INVESTORS_LIST[[#This Row],[NAV]])</f>
        <v>0</v>
      </c>
      <c r="AM440" s="6">
        <f>IF(INVESTORS_LIST[[#This Row],[SIP_TOTAL CURRENT UNITS]]=0,0,INVESTORS_LIST[[#This Row],[SIP_TOTAL CURRENT UNITS]]*INVESTORS_LIST[[#This Row],[NAV]])</f>
        <v>0</v>
      </c>
      <c r="AO440" s="6">
        <f>IF(INVESTORS_LIST[[#This Row],[TOTAL SELLABLE UNITS]]=0,0,INVESTORS_LIST[[#This Row],[TOTAL SELLABLE UNITS]]*INVESTORS_LIST[[#This Row],[NAV]])</f>
        <v>0</v>
      </c>
      <c r="AP440" s="6">
        <f>INVESTORS_LIST[[#This Row],[LS_TOTAL REALIZED GAIN]]+INVESTORS_LIST[[#This Row],[SIP_TOTAL REALIZED GAIN]]</f>
        <v>0</v>
      </c>
      <c r="AQ440" s="6">
        <f>INVESTORS_LIST[[#This Row],[TOTAL MARKET VALUE]]-INVESTORS_LIST[[#This Row],[TOTAL COST VALUE OF CURRENT INVESTMENT]]</f>
        <v>0</v>
      </c>
      <c r="AR440" s="6">
        <f>SUMIFS(DivAndTax[Tax Amount],DivAndTax[Investor ID],INVESTORS_LIST[[#This Row],[INVESTOR CODE]])</f>
        <v>0</v>
      </c>
      <c r="AS440" s="6">
        <f>SUMIFS(DivAndTax[Gross Dividend],DivAndTax[Investor ID],INVESTORS_LIST[[#This Row],[INVESTOR CODE]])</f>
        <v>0</v>
      </c>
      <c r="AT440" s="5">
        <f>IFERROR(INVESTORS_LIST[[#This Row],[TOTAL CURRENT UNITS]]/SUM(INVESTORS_LIST[TOTAL CURRENT UNITS]),0)</f>
        <v>0</v>
      </c>
    </row>
    <row r="441" spans="1:46" hidden="1">
      <c r="A441" t="s">
        <v>966</v>
      </c>
      <c r="B441" t="s">
        <v>967</v>
      </c>
      <c r="C441" t="s">
        <v>536</v>
      </c>
      <c r="D441" s="8" t="s">
        <v>2</v>
      </c>
      <c r="E441" s="2">
        <f>SUMIFS(LS[Unit],LS[Investor ID],INVESTORS_LIST[[#This Row],[INVESTOR CODE]],LS[B/S],"B")</f>
        <v>0</v>
      </c>
      <c r="F441" s="2">
        <f>-SUMIFS(LS[Unit],LS[Investor ID],INVESTORS_LIST[[#This Row],[INVESTOR CODE]],LS[B/S],"S")</f>
        <v>0</v>
      </c>
      <c r="G441" s="2">
        <f>IF(INVESTORS_LIST[[#This Row],[LS_TOTAL UNITS BUY]]=0,0,INVESTORS_LIST[[#This Row],[LS_TOTAL UNITS BUY]]-INVESTORS_LIST[[#This Row],[LS_TOTAL UNITS SOLD]])</f>
        <v>0</v>
      </c>
      <c r="H441" s="4">
        <f>IF(INVESTORS_LIST[[#This Row],[LS_TOTAL UNITS BUY]]=0,0,SUMIFS(LS[Amount],LS[Investor ID],INVESTORS_LIST[[#This Row],[INVESTOR CODE]],LS[B/S],"B"))</f>
        <v>0</v>
      </c>
      <c r="I441" s="6">
        <f>IF(INVESTORS_LIST[[#This Row],[LS_TOTAL UNITS SOLD]]=0,0,SUMIFS(LS[Cost of Units Sold],LS[Investor ID],INVESTORS_LIST[[#This Row],[INVESTOR CODE]],LS[B/S],"S"))</f>
        <v>0</v>
      </c>
      <c r="J441" s="6">
        <f>IF(INVESTORS_LIST[[#This Row],[LS_TOTAL CURRENT UNITS]]=0,0,INVESTORS_LIST[[#This Row],[LS_TOTAL CURRENT UNITS]]*INVESTORS_LIST[[#This Row],[LS_AVERAGE COST]])</f>
        <v>0</v>
      </c>
      <c r="K441" s="4">
        <f>IF(INVESTORS_LIST[[#This Row],[LS_TOTAL UNITS SOLD]]=0,0,SUMIFS(LS[Realized Gain],LS[Investor ID],INVESTORS_LIST[[#This Row],[INVESTOR CODE]],LS[B/S],"S"))</f>
        <v>0</v>
      </c>
      <c r="L441" s="2">
        <f>SUMIFS(SIP[Unit],SIP[Investor ID],INVESTORS_LIST[[#This Row],[INVESTOR CODE]],SIP[B/S],"B")</f>
        <v>0</v>
      </c>
      <c r="M441" s="2">
        <f>-SUMIFS(SIP[Unit],SIP[Investor ID],INVESTORS_LIST[[#This Row],[INVESTOR CODE]],SIP[B/S],"S")</f>
        <v>0</v>
      </c>
      <c r="N441" s="33">
        <f>IF(INVESTORS_LIST[[#This Row],[SIP_TOTAL UNITS BUY]]=0,0,INVESTORS_LIST[[#This Row],[SIP_TOTAL UNITS BUY]]-INVESTORS_LIST[[#This Row],[SIP_TOTAL UNITS SOLD]])</f>
        <v>0</v>
      </c>
      <c r="O441" s="4">
        <f>IF(INVESTORS_LIST[[#This Row],[SIP_TOTAL UNITS BUY]]=0,0,SUMIFS(SIP[Amount],SIP[Investor ID],INVESTORS_LIST[[#This Row],[INVESTOR CODE]],SIP[B/S],"B"))</f>
        <v>0</v>
      </c>
      <c r="P441" s="4">
        <f>IF(INVESTORS_LIST[[#This Row],[SIP_TOTAL UNITS SOLD]]=0,0,SUMIFS(SIP[Cost of Units Sold],SIP[Investor ID],INVESTORS_LIST[[#This Row],[INVESTOR CODE]],SIP[B/S],"S"))</f>
        <v>0</v>
      </c>
      <c r="Q441" s="6">
        <f>IF(INVESTORS_LIST[[#This Row],[SIP_TOTAL CURRENT UNITS]]=0,0,INVESTORS_LIST[[#This Row],[SIP_TOTAL CURRENT UNITS]]*INVESTORS_LIST[[#This Row],[SIP_AVERAGE COST]])</f>
        <v>0</v>
      </c>
      <c r="R441" s="6">
        <f>IF(INVESTORS_LIST[[#This Row],[SIP_TOTAL UNITS SOLD]]=0,0,SUMIFS(SIP[Realized Gain],SIP[Investor ID],INVESTORS_LIST[[#This Row],[INVESTOR CODE]],SIP[B/S],"S"))</f>
        <v>0</v>
      </c>
      <c r="S441" s="33">
        <f>INVESTORS_LIST[[#This Row],[LS_TOTAL UNITS BUY]]+INVESTORS_LIST[[#This Row],[SIP_TOTAL UNITS BUY]]</f>
        <v>0</v>
      </c>
      <c r="T441" s="33">
        <f>INVESTORS_LIST[[#This Row],[LS_TOTAL UNITS SOLD]]+INVESTORS_LIST[[#This Row],[SIP_TOTAL UNITS SOLD]]</f>
        <v>0</v>
      </c>
      <c r="U441" s="33">
        <v>0</v>
      </c>
      <c r="V441" s="33">
        <f>SUMIFS(LS[BO UNIT TRANSFER],LS[Investor ID],INVESTORS_LIST[[#This Row],[INVESTOR CODE]],LS[B/S],"B")</f>
        <v>0</v>
      </c>
      <c r="W441" s="33">
        <f>SUMIFS(LS[BO UNIT TRANSFER],LS[Investor ID],INVESTORS_LIST[[#This Row],[INVESTOR CODE]],LS[B/S],"S")</f>
        <v>0</v>
      </c>
      <c r="X441" s="33">
        <f>SUMIFS(SIP[BO UNIT TRANSFER],SIP[Investor ID],INVESTORS_LIST[[#This Row],[INVESTOR CODE]],SIP[B/S],"S")</f>
        <v>0</v>
      </c>
      <c r="Y441" s="33">
        <f>SUMIFS(SIP[BO UNIT TRANSFER],SIP[Investor ID],INVESTORS_LIST[[#This Row],[INVESTOR CODE]],SIP[B/S],"B")</f>
        <v>0</v>
      </c>
      <c r="Z44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41" s="119">
        <f>INVESTORS_LIST[[#This Row],[TOTAL UNITS BUY]]-INVESTORS_LIST[[#This Row],[TOTAL UNITS SOLD]]</f>
        <v>0</v>
      </c>
      <c r="AB441" s="119">
        <f>INVESTORS_LIST[[#This Row],[TOTAL CURRENT UNITS]]-INVESTORS_LIST[[#This Row],[BO UNITS HOLD]]</f>
        <v>0</v>
      </c>
      <c r="AC441" s="119" t="e">
        <f>INDEX([4]!Table_1[BO ID],MATCH(INVESTORS_LIST[[#This Row],[INVESTOR CODE]],[4]!Table_1[INVESTOR CODE],0))</f>
        <v>#REF!</v>
      </c>
      <c r="AD441" s="33">
        <f>INVESTORS_LIST[[#This Row],[LS_TOTAL COST VALUE OF CURRENT UNITS]]+INVESTORS_LIST[[#This Row],[SIP_TOTAL COST VALUE OF CURRENT UNITS]]</f>
        <v>0</v>
      </c>
      <c r="AE441" s="44">
        <f>IF(INVESTORS_LIST[[#This Row],[TOTAL CURRENT UNITS]]=0,0,INVESTORS_LIST[[#This Row],[LS_TOTAL CURRENT UNITS]]/INVESTORS_LIST[[#This Row],[TOTAL CURRENT UNITS]])</f>
        <v>0</v>
      </c>
      <c r="AF441" s="44">
        <f>IF(INVESTORS_LIST[[#This Row],[TOTAL CURRENT UNITS]]=0,0,INVESTORS_LIST[[#This Row],[SIP_TOTAL CURRENT UNITS]]/INVESTORS_LIST[[#This Row],[TOTAL CURRENT UNITS]])</f>
        <v>0</v>
      </c>
      <c r="AG441" s="4" cm="1">
        <f t="array" ref="AG4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41" s="4" cm="1">
        <f t="array" ref="AH4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4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41" s="178">
        <f t="shared" si="7"/>
        <v>12.552</v>
      </c>
      <c r="AK441" s="118">
        <f>IF(INVESTORS_LIST[[#This Row],[TOTAL CURRENT UNITS]]=0,0,INVESTORS_LIST[[#This Row],[TOTAL CURRENT UNITS]]*INVESTORS_LIST[[#This Row],[NAV]])</f>
        <v>0</v>
      </c>
      <c r="AL441" s="4">
        <f>IF(INVESTORS_LIST[[#This Row],[LS_TOTAL CURRENT UNITS]]=0,0,INVESTORS_LIST[[#This Row],[LS_TOTAL CURRENT UNITS]]*INVESTORS_LIST[[#This Row],[NAV]])</f>
        <v>0</v>
      </c>
      <c r="AM441" s="6">
        <f>IF(INVESTORS_LIST[[#This Row],[SIP_TOTAL CURRENT UNITS]]=0,0,INVESTORS_LIST[[#This Row],[SIP_TOTAL CURRENT UNITS]]*INVESTORS_LIST[[#This Row],[NAV]])</f>
        <v>0</v>
      </c>
      <c r="AO441" s="6">
        <f>IF(INVESTORS_LIST[[#This Row],[TOTAL SELLABLE UNITS]]=0,0,INVESTORS_LIST[[#This Row],[TOTAL SELLABLE UNITS]]*INVESTORS_LIST[[#This Row],[NAV]])</f>
        <v>0</v>
      </c>
      <c r="AP441" s="6">
        <f>INVESTORS_LIST[[#This Row],[LS_TOTAL REALIZED GAIN]]+INVESTORS_LIST[[#This Row],[SIP_TOTAL REALIZED GAIN]]</f>
        <v>0</v>
      </c>
      <c r="AQ441" s="6">
        <f>INVESTORS_LIST[[#This Row],[TOTAL MARKET VALUE]]-INVESTORS_LIST[[#This Row],[TOTAL COST VALUE OF CURRENT INVESTMENT]]</f>
        <v>0</v>
      </c>
      <c r="AR441" s="6">
        <f>SUMIFS(DivAndTax[Tax Amount],DivAndTax[Investor ID],INVESTORS_LIST[[#This Row],[INVESTOR CODE]])</f>
        <v>0</v>
      </c>
      <c r="AS441" s="6">
        <f>SUMIFS(DivAndTax[Gross Dividend],DivAndTax[Investor ID],INVESTORS_LIST[[#This Row],[INVESTOR CODE]])</f>
        <v>0</v>
      </c>
      <c r="AT441" s="5">
        <f>IFERROR(INVESTORS_LIST[[#This Row],[TOTAL CURRENT UNITS]]/SUM(INVESTORS_LIST[TOTAL CURRENT UNITS]),0)</f>
        <v>0</v>
      </c>
    </row>
    <row r="442" spans="1:46" hidden="1">
      <c r="A442" t="s">
        <v>968</v>
      </c>
      <c r="B442" t="s">
        <v>969</v>
      </c>
      <c r="C442" t="s">
        <v>536</v>
      </c>
      <c r="D442" s="8" t="s">
        <v>2</v>
      </c>
      <c r="E442" s="2">
        <f>SUMIFS(LS[Unit],LS[Investor ID],INVESTORS_LIST[[#This Row],[INVESTOR CODE]],LS[B/S],"B")</f>
        <v>0</v>
      </c>
      <c r="F442" s="2">
        <f>-SUMIFS(LS[Unit],LS[Investor ID],INVESTORS_LIST[[#This Row],[INVESTOR CODE]],LS[B/S],"S")</f>
        <v>0</v>
      </c>
      <c r="G442" s="2">
        <f>IF(INVESTORS_LIST[[#This Row],[LS_TOTAL UNITS BUY]]=0,0,INVESTORS_LIST[[#This Row],[LS_TOTAL UNITS BUY]]-INVESTORS_LIST[[#This Row],[LS_TOTAL UNITS SOLD]])</f>
        <v>0</v>
      </c>
      <c r="H442" s="4">
        <f>IF(INVESTORS_LIST[[#This Row],[LS_TOTAL UNITS BUY]]=0,0,SUMIFS(LS[Amount],LS[Investor ID],INVESTORS_LIST[[#This Row],[INVESTOR CODE]],LS[B/S],"B"))</f>
        <v>0</v>
      </c>
      <c r="I442" s="6">
        <f>IF(INVESTORS_LIST[[#This Row],[LS_TOTAL UNITS SOLD]]=0,0,SUMIFS(LS[Cost of Units Sold],LS[Investor ID],INVESTORS_LIST[[#This Row],[INVESTOR CODE]],LS[B/S],"S"))</f>
        <v>0</v>
      </c>
      <c r="J442" s="6">
        <f>IF(INVESTORS_LIST[[#This Row],[LS_TOTAL CURRENT UNITS]]=0,0,INVESTORS_LIST[[#This Row],[LS_TOTAL CURRENT UNITS]]*INVESTORS_LIST[[#This Row],[LS_AVERAGE COST]])</f>
        <v>0</v>
      </c>
      <c r="K442" s="4">
        <f>IF(INVESTORS_LIST[[#This Row],[LS_TOTAL UNITS SOLD]]=0,0,SUMIFS(LS[Realized Gain],LS[Investor ID],INVESTORS_LIST[[#This Row],[INVESTOR CODE]],LS[B/S],"S"))</f>
        <v>0</v>
      </c>
      <c r="L442" s="2">
        <f>SUMIFS(SIP[Unit],SIP[Investor ID],INVESTORS_LIST[[#This Row],[INVESTOR CODE]],SIP[B/S],"B")</f>
        <v>0</v>
      </c>
      <c r="M442" s="2">
        <f>-SUMIFS(SIP[Unit],SIP[Investor ID],INVESTORS_LIST[[#This Row],[INVESTOR CODE]],SIP[B/S],"S")</f>
        <v>0</v>
      </c>
      <c r="N442" s="33">
        <f>IF(INVESTORS_LIST[[#This Row],[SIP_TOTAL UNITS BUY]]=0,0,INVESTORS_LIST[[#This Row],[SIP_TOTAL UNITS BUY]]-INVESTORS_LIST[[#This Row],[SIP_TOTAL UNITS SOLD]])</f>
        <v>0</v>
      </c>
      <c r="O442" s="4">
        <f>IF(INVESTORS_LIST[[#This Row],[SIP_TOTAL UNITS BUY]]=0,0,SUMIFS(SIP[Amount],SIP[Investor ID],INVESTORS_LIST[[#This Row],[INVESTOR CODE]],SIP[B/S],"B"))</f>
        <v>0</v>
      </c>
      <c r="P442" s="4">
        <f>IF(INVESTORS_LIST[[#This Row],[SIP_TOTAL UNITS SOLD]]=0,0,SUMIFS(SIP[Cost of Units Sold],SIP[Investor ID],INVESTORS_LIST[[#This Row],[INVESTOR CODE]],SIP[B/S],"S"))</f>
        <v>0</v>
      </c>
      <c r="Q442" s="6">
        <f>IF(INVESTORS_LIST[[#This Row],[SIP_TOTAL CURRENT UNITS]]=0,0,INVESTORS_LIST[[#This Row],[SIP_TOTAL CURRENT UNITS]]*INVESTORS_LIST[[#This Row],[SIP_AVERAGE COST]])</f>
        <v>0</v>
      </c>
      <c r="R442" s="6">
        <f>IF(INVESTORS_LIST[[#This Row],[SIP_TOTAL UNITS SOLD]]=0,0,SUMIFS(SIP[Realized Gain],SIP[Investor ID],INVESTORS_LIST[[#This Row],[INVESTOR CODE]],SIP[B/S],"S"))</f>
        <v>0</v>
      </c>
      <c r="S442" s="33">
        <f>INVESTORS_LIST[[#This Row],[LS_TOTAL UNITS BUY]]+INVESTORS_LIST[[#This Row],[SIP_TOTAL UNITS BUY]]</f>
        <v>0</v>
      </c>
      <c r="T442" s="33">
        <f>INVESTORS_LIST[[#This Row],[LS_TOTAL UNITS SOLD]]+INVESTORS_LIST[[#This Row],[SIP_TOTAL UNITS SOLD]]</f>
        <v>0</v>
      </c>
      <c r="U442" s="33">
        <v>0</v>
      </c>
      <c r="V442" s="33">
        <f>SUMIFS(LS[BO UNIT TRANSFER],LS[Investor ID],INVESTORS_LIST[[#This Row],[INVESTOR CODE]],LS[B/S],"B")</f>
        <v>0</v>
      </c>
      <c r="W442" s="33">
        <f>SUMIFS(LS[BO UNIT TRANSFER],LS[Investor ID],INVESTORS_LIST[[#This Row],[INVESTOR CODE]],LS[B/S],"S")</f>
        <v>0</v>
      </c>
      <c r="X442" s="33">
        <f>SUMIFS(SIP[BO UNIT TRANSFER],SIP[Investor ID],INVESTORS_LIST[[#This Row],[INVESTOR CODE]],SIP[B/S],"S")</f>
        <v>0</v>
      </c>
      <c r="Y442" s="33">
        <f>SUMIFS(SIP[BO UNIT TRANSFER],SIP[Investor ID],INVESTORS_LIST[[#This Row],[INVESTOR CODE]],SIP[B/S],"B")</f>
        <v>0</v>
      </c>
      <c r="Z44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42" s="119">
        <f>INVESTORS_LIST[[#This Row],[TOTAL UNITS BUY]]-INVESTORS_LIST[[#This Row],[TOTAL UNITS SOLD]]</f>
        <v>0</v>
      </c>
      <c r="AB442" s="119">
        <f>INVESTORS_LIST[[#This Row],[TOTAL CURRENT UNITS]]-INVESTORS_LIST[[#This Row],[BO UNITS HOLD]]</f>
        <v>0</v>
      </c>
      <c r="AC442" s="119" t="e">
        <f>INDEX([4]!Table_1[BO ID],MATCH(INVESTORS_LIST[[#This Row],[INVESTOR CODE]],[4]!Table_1[INVESTOR CODE],0))</f>
        <v>#REF!</v>
      </c>
      <c r="AD442" s="33">
        <f>INVESTORS_LIST[[#This Row],[LS_TOTAL COST VALUE OF CURRENT UNITS]]+INVESTORS_LIST[[#This Row],[SIP_TOTAL COST VALUE OF CURRENT UNITS]]</f>
        <v>0</v>
      </c>
      <c r="AE442" s="44">
        <f>IF(INVESTORS_LIST[[#This Row],[TOTAL CURRENT UNITS]]=0,0,INVESTORS_LIST[[#This Row],[LS_TOTAL CURRENT UNITS]]/INVESTORS_LIST[[#This Row],[TOTAL CURRENT UNITS]])</f>
        <v>0</v>
      </c>
      <c r="AF442" s="44">
        <f>IF(INVESTORS_LIST[[#This Row],[TOTAL CURRENT UNITS]]=0,0,INVESTORS_LIST[[#This Row],[SIP_TOTAL CURRENT UNITS]]/INVESTORS_LIST[[#This Row],[TOTAL CURRENT UNITS]])</f>
        <v>0</v>
      </c>
      <c r="AG442" s="4" cm="1">
        <f t="array" ref="AG44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42" s="4" cm="1">
        <f t="array" ref="AH44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4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42" s="178">
        <f t="shared" si="7"/>
        <v>12.552</v>
      </c>
      <c r="AK442" s="118">
        <f>IF(INVESTORS_LIST[[#This Row],[TOTAL CURRENT UNITS]]=0,0,INVESTORS_LIST[[#This Row],[TOTAL CURRENT UNITS]]*INVESTORS_LIST[[#This Row],[NAV]])</f>
        <v>0</v>
      </c>
      <c r="AL442" s="4">
        <f>IF(INVESTORS_LIST[[#This Row],[LS_TOTAL CURRENT UNITS]]=0,0,INVESTORS_LIST[[#This Row],[LS_TOTAL CURRENT UNITS]]*INVESTORS_LIST[[#This Row],[NAV]])</f>
        <v>0</v>
      </c>
      <c r="AM442" s="6">
        <f>IF(INVESTORS_LIST[[#This Row],[SIP_TOTAL CURRENT UNITS]]=0,0,INVESTORS_LIST[[#This Row],[SIP_TOTAL CURRENT UNITS]]*INVESTORS_LIST[[#This Row],[NAV]])</f>
        <v>0</v>
      </c>
      <c r="AO442" s="6">
        <f>IF(INVESTORS_LIST[[#This Row],[TOTAL SELLABLE UNITS]]=0,0,INVESTORS_LIST[[#This Row],[TOTAL SELLABLE UNITS]]*INVESTORS_LIST[[#This Row],[NAV]])</f>
        <v>0</v>
      </c>
      <c r="AP442" s="6">
        <f>INVESTORS_LIST[[#This Row],[LS_TOTAL REALIZED GAIN]]+INVESTORS_LIST[[#This Row],[SIP_TOTAL REALIZED GAIN]]</f>
        <v>0</v>
      </c>
      <c r="AQ442" s="6">
        <f>INVESTORS_LIST[[#This Row],[TOTAL MARKET VALUE]]-INVESTORS_LIST[[#This Row],[TOTAL COST VALUE OF CURRENT INVESTMENT]]</f>
        <v>0</v>
      </c>
      <c r="AR442" s="6">
        <f>SUMIFS(DivAndTax[Tax Amount],DivAndTax[Investor ID],INVESTORS_LIST[[#This Row],[INVESTOR CODE]])</f>
        <v>0</v>
      </c>
      <c r="AS442" s="6">
        <f>SUMIFS(DivAndTax[Gross Dividend],DivAndTax[Investor ID],INVESTORS_LIST[[#This Row],[INVESTOR CODE]])</f>
        <v>0</v>
      </c>
      <c r="AT442" s="5">
        <f>IFERROR(INVESTORS_LIST[[#This Row],[TOTAL CURRENT UNITS]]/SUM(INVESTORS_LIST[TOTAL CURRENT UNITS]),0)</f>
        <v>0</v>
      </c>
    </row>
    <row r="443" spans="1:46" hidden="1">
      <c r="A443" t="s">
        <v>970</v>
      </c>
      <c r="B443" t="s">
        <v>971</v>
      </c>
      <c r="C443" t="s">
        <v>536</v>
      </c>
      <c r="D443" s="8" t="s">
        <v>2</v>
      </c>
      <c r="E443" s="2">
        <f>SUMIFS(LS[Unit],LS[Investor ID],INVESTORS_LIST[[#This Row],[INVESTOR CODE]],LS[B/S],"B")</f>
        <v>10040</v>
      </c>
      <c r="F443" s="2">
        <f>-SUMIFS(LS[Unit],LS[Investor ID],INVESTORS_LIST[[#This Row],[INVESTOR CODE]],LS[B/S],"S")</f>
        <v>10040</v>
      </c>
      <c r="G443" s="2">
        <f>IF(INVESTORS_LIST[[#This Row],[LS_TOTAL UNITS BUY]]=0,0,INVESTORS_LIST[[#This Row],[LS_TOTAL UNITS BUY]]-INVESTORS_LIST[[#This Row],[LS_TOTAL UNITS SOLD]])</f>
        <v>0</v>
      </c>
      <c r="H443" s="4">
        <f>IF(INVESTORS_LIST[[#This Row],[LS_TOTAL UNITS BUY]]=0,0,SUMIFS(LS[Amount],LS[Investor ID],INVESTORS_LIST[[#This Row],[INVESTOR CODE]],LS[B/S],"B"))</f>
        <v>100000</v>
      </c>
      <c r="I443" s="6">
        <f>IF(INVESTORS_LIST[[#This Row],[LS_TOTAL UNITS SOLD]]=0,0,SUMIFS(LS[Cost of Units Sold],LS[Investor ID],INVESTORS_LIST[[#This Row],[INVESTOR CODE]],LS[B/S],"S"))</f>
        <v>100000</v>
      </c>
      <c r="J443" s="6">
        <f>IF(INVESTORS_LIST[[#This Row],[LS_TOTAL CURRENT UNITS]]=0,0,INVESTORS_LIST[[#This Row],[LS_TOTAL CURRENT UNITS]]*INVESTORS_LIST[[#This Row],[LS_AVERAGE COST]])</f>
        <v>0</v>
      </c>
      <c r="K443" s="4">
        <f>IF(INVESTORS_LIST[[#This Row],[LS_TOTAL UNITS SOLD]]=0,0,SUMIFS(LS[Realized Gain],LS[Investor ID],INVESTORS_LIST[[#This Row],[INVESTOR CODE]],LS[B/S],"S"))</f>
        <v>2689.1199999999972</v>
      </c>
      <c r="L443" s="2">
        <f>SUMIFS(SIP[Unit],SIP[Investor ID],INVESTORS_LIST[[#This Row],[INVESTOR CODE]],SIP[B/S],"B")</f>
        <v>0</v>
      </c>
      <c r="M443" s="2">
        <f>-SUMIFS(SIP[Unit],SIP[Investor ID],INVESTORS_LIST[[#This Row],[INVESTOR CODE]],SIP[B/S],"S")</f>
        <v>0</v>
      </c>
      <c r="N443" s="33">
        <f>IF(INVESTORS_LIST[[#This Row],[SIP_TOTAL UNITS BUY]]=0,0,INVESTORS_LIST[[#This Row],[SIP_TOTAL UNITS BUY]]-INVESTORS_LIST[[#This Row],[SIP_TOTAL UNITS SOLD]])</f>
        <v>0</v>
      </c>
      <c r="O443" s="4">
        <f>IF(INVESTORS_LIST[[#This Row],[SIP_TOTAL UNITS BUY]]=0,0,SUMIFS(SIP[Amount],SIP[Investor ID],INVESTORS_LIST[[#This Row],[INVESTOR CODE]],SIP[B/S],"B"))</f>
        <v>0</v>
      </c>
      <c r="P443" s="4">
        <f>IF(INVESTORS_LIST[[#This Row],[SIP_TOTAL UNITS SOLD]]=0,0,SUMIFS(SIP[Cost of Units Sold],SIP[Investor ID],INVESTORS_LIST[[#This Row],[INVESTOR CODE]],SIP[B/S],"S"))</f>
        <v>0</v>
      </c>
      <c r="Q443" s="6">
        <f>IF(INVESTORS_LIST[[#This Row],[SIP_TOTAL CURRENT UNITS]]=0,0,INVESTORS_LIST[[#This Row],[SIP_TOTAL CURRENT UNITS]]*INVESTORS_LIST[[#This Row],[SIP_AVERAGE COST]])</f>
        <v>0</v>
      </c>
      <c r="R443" s="6">
        <f>IF(INVESTORS_LIST[[#This Row],[SIP_TOTAL UNITS SOLD]]=0,0,SUMIFS(SIP[Realized Gain],SIP[Investor ID],INVESTORS_LIST[[#This Row],[INVESTOR CODE]],SIP[B/S],"S"))</f>
        <v>0</v>
      </c>
      <c r="S443" s="33">
        <f>INVESTORS_LIST[[#This Row],[LS_TOTAL UNITS BUY]]+INVESTORS_LIST[[#This Row],[SIP_TOTAL UNITS BUY]]</f>
        <v>10040</v>
      </c>
      <c r="T443" s="33">
        <f>INVESTORS_LIST[[#This Row],[LS_TOTAL UNITS SOLD]]+INVESTORS_LIST[[#This Row],[SIP_TOTAL UNITS SOLD]]</f>
        <v>10040</v>
      </c>
      <c r="U443" s="33">
        <v>0</v>
      </c>
      <c r="V443" s="33">
        <f>SUMIFS(LS[BO UNIT TRANSFER],LS[Investor ID],INVESTORS_LIST[[#This Row],[INVESTOR CODE]],LS[B/S],"B")</f>
        <v>0</v>
      </c>
      <c r="W443" s="33">
        <f>SUMIFS(LS[BO UNIT TRANSFER],LS[Investor ID],INVESTORS_LIST[[#This Row],[INVESTOR CODE]],LS[B/S],"S")</f>
        <v>0</v>
      </c>
      <c r="X443" s="33">
        <f>SUMIFS(SIP[BO UNIT TRANSFER],SIP[Investor ID],INVESTORS_LIST[[#This Row],[INVESTOR CODE]],SIP[B/S],"S")</f>
        <v>0</v>
      </c>
      <c r="Y443" s="33">
        <f>SUMIFS(SIP[BO UNIT TRANSFER],SIP[Investor ID],INVESTORS_LIST[[#This Row],[INVESTOR CODE]],SIP[B/S],"B")</f>
        <v>0</v>
      </c>
      <c r="Z44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43" s="119">
        <f>INVESTORS_LIST[[#This Row],[TOTAL UNITS BUY]]-INVESTORS_LIST[[#This Row],[TOTAL UNITS SOLD]]</f>
        <v>0</v>
      </c>
      <c r="AB443" s="119">
        <f>INVESTORS_LIST[[#This Row],[TOTAL CURRENT UNITS]]-INVESTORS_LIST[[#This Row],[BO UNITS HOLD]]</f>
        <v>0</v>
      </c>
      <c r="AC443" s="119" t="e">
        <f>INDEX([4]!Table_1[BO ID],MATCH(INVESTORS_LIST[[#This Row],[INVESTOR CODE]],[4]!Table_1[INVESTOR CODE],0))</f>
        <v>#REF!</v>
      </c>
      <c r="AD443" s="33">
        <f>INVESTORS_LIST[[#This Row],[LS_TOTAL COST VALUE OF CURRENT UNITS]]+INVESTORS_LIST[[#This Row],[SIP_TOTAL COST VALUE OF CURRENT UNITS]]</f>
        <v>0</v>
      </c>
      <c r="AE443" s="44">
        <f>IF(INVESTORS_LIST[[#This Row],[TOTAL CURRENT UNITS]]=0,0,INVESTORS_LIST[[#This Row],[LS_TOTAL CURRENT UNITS]]/INVESTORS_LIST[[#This Row],[TOTAL CURRENT UNITS]])</f>
        <v>0</v>
      </c>
      <c r="AF443" s="44">
        <f>IF(INVESTORS_LIST[[#This Row],[TOTAL CURRENT UNITS]]=0,0,INVESTORS_LIST[[#This Row],[SIP_TOTAL CURRENT UNITS]]/INVESTORS_LIST[[#This Row],[TOTAL CURRENT UNITS]])</f>
        <v>0</v>
      </c>
      <c r="AG443" s="4" cm="1">
        <f t="array" ref="AG44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43" s="4" cm="1">
        <f t="array" ref="AH4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4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43" s="178">
        <f t="shared" si="7"/>
        <v>12.552</v>
      </c>
      <c r="AK443" s="118">
        <f>IF(INVESTORS_LIST[[#This Row],[TOTAL CURRENT UNITS]]=0,0,INVESTORS_LIST[[#This Row],[TOTAL CURRENT UNITS]]*INVESTORS_LIST[[#This Row],[NAV]])</f>
        <v>0</v>
      </c>
      <c r="AL443" s="4">
        <f>IF(INVESTORS_LIST[[#This Row],[LS_TOTAL CURRENT UNITS]]=0,0,INVESTORS_LIST[[#This Row],[LS_TOTAL CURRENT UNITS]]*INVESTORS_LIST[[#This Row],[NAV]])</f>
        <v>0</v>
      </c>
      <c r="AM443" s="6">
        <f>IF(INVESTORS_LIST[[#This Row],[SIP_TOTAL CURRENT UNITS]]=0,0,INVESTORS_LIST[[#This Row],[SIP_TOTAL CURRENT UNITS]]*INVESTORS_LIST[[#This Row],[NAV]])</f>
        <v>0</v>
      </c>
      <c r="AO443" s="6">
        <f>IF(INVESTORS_LIST[[#This Row],[TOTAL SELLABLE UNITS]]=0,0,INVESTORS_LIST[[#This Row],[TOTAL SELLABLE UNITS]]*INVESTORS_LIST[[#This Row],[NAV]])</f>
        <v>0</v>
      </c>
      <c r="AP443" s="6">
        <f>INVESTORS_LIST[[#This Row],[LS_TOTAL REALIZED GAIN]]+INVESTORS_LIST[[#This Row],[SIP_TOTAL REALIZED GAIN]]</f>
        <v>2689.1199999999972</v>
      </c>
      <c r="AQ443" s="6">
        <f>INVESTORS_LIST[[#This Row],[TOTAL MARKET VALUE]]-INVESTORS_LIST[[#This Row],[TOTAL COST VALUE OF CURRENT INVESTMENT]]</f>
        <v>0</v>
      </c>
      <c r="AR443" s="6">
        <f>SUMIFS(DivAndTax[Tax Amount],DivAndTax[Investor ID],INVESTORS_LIST[[#This Row],[INVESTOR CODE]])</f>
        <v>0</v>
      </c>
      <c r="AS443" s="6">
        <f>SUMIFS(DivAndTax[Gross Dividend],DivAndTax[Investor ID],INVESTORS_LIST[[#This Row],[INVESTOR CODE]])</f>
        <v>0</v>
      </c>
      <c r="AT443" s="5">
        <f>IFERROR(INVESTORS_LIST[[#This Row],[TOTAL CURRENT UNITS]]/SUM(INVESTORS_LIST[TOTAL CURRENT UNITS]),0)</f>
        <v>0</v>
      </c>
    </row>
    <row r="444" spans="1:46" hidden="1">
      <c r="A444" t="s">
        <v>994</v>
      </c>
      <c r="B444" t="s">
        <v>995</v>
      </c>
      <c r="C444" t="s">
        <v>536</v>
      </c>
      <c r="D444" s="8" t="s">
        <v>2</v>
      </c>
      <c r="E444" s="2">
        <f>SUMIFS(LS[Unit],LS[Investor ID],INVESTORS_LIST[[#This Row],[INVESTOR CODE]],LS[B/S],"B")</f>
        <v>0</v>
      </c>
      <c r="F444" s="2">
        <f>-SUMIFS(LS[Unit],LS[Investor ID],INVESTORS_LIST[[#This Row],[INVESTOR CODE]],LS[B/S],"S")</f>
        <v>0</v>
      </c>
      <c r="G444" s="2">
        <f>IF(INVESTORS_LIST[[#This Row],[LS_TOTAL UNITS BUY]]=0,0,INVESTORS_LIST[[#This Row],[LS_TOTAL UNITS BUY]]-INVESTORS_LIST[[#This Row],[LS_TOTAL UNITS SOLD]])</f>
        <v>0</v>
      </c>
      <c r="H444" s="4">
        <f>IF(INVESTORS_LIST[[#This Row],[LS_TOTAL UNITS BUY]]=0,0,SUMIFS(LS[Amount],LS[Investor ID],INVESTORS_LIST[[#This Row],[INVESTOR CODE]],LS[B/S],"B"))</f>
        <v>0</v>
      </c>
      <c r="I444" s="6">
        <f>IF(INVESTORS_LIST[[#This Row],[LS_TOTAL UNITS SOLD]]=0,0,SUMIFS(LS[Cost of Units Sold],LS[Investor ID],INVESTORS_LIST[[#This Row],[INVESTOR CODE]],LS[B/S],"S"))</f>
        <v>0</v>
      </c>
      <c r="J444" s="6">
        <f>IF(INVESTORS_LIST[[#This Row],[LS_TOTAL CURRENT UNITS]]=0,0,INVESTORS_LIST[[#This Row],[LS_TOTAL CURRENT UNITS]]*INVESTORS_LIST[[#This Row],[LS_AVERAGE COST]])</f>
        <v>0</v>
      </c>
      <c r="K444" s="4">
        <f>IF(INVESTORS_LIST[[#This Row],[LS_TOTAL UNITS SOLD]]=0,0,SUMIFS(LS[Realized Gain],LS[Investor ID],INVESTORS_LIST[[#This Row],[INVESTOR CODE]],LS[B/S],"S"))</f>
        <v>0</v>
      </c>
      <c r="L444" s="2">
        <f>SUMIFS(SIP[Unit],SIP[Investor ID],INVESTORS_LIST[[#This Row],[INVESTOR CODE]],SIP[B/S],"B")</f>
        <v>0</v>
      </c>
      <c r="M444" s="2">
        <f>-SUMIFS(SIP[Unit],SIP[Investor ID],INVESTORS_LIST[[#This Row],[INVESTOR CODE]],SIP[B/S],"S")</f>
        <v>0</v>
      </c>
      <c r="N444" s="33">
        <f>IF(INVESTORS_LIST[[#This Row],[SIP_TOTAL UNITS BUY]]=0,0,INVESTORS_LIST[[#This Row],[SIP_TOTAL UNITS BUY]]-INVESTORS_LIST[[#This Row],[SIP_TOTAL UNITS SOLD]])</f>
        <v>0</v>
      </c>
      <c r="O444" s="4">
        <f>IF(INVESTORS_LIST[[#This Row],[SIP_TOTAL UNITS BUY]]=0,0,SUMIFS(SIP[Amount],SIP[Investor ID],INVESTORS_LIST[[#This Row],[INVESTOR CODE]],SIP[B/S],"B"))</f>
        <v>0</v>
      </c>
      <c r="P444" s="4">
        <f>IF(INVESTORS_LIST[[#This Row],[SIP_TOTAL UNITS SOLD]]=0,0,SUMIFS(SIP[Cost of Units Sold],SIP[Investor ID],INVESTORS_LIST[[#This Row],[INVESTOR CODE]],SIP[B/S],"S"))</f>
        <v>0</v>
      </c>
      <c r="Q444" s="6">
        <f>IF(INVESTORS_LIST[[#This Row],[SIP_TOTAL CURRENT UNITS]]=0,0,INVESTORS_LIST[[#This Row],[SIP_TOTAL CURRENT UNITS]]*INVESTORS_LIST[[#This Row],[SIP_AVERAGE COST]])</f>
        <v>0</v>
      </c>
      <c r="R444" s="6">
        <f>IF(INVESTORS_LIST[[#This Row],[SIP_TOTAL UNITS SOLD]]=0,0,SUMIFS(SIP[Realized Gain],SIP[Investor ID],INVESTORS_LIST[[#This Row],[INVESTOR CODE]],SIP[B/S],"S"))</f>
        <v>0</v>
      </c>
      <c r="S444" s="33">
        <f>INVESTORS_LIST[[#This Row],[LS_TOTAL UNITS BUY]]+INVESTORS_LIST[[#This Row],[SIP_TOTAL UNITS BUY]]</f>
        <v>0</v>
      </c>
      <c r="T444" s="33">
        <f>INVESTORS_LIST[[#This Row],[LS_TOTAL UNITS SOLD]]+INVESTORS_LIST[[#This Row],[SIP_TOTAL UNITS SOLD]]</f>
        <v>0</v>
      </c>
      <c r="U444" s="33">
        <v>0</v>
      </c>
      <c r="V444" s="33">
        <f>SUMIFS(LS[BO UNIT TRANSFER],LS[Investor ID],INVESTORS_LIST[[#This Row],[INVESTOR CODE]],LS[B/S],"B")</f>
        <v>0</v>
      </c>
      <c r="W444" s="33">
        <f>SUMIFS(LS[BO UNIT TRANSFER],LS[Investor ID],INVESTORS_LIST[[#This Row],[INVESTOR CODE]],LS[B/S],"S")</f>
        <v>0</v>
      </c>
      <c r="X444" s="33">
        <f>SUMIFS(SIP[BO UNIT TRANSFER],SIP[Investor ID],INVESTORS_LIST[[#This Row],[INVESTOR CODE]],SIP[B/S],"S")</f>
        <v>0</v>
      </c>
      <c r="Y444" s="33">
        <f>SUMIFS(SIP[BO UNIT TRANSFER],SIP[Investor ID],INVESTORS_LIST[[#This Row],[INVESTOR CODE]],SIP[B/S],"B")</f>
        <v>0</v>
      </c>
      <c r="Z44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44" s="119">
        <f>INVESTORS_LIST[[#This Row],[TOTAL UNITS BUY]]-INVESTORS_LIST[[#This Row],[TOTAL UNITS SOLD]]</f>
        <v>0</v>
      </c>
      <c r="AB444" s="119">
        <f>INVESTORS_LIST[[#This Row],[TOTAL CURRENT UNITS]]-INVESTORS_LIST[[#This Row],[BO UNITS HOLD]]</f>
        <v>0</v>
      </c>
      <c r="AC444" s="119" t="e">
        <f>INDEX([4]!Table_1[BO ID],MATCH(INVESTORS_LIST[[#This Row],[INVESTOR CODE]],[4]!Table_1[INVESTOR CODE],0))</f>
        <v>#REF!</v>
      </c>
      <c r="AD444" s="33">
        <f>INVESTORS_LIST[[#This Row],[LS_TOTAL COST VALUE OF CURRENT UNITS]]+INVESTORS_LIST[[#This Row],[SIP_TOTAL COST VALUE OF CURRENT UNITS]]</f>
        <v>0</v>
      </c>
      <c r="AE444" s="44">
        <f>IF(INVESTORS_LIST[[#This Row],[TOTAL CURRENT UNITS]]=0,0,INVESTORS_LIST[[#This Row],[LS_TOTAL CURRENT UNITS]]/INVESTORS_LIST[[#This Row],[TOTAL CURRENT UNITS]])</f>
        <v>0</v>
      </c>
      <c r="AF444" s="44">
        <f>IF(INVESTORS_LIST[[#This Row],[TOTAL CURRENT UNITS]]=0,0,INVESTORS_LIST[[#This Row],[SIP_TOTAL CURRENT UNITS]]/INVESTORS_LIST[[#This Row],[TOTAL CURRENT UNITS]])</f>
        <v>0</v>
      </c>
      <c r="AG444" s="4" cm="1">
        <f t="array" ref="AG44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44" s="4" cm="1">
        <f t="array" ref="AH44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4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44" s="178">
        <f t="shared" si="7"/>
        <v>12.552</v>
      </c>
      <c r="AK444" s="118">
        <f>IF(INVESTORS_LIST[[#This Row],[TOTAL CURRENT UNITS]]=0,0,INVESTORS_LIST[[#This Row],[TOTAL CURRENT UNITS]]*INVESTORS_LIST[[#This Row],[NAV]])</f>
        <v>0</v>
      </c>
      <c r="AL444" s="4">
        <f>IF(INVESTORS_LIST[[#This Row],[LS_TOTAL CURRENT UNITS]]=0,0,INVESTORS_LIST[[#This Row],[LS_TOTAL CURRENT UNITS]]*INVESTORS_LIST[[#This Row],[NAV]])</f>
        <v>0</v>
      </c>
      <c r="AM444" s="6">
        <f>IF(INVESTORS_LIST[[#This Row],[SIP_TOTAL CURRENT UNITS]]=0,0,INVESTORS_LIST[[#This Row],[SIP_TOTAL CURRENT UNITS]]*INVESTORS_LIST[[#This Row],[NAV]])</f>
        <v>0</v>
      </c>
      <c r="AO444" s="6">
        <f>IF(INVESTORS_LIST[[#This Row],[TOTAL SELLABLE UNITS]]=0,0,INVESTORS_LIST[[#This Row],[TOTAL SELLABLE UNITS]]*INVESTORS_LIST[[#This Row],[NAV]])</f>
        <v>0</v>
      </c>
      <c r="AP444" s="6">
        <f>INVESTORS_LIST[[#This Row],[LS_TOTAL REALIZED GAIN]]+INVESTORS_LIST[[#This Row],[SIP_TOTAL REALIZED GAIN]]</f>
        <v>0</v>
      </c>
      <c r="AQ444" s="6">
        <f>INVESTORS_LIST[[#This Row],[TOTAL MARKET VALUE]]-INVESTORS_LIST[[#This Row],[TOTAL COST VALUE OF CURRENT INVESTMENT]]</f>
        <v>0</v>
      </c>
      <c r="AR444" s="6">
        <f>SUMIFS(DivAndTax[Tax Amount],DivAndTax[Investor ID],INVESTORS_LIST[[#This Row],[INVESTOR CODE]])</f>
        <v>0</v>
      </c>
      <c r="AS444" s="6">
        <f>SUMIFS(DivAndTax[Gross Dividend],DivAndTax[Investor ID],INVESTORS_LIST[[#This Row],[INVESTOR CODE]])</f>
        <v>0</v>
      </c>
      <c r="AT444" s="5">
        <f>IFERROR(INVESTORS_LIST[[#This Row],[TOTAL CURRENT UNITS]]/SUM(INVESTORS_LIST[TOTAL CURRENT UNITS]),0)</f>
        <v>0</v>
      </c>
    </row>
    <row r="445" spans="1:46" hidden="1">
      <c r="A445" t="s">
        <v>996</v>
      </c>
      <c r="B445" t="s">
        <v>997</v>
      </c>
      <c r="C445" t="s">
        <v>539</v>
      </c>
      <c r="D445" s="8" t="s">
        <v>2</v>
      </c>
      <c r="E445" s="2">
        <f>SUMIFS(LS[Unit],LS[Investor ID],INVESTORS_LIST[[#This Row],[INVESTOR CODE]],LS[B/S],"B")</f>
        <v>0</v>
      </c>
      <c r="F445" s="2">
        <f>-SUMIFS(LS[Unit],LS[Investor ID],INVESTORS_LIST[[#This Row],[INVESTOR CODE]],LS[B/S],"S")</f>
        <v>0</v>
      </c>
      <c r="G445" s="2">
        <f>IF(INVESTORS_LIST[[#This Row],[LS_TOTAL UNITS BUY]]=0,0,INVESTORS_LIST[[#This Row],[LS_TOTAL UNITS BUY]]-INVESTORS_LIST[[#This Row],[LS_TOTAL UNITS SOLD]])</f>
        <v>0</v>
      </c>
      <c r="H445" s="4">
        <f>IF(INVESTORS_LIST[[#This Row],[LS_TOTAL UNITS BUY]]=0,0,SUMIFS(LS[Amount],LS[Investor ID],INVESTORS_LIST[[#This Row],[INVESTOR CODE]],LS[B/S],"B"))</f>
        <v>0</v>
      </c>
      <c r="I445" s="6">
        <f>IF(INVESTORS_LIST[[#This Row],[LS_TOTAL UNITS SOLD]]=0,0,SUMIFS(LS[Cost of Units Sold],LS[Investor ID],INVESTORS_LIST[[#This Row],[INVESTOR CODE]],LS[B/S],"S"))</f>
        <v>0</v>
      </c>
      <c r="J445" s="6">
        <f>IF(INVESTORS_LIST[[#This Row],[LS_TOTAL CURRENT UNITS]]=0,0,INVESTORS_LIST[[#This Row],[LS_TOTAL CURRENT UNITS]]*INVESTORS_LIST[[#This Row],[LS_AVERAGE COST]])</f>
        <v>0</v>
      </c>
      <c r="K445" s="4">
        <f>IF(INVESTORS_LIST[[#This Row],[LS_TOTAL UNITS SOLD]]=0,0,SUMIFS(LS[Realized Gain],LS[Investor ID],INVESTORS_LIST[[#This Row],[INVESTOR CODE]],LS[B/S],"S"))</f>
        <v>0</v>
      </c>
      <c r="L445" s="2">
        <f>SUMIFS(SIP[Unit],SIP[Investor ID],INVESTORS_LIST[[#This Row],[INVESTOR CODE]],SIP[B/S],"B")</f>
        <v>0</v>
      </c>
      <c r="M445" s="2">
        <f>-SUMIFS(SIP[Unit],SIP[Investor ID],INVESTORS_LIST[[#This Row],[INVESTOR CODE]],SIP[B/S],"S")</f>
        <v>0</v>
      </c>
      <c r="N445" s="33">
        <f>IF(INVESTORS_LIST[[#This Row],[SIP_TOTAL UNITS BUY]]=0,0,INVESTORS_LIST[[#This Row],[SIP_TOTAL UNITS BUY]]-INVESTORS_LIST[[#This Row],[SIP_TOTAL UNITS SOLD]])</f>
        <v>0</v>
      </c>
      <c r="O445" s="4">
        <f>IF(INVESTORS_LIST[[#This Row],[SIP_TOTAL UNITS BUY]]=0,0,SUMIFS(SIP[Amount],SIP[Investor ID],INVESTORS_LIST[[#This Row],[INVESTOR CODE]],SIP[B/S],"B"))</f>
        <v>0</v>
      </c>
      <c r="P445" s="4">
        <f>IF(INVESTORS_LIST[[#This Row],[SIP_TOTAL UNITS SOLD]]=0,0,SUMIFS(SIP[Cost of Units Sold],SIP[Investor ID],INVESTORS_LIST[[#This Row],[INVESTOR CODE]],SIP[B/S],"S"))</f>
        <v>0</v>
      </c>
      <c r="Q445" s="6">
        <f>IF(INVESTORS_LIST[[#This Row],[SIP_TOTAL CURRENT UNITS]]=0,0,INVESTORS_LIST[[#This Row],[SIP_TOTAL CURRENT UNITS]]*INVESTORS_LIST[[#This Row],[SIP_AVERAGE COST]])</f>
        <v>0</v>
      </c>
      <c r="R445" s="6">
        <f>IF(INVESTORS_LIST[[#This Row],[SIP_TOTAL UNITS SOLD]]=0,0,SUMIFS(SIP[Realized Gain],SIP[Investor ID],INVESTORS_LIST[[#This Row],[INVESTOR CODE]],SIP[B/S],"S"))</f>
        <v>0</v>
      </c>
      <c r="S445" s="33">
        <f>INVESTORS_LIST[[#This Row],[LS_TOTAL UNITS BUY]]+INVESTORS_LIST[[#This Row],[SIP_TOTAL UNITS BUY]]</f>
        <v>0</v>
      </c>
      <c r="T445" s="33">
        <f>INVESTORS_LIST[[#This Row],[LS_TOTAL UNITS SOLD]]+INVESTORS_LIST[[#This Row],[SIP_TOTAL UNITS SOLD]]</f>
        <v>0</v>
      </c>
      <c r="U445" s="33">
        <v>0</v>
      </c>
      <c r="V445" s="33">
        <f>SUMIFS(LS[BO UNIT TRANSFER],LS[Investor ID],INVESTORS_LIST[[#This Row],[INVESTOR CODE]],LS[B/S],"B")</f>
        <v>0</v>
      </c>
      <c r="W445" s="33">
        <f>SUMIFS(LS[BO UNIT TRANSFER],LS[Investor ID],INVESTORS_LIST[[#This Row],[INVESTOR CODE]],LS[B/S],"S")</f>
        <v>0</v>
      </c>
      <c r="X445" s="33">
        <f>SUMIFS(SIP[BO UNIT TRANSFER],SIP[Investor ID],INVESTORS_LIST[[#This Row],[INVESTOR CODE]],SIP[B/S],"S")</f>
        <v>0</v>
      </c>
      <c r="Y445" s="33">
        <f>SUMIFS(SIP[BO UNIT TRANSFER],SIP[Investor ID],INVESTORS_LIST[[#This Row],[INVESTOR CODE]],SIP[B/S],"B")</f>
        <v>0</v>
      </c>
      <c r="Z44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45" s="119">
        <f>INVESTORS_LIST[[#This Row],[TOTAL UNITS BUY]]-INVESTORS_LIST[[#This Row],[TOTAL UNITS SOLD]]</f>
        <v>0</v>
      </c>
      <c r="AB445" s="119">
        <f>INVESTORS_LIST[[#This Row],[TOTAL CURRENT UNITS]]-INVESTORS_LIST[[#This Row],[BO UNITS HOLD]]</f>
        <v>0</v>
      </c>
      <c r="AC445" s="119" t="e">
        <f>INDEX([4]!Table_1[BO ID],MATCH(INVESTORS_LIST[[#This Row],[INVESTOR CODE]],[4]!Table_1[INVESTOR CODE],0))</f>
        <v>#REF!</v>
      </c>
      <c r="AD445" s="33">
        <f>INVESTORS_LIST[[#This Row],[LS_TOTAL COST VALUE OF CURRENT UNITS]]+INVESTORS_LIST[[#This Row],[SIP_TOTAL COST VALUE OF CURRENT UNITS]]</f>
        <v>0</v>
      </c>
      <c r="AE445" s="44">
        <f>IF(INVESTORS_LIST[[#This Row],[TOTAL CURRENT UNITS]]=0,0,INVESTORS_LIST[[#This Row],[LS_TOTAL CURRENT UNITS]]/INVESTORS_LIST[[#This Row],[TOTAL CURRENT UNITS]])</f>
        <v>0</v>
      </c>
      <c r="AF445" s="44">
        <f>IF(INVESTORS_LIST[[#This Row],[TOTAL CURRENT UNITS]]=0,0,INVESTORS_LIST[[#This Row],[SIP_TOTAL CURRENT UNITS]]/INVESTORS_LIST[[#This Row],[TOTAL CURRENT UNITS]])</f>
        <v>0</v>
      </c>
      <c r="AG445" s="4" cm="1">
        <f t="array" ref="AG44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45" s="4" cm="1">
        <f t="array" ref="AH4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4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45" s="178">
        <f t="shared" si="7"/>
        <v>12.552</v>
      </c>
      <c r="AK445" s="118">
        <f>IF(INVESTORS_LIST[[#This Row],[TOTAL CURRENT UNITS]]=0,0,INVESTORS_LIST[[#This Row],[TOTAL CURRENT UNITS]]*INVESTORS_LIST[[#This Row],[NAV]])</f>
        <v>0</v>
      </c>
      <c r="AL445" s="4">
        <f>IF(INVESTORS_LIST[[#This Row],[LS_TOTAL CURRENT UNITS]]=0,0,INVESTORS_LIST[[#This Row],[LS_TOTAL CURRENT UNITS]]*INVESTORS_LIST[[#This Row],[NAV]])</f>
        <v>0</v>
      </c>
      <c r="AM445" s="6">
        <f>IF(INVESTORS_LIST[[#This Row],[SIP_TOTAL CURRENT UNITS]]=0,0,INVESTORS_LIST[[#This Row],[SIP_TOTAL CURRENT UNITS]]*INVESTORS_LIST[[#This Row],[NAV]])</f>
        <v>0</v>
      </c>
      <c r="AO445" s="6">
        <f>IF(INVESTORS_LIST[[#This Row],[TOTAL SELLABLE UNITS]]=0,0,INVESTORS_LIST[[#This Row],[TOTAL SELLABLE UNITS]]*INVESTORS_LIST[[#This Row],[NAV]])</f>
        <v>0</v>
      </c>
      <c r="AP445" s="6">
        <f>INVESTORS_LIST[[#This Row],[LS_TOTAL REALIZED GAIN]]+INVESTORS_LIST[[#This Row],[SIP_TOTAL REALIZED GAIN]]</f>
        <v>0</v>
      </c>
      <c r="AQ445" s="6">
        <f>INVESTORS_LIST[[#This Row],[TOTAL MARKET VALUE]]-INVESTORS_LIST[[#This Row],[TOTAL COST VALUE OF CURRENT INVESTMENT]]</f>
        <v>0</v>
      </c>
      <c r="AR445" s="6">
        <f>SUMIFS(DivAndTax[Tax Amount],DivAndTax[Investor ID],INVESTORS_LIST[[#This Row],[INVESTOR CODE]])</f>
        <v>0</v>
      </c>
      <c r="AS445" s="6">
        <f>SUMIFS(DivAndTax[Gross Dividend],DivAndTax[Investor ID],INVESTORS_LIST[[#This Row],[INVESTOR CODE]])</f>
        <v>0</v>
      </c>
      <c r="AT445" s="5">
        <f>IFERROR(INVESTORS_LIST[[#This Row],[TOTAL CURRENT UNITS]]/SUM(INVESTORS_LIST[TOTAL CURRENT UNITS]),0)</f>
        <v>0</v>
      </c>
    </row>
    <row r="446" spans="1:46" hidden="1">
      <c r="A446" t="s">
        <v>998</v>
      </c>
      <c r="B446" t="s">
        <v>999</v>
      </c>
      <c r="C446" t="s">
        <v>536</v>
      </c>
      <c r="D446" s="8" t="s">
        <v>2</v>
      </c>
      <c r="E446" s="2">
        <f>SUMIFS(LS[Unit],LS[Investor ID],INVESTORS_LIST[[#This Row],[INVESTOR CODE]],LS[B/S],"B")</f>
        <v>0</v>
      </c>
      <c r="F446" s="2">
        <f>-SUMIFS(LS[Unit],LS[Investor ID],INVESTORS_LIST[[#This Row],[INVESTOR CODE]],LS[B/S],"S")</f>
        <v>0</v>
      </c>
      <c r="G446" s="2">
        <f>IF(INVESTORS_LIST[[#This Row],[LS_TOTAL UNITS BUY]]=0,0,INVESTORS_LIST[[#This Row],[LS_TOTAL UNITS BUY]]-INVESTORS_LIST[[#This Row],[LS_TOTAL UNITS SOLD]])</f>
        <v>0</v>
      </c>
      <c r="H446" s="4">
        <f>IF(INVESTORS_LIST[[#This Row],[LS_TOTAL UNITS BUY]]=0,0,SUMIFS(LS[Amount],LS[Investor ID],INVESTORS_LIST[[#This Row],[INVESTOR CODE]],LS[B/S],"B"))</f>
        <v>0</v>
      </c>
      <c r="I446" s="6">
        <f>IF(INVESTORS_LIST[[#This Row],[LS_TOTAL UNITS SOLD]]=0,0,SUMIFS(LS[Cost of Units Sold],LS[Investor ID],INVESTORS_LIST[[#This Row],[INVESTOR CODE]],LS[B/S],"S"))</f>
        <v>0</v>
      </c>
      <c r="J446" s="6">
        <f>IF(INVESTORS_LIST[[#This Row],[LS_TOTAL CURRENT UNITS]]=0,0,INVESTORS_LIST[[#This Row],[LS_TOTAL CURRENT UNITS]]*INVESTORS_LIST[[#This Row],[LS_AVERAGE COST]])</f>
        <v>0</v>
      </c>
      <c r="K446" s="4">
        <f>IF(INVESTORS_LIST[[#This Row],[LS_TOTAL UNITS SOLD]]=0,0,SUMIFS(LS[Realized Gain],LS[Investor ID],INVESTORS_LIST[[#This Row],[INVESTOR CODE]],LS[B/S],"S"))</f>
        <v>0</v>
      </c>
      <c r="L446" s="2">
        <f>SUMIFS(SIP[Unit],SIP[Investor ID],INVESTORS_LIST[[#This Row],[INVESTOR CODE]],SIP[B/S],"B")</f>
        <v>0</v>
      </c>
      <c r="M446" s="2">
        <f>-SUMIFS(SIP[Unit],SIP[Investor ID],INVESTORS_LIST[[#This Row],[INVESTOR CODE]],SIP[B/S],"S")</f>
        <v>0</v>
      </c>
      <c r="N446" s="33">
        <f>IF(INVESTORS_LIST[[#This Row],[SIP_TOTAL UNITS BUY]]=0,0,INVESTORS_LIST[[#This Row],[SIP_TOTAL UNITS BUY]]-INVESTORS_LIST[[#This Row],[SIP_TOTAL UNITS SOLD]])</f>
        <v>0</v>
      </c>
      <c r="O446" s="4">
        <f>IF(INVESTORS_LIST[[#This Row],[SIP_TOTAL UNITS BUY]]=0,0,SUMIFS(SIP[Amount],SIP[Investor ID],INVESTORS_LIST[[#This Row],[INVESTOR CODE]],SIP[B/S],"B"))</f>
        <v>0</v>
      </c>
      <c r="P446" s="4">
        <f>IF(INVESTORS_LIST[[#This Row],[SIP_TOTAL UNITS SOLD]]=0,0,SUMIFS(SIP[Cost of Units Sold],SIP[Investor ID],INVESTORS_LIST[[#This Row],[INVESTOR CODE]],SIP[B/S],"S"))</f>
        <v>0</v>
      </c>
      <c r="Q446" s="6">
        <f>IF(INVESTORS_LIST[[#This Row],[SIP_TOTAL CURRENT UNITS]]=0,0,INVESTORS_LIST[[#This Row],[SIP_TOTAL CURRENT UNITS]]*INVESTORS_LIST[[#This Row],[SIP_AVERAGE COST]])</f>
        <v>0</v>
      </c>
      <c r="R446" s="6">
        <f>IF(INVESTORS_LIST[[#This Row],[SIP_TOTAL UNITS SOLD]]=0,0,SUMIFS(SIP[Realized Gain],SIP[Investor ID],INVESTORS_LIST[[#This Row],[INVESTOR CODE]],SIP[B/S],"S"))</f>
        <v>0</v>
      </c>
      <c r="S446" s="33">
        <f>INVESTORS_LIST[[#This Row],[LS_TOTAL UNITS BUY]]+INVESTORS_LIST[[#This Row],[SIP_TOTAL UNITS BUY]]</f>
        <v>0</v>
      </c>
      <c r="T446" s="33">
        <f>INVESTORS_LIST[[#This Row],[LS_TOTAL UNITS SOLD]]+INVESTORS_LIST[[#This Row],[SIP_TOTAL UNITS SOLD]]</f>
        <v>0</v>
      </c>
      <c r="U446" s="33">
        <v>0</v>
      </c>
      <c r="V446" s="33">
        <f>SUMIFS(LS[BO UNIT TRANSFER],LS[Investor ID],INVESTORS_LIST[[#This Row],[INVESTOR CODE]],LS[B/S],"B")</f>
        <v>0</v>
      </c>
      <c r="W446" s="33">
        <f>SUMIFS(LS[BO UNIT TRANSFER],LS[Investor ID],INVESTORS_LIST[[#This Row],[INVESTOR CODE]],LS[B/S],"S")</f>
        <v>0</v>
      </c>
      <c r="X446" s="33">
        <f>SUMIFS(SIP[BO UNIT TRANSFER],SIP[Investor ID],INVESTORS_LIST[[#This Row],[INVESTOR CODE]],SIP[B/S],"S")</f>
        <v>0</v>
      </c>
      <c r="Y446" s="33">
        <f>SUMIFS(SIP[BO UNIT TRANSFER],SIP[Investor ID],INVESTORS_LIST[[#This Row],[INVESTOR CODE]],SIP[B/S],"B")</f>
        <v>0</v>
      </c>
      <c r="Z44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46" s="119">
        <f>INVESTORS_LIST[[#This Row],[TOTAL UNITS BUY]]-INVESTORS_LIST[[#This Row],[TOTAL UNITS SOLD]]</f>
        <v>0</v>
      </c>
      <c r="AB446" s="119">
        <f>INVESTORS_LIST[[#This Row],[TOTAL CURRENT UNITS]]-INVESTORS_LIST[[#This Row],[BO UNITS HOLD]]</f>
        <v>0</v>
      </c>
      <c r="AC446" s="119" t="e">
        <f>INDEX([4]!Table_1[BO ID],MATCH(INVESTORS_LIST[[#This Row],[INVESTOR CODE]],[4]!Table_1[INVESTOR CODE],0))</f>
        <v>#REF!</v>
      </c>
      <c r="AD446" s="33">
        <f>INVESTORS_LIST[[#This Row],[LS_TOTAL COST VALUE OF CURRENT UNITS]]+INVESTORS_LIST[[#This Row],[SIP_TOTAL COST VALUE OF CURRENT UNITS]]</f>
        <v>0</v>
      </c>
      <c r="AE446" s="44">
        <f>IF(INVESTORS_LIST[[#This Row],[TOTAL CURRENT UNITS]]=0,0,INVESTORS_LIST[[#This Row],[LS_TOTAL CURRENT UNITS]]/INVESTORS_LIST[[#This Row],[TOTAL CURRENT UNITS]])</f>
        <v>0</v>
      </c>
      <c r="AF446" s="44">
        <f>IF(INVESTORS_LIST[[#This Row],[TOTAL CURRENT UNITS]]=0,0,INVESTORS_LIST[[#This Row],[SIP_TOTAL CURRENT UNITS]]/INVESTORS_LIST[[#This Row],[TOTAL CURRENT UNITS]])</f>
        <v>0</v>
      </c>
      <c r="AG446" s="4" cm="1">
        <f t="array" ref="AG44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46" s="4" cm="1">
        <f t="array" ref="AH4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4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46" s="178">
        <f t="shared" si="7"/>
        <v>12.552</v>
      </c>
      <c r="AK446" s="118">
        <f>IF(INVESTORS_LIST[[#This Row],[TOTAL CURRENT UNITS]]=0,0,INVESTORS_LIST[[#This Row],[TOTAL CURRENT UNITS]]*INVESTORS_LIST[[#This Row],[NAV]])</f>
        <v>0</v>
      </c>
      <c r="AL446" s="4">
        <f>IF(INVESTORS_LIST[[#This Row],[LS_TOTAL CURRENT UNITS]]=0,0,INVESTORS_LIST[[#This Row],[LS_TOTAL CURRENT UNITS]]*INVESTORS_LIST[[#This Row],[NAV]])</f>
        <v>0</v>
      </c>
      <c r="AM446" s="6">
        <f>IF(INVESTORS_LIST[[#This Row],[SIP_TOTAL CURRENT UNITS]]=0,0,INVESTORS_LIST[[#This Row],[SIP_TOTAL CURRENT UNITS]]*INVESTORS_LIST[[#This Row],[NAV]])</f>
        <v>0</v>
      </c>
      <c r="AO446" s="6">
        <f>IF(INVESTORS_LIST[[#This Row],[TOTAL SELLABLE UNITS]]=0,0,INVESTORS_LIST[[#This Row],[TOTAL SELLABLE UNITS]]*INVESTORS_LIST[[#This Row],[NAV]])</f>
        <v>0</v>
      </c>
      <c r="AP446" s="6">
        <f>INVESTORS_LIST[[#This Row],[LS_TOTAL REALIZED GAIN]]+INVESTORS_LIST[[#This Row],[SIP_TOTAL REALIZED GAIN]]</f>
        <v>0</v>
      </c>
      <c r="AQ446" s="6">
        <f>INVESTORS_LIST[[#This Row],[TOTAL MARKET VALUE]]-INVESTORS_LIST[[#This Row],[TOTAL COST VALUE OF CURRENT INVESTMENT]]</f>
        <v>0</v>
      </c>
      <c r="AR446" s="6">
        <f>SUMIFS(DivAndTax[Tax Amount],DivAndTax[Investor ID],INVESTORS_LIST[[#This Row],[INVESTOR CODE]])</f>
        <v>0</v>
      </c>
      <c r="AS446" s="6">
        <f>SUMIFS(DivAndTax[Gross Dividend],DivAndTax[Investor ID],INVESTORS_LIST[[#This Row],[INVESTOR CODE]])</f>
        <v>0</v>
      </c>
      <c r="AT446" s="5">
        <f>IFERROR(INVESTORS_LIST[[#This Row],[TOTAL CURRENT UNITS]]/SUM(INVESTORS_LIST[TOTAL CURRENT UNITS]),0)</f>
        <v>0</v>
      </c>
    </row>
    <row r="447" spans="1:46" hidden="1">
      <c r="A447" t="s">
        <v>1000</v>
      </c>
      <c r="B447" t="s">
        <v>1001</v>
      </c>
      <c r="C447" t="s">
        <v>536</v>
      </c>
      <c r="D447" s="8" t="s">
        <v>2</v>
      </c>
      <c r="E447" s="2">
        <f>SUMIFS(LS[Unit],LS[Investor ID],INVESTORS_LIST[[#This Row],[INVESTOR CODE]],LS[B/S],"B")</f>
        <v>0</v>
      </c>
      <c r="F447" s="2">
        <f>-SUMIFS(LS[Unit],LS[Investor ID],INVESTORS_LIST[[#This Row],[INVESTOR CODE]],LS[B/S],"S")</f>
        <v>0</v>
      </c>
      <c r="G447" s="2">
        <f>IF(INVESTORS_LIST[[#This Row],[LS_TOTAL UNITS BUY]]=0,0,INVESTORS_LIST[[#This Row],[LS_TOTAL UNITS BUY]]-INVESTORS_LIST[[#This Row],[LS_TOTAL UNITS SOLD]])</f>
        <v>0</v>
      </c>
      <c r="H447" s="4">
        <f>IF(INVESTORS_LIST[[#This Row],[LS_TOTAL UNITS BUY]]=0,0,SUMIFS(LS[Amount],LS[Investor ID],INVESTORS_LIST[[#This Row],[INVESTOR CODE]],LS[B/S],"B"))</f>
        <v>0</v>
      </c>
      <c r="I447" s="6">
        <f>IF(INVESTORS_LIST[[#This Row],[LS_TOTAL UNITS SOLD]]=0,0,SUMIFS(LS[Cost of Units Sold],LS[Investor ID],INVESTORS_LIST[[#This Row],[INVESTOR CODE]],LS[B/S],"S"))</f>
        <v>0</v>
      </c>
      <c r="J447" s="6">
        <f>IF(INVESTORS_LIST[[#This Row],[LS_TOTAL CURRENT UNITS]]=0,0,INVESTORS_LIST[[#This Row],[LS_TOTAL CURRENT UNITS]]*INVESTORS_LIST[[#This Row],[LS_AVERAGE COST]])</f>
        <v>0</v>
      </c>
      <c r="K447" s="4">
        <f>IF(INVESTORS_LIST[[#This Row],[LS_TOTAL UNITS SOLD]]=0,0,SUMIFS(LS[Realized Gain],LS[Investor ID],INVESTORS_LIST[[#This Row],[INVESTOR CODE]],LS[B/S],"S"))</f>
        <v>0</v>
      </c>
      <c r="L447" s="2">
        <f>SUMIFS(SIP[Unit],SIP[Investor ID],INVESTORS_LIST[[#This Row],[INVESTOR CODE]],SIP[B/S],"B")</f>
        <v>0</v>
      </c>
      <c r="M447" s="2">
        <f>-SUMIFS(SIP[Unit],SIP[Investor ID],INVESTORS_LIST[[#This Row],[INVESTOR CODE]],SIP[B/S],"S")</f>
        <v>0</v>
      </c>
      <c r="N447" s="33">
        <f>IF(INVESTORS_LIST[[#This Row],[SIP_TOTAL UNITS BUY]]=0,0,INVESTORS_LIST[[#This Row],[SIP_TOTAL UNITS BUY]]-INVESTORS_LIST[[#This Row],[SIP_TOTAL UNITS SOLD]])</f>
        <v>0</v>
      </c>
      <c r="O447" s="4">
        <f>IF(INVESTORS_LIST[[#This Row],[SIP_TOTAL UNITS BUY]]=0,0,SUMIFS(SIP[Amount],SIP[Investor ID],INVESTORS_LIST[[#This Row],[INVESTOR CODE]],SIP[B/S],"B"))</f>
        <v>0</v>
      </c>
      <c r="P447" s="4">
        <f>IF(INVESTORS_LIST[[#This Row],[SIP_TOTAL UNITS SOLD]]=0,0,SUMIFS(SIP[Cost of Units Sold],SIP[Investor ID],INVESTORS_LIST[[#This Row],[INVESTOR CODE]],SIP[B/S],"S"))</f>
        <v>0</v>
      </c>
      <c r="Q447" s="6">
        <f>IF(INVESTORS_LIST[[#This Row],[SIP_TOTAL CURRENT UNITS]]=0,0,INVESTORS_LIST[[#This Row],[SIP_TOTAL CURRENT UNITS]]*INVESTORS_LIST[[#This Row],[SIP_AVERAGE COST]])</f>
        <v>0</v>
      </c>
      <c r="R447" s="6">
        <f>IF(INVESTORS_LIST[[#This Row],[SIP_TOTAL UNITS SOLD]]=0,0,SUMIFS(SIP[Realized Gain],SIP[Investor ID],INVESTORS_LIST[[#This Row],[INVESTOR CODE]],SIP[B/S],"S"))</f>
        <v>0</v>
      </c>
      <c r="S447" s="33">
        <f>INVESTORS_LIST[[#This Row],[LS_TOTAL UNITS BUY]]+INVESTORS_LIST[[#This Row],[SIP_TOTAL UNITS BUY]]</f>
        <v>0</v>
      </c>
      <c r="T447" s="33">
        <f>INVESTORS_LIST[[#This Row],[LS_TOTAL UNITS SOLD]]+INVESTORS_LIST[[#This Row],[SIP_TOTAL UNITS SOLD]]</f>
        <v>0</v>
      </c>
      <c r="U447" s="33">
        <v>0</v>
      </c>
      <c r="V447" s="33">
        <f>SUMIFS(LS[BO UNIT TRANSFER],LS[Investor ID],INVESTORS_LIST[[#This Row],[INVESTOR CODE]],LS[B/S],"B")</f>
        <v>0</v>
      </c>
      <c r="W447" s="33">
        <f>SUMIFS(LS[BO UNIT TRANSFER],LS[Investor ID],INVESTORS_LIST[[#This Row],[INVESTOR CODE]],LS[B/S],"S")</f>
        <v>0</v>
      </c>
      <c r="X447" s="33">
        <f>SUMIFS(SIP[BO UNIT TRANSFER],SIP[Investor ID],INVESTORS_LIST[[#This Row],[INVESTOR CODE]],SIP[B/S],"S")</f>
        <v>0</v>
      </c>
      <c r="Y447" s="33">
        <f>SUMIFS(SIP[BO UNIT TRANSFER],SIP[Investor ID],INVESTORS_LIST[[#This Row],[INVESTOR CODE]],SIP[B/S],"B")</f>
        <v>0</v>
      </c>
      <c r="Z44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47" s="119">
        <f>INVESTORS_LIST[[#This Row],[TOTAL UNITS BUY]]-INVESTORS_LIST[[#This Row],[TOTAL UNITS SOLD]]</f>
        <v>0</v>
      </c>
      <c r="AB447" s="119">
        <f>INVESTORS_LIST[[#This Row],[TOTAL CURRENT UNITS]]-INVESTORS_LIST[[#This Row],[BO UNITS HOLD]]</f>
        <v>0</v>
      </c>
      <c r="AC447" s="119" t="e">
        <f>INDEX([4]!Table_1[BO ID],MATCH(INVESTORS_LIST[[#This Row],[INVESTOR CODE]],[4]!Table_1[INVESTOR CODE],0))</f>
        <v>#REF!</v>
      </c>
      <c r="AD447" s="33">
        <f>INVESTORS_LIST[[#This Row],[LS_TOTAL COST VALUE OF CURRENT UNITS]]+INVESTORS_LIST[[#This Row],[SIP_TOTAL COST VALUE OF CURRENT UNITS]]</f>
        <v>0</v>
      </c>
      <c r="AE447" s="44">
        <f>IF(INVESTORS_LIST[[#This Row],[TOTAL CURRENT UNITS]]=0,0,INVESTORS_LIST[[#This Row],[LS_TOTAL CURRENT UNITS]]/INVESTORS_LIST[[#This Row],[TOTAL CURRENT UNITS]])</f>
        <v>0</v>
      </c>
      <c r="AF447" s="44">
        <f>IF(INVESTORS_LIST[[#This Row],[TOTAL CURRENT UNITS]]=0,0,INVESTORS_LIST[[#This Row],[SIP_TOTAL CURRENT UNITS]]/INVESTORS_LIST[[#This Row],[TOTAL CURRENT UNITS]])</f>
        <v>0</v>
      </c>
      <c r="AG447" s="4" cm="1">
        <f t="array" ref="AG44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47" s="4" cm="1">
        <f t="array" ref="AH4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4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47" s="178">
        <f t="shared" si="7"/>
        <v>12.552</v>
      </c>
      <c r="AK447" s="118">
        <f>IF(INVESTORS_LIST[[#This Row],[TOTAL CURRENT UNITS]]=0,0,INVESTORS_LIST[[#This Row],[TOTAL CURRENT UNITS]]*INVESTORS_LIST[[#This Row],[NAV]])</f>
        <v>0</v>
      </c>
      <c r="AL447" s="4">
        <f>IF(INVESTORS_LIST[[#This Row],[LS_TOTAL CURRENT UNITS]]=0,0,INVESTORS_LIST[[#This Row],[LS_TOTAL CURRENT UNITS]]*INVESTORS_LIST[[#This Row],[NAV]])</f>
        <v>0</v>
      </c>
      <c r="AM447" s="6">
        <f>IF(INVESTORS_LIST[[#This Row],[SIP_TOTAL CURRENT UNITS]]=0,0,INVESTORS_LIST[[#This Row],[SIP_TOTAL CURRENT UNITS]]*INVESTORS_LIST[[#This Row],[NAV]])</f>
        <v>0</v>
      </c>
      <c r="AO447" s="6">
        <f>IF(INVESTORS_LIST[[#This Row],[TOTAL SELLABLE UNITS]]=0,0,INVESTORS_LIST[[#This Row],[TOTAL SELLABLE UNITS]]*INVESTORS_LIST[[#This Row],[NAV]])</f>
        <v>0</v>
      </c>
      <c r="AP447" s="6">
        <f>INVESTORS_LIST[[#This Row],[LS_TOTAL REALIZED GAIN]]+INVESTORS_LIST[[#This Row],[SIP_TOTAL REALIZED GAIN]]</f>
        <v>0</v>
      </c>
      <c r="AQ447" s="6">
        <f>INVESTORS_LIST[[#This Row],[TOTAL MARKET VALUE]]-INVESTORS_LIST[[#This Row],[TOTAL COST VALUE OF CURRENT INVESTMENT]]</f>
        <v>0</v>
      </c>
      <c r="AR447" s="6">
        <f>SUMIFS(DivAndTax[Tax Amount],DivAndTax[Investor ID],INVESTORS_LIST[[#This Row],[INVESTOR CODE]])</f>
        <v>0</v>
      </c>
      <c r="AS447" s="6">
        <f>SUMIFS(DivAndTax[Gross Dividend],DivAndTax[Investor ID],INVESTORS_LIST[[#This Row],[INVESTOR CODE]])</f>
        <v>0</v>
      </c>
      <c r="AT447" s="5">
        <f>IFERROR(INVESTORS_LIST[[#This Row],[TOTAL CURRENT UNITS]]/SUM(INVESTORS_LIST[TOTAL CURRENT UNITS]),0)</f>
        <v>0</v>
      </c>
    </row>
    <row r="448" spans="1:46" hidden="1">
      <c r="A448" t="s">
        <v>1002</v>
      </c>
      <c r="B448" t="s">
        <v>1003</v>
      </c>
      <c r="C448" t="s">
        <v>539</v>
      </c>
      <c r="D448" s="8" t="s">
        <v>2</v>
      </c>
      <c r="E448" s="2">
        <f>SUMIFS(LS[Unit],LS[Investor ID],INVESTORS_LIST[[#This Row],[INVESTOR CODE]],LS[B/S],"B")</f>
        <v>0</v>
      </c>
      <c r="F448" s="2">
        <f>-SUMIFS(LS[Unit],LS[Investor ID],INVESTORS_LIST[[#This Row],[INVESTOR CODE]],LS[B/S],"S")</f>
        <v>0</v>
      </c>
      <c r="G448" s="2">
        <f>IF(INVESTORS_LIST[[#This Row],[LS_TOTAL UNITS BUY]]=0,0,INVESTORS_LIST[[#This Row],[LS_TOTAL UNITS BUY]]-INVESTORS_LIST[[#This Row],[LS_TOTAL UNITS SOLD]])</f>
        <v>0</v>
      </c>
      <c r="H448" s="4">
        <f>IF(INVESTORS_LIST[[#This Row],[LS_TOTAL UNITS BUY]]=0,0,SUMIFS(LS[Amount],LS[Investor ID],INVESTORS_LIST[[#This Row],[INVESTOR CODE]],LS[B/S],"B"))</f>
        <v>0</v>
      </c>
      <c r="I448" s="6">
        <f>IF(INVESTORS_LIST[[#This Row],[LS_TOTAL UNITS SOLD]]=0,0,SUMIFS(LS[Cost of Units Sold],LS[Investor ID],INVESTORS_LIST[[#This Row],[INVESTOR CODE]],LS[B/S],"S"))</f>
        <v>0</v>
      </c>
      <c r="J448" s="6">
        <f>IF(INVESTORS_LIST[[#This Row],[LS_TOTAL CURRENT UNITS]]=0,0,INVESTORS_LIST[[#This Row],[LS_TOTAL CURRENT UNITS]]*INVESTORS_LIST[[#This Row],[LS_AVERAGE COST]])</f>
        <v>0</v>
      </c>
      <c r="K448" s="4">
        <f>IF(INVESTORS_LIST[[#This Row],[LS_TOTAL UNITS SOLD]]=0,0,SUMIFS(LS[Realized Gain],LS[Investor ID],INVESTORS_LIST[[#This Row],[INVESTOR CODE]],LS[B/S],"S"))</f>
        <v>0</v>
      </c>
      <c r="L448" s="2">
        <f>SUMIFS(SIP[Unit],SIP[Investor ID],INVESTORS_LIST[[#This Row],[INVESTOR CODE]],SIP[B/S],"B")</f>
        <v>0</v>
      </c>
      <c r="M448" s="2">
        <f>-SUMIFS(SIP[Unit],SIP[Investor ID],INVESTORS_LIST[[#This Row],[INVESTOR CODE]],SIP[B/S],"S")</f>
        <v>0</v>
      </c>
      <c r="N448" s="33">
        <f>IF(INVESTORS_LIST[[#This Row],[SIP_TOTAL UNITS BUY]]=0,0,INVESTORS_LIST[[#This Row],[SIP_TOTAL UNITS BUY]]-INVESTORS_LIST[[#This Row],[SIP_TOTAL UNITS SOLD]])</f>
        <v>0</v>
      </c>
      <c r="O448" s="4">
        <f>IF(INVESTORS_LIST[[#This Row],[SIP_TOTAL UNITS BUY]]=0,0,SUMIFS(SIP[Amount],SIP[Investor ID],INVESTORS_LIST[[#This Row],[INVESTOR CODE]],SIP[B/S],"B"))</f>
        <v>0</v>
      </c>
      <c r="P448" s="4">
        <f>IF(INVESTORS_LIST[[#This Row],[SIP_TOTAL UNITS SOLD]]=0,0,SUMIFS(SIP[Cost of Units Sold],SIP[Investor ID],INVESTORS_LIST[[#This Row],[INVESTOR CODE]],SIP[B/S],"S"))</f>
        <v>0</v>
      </c>
      <c r="Q448" s="6">
        <f>IF(INVESTORS_LIST[[#This Row],[SIP_TOTAL CURRENT UNITS]]=0,0,INVESTORS_LIST[[#This Row],[SIP_TOTAL CURRENT UNITS]]*INVESTORS_LIST[[#This Row],[SIP_AVERAGE COST]])</f>
        <v>0</v>
      </c>
      <c r="R448" s="6">
        <f>IF(INVESTORS_LIST[[#This Row],[SIP_TOTAL UNITS SOLD]]=0,0,SUMIFS(SIP[Realized Gain],SIP[Investor ID],INVESTORS_LIST[[#This Row],[INVESTOR CODE]],SIP[B/S],"S"))</f>
        <v>0</v>
      </c>
      <c r="S448" s="33">
        <f>INVESTORS_LIST[[#This Row],[LS_TOTAL UNITS BUY]]+INVESTORS_LIST[[#This Row],[SIP_TOTAL UNITS BUY]]</f>
        <v>0</v>
      </c>
      <c r="T448" s="33">
        <f>INVESTORS_LIST[[#This Row],[LS_TOTAL UNITS SOLD]]+INVESTORS_LIST[[#This Row],[SIP_TOTAL UNITS SOLD]]</f>
        <v>0</v>
      </c>
      <c r="U448" s="33">
        <v>0</v>
      </c>
      <c r="V448" s="33">
        <f>SUMIFS(LS[BO UNIT TRANSFER],LS[Investor ID],INVESTORS_LIST[[#This Row],[INVESTOR CODE]],LS[B/S],"B")</f>
        <v>0</v>
      </c>
      <c r="W448" s="33">
        <f>SUMIFS(LS[BO UNIT TRANSFER],LS[Investor ID],INVESTORS_LIST[[#This Row],[INVESTOR CODE]],LS[B/S],"S")</f>
        <v>0</v>
      </c>
      <c r="X448" s="33">
        <f>SUMIFS(SIP[BO UNIT TRANSFER],SIP[Investor ID],INVESTORS_LIST[[#This Row],[INVESTOR CODE]],SIP[B/S],"S")</f>
        <v>0</v>
      </c>
      <c r="Y448" s="33">
        <f>SUMIFS(SIP[BO UNIT TRANSFER],SIP[Investor ID],INVESTORS_LIST[[#This Row],[INVESTOR CODE]],SIP[B/S],"B")</f>
        <v>0</v>
      </c>
      <c r="Z44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48" s="119">
        <f>INVESTORS_LIST[[#This Row],[TOTAL UNITS BUY]]-INVESTORS_LIST[[#This Row],[TOTAL UNITS SOLD]]</f>
        <v>0</v>
      </c>
      <c r="AB448" s="119">
        <f>INVESTORS_LIST[[#This Row],[TOTAL CURRENT UNITS]]-INVESTORS_LIST[[#This Row],[BO UNITS HOLD]]</f>
        <v>0</v>
      </c>
      <c r="AC448" s="119" t="e">
        <f>INDEX([4]!Table_1[BO ID],MATCH(INVESTORS_LIST[[#This Row],[INVESTOR CODE]],[4]!Table_1[INVESTOR CODE],0))</f>
        <v>#REF!</v>
      </c>
      <c r="AD448" s="33">
        <f>INVESTORS_LIST[[#This Row],[LS_TOTAL COST VALUE OF CURRENT UNITS]]+INVESTORS_LIST[[#This Row],[SIP_TOTAL COST VALUE OF CURRENT UNITS]]</f>
        <v>0</v>
      </c>
      <c r="AE448" s="44">
        <f>IF(INVESTORS_LIST[[#This Row],[TOTAL CURRENT UNITS]]=0,0,INVESTORS_LIST[[#This Row],[LS_TOTAL CURRENT UNITS]]/INVESTORS_LIST[[#This Row],[TOTAL CURRENT UNITS]])</f>
        <v>0</v>
      </c>
      <c r="AF448" s="44">
        <f>IF(INVESTORS_LIST[[#This Row],[TOTAL CURRENT UNITS]]=0,0,INVESTORS_LIST[[#This Row],[SIP_TOTAL CURRENT UNITS]]/INVESTORS_LIST[[#This Row],[TOTAL CURRENT UNITS]])</f>
        <v>0</v>
      </c>
      <c r="AG448" s="4" cm="1">
        <f t="array" ref="AG44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48" s="4" cm="1">
        <f t="array" ref="AH4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4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48" s="178">
        <f t="shared" si="7"/>
        <v>12.552</v>
      </c>
      <c r="AK448" s="118">
        <f>IF(INVESTORS_LIST[[#This Row],[TOTAL CURRENT UNITS]]=0,0,INVESTORS_LIST[[#This Row],[TOTAL CURRENT UNITS]]*INVESTORS_LIST[[#This Row],[NAV]])</f>
        <v>0</v>
      </c>
      <c r="AL448" s="4">
        <f>IF(INVESTORS_LIST[[#This Row],[LS_TOTAL CURRENT UNITS]]=0,0,INVESTORS_LIST[[#This Row],[LS_TOTAL CURRENT UNITS]]*INVESTORS_LIST[[#This Row],[NAV]])</f>
        <v>0</v>
      </c>
      <c r="AM448" s="6">
        <f>IF(INVESTORS_LIST[[#This Row],[SIP_TOTAL CURRENT UNITS]]=0,0,INVESTORS_LIST[[#This Row],[SIP_TOTAL CURRENT UNITS]]*INVESTORS_LIST[[#This Row],[NAV]])</f>
        <v>0</v>
      </c>
      <c r="AO448" s="6">
        <f>IF(INVESTORS_LIST[[#This Row],[TOTAL SELLABLE UNITS]]=0,0,INVESTORS_LIST[[#This Row],[TOTAL SELLABLE UNITS]]*INVESTORS_LIST[[#This Row],[NAV]])</f>
        <v>0</v>
      </c>
      <c r="AP448" s="6">
        <f>INVESTORS_LIST[[#This Row],[LS_TOTAL REALIZED GAIN]]+INVESTORS_LIST[[#This Row],[SIP_TOTAL REALIZED GAIN]]</f>
        <v>0</v>
      </c>
      <c r="AQ448" s="6">
        <f>INVESTORS_LIST[[#This Row],[TOTAL MARKET VALUE]]-INVESTORS_LIST[[#This Row],[TOTAL COST VALUE OF CURRENT INVESTMENT]]</f>
        <v>0</v>
      </c>
      <c r="AR448" s="6">
        <f>SUMIFS(DivAndTax[Tax Amount],DivAndTax[Investor ID],INVESTORS_LIST[[#This Row],[INVESTOR CODE]])</f>
        <v>0</v>
      </c>
      <c r="AS448" s="6">
        <f>SUMIFS(DivAndTax[Gross Dividend],DivAndTax[Investor ID],INVESTORS_LIST[[#This Row],[INVESTOR CODE]])</f>
        <v>0</v>
      </c>
      <c r="AT448" s="5">
        <f>IFERROR(INVESTORS_LIST[[#This Row],[TOTAL CURRENT UNITS]]/SUM(INVESTORS_LIST[TOTAL CURRENT UNITS]),0)</f>
        <v>0</v>
      </c>
    </row>
    <row r="449" spans="1:46">
      <c r="A449" t="s">
        <v>1041</v>
      </c>
      <c r="B449" t="s">
        <v>1004</v>
      </c>
      <c r="C449" t="s">
        <v>536</v>
      </c>
      <c r="D449" s="8" t="s">
        <v>2</v>
      </c>
      <c r="E449" s="2">
        <f>SUMIFS(LS[Unit],LS[Investor ID],INVESTORS_LIST[[#This Row],[INVESTOR CODE]],LS[B/S],"B")</f>
        <v>2291458</v>
      </c>
      <c r="F449" s="2">
        <f>-SUMIFS(LS[Unit],LS[Investor ID],INVESTORS_LIST[[#This Row],[INVESTOR CODE]],LS[B/S],"S")</f>
        <v>0</v>
      </c>
      <c r="G449" s="2">
        <f>IF(INVESTORS_LIST[[#This Row],[LS_TOTAL UNITS BUY]]=0,0,INVESTORS_LIST[[#This Row],[LS_TOTAL UNITS BUY]]-INVESTORS_LIST[[#This Row],[LS_TOTAL UNITS SOLD]])</f>
        <v>2291458</v>
      </c>
      <c r="H449" s="4">
        <f>IF(INVESTORS_LIST[[#This Row],[LS_TOTAL UNITS BUY]]=0,0,SUMIFS(LS[Amount],LS[Investor ID],INVESTORS_LIST[[#This Row],[INVESTOR CODE]],LS[B/S],"B"))</f>
        <v>28433690.600000001</v>
      </c>
      <c r="I449" s="6">
        <f>IF(INVESTORS_LIST[[#This Row],[LS_TOTAL UNITS SOLD]]=0,0,SUMIFS(LS[Cost of Units Sold],LS[Investor ID],INVESTORS_LIST[[#This Row],[INVESTOR CODE]],LS[B/S],"S"))</f>
        <v>0</v>
      </c>
      <c r="J449" s="6">
        <f>IF(INVESTORS_LIST[[#This Row],[LS_TOTAL CURRENT UNITS]]=0,0,INVESTORS_LIST[[#This Row],[LS_TOTAL CURRENT UNITS]]*INVESTORS_LIST[[#This Row],[LS_AVERAGE COST]])</f>
        <v>28433690.600000001</v>
      </c>
      <c r="K449" s="4">
        <f>IF(INVESTORS_LIST[[#This Row],[LS_TOTAL UNITS SOLD]]=0,0,SUMIFS(LS[Realized Gain],LS[Investor ID],INVESTORS_LIST[[#This Row],[INVESTOR CODE]],LS[B/S],"S"))</f>
        <v>0</v>
      </c>
      <c r="L449" s="2">
        <f>SUMIFS(SIP[Unit],SIP[Investor ID],INVESTORS_LIST[[#This Row],[INVESTOR CODE]],SIP[B/S],"B")</f>
        <v>0</v>
      </c>
      <c r="M449" s="2">
        <f>-SUMIFS(SIP[Unit],SIP[Investor ID],INVESTORS_LIST[[#This Row],[INVESTOR CODE]],SIP[B/S],"S")</f>
        <v>0</v>
      </c>
      <c r="N449" s="33">
        <f>IF(INVESTORS_LIST[[#This Row],[SIP_TOTAL UNITS BUY]]=0,0,INVESTORS_LIST[[#This Row],[SIP_TOTAL UNITS BUY]]-INVESTORS_LIST[[#This Row],[SIP_TOTAL UNITS SOLD]])</f>
        <v>0</v>
      </c>
      <c r="O449" s="4">
        <f>IF(INVESTORS_LIST[[#This Row],[SIP_TOTAL UNITS BUY]]=0,0,SUMIFS(SIP[Amount],SIP[Investor ID],INVESTORS_LIST[[#This Row],[INVESTOR CODE]],SIP[B/S],"B"))</f>
        <v>0</v>
      </c>
      <c r="P449" s="4">
        <f>IF(INVESTORS_LIST[[#This Row],[SIP_TOTAL UNITS SOLD]]=0,0,SUMIFS(SIP[Cost of Units Sold],SIP[Investor ID],INVESTORS_LIST[[#This Row],[INVESTOR CODE]],SIP[B/S],"S"))</f>
        <v>0</v>
      </c>
      <c r="Q449" s="6">
        <f>IF(INVESTORS_LIST[[#This Row],[SIP_TOTAL CURRENT UNITS]]=0,0,INVESTORS_LIST[[#This Row],[SIP_TOTAL CURRENT UNITS]]*INVESTORS_LIST[[#This Row],[SIP_AVERAGE COST]])</f>
        <v>0</v>
      </c>
      <c r="R449" s="6">
        <f>IF(INVESTORS_LIST[[#This Row],[SIP_TOTAL UNITS SOLD]]=0,0,SUMIFS(SIP[Realized Gain],SIP[Investor ID],INVESTORS_LIST[[#This Row],[INVESTOR CODE]],SIP[B/S],"S"))</f>
        <v>0</v>
      </c>
      <c r="S449" s="33">
        <f>INVESTORS_LIST[[#This Row],[LS_TOTAL UNITS BUY]]+INVESTORS_LIST[[#This Row],[SIP_TOTAL UNITS BUY]]</f>
        <v>2291458</v>
      </c>
      <c r="T449" s="33">
        <f>INVESTORS_LIST[[#This Row],[LS_TOTAL UNITS SOLD]]+INVESTORS_LIST[[#This Row],[SIP_TOTAL UNITS SOLD]]</f>
        <v>0</v>
      </c>
      <c r="U449" s="33">
        <v>0</v>
      </c>
      <c r="V449" s="33">
        <f>SUMIFS(LS[BO UNIT TRANSFER],LS[Investor ID],INVESTORS_LIST[[#This Row],[INVESTOR CODE]],LS[B/S],"B")</f>
        <v>2046600</v>
      </c>
      <c r="W449" s="33">
        <f>SUMIFS(LS[BO UNIT TRANSFER],LS[Investor ID],INVESTORS_LIST[[#This Row],[INVESTOR CODE]],LS[B/S],"S")</f>
        <v>0</v>
      </c>
      <c r="X449" s="33">
        <f>SUMIFS(SIP[BO UNIT TRANSFER],SIP[Investor ID],INVESTORS_LIST[[#This Row],[INVESTOR CODE]],SIP[B/S],"S")</f>
        <v>0</v>
      </c>
      <c r="Y449" s="33">
        <f>SUMIFS(SIP[BO UNIT TRANSFER],SIP[Investor ID],INVESTORS_LIST[[#This Row],[INVESTOR CODE]],SIP[B/S],"B")</f>
        <v>0</v>
      </c>
      <c r="Z44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2046600</v>
      </c>
      <c r="AA449" s="119">
        <f>INVESTORS_LIST[[#This Row],[TOTAL UNITS BUY]]-INVESTORS_LIST[[#This Row],[TOTAL UNITS SOLD]]</f>
        <v>2291458</v>
      </c>
      <c r="AB449" s="119">
        <f>INVESTORS_LIST[[#This Row],[TOTAL CURRENT UNITS]]-INVESTORS_LIST[[#This Row],[BO UNITS HOLD]]</f>
        <v>244858</v>
      </c>
      <c r="AC449" s="119" t="e">
        <f>INDEX([4]!Table_1[BO ID],MATCH(INVESTORS_LIST[[#This Row],[INVESTOR CODE]],[4]!Table_1[INVESTOR CODE],0))</f>
        <v>#REF!</v>
      </c>
      <c r="AD449" s="6">
        <f>INVESTORS_LIST[[#This Row],[LS_TOTAL COST VALUE OF CURRENT UNITS]]+INVESTORS_LIST[[#This Row],[SIP_TOTAL COST VALUE OF CURRENT UNITS]]</f>
        <v>28433690.600000001</v>
      </c>
      <c r="AE449" s="44">
        <f>IF(INVESTORS_LIST[[#This Row],[TOTAL CURRENT UNITS]]=0,0,INVESTORS_LIST[[#This Row],[LS_TOTAL CURRENT UNITS]]/INVESTORS_LIST[[#This Row],[TOTAL CURRENT UNITS]])</f>
        <v>1</v>
      </c>
      <c r="AF449" s="44">
        <f>IF(INVESTORS_LIST[[#This Row],[TOTAL CURRENT UNITS]]=0,0,INVESTORS_LIST[[#This Row],[SIP_TOTAL CURRENT UNITS]]/INVESTORS_LIST[[#This Row],[TOTAL CURRENT UNITS]])</f>
        <v>0</v>
      </c>
      <c r="AG449" s="4" cm="1">
        <f t="array" ref="AG449">IF(INVESTORS_LIST[[#This Row],[LS_TOTAL UNITS BUY]]&gt;0,INDEX(LS[NAV at Cost (Average)],MATCH(CONCATENATE(COUNTIFS(LS[Investor ID],INVESTORS_LIST[[#This Row],[INVESTOR CODE]]),INVESTORS_LIST[[#This Row],[INVESTOR CODE]]),LS[Unique Code],0),),0)</f>
        <v>12.408558481106789</v>
      </c>
      <c r="AH449" s="4" cm="1">
        <f t="array" ref="AH4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49" s="178">
        <f>IF(INVESTORS_LIST[[#This Row],[TOTAL CURRENT UNITS]]=0,0,(INVESTORS_LIST[[#This Row],[LS_WEIGHT]]*INVESTORS_LIST[[#This Row],[LS_AVERAGE COST]])+(INVESTORS_LIST[[#This Row],[SIP_WEIGHT]]*INVESTORS_LIST[[#This Row],[SIP_AVERAGE COST]]))</f>
        <v>12.408558481106789</v>
      </c>
      <c r="AJ449" s="178">
        <f t="shared" si="7"/>
        <v>12.552</v>
      </c>
      <c r="AK449" s="118">
        <f>IF(INVESTORS_LIST[[#This Row],[TOTAL CURRENT UNITS]]=0,0,INVESTORS_LIST[[#This Row],[TOTAL CURRENT UNITS]]*INVESTORS_LIST[[#This Row],[NAV]])</f>
        <v>28762380.816</v>
      </c>
      <c r="AL449" s="4">
        <f>IF(INVESTORS_LIST[[#This Row],[LS_TOTAL CURRENT UNITS]]=0,0,INVESTORS_LIST[[#This Row],[LS_TOTAL CURRENT UNITS]]*INVESTORS_LIST[[#This Row],[NAV]])</f>
        <v>28762380.816</v>
      </c>
      <c r="AM449" s="6">
        <f>IF(INVESTORS_LIST[[#This Row],[SIP_TOTAL CURRENT UNITS]]=0,0,INVESTORS_LIST[[#This Row],[SIP_TOTAL CURRENT UNITS]]*INVESTORS_LIST[[#This Row],[NAV]])</f>
        <v>0</v>
      </c>
      <c r="AO449" s="6">
        <f>IF(INVESTORS_LIST[[#This Row],[TOTAL SELLABLE UNITS]]=0,0,INVESTORS_LIST[[#This Row],[TOTAL SELLABLE UNITS]]*INVESTORS_LIST[[#This Row],[NAV]])</f>
        <v>0</v>
      </c>
      <c r="AP449" s="6">
        <f>INVESTORS_LIST[[#This Row],[LS_TOTAL REALIZED GAIN]]+INVESTORS_LIST[[#This Row],[SIP_TOTAL REALIZED GAIN]]</f>
        <v>0</v>
      </c>
      <c r="AQ449" s="6">
        <f>INVESTORS_LIST[[#This Row],[TOTAL MARKET VALUE]]-INVESTORS_LIST[[#This Row],[TOTAL COST VALUE OF CURRENT INVESTMENT]]</f>
        <v>328690.21599999815</v>
      </c>
      <c r="AR449" s="6">
        <f>SUMIFS(DivAndTax[Tax Amount],DivAndTax[Investor ID],INVESTORS_LIST[[#This Row],[INVESTOR CODE]])</f>
        <v>65053.59</v>
      </c>
      <c r="AS449" s="6">
        <f>SUMIFS(DivAndTax[Gross Dividend],DivAndTax[Investor ID],INVESTORS_LIST[[#This Row],[INVESTOR CODE]])</f>
        <v>433690.6</v>
      </c>
      <c r="AT449" s="5">
        <f>IFERROR(INVESTORS_LIST[[#This Row],[TOTAL CURRENT UNITS]]/SUM(INVESTORS_LIST[TOTAL CURRENT UNITS]),0)</f>
        <v>0.10986357584853727</v>
      </c>
    </row>
    <row r="450" spans="1:46" hidden="1">
      <c r="A450" t="s">
        <v>1005</v>
      </c>
      <c r="B450" t="s">
        <v>1006</v>
      </c>
      <c r="C450" t="s">
        <v>539</v>
      </c>
      <c r="D450" s="8" t="s">
        <v>2</v>
      </c>
      <c r="E450" s="2">
        <f>SUMIFS(LS[Unit],LS[Investor ID],INVESTORS_LIST[[#This Row],[INVESTOR CODE]],LS[B/S],"B")</f>
        <v>0</v>
      </c>
      <c r="F450" s="2">
        <f>-SUMIFS(LS[Unit],LS[Investor ID],INVESTORS_LIST[[#This Row],[INVESTOR CODE]],LS[B/S],"S")</f>
        <v>0</v>
      </c>
      <c r="G450" s="2">
        <f>IF(INVESTORS_LIST[[#This Row],[LS_TOTAL UNITS BUY]]=0,0,INVESTORS_LIST[[#This Row],[LS_TOTAL UNITS BUY]]-INVESTORS_LIST[[#This Row],[LS_TOTAL UNITS SOLD]])</f>
        <v>0</v>
      </c>
      <c r="H450" s="4">
        <f>IF(INVESTORS_LIST[[#This Row],[LS_TOTAL UNITS BUY]]=0,0,SUMIFS(LS[Amount],LS[Investor ID],INVESTORS_LIST[[#This Row],[INVESTOR CODE]],LS[B/S],"B"))</f>
        <v>0</v>
      </c>
      <c r="I450" s="6">
        <f>IF(INVESTORS_LIST[[#This Row],[LS_TOTAL UNITS SOLD]]=0,0,SUMIFS(LS[Cost of Units Sold],LS[Investor ID],INVESTORS_LIST[[#This Row],[INVESTOR CODE]],LS[B/S],"S"))</f>
        <v>0</v>
      </c>
      <c r="J450" s="6">
        <f>IF(INVESTORS_LIST[[#This Row],[LS_TOTAL CURRENT UNITS]]=0,0,INVESTORS_LIST[[#This Row],[LS_TOTAL CURRENT UNITS]]*INVESTORS_LIST[[#This Row],[LS_AVERAGE COST]])</f>
        <v>0</v>
      </c>
      <c r="K450" s="4">
        <f>IF(INVESTORS_LIST[[#This Row],[LS_TOTAL UNITS SOLD]]=0,0,SUMIFS(LS[Realized Gain],LS[Investor ID],INVESTORS_LIST[[#This Row],[INVESTOR CODE]],LS[B/S],"S"))</f>
        <v>0</v>
      </c>
      <c r="L450" s="2">
        <f>SUMIFS(SIP[Unit],SIP[Investor ID],INVESTORS_LIST[[#This Row],[INVESTOR CODE]],SIP[B/S],"B")</f>
        <v>0</v>
      </c>
      <c r="M450" s="2">
        <f>-SUMIFS(SIP[Unit],SIP[Investor ID],INVESTORS_LIST[[#This Row],[INVESTOR CODE]],SIP[B/S],"S")</f>
        <v>0</v>
      </c>
      <c r="N450" s="33">
        <f>IF(INVESTORS_LIST[[#This Row],[SIP_TOTAL UNITS BUY]]=0,0,INVESTORS_LIST[[#This Row],[SIP_TOTAL UNITS BUY]]-INVESTORS_LIST[[#This Row],[SIP_TOTAL UNITS SOLD]])</f>
        <v>0</v>
      </c>
      <c r="O450" s="4">
        <f>IF(INVESTORS_LIST[[#This Row],[SIP_TOTAL UNITS BUY]]=0,0,SUMIFS(SIP[Amount],SIP[Investor ID],INVESTORS_LIST[[#This Row],[INVESTOR CODE]],SIP[B/S],"B"))</f>
        <v>0</v>
      </c>
      <c r="P450" s="4">
        <f>IF(INVESTORS_LIST[[#This Row],[SIP_TOTAL UNITS SOLD]]=0,0,SUMIFS(SIP[Cost of Units Sold],SIP[Investor ID],INVESTORS_LIST[[#This Row],[INVESTOR CODE]],SIP[B/S],"S"))</f>
        <v>0</v>
      </c>
      <c r="Q450" s="6">
        <f>IF(INVESTORS_LIST[[#This Row],[SIP_TOTAL CURRENT UNITS]]=0,0,INVESTORS_LIST[[#This Row],[SIP_TOTAL CURRENT UNITS]]*INVESTORS_LIST[[#This Row],[SIP_AVERAGE COST]])</f>
        <v>0</v>
      </c>
      <c r="R450" s="6">
        <f>IF(INVESTORS_LIST[[#This Row],[SIP_TOTAL UNITS SOLD]]=0,0,SUMIFS(SIP[Realized Gain],SIP[Investor ID],INVESTORS_LIST[[#This Row],[INVESTOR CODE]],SIP[B/S],"S"))</f>
        <v>0</v>
      </c>
      <c r="S450" s="33">
        <f>INVESTORS_LIST[[#This Row],[LS_TOTAL UNITS BUY]]+INVESTORS_LIST[[#This Row],[SIP_TOTAL UNITS BUY]]</f>
        <v>0</v>
      </c>
      <c r="T450" s="33">
        <f>INVESTORS_LIST[[#This Row],[LS_TOTAL UNITS SOLD]]+INVESTORS_LIST[[#This Row],[SIP_TOTAL UNITS SOLD]]</f>
        <v>0</v>
      </c>
      <c r="U450" s="33">
        <v>0</v>
      </c>
      <c r="V450" s="33">
        <f>SUMIFS(LS[BO UNIT TRANSFER],LS[Investor ID],INVESTORS_LIST[[#This Row],[INVESTOR CODE]],LS[B/S],"B")</f>
        <v>0</v>
      </c>
      <c r="W450" s="33">
        <f>SUMIFS(LS[BO UNIT TRANSFER],LS[Investor ID],INVESTORS_LIST[[#This Row],[INVESTOR CODE]],LS[B/S],"S")</f>
        <v>0</v>
      </c>
      <c r="X450" s="33">
        <f>SUMIFS(SIP[BO UNIT TRANSFER],SIP[Investor ID],INVESTORS_LIST[[#This Row],[INVESTOR CODE]],SIP[B/S],"S")</f>
        <v>0</v>
      </c>
      <c r="Y450" s="33">
        <f>SUMIFS(SIP[BO UNIT TRANSFER],SIP[Investor ID],INVESTORS_LIST[[#This Row],[INVESTOR CODE]],SIP[B/S],"B")</f>
        <v>0</v>
      </c>
      <c r="Z45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50" s="119">
        <f>INVESTORS_LIST[[#This Row],[TOTAL UNITS BUY]]-INVESTORS_LIST[[#This Row],[TOTAL UNITS SOLD]]</f>
        <v>0</v>
      </c>
      <c r="AB450" s="119">
        <f>INVESTORS_LIST[[#This Row],[TOTAL CURRENT UNITS]]-INVESTORS_LIST[[#This Row],[BO UNITS HOLD]]</f>
        <v>0</v>
      </c>
      <c r="AC450" s="119" t="e">
        <f>INDEX([4]!Table_1[BO ID],MATCH(INVESTORS_LIST[[#This Row],[INVESTOR CODE]],[4]!Table_1[INVESTOR CODE],0))</f>
        <v>#REF!</v>
      </c>
      <c r="AD450" s="33">
        <f>INVESTORS_LIST[[#This Row],[LS_TOTAL COST VALUE OF CURRENT UNITS]]+INVESTORS_LIST[[#This Row],[SIP_TOTAL COST VALUE OF CURRENT UNITS]]</f>
        <v>0</v>
      </c>
      <c r="AE450" s="44">
        <f>IF(INVESTORS_LIST[[#This Row],[TOTAL CURRENT UNITS]]=0,0,INVESTORS_LIST[[#This Row],[LS_TOTAL CURRENT UNITS]]/INVESTORS_LIST[[#This Row],[TOTAL CURRENT UNITS]])</f>
        <v>0</v>
      </c>
      <c r="AF450" s="44">
        <f>IF(INVESTORS_LIST[[#This Row],[TOTAL CURRENT UNITS]]=0,0,INVESTORS_LIST[[#This Row],[SIP_TOTAL CURRENT UNITS]]/INVESTORS_LIST[[#This Row],[TOTAL CURRENT UNITS]])</f>
        <v>0</v>
      </c>
      <c r="AG450" s="4" cm="1">
        <f t="array" ref="AG45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50" s="4" cm="1">
        <f t="array" ref="AH4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5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50" s="178">
        <f t="shared" si="7"/>
        <v>12.552</v>
      </c>
      <c r="AK450" s="118">
        <f>IF(INVESTORS_LIST[[#This Row],[TOTAL CURRENT UNITS]]=0,0,INVESTORS_LIST[[#This Row],[TOTAL CURRENT UNITS]]*INVESTORS_LIST[[#This Row],[NAV]])</f>
        <v>0</v>
      </c>
      <c r="AL450" s="4">
        <f>IF(INVESTORS_LIST[[#This Row],[LS_TOTAL CURRENT UNITS]]=0,0,INVESTORS_LIST[[#This Row],[LS_TOTAL CURRENT UNITS]]*INVESTORS_LIST[[#This Row],[NAV]])</f>
        <v>0</v>
      </c>
      <c r="AM450" s="6">
        <f>IF(INVESTORS_LIST[[#This Row],[SIP_TOTAL CURRENT UNITS]]=0,0,INVESTORS_LIST[[#This Row],[SIP_TOTAL CURRENT UNITS]]*INVESTORS_LIST[[#This Row],[NAV]])</f>
        <v>0</v>
      </c>
      <c r="AO450" s="6">
        <f>IF(INVESTORS_LIST[[#This Row],[TOTAL SELLABLE UNITS]]=0,0,INVESTORS_LIST[[#This Row],[TOTAL SELLABLE UNITS]]*INVESTORS_LIST[[#This Row],[NAV]])</f>
        <v>0</v>
      </c>
      <c r="AP450" s="6">
        <f>INVESTORS_LIST[[#This Row],[LS_TOTAL REALIZED GAIN]]+INVESTORS_LIST[[#This Row],[SIP_TOTAL REALIZED GAIN]]</f>
        <v>0</v>
      </c>
      <c r="AQ450" s="6">
        <f>INVESTORS_LIST[[#This Row],[TOTAL MARKET VALUE]]-INVESTORS_LIST[[#This Row],[TOTAL COST VALUE OF CURRENT INVESTMENT]]</f>
        <v>0</v>
      </c>
      <c r="AR450" s="6">
        <f>SUMIFS(DivAndTax[Tax Amount],DivAndTax[Investor ID],INVESTORS_LIST[[#This Row],[INVESTOR CODE]])</f>
        <v>0</v>
      </c>
      <c r="AS450" s="6">
        <f>SUMIFS(DivAndTax[Gross Dividend],DivAndTax[Investor ID],INVESTORS_LIST[[#This Row],[INVESTOR CODE]])</f>
        <v>0</v>
      </c>
      <c r="AT450" s="5">
        <f>IFERROR(INVESTORS_LIST[[#This Row],[TOTAL CURRENT UNITS]]/SUM(INVESTORS_LIST[TOTAL CURRENT UNITS]),0)</f>
        <v>0</v>
      </c>
    </row>
    <row r="451" spans="1:46" hidden="1">
      <c r="A451" t="s">
        <v>1007</v>
      </c>
      <c r="B451" t="s">
        <v>1008</v>
      </c>
      <c r="C451" t="s">
        <v>536</v>
      </c>
      <c r="D451" s="8" t="s">
        <v>2</v>
      </c>
      <c r="E451" s="2">
        <f>SUMIFS(LS[Unit],LS[Investor ID],INVESTORS_LIST[[#This Row],[INVESTOR CODE]],LS[B/S],"B")</f>
        <v>0</v>
      </c>
      <c r="F451" s="2">
        <f>-SUMIFS(LS[Unit],LS[Investor ID],INVESTORS_LIST[[#This Row],[INVESTOR CODE]],LS[B/S],"S")</f>
        <v>0</v>
      </c>
      <c r="G451" s="2">
        <f>IF(INVESTORS_LIST[[#This Row],[LS_TOTAL UNITS BUY]]=0,0,INVESTORS_LIST[[#This Row],[LS_TOTAL UNITS BUY]]-INVESTORS_LIST[[#This Row],[LS_TOTAL UNITS SOLD]])</f>
        <v>0</v>
      </c>
      <c r="H451" s="4">
        <f>IF(INVESTORS_LIST[[#This Row],[LS_TOTAL UNITS BUY]]=0,0,SUMIFS(LS[Amount],LS[Investor ID],INVESTORS_LIST[[#This Row],[INVESTOR CODE]],LS[B/S],"B"))</f>
        <v>0</v>
      </c>
      <c r="I451" s="6">
        <f>IF(INVESTORS_LIST[[#This Row],[LS_TOTAL UNITS SOLD]]=0,0,SUMIFS(LS[Cost of Units Sold],LS[Investor ID],INVESTORS_LIST[[#This Row],[INVESTOR CODE]],LS[B/S],"S"))</f>
        <v>0</v>
      </c>
      <c r="J451" s="6">
        <f>IF(INVESTORS_LIST[[#This Row],[LS_TOTAL CURRENT UNITS]]=0,0,INVESTORS_LIST[[#This Row],[LS_TOTAL CURRENT UNITS]]*INVESTORS_LIST[[#This Row],[LS_AVERAGE COST]])</f>
        <v>0</v>
      </c>
      <c r="K451" s="4">
        <f>IF(INVESTORS_LIST[[#This Row],[LS_TOTAL UNITS SOLD]]=0,0,SUMIFS(LS[Realized Gain],LS[Investor ID],INVESTORS_LIST[[#This Row],[INVESTOR CODE]],LS[B/S],"S"))</f>
        <v>0</v>
      </c>
      <c r="L451" s="2">
        <f>SUMIFS(SIP[Unit],SIP[Investor ID],INVESTORS_LIST[[#This Row],[INVESTOR CODE]],SIP[B/S],"B")</f>
        <v>0</v>
      </c>
      <c r="M451" s="2">
        <f>-SUMIFS(SIP[Unit],SIP[Investor ID],INVESTORS_LIST[[#This Row],[INVESTOR CODE]],SIP[B/S],"S")</f>
        <v>0</v>
      </c>
      <c r="N451" s="33">
        <f>IF(INVESTORS_LIST[[#This Row],[SIP_TOTAL UNITS BUY]]=0,0,INVESTORS_LIST[[#This Row],[SIP_TOTAL UNITS BUY]]-INVESTORS_LIST[[#This Row],[SIP_TOTAL UNITS SOLD]])</f>
        <v>0</v>
      </c>
      <c r="O451" s="4">
        <f>IF(INVESTORS_LIST[[#This Row],[SIP_TOTAL UNITS BUY]]=0,0,SUMIFS(SIP[Amount],SIP[Investor ID],INVESTORS_LIST[[#This Row],[INVESTOR CODE]],SIP[B/S],"B"))</f>
        <v>0</v>
      </c>
      <c r="P451" s="4">
        <f>IF(INVESTORS_LIST[[#This Row],[SIP_TOTAL UNITS SOLD]]=0,0,SUMIFS(SIP[Cost of Units Sold],SIP[Investor ID],INVESTORS_LIST[[#This Row],[INVESTOR CODE]],SIP[B/S],"S"))</f>
        <v>0</v>
      </c>
      <c r="Q451" s="6">
        <f>IF(INVESTORS_LIST[[#This Row],[SIP_TOTAL CURRENT UNITS]]=0,0,INVESTORS_LIST[[#This Row],[SIP_TOTAL CURRENT UNITS]]*INVESTORS_LIST[[#This Row],[SIP_AVERAGE COST]])</f>
        <v>0</v>
      </c>
      <c r="R451" s="6">
        <f>IF(INVESTORS_LIST[[#This Row],[SIP_TOTAL UNITS SOLD]]=0,0,SUMIFS(SIP[Realized Gain],SIP[Investor ID],INVESTORS_LIST[[#This Row],[INVESTOR CODE]],SIP[B/S],"S"))</f>
        <v>0</v>
      </c>
      <c r="S451" s="33">
        <f>INVESTORS_LIST[[#This Row],[LS_TOTAL UNITS BUY]]+INVESTORS_LIST[[#This Row],[SIP_TOTAL UNITS BUY]]</f>
        <v>0</v>
      </c>
      <c r="T451" s="33">
        <f>INVESTORS_LIST[[#This Row],[LS_TOTAL UNITS SOLD]]+INVESTORS_LIST[[#This Row],[SIP_TOTAL UNITS SOLD]]</f>
        <v>0</v>
      </c>
      <c r="U451" s="33">
        <v>0</v>
      </c>
      <c r="V451" s="33">
        <f>SUMIFS(LS[BO UNIT TRANSFER],LS[Investor ID],INVESTORS_LIST[[#This Row],[INVESTOR CODE]],LS[B/S],"B")</f>
        <v>0</v>
      </c>
      <c r="W451" s="33">
        <f>SUMIFS(LS[BO UNIT TRANSFER],LS[Investor ID],INVESTORS_LIST[[#This Row],[INVESTOR CODE]],LS[B/S],"S")</f>
        <v>0</v>
      </c>
      <c r="X451" s="33">
        <f>SUMIFS(SIP[BO UNIT TRANSFER],SIP[Investor ID],INVESTORS_LIST[[#This Row],[INVESTOR CODE]],SIP[B/S],"S")</f>
        <v>0</v>
      </c>
      <c r="Y451" s="33">
        <f>SUMIFS(SIP[BO UNIT TRANSFER],SIP[Investor ID],INVESTORS_LIST[[#This Row],[INVESTOR CODE]],SIP[B/S],"B")</f>
        <v>0</v>
      </c>
      <c r="Z45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51" s="119">
        <f>INVESTORS_LIST[[#This Row],[TOTAL UNITS BUY]]-INVESTORS_LIST[[#This Row],[TOTAL UNITS SOLD]]</f>
        <v>0</v>
      </c>
      <c r="AB451" s="119">
        <f>INVESTORS_LIST[[#This Row],[TOTAL CURRENT UNITS]]-INVESTORS_LIST[[#This Row],[BO UNITS HOLD]]</f>
        <v>0</v>
      </c>
      <c r="AC451" s="119" t="e">
        <f>INDEX([4]!Table_1[BO ID],MATCH(INVESTORS_LIST[[#This Row],[INVESTOR CODE]],[4]!Table_1[INVESTOR CODE],0))</f>
        <v>#REF!</v>
      </c>
      <c r="AD451" s="33">
        <f>INVESTORS_LIST[[#This Row],[LS_TOTAL COST VALUE OF CURRENT UNITS]]+INVESTORS_LIST[[#This Row],[SIP_TOTAL COST VALUE OF CURRENT UNITS]]</f>
        <v>0</v>
      </c>
      <c r="AE451" s="44">
        <f>IF(INVESTORS_LIST[[#This Row],[TOTAL CURRENT UNITS]]=0,0,INVESTORS_LIST[[#This Row],[LS_TOTAL CURRENT UNITS]]/INVESTORS_LIST[[#This Row],[TOTAL CURRENT UNITS]])</f>
        <v>0</v>
      </c>
      <c r="AF451" s="44">
        <f>IF(INVESTORS_LIST[[#This Row],[TOTAL CURRENT UNITS]]=0,0,INVESTORS_LIST[[#This Row],[SIP_TOTAL CURRENT UNITS]]/INVESTORS_LIST[[#This Row],[TOTAL CURRENT UNITS]])</f>
        <v>0</v>
      </c>
      <c r="AG451" s="4" cm="1">
        <f t="array" ref="AG45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51" s="4" cm="1">
        <f t="array" ref="AH4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5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51" s="178">
        <f t="shared" si="7"/>
        <v>12.552</v>
      </c>
      <c r="AK451" s="118">
        <f>IF(INVESTORS_LIST[[#This Row],[TOTAL CURRENT UNITS]]=0,0,INVESTORS_LIST[[#This Row],[TOTAL CURRENT UNITS]]*INVESTORS_LIST[[#This Row],[NAV]])</f>
        <v>0</v>
      </c>
      <c r="AL451" s="4">
        <f>IF(INVESTORS_LIST[[#This Row],[LS_TOTAL CURRENT UNITS]]=0,0,INVESTORS_LIST[[#This Row],[LS_TOTAL CURRENT UNITS]]*INVESTORS_LIST[[#This Row],[NAV]])</f>
        <v>0</v>
      </c>
      <c r="AM451" s="6">
        <f>IF(INVESTORS_LIST[[#This Row],[SIP_TOTAL CURRENT UNITS]]=0,0,INVESTORS_LIST[[#This Row],[SIP_TOTAL CURRENT UNITS]]*INVESTORS_LIST[[#This Row],[NAV]])</f>
        <v>0</v>
      </c>
      <c r="AO451" s="6">
        <f>IF(INVESTORS_LIST[[#This Row],[TOTAL SELLABLE UNITS]]=0,0,INVESTORS_LIST[[#This Row],[TOTAL SELLABLE UNITS]]*INVESTORS_LIST[[#This Row],[NAV]])</f>
        <v>0</v>
      </c>
      <c r="AP451" s="6">
        <f>INVESTORS_LIST[[#This Row],[LS_TOTAL REALIZED GAIN]]+INVESTORS_LIST[[#This Row],[SIP_TOTAL REALIZED GAIN]]</f>
        <v>0</v>
      </c>
      <c r="AQ451" s="6">
        <f>INVESTORS_LIST[[#This Row],[TOTAL MARKET VALUE]]-INVESTORS_LIST[[#This Row],[TOTAL COST VALUE OF CURRENT INVESTMENT]]</f>
        <v>0</v>
      </c>
      <c r="AR451" s="6">
        <f>SUMIFS(DivAndTax[Tax Amount],DivAndTax[Investor ID],INVESTORS_LIST[[#This Row],[INVESTOR CODE]])</f>
        <v>0</v>
      </c>
      <c r="AS451" s="6">
        <f>SUMIFS(DivAndTax[Gross Dividend],DivAndTax[Investor ID],INVESTORS_LIST[[#This Row],[INVESTOR CODE]])</f>
        <v>0</v>
      </c>
      <c r="AT451" s="5">
        <f>IFERROR(INVESTORS_LIST[[#This Row],[TOTAL CURRENT UNITS]]/SUM(INVESTORS_LIST[TOTAL CURRENT UNITS]),0)</f>
        <v>0</v>
      </c>
    </row>
    <row r="452" spans="1:46" hidden="1">
      <c r="A452" t="s">
        <v>1009</v>
      </c>
      <c r="B452" t="s">
        <v>1010</v>
      </c>
      <c r="C452" t="s">
        <v>537</v>
      </c>
      <c r="D452" s="8" t="s">
        <v>5</v>
      </c>
      <c r="E452" s="2">
        <f>SUMIFS(LS[Unit],LS[Investor ID],INVESTORS_LIST[[#This Row],[INVESTOR CODE]],LS[B/S],"B")</f>
        <v>0</v>
      </c>
      <c r="F452" s="2">
        <f>-SUMIFS(LS[Unit],LS[Investor ID],INVESTORS_LIST[[#This Row],[INVESTOR CODE]],LS[B/S],"S")</f>
        <v>0</v>
      </c>
      <c r="G452" s="2">
        <f>IF(INVESTORS_LIST[[#This Row],[LS_TOTAL UNITS BUY]]=0,0,INVESTORS_LIST[[#This Row],[LS_TOTAL UNITS BUY]]-INVESTORS_LIST[[#This Row],[LS_TOTAL UNITS SOLD]])</f>
        <v>0</v>
      </c>
      <c r="H452" s="4">
        <f>IF(INVESTORS_LIST[[#This Row],[LS_TOTAL UNITS BUY]]=0,0,SUMIFS(LS[Amount],LS[Investor ID],INVESTORS_LIST[[#This Row],[INVESTOR CODE]],LS[B/S],"B"))</f>
        <v>0</v>
      </c>
      <c r="I452" s="6">
        <f>IF(INVESTORS_LIST[[#This Row],[LS_TOTAL UNITS SOLD]]=0,0,SUMIFS(LS[Cost of Units Sold],LS[Investor ID],INVESTORS_LIST[[#This Row],[INVESTOR CODE]],LS[B/S],"S"))</f>
        <v>0</v>
      </c>
      <c r="J452" s="6">
        <f>IF(INVESTORS_LIST[[#This Row],[LS_TOTAL CURRENT UNITS]]=0,0,INVESTORS_LIST[[#This Row],[LS_TOTAL CURRENT UNITS]]*INVESTORS_LIST[[#This Row],[LS_AVERAGE COST]])</f>
        <v>0</v>
      </c>
      <c r="K452" s="4">
        <f>IF(INVESTORS_LIST[[#This Row],[LS_TOTAL UNITS SOLD]]=0,0,SUMIFS(LS[Realized Gain],LS[Investor ID],INVESTORS_LIST[[#This Row],[INVESTOR CODE]],LS[B/S],"S"))</f>
        <v>0</v>
      </c>
      <c r="L452" s="2">
        <f>SUMIFS(SIP[Unit],SIP[Investor ID],INVESTORS_LIST[[#This Row],[INVESTOR CODE]],SIP[B/S],"B")</f>
        <v>0</v>
      </c>
      <c r="M452" s="2">
        <f>-SUMIFS(SIP[Unit],SIP[Investor ID],INVESTORS_LIST[[#This Row],[INVESTOR CODE]],SIP[B/S],"S")</f>
        <v>0</v>
      </c>
      <c r="N452" s="33">
        <f>IF(INVESTORS_LIST[[#This Row],[SIP_TOTAL UNITS BUY]]=0,0,INVESTORS_LIST[[#This Row],[SIP_TOTAL UNITS BUY]]-INVESTORS_LIST[[#This Row],[SIP_TOTAL UNITS SOLD]])</f>
        <v>0</v>
      </c>
      <c r="O452" s="4">
        <f>IF(INVESTORS_LIST[[#This Row],[SIP_TOTAL UNITS BUY]]=0,0,SUMIFS(SIP[Amount],SIP[Investor ID],INVESTORS_LIST[[#This Row],[INVESTOR CODE]],SIP[B/S],"B"))</f>
        <v>0</v>
      </c>
      <c r="P452" s="4">
        <f>IF(INVESTORS_LIST[[#This Row],[SIP_TOTAL UNITS SOLD]]=0,0,SUMIFS(SIP[Cost of Units Sold],SIP[Investor ID],INVESTORS_LIST[[#This Row],[INVESTOR CODE]],SIP[B/S],"S"))</f>
        <v>0</v>
      </c>
      <c r="Q452" s="6">
        <f>IF(INVESTORS_LIST[[#This Row],[SIP_TOTAL CURRENT UNITS]]=0,0,INVESTORS_LIST[[#This Row],[SIP_TOTAL CURRENT UNITS]]*INVESTORS_LIST[[#This Row],[SIP_AVERAGE COST]])</f>
        <v>0</v>
      </c>
      <c r="R452" s="6">
        <f>IF(INVESTORS_LIST[[#This Row],[SIP_TOTAL UNITS SOLD]]=0,0,SUMIFS(SIP[Realized Gain],SIP[Investor ID],INVESTORS_LIST[[#This Row],[INVESTOR CODE]],SIP[B/S],"S"))</f>
        <v>0</v>
      </c>
      <c r="S452" s="33">
        <f>INVESTORS_LIST[[#This Row],[LS_TOTAL UNITS BUY]]+INVESTORS_LIST[[#This Row],[SIP_TOTAL UNITS BUY]]</f>
        <v>0</v>
      </c>
      <c r="T452" s="33">
        <f>INVESTORS_LIST[[#This Row],[LS_TOTAL UNITS SOLD]]+INVESTORS_LIST[[#This Row],[SIP_TOTAL UNITS SOLD]]</f>
        <v>0</v>
      </c>
      <c r="U452" s="33">
        <v>0</v>
      </c>
      <c r="V452" s="33">
        <f>SUMIFS(LS[BO UNIT TRANSFER],LS[Investor ID],INVESTORS_LIST[[#This Row],[INVESTOR CODE]],LS[B/S],"B")</f>
        <v>0</v>
      </c>
      <c r="W452" s="33">
        <f>SUMIFS(LS[BO UNIT TRANSFER],LS[Investor ID],INVESTORS_LIST[[#This Row],[INVESTOR CODE]],LS[B/S],"S")</f>
        <v>0</v>
      </c>
      <c r="X452" s="33">
        <f>SUMIFS(SIP[BO UNIT TRANSFER],SIP[Investor ID],INVESTORS_LIST[[#This Row],[INVESTOR CODE]],SIP[B/S],"S")</f>
        <v>0</v>
      </c>
      <c r="Y452" s="33">
        <f>SUMIFS(SIP[BO UNIT TRANSFER],SIP[Investor ID],INVESTORS_LIST[[#This Row],[INVESTOR CODE]],SIP[B/S],"B")</f>
        <v>0</v>
      </c>
      <c r="Z45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52" s="119">
        <f>INVESTORS_LIST[[#This Row],[TOTAL UNITS BUY]]-INVESTORS_LIST[[#This Row],[TOTAL UNITS SOLD]]</f>
        <v>0</v>
      </c>
      <c r="AB452" s="119">
        <f>INVESTORS_LIST[[#This Row],[TOTAL CURRENT UNITS]]-INVESTORS_LIST[[#This Row],[BO UNITS HOLD]]</f>
        <v>0</v>
      </c>
      <c r="AC452" s="119" t="e">
        <f>INDEX([4]!Table_1[BO ID],MATCH(INVESTORS_LIST[[#This Row],[INVESTOR CODE]],[4]!Table_1[INVESTOR CODE],0))</f>
        <v>#REF!</v>
      </c>
      <c r="AD452" s="33">
        <f>INVESTORS_LIST[[#This Row],[LS_TOTAL COST VALUE OF CURRENT UNITS]]+INVESTORS_LIST[[#This Row],[SIP_TOTAL COST VALUE OF CURRENT UNITS]]</f>
        <v>0</v>
      </c>
      <c r="AE452" s="44">
        <f>IF(INVESTORS_LIST[[#This Row],[TOTAL CURRENT UNITS]]=0,0,INVESTORS_LIST[[#This Row],[LS_TOTAL CURRENT UNITS]]/INVESTORS_LIST[[#This Row],[TOTAL CURRENT UNITS]])</f>
        <v>0</v>
      </c>
      <c r="AF452" s="44">
        <f>IF(INVESTORS_LIST[[#This Row],[TOTAL CURRENT UNITS]]=0,0,INVESTORS_LIST[[#This Row],[SIP_TOTAL CURRENT UNITS]]/INVESTORS_LIST[[#This Row],[TOTAL CURRENT UNITS]])</f>
        <v>0</v>
      </c>
      <c r="AG452" s="4" cm="1">
        <f t="array" ref="AG45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52" s="4" cm="1">
        <f t="array" ref="AH4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5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52" s="178">
        <f t="shared" si="7"/>
        <v>12.552</v>
      </c>
      <c r="AK452" s="118">
        <f>IF(INVESTORS_LIST[[#This Row],[TOTAL CURRENT UNITS]]=0,0,INVESTORS_LIST[[#This Row],[TOTAL CURRENT UNITS]]*INVESTORS_LIST[[#This Row],[NAV]])</f>
        <v>0</v>
      </c>
      <c r="AL452" s="4">
        <f>IF(INVESTORS_LIST[[#This Row],[LS_TOTAL CURRENT UNITS]]=0,0,INVESTORS_LIST[[#This Row],[LS_TOTAL CURRENT UNITS]]*INVESTORS_LIST[[#This Row],[NAV]])</f>
        <v>0</v>
      </c>
      <c r="AM452" s="6">
        <f>IF(INVESTORS_LIST[[#This Row],[SIP_TOTAL CURRENT UNITS]]=0,0,INVESTORS_LIST[[#This Row],[SIP_TOTAL CURRENT UNITS]]*INVESTORS_LIST[[#This Row],[NAV]])</f>
        <v>0</v>
      </c>
      <c r="AO452" s="6">
        <f>IF(INVESTORS_LIST[[#This Row],[TOTAL SELLABLE UNITS]]=0,0,INVESTORS_LIST[[#This Row],[TOTAL SELLABLE UNITS]]*INVESTORS_LIST[[#This Row],[NAV]])</f>
        <v>0</v>
      </c>
      <c r="AP452" s="6">
        <f>INVESTORS_LIST[[#This Row],[LS_TOTAL REALIZED GAIN]]+INVESTORS_LIST[[#This Row],[SIP_TOTAL REALIZED GAIN]]</f>
        <v>0</v>
      </c>
      <c r="AQ452" s="6">
        <f>INVESTORS_LIST[[#This Row],[TOTAL MARKET VALUE]]-INVESTORS_LIST[[#This Row],[TOTAL COST VALUE OF CURRENT INVESTMENT]]</f>
        <v>0</v>
      </c>
      <c r="AR452" s="6">
        <f>SUMIFS(DivAndTax[Tax Amount],DivAndTax[Investor ID],INVESTORS_LIST[[#This Row],[INVESTOR CODE]])</f>
        <v>0</v>
      </c>
      <c r="AS452" s="6">
        <f>SUMIFS(DivAndTax[Gross Dividend],DivAndTax[Investor ID],INVESTORS_LIST[[#This Row],[INVESTOR CODE]])</f>
        <v>0</v>
      </c>
      <c r="AT452" s="5">
        <f>IFERROR(INVESTORS_LIST[[#This Row],[TOTAL CURRENT UNITS]]/SUM(INVESTORS_LIST[TOTAL CURRENT UNITS]),0)</f>
        <v>0</v>
      </c>
    </row>
    <row r="453" spans="1:46" hidden="1">
      <c r="A453" t="s">
        <v>1011</v>
      </c>
      <c r="B453" t="s">
        <v>1012</v>
      </c>
      <c r="C453" t="s">
        <v>536</v>
      </c>
      <c r="D453" s="8" t="s">
        <v>2</v>
      </c>
      <c r="E453" s="2">
        <f>SUMIFS(LS[Unit],LS[Investor ID],INVESTORS_LIST[[#This Row],[INVESTOR CODE]],LS[B/S],"B")</f>
        <v>0</v>
      </c>
      <c r="F453" s="2">
        <f>-SUMIFS(LS[Unit],LS[Investor ID],INVESTORS_LIST[[#This Row],[INVESTOR CODE]],LS[B/S],"S")</f>
        <v>0</v>
      </c>
      <c r="G453" s="2">
        <f>IF(INVESTORS_LIST[[#This Row],[LS_TOTAL UNITS BUY]]=0,0,INVESTORS_LIST[[#This Row],[LS_TOTAL UNITS BUY]]-INVESTORS_LIST[[#This Row],[LS_TOTAL UNITS SOLD]])</f>
        <v>0</v>
      </c>
      <c r="H453" s="4">
        <f>IF(INVESTORS_LIST[[#This Row],[LS_TOTAL UNITS BUY]]=0,0,SUMIFS(LS[Amount],LS[Investor ID],INVESTORS_LIST[[#This Row],[INVESTOR CODE]],LS[B/S],"B"))</f>
        <v>0</v>
      </c>
      <c r="I453" s="6">
        <f>IF(INVESTORS_LIST[[#This Row],[LS_TOTAL UNITS SOLD]]=0,0,SUMIFS(LS[Cost of Units Sold],LS[Investor ID],INVESTORS_LIST[[#This Row],[INVESTOR CODE]],LS[B/S],"S"))</f>
        <v>0</v>
      </c>
      <c r="J453" s="6">
        <f>IF(INVESTORS_LIST[[#This Row],[LS_TOTAL CURRENT UNITS]]=0,0,INVESTORS_LIST[[#This Row],[LS_TOTAL CURRENT UNITS]]*INVESTORS_LIST[[#This Row],[LS_AVERAGE COST]])</f>
        <v>0</v>
      </c>
      <c r="K453" s="4">
        <f>IF(INVESTORS_LIST[[#This Row],[LS_TOTAL UNITS SOLD]]=0,0,SUMIFS(LS[Realized Gain],LS[Investor ID],INVESTORS_LIST[[#This Row],[INVESTOR CODE]],LS[B/S],"S"))</f>
        <v>0</v>
      </c>
      <c r="L453" s="2">
        <f>SUMIFS(SIP[Unit],SIP[Investor ID],INVESTORS_LIST[[#This Row],[INVESTOR CODE]],SIP[B/S],"B")</f>
        <v>0</v>
      </c>
      <c r="M453" s="2">
        <f>-SUMIFS(SIP[Unit],SIP[Investor ID],INVESTORS_LIST[[#This Row],[INVESTOR CODE]],SIP[B/S],"S")</f>
        <v>0</v>
      </c>
      <c r="N453" s="33">
        <f>IF(INVESTORS_LIST[[#This Row],[SIP_TOTAL UNITS BUY]]=0,0,INVESTORS_LIST[[#This Row],[SIP_TOTAL UNITS BUY]]-INVESTORS_LIST[[#This Row],[SIP_TOTAL UNITS SOLD]])</f>
        <v>0</v>
      </c>
      <c r="O453" s="4">
        <f>IF(INVESTORS_LIST[[#This Row],[SIP_TOTAL UNITS BUY]]=0,0,SUMIFS(SIP[Amount],SIP[Investor ID],INVESTORS_LIST[[#This Row],[INVESTOR CODE]],SIP[B/S],"B"))</f>
        <v>0</v>
      </c>
      <c r="P453" s="4">
        <f>IF(INVESTORS_LIST[[#This Row],[SIP_TOTAL UNITS SOLD]]=0,0,SUMIFS(SIP[Cost of Units Sold],SIP[Investor ID],INVESTORS_LIST[[#This Row],[INVESTOR CODE]],SIP[B/S],"S"))</f>
        <v>0</v>
      </c>
      <c r="Q453" s="6">
        <f>IF(INVESTORS_LIST[[#This Row],[SIP_TOTAL CURRENT UNITS]]=0,0,INVESTORS_LIST[[#This Row],[SIP_TOTAL CURRENT UNITS]]*INVESTORS_LIST[[#This Row],[SIP_AVERAGE COST]])</f>
        <v>0</v>
      </c>
      <c r="R453" s="6">
        <f>IF(INVESTORS_LIST[[#This Row],[SIP_TOTAL UNITS SOLD]]=0,0,SUMIFS(SIP[Realized Gain],SIP[Investor ID],INVESTORS_LIST[[#This Row],[INVESTOR CODE]],SIP[B/S],"S"))</f>
        <v>0</v>
      </c>
      <c r="S453" s="33">
        <f>INVESTORS_LIST[[#This Row],[LS_TOTAL UNITS BUY]]+INVESTORS_LIST[[#This Row],[SIP_TOTAL UNITS BUY]]</f>
        <v>0</v>
      </c>
      <c r="T453" s="33">
        <f>INVESTORS_LIST[[#This Row],[LS_TOTAL UNITS SOLD]]+INVESTORS_LIST[[#This Row],[SIP_TOTAL UNITS SOLD]]</f>
        <v>0</v>
      </c>
      <c r="U453" s="33">
        <v>0</v>
      </c>
      <c r="V453" s="33">
        <f>SUMIFS(LS[BO UNIT TRANSFER],LS[Investor ID],INVESTORS_LIST[[#This Row],[INVESTOR CODE]],LS[B/S],"B")</f>
        <v>0</v>
      </c>
      <c r="W453" s="33">
        <f>SUMIFS(LS[BO UNIT TRANSFER],LS[Investor ID],INVESTORS_LIST[[#This Row],[INVESTOR CODE]],LS[B/S],"S")</f>
        <v>0</v>
      </c>
      <c r="X453" s="33">
        <f>SUMIFS(SIP[BO UNIT TRANSFER],SIP[Investor ID],INVESTORS_LIST[[#This Row],[INVESTOR CODE]],SIP[B/S],"S")</f>
        <v>0</v>
      </c>
      <c r="Y453" s="33">
        <f>SUMIFS(SIP[BO UNIT TRANSFER],SIP[Investor ID],INVESTORS_LIST[[#This Row],[INVESTOR CODE]],SIP[B/S],"B")</f>
        <v>0</v>
      </c>
      <c r="Z45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53" s="119">
        <f>INVESTORS_LIST[[#This Row],[TOTAL UNITS BUY]]-INVESTORS_LIST[[#This Row],[TOTAL UNITS SOLD]]</f>
        <v>0</v>
      </c>
      <c r="AB453" s="119">
        <f>INVESTORS_LIST[[#This Row],[TOTAL CURRENT UNITS]]-INVESTORS_LIST[[#This Row],[BO UNITS HOLD]]</f>
        <v>0</v>
      </c>
      <c r="AC453" s="119" t="e">
        <f>INDEX([4]!Table_1[BO ID],MATCH(INVESTORS_LIST[[#This Row],[INVESTOR CODE]],[4]!Table_1[INVESTOR CODE],0))</f>
        <v>#REF!</v>
      </c>
      <c r="AD453" s="33">
        <f>INVESTORS_LIST[[#This Row],[LS_TOTAL COST VALUE OF CURRENT UNITS]]+INVESTORS_LIST[[#This Row],[SIP_TOTAL COST VALUE OF CURRENT UNITS]]</f>
        <v>0</v>
      </c>
      <c r="AE453" s="44">
        <f>IF(INVESTORS_LIST[[#This Row],[TOTAL CURRENT UNITS]]=0,0,INVESTORS_LIST[[#This Row],[LS_TOTAL CURRENT UNITS]]/INVESTORS_LIST[[#This Row],[TOTAL CURRENT UNITS]])</f>
        <v>0</v>
      </c>
      <c r="AF453" s="44">
        <f>IF(INVESTORS_LIST[[#This Row],[TOTAL CURRENT UNITS]]=0,0,INVESTORS_LIST[[#This Row],[SIP_TOTAL CURRENT UNITS]]/INVESTORS_LIST[[#This Row],[TOTAL CURRENT UNITS]])</f>
        <v>0</v>
      </c>
      <c r="AG453" s="4" cm="1">
        <f t="array" ref="AG45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53" s="4" cm="1">
        <f t="array" ref="AH4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5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53" s="178">
        <f t="shared" si="7"/>
        <v>12.552</v>
      </c>
      <c r="AK453" s="118">
        <f>IF(INVESTORS_LIST[[#This Row],[TOTAL CURRENT UNITS]]=0,0,INVESTORS_LIST[[#This Row],[TOTAL CURRENT UNITS]]*INVESTORS_LIST[[#This Row],[NAV]])</f>
        <v>0</v>
      </c>
      <c r="AL453" s="4">
        <f>IF(INVESTORS_LIST[[#This Row],[LS_TOTAL CURRENT UNITS]]=0,0,INVESTORS_LIST[[#This Row],[LS_TOTAL CURRENT UNITS]]*INVESTORS_LIST[[#This Row],[NAV]])</f>
        <v>0</v>
      </c>
      <c r="AM453" s="6">
        <f>IF(INVESTORS_LIST[[#This Row],[SIP_TOTAL CURRENT UNITS]]=0,0,INVESTORS_LIST[[#This Row],[SIP_TOTAL CURRENT UNITS]]*INVESTORS_LIST[[#This Row],[NAV]])</f>
        <v>0</v>
      </c>
      <c r="AO453" s="6">
        <f>IF(INVESTORS_LIST[[#This Row],[TOTAL SELLABLE UNITS]]=0,0,INVESTORS_LIST[[#This Row],[TOTAL SELLABLE UNITS]]*INVESTORS_LIST[[#This Row],[NAV]])</f>
        <v>0</v>
      </c>
      <c r="AP453" s="6">
        <f>INVESTORS_LIST[[#This Row],[LS_TOTAL REALIZED GAIN]]+INVESTORS_LIST[[#This Row],[SIP_TOTAL REALIZED GAIN]]</f>
        <v>0</v>
      </c>
      <c r="AQ453" s="6">
        <f>INVESTORS_LIST[[#This Row],[TOTAL MARKET VALUE]]-INVESTORS_LIST[[#This Row],[TOTAL COST VALUE OF CURRENT INVESTMENT]]</f>
        <v>0</v>
      </c>
      <c r="AR453" s="6">
        <f>SUMIFS(DivAndTax[Tax Amount],DivAndTax[Investor ID],INVESTORS_LIST[[#This Row],[INVESTOR CODE]])</f>
        <v>0</v>
      </c>
      <c r="AS453" s="6">
        <f>SUMIFS(DivAndTax[Gross Dividend],DivAndTax[Investor ID],INVESTORS_LIST[[#This Row],[INVESTOR CODE]])</f>
        <v>0</v>
      </c>
      <c r="AT453" s="5">
        <f>IFERROR(INVESTORS_LIST[[#This Row],[TOTAL CURRENT UNITS]]/SUM(INVESTORS_LIST[TOTAL CURRENT UNITS]),0)</f>
        <v>0</v>
      </c>
    </row>
    <row r="454" spans="1:46" hidden="1">
      <c r="A454" t="s">
        <v>1013</v>
      </c>
      <c r="B454" t="s">
        <v>1014</v>
      </c>
      <c r="C454" t="s">
        <v>536</v>
      </c>
      <c r="D454" s="8" t="s">
        <v>2</v>
      </c>
      <c r="E454" s="2">
        <f>SUMIFS(LS[Unit],LS[Investor ID],INVESTORS_LIST[[#This Row],[INVESTOR CODE]],LS[B/S],"B")</f>
        <v>0</v>
      </c>
      <c r="F454" s="2">
        <f>-SUMIFS(LS[Unit],LS[Investor ID],INVESTORS_LIST[[#This Row],[INVESTOR CODE]],LS[B/S],"S")</f>
        <v>0</v>
      </c>
      <c r="G454" s="2">
        <f>IF(INVESTORS_LIST[[#This Row],[LS_TOTAL UNITS BUY]]=0,0,INVESTORS_LIST[[#This Row],[LS_TOTAL UNITS BUY]]-INVESTORS_LIST[[#This Row],[LS_TOTAL UNITS SOLD]])</f>
        <v>0</v>
      </c>
      <c r="H454" s="4">
        <f>IF(INVESTORS_LIST[[#This Row],[LS_TOTAL UNITS BUY]]=0,0,SUMIFS(LS[Amount],LS[Investor ID],INVESTORS_LIST[[#This Row],[INVESTOR CODE]],LS[B/S],"B"))</f>
        <v>0</v>
      </c>
      <c r="I454" s="6">
        <f>IF(INVESTORS_LIST[[#This Row],[LS_TOTAL UNITS SOLD]]=0,0,SUMIFS(LS[Cost of Units Sold],LS[Investor ID],INVESTORS_LIST[[#This Row],[INVESTOR CODE]],LS[B/S],"S"))</f>
        <v>0</v>
      </c>
      <c r="J454" s="6">
        <f>IF(INVESTORS_LIST[[#This Row],[LS_TOTAL CURRENT UNITS]]=0,0,INVESTORS_LIST[[#This Row],[LS_TOTAL CURRENT UNITS]]*INVESTORS_LIST[[#This Row],[LS_AVERAGE COST]])</f>
        <v>0</v>
      </c>
      <c r="K454" s="4">
        <f>IF(INVESTORS_LIST[[#This Row],[LS_TOTAL UNITS SOLD]]=0,0,SUMIFS(LS[Realized Gain],LS[Investor ID],INVESTORS_LIST[[#This Row],[INVESTOR CODE]],LS[B/S],"S"))</f>
        <v>0</v>
      </c>
      <c r="L454" s="2">
        <f>SUMIFS(SIP[Unit],SIP[Investor ID],INVESTORS_LIST[[#This Row],[INVESTOR CODE]],SIP[B/S],"B")</f>
        <v>0</v>
      </c>
      <c r="M454" s="2">
        <f>-SUMIFS(SIP[Unit],SIP[Investor ID],INVESTORS_LIST[[#This Row],[INVESTOR CODE]],SIP[B/S],"S")</f>
        <v>0</v>
      </c>
      <c r="N454" s="33">
        <f>IF(INVESTORS_LIST[[#This Row],[SIP_TOTAL UNITS BUY]]=0,0,INVESTORS_LIST[[#This Row],[SIP_TOTAL UNITS BUY]]-INVESTORS_LIST[[#This Row],[SIP_TOTAL UNITS SOLD]])</f>
        <v>0</v>
      </c>
      <c r="O454" s="4">
        <f>IF(INVESTORS_LIST[[#This Row],[SIP_TOTAL UNITS BUY]]=0,0,SUMIFS(SIP[Amount],SIP[Investor ID],INVESTORS_LIST[[#This Row],[INVESTOR CODE]],SIP[B/S],"B"))</f>
        <v>0</v>
      </c>
      <c r="P454" s="4">
        <f>IF(INVESTORS_LIST[[#This Row],[SIP_TOTAL UNITS SOLD]]=0,0,SUMIFS(SIP[Cost of Units Sold],SIP[Investor ID],INVESTORS_LIST[[#This Row],[INVESTOR CODE]],SIP[B/S],"S"))</f>
        <v>0</v>
      </c>
      <c r="Q454" s="6">
        <f>IF(INVESTORS_LIST[[#This Row],[SIP_TOTAL CURRENT UNITS]]=0,0,INVESTORS_LIST[[#This Row],[SIP_TOTAL CURRENT UNITS]]*INVESTORS_LIST[[#This Row],[SIP_AVERAGE COST]])</f>
        <v>0</v>
      </c>
      <c r="R454" s="6">
        <f>IF(INVESTORS_LIST[[#This Row],[SIP_TOTAL UNITS SOLD]]=0,0,SUMIFS(SIP[Realized Gain],SIP[Investor ID],INVESTORS_LIST[[#This Row],[INVESTOR CODE]],SIP[B/S],"S"))</f>
        <v>0</v>
      </c>
      <c r="S454" s="33">
        <f>INVESTORS_LIST[[#This Row],[LS_TOTAL UNITS BUY]]+INVESTORS_LIST[[#This Row],[SIP_TOTAL UNITS BUY]]</f>
        <v>0</v>
      </c>
      <c r="T454" s="33">
        <f>INVESTORS_LIST[[#This Row],[LS_TOTAL UNITS SOLD]]+INVESTORS_LIST[[#This Row],[SIP_TOTAL UNITS SOLD]]</f>
        <v>0</v>
      </c>
      <c r="U454" s="33">
        <v>0</v>
      </c>
      <c r="V454" s="33">
        <f>SUMIFS(LS[BO UNIT TRANSFER],LS[Investor ID],INVESTORS_LIST[[#This Row],[INVESTOR CODE]],LS[B/S],"B")</f>
        <v>0</v>
      </c>
      <c r="W454" s="33">
        <f>SUMIFS(LS[BO UNIT TRANSFER],LS[Investor ID],INVESTORS_LIST[[#This Row],[INVESTOR CODE]],LS[B/S],"S")</f>
        <v>0</v>
      </c>
      <c r="X454" s="33">
        <f>SUMIFS(SIP[BO UNIT TRANSFER],SIP[Investor ID],INVESTORS_LIST[[#This Row],[INVESTOR CODE]],SIP[B/S],"S")</f>
        <v>0</v>
      </c>
      <c r="Y454" s="33">
        <f>SUMIFS(SIP[BO UNIT TRANSFER],SIP[Investor ID],INVESTORS_LIST[[#This Row],[INVESTOR CODE]],SIP[B/S],"B")</f>
        <v>0</v>
      </c>
      <c r="Z45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54" s="119">
        <f>INVESTORS_LIST[[#This Row],[TOTAL UNITS BUY]]-INVESTORS_LIST[[#This Row],[TOTAL UNITS SOLD]]</f>
        <v>0</v>
      </c>
      <c r="AB454" s="119">
        <f>INVESTORS_LIST[[#This Row],[TOTAL CURRENT UNITS]]-INVESTORS_LIST[[#This Row],[BO UNITS HOLD]]</f>
        <v>0</v>
      </c>
      <c r="AC454" s="119" t="e">
        <f>INDEX([4]!Table_1[BO ID],MATCH(INVESTORS_LIST[[#This Row],[INVESTOR CODE]],[4]!Table_1[INVESTOR CODE],0))</f>
        <v>#REF!</v>
      </c>
      <c r="AD454" s="33">
        <f>INVESTORS_LIST[[#This Row],[LS_TOTAL COST VALUE OF CURRENT UNITS]]+INVESTORS_LIST[[#This Row],[SIP_TOTAL COST VALUE OF CURRENT UNITS]]</f>
        <v>0</v>
      </c>
      <c r="AE454" s="44">
        <f>IF(INVESTORS_LIST[[#This Row],[TOTAL CURRENT UNITS]]=0,0,INVESTORS_LIST[[#This Row],[LS_TOTAL CURRENT UNITS]]/INVESTORS_LIST[[#This Row],[TOTAL CURRENT UNITS]])</f>
        <v>0</v>
      </c>
      <c r="AF454" s="44">
        <f>IF(INVESTORS_LIST[[#This Row],[TOTAL CURRENT UNITS]]=0,0,INVESTORS_LIST[[#This Row],[SIP_TOTAL CURRENT UNITS]]/INVESTORS_LIST[[#This Row],[TOTAL CURRENT UNITS]])</f>
        <v>0</v>
      </c>
      <c r="AG454" s="4" cm="1">
        <f t="array" ref="AG45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54" s="4" cm="1">
        <f t="array" ref="AH4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5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54" s="178">
        <f t="shared" si="7"/>
        <v>12.552</v>
      </c>
      <c r="AK454" s="118">
        <f>IF(INVESTORS_LIST[[#This Row],[TOTAL CURRENT UNITS]]=0,0,INVESTORS_LIST[[#This Row],[TOTAL CURRENT UNITS]]*INVESTORS_LIST[[#This Row],[NAV]])</f>
        <v>0</v>
      </c>
      <c r="AL454" s="4">
        <f>IF(INVESTORS_LIST[[#This Row],[LS_TOTAL CURRENT UNITS]]=0,0,INVESTORS_LIST[[#This Row],[LS_TOTAL CURRENT UNITS]]*INVESTORS_LIST[[#This Row],[NAV]])</f>
        <v>0</v>
      </c>
      <c r="AM454" s="6">
        <f>IF(INVESTORS_LIST[[#This Row],[SIP_TOTAL CURRENT UNITS]]=0,0,INVESTORS_LIST[[#This Row],[SIP_TOTAL CURRENT UNITS]]*INVESTORS_LIST[[#This Row],[NAV]])</f>
        <v>0</v>
      </c>
      <c r="AO454" s="6">
        <f>IF(INVESTORS_LIST[[#This Row],[TOTAL SELLABLE UNITS]]=0,0,INVESTORS_LIST[[#This Row],[TOTAL SELLABLE UNITS]]*INVESTORS_LIST[[#This Row],[NAV]])</f>
        <v>0</v>
      </c>
      <c r="AP454" s="6">
        <f>INVESTORS_LIST[[#This Row],[LS_TOTAL REALIZED GAIN]]+INVESTORS_LIST[[#This Row],[SIP_TOTAL REALIZED GAIN]]</f>
        <v>0</v>
      </c>
      <c r="AQ454" s="6">
        <f>INVESTORS_LIST[[#This Row],[TOTAL MARKET VALUE]]-INVESTORS_LIST[[#This Row],[TOTAL COST VALUE OF CURRENT INVESTMENT]]</f>
        <v>0</v>
      </c>
      <c r="AR454" s="6">
        <f>SUMIFS(DivAndTax[Tax Amount],DivAndTax[Investor ID],INVESTORS_LIST[[#This Row],[INVESTOR CODE]])</f>
        <v>0</v>
      </c>
      <c r="AS454" s="6">
        <f>SUMIFS(DivAndTax[Gross Dividend],DivAndTax[Investor ID],INVESTORS_LIST[[#This Row],[INVESTOR CODE]])</f>
        <v>0</v>
      </c>
      <c r="AT454" s="5">
        <f>IFERROR(INVESTORS_LIST[[#This Row],[TOTAL CURRENT UNITS]]/SUM(INVESTORS_LIST[TOTAL CURRENT UNITS]),0)</f>
        <v>0</v>
      </c>
    </row>
    <row r="455" spans="1:46" hidden="1">
      <c r="A455" t="s">
        <v>1015</v>
      </c>
      <c r="B455" t="s">
        <v>1016</v>
      </c>
      <c r="C455" t="s">
        <v>539</v>
      </c>
      <c r="D455" s="8" t="s">
        <v>2</v>
      </c>
      <c r="E455" s="2">
        <f>SUMIFS(LS[Unit],LS[Investor ID],INVESTORS_LIST[[#This Row],[INVESTOR CODE]],LS[B/S],"B")</f>
        <v>0</v>
      </c>
      <c r="F455" s="2">
        <f>-SUMIFS(LS[Unit],LS[Investor ID],INVESTORS_LIST[[#This Row],[INVESTOR CODE]],LS[B/S],"S")</f>
        <v>0</v>
      </c>
      <c r="G455" s="2">
        <f>IF(INVESTORS_LIST[[#This Row],[LS_TOTAL UNITS BUY]]=0,0,INVESTORS_LIST[[#This Row],[LS_TOTAL UNITS BUY]]-INVESTORS_LIST[[#This Row],[LS_TOTAL UNITS SOLD]])</f>
        <v>0</v>
      </c>
      <c r="H455" s="4">
        <f>IF(INVESTORS_LIST[[#This Row],[LS_TOTAL UNITS BUY]]=0,0,SUMIFS(LS[Amount],LS[Investor ID],INVESTORS_LIST[[#This Row],[INVESTOR CODE]],LS[B/S],"B"))</f>
        <v>0</v>
      </c>
      <c r="I455" s="6">
        <f>IF(INVESTORS_LIST[[#This Row],[LS_TOTAL UNITS SOLD]]=0,0,SUMIFS(LS[Cost of Units Sold],LS[Investor ID],INVESTORS_LIST[[#This Row],[INVESTOR CODE]],LS[B/S],"S"))</f>
        <v>0</v>
      </c>
      <c r="J455" s="6">
        <f>IF(INVESTORS_LIST[[#This Row],[LS_TOTAL CURRENT UNITS]]=0,0,INVESTORS_LIST[[#This Row],[LS_TOTAL CURRENT UNITS]]*INVESTORS_LIST[[#This Row],[LS_AVERAGE COST]])</f>
        <v>0</v>
      </c>
      <c r="K455" s="4">
        <f>IF(INVESTORS_LIST[[#This Row],[LS_TOTAL UNITS SOLD]]=0,0,SUMIFS(LS[Realized Gain],LS[Investor ID],INVESTORS_LIST[[#This Row],[INVESTOR CODE]],LS[B/S],"S"))</f>
        <v>0</v>
      </c>
      <c r="L455" s="2">
        <f>SUMIFS(SIP[Unit],SIP[Investor ID],INVESTORS_LIST[[#This Row],[INVESTOR CODE]],SIP[B/S],"B")</f>
        <v>0</v>
      </c>
      <c r="M455" s="2">
        <f>-SUMIFS(SIP[Unit],SIP[Investor ID],INVESTORS_LIST[[#This Row],[INVESTOR CODE]],SIP[B/S],"S")</f>
        <v>0</v>
      </c>
      <c r="N455" s="33">
        <f>IF(INVESTORS_LIST[[#This Row],[SIP_TOTAL UNITS BUY]]=0,0,INVESTORS_LIST[[#This Row],[SIP_TOTAL UNITS BUY]]-INVESTORS_LIST[[#This Row],[SIP_TOTAL UNITS SOLD]])</f>
        <v>0</v>
      </c>
      <c r="O455" s="4">
        <f>IF(INVESTORS_LIST[[#This Row],[SIP_TOTAL UNITS BUY]]=0,0,SUMIFS(SIP[Amount],SIP[Investor ID],INVESTORS_LIST[[#This Row],[INVESTOR CODE]],SIP[B/S],"B"))</f>
        <v>0</v>
      </c>
      <c r="P455" s="4">
        <f>IF(INVESTORS_LIST[[#This Row],[SIP_TOTAL UNITS SOLD]]=0,0,SUMIFS(SIP[Cost of Units Sold],SIP[Investor ID],INVESTORS_LIST[[#This Row],[INVESTOR CODE]],SIP[B/S],"S"))</f>
        <v>0</v>
      </c>
      <c r="Q455" s="6">
        <f>IF(INVESTORS_LIST[[#This Row],[SIP_TOTAL CURRENT UNITS]]=0,0,INVESTORS_LIST[[#This Row],[SIP_TOTAL CURRENT UNITS]]*INVESTORS_LIST[[#This Row],[SIP_AVERAGE COST]])</f>
        <v>0</v>
      </c>
      <c r="R455" s="6">
        <f>IF(INVESTORS_LIST[[#This Row],[SIP_TOTAL UNITS SOLD]]=0,0,SUMIFS(SIP[Realized Gain],SIP[Investor ID],INVESTORS_LIST[[#This Row],[INVESTOR CODE]],SIP[B/S],"S"))</f>
        <v>0</v>
      </c>
      <c r="S455" s="33">
        <f>INVESTORS_LIST[[#This Row],[LS_TOTAL UNITS BUY]]+INVESTORS_LIST[[#This Row],[SIP_TOTAL UNITS BUY]]</f>
        <v>0</v>
      </c>
      <c r="T455" s="33">
        <f>INVESTORS_LIST[[#This Row],[LS_TOTAL UNITS SOLD]]+INVESTORS_LIST[[#This Row],[SIP_TOTAL UNITS SOLD]]</f>
        <v>0</v>
      </c>
      <c r="U455" s="33">
        <v>0</v>
      </c>
      <c r="V455" s="33">
        <f>SUMIFS(LS[BO UNIT TRANSFER],LS[Investor ID],INVESTORS_LIST[[#This Row],[INVESTOR CODE]],LS[B/S],"B")</f>
        <v>0</v>
      </c>
      <c r="W455" s="33">
        <f>SUMIFS(LS[BO UNIT TRANSFER],LS[Investor ID],INVESTORS_LIST[[#This Row],[INVESTOR CODE]],LS[B/S],"S")</f>
        <v>0</v>
      </c>
      <c r="X455" s="33">
        <f>SUMIFS(SIP[BO UNIT TRANSFER],SIP[Investor ID],INVESTORS_LIST[[#This Row],[INVESTOR CODE]],SIP[B/S],"S")</f>
        <v>0</v>
      </c>
      <c r="Y455" s="33">
        <f>SUMIFS(SIP[BO UNIT TRANSFER],SIP[Investor ID],INVESTORS_LIST[[#This Row],[INVESTOR CODE]],SIP[B/S],"B")</f>
        <v>0</v>
      </c>
      <c r="Z45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55" s="119">
        <f>INVESTORS_LIST[[#This Row],[TOTAL UNITS BUY]]-INVESTORS_LIST[[#This Row],[TOTAL UNITS SOLD]]</f>
        <v>0</v>
      </c>
      <c r="AB455" s="119">
        <f>INVESTORS_LIST[[#This Row],[TOTAL CURRENT UNITS]]-INVESTORS_LIST[[#This Row],[BO UNITS HOLD]]</f>
        <v>0</v>
      </c>
      <c r="AC455" s="119" t="e">
        <f>INDEX([4]!Table_1[BO ID],MATCH(INVESTORS_LIST[[#This Row],[INVESTOR CODE]],[4]!Table_1[INVESTOR CODE],0))</f>
        <v>#REF!</v>
      </c>
      <c r="AD455" s="33">
        <f>INVESTORS_LIST[[#This Row],[LS_TOTAL COST VALUE OF CURRENT UNITS]]+INVESTORS_LIST[[#This Row],[SIP_TOTAL COST VALUE OF CURRENT UNITS]]</f>
        <v>0</v>
      </c>
      <c r="AE455" s="44">
        <f>IF(INVESTORS_LIST[[#This Row],[TOTAL CURRENT UNITS]]=0,0,INVESTORS_LIST[[#This Row],[LS_TOTAL CURRENT UNITS]]/INVESTORS_LIST[[#This Row],[TOTAL CURRENT UNITS]])</f>
        <v>0</v>
      </c>
      <c r="AF455" s="44">
        <f>IF(INVESTORS_LIST[[#This Row],[TOTAL CURRENT UNITS]]=0,0,INVESTORS_LIST[[#This Row],[SIP_TOTAL CURRENT UNITS]]/INVESTORS_LIST[[#This Row],[TOTAL CURRENT UNITS]])</f>
        <v>0</v>
      </c>
      <c r="AG455" s="4" cm="1">
        <f t="array" ref="AG45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55" s="4" cm="1">
        <f t="array" ref="AH4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5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55" s="178">
        <f t="shared" si="7"/>
        <v>12.552</v>
      </c>
      <c r="AK455" s="118">
        <f>IF(INVESTORS_LIST[[#This Row],[TOTAL CURRENT UNITS]]=0,0,INVESTORS_LIST[[#This Row],[TOTAL CURRENT UNITS]]*INVESTORS_LIST[[#This Row],[NAV]])</f>
        <v>0</v>
      </c>
      <c r="AL455" s="4">
        <f>IF(INVESTORS_LIST[[#This Row],[LS_TOTAL CURRENT UNITS]]=0,0,INVESTORS_LIST[[#This Row],[LS_TOTAL CURRENT UNITS]]*INVESTORS_LIST[[#This Row],[NAV]])</f>
        <v>0</v>
      </c>
      <c r="AM455" s="6">
        <f>IF(INVESTORS_LIST[[#This Row],[SIP_TOTAL CURRENT UNITS]]=0,0,INVESTORS_LIST[[#This Row],[SIP_TOTAL CURRENT UNITS]]*INVESTORS_LIST[[#This Row],[NAV]])</f>
        <v>0</v>
      </c>
      <c r="AO455" s="6">
        <f>IF(INVESTORS_LIST[[#This Row],[TOTAL SELLABLE UNITS]]=0,0,INVESTORS_LIST[[#This Row],[TOTAL SELLABLE UNITS]]*INVESTORS_LIST[[#This Row],[NAV]])</f>
        <v>0</v>
      </c>
      <c r="AP455" s="6">
        <f>INVESTORS_LIST[[#This Row],[LS_TOTAL REALIZED GAIN]]+INVESTORS_LIST[[#This Row],[SIP_TOTAL REALIZED GAIN]]</f>
        <v>0</v>
      </c>
      <c r="AQ455" s="6">
        <f>INVESTORS_LIST[[#This Row],[TOTAL MARKET VALUE]]-INVESTORS_LIST[[#This Row],[TOTAL COST VALUE OF CURRENT INVESTMENT]]</f>
        <v>0</v>
      </c>
      <c r="AR455" s="6">
        <f>SUMIFS(DivAndTax[Tax Amount],DivAndTax[Investor ID],INVESTORS_LIST[[#This Row],[INVESTOR CODE]])</f>
        <v>0</v>
      </c>
      <c r="AS455" s="6">
        <f>SUMIFS(DivAndTax[Gross Dividend],DivAndTax[Investor ID],INVESTORS_LIST[[#This Row],[INVESTOR CODE]])</f>
        <v>0</v>
      </c>
      <c r="AT455" s="5">
        <f>IFERROR(INVESTORS_LIST[[#This Row],[TOTAL CURRENT UNITS]]/SUM(INVESTORS_LIST[TOTAL CURRENT UNITS]),0)</f>
        <v>0</v>
      </c>
    </row>
    <row r="456" spans="1:46" hidden="1">
      <c r="A456" t="s">
        <v>1049</v>
      </c>
      <c r="B456" t="s">
        <v>1017</v>
      </c>
      <c r="C456" t="s">
        <v>539</v>
      </c>
      <c r="D456" s="8" t="s">
        <v>2</v>
      </c>
      <c r="E456" s="2">
        <f>SUMIFS(LS[Unit],LS[Investor ID],INVESTORS_LIST[[#This Row],[INVESTOR CODE]],LS[B/S],"B")</f>
        <v>0</v>
      </c>
      <c r="F456" s="2">
        <f>-SUMIFS(LS[Unit],LS[Investor ID],INVESTORS_LIST[[#This Row],[INVESTOR CODE]],LS[B/S],"S")</f>
        <v>0</v>
      </c>
      <c r="G456" s="2">
        <f>IF(INVESTORS_LIST[[#This Row],[LS_TOTAL UNITS BUY]]=0,0,INVESTORS_LIST[[#This Row],[LS_TOTAL UNITS BUY]]-INVESTORS_LIST[[#This Row],[LS_TOTAL UNITS SOLD]])</f>
        <v>0</v>
      </c>
      <c r="H456" s="4">
        <f>IF(INVESTORS_LIST[[#This Row],[LS_TOTAL UNITS BUY]]=0,0,SUMIFS(LS[Amount],LS[Investor ID],INVESTORS_LIST[[#This Row],[INVESTOR CODE]],LS[B/S],"B"))</f>
        <v>0</v>
      </c>
      <c r="I456" s="6">
        <f>IF(INVESTORS_LIST[[#This Row],[LS_TOTAL UNITS SOLD]]=0,0,SUMIFS(LS[Cost of Units Sold],LS[Investor ID],INVESTORS_LIST[[#This Row],[INVESTOR CODE]],LS[B/S],"S"))</f>
        <v>0</v>
      </c>
      <c r="J456" s="6">
        <f>IF(INVESTORS_LIST[[#This Row],[LS_TOTAL CURRENT UNITS]]=0,0,INVESTORS_LIST[[#This Row],[LS_TOTAL CURRENT UNITS]]*INVESTORS_LIST[[#This Row],[LS_AVERAGE COST]])</f>
        <v>0</v>
      </c>
      <c r="K456" s="4">
        <f>IF(INVESTORS_LIST[[#This Row],[LS_TOTAL UNITS SOLD]]=0,0,SUMIFS(LS[Realized Gain],LS[Investor ID],INVESTORS_LIST[[#This Row],[INVESTOR CODE]],LS[B/S],"S"))</f>
        <v>0</v>
      </c>
      <c r="L456" s="2">
        <f>SUMIFS(SIP[Unit],SIP[Investor ID],INVESTORS_LIST[[#This Row],[INVESTOR CODE]],SIP[B/S],"B")</f>
        <v>0</v>
      </c>
      <c r="M456" s="2">
        <f>-SUMIFS(SIP[Unit],SIP[Investor ID],INVESTORS_LIST[[#This Row],[INVESTOR CODE]],SIP[B/S],"S")</f>
        <v>0</v>
      </c>
      <c r="N456" s="33">
        <f>IF(INVESTORS_LIST[[#This Row],[SIP_TOTAL UNITS BUY]]=0,0,INVESTORS_LIST[[#This Row],[SIP_TOTAL UNITS BUY]]-INVESTORS_LIST[[#This Row],[SIP_TOTAL UNITS SOLD]])</f>
        <v>0</v>
      </c>
      <c r="O456" s="4">
        <f>IF(INVESTORS_LIST[[#This Row],[SIP_TOTAL UNITS BUY]]=0,0,SUMIFS(SIP[Amount],SIP[Investor ID],INVESTORS_LIST[[#This Row],[INVESTOR CODE]],SIP[B/S],"B"))</f>
        <v>0</v>
      </c>
      <c r="P456" s="4">
        <f>IF(INVESTORS_LIST[[#This Row],[SIP_TOTAL UNITS SOLD]]=0,0,SUMIFS(SIP[Cost of Units Sold],SIP[Investor ID],INVESTORS_LIST[[#This Row],[INVESTOR CODE]],SIP[B/S],"S"))</f>
        <v>0</v>
      </c>
      <c r="Q456" s="6">
        <f>IF(INVESTORS_LIST[[#This Row],[SIP_TOTAL CURRENT UNITS]]=0,0,INVESTORS_LIST[[#This Row],[SIP_TOTAL CURRENT UNITS]]*INVESTORS_LIST[[#This Row],[SIP_AVERAGE COST]])</f>
        <v>0</v>
      </c>
      <c r="R456" s="6">
        <f>IF(INVESTORS_LIST[[#This Row],[SIP_TOTAL UNITS SOLD]]=0,0,SUMIFS(SIP[Realized Gain],SIP[Investor ID],INVESTORS_LIST[[#This Row],[INVESTOR CODE]],SIP[B/S],"S"))</f>
        <v>0</v>
      </c>
      <c r="S456" s="33">
        <f>INVESTORS_LIST[[#This Row],[LS_TOTAL UNITS BUY]]+INVESTORS_LIST[[#This Row],[SIP_TOTAL UNITS BUY]]</f>
        <v>0</v>
      </c>
      <c r="T456" s="33">
        <f>INVESTORS_LIST[[#This Row],[LS_TOTAL UNITS SOLD]]+INVESTORS_LIST[[#This Row],[SIP_TOTAL UNITS SOLD]]</f>
        <v>0</v>
      </c>
      <c r="U456" s="33">
        <v>0</v>
      </c>
      <c r="V456" s="33">
        <f>SUMIFS(LS[BO UNIT TRANSFER],LS[Investor ID],INVESTORS_LIST[[#This Row],[INVESTOR CODE]],LS[B/S],"B")</f>
        <v>0</v>
      </c>
      <c r="W456" s="33">
        <f>SUMIFS(LS[BO UNIT TRANSFER],LS[Investor ID],INVESTORS_LIST[[#This Row],[INVESTOR CODE]],LS[B/S],"S")</f>
        <v>0</v>
      </c>
      <c r="X456" s="33">
        <f>SUMIFS(SIP[BO UNIT TRANSFER],SIP[Investor ID],INVESTORS_LIST[[#This Row],[INVESTOR CODE]],SIP[B/S],"S")</f>
        <v>0</v>
      </c>
      <c r="Y456" s="33">
        <f>SUMIFS(SIP[BO UNIT TRANSFER],SIP[Investor ID],INVESTORS_LIST[[#This Row],[INVESTOR CODE]],SIP[B/S],"B")</f>
        <v>0</v>
      </c>
      <c r="Z45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56" s="119">
        <f>INVESTORS_LIST[[#This Row],[TOTAL UNITS BUY]]-INVESTORS_LIST[[#This Row],[TOTAL UNITS SOLD]]</f>
        <v>0</v>
      </c>
      <c r="AB456" s="119">
        <f>INVESTORS_LIST[[#This Row],[TOTAL CURRENT UNITS]]-INVESTORS_LIST[[#This Row],[BO UNITS HOLD]]</f>
        <v>0</v>
      </c>
      <c r="AC456" s="119" t="e">
        <f>INDEX([4]!Table_1[BO ID],MATCH(INVESTORS_LIST[[#This Row],[INVESTOR CODE]],[4]!Table_1[INVESTOR CODE],0))</f>
        <v>#REF!</v>
      </c>
      <c r="AD456" s="33">
        <f>INVESTORS_LIST[[#This Row],[LS_TOTAL COST VALUE OF CURRENT UNITS]]+INVESTORS_LIST[[#This Row],[SIP_TOTAL COST VALUE OF CURRENT UNITS]]</f>
        <v>0</v>
      </c>
      <c r="AE456" s="44">
        <f>IF(INVESTORS_LIST[[#This Row],[TOTAL CURRENT UNITS]]=0,0,INVESTORS_LIST[[#This Row],[LS_TOTAL CURRENT UNITS]]/INVESTORS_LIST[[#This Row],[TOTAL CURRENT UNITS]])</f>
        <v>0</v>
      </c>
      <c r="AF456" s="44">
        <f>IF(INVESTORS_LIST[[#This Row],[TOTAL CURRENT UNITS]]=0,0,INVESTORS_LIST[[#This Row],[SIP_TOTAL CURRENT UNITS]]/INVESTORS_LIST[[#This Row],[TOTAL CURRENT UNITS]])</f>
        <v>0</v>
      </c>
      <c r="AG456" s="4" cm="1">
        <f t="array" ref="AG45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56" s="4" cm="1">
        <f t="array" ref="AH45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5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56" s="178">
        <f t="shared" si="7"/>
        <v>12.552</v>
      </c>
      <c r="AK456" s="118">
        <f>IF(INVESTORS_LIST[[#This Row],[TOTAL CURRENT UNITS]]=0,0,INVESTORS_LIST[[#This Row],[TOTAL CURRENT UNITS]]*INVESTORS_LIST[[#This Row],[NAV]])</f>
        <v>0</v>
      </c>
      <c r="AL456" s="4">
        <f>IF(INVESTORS_LIST[[#This Row],[LS_TOTAL CURRENT UNITS]]=0,0,INVESTORS_LIST[[#This Row],[LS_TOTAL CURRENT UNITS]]*INVESTORS_LIST[[#This Row],[NAV]])</f>
        <v>0</v>
      </c>
      <c r="AM456" s="6">
        <f>IF(INVESTORS_LIST[[#This Row],[SIP_TOTAL CURRENT UNITS]]=0,0,INVESTORS_LIST[[#This Row],[SIP_TOTAL CURRENT UNITS]]*INVESTORS_LIST[[#This Row],[NAV]])</f>
        <v>0</v>
      </c>
      <c r="AO456" s="6">
        <f>IF(INVESTORS_LIST[[#This Row],[TOTAL SELLABLE UNITS]]=0,0,INVESTORS_LIST[[#This Row],[TOTAL SELLABLE UNITS]]*INVESTORS_LIST[[#This Row],[NAV]])</f>
        <v>0</v>
      </c>
      <c r="AP456" s="6">
        <f>INVESTORS_LIST[[#This Row],[LS_TOTAL REALIZED GAIN]]+INVESTORS_LIST[[#This Row],[SIP_TOTAL REALIZED GAIN]]</f>
        <v>0</v>
      </c>
      <c r="AQ456" s="6">
        <f>INVESTORS_LIST[[#This Row],[TOTAL MARKET VALUE]]-INVESTORS_LIST[[#This Row],[TOTAL COST VALUE OF CURRENT INVESTMENT]]</f>
        <v>0</v>
      </c>
      <c r="AR456" s="6">
        <f>SUMIFS(DivAndTax[Tax Amount],DivAndTax[Investor ID],INVESTORS_LIST[[#This Row],[INVESTOR CODE]])</f>
        <v>0</v>
      </c>
      <c r="AS456" s="6">
        <f>SUMIFS(DivAndTax[Gross Dividend],DivAndTax[Investor ID],INVESTORS_LIST[[#This Row],[INVESTOR CODE]])</f>
        <v>0</v>
      </c>
      <c r="AT456" s="5">
        <f>IFERROR(INVESTORS_LIST[[#This Row],[TOTAL CURRENT UNITS]]/SUM(INVESTORS_LIST[TOTAL CURRENT UNITS]),0)</f>
        <v>0</v>
      </c>
    </row>
    <row r="457" spans="1:46" hidden="1">
      <c r="A457" t="s">
        <v>1018</v>
      </c>
      <c r="B457" t="s">
        <v>1019</v>
      </c>
      <c r="C457" t="s">
        <v>537</v>
      </c>
      <c r="D457" s="8" t="s">
        <v>5</v>
      </c>
      <c r="E457" s="2">
        <f>SUMIFS(LS[Unit],LS[Investor ID],INVESTORS_LIST[[#This Row],[INVESTOR CODE]],LS[B/S],"B")</f>
        <v>0</v>
      </c>
      <c r="F457" s="2">
        <f>-SUMIFS(LS[Unit],LS[Investor ID],INVESTORS_LIST[[#This Row],[INVESTOR CODE]],LS[B/S],"S")</f>
        <v>0</v>
      </c>
      <c r="G457" s="2">
        <f>IF(INVESTORS_LIST[[#This Row],[LS_TOTAL UNITS BUY]]=0,0,INVESTORS_LIST[[#This Row],[LS_TOTAL UNITS BUY]]-INVESTORS_LIST[[#This Row],[LS_TOTAL UNITS SOLD]])</f>
        <v>0</v>
      </c>
      <c r="H457" s="4">
        <f>IF(INVESTORS_LIST[[#This Row],[LS_TOTAL UNITS BUY]]=0,0,SUMIFS(LS[Amount],LS[Investor ID],INVESTORS_LIST[[#This Row],[INVESTOR CODE]],LS[B/S],"B"))</f>
        <v>0</v>
      </c>
      <c r="I457" s="6">
        <f>IF(INVESTORS_LIST[[#This Row],[LS_TOTAL UNITS SOLD]]=0,0,SUMIFS(LS[Cost of Units Sold],LS[Investor ID],INVESTORS_LIST[[#This Row],[INVESTOR CODE]],LS[B/S],"S"))</f>
        <v>0</v>
      </c>
      <c r="J457" s="6">
        <f>IF(INVESTORS_LIST[[#This Row],[LS_TOTAL CURRENT UNITS]]=0,0,INVESTORS_LIST[[#This Row],[LS_TOTAL CURRENT UNITS]]*INVESTORS_LIST[[#This Row],[LS_AVERAGE COST]])</f>
        <v>0</v>
      </c>
      <c r="K457" s="4">
        <f>IF(INVESTORS_LIST[[#This Row],[LS_TOTAL UNITS SOLD]]=0,0,SUMIFS(LS[Realized Gain],LS[Investor ID],INVESTORS_LIST[[#This Row],[INVESTOR CODE]],LS[B/S],"S"))</f>
        <v>0</v>
      </c>
      <c r="L457" s="2">
        <f>SUMIFS(SIP[Unit],SIP[Investor ID],INVESTORS_LIST[[#This Row],[INVESTOR CODE]],SIP[B/S],"B")</f>
        <v>0</v>
      </c>
      <c r="M457" s="2">
        <f>-SUMIFS(SIP[Unit],SIP[Investor ID],INVESTORS_LIST[[#This Row],[INVESTOR CODE]],SIP[B/S],"S")</f>
        <v>0</v>
      </c>
      <c r="N457" s="33">
        <f>IF(INVESTORS_LIST[[#This Row],[SIP_TOTAL UNITS BUY]]=0,0,INVESTORS_LIST[[#This Row],[SIP_TOTAL UNITS BUY]]-INVESTORS_LIST[[#This Row],[SIP_TOTAL UNITS SOLD]])</f>
        <v>0</v>
      </c>
      <c r="O457" s="4">
        <f>IF(INVESTORS_LIST[[#This Row],[SIP_TOTAL UNITS BUY]]=0,0,SUMIFS(SIP[Amount],SIP[Investor ID],INVESTORS_LIST[[#This Row],[INVESTOR CODE]],SIP[B/S],"B"))</f>
        <v>0</v>
      </c>
      <c r="P457" s="4">
        <f>IF(INVESTORS_LIST[[#This Row],[SIP_TOTAL UNITS SOLD]]=0,0,SUMIFS(SIP[Cost of Units Sold],SIP[Investor ID],INVESTORS_LIST[[#This Row],[INVESTOR CODE]],SIP[B/S],"S"))</f>
        <v>0</v>
      </c>
      <c r="Q457" s="6">
        <f>IF(INVESTORS_LIST[[#This Row],[SIP_TOTAL CURRENT UNITS]]=0,0,INVESTORS_LIST[[#This Row],[SIP_TOTAL CURRENT UNITS]]*INVESTORS_LIST[[#This Row],[SIP_AVERAGE COST]])</f>
        <v>0</v>
      </c>
      <c r="R457" s="6">
        <f>IF(INVESTORS_LIST[[#This Row],[SIP_TOTAL UNITS SOLD]]=0,0,SUMIFS(SIP[Realized Gain],SIP[Investor ID],INVESTORS_LIST[[#This Row],[INVESTOR CODE]],SIP[B/S],"S"))</f>
        <v>0</v>
      </c>
      <c r="S457" s="33">
        <f>INVESTORS_LIST[[#This Row],[LS_TOTAL UNITS BUY]]+INVESTORS_LIST[[#This Row],[SIP_TOTAL UNITS BUY]]</f>
        <v>0</v>
      </c>
      <c r="T457" s="33">
        <f>INVESTORS_LIST[[#This Row],[LS_TOTAL UNITS SOLD]]+INVESTORS_LIST[[#This Row],[SIP_TOTAL UNITS SOLD]]</f>
        <v>0</v>
      </c>
      <c r="U457" s="33">
        <v>0</v>
      </c>
      <c r="V457" s="33">
        <f>SUMIFS(LS[BO UNIT TRANSFER],LS[Investor ID],INVESTORS_LIST[[#This Row],[INVESTOR CODE]],LS[B/S],"B")</f>
        <v>0</v>
      </c>
      <c r="W457" s="33">
        <f>SUMIFS(LS[BO UNIT TRANSFER],LS[Investor ID],INVESTORS_LIST[[#This Row],[INVESTOR CODE]],LS[B/S],"S")</f>
        <v>0</v>
      </c>
      <c r="X457" s="33">
        <f>SUMIFS(SIP[BO UNIT TRANSFER],SIP[Investor ID],INVESTORS_LIST[[#This Row],[INVESTOR CODE]],SIP[B/S],"S")</f>
        <v>0</v>
      </c>
      <c r="Y457" s="33">
        <f>SUMIFS(SIP[BO UNIT TRANSFER],SIP[Investor ID],INVESTORS_LIST[[#This Row],[INVESTOR CODE]],SIP[B/S],"B")</f>
        <v>0</v>
      </c>
      <c r="Z45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57" s="119">
        <f>INVESTORS_LIST[[#This Row],[TOTAL UNITS BUY]]-INVESTORS_LIST[[#This Row],[TOTAL UNITS SOLD]]</f>
        <v>0</v>
      </c>
      <c r="AB457" s="119">
        <f>INVESTORS_LIST[[#This Row],[TOTAL CURRENT UNITS]]-INVESTORS_LIST[[#This Row],[BO UNITS HOLD]]</f>
        <v>0</v>
      </c>
      <c r="AC457" s="119" t="e">
        <f>INDEX([4]!Table_1[BO ID],MATCH(INVESTORS_LIST[[#This Row],[INVESTOR CODE]],[4]!Table_1[INVESTOR CODE],0))</f>
        <v>#REF!</v>
      </c>
      <c r="AD457" s="33">
        <f>INVESTORS_LIST[[#This Row],[LS_TOTAL COST VALUE OF CURRENT UNITS]]+INVESTORS_LIST[[#This Row],[SIP_TOTAL COST VALUE OF CURRENT UNITS]]</f>
        <v>0</v>
      </c>
      <c r="AE457" s="44">
        <f>IF(INVESTORS_LIST[[#This Row],[TOTAL CURRENT UNITS]]=0,0,INVESTORS_LIST[[#This Row],[LS_TOTAL CURRENT UNITS]]/INVESTORS_LIST[[#This Row],[TOTAL CURRENT UNITS]])</f>
        <v>0</v>
      </c>
      <c r="AF457" s="44">
        <f>IF(INVESTORS_LIST[[#This Row],[TOTAL CURRENT UNITS]]=0,0,INVESTORS_LIST[[#This Row],[SIP_TOTAL CURRENT UNITS]]/INVESTORS_LIST[[#This Row],[TOTAL CURRENT UNITS]])</f>
        <v>0</v>
      </c>
      <c r="AG457" s="4" cm="1">
        <f t="array" ref="AG45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57" s="4" cm="1">
        <f t="array" ref="AH4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5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57" s="178">
        <f t="shared" si="7"/>
        <v>12.552</v>
      </c>
      <c r="AK457" s="118">
        <f>IF(INVESTORS_LIST[[#This Row],[TOTAL CURRENT UNITS]]=0,0,INVESTORS_LIST[[#This Row],[TOTAL CURRENT UNITS]]*INVESTORS_LIST[[#This Row],[NAV]])</f>
        <v>0</v>
      </c>
      <c r="AL457" s="4">
        <f>IF(INVESTORS_LIST[[#This Row],[LS_TOTAL CURRENT UNITS]]=0,0,INVESTORS_LIST[[#This Row],[LS_TOTAL CURRENT UNITS]]*INVESTORS_LIST[[#This Row],[NAV]])</f>
        <v>0</v>
      </c>
      <c r="AM457" s="6">
        <f>IF(INVESTORS_LIST[[#This Row],[SIP_TOTAL CURRENT UNITS]]=0,0,INVESTORS_LIST[[#This Row],[SIP_TOTAL CURRENT UNITS]]*INVESTORS_LIST[[#This Row],[NAV]])</f>
        <v>0</v>
      </c>
      <c r="AO457" s="6">
        <f>IF(INVESTORS_LIST[[#This Row],[TOTAL SELLABLE UNITS]]=0,0,INVESTORS_LIST[[#This Row],[TOTAL SELLABLE UNITS]]*INVESTORS_LIST[[#This Row],[NAV]])</f>
        <v>0</v>
      </c>
      <c r="AP457" s="6">
        <f>INVESTORS_LIST[[#This Row],[LS_TOTAL REALIZED GAIN]]+INVESTORS_LIST[[#This Row],[SIP_TOTAL REALIZED GAIN]]</f>
        <v>0</v>
      </c>
      <c r="AQ457" s="6">
        <f>INVESTORS_LIST[[#This Row],[TOTAL MARKET VALUE]]-INVESTORS_LIST[[#This Row],[TOTAL COST VALUE OF CURRENT INVESTMENT]]</f>
        <v>0</v>
      </c>
      <c r="AR457" s="6">
        <f>SUMIFS(DivAndTax[Tax Amount],DivAndTax[Investor ID],INVESTORS_LIST[[#This Row],[INVESTOR CODE]])</f>
        <v>0</v>
      </c>
      <c r="AS457" s="6">
        <f>SUMIFS(DivAndTax[Gross Dividend],DivAndTax[Investor ID],INVESTORS_LIST[[#This Row],[INVESTOR CODE]])</f>
        <v>0</v>
      </c>
      <c r="AT457" s="5">
        <f>IFERROR(INVESTORS_LIST[[#This Row],[TOTAL CURRENT UNITS]]/SUM(INVESTORS_LIST[TOTAL CURRENT UNITS]),0)</f>
        <v>0</v>
      </c>
    </row>
    <row r="458" spans="1:46" hidden="1">
      <c r="A458" t="s">
        <v>1020</v>
      </c>
      <c r="B458" t="s">
        <v>1021</v>
      </c>
      <c r="C458" t="s">
        <v>536</v>
      </c>
      <c r="D458" s="8" t="s">
        <v>2</v>
      </c>
      <c r="E458" s="2">
        <f>SUMIFS(LS[Unit],LS[Investor ID],INVESTORS_LIST[[#This Row],[INVESTOR CODE]],LS[B/S],"B")</f>
        <v>0</v>
      </c>
      <c r="F458" s="2">
        <f>-SUMIFS(LS[Unit],LS[Investor ID],INVESTORS_LIST[[#This Row],[INVESTOR CODE]],LS[B/S],"S")</f>
        <v>0</v>
      </c>
      <c r="G458" s="2">
        <f>IF(INVESTORS_LIST[[#This Row],[LS_TOTAL UNITS BUY]]=0,0,INVESTORS_LIST[[#This Row],[LS_TOTAL UNITS BUY]]-INVESTORS_LIST[[#This Row],[LS_TOTAL UNITS SOLD]])</f>
        <v>0</v>
      </c>
      <c r="H458" s="4">
        <f>IF(INVESTORS_LIST[[#This Row],[LS_TOTAL UNITS BUY]]=0,0,SUMIFS(LS[Amount],LS[Investor ID],INVESTORS_LIST[[#This Row],[INVESTOR CODE]],LS[B/S],"B"))</f>
        <v>0</v>
      </c>
      <c r="I458" s="6">
        <f>IF(INVESTORS_LIST[[#This Row],[LS_TOTAL UNITS SOLD]]=0,0,SUMIFS(LS[Cost of Units Sold],LS[Investor ID],INVESTORS_LIST[[#This Row],[INVESTOR CODE]],LS[B/S],"S"))</f>
        <v>0</v>
      </c>
      <c r="J458" s="6">
        <f>IF(INVESTORS_LIST[[#This Row],[LS_TOTAL CURRENT UNITS]]=0,0,INVESTORS_LIST[[#This Row],[LS_TOTAL CURRENT UNITS]]*INVESTORS_LIST[[#This Row],[LS_AVERAGE COST]])</f>
        <v>0</v>
      </c>
      <c r="K458" s="4">
        <f>IF(INVESTORS_LIST[[#This Row],[LS_TOTAL UNITS SOLD]]=0,0,SUMIFS(LS[Realized Gain],LS[Investor ID],INVESTORS_LIST[[#This Row],[INVESTOR CODE]],LS[B/S],"S"))</f>
        <v>0</v>
      </c>
      <c r="L458" s="2">
        <f>SUMIFS(SIP[Unit],SIP[Investor ID],INVESTORS_LIST[[#This Row],[INVESTOR CODE]],SIP[B/S],"B")</f>
        <v>0</v>
      </c>
      <c r="M458" s="2">
        <f>-SUMIFS(SIP[Unit],SIP[Investor ID],INVESTORS_LIST[[#This Row],[INVESTOR CODE]],SIP[B/S],"S")</f>
        <v>0</v>
      </c>
      <c r="N458" s="33">
        <f>IF(INVESTORS_LIST[[#This Row],[SIP_TOTAL UNITS BUY]]=0,0,INVESTORS_LIST[[#This Row],[SIP_TOTAL UNITS BUY]]-INVESTORS_LIST[[#This Row],[SIP_TOTAL UNITS SOLD]])</f>
        <v>0</v>
      </c>
      <c r="O458" s="4">
        <f>IF(INVESTORS_LIST[[#This Row],[SIP_TOTAL UNITS BUY]]=0,0,SUMIFS(SIP[Amount],SIP[Investor ID],INVESTORS_LIST[[#This Row],[INVESTOR CODE]],SIP[B/S],"B"))</f>
        <v>0</v>
      </c>
      <c r="P458" s="4">
        <f>IF(INVESTORS_LIST[[#This Row],[SIP_TOTAL UNITS SOLD]]=0,0,SUMIFS(SIP[Cost of Units Sold],SIP[Investor ID],INVESTORS_LIST[[#This Row],[INVESTOR CODE]],SIP[B/S],"S"))</f>
        <v>0</v>
      </c>
      <c r="Q458" s="6">
        <f>IF(INVESTORS_LIST[[#This Row],[SIP_TOTAL CURRENT UNITS]]=0,0,INVESTORS_LIST[[#This Row],[SIP_TOTAL CURRENT UNITS]]*INVESTORS_LIST[[#This Row],[SIP_AVERAGE COST]])</f>
        <v>0</v>
      </c>
      <c r="R458" s="6">
        <f>IF(INVESTORS_LIST[[#This Row],[SIP_TOTAL UNITS SOLD]]=0,0,SUMIFS(SIP[Realized Gain],SIP[Investor ID],INVESTORS_LIST[[#This Row],[INVESTOR CODE]],SIP[B/S],"S"))</f>
        <v>0</v>
      </c>
      <c r="S458" s="33">
        <f>INVESTORS_LIST[[#This Row],[LS_TOTAL UNITS BUY]]+INVESTORS_LIST[[#This Row],[SIP_TOTAL UNITS BUY]]</f>
        <v>0</v>
      </c>
      <c r="T458" s="33">
        <f>INVESTORS_LIST[[#This Row],[LS_TOTAL UNITS SOLD]]+INVESTORS_LIST[[#This Row],[SIP_TOTAL UNITS SOLD]]</f>
        <v>0</v>
      </c>
      <c r="U458" s="33">
        <v>0</v>
      </c>
      <c r="V458" s="33">
        <f>SUMIFS(LS[BO UNIT TRANSFER],LS[Investor ID],INVESTORS_LIST[[#This Row],[INVESTOR CODE]],LS[B/S],"B")</f>
        <v>0</v>
      </c>
      <c r="W458" s="33">
        <f>SUMIFS(LS[BO UNIT TRANSFER],LS[Investor ID],INVESTORS_LIST[[#This Row],[INVESTOR CODE]],LS[B/S],"S")</f>
        <v>0</v>
      </c>
      <c r="X458" s="33">
        <f>SUMIFS(SIP[BO UNIT TRANSFER],SIP[Investor ID],INVESTORS_LIST[[#This Row],[INVESTOR CODE]],SIP[B/S],"S")</f>
        <v>0</v>
      </c>
      <c r="Y458" s="33">
        <f>SUMIFS(SIP[BO UNIT TRANSFER],SIP[Investor ID],INVESTORS_LIST[[#This Row],[INVESTOR CODE]],SIP[B/S],"B")</f>
        <v>0</v>
      </c>
      <c r="Z45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58" s="119">
        <f>INVESTORS_LIST[[#This Row],[TOTAL UNITS BUY]]-INVESTORS_LIST[[#This Row],[TOTAL UNITS SOLD]]</f>
        <v>0</v>
      </c>
      <c r="AB458" s="119">
        <f>INVESTORS_LIST[[#This Row],[TOTAL CURRENT UNITS]]-INVESTORS_LIST[[#This Row],[BO UNITS HOLD]]</f>
        <v>0</v>
      </c>
      <c r="AC458" s="119" t="e">
        <f>INDEX([4]!Table_1[BO ID],MATCH(INVESTORS_LIST[[#This Row],[INVESTOR CODE]],[4]!Table_1[INVESTOR CODE],0))</f>
        <v>#REF!</v>
      </c>
      <c r="AD458" s="33">
        <f>INVESTORS_LIST[[#This Row],[LS_TOTAL COST VALUE OF CURRENT UNITS]]+INVESTORS_LIST[[#This Row],[SIP_TOTAL COST VALUE OF CURRENT UNITS]]</f>
        <v>0</v>
      </c>
      <c r="AE458" s="44">
        <f>IF(INVESTORS_LIST[[#This Row],[TOTAL CURRENT UNITS]]=0,0,INVESTORS_LIST[[#This Row],[LS_TOTAL CURRENT UNITS]]/INVESTORS_LIST[[#This Row],[TOTAL CURRENT UNITS]])</f>
        <v>0</v>
      </c>
      <c r="AF458" s="44">
        <f>IF(INVESTORS_LIST[[#This Row],[TOTAL CURRENT UNITS]]=0,0,INVESTORS_LIST[[#This Row],[SIP_TOTAL CURRENT UNITS]]/INVESTORS_LIST[[#This Row],[TOTAL CURRENT UNITS]])</f>
        <v>0</v>
      </c>
      <c r="AG458" s="4" cm="1">
        <f t="array" ref="AG45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58" s="4" cm="1">
        <f t="array" ref="AH4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5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58" s="178">
        <f t="shared" si="7"/>
        <v>12.552</v>
      </c>
      <c r="AK458" s="118">
        <f>IF(INVESTORS_LIST[[#This Row],[TOTAL CURRENT UNITS]]=0,0,INVESTORS_LIST[[#This Row],[TOTAL CURRENT UNITS]]*INVESTORS_LIST[[#This Row],[NAV]])</f>
        <v>0</v>
      </c>
      <c r="AL458" s="4">
        <f>IF(INVESTORS_LIST[[#This Row],[LS_TOTAL CURRENT UNITS]]=0,0,INVESTORS_LIST[[#This Row],[LS_TOTAL CURRENT UNITS]]*INVESTORS_LIST[[#This Row],[NAV]])</f>
        <v>0</v>
      </c>
      <c r="AM458" s="6">
        <f>IF(INVESTORS_LIST[[#This Row],[SIP_TOTAL CURRENT UNITS]]=0,0,INVESTORS_LIST[[#This Row],[SIP_TOTAL CURRENT UNITS]]*INVESTORS_LIST[[#This Row],[NAV]])</f>
        <v>0</v>
      </c>
      <c r="AO458" s="6">
        <f>IF(INVESTORS_LIST[[#This Row],[TOTAL SELLABLE UNITS]]=0,0,INVESTORS_LIST[[#This Row],[TOTAL SELLABLE UNITS]]*INVESTORS_LIST[[#This Row],[NAV]])</f>
        <v>0</v>
      </c>
      <c r="AP458" s="6">
        <f>INVESTORS_LIST[[#This Row],[LS_TOTAL REALIZED GAIN]]+INVESTORS_LIST[[#This Row],[SIP_TOTAL REALIZED GAIN]]</f>
        <v>0</v>
      </c>
      <c r="AQ458" s="6">
        <f>INVESTORS_LIST[[#This Row],[TOTAL MARKET VALUE]]-INVESTORS_LIST[[#This Row],[TOTAL COST VALUE OF CURRENT INVESTMENT]]</f>
        <v>0</v>
      </c>
      <c r="AR458" s="6">
        <f>SUMIFS(DivAndTax[Tax Amount],DivAndTax[Investor ID],INVESTORS_LIST[[#This Row],[INVESTOR CODE]])</f>
        <v>0</v>
      </c>
      <c r="AS458" s="6">
        <f>SUMIFS(DivAndTax[Gross Dividend],DivAndTax[Investor ID],INVESTORS_LIST[[#This Row],[INVESTOR CODE]])</f>
        <v>0</v>
      </c>
      <c r="AT458" s="5">
        <f>IFERROR(INVESTORS_LIST[[#This Row],[TOTAL CURRENT UNITS]]/SUM(INVESTORS_LIST[TOTAL CURRENT UNITS]),0)</f>
        <v>0</v>
      </c>
    </row>
    <row r="459" spans="1:46" hidden="1">
      <c r="A459" t="s">
        <v>1022</v>
      </c>
      <c r="B459" t="s">
        <v>1023</v>
      </c>
      <c r="C459" t="s">
        <v>537</v>
      </c>
      <c r="D459" s="8" t="s">
        <v>11</v>
      </c>
      <c r="E459" s="2">
        <f>SUMIFS(LS[Unit],LS[Investor ID],INVESTORS_LIST[[#This Row],[INVESTOR CODE]],LS[B/S],"B")</f>
        <v>0</v>
      </c>
      <c r="F459" s="2">
        <f>-SUMIFS(LS[Unit],LS[Investor ID],INVESTORS_LIST[[#This Row],[INVESTOR CODE]],LS[B/S],"S")</f>
        <v>0</v>
      </c>
      <c r="G459" s="2">
        <f>IF(INVESTORS_LIST[[#This Row],[LS_TOTAL UNITS BUY]]=0,0,INVESTORS_LIST[[#This Row],[LS_TOTAL UNITS BUY]]-INVESTORS_LIST[[#This Row],[LS_TOTAL UNITS SOLD]])</f>
        <v>0</v>
      </c>
      <c r="H459" s="4">
        <f>IF(INVESTORS_LIST[[#This Row],[LS_TOTAL UNITS BUY]]=0,0,SUMIFS(LS[Amount],LS[Investor ID],INVESTORS_LIST[[#This Row],[INVESTOR CODE]],LS[B/S],"B"))</f>
        <v>0</v>
      </c>
      <c r="I459" s="6">
        <f>IF(INVESTORS_LIST[[#This Row],[LS_TOTAL UNITS SOLD]]=0,0,SUMIFS(LS[Cost of Units Sold],LS[Investor ID],INVESTORS_LIST[[#This Row],[INVESTOR CODE]],LS[B/S],"S"))</f>
        <v>0</v>
      </c>
      <c r="J459" s="6">
        <f>IF(INVESTORS_LIST[[#This Row],[LS_TOTAL CURRENT UNITS]]=0,0,INVESTORS_LIST[[#This Row],[LS_TOTAL CURRENT UNITS]]*INVESTORS_LIST[[#This Row],[LS_AVERAGE COST]])</f>
        <v>0</v>
      </c>
      <c r="K459" s="4">
        <f>IF(INVESTORS_LIST[[#This Row],[LS_TOTAL UNITS SOLD]]=0,0,SUMIFS(LS[Realized Gain],LS[Investor ID],INVESTORS_LIST[[#This Row],[INVESTOR CODE]],LS[B/S],"S"))</f>
        <v>0</v>
      </c>
      <c r="L459" s="2">
        <f>SUMIFS(SIP[Unit],SIP[Investor ID],INVESTORS_LIST[[#This Row],[INVESTOR CODE]],SIP[B/S],"B")</f>
        <v>0</v>
      </c>
      <c r="M459" s="2">
        <f>-SUMIFS(SIP[Unit],SIP[Investor ID],INVESTORS_LIST[[#This Row],[INVESTOR CODE]],SIP[B/S],"S")</f>
        <v>0</v>
      </c>
      <c r="N459" s="33">
        <f>IF(INVESTORS_LIST[[#This Row],[SIP_TOTAL UNITS BUY]]=0,0,INVESTORS_LIST[[#This Row],[SIP_TOTAL UNITS BUY]]-INVESTORS_LIST[[#This Row],[SIP_TOTAL UNITS SOLD]])</f>
        <v>0</v>
      </c>
      <c r="O459" s="4">
        <f>IF(INVESTORS_LIST[[#This Row],[SIP_TOTAL UNITS BUY]]=0,0,SUMIFS(SIP[Amount],SIP[Investor ID],INVESTORS_LIST[[#This Row],[INVESTOR CODE]],SIP[B/S],"B"))</f>
        <v>0</v>
      </c>
      <c r="P459" s="4">
        <f>IF(INVESTORS_LIST[[#This Row],[SIP_TOTAL UNITS SOLD]]=0,0,SUMIFS(SIP[Cost of Units Sold],SIP[Investor ID],INVESTORS_LIST[[#This Row],[INVESTOR CODE]],SIP[B/S],"S"))</f>
        <v>0</v>
      </c>
      <c r="Q459" s="6">
        <f>IF(INVESTORS_LIST[[#This Row],[SIP_TOTAL CURRENT UNITS]]=0,0,INVESTORS_LIST[[#This Row],[SIP_TOTAL CURRENT UNITS]]*INVESTORS_LIST[[#This Row],[SIP_AVERAGE COST]])</f>
        <v>0</v>
      </c>
      <c r="R459" s="6">
        <f>IF(INVESTORS_LIST[[#This Row],[SIP_TOTAL UNITS SOLD]]=0,0,SUMIFS(SIP[Realized Gain],SIP[Investor ID],INVESTORS_LIST[[#This Row],[INVESTOR CODE]],SIP[B/S],"S"))</f>
        <v>0</v>
      </c>
      <c r="S459" s="33">
        <f>INVESTORS_LIST[[#This Row],[LS_TOTAL UNITS BUY]]+INVESTORS_LIST[[#This Row],[SIP_TOTAL UNITS BUY]]</f>
        <v>0</v>
      </c>
      <c r="T459" s="33">
        <f>INVESTORS_LIST[[#This Row],[LS_TOTAL UNITS SOLD]]+INVESTORS_LIST[[#This Row],[SIP_TOTAL UNITS SOLD]]</f>
        <v>0</v>
      </c>
      <c r="U459" s="33">
        <v>0</v>
      </c>
      <c r="V459" s="33">
        <f>SUMIFS(LS[BO UNIT TRANSFER],LS[Investor ID],INVESTORS_LIST[[#This Row],[INVESTOR CODE]],LS[B/S],"B")</f>
        <v>0</v>
      </c>
      <c r="W459" s="33">
        <f>SUMIFS(LS[BO UNIT TRANSFER],LS[Investor ID],INVESTORS_LIST[[#This Row],[INVESTOR CODE]],LS[B/S],"S")</f>
        <v>0</v>
      </c>
      <c r="X459" s="33">
        <f>SUMIFS(SIP[BO UNIT TRANSFER],SIP[Investor ID],INVESTORS_LIST[[#This Row],[INVESTOR CODE]],SIP[B/S],"S")</f>
        <v>0</v>
      </c>
      <c r="Y459" s="33">
        <f>SUMIFS(SIP[BO UNIT TRANSFER],SIP[Investor ID],INVESTORS_LIST[[#This Row],[INVESTOR CODE]],SIP[B/S],"B")</f>
        <v>0</v>
      </c>
      <c r="Z45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59" s="119">
        <f>INVESTORS_LIST[[#This Row],[TOTAL UNITS BUY]]-INVESTORS_LIST[[#This Row],[TOTAL UNITS SOLD]]</f>
        <v>0</v>
      </c>
      <c r="AB459" s="119">
        <f>INVESTORS_LIST[[#This Row],[TOTAL CURRENT UNITS]]-INVESTORS_LIST[[#This Row],[BO UNITS HOLD]]</f>
        <v>0</v>
      </c>
      <c r="AC459" s="119" t="e">
        <f>INDEX([4]!Table_1[BO ID],MATCH(INVESTORS_LIST[[#This Row],[INVESTOR CODE]],[4]!Table_1[INVESTOR CODE],0))</f>
        <v>#REF!</v>
      </c>
      <c r="AD459" s="33">
        <f>INVESTORS_LIST[[#This Row],[LS_TOTAL COST VALUE OF CURRENT UNITS]]+INVESTORS_LIST[[#This Row],[SIP_TOTAL COST VALUE OF CURRENT UNITS]]</f>
        <v>0</v>
      </c>
      <c r="AE459" s="44">
        <f>IF(INVESTORS_LIST[[#This Row],[TOTAL CURRENT UNITS]]=0,0,INVESTORS_LIST[[#This Row],[LS_TOTAL CURRENT UNITS]]/INVESTORS_LIST[[#This Row],[TOTAL CURRENT UNITS]])</f>
        <v>0</v>
      </c>
      <c r="AF459" s="44">
        <f>IF(INVESTORS_LIST[[#This Row],[TOTAL CURRENT UNITS]]=0,0,INVESTORS_LIST[[#This Row],[SIP_TOTAL CURRENT UNITS]]/INVESTORS_LIST[[#This Row],[TOTAL CURRENT UNITS]])</f>
        <v>0</v>
      </c>
      <c r="AG459" s="4" cm="1">
        <f t="array" ref="AG45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59" s="4" cm="1">
        <f t="array" ref="AH4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5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59" s="178">
        <f t="shared" si="7"/>
        <v>12.552</v>
      </c>
      <c r="AK459" s="118">
        <f>IF(INVESTORS_LIST[[#This Row],[TOTAL CURRENT UNITS]]=0,0,INVESTORS_LIST[[#This Row],[TOTAL CURRENT UNITS]]*INVESTORS_LIST[[#This Row],[NAV]])</f>
        <v>0</v>
      </c>
      <c r="AL459" s="4">
        <f>IF(INVESTORS_LIST[[#This Row],[LS_TOTAL CURRENT UNITS]]=0,0,INVESTORS_LIST[[#This Row],[LS_TOTAL CURRENT UNITS]]*INVESTORS_LIST[[#This Row],[NAV]])</f>
        <v>0</v>
      </c>
      <c r="AM459" s="6">
        <f>IF(INVESTORS_LIST[[#This Row],[SIP_TOTAL CURRENT UNITS]]=0,0,INVESTORS_LIST[[#This Row],[SIP_TOTAL CURRENT UNITS]]*INVESTORS_LIST[[#This Row],[NAV]])</f>
        <v>0</v>
      </c>
      <c r="AO459" s="6">
        <f>IF(INVESTORS_LIST[[#This Row],[TOTAL SELLABLE UNITS]]=0,0,INVESTORS_LIST[[#This Row],[TOTAL SELLABLE UNITS]]*INVESTORS_LIST[[#This Row],[NAV]])</f>
        <v>0</v>
      </c>
      <c r="AP459" s="6">
        <f>INVESTORS_LIST[[#This Row],[LS_TOTAL REALIZED GAIN]]+INVESTORS_LIST[[#This Row],[SIP_TOTAL REALIZED GAIN]]</f>
        <v>0</v>
      </c>
      <c r="AQ459" s="6">
        <f>INVESTORS_LIST[[#This Row],[TOTAL MARKET VALUE]]-INVESTORS_LIST[[#This Row],[TOTAL COST VALUE OF CURRENT INVESTMENT]]</f>
        <v>0</v>
      </c>
      <c r="AR459" s="6">
        <f>SUMIFS(DivAndTax[Tax Amount],DivAndTax[Investor ID],INVESTORS_LIST[[#This Row],[INVESTOR CODE]])</f>
        <v>0</v>
      </c>
      <c r="AS459" s="6">
        <f>SUMIFS(DivAndTax[Gross Dividend],DivAndTax[Investor ID],INVESTORS_LIST[[#This Row],[INVESTOR CODE]])</f>
        <v>0</v>
      </c>
      <c r="AT459" s="5">
        <f>IFERROR(INVESTORS_LIST[[#This Row],[TOTAL CURRENT UNITS]]/SUM(INVESTORS_LIST[TOTAL CURRENT UNITS]),0)</f>
        <v>0</v>
      </c>
    </row>
    <row r="460" spans="1:46" hidden="1">
      <c r="A460" t="s">
        <v>1024</v>
      </c>
      <c r="B460" t="s">
        <v>1025</v>
      </c>
      <c r="C460" t="s">
        <v>536</v>
      </c>
      <c r="D460" s="8" t="s">
        <v>2</v>
      </c>
      <c r="E460" s="2">
        <f>SUMIFS(LS[Unit],LS[Investor ID],INVESTORS_LIST[[#This Row],[INVESTOR CODE]],LS[B/S],"B")</f>
        <v>0</v>
      </c>
      <c r="F460" s="2">
        <f>-SUMIFS(LS[Unit],LS[Investor ID],INVESTORS_LIST[[#This Row],[INVESTOR CODE]],LS[B/S],"S")</f>
        <v>0</v>
      </c>
      <c r="G460" s="2">
        <f>IF(INVESTORS_LIST[[#This Row],[LS_TOTAL UNITS BUY]]=0,0,INVESTORS_LIST[[#This Row],[LS_TOTAL UNITS BUY]]-INVESTORS_LIST[[#This Row],[LS_TOTAL UNITS SOLD]])</f>
        <v>0</v>
      </c>
      <c r="H460" s="4">
        <f>IF(INVESTORS_LIST[[#This Row],[LS_TOTAL UNITS BUY]]=0,0,SUMIFS(LS[Amount],LS[Investor ID],INVESTORS_LIST[[#This Row],[INVESTOR CODE]],LS[B/S],"B"))</f>
        <v>0</v>
      </c>
      <c r="I460" s="6">
        <f>IF(INVESTORS_LIST[[#This Row],[LS_TOTAL UNITS SOLD]]=0,0,SUMIFS(LS[Cost of Units Sold],LS[Investor ID],INVESTORS_LIST[[#This Row],[INVESTOR CODE]],LS[B/S],"S"))</f>
        <v>0</v>
      </c>
      <c r="J460" s="6">
        <f>IF(INVESTORS_LIST[[#This Row],[LS_TOTAL CURRENT UNITS]]=0,0,INVESTORS_LIST[[#This Row],[LS_TOTAL CURRENT UNITS]]*INVESTORS_LIST[[#This Row],[LS_AVERAGE COST]])</f>
        <v>0</v>
      </c>
      <c r="K460" s="4">
        <f>IF(INVESTORS_LIST[[#This Row],[LS_TOTAL UNITS SOLD]]=0,0,SUMIFS(LS[Realized Gain],LS[Investor ID],INVESTORS_LIST[[#This Row],[INVESTOR CODE]],LS[B/S],"S"))</f>
        <v>0</v>
      </c>
      <c r="L460" s="2">
        <f>SUMIFS(SIP[Unit],SIP[Investor ID],INVESTORS_LIST[[#This Row],[INVESTOR CODE]],SIP[B/S],"B")</f>
        <v>0</v>
      </c>
      <c r="M460" s="2">
        <f>-SUMIFS(SIP[Unit],SIP[Investor ID],INVESTORS_LIST[[#This Row],[INVESTOR CODE]],SIP[B/S],"S")</f>
        <v>0</v>
      </c>
      <c r="N460" s="33">
        <f>IF(INVESTORS_LIST[[#This Row],[SIP_TOTAL UNITS BUY]]=0,0,INVESTORS_LIST[[#This Row],[SIP_TOTAL UNITS BUY]]-INVESTORS_LIST[[#This Row],[SIP_TOTAL UNITS SOLD]])</f>
        <v>0</v>
      </c>
      <c r="O460" s="4">
        <f>IF(INVESTORS_LIST[[#This Row],[SIP_TOTAL UNITS BUY]]=0,0,SUMIFS(SIP[Amount],SIP[Investor ID],INVESTORS_LIST[[#This Row],[INVESTOR CODE]],SIP[B/S],"B"))</f>
        <v>0</v>
      </c>
      <c r="P460" s="4">
        <f>IF(INVESTORS_LIST[[#This Row],[SIP_TOTAL UNITS SOLD]]=0,0,SUMIFS(SIP[Cost of Units Sold],SIP[Investor ID],INVESTORS_LIST[[#This Row],[INVESTOR CODE]],SIP[B/S],"S"))</f>
        <v>0</v>
      </c>
      <c r="Q460" s="6">
        <f>IF(INVESTORS_LIST[[#This Row],[SIP_TOTAL CURRENT UNITS]]=0,0,INVESTORS_LIST[[#This Row],[SIP_TOTAL CURRENT UNITS]]*INVESTORS_LIST[[#This Row],[SIP_AVERAGE COST]])</f>
        <v>0</v>
      </c>
      <c r="R460" s="6">
        <f>IF(INVESTORS_LIST[[#This Row],[SIP_TOTAL UNITS SOLD]]=0,0,SUMIFS(SIP[Realized Gain],SIP[Investor ID],INVESTORS_LIST[[#This Row],[INVESTOR CODE]],SIP[B/S],"S"))</f>
        <v>0</v>
      </c>
      <c r="S460" s="33">
        <f>INVESTORS_LIST[[#This Row],[LS_TOTAL UNITS BUY]]+INVESTORS_LIST[[#This Row],[SIP_TOTAL UNITS BUY]]</f>
        <v>0</v>
      </c>
      <c r="T460" s="33">
        <f>INVESTORS_LIST[[#This Row],[LS_TOTAL UNITS SOLD]]+INVESTORS_LIST[[#This Row],[SIP_TOTAL UNITS SOLD]]</f>
        <v>0</v>
      </c>
      <c r="U460" s="33">
        <v>0</v>
      </c>
      <c r="V460" s="33">
        <f>SUMIFS(LS[BO UNIT TRANSFER],LS[Investor ID],INVESTORS_LIST[[#This Row],[INVESTOR CODE]],LS[B/S],"B")</f>
        <v>0</v>
      </c>
      <c r="W460" s="33">
        <f>SUMIFS(LS[BO UNIT TRANSFER],LS[Investor ID],INVESTORS_LIST[[#This Row],[INVESTOR CODE]],LS[B/S],"S")</f>
        <v>0</v>
      </c>
      <c r="X460" s="33">
        <f>SUMIFS(SIP[BO UNIT TRANSFER],SIP[Investor ID],INVESTORS_LIST[[#This Row],[INVESTOR CODE]],SIP[B/S],"S")</f>
        <v>0</v>
      </c>
      <c r="Y460" s="33">
        <f>SUMIFS(SIP[BO UNIT TRANSFER],SIP[Investor ID],INVESTORS_LIST[[#This Row],[INVESTOR CODE]],SIP[B/S],"B")</f>
        <v>0</v>
      </c>
      <c r="Z46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60" s="119">
        <f>INVESTORS_LIST[[#This Row],[TOTAL UNITS BUY]]-INVESTORS_LIST[[#This Row],[TOTAL UNITS SOLD]]</f>
        <v>0</v>
      </c>
      <c r="AB460" s="119">
        <f>INVESTORS_LIST[[#This Row],[TOTAL CURRENT UNITS]]-INVESTORS_LIST[[#This Row],[BO UNITS HOLD]]</f>
        <v>0</v>
      </c>
      <c r="AC460" s="119" t="e">
        <f>INDEX([4]!Table_1[BO ID],MATCH(INVESTORS_LIST[[#This Row],[INVESTOR CODE]],[4]!Table_1[INVESTOR CODE],0))</f>
        <v>#REF!</v>
      </c>
      <c r="AD460" s="33">
        <f>INVESTORS_LIST[[#This Row],[LS_TOTAL COST VALUE OF CURRENT UNITS]]+INVESTORS_LIST[[#This Row],[SIP_TOTAL COST VALUE OF CURRENT UNITS]]</f>
        <v>0</v>
      </c>
      <c r="AE460" s="44">
        <f>IF(INVESTORS_LIST[[#This Row],[TOTAL CURRENT UNITS]]=0,0,INVESTORS_LIST[[#This Row],[LS_TOTAL CURRENT UNITS]]/INVESTORS_LIST[[#This Row],[TOTAL CURRENT UNITS]])</f>
        <v>0</v>
      </c>
      <c r="AF460" s="44">
        <f>IF(INVESTORS_LIST[[#This Row],[TOTAL CURRENT UNITS]]=0,0,INVESTORS_LIST[[#This Row],[SIP_TOTAL CURRENT UNITS]]/INVESTORS_LIST[[#This Row],[TOTAL CURRENT UNITS]])</f>
        <v>0</v>
      </c>
      <c r="AG460" s="4" cm="1">
        <f t="array" ref="AG46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60" s="4" cm="1">
        <f t="array" ref="AH46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6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60" s="178">
        <f t="shared" si="7"/>
        <v>12.552</v>
      </c>
      <c r="AK460" s="118">
        <f>IF(INVESTORS_LIST[[#This Row],[TOTAL CURRENT UNITS]]=0,0,INVESTORS_LIST[[#This Row],[TOTAL CURRENT UNITS]]*INVESTORS_LIST[[#This Row],[NAV]])</f>
        <v>0</v>
      </c>
      <c r="AL460" s="4">
        <f>IF(INVESTORS_LIST[[#This Row],[LS_TOTAL CURRENT UNITS]]=0,0,INVESTORS_LIST[[#This Row],[LS_TOTAL CURRENT UNITS]]*INVESTORS_LIST[[#This Row],[NAV]])</f>
        <v>0</v>
      </c>
      <c r="AM460" s="6">
        <f>IF(INVESTORS_LIST[[#This Row],[SIP_TOTAL CURRENT UNITS]]=0,0,INVESTORS_LIST[[#This Row],[SIP_TOTAL CURRENT UNITS]]*INVESTORS_LIST[[#This Row],[NAV]])</f>
        <v>0</v>
      </c>
      <c r="AO460" s="6">
        <f>IF(INVESTORS_LIST[[#This Row],[TOTAL SELLABLE UNITS]]=0,0,INVESTORS_LIST[[#This Row],[TOTAL SELLABLE UNITS]]*INVESTORS_LIST[[#This Row],[NAV]])</f>
        <v>0</v>
      </c>
      <c r="AP460" s="6">
        <f>INVESTORS_LIST[[#This Row],[LS_TOTAL REALIZED GAIN]]+INVESTORS_LIST[[#This Row],[SIP_TOTAL REALIZED GAIN]]</f>
        <v>0</v>
      </c>
      <c r="AQ460" s="6">
        <f>INVESTORS_LIST[[#This Row],[TOTAL MARKET VALUE]]-INVESTORS_LIST[[#This Row],[TOTAL COST VALUE OF CURRENT INVESTMENT]]</f>
        <v>0</v>
      </c>
      <c r="AR460" s="6">
        <f>SUMIFS(DivAndTax[Tax Amount],DivAndTax[Investor ID],INVESTORS_LIST[[#This Row],[INVESTOR CODE]])</f>
        <v>0</v>
      </c>
      <c r="AS460" s="6">
        <f>SUMIFS(DivAndTax[Gross Dividend],DivAndTax[Investor ID],INVESTORS_LIST[[#This Row],[INVESTOR CODE]])</f>
        <v>0</v>
      </c>
      <c r="AT460" s="5">
        <f>IFERROR(INVESTORS_LIST[[#This Row],[TOTAL CURRENT UNITS]]/SUM(INVESTORS_LIST[TOTAL CURRENT UNITS]),0)</f>
        <v>0</v>
      </c>
    </row>
    <row r="461" spans="1:46" hidden="1">
      <c r="A461" t="s">
        <v>1050</v>
      </c>
      <c r="B461" t="s">
        <v>1026</v>
      </c>
      <c r="C461" t="s">
        <v>539</v>
      </c>
      <c r="D461" s="8" t="s">
        <v>2</v>
      </c>
      <c r="E461" s="2">
        <f>SUMIFS(LS[Unit],LS[Investor ID],INVESTORS_LIST[[#This Row],[INVESTOR CODE]],LS[B/S],"B")</f>
        <v>0</v>
      </c>
      <c r="F461" s="2">
        <f>-SUMIFS(LS[Unit],LS[Investor ID],INVESTORS_LIST[[#This Row],[INVESTOR CODE]],LS[B/S],"S")</f>
        <v>0</v>
      </c>
      <c r="G461" s="2">
        <f>IF(INVESTORS_LIST[[#This Row],[LS_TOTAL UNITS BUY]]=0,0,INVESTORS_LIST[[#This Row],[LS_TOTAL UNITS BUY]]-INVESTORS_LIST[[#This Row],[LS_TOTAL UNITS SOLD]])</f>
        <v>0</v>
      </c>
      <c r="H461" s="4">
        <f>IF(INVESTORS_LIST[[#This Row],[LS_TOTAL UNITS BUY]]=0,0,SUMIFS(LS[Amount],LS[Investor ID],INVESTORS_LIST[[#This Row],[INVESTOR CODE]],LS[B/S],"B"))</f>
        <v>0</v>
      </c>
      <c r="I461" s="6">
        <f>IF(INVESTORS_LIST[[#This Row],[LS_TOTAL UNITS SOLD]]=0,0,SUMIFS(LS[Cost of Units Sold],LS[Investor ID],INVESTORS_LIST[[#This Row],[INVESTOR CODE]],LS[B/S],"S"))</f>
        <v>0</v>
      </c>
      <c r="J461" s="6">
        <f>IF(INVESTORS_LIST[[#This Row],[LS_TOTAL CURRENT UNITS]]=0,0,INVESTORS_LIST[[#This Row],[LS_TOTAL CURRENT UNITS]]*INVESTORS_LIST[[#This Row],[LS_AVERAGE COST]])</f>
        <v>0</v>
      </c>
      <c r="K461" s="4">
        <f>IF(INVESTORS_LIST[[#This Row],[LS_TOTAL UNITS SOLD]]=0,0,SUMIFS(LS[Realized Gain],LS[Investor ID],INVESTORS_LIST[[#This Row],[INVESTOR CODE]],LS[B/S],"S"))</f>
        <v>0</v>
      </c>
      <c r="L461" s="2">
        <f>SUMIFS(SIP[Unit],SIP[Investor ID],INVESTORS_LIST[[#This Row],[INVESTOR CODE]],SIP[B/S],"B")</f>
        <v>0</v>
      </c>
      <c r="M461" s="2">
        <f>-SUMIFS(SIP[Unit],SIP[Investor ID],INVESTORS_LIST[[#This Row],[INVESTOR CODE]],SIP[B/S],"S")</f>
        <v>0</v>
      </c>
      <c r="N461" s="33">
        <f>IF(INVESTORS_LIST[[#This Row],[SIP_TOTAL UNITS BUY]]=0,0,INVESTORS_LIST[[#This Row],[SIP_TOTAL UNITS BUY]]-INVESTORS_LIST[[#This Row],[SIP_TOTAL UNITS SOLD]])</f>
        <v>0</v>
      </c>
      <c r="O461" s="4">
        <f>IF(INVESTORS_LIST[[#This Row],[SIP_TOTAL UNITS BUY]]=0,0,SUMIFS(SIP[Amount],SIP[Investor ID],INVESTORS_LIST[[#This Row],[INVESTOR CODE]],SIP[B/S],"B"))</f>
        <v>0</v>
      </c>
      <c r="P461" s="4">
        <f>IF(INVESTORS_LIST[[#This Row],[SIP_TOTAL UNITS SOLD]]=0,0,SUMIFS(SIP[Cost of Units Sold],SIP[Investor ID],INVESTORS_LIST[[#This Row],[INVESTOR CODE]],SIP[B/S],"S"))</f>
        <v>0</v>
      </c>
      <c r="Q461" s="6">
        <f>IF(INVESTORS_LIST[[#This Row],[SIP_TOTAL CURRENT UNITS]]=0,0,INVESTORS_LIST[[#This Row],[SIP_TOTAL CURRENT UNITS]]*INVESTORS_LIST[[#This Row],[SIP_AVERAGE COST]])</f>
        <v>0</v>
      </c>
      <c r="R461" s="6">
        <f>IF(INVESTORS_LIST[[#This Row],[SIP_TOTAL UNITS SOLD]]=0,0,SUMIFS(SIP[Realized Gain],SIP[Investor ID],INVESTORS_LIST[[#This Row],[INVESTOR CODE]],SIP[B/S],"S"))</f>
        <v>0</v>
      </c>
      <c r="S461" s="33">
        <f>INVESTORS_LIST[[#This Row],[LS_TOTAL UNITS BUY]]+INVESTORS_LIST[[#This Row],[SIP_TOTAL UNITS BUY]]</f>
        <v>0</v>
      </c>
      <c r="T461" s="33">
        <f>INVESTORS_LIST[[#This Row],[LS_TOTAL UNITS SOLD]]+INVESTORS_LIST[[#This Row],[SIP_TOTAL UNITS SOLD]]</f>
        <v>0</v>
      </c>
      <c r="U461" s="33">
        <v>0</v>
      </c>
      <c r="V461" s="33">
        <f>SUMIFS(LS[BO UNIT TRANSFER],LS[Investor ID],INVESTORS_LIST[[#This Row],[INVESTOR CODE]],LS[B/S],"B")</f>
        <v>0</v>
      </c>
      <c r="W461" s="33">
        <f>SUMIFS(LS[BO UNIT TRANSFER],LS[Investor ID],INVESTORS_LIST[[#This Row],[INVESTOR CODE]],LS[B/S],"S")</f>
        <v>0</v>
      </c>
      <c r="X461" s="33">
        <f>SUMIFS(SIP[BO UNIT TRANSFER],SIP[Investor ID],INVESTORS_LIST[[#This Row],[INVESTOR CODE]],SIP[B/S],"S")</f>
        <v>0</v>
      </c>
      <c r="Y461" s="33">
        <f>SUMIFS(SIP[BO UNIT TRANSFER],SIP[Investor ID],INVESTORS_LIST[[#This Row],[INVESTOR CODE]],SIP[B/S],"B")</f>
        <v>0</v>
      </c>
      <c r="Z46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61" s="119">
        <f>INVESTORS_LIST[[#This Row],[TOTAL UNITS BUY]]-INVESTORS_LIST[[#This Row],[TOTAL UNITS SOLD]]</f>
        <v>0</v>
      </c>
      <c r="AB461" s="119">
        <f>INVESTORS_LIST[[#This Row],[TOTAL CURRENT UNITS]]-INVESTORS_LIST[[#This Row],[BO UNITS HOLD]]</f>
        <v>0</v>
      </c>
      <c r="AC461" s="119" t="e">
        <f>INDEX([4]!Table_1[BO ID],MATCH(INVESTORS_LIST[[#This Row],[INVESTOR CODE]],[4]!Table_1[INVESTOR CODE],0))</f>
        <v>#REF!</v>
      </c>
      <c r="AD461" s="33">
        <f>INVESTORS_LIST[[#This Row],[LS_TOTAL COST VALUE OF CURRENT UNITS]]+INVESTORS_LIST[[#This Row],[SIP_TOTAL COST VALUE OF CURRENT UNITS]]</f>
        <v>0</v>
      </c>
      <c r="AE461" s="44">
        <f>IF(INVESTORS_LIST[[#This Row],[TOTAL CURRENT UNITS]]=0,0,INVESTORS_LIST[[#This Row],[LS_TOTAL CURRENT UNITS]]/INVESTORS_LIST[[#This Row],[TOTAL CURRENT UNITS]])</f>
        <v>0</v>
      </c>
      <c r="AF461" s="44">
        <f>IF(INVESTORS_LIST[[#This Row],[TOTAL CURRENT UNITS]]=0,0,INVESTORS_LIST[[#This Row],[SIP_TOTAL CURRENT UNITS]]/INVESTORS_LIST[[#This Row],[TOTAL CURRENT UNITS]])</f>
        <v>0</v>
      </c>
      <c r="AG461" s="4" cm="1">
        <f t="array" ref="AG46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61" s="4" cm="1">
        <f t="array" ref="AH4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6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61" s="178">
        <f t="shared" si="7"/>
        <v>12.552</v>
      </c>
      <c r="AK461" s="118">
        <f>IF(INVESTORS_LIST[[#This Row],[TOTAL CURRENT UNITS]]=0,0,INVESTORS_LIST[[#This Row],[TOTAL CURRENT UNITS]]*INVESTORS_LIST[[#This Row],[NAV]])</f>
        <v>0</v>
      </c>
      <c r="AL461" s="4">
        <f>IF(INVESTORS_LIST[[#This Row],[LS_TOTAL CURRENT UNITS]]=0,0,INVESTORS_LIST[[#This Row],[LS_TOTAL CURRENT UNITS]]*INVESTORS_LIST[[#This Row],[NAV]])</f>
        <v>0</v>
      </c>
      <c r="AM461" s="6">
        <f>IF(INVESTORS_LIST[[#This Row],[SIP_TOTAL CURRENT UNITS]]=0,0,INVESTORS_LIST[[#This Row],[SIP_TOTAL CURRENT UNITS]]*INVESTORS_LIST[[#This Row],[NAV]])</f>
        <v>0</v>
      </c>
      <c r="AO461" s="6">
        <f>IF(INVESTORS_LIST[[#This Row],[TOTAL SELLABLE UNITS]]=0,0,INVESTORS_LIST[[#This Row],[TOTAL SELLABLE UNITS]]*INVESTORS_LIST[[#This Row],[NAV]])</f>
        <v>0</v>
      </c>
      <c r="AP461" s="6">
        <f>INVESTORS_LIST[[#This Row],[LS_TOTAL REALIZED GAIN]]+INVESTORS_LIST[[#This Row],[SIP_TOTAL REALIZED GAIN]]</f>
        <v>0</v>
      </c>
      <c r="AQ461" s="6">
        <f>INVESTORS_LIST[[#This Row],[TOTAL MARKET VALUE]]-INVESTORS_LIST[[#This Row],[TOTAL COST VALUE OF CURRENT INVESTMENT]]</f>
        <v>0</v>
      </c>
      <c r="AR461" s="6">
        <f>SUMIFS(DivAndTax[Tax Amount],DivAndTax[Investor ID],INVESTORS_LIST[[#This Row],[INVESTOR CODE]])</f>
        <v>0</v>
      </c>
      <c r="AS461" s="6">
        <f>SUMIFS(DivAndTax[Gross Dividend],DivAndTax[Investor ID],INVESTORS_LIST[[#This Row],[INVESTOR CODE]])</f>
        <v>0</v>
      </c>
      <c r="AT461" s="5">
        <f>IFERROR(INVESTORS_LIST[[#This Row],[TOTAL CURRENT UNITS]]/SUM(INVESTORS_LIST[TOTAL CURRENT UNITS]),0)</f>
        <v>0</v>
      </c>
    </row>
    <row r="462" spans="1:46" hidden="1">
      <c r="A462" t="s">
        <v>1027</v>
      </c>
      <c r="B462" t="s">
        <v>1028</v>
      </c>
      <c r="C462" t="s">
        <v>539</v>
      </c>
      <c r="D462" s="8" t="s">
        <v>2</v>
      </c>
      <c r="E462" s="2">
        <f>SUMIFS(LS[Unit],LS[Investor ID],INVESTORS_LIST[[#This Row],[INVESTOR CODE]],LS[B/S],"B")</f>
        <v>0</v>
      </c>
      <c r="F462" s="2">
        <f>-SUMIFS(LS[Unit],LS[Investor ID],INVESTORS_LIST[[#This Row],[INVESTOR CODE]],LS[B/S],"S")</f>
        <v>0</v>
      </c>
      <c r="G462" s="2">
        <f>IF(INVESTORS_LIST[[#This Row],[LS_TOTAL UNITS BUY]]=0,0,INVESTORS_LIST[[#This Row],[LS_TOTAL UNITS BUY]]-INVESTORS_LIST[[#This Row],[LS_TOTAL UNITS SOLD]])</f>
        <v>0</v>
      </c>
      <c r="H462" s="4">
        <f>IF(INVESTORS_LIST[[#This Row],[LS_TOTAL UNITS BUY]]=0,0,SUMIFS(LS[Amount],LS[Investor ID],INVESTORS_LIST[[#This Row],[INVESTOR CODE]],LS[B/S],"B"))</f>
        <v>0</v>
      </c>
      <c r="I462" s="6">
        <f>IF(INVESTORS_LIST[[#This Row],[LS_TOTAL UNITS SOLD]]=0,0,SUMIFS(LS[Cost of Units Sold],LS[Investor ID],INVESTORS_LIST[[#This Row],[INVESTOR CODE]],LS[B/S],"S"))</f>
        <v>0</v>
      </c>
      <c r="J462" s="6">
        <f>IF(INVESTORS_LIST[[#This Row],[LS_TOTAL CURRENT UNITS]]=0,0,INVESTORS_LIST[[#This Row],[LS_TOTAL CURRENT UNITS]]*INVESTORS_LIST[[#This Row],[LS_AVERAGE COST]])</f>
        <v>0</v>
      </c>
      <c r="K462" s="4">
        <f>IF(INVESTORS_LIST[[#This Row],[LS_TOTAL UNITS SOLD]]=0,0,SUMIFS(LS[Realized Gain],LS[Investor ID],INVESTORS_LIST[[#This Row],[INVESTOR CODE]],LS[B/S],"S"))</f>
        <v>0</v>
      </c>
      <c r="L462" s="2">
        <f>SUMIFS(SIP[Unit],SIP[Investor ID],INVESTORS_LIST[[#This Row],[INVESTOR CODE]],SIP[B/S],"B")</f>
        <v>0</v>
      </c>
      <c r="M462" s="2">
        <f>-SUMIFS(SIP[Unit],SIP[Investor ID],INVESTORS_LIST[[#This Row],[INVESTOR CODE]],SIP[B/S],"S")</f>
        <v>0</v>
      </c>
      <c r="N462" s="33">
        <f>IF(INVESTORS_LIST[[#This Row],[SIP_TOTAL UNITS BUY]]=0,0,INVESTORS_LIST[[#This Row],[SIP_TOTAL UNITS BUY]]-INVESTORS_LIST[[#This Row],[SIP_TOTAL UNITS SOLD]])</f>
        <v>0</v>
      </c>
      <c r="O462" s="4">
        <f>IF(INVESTORS_LIST[[#This Row],[SIP_TOTAL UNITS BUY]]=0,0,SUMIFS(SIP[Amount],SIP[Investor ID],INVESTORS_LIST[[#This Row],[INVESTOR CODE]],SIP[B/S],"B"))</f>
        <v>0</v>
      </c>
      <c r="P462" s="4">
        <f>IF(INVESTORS_LIST[[#This Row],[SIP_TOTAL UNITS SOLD]]=0,0,SUMIFS(SIP[Cost of Units Sold],SIP[Investor ID],INVESTORS_LIST[[#This Row],[INVESTOR CODE]],SIP[B/S],"S"))</f>
        <v>0</v>
      </c>
      <c r="Q462" s="6">
        <f>IF(INVESTORS_LIST[[#This Row],[SIP_TOTAL CURRENT UNITS]]=0,0,INVESTORS_LIST[[#This Row],[SIP_TOTAL CURRENT UNITS]]*INVESTORS_LIST[[#This Row],[SIP_AVERAGE COST]])</f>
        <v>0</v>
      </c>
      <c r="R462" s="6">
        <f>IF(INVESTORS_LIST[[#This Row],[SIP_TOTAL UNITS SOLD]]=0,0,SUMIFS(SIP[Realized Gain],SIP[Investor ID],INVESTORS_LIST[[#This Row],[INVESTOR CODE]],SIP[B/S],"S"))</f>
        <v>0</v>
      </c>
      <c r="S462" s="33">
        <f>INVESTORS_LIST[[#This Row],[LS_TOTAL UNITS BUY]]+INVESTORS_LIST[[#This Row],[SIP_TOTAL UNITS BUY]]</f>
        <v>0</v>
      </c>
      <c r="T462" s="33">
        <f>INVESTORS_LIST[[#This Row],[LS_TOTAL UNITS SOLD]]+INVESTORS_LIST[[#This Row],[SIP_TOTAL UNITS SOLD]]</f>
        <v>0</v>
      </c>
      <c r="U462" s="33">
        <v>0</v>
      </c>
      <c r="V462" s="33">
        <f>SUMIFS(LS[BO UNIT TRANSFER],LS[Investor ID],INVESTORS_LIST[[#This Row],[INVESTOR CODE]],LS[B/S],"B")</f>
        <v>0</v>
      </c>
      <c r="W462" s="33">
        <f>SUMIFS(LS[BO UNIT TRANSFER],LS[Investor ID],INVESTORS_LIST[[#This Row],[INVESTOR CODE]],LS[B/S],"S")</f>
        <v>0</v>
      </c>
      <c r="X462" s="33">
        <f>SUMIFS(SIP[BO UNIT TRANSFER],SIP[Investor ID],INVESTORS_LIST[[#This Row],[INVESTOR CODE]],SIP[B/S],"S")</f>
        <v>0</v>
      </c>
      <c r="Y462" s="33">
        <f>SUMIFS(SIP[BO UNIT TRANSFER],SIP[Investor ID],INVESTORS_LIST[[#This Row],[INVESTOR CODE]],SIP[B/S],"B")</f>
        <v>0</v>
      </c>
      <c r="Z46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62" s="119">
        <f>INVESTORS_LIST[[#This Row],[TOTAL UNITS BUY]]-INVESTORS_LIST[[#This Row],[TOTAL UNITS SOLD]]</f>
        <v>0</v>
      </c>
      <c r="AB462" s="119">
        <f>INVESTORS_LIST[[#This Row],[TOTAL CURRENT UNITS]]-INVESTORS_LIST[[#This Row],[BO UNITS HOLD]]</f>
        <v>0</v>
      </c>
      <c r="AC462" s="119" t="e">
        <f>INDEX([4]!Table_1[BO ID],MATCH(INVESTORS_LIST[[#This Row],[INVESTOR CODE]],[4]!Table_1[INVESTOR CODE],0))</f>
        <v>#REF!</v>
      </c>
      <c r="AD462" s="33">
        <f>INVESTORS_LIST[[#This Row],[LS_TOTAL COST VALUE OF CURRENT UNITS]]+INVESTORS_LIST[[#This Row],[SIP_TOTAL COST VALUE OF CURRENT UNITS]]</f>
        <v>0</v>
      </c>
      <c r="AE462" s="44">
        <f>IF(INVESTORS_LIST[[#This Row],[TOTAL CURRENT UNITS]]=0,0,INVESTORS_LIST[[#This Row],[LS_TOTAL CURRENT UNITS]]/INVESTORS_LIST[[#This Row],[TOTAL CURRENT UNITS]])</f>
        <v>0</v>
      </c>
      <c r="AF462" s="44">
        <f>IF(INVESTORS_LIST[[#This Row],[TOTAL CURRENT UNITS]]=0,0,INVESTORS_LIST[[#This Row],[SIP_TOTAL CURRENT UNITS]]/INVESTORS_LIST[[#This Row],[TOTAL CURRENT UNITS]])</f>
        <v>0</v>
      </c>
      <c r="AG462" s="4" cm="1">
        <f t="array" ref="AG46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62" s="4" cm="1">
        <f t="array" ref="AH4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6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62" s="178">
        <f t="shared" si="7"/>
        <v>12.552</v>
      </c>
      <c r="AK462" s="118">
        <f>IF(INVESTORS_LIST[[#This Row],[TOTAL CURRENT UNITS]]=0,0,INVESTORS_LIST[[#This Row],[TOTAL CURRENT UNITS]]*INVESTORS_LIST[[#This Row],[NAV]])</f>
        <v>0</v>
      </c>
      <c r="AL462" s="4">
        <f>IF(INVESTORS_LIST[[#This Row],[LS_TOTAL CURRENT UNITS]]=0,0,INVESTORS_LIST[[#This Row],[LS_TOTAL CURRENT UNITS]]*INVESTORS_LIST[[#This Row],[NAV]])</f>
        <v>0</v>
      </c>
      <c r="AM462" s="6">
        <f>IF(INVESTORS_LIST[[#This Row],[SIP_TOTAL CURRENT UNITS]]=0,0,INVESTORS_LIST[[#This Row],[SIP_TOTAL CURRENT UNITS]]*INVESTORS_LIST[[#This Row],[NAV]])</f>
        <v>0</v>
      </c>
      <c r="AO462" s="6">
        <f>IF(INVESTORS_LIST[[#This Row],[TOTAL SELLABLE UNITS]]=0,0,INVESTORS_LIST[[#This Row],[TOTAL SELLABLE UNITS]]*INVESTORS_LIST[[#This Row],[NAV]])</f>
        <v>0</v>
      </c>
      <c r="AP462" s="6">
        <f>INVESTORS_LIST[[#This Row],[LS_TOTAL REALIZED GAIN]]+INVESTORS_LIST[[#This Row],[SIP_TOTAL REALIZED GAIN]]</f>
        <v>0</v>
      </c>
      <c r="AQ462" s="6">
        <f>INVESTORS_LIST[[#This Row],[TOTAL MARKET VALUE]]-INVESTORS_LIST[[#This Row],[TOTAL COST VALUE OF CURRENT INVESTMENT]]</f>
        <v>0</v>
      </c>
      <c r="AR462" s="6">
        <f>SUMIFS(DivAndTax[Tax Amount],DivAndTax[Investor ID],INVESTORS_LIST[[#This Row],[INVESTOR CODE]])</f>
        <v>0</v>
      </c>
      <c r="AS462" s="6">
        <f>SUMIFS(DivAndTax[Gross Dividend],DivAndTax[Investor ID],INVESTORS_LIST[[#This Row],[INVESTOR CODE]])</f>
        <v>0</v>
      </c>
      <c r="AT462" s="5">
        <f>IFERROR(INVESTORS_LIST[[#This Row],[TOTAL CURRENT UNITS]]/SUM(INVESTORS_LIST[TOTAL CURRENT UNITS]),0)</f>
        <v>0</v>
      </c>
    </row>
    <row r="463" spans="1:46" hidden="1">
      <c r="A463" t="s">
        <v>1029</v>
      </c>
      <c r="B463" t="s">
        <v>1030</v>
      </c>
      <c r="C463" t="s">
        <v>539</v>
      </c>
      <c r="D463" s="8" t="s">
        <v>2</v>
      </c>
      <c r="E463" s="2">
        <f>SUMIFS(LS[Unit],LS[Investor ID],INVESTORS_LIST[[#This Row],[INVESTOR CODE]],LS[B/S],"B")</f>
        <v>0</v>
      </c>
      <c r="F463" s="2">
        <f>-SUMIFS(LS[Unit],LS[Investor ID],INVESTORS_LIST[[#This Row],[INVESTOR CODE]],LS[B/S],"S")</f>
        <v>0</v>
      </c>
      <c r="G463" s="2">
        <f>IF(INVESTORS_LIST[[#This Row],[LS_TOTAL UNITS BUY]]=0,0,INVESTORS_LIST[[#This Row],[LS_TOTAL UNITS BUY]]-INVESTORS_LIST[[#This Row],[LS_TOTAL UNITS SOLD]])</f>
        <v>0</v>
      </c>
      <c r="H463" s="4">
        <f>IF(INVESTORS_LIST[[#This Row],[LS_TOTAL UNITS BUY]]=0,0,SUMIFS(LS[Amount],LS[Investor ID],INVESTORS_LIST[[#This Row],[INVESTOR CODE]],LS[B/S],"B"))</f>
        <v>0</v>
      </c>
      <c r="I463" s="6">
        <f>IF(INVESTORS_LIST[[#This Row],[LS_TOTAL UNITS SOLD]]=0,0,SUMIFS(LS[Cost of Units Sold],LS[Investor ID],INVESTORS_LIST[[#This Row],[INVESTOR CODE]],LS[B/S],"S"))</f>
        <v>0</v>
      </c>
      <c r="J463" s="6">
        <f>IF(INVESTORS_LIST[[#This Row],[LS_TOTAL CURRENT UNITS]]=0,0,INVESTORS_LIST[[#This Row],[LS_TOTAL CURRENT UNITS]]*INVESTORS_LIST[[#This Row],[LS_AVERAGE COST]])</f>
        <v>0</v>
      </c>
      <c r="K463" s="4">
        <f>IF(INVESTORS_LIST[[#This Row],[LS_TOTAL UNITS SOLD]]=0,0,SUMIFS(LS[Realized Gain],LS[Investor ID],INVESTORS_LIST[[#This Row],[INVESTOR CODE]],LS[B/S],"S"))</f>
        <v>0</v>
      </c>
      <c r="L463" s="2">
        <f>SUMIFS(SIP[Unit],SIP[Investor ID],INVESTORS_LIST[[#This Row],[INVESTOR CODE]],SIP[B/S],"B")</f>
        <v>0</v>
      </c>
      <c r="M463" s="2">
        <f>-SUMIFS(SIP[Unit],SIP[Investor ID],INVESTORS_LIST[[#This Row],[INVESTOR CODE]],SIP[B/S],"S")</f>
        <v>0</v>
      </c>
      <c r="N463" s="33">
        <f>IF(INVESTORS_LIST[[#This Row],[SIP_TOTAL UNITS BUY]]=0,0,INVESTORS_LIST[[#This Row],[SIP_TOTAL UNITS BUY]]-INVESTORS_LIST[[#This Row],[SIP_TOTAL UNITS SOLD]])</f>
        <v>0</v>
      </c>
      <c r="O463" s="4">
        <f>IF(INVESTORS_LIST[[#This Row],[SIP_TOTAL UNITS BUY]]=0,0,SUMIFS(SIP[Amount],SIP[Investor ID],INVESTORS_LIST[[#This Row],[INVESTOR CODE]],SIP[B/S],"B"))</f>
        <v>0</v>
      </c>
      <c r="P463" s="4">
        <f>IF(INVESTORS_LIST[[#This Row],[SIP_TOTAL UNITS SOLD]]=0,0,SUMIFS(SIP[Cost of Units Sold],SIP[Investor ID],INVESTORS_LIST[[#This Row],[INVESTOR CODE]],SIP[B/S],"S"))</f>
        <v>0</v>
      </c>
      <c r="Q463" s="6">
        <f>IF(INVESTORS_LIST[[#This Row],[SIP_TOTAL CURRENT UNITS]]=0,0,INVESTORS_LIST[[#This Row],[SIP_TOTAL CURRENT UNITS]]*INVESTORS_LIST[[#This Row],[SIP_AVERAGE COST]])</f>
        <v>0</v>
      </c>
      <c r="R463" s="6">
        <f>IF(INVESTORS_LIST[[#This Row],[SIP_TOTAL UNITS SOLD]]=0,0,SUMIFS(SIP[Realized Gain],SIP[Investor ID],INVESTORS_LIST[[#This Row],[INVESTOR CODE]],SIP[B/S],"S"))</f>
        <v>0</v>
      </c>
      <c r="S463" s="33">
        <f>INVESTORS_LIST[[#This Row],[LS_TOTAL UNITS BUY]]+INVESTORS_LIST[[#This Row],[SIP_TOTAL UNITS BUY]]</f>
        <v>0</v>
      </c>
      <c r="T463" s="33">
        <f>INVESTORS_LIST[[#This Row],[LS_TOTAL UNITS SOLD]]+INVESTORS_LIST[[#This Row],[SIP_TOTAL UNITS SOLD]]</f>
        <v>0</v>
      </c>
      <c r="U463" s="33">
        <v>0</v>
      </c>
      <c r="V463" s="33">
        <f>SUMIFS(LS[BO UNIT TRANSFER],LS[Investor ID],INVESTORS_LIST[[#This Row],[INVESTOR CODE]],LS[B/S],"B")</f>
        <v>0</v>
      </c>
      <c r="W463" s="33">
        <f>SUMIFS(LS[BO UNIT TRANSFER],LS[Investor ID],INVESTORS_LIST[[#This Row],[INVESTOR CODE]],LS[B/S],"S")</f>
        <v>0</v>
      </c>
      <c r="X463" s="33">
        <f>SUMIFS(SIP[BO UNIT TRANSFER],SIP[Investor ID],INVESTORS_LIST[[#This Row],[INVESTOR CODE]],SIP[B/S],"S")</f>
        <v>0</v>
      </c>
      <c r="Y463" s="33">
        <f>SUMIFS(SIP[BO UNIT TRANSFER],SIP[Investor ID],INVESTORS_LIST[[#This Row],[INVESTOR CODE]],SIP[B/S],"B")</f>
        <v>0</v>
      </c>
      <c r="Z46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63" s="119">
        <f>INVESTORS_LIST[[#This Row],[TOTAL UNITS BUY]]-INVESTORS_LIST[[#This Row],[TOTAL UNITS SOLD]]</f>
        <v>0</v>
      </c>
      <c r="AB463" s="119">
        <f>INVESTORS_LIST[[#This Row],[TOTAL CURRENT UNITS]]-INVESTORS_LIST[[#This Row],[BO UNITS HOLD]]</f>
        <v>0</v>
      </c>
      <c r="AC463" s="119" t="e">
        <f>INDEX([4]!Table_1[BO ID],MATCH(INVESTORS_LIST[[#This Row],[INVESTOR CODE]],[4]!Table_1[INVESTOR CODE],0))</f>
        <v>#REF!</v>
      </c>
      <c r="AD463" s="33">
        <f>INVESTORS_LIST[[#This Row],[LS_TOTAL COST VALUE OF CURRENT UNITS]]+INVESTORS_LIST[[#This Row],[SIP_TOTAL COST VALUE OF CURRENT UNITS]]</f>
        <v>0</v>
      </c>
      <c r="AE463" s="44">
        <f>IF(INVESTORS_LIST[[#This Row],[TOTAL CURRENT UNITS]]=0,0,INVESTORS_LIST[[#This Row],[LS_TOTAL CURRENT UNITS]]/INVESTORS_LIST[[#This Row],[TOTAL CURRENT UNITS]])</f>
        <v>0</v>
      </c>
      <c r="AF463" s="44">
        <f>IF(INVESTORS_LIST[[#This Row],[TOTAL CURRENT UNITS]]=0,0,INVESTORS_LIST[[#This Row],[SIP_TOTAL CURRENT UNITS]]/INVESTORS_LIST[[#This Row],[TOTAL CURRENT UNITS]])</f>
        <v>0</v>
      </c>
      <c r="AG463" s="4" cm="1">
        <f t="array" ref="AG46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63" s="4" cm="1">
        <f t="array" ref="AH4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6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63" s="178">
        <f t="shared" ref="AJ463:AJ469" si="8">NAV_MKT</f>
        <v>12.552</v>
      </c>
      <c r="AK463" s="118">
        <f>IF(INVESTORS_LIST[[#This Row],[TOTAL CURRENT UNITS]]=0,0,INVESTORS_LIST[[#This Row],[TOTAL CURRENT UNITS]]*INVESTORS_LIST[[#This Row],[NAV]])</f>
        <v>0</v>
      </c>
      <c r="AL463" s="4">
        <f>IF(INVESTORS_LIST[[#This Row],[LS_TOTAL CURRENT UNITS]]=0,0,INVESTORS_LIST[[#This Row],[LS_TOTAL CURRENT UNITS]]*INVESTORS_LIST[[#This Row],[NAV]])</f>
        <v>0</v>
      </c>
      <c r="AM463" s="6">
        <f>IF(INVESTORS_LIST[[#This Row],[SIP_TOTAL CURRENT UNITS]]=0,0,INVESTORS_LIST[[#This Row],[SIP_TOTAL CURRENT UNITS]]*INVESTORS_LIST[[#This Row],[NAV]])</f>
        <v>0</v>
      </c>
      <c r="AO463" s="6">
        <f>IF(INVESTORS_LIST[[#This Row],[TOTAL SELLABLE UNITS]]=0,0,INVESTORS_LIST[[#This Row],[TOTAL SELLABLE UNITS]]*INVESTORS_LIST[[#This Row],[NAV]])</f>
        <v>0</v>
      </c>
      <c r="AP463" s="6">
        <f>INVESTORS_LIST[[#This Row],[LS_TOTAL REALIZED GAIN]]+INVESTORS_LIST[[#This Row],[SIP_TOTAL REALIZED GAIN]]</f>
        <v>0</v>
      </c>
      <c r="AQ463" s="6">
        <f>INVESTORS_LIST[[#This Row],[TOTAL MARKET VALUE]]-INVESTORS_LIST[[#This Row],[TOTAL COST VALUE OF CURRENT INVESTMENT]]</f>
        <v>0</v>
      </c>
      <c r="AR463" s="6">
        <f>SUMIFS(DivAndTax[Tax Amount],DivAndTax[Investor ID],INVESTORS_LIST[[#This Row],[INVESTOR CODE]])</f>
        <v>0</v>
      </c>
      <c r="AS463" s="6">
        <f>SUMIFS(DivAndTax[Gross Dividend],DivAndTax[Investor ID],INVESTORS_LIST[[#This Row],[INVESTOR CODE]])</f>
        <v>0</v>
      </c>
      <c r="AT463" s="5">
        <f>IFERROR(INVESTORS_LIST[[#This Row],[TOTAL CURRENT UNITS]]/SUM(INVESTORS_LIST[TOTAL CURRENT UNITS]),0)</f>
        <v>0</v>
      </c>
    </row>
    <row r="464" spans="1:46" hidden="1">
      <c r="A464" t="s">
        <v>1031</v>
      </c>
      <c r="B464" t="s">
        <v>1032</v>
      </c>
      <c r="C464" t="s">
        <v>536</v>
      </c>
      <c r="D464" s="8" t="s">
        <v>2</v>
      </c>
      <c r="E464" s="2">
        <f>SUMIFS(LS[Unit],LS[Investor ID],INVESTORS_LIST[[#This Row],[INVESTOR CODE]],LS[B/S],"B")</f>
        <v>0</v>
      </c>
      <c r="F464" s="2">
        <f>-SUMIFS(LS[Unit],LS[Investor ID],INVESTORS_LIST[[#This Row],[INVESTOR CODE]],LS[B/S],"S")</f>
        <v>0</v>
      </c>
      <c r="G464" s="2">
        <f>IF(INVESTORS_LIST[[#This Row],[LS_TOTAL UNITS BUY]]=0,0,INVESTORS_LIST[[#This Row],[LS_TOTAL UNITS BUY]]-INVESTORS_LIST[[#This Row],[LS_TOTAL UNITS SOLD]])</f>
        <v>0</v>
      </c>
      <c r="H464" s="4">
        <f>IF(INVESTORS_LIST[[#This Row],[LS_TOTAL UNITS BUY]]=0,0,SUMIFS(LS[Amount],LS[Investor ID],INVESTORS_LIST[[#This Row],[INVESTOR CODE]],LS[B/S],"B"))</f>
        <v>0</v>
      </c>
      <c r="I464" s="6">
        <f>IF(INVESTORS_LIST[[#This Row],[LS_TOTAL UNITS SOLD]]=0,0,SUMIFS(LS[Cost of Units Sold],LS[Investor ID],INVESTORS_LIST[[#This Row],[INVESTOR CODE]],LS[B/S],"S"))</f>
        <v>0</v>
      </c>
      <c r="J464" s="6">
        <f>IF(INVESTORS_LIST[[#This Row],[LS_TOTAL CURRENT UNITS]]=0,0,INVESTORS_LIST[[#This Row],[LS_TOTAL CURRENT UNITS]]*INVESTORS_LIST[[#This Row],[LS_AVERAGE COST]])</f>
        <v>0</v>
      </c>
      <c r="K464" s="4">
        <f>IF(INVESTORS_LIST[[#This Row],[LS_TOTAL UNITS SOLD]]=0,0,SUMIFS(LS[Realized Gain],LS[Investor ID],INVESTORS_LIST[[#This Row],[INVESTOR CODE]],LS[B/S],"S"))</f>
        <v>0</v>
      </c>
      <c r="L464" s="2">
        <f>SUMIFS(SIP[Unit],SIP[Investor ID],INVESTORS_LIST[[#This Row],[INVESTOR CODE]],SIP[B/S],"B")</f>
        <v>0</v>
      </c>
      <c r="M464" s="2">
        <f>-SUMIFS(SIP[Unit],SIP[Investor ID],INVESTORS_LIST[[#This Row],[INVESTOR CODE]],SIP[B/S],"S")</f>
        <v>0</v>
      </c>
      <c r="N464" s="33">
        <f>IF(INVESTORS_LIST[[#This Row],[SIP_TOTAL UNITS BUY]]=0,0,INVESTORS_LIST[[#This Row],[SIP_TOTAL UNITS BUY]]-INVESTORS_LIST[[#This Row],[SIP_TOTAL UNITS SOLD]])</f>
        <v>0</v>
      </c>
      <c r="O464" s="4">
        <f>IF(INVESTORS_LIST[[#This Row],[SIP_TOTAL UNITS BUY]]=0,0,SUMIFS(SIP[Amount],SIP[Investor ID],INVESTORS_LIST[[#This Row],[INVESTOR CODE]],SIP[B/S],"B"))</f>
        <v>0</v>
      </c>
      <c r="P464" s="4">
        <f>IF(INVESTORS_LIST[[#This Row],[SIP_TOTAL UNITS SOLD]]=0,0,SUMIFS(SIP[Cost of Units Sold],SIP[Investor ID],INVESTORS_LIST[[#This Row],[INVESTOR CODE]],SIP[B/S],"S"))</f>
        <v>0</v>
      </c>
      <c r="Q464" s="6">
        <f>IF(INVESTORS_LIST[[#This Row],[SIP_TOTAL CURRENT UNITS]]=0,0,INVESTORS_LIST[[#This Row],[SIP_TOTAL CURRENT UNITS]]*INVESTORS_LIST[[#This Row],[SIP_AVERAGE COST]])</f>
        <v>0</v>
      </c>
      <c r="R464" s="6">
        <f>IF(INVESTORS_LIST[[#This Row],[SIP_TOTAL UNITS SOLD]]=0,0,SUMIFS(SIP[Realized Gain],SIP[Investor ID],INVESTORS_LIST[[#This Row],[INVESTOR CODE]],SIP[B/S],"S"))</f>
        <v>0</v>
      </c>
      <c r="S464" s="33">
        <f>INVESTORS_LIST[[#This Row],[LS_TOTAL UNITS BUY]]+INVESTORS_LIST[[#This Row],[SIP_TOTAL UNITS BUY]]</f>
        <v>0</v>
      </c>
      <c r="T464" s="33">
        <f>INVESTORS_LIST[[#This Row],[LS_TOTAL UNITS SOLD]]+INVESTORS_LIST[[#This Row],[SIP_TOTAL UNITS SOLD]]</f>
        <v>0</v>
      </c>
      <c r="U464" s="33">
        <v>0</v>
      </c>
      <c r="V464" s="33">
        <f>SUMIFS(LS[BO UNIT TRANSFER],LS[Investor ID],INVESTORS_LIST[[#This Row],[INVESTOR CODE]],LS[B/S],"B")</f>
        <v>0</v>
      </c>
      <c r="W464" s="33">
        <f>SUMIFS(LS[BO UNIT TRANSFER],LS[Investor ID],INVESTORS_LIST[[#This Row],[INVESTOR CODE]],LS[B/S],"S")</f>
        <v>0</v>
      </c>
      <c r="X464" s="33">
        <f>SUMIFS(SIP[BO UNIT TRANSFER],SIP[Investor ID],INVESTORS_LIST[[#This Row],[INVESTOR CODE]],SIP[B/S],"S")</f>
        <v>0</v>
      </c>
      <c r="Y464" s="33">
        <f>SUMIFS(SIP[BO UNIT TRANSFER],SIP[Investor ID],INVESTORS_LIST[[#This Row],[INVESTOR CODE]],SIP[B/S],"B")</f>
        <v>0</v>
      </c>
      <c r="Z46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64" s="119">
        <f>INVESTORS_LIST[[#This Row],[TOTAL UNITS BUY]]-INVESTORS_LIST[[#This Row],[TOTAL UNITS SOLD]]</f>
        <v>0</v>
      </c>
      <c r="AB464" s="119">
        <f>INVESTORS_LIST[[#This Row],[TOTAL CURRENT UNITS]]-INVESTORS_LIST[[#This Row],[BO UNITS HOLD]]</f>
        <v>0</v>
      </c>
      <c r="AC464" s="119" t="e">
        <f>INDEX([4]!Table_1[BO ID],MATCH(INVESTORS_LIST[[#This Row],[INVESTOR CODE]],[4]!Table_1[INVESTOR CODE],0))</f>
        <v>#REF!</v>
      </c>
      <c r="AD464" s="33">
        <f>INVESTORS_LIST[[#This Row],[LS_TOTAL COST VALUE OF CURRENT UNITS]]+INVESTORS_LIST[[#This Row],[SIP_TOTAL COST VALUE OF CURRENT UNITS]]</f>
        <v>0</v>
      </c>
      <c r="AE464" s="44">
        <f>IF(INVESTORS_LIST[[#This Row],[TOTAL CURRENT UNITS]]=0,0,INVESTORS_LIST[[#This Row],[LS_TOTAL CURRENT UNITS]]/INVESTORS_LIST[[#This Row],[TOTAL CURRENT UNITS]])</f>
        <v>0</v>
      </c>
      <c r="AF464" s="44">
        <f>IF(INVESTORS_LIST[[#This Row],[TOTAL CURRENT UNITS]]=0,0,INVESTORS_LIST[[#This Row],[SIP_TOTAL CURRENT UNITS]]/INVESTORS_LIST[[#This Row],[TOTAL CURRENT UNITS]])</f>
        <v>0</v>
      </c>
      <c r="AG464" s="4" cm="1">
        <f t="array" ref="AG46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64" s="4" cm="1">
        <f t="array" ref="AH46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6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64" s="178">
        <f t="shared" si="8"/>
        <v>12.552</v>
      </c>
      <c r="AK464" s="118">
        <f>IF(INVESTORS_LIST[[#This Row],[TOTAL CURRENT UNITS]]=0,0,INVESTORS_LIST[[#This Row],[TOTAL CURRENT UNITS]]*INVESTORS_LIST[[#This Row],[NAV]])</f>
        <v>0</v>
      </c>
      <c r="AL464" s="4">
        <f>IF(INVESTORS_LIST[[#This Row],[LS_TOTAL CURRENT UNITS]]=0,0,INVESTORS_LIST[[#This Row],[LS_TOTAL CURRENT UNITS]]*INVESTORS_LIST[[#This Row],[NAV]])</f>
        <v>0</v>
      </c>
      <c r="AM464" s="6">
        <f>IF(INVESTORS_LIST[[#This Row],[SIP_TOTAL CURRENT UNITS]]=0,0,INVESTORS_LIST[[#This Row],[SIP_TOTAL CURRENT UNITS]]*INVESTORS_LIST[[#This Row],[NAV]])</f>
        <v>0</v>
      </c>
      <c r="AO464" s="6">
        <f>IF(INVESTORS_LIST[[#This Row],[TOTAL SELLABLE UNITS]]=0,0,INVESTORS_LIST[[#This Row],[TOTAL SELLABLE UNITS]]*INVESTORS_LIST[[#This Row],[NAV]])</f>
        <v>0</v>
      </c>
      <c r="AP464" s="6">
        <f>INVESTORS_LIST[[#This Row],[LS_TOTAL REALIZED GAIN]]+INVESTORS_LIST[[#This Row],[SIP_TOTAL REALIZED GAIN]]</f>
        <v>0</v>
      </c>
      <c r="AQ464" s="6">
        <f>INVESTORS_LIST[[#This Row],[TOTAL MARKET VALUE]]-INVESTORS_LIST[[#This Row],[TOTAL COST VALUE OF CURRENT INVESTMENT]]</f>
        <v>0</v>
      </c>
      <c r="AR464" s="6">
        <f>SUMIFS(DivAndTax[Tax Amount],DivAndTax[Investor ID],INVESTORS_LIST[[#This Row],[INVESTOR CODE]])</f>
        <v>0</v>
      </c>
      <c r="AS464" s="6">
        <f>SUMIFS(DivAndTax[Gross Dividend],DivAndTax[Investor ID],INVESTORS_LIST[[#This Row],[INVESTOR CODE]])</f>
        <v>0</v>
      </c>
      <c r="AT464" s="5">
        <f>IFERROR(INVESTORS_LIST[[#This Row],[TOTAL CURRENT UNITS]]/SUM(INVESTORS_LIST[TOTAL CURRENT UNITS]),0)</f>
        <v>0</v>
      </c>
    </row>
    <row r="465" spans="1:46" hidden="1">
      <c r="A465" t="s">
        <v>1033</v>
      </c>
      <c r="B465" t="s">
        <v>1034</v>
      </c>
      <c r="C465" t="s">
        <v>537</v>
      </c>
      <c r="D465" s="8" t="s">
        <v>8</v>
      </c>
      <c r="E465" s="2">
        <f>SUMIFS(LS[Unit],LS[Investor ID],INVESTORS_LIST[[#This Row],[INVESTOR CODE]],LS[B/S],"B")</f>
        <v>0</v>
      </c>
      <c r="F465" s="2">
        <f>-SUMIFS(LS[Unit],LS[Investor ID],INVESTORS_LIST[[#This Row],[INVESTOR CODE]],LS[B/S],"S")</f>
        <v>0</v>
      </c>
      <c r="G465" s="2">
        <f>IF(INVESTORS_LIST[[#This Row],[LS_TOTAL UNITS BUY]]=0,0,INVESTORS_LIST[[#This Row],[LS_TOTAL UNITS BUY]]-INVESTORS_LIST[[#This Row],[LS_TOTAL UNITS SOLD]])</f>
        <v>0</v>
      </c>
      <c r="H465" s="4">
        <f>IF(INVESTORS_LIST[[#This Row],[LS_TOTAL UNITS BUY]]=0,0,SUMIFS(LS[Amount],LS[Investor ID],INVESTORS_LIST[[#This Row],[INVESTOR CODE]],LS[B/S],"B"))</f>
        <v>0</v>
      </c>
      <c r="I465" s="6">
        <f>IF(INVESTORS_LIST[[#This Row],[LS_TOTAL UNITS SOLD]]=0,0,SUMIFS(LS[Cost of Units Sold],LS[Investor ID],INVESTORS_LIST[[#This Row],[INVESTOR CODE]],LS[B/S],"S"))</f>
        <v>0</v>
      </c>
      <c r="J465" s="6">
        <f>IF(INVESTORS_LIST[[#This Row],[LS_TOTAL CURRENT UNITS]]=0,0,INVESTORS_LIST[[#This Row],[LS_TOTAL CURRENT UNITS]]*INVESTORS_LIST[[#This Row],[LS_AVERAGE COST]])</f>
        <v>0</v>
      </c>
      <c r="K465" s="4">
        <f>IF(INVESTORS_LIST[[#This Row],[LS_TOTAL UNITS SOLD]]=0,0,SUMIFS(LS[Realized Gain],LS[Investor ID],INVESTORS_LIST[[#This Row],[INVESTOR CODE]],LS[B/S],"S"))</f>
        <v>0</v>
      </c>
      <c r="L465" s="2">
        <f>SUMIFS(SIP[Unit],SIP[Investor ID],INVESTORS_LIST[[#This Row],[INVESTOR CODE]],SIP[B/S],"B")</f>
        <v>0</v>
      </c>
      <c r="M465" s="2">
        <f>-SUMIFS(SIP[Unit],SIP[Investor ID],INVESTORS_LIST[[#This Row],[INVESTOR CODE]],SIP[B/S],"S")</f>
        <v>0</v>
      </c>
      <c r="N465" s="33">
        <f>IF(INVESTORS_LIST[[#This Row],[SIP_TOTAL UNITS BUY]]=0,0,INVESTORS_LIST[[#This Row],[SIP_TOTAL UNITS BUY]]-INVESTORS_LIST[[#This Row],[SIP_TOTAL UNITS SOLD]])</f>
        <v>0</v>
      </c>
      <c r="O465" s="4">
        <f>IF(INVESTORS_LIST[[#This Row],[SIP_TOTAL UNITS BUY]]=0,0,SUMIFS(SIP[Amount],SIP[Investor ID],INVESTORS_LIST[[#This Row],[INVESTOR CODE]],SIP[B/S],"B"))</f>
        <v>0</v>
      </c>
      <c r="P465" s="4">
        <f>IF(INVESTORS_LIST[[#This Row],[SIP_TOTAL UNITS SOLD]]=0,0,SUMIFS(SIP[Cost of Units Sold],SIP[Investor ID],INVESTORS_LIST[[#This Row],[INVESTOR CODE]],SIP[B/S],"S"))</f>
        <v>0</v>
      </c>
      <c r="Q465" s="6">
        <f>IF(INVESTORS_LIST[[#This Row],[SIP_TOTAL CURRENT UNITS]]=0,0,INVESTORS_LIST[[#This Row],[SIP_TOTAL CURRENT UNITS]]*INVESTORS_LIST[[#This Row],[SIP_AVERAGE COST]])</f>
        <v>0</v>
      </c>
      <c r="R465" s="6">
        <f>IF(INVESTORS_LIST[[#This Row],[SIP_TOTAL UNITS SOLD]]=0,0,SUMIFS(SIP[Realized Gain],SIP[Investor ID],INVESTORS_LIST[[#This Row],[INVESTOR CODE]],SIP[B/S],"S"))</f>
        <v>0</v>
      </c>
      <c r="S465" s="33">
        <f>INVESTORS_LIST[[#This Row],[LS_TOTAL UNITS BUY]]+INVESTORS_LIST[[#This Row],[SIP_TOTAL UNITS BUY]]</f>
        <v>0</v>
      </c>
      <c r="T465" s="33">
        <f>INVESTORS_LIST[[#This Row],[LS_TOTAL UNITS SOLD]]+INVESTORS_LIST[[#This Row],[SIP_TOTAL UNITS SOLD]]</f>
        <v>0</v>
      </c>
      <c r="U465" s="33">
        <v>0</v>
      </c>
      <c r="V465" s="33">
        <f>SUMIFS(LS[BO UNIT TRANSFER],LS[Investor ID],INVESTORS_LIST[[#This Row],[INVESTOR CODE]],LS[B/S],"B")</f>
        <v>0</v>
      </c>
      <c r="W465" s="33">
        <f>SUMIFS(LS[BO UNIT TRANSFER],LS[Investor ID],INVESTORS_LIST[[#This Row],[INVESTOR CODE]],LS[B/S],"S")</f>
        <v>0</v>
      </c>
      <c r="X465" s="33">
        <f>SUMIFS(SIP[BO UNIT TRANSFER],SIP[Investor ID],INVESTORS_LIST[[#This Row],[INVESTOR CODE]],SIP[B/S],"S")</f>
        <v>0</v>
      </c>
      <c r="Y465" s="33">
        <f>SUMIFS(SIP[BO UNIT TRANSFER],SIP[Investor ID],INVESTORS_LIST[[#This Row],[INVESTOR CODE]],SIP[B/S],"B")</f>
        <v>0</v>
      </c>
      <c r="Z46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65" s="119">
        <f>INVESTORS_LIST[[#This Row],[TOTAL UNITS BUY]]-INVESTORS_LIST[[#This Row],[TOTAL UNITS SOLD]]</f>
        <v>0</v>
      </c>
      <c r="AB465" s="119">
        <f>INVESTORS_LIST[[#This Row],[TOTAL CURRENT UNITS]]-INVESTORS_LIST[[#This Row],[BO UNITS HOLD]]</f>
        <v>0</v>
      </c>
      <c r="AC465" s="119" t="e">
        <f>INDEX([4]!Table_1[BO ID],MATCH(INVESTORS_LIST[[#This Row],[INVESTOR CODE]],[4]!Table_1[INVESTOR CODE],0))</f>
        <v>#REF!</v>
      </c>
      <c r="AD465" s="33">
        <f>INVESTORS_LIST[[#This Row],[LS_TOTAL COST VALUE OF CURRENT UNITS]]+INVESTORS_LIST[[#This Row],[SIP_TOTAL COST VALUE OF CURRENT UNITS]]</f>
        <v>0</v>
      </c>
      <c r="AE465" s="44">
        <f>IF(INVESTORS_LIST[[#This Row],[TOTAL CURRENT UNITS]]=0,0,INVESTORS_LIST[[#This Row],[LS_TOTAL CURRENT UNITS]]/INVESTORS_LIST[[#This Row],[TOTAL CURRENT UNITS]])</f>
        <v>0</v>
      </c>
      <c r="AF465" s="44">
        <f>IF(INVESTORS_LIST[[#This Row],[TOTAL CURRENT UNITS]]=0,0,INVESTORS_LIST[[#This Row],[SIP_TOTAL CURRENT UNITS]]/INVESTORS_LIST[[#This Row],[TOTAL CURRENT UNITS]])</f>
        <v>0</v>
      </c>
      <c r="AG465" s="4" cm="1">
        <f t="array" ref="AG46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65" s="4" cm="1">
        <f t="array" ref="AH4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6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65" s="178">
        <f t="shared" si="8"/>
        <v>12.552</v>
      </c>
      <c r="AK465" s="118">
        <f>IF(INVESTORS_LIST[[#This Row],[TOTAL CURRENT UNITS]]=0,0,INVESTORS_LIST[[#This Row],[TOTAL CURRENT UNITS]]*INVESTORS_LIST[[#This Row],[NAV]])</f>
        <v>0</v>
      </c>
      <c r="AL465" s="4">
        <f>IF(INVESTORS_LIST[[#This Row],[LS_TOTAL CURRENT UNITS]]=0,0,INVESTORS_LIST[[#This Row],[LS_TOTAL CURRENT UNITS]]*INVESTORS_LIST[[#This Row],[NAV]])</f>
        <v>0</v>
      </c>
      <c r="AM465" s="6">
        <f>IF(INVESTORS_LIST[[#This Row],[SIP_TOTAL CURRENT UNITS]]=0,0,INVESTORS_LIST[[#This Row],[SIP_TOTAL CURRENT UNITS]]*INVESTORS_LIST[[#This Row],[NAV]])</f>
        <v>0</v>
      </c>
      <c r="AO465" s="6">
        <f>IF(INVESTORS_LIST[[#This Row],[TOTAL SELLABLE UNITS]]=0,0,INVESTORS_LIST[[#This Row],[TOTAL SELLABLE UNITS]]*INVESTORS_LIST[[#This Row],[NAV]])</f>
        <v>0</v>
      </c>
      <c r="AP465" s="6">
        <f>INVESTORS_LIST[[#This Row],[LS_TOTAL REALIZED GAIN]]+INVESTORS_LIST[[#This Row],[SIP_TOTAL REALIZED GAIN]]</f>
        <v>0</v>
      </c>
      <c r="AQ465" s="6">
        <f>INVESTORS_LIST[[#This Row],[TOTAL MARKET VALUE]]-INVESTORS_LIST[[#This Row],[TOTAL COST VALUE OF CURRENT INVESTMENT]]</f>
        <v>0</v>
      </c>
      <c r="AR465" s="6">
        <f>SUMIFS(DivAndTax[Tax Amount],DivAndTax[Investor ID],INVESTORS_LIST[[#This Row],[INVESTOR CODE]])</f>
        <v>0</v>
      </c>
      <c r="AS465" s="6">
        <f>SUMIFS(DivAndTax[Gross Dividend],DivAndTax[Investor ID],INVESTORS_LIST[[#This Row],[INVESTOR CODE]])</f>
        <v>0</v>
      </c>
      <c r="AT465" s="5">
        <f>IFERROR(INVESTORS_LIST[[#This Row],[TOTAL CURRENT UNITS]]/SUM(INVESTORS_LIST[TOTAL CURRENT UNITS]),0)</f>
        <v>0</v>
      </c>
    </row>
    <row r="466" spans="1:46" hidden="1">
      <c r="A466" t="s">
        <v>1035</v>
      </c>
      <c r="B466" t="s">
        <v>1036</v>
      </c>
      <c r="C466" t="s">
        <v>537</v>
      </c>
      <c r="D466" s="8" t="s">
        <v>8</v>
      </c>
      <c r="E466" s="2">
        <f>SUMIFS(LS[Unit],LS[Investor ID],INVESTORS_LIST[[#This Row],[INVESTOR CODE]],LS[B/S],"B")</f>
        <v>400665</v>
      </c>
      <c r="F466" s="2">
        <f>-SUMIFS(LS[Unit],LS[Investor ID],INVESTORS_LIST[[#This Row],[INVESTOR CODE]],LS[B/S],"S")</f>
        <v>400665</v>
      </c>
      <c r="G466" s="2">
        <f>IF(INVESTORS_LIST[[#This Row],[LS_TOTAL UNITS BUY]]=0,0,INVESTORS_LIST[[#This Row],[LS_TOTAL UNITS BUY]]-INVESTORS_LIST[[#This Row],[LS_TOTAL UNITS SOLD]])</f>
        <v>0</v>
      </c>
      <c r="H466" s="4">
        <f>IF(INVESTORS_LIST[[#This Row],[LS_TOTAL UNITS BUY]]=0,0,SUMIFS(LS[Amount],LS[Investor ID],INVESTORS_LIST[[#This Row],[INVESTOR CODE]],LS[B/S],"B"))</f>
        <v>4097404.5</v>
      </c>
      <c r="I466" s="6">
        <f>IF(INVESTORS_LIST[[#This Row],[LS_TOTAL UNITS SOLD]]=0,0,SUMIFS(LS[Cost of Units Sold],LS[Investor ID],INVESTORS_LIST[[#This Row],[INVESTOR CODE]],LS[B/S],"S"))</f>
        <v>4097404.5000000005</v>
      </c>
      <c r="J466" s="6">
        <f>IF(INVESTORS_LIST[[#This Row],[LS_TOTAL CURRENT UNITS]]=0,0,INVESTORS_LIST[[#This Row],[LS_TOTAL CURRENT UNITS]]*INVESTORS_LIST[[#This Row],[LS_AVERAGE COST]])</f>
        <v>0</v>
      </c>
      <c r="K466" s="4">
        <f>IF(INVESTORS_LIST[[#This Row],[LS_TOTAL UNITS SOLD]]=0,0,SUMIFS(LS[Realized Gain],LS[Investor ID],INVESTORS_LIST[[#This Row],[INVESTOR CODE]],LS[B/S],"S"))</f>
        <v>43373.249999999469</v>
      </c>
      <c r="L466" s="2">
        <f>SUMIFS(SIP[Unit],SIP[Investor ID],INVESTORS_LIST[[#This Row],[INVESTOR CODE]],SIP[B/S],"B")</f>
        <v>0</v>
      </c>
      <c r="M466" s="2">
        <f>-SUMIFS(SIP[Unit],SIP[Investor ID],INVESTORS_LIST[[#This Row],[INVESTOR CODE]],SIP[B/S],"S")</f>
        <v>0</v>
      </c>
      <c r="N466" s="33">
        <f>IF(INVESTORS_LIST[[#This Row],[SIP_TOTAL UNITS BUY]]=0,0,INVESTORS_LIST[[#This Row],[SIP_TOTAL UNITS BUY]]-INVESTORS_LIST[[#This Row],[SIP_TOTAL UNITS SOLD]])</f>
        <v>0</v>
      </c>
      <c r="O466" s="4">
        <f>IF(INVESTORS_LIST[[#This Row],[SIP_TOTAL UNITS BUY]]=0,0,SUMIFS(SIP[Amount],SIP[Investor ID],INVESTORS_LIST[[#This Row],[INVESTOR CODE]],SIP[B/S],"B"))</f>
        <v>0</v>
      </c>
      <c r="P466" s="4">
        <f>IF(INVESTORS_LIST[[#This Row],[SIP_TOTAL UNITS SOLD]]=0,0,SUMIFS(SIP[Cost of Units Sold],SIP[Investor ID],INVESTORS_LIST[[#This Row],[INVESTOR CODE]],SIP[B/S],"S"))</f>
        <v>0</v>
      </c>
      <c r="Q466" s="6">
        <f>IF(INVESTORS_LIST[[#This Row],[SIP_TOTAL CURRENT UNITS]]=0,0,INVESTORS_LIST[[#This Row],[SIP_TOTAL CURRENT UNITS]]*INVESTORS_LIST[[#This Row],[SIP_AVERAGE COST]])</f>
        <v>0</v>
      </c>
      <c r="R466" s="6">
        <f>IF(INVESTORS_LIST[[#This Row],[SIP_TOTAL UNITS SOLD]]=0,0,SUMIFS(SIP[Realized Gain],SIP[Investor ID],INVESTORS_LIST[[#This Row],[INVESTOR CODE]],SIP[B/S],"S"))</f>
        <v>0</v>
      </c>
      <c r="S466" s="33">
        <f>INVESTORS_LIST[[#This Row],[LS_TOTAL UNITS BUY]]+INVESTORS_LIST[[#This Row],[SIP_TOTAL UNITS BUY]]</f>
        <v>400665</v>
      </c>
      <c r="T466" s="33">
        <f>INVESTORS_LIST[[#This Row],[LS_TOTAL UNITS SOLD]]+INVESTORS_LIST[[#This Row],[SIP_TOTAL UNITS SOLD]]</f>
        <v>400665</v>
      </c>
      <c r="U466" s="33">
        <v>0</v>
      </c>
      <c r="V466" s="33">
        <f>SUMIFS(LS[BO UNIT TRANSFER],LS[Investor ID],INVESTORS_LIST[[#This Row],[INVESTOR CODE]],LS[B/S],"B")</f>
        <v>0</v>
      </c>
      <c r="W466" s="33">
        <f>SUMIFS(LS[BO UNIT TRANSFER],LS[Investor ID],INVESTORS_LIST[[#This Row],[INVESTOR CODE]],LS[B/S],"S")</f>
        <v>0</v>
      </c>
      <c r="X466" s="33">
        <f>SUMIFS(SIP[BO UNIT TRANSFER],SIP[Investor ID],INVESTORS_LIST[[#This Row],[INVESTOR CODE]],SIP[B/S],"S")</f>
        <v>0</v>
      </c>
      <c r="Y466" s="33">
        <f>SUMIFS(SIP[BO UNIT TRANSFER],SIP[Investor ID],INVESTORS_LIST[[#This Row],[INVESTOR CODE]],SIP[B/S],"B")</f>
        <v>0</v>
      </c>
      <c r="Z46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66" s="119">
        <f>INVESTORS_LIST[[#This Row],[TOTAL UNITS BUY]]-INVESTORS_LIST[[#This Row],[TOTAL UNITS SOLD]]</f>
        <v>0</v>
      </c>
      <c r="AB466" s="119">
        <f>INVESTORS_LIST[[#This Row],[TOTAL CURRENT UNITS]]-INVESTORS_LIST[[#This Row],[BO UNITS HOLD]]</f>
        <v>0</v>
      </c>
      <c r="AC466" s="119" t="e">
        <f>INDEX([4]!Table_1[BO ID],MATCH(INVESTORS_LIST[[#This Row],[INVESTOR CODE]],[4]!Table_1[INVESTOR CODE],0))</f>
        <v>#REF!</v>
      </c>
      <c r="AD466" s="33">
        <f>INVESTORS_LIST[[#This Row],[LS_TOTAL COST VALUE OF CURRENT UNITS]]+INVESTORS_LIST[[#This Row],[SIP_TOTAL COST VALUE OF CURRENT UNITS]]</f>
        <v>0</v>
      </c>
      <c r="AE466" s="44">
        <f>IF(INVESTORS_LIST[[#This Row],[TOTAL CURRENT UNITS]]=0,0,INVESTORS_LIST[[#This Row],[LS_TOTAL CURRENT UNITS]]/INVESTORS_LIST[[#This Row],[TOTAL CURRENT UNITS]])</f>
        <v>0</v>
      </c>
      <c r="AF466" s="44">
        <f>IF(INVESTORS_LIST[[#This Row],[TOTAL CURRENT UNITS]]=0,0,INVESTORS_LIST[[#This Row],[SIP_TOTAL CURRENT UNITS]]/INVESTORS_LIST[[#This Row],[TOTAL CURRENT UNITS]])</f>
        <v>0</v>
      </c>
      <c r="AG466" s="4" cm="1">
        <f t="array" ref="AG46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66" s="4" cm="1">
        <f t="array" ref="AH4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6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66" s="178">
        <f t="shared" si="8"/>
        <v>12.552</v>
      </c>
      <c r="AK466" s="118">
        <f>IF(INVESTORS_LIST[[#This Row],[TOTAL CURRENT UNITS]]=0,0,INVESTORS_LIST[[#This Row],[TOTAL CURRENT UNITS]]*INVESTORS_LIST[[#This Row],[NAV]])</f>
        <v>0</v>
      </c>
      <c r="AL466" s="4">
        <f>IF(INVESTORS_LIST[[#This Row],[LS_TOTAL CURRENT UNITS]]=0,0,INVESTORS_LIST[[#This Row],[LS_TOTAL CURRENT UNITS]]*INVESTORS_LIST[[#This Row],[NAV]])</f>
        <v>0</v>
      </c>
      <c r="AM466" s="6">
        <f>IF(INVESTORS_LIST[[#This Row],[SIP_TOTAL CURRENT UNITS]]=0,0,INVESTORS_LIST[[#This Row],[SIP_TOTAL CURRENT UNITS]]*INVESTORS_LIST[[#This Row],[NAV]])</f>
        <v>0</v>
      </c>
      <c r="AO466" s="6">
        <f>IF(INVESTORS_LIST[[#This Row],[TOTAL SELLABLE UNITS]]=0,0,INVESTORS_LIST[[#This Row],[TOTAL SELLABLE UNITS]]*INVESTORS_LIST[[#This Row],[NAV]])</f>
        <v>0</v>
      </c>
      <c r="AP466" s="6">
        <f>INVESTORS_LIST[[#This Row],[LS_TOTAL REALIZED GAIN]]+INVESTORS_LIST[[#This Row],[SIP_TOTAL REALIZED GAIN]]</f>
        <v>43373.249999999469</v>
      </c>
      <c r="AQ466" s="6">
        <f>INVESTORS_LIST[[#This Row],[TOTAL MARKET VALUE]]-INVESTORS_LIST[[#This Row],[TOTAL COST VALUE OF CURRENT INVESTMENT]]</f>
        <v>0</v>
      </c>
      <c r="AR466" s="6">
        <f>SUMIFS(DivAndTax[Tax Amount],DivAndTax[Investor ID],INVESTORS_LIST[[#This Row],[INVESTOR CODE]])</f>
        <v>0</v>
      </c>
      <c r="AS466" s="6">
        <f>SUMIFS(DivAndTax[Gross Dividend],DivAndTax[Investor ID],INVESTORS_LIST[[#This Row],[INVESTOR CODE]])</f>
        <v>97687.5</v>
      </c>
      <c r="AT466" s="5">
        <f>IFERROR(INVESTORS_LIST[[#This Row],[TOTAL CURRENT UNITS]]/SUM(INVESTORS_LIST[TOTAL CURRENT UNITS]),0)</f>
        <v>0</v>
      </c>
    </row>
    <row r="467" spans="1:46" hidden="1">
      <c r="A467" t="s">
        <v>1051</v>
      </c>
      <c r="B467" t="s">
        <v>1037</v>
      </c>
      <c r="C467" t="s">
        <v>536</v>
      </c>
      <c r="D467" s="8" t="s">
        <v>2</v>
      </c>
      <c r="E467" s="2">
        <f>SUMIFS(LS[Unit],LS[Investor ID],INVESTORS_LIST[[#This Row],[INVESTOR CODE]],LS[B/S],"B")</f>
        <v>0</v>
      </c>
      <c r="F467" s="2">
        <f>-SUMIFS(LS[Unit],LS[Investor ID],INVESTORS_LIST[[#This Row],[INVESTOR CODE]],LS[B/S],"S")</f>
        <v>0</v>
      </c>
      <c r="G467" s="2">
        <f>IF(INVESTORS_LIST[[#This Row],[LS_TOTAL UNITS BUY]]=0,0,INVESTORS_LIST[[#This Row],[LS_TOTAL UNITS BUY]]-INVESTORS_LIST[[#This Row],[LS_TOTAL UNITS SOLD]])</f>
        <v>0</v>
      </c>
      <c r="H467" s="4">
        <f>IF(INVESTORS_LIST[[#This Row],[LS_TOTAL UNITS BUY]]=0,0,SUMIFS(LS[Amount],LS[Investor ID],INVESTORS_LIST[[#This Row],[INVESTOR CODE]],LS[B/S],"B"))</f>
        <v>0</v>
      </c>
      <c r="I467" s="6">
        <f>IF(INVESTORS_LIST[[#This Row],[LS_TOTAL UNITS SOLD]]=0,0,SUMIFS(LS[Cost of Units Sold],LS[Investor ID],INVESTORS_LIST[[#This Row],[INVESTOR CODE]],LS[B/S],"S"))</f>
        <v>0</v>
      </c>
      <c r="J467" s="6">
        <f>IF(INVESTORS_LIST[[#This Row],[LS_TOTAL CURRENT UNITS]]=0,0,INVESTORS_LIST[[#This Row],[LS_TOTAL CURRENT UNITS]]*INVESTORS_LIST[[#This Row],[LS_AVERAGE COST]])</f>
        <v>0</v>
      </c>
      <c r="K467" s="4">
        <f>IF(INVESTORS_LIST[[#This Row],[LS_TOTAL UNITS SOLD]]=0,0,SUMIFS(LS[Realized Gain],LS[Investor ID],INVESTORS_LIST[[#This Row],[INVESTOR CODE]],LS[B/S],"S"))</f>
        <v>0</v>
      </c>
      <c r="L467" s="2">
        <f>SUMIFS(SIP[Unit],SIP[Investor ID],INVESTORS_LIST[[#This Row],[INVESTOR CODE]],SIP[B/S],"B")</f>
        <v>0</v>
      </c>
      <c r="M467" s="2">
        <f>-SUMIFS(SIP[Unit],SIP[Investor ID],INVESTORS_LIST[[#This Row],[INVESTOR CODE]],SIP[B/S],"S")</f>
        <v>0</v>
      </c>
      <c r="N467" s="33">
        <f>IF(INVESTORS_LIST[[#This Row],[SIP_TOTAL UNITS BUY]]=0,0,INVESTORS_LIST[[#This Row],[SIP_TOTAL UNITS BUY]]-INVESTORS_LIST[[#This Row],[SIP_TOTAL UNITS SOLD]])</f>
        <v>0</v>
      </c>
      <c r="O467" s="4">
        <f>IF(INVESTORS_LIST[[#This Row],[SIP_TOTAL UNITS BUY]]=0,0,SUMIFS(SIP[Amount],SIP[Investor ID],INVESTORS_LIST[[#This Row],[INVESTOR CODE]],SIP[B/S],"B"))</f>
        <v>0</v>
      </c>
      <c r="P467" s="4">
        <f>IF(INVESTORS_LIST[[#This Row],[SIP_TOTAL UNITS SOLD]]=0,0,SUMIFS(SIP[Cost of Units Sold],SIP[Investor ID],INVESTORS_LIST[[#This Row],[INVESTOR CODE]],SIP[B/S],"S"))</f>
        <v>0</v>
      </c>
      <c r="Q467" s="6">
        <f>IF(INVESTORS_LIST[[#This Row],[SIP_TOTAL CURRENT UNITS]]=0,0,INVESTORS_LIST[[#This Row],[SIP_TOTAL CURRENT UNITS]]*INVESTORS_LIST[[#This Row],[SIP_AVERAGE COST]])</f>
        <v>0</v>
      </c>
      <c r="R467" s="6">
        <f>IF(INVESTORS_LIST[[#This Row],[SIP_TOTAL UNITS SOLD]]=0,0,SUMIFS(SIP[Realized Gain],SIP[Investor ID],INVESTORS_LIST[[#This Row],[INVESTOR CODE]],SIP[B/S],"S"))</f>
        <v>0</v>
      </c>
      <c r="S467" s="33">
        <f>INVESTORS_LIST[[#This Row],[LS_TOTAL UNITS BUY]]+INVESTORS_LIST[[#This Row],[SIP_TOTAL UNITS BUY]]</f>
        <v>0</v>
      </c>
      <c r="T467" s="33">
        <f>INVESTORS_LIST[[#This Row],[LS_TOTAL UNITS SOLD]]+INVESTORS_LIST[[#This Row],[SIP_TOTAL UNITS SOLD]]</f>
        <v>0</v>
      </c>
      <c r="U467" s="33">
        <v>0</v>
      </c>
      <c r="V467" s="33">
        <f>SUMIFS(LS[BO UNIT TRANSFER],LS[Investor ID],INVESTORS_LIST[[#This Row],[INVESTOR CODE]],LS[B/S],"B")</f>
        <v>0</v>
      </c>
      <c r="W467" s="33">
        <f>SUMIFS(LS[BO UNIT TRANSFER],LS[Investor ID],INVESTORS_LIST[[#This Row],[INVESTOR CODE]],LS[B/S],"S")</f>
        <v>0</v>
      </c>
      <c r="X467" s="33">
        <f>SUMIFS(SIP[BO UNIT TRANSFER],SIP[Investor ID],INVESTORS_LIST[[#This Row],[INVESTOR CODE]],SIP[B/S],"S")</f>
        <v>0</v>
      </c>
      <c r="Y467" s="33">
        <f>SUMIFS(SIP[BO UNIT TRANSFER],SIP[Investor ID],INVESTORS_LIST[[#This Row],[INVESTOR CODE]],SIP[B/S],"B")</f>
        <v>0</v>
      </c>
      <c r="Z46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67" s="119">
        <f>INVESTORS_LIST[[#This Row],[TOTAL UNITS BUY]]-INVESTORS_LIST[[#This Row],[TOTAL UNITS SOLD]]</f>
        <v>0</v>
      </c>
      <c r="AB467" s="119">
        <f>INVESTORS_LIST[[#This Row],[TOTAL CURRENT UNITS]]-INVESTORS_LIST[[#This Row],[BO UNITS HOLD]]</f>
        <v>0</v>
      </c>
      <c r="AC467" s="119" t="e">
        <f>INDEX([4]!Table_1[BO ID],MATCH(INVESTORS_LIST[[#This Row],[INVESTOR CODE]],[4]!Table_1[INVESTOR CODE],0))</f>
        <v>#REF!</v>
      </c>
      <c r="AD467" s="33">
        <f>INVESTORS_LIST[[#This Row],[LS_TOTAL COST VALUE OF CURRENT UNITS]]+INVESTORS_LIST[[#This Row],[SIP_TOTAL COST VALUE OF CURRENT UNITS]]</f>
        <v>0</v>
      </c>
      <c r="AE467" s="44">
        <f>IF(INVESTORS_LIST[[#This Row],[TOTAL CURRENT UNITS]]=0,0,INVESTORS_LIST[[#This Row],[LS_TOTAL CURRENT UNITS]]/INVESTORS_LIST[[#This Row],[TOTAL CURRENT UNITS]])</f>
        <v>0</v>
      </c>
      <c r="AF467" s="44">
        <f>IF(INVESTORS_LIST[[#This Row],[TOTAL CURRENT UNITS]]=0,0,INVESTORS_LIST[[#This Row],[SIP_TOTAL CURRENT UNITS]]/INVESTORS_LIST[[#This Row],[TOTAL CURRENT UNITS]])</f>
        <v>0</v>
      </c>
      <c r="AG467" s="4" cm="1">
        <f t="array" ref="AG4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67" s="4" cm="1">
        <f t="array" ref="AH4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6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67" s="178">
        <f t="shared" si="8"/>
        <v>12.552</v>
      </c>
      <c r="AK467" s="118">
        <f>IF(INVESTORS_LIST[[#This Row],[TOTAL CURRENT UNITS]]=0,0,INVESTORS_LIST[[#This Row],[TOTAL CURRENT UNITS]]*INVESTORS_LIST[[#This Row],[NAV]])</f>
        <v>0</v>
      </c>
      <c r="AL467" s="4">
        <f>IF(INVESTORS_LIST[[#This Row],[LS_TOTAL CURRENT UNITS]]=0,0,INVESTORS_LIST[[#This Row],[LS_TOTAL CURRENT UNITS]]*INVESTORS_LIST[[#This Row],[NAV]])</f>
        <v>0</v>
      </c>
      <c r="AM467" s="6">
        <f>IF(INVESTORS_LIST[[#This Row],[SIP_TOTAL CURRENT UNITS]]=0,0,INVESTORS_LIST[[#This Row],[SIP_TOTAL CURRENT UNITS]]*INVESTORS_LIST[[#This Row],[NAV]])</f>
        <v>0</v>
      </c>
      <c r="AO467" s="6">
        <f>IF(INVESTORS_LIST[[#This Row],[TOTAL SELLABLE UNITS]]=0,0,INVESTORS_LIST[[#This Row],[TOTAL SELLABLE UNITS]]*INVESTORS_LIST[[#This Row],[NAV]])</f>
        <v>0</v>
      </c>
      <c r="AP467" s="6">
        <f>INVESTORS_LIST[[#This Row],[LS_TOTAL REALIZED GAIN]]+INVESTORS_LIST[[#This Row],[SIP_TOTAL REALIZED GAIN]]</f>
        <v>0</v>
      </c>
      <c r="AQ467" s="6">
        <f>INVESTORS_LIST[[#This Row],[TOTAL MARKET VALUE]]-INVESTORS_LIST[[#This Row],[TOTAL COST VALUE OF CURRENT INVESTMENT]]</f>
        <v>0</v>
      </c>
      <c r="AR467" s="6">
        <f>SUMIFS(DivAndTax[Tax Amount],DivAndTax[Investor ID],INVESTORS_LIST[[#This Row],[INVESTOR CODE]])</f>
        <v>0</v>
      </c>
      <c r="AS467" s="6">
        <f>SUMIFS(DivAndTax[Gross Dividend],DivAndTax[Investor ID],INVESTORS_LIST[[#This Row],[INVESTOR CODE]])</f>
        <v>0</v>
      </c>
      <c r="AT467" s="5">
        <f>IFERROR(INVESTORS_LIST[[#This Row],[TOTAL CURRENT UNITS]]/SUM(INVESTORS_LIST[TOTAL CURRENT UNITS]),0)</f>
        <v>0</v>
      </c>
    </row>
    <row r="468" spans="1:46" hidden="1">
      <c r="A468" t="s">
        <v>1587</v>
      </c>
      <c r="B468" t="s">
        <v>1038</v>
      </c>
      <c r="C468" t="s">
        <v>536</v>
      </c>
      <c r="D468" s="8" t="s">
        <v>2</v>
      </c>
      <c r="E468" s="2">
        <f>SUMIFS(LS[Unit],LS[Investor ID],INVESTORS_LIST[[#This Row],[INVESTOR CODE]],LS[B/S],"B")</f>
        <v>76399</v>
      </c>
      <c r="F468" s="2">
        <f>-SUMIFS(LS[Unit],LS[Investor ID],INVESTORS_LIST[[#This Row],[INVESTOR CODE]],LS[B/S],"S")</f>
        <v>76399</v>
      </c>
      <c r="G468" s="2">
        <f>IF(INVESTORS_LIST[[#This Row],[LS_TOTAL UNITS BUY]]=0,0,INVESTORS_LIST[[#This Row],[LS_TOTAL UNITS BUY]]-INVESTORS_LIST[[#This Row],[LS_TOTAL UNITS SOLD]])</f>
        <v>0</v>
      </c>
      <c r="H468" s="4">
        <f>IF(INVESTORS_LIST[[#This Row],[LS_TOTAL UNITS BUY]]=0,0,SUMIFS(LS[Amount],LS[Investor ID],INVESTORS_LIST[[#This Row],[INVESTOR CODE]],LS[B/S],"B"))</f>
        <v>887451.1</v>
      </c>
      <c r="I468" s="6">
        <f>IF(INVESTORS_LIST[[#This Row],[LS_TOTAL UNITS SOLD]]=0,0,SUMIFS(LS[Cost of Units Sold],LS[Investor ID],INVESTORS_LIST[[#This Row],[INVESTOR CODE]],LS[B/S],"S"))</f>
        <v>887451.10000000009</v>
      </c>
      <c r="J468" s="6">
        <f>IF(INVESTORS_LIST[[#This Row],[LS_TOTAL CURRENT UNITS]]=0,0,INVESTORS_LIST[[#This Row],[LS_TOTAL CURRENT UNITS]]*INVESTORS_LIST[[#This Row],[LS_AVERAGE COST]])</f>
        <v>0</v>
      </c>
      <c r="K468" s="4">
        <f>IF(INVESTORS_LIST[[#This Row],[LS_TOTAL UNITS SOLD]]=0,0,SUMIFS(LS[Realized Gain],LS[Investor ID],INVESTORS_LIST[[#This Row],[INVESTOR CODE]],LS[B/S],"S"))</f>
        <v>64532.10000000002</v>
      </c>
      <c r="L468" s="2">
        <f>SUMIFS(SIP[Unit],SIP[Investor ID],INVESTORS_LIST[[#This Row],[INVESTOR CODE]],SIP[B/S],"B")</f>
        <v>0</v>
      </c>
      <c r="M468" s="2">
        <f>-SUMIFS(SIP[Unit],SIP[Investor ID],INVESTORS_LIST[[#This Row],[INVESTOR CODE]],SIP[B/S],"S")</f>
        <v>0</v>
      </c>
      <c r="N468" s="33">
        <f>IF(INVESTORS_LIST[[#This Row],[SIP_TOTAL UNITS BUY]]=0,0,INVESTORS_LIST[[#This Row],[SIP_TOTAL UNITS BUY]]-INVESTORS_LIST[[#This Row],[SIP_TOTAL UNITS SOLD]])</f>
        <v>0</v>
      </c>
      <c r="O468" s="4">
        <f>IF(INVESTORS_LIST[[#This Row],[SIP_TOTAL UNITS BUY]]=0,0,SUMIFS(SIP[Amount],SIP[Investor ID],INVESTORS_LIST[[#This Row],[INVESTOR CODE]],SIP[B/S],"B"))</f>
        <v>0</v>
      </c>
      <c r="P468" s="4">
        <f>IF(INVESTORS_LIST[[#This Row],[SIP_TOTAL UNITS SOLD]]=0,0,SUMIFS(SIP[Cost of Units Sold],SIP[Investor ID],INVESTORS_LIST[[#This Row],[INVESTOR CODE]],SIP[B/S],"S"))</f>
        <v>0</v>
      </c>
      <c r="Q468" s="6">
        <f>IF(INVESTORS_LIST[[#This Row],[SIP_TOTAL CURRENT UNITS]]=0,0,INVESTORS_LIST[[#This Row],[SIP_TOTAL CURRENT UNITS]]*INVESTORS_LIST[[#This Row],[SIP_AVERAGE COST]])</f>
        <v>0</v>
      </c>
      <c r="R468" s="6">
        <f>IF(INVESTORS_LIST[[#This Row],[SIP_TOTAL UNITS SOLD]]=0,0,SUMIFS(SIP[Realized Gain],SIP[Investor ID],INVESTORS_LIST[[#This Row],[INVESTOR CODE]],SIP[B/S],"S"))</f>
        <v>0</v>
      </c>
      <c r="S468" s="33">
        <f>INVESTORS_LIST[[#This Row],[LS_TOTAL UNITS BUY]]+INVESTORS_LIST[[#This Row],[SIP_TOTAL UNITS BUY]]</f>
        <v>76399</v>
      </c>
      <c r="T468" s="33">
        <f>INVESTORS_LIST[[#This Row],[LS_TOTAL UNITS SOLD]]+INVESTORS_LIST[[#This Row],[SIP_TOTAL UNITS SOLD]]</f>
        <v>76399</v>
      </c>
      <c r="U468" s="33">
        <v>0</v>
      </c>
      <c r="V468" s="33">
        <f>SUMIFS(LS[BO UNIT TRANSFER],LS[Investor ID],INVESTORS_LIST[[#This Row],[INVESTOR CODE]],LS[B/S],"B")</f>
        <v>0</v>
      </c>
      <c r="W468" s="33">
        <f>SUMIFS(LS[BO UNIT TRANSFER],LS[Investor ID],INVESTORS_LIST[[#This Row],[INVESTOR CODE]],LS[B/S],"S")</f>
        <v>0</v>
      </c>
      <c r="X468" s="33">
        <f>SUMIFS(SIP[BO UNIT TRANSFER],SIP[Investor ID],INVESTORS_LIST[[#This Row],[INVESTOR CODE]],SIP[B/S],"S")</f>
        <v>0</v>
      </c>
      <c r="Y468" s="33">
        <f>SUMIFS(SIP[BO UNIT TRANSFER],SIP[Investor ID],INVESTORS_LIST[[#This Row],[INVESTOR CODE]],SIP[B/S],"B")</f>
        <v>0</v>
      </c>
      <c r="Z46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68" s="119">
        <f>INVESTORS_LIST[[#This Row],[TOTAL UNITS BUY]]-INVESTORS_LIST[[#This Row],[TOTAL UNITS SOLD]]</f>
        <v>0</v>
      </c>
      <c r="AB468" s="119">
        <f>INVESTORS_LIST[[#This Row],[TOTAL CURRENT UNITS]]-INVESTORS_LIST[[#This Row],[BO UNITS HOLD]]</f>
        <v>0</v>
      </c>
      <c r="AC468" s="119" t="e">
        <f>INDEX([4]!Table_1[BO ID],MATCH(INVESTORS_LIST[[#This Row],[INVESTOR CODE]],[4]!Table_1[INVESTOR CODE],0))</f>
        <v>#REF!</v>
      </c>
      <c r="AD468" s="33">
        <f>INVESTORS_LIST[[#This Row],[LS_TOTAL COST VALUE OF CURRENT UNITS]]+INVESTORS_LIST[[#This Row],[SIP_TOTAL COST VALUE OF CURRENT UNITS]]</f>
        <v>0</v>
      </c>
      <c r="AE468" s="44">
        <f>IF(INVESTORS_LIST[[#This Row],[TOTAL CURRENT UNITS]]=0,0,INVESTORS_LIST[[#This Row],[LS_TOTAL CURRENT UNITS]]/INVESTORS_LIST[[#This Row],[TOTAL CURRENT UNITS]])</f>
        <v>0</v>
      </c>
      <c r="AF468" s="44">
        <f>IF(INVESTORS_LIST[[#This Row],[TOTAL CURRENT UNITS]]=0,0,INVESTORS_LIST[[#This Row],[SIP_TOTAL CURRENT UNITS]]/INVESTORS_LIST[[#This Row],[TOTAL CURRENT UNITS]])</f>
        <v>0</v>
      </c>
      <c r="AG468" s="4" cm="1">
        <f t="array" ref="AG46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68" s="4" cm="1">
        <f t="array" ref="AH4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6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68" s="178">
        <f t="shared" si="8"/>
        <v>12.552</v>
      </c>
      <c r="AK468" s="118">
        <f>IF(INVESTORS_LIST[[#This Row],[TOTAL CURRENT UNITS]]=0,0,INVESTORS_LIST[[#This Row],[TOTAL CURRENT UNITS]]*INVESTORS_LIST[[#This Row],[NAV]])</f>
        <v>0</v>
      </c>
      <c r="AL468" s="4">
        <f>IF(INVESTORS_LIST[[#This Row],[LS_TOTAL CURRENT UNITS]]=0,0,INVESTORS_LIST[[#This Row],[LS_TOTAL CURRENT UNITS]]*INVESTORS_LIST[[#This Row],[NAV]])</f>
        <v>0</v>
      </c>
      <c r="AM468" s="6">
        <f>IF(INVESTORS_LIST[[#This Row],[SIP_TOTAL CURRENT UNITS]]=0,0,INVESTORS_LIST[[#This Row],[SIP_TOTAL CURRENT UNITS]]*INVESTORS_LIST[[#This Row],[NAV]])</f>
        <v>0</v>
      </c>
      <c r="AO468" s="6">
        <f>IF(INVESTORS_LIST[[#This Row],[TOTAL SELLABLE UNITS]]=0,0,INVESTORS_LIST[[#This Row],[TOTAL SELLABLE UNITS]]*INVESTORS_LIST[[#This Row],[NAV]])</f>
        <v>0</v>
      </c>
      <c r="AP468" s="6">
        <f>INVESTORS_LIST[[#This Row],[LS_TOTAL REALIZED GAIN]]+INVESTORS_LIST[[#This Row],[SIP_TOTAL REALIZED GAIN]]</f>
        <v>64532.10000000002</v>
      </c>
      <c r="AQ468" s="6">
        <f>INVESTORS_LIST[[#This Row],[TOTAL MARKET VALUE]]-INVESTORS_LIST[[#This Row],[TOTAL COST VALUE OF CURRENT INVESTMENT]]</f>
        <v>0</v>
      </c>
      <c r="AR468" s="6">
        <f>SUMIFS(DivAndTax[Tax Amount],DivAndTax[Investor ID],INVESTORS_LIST[[#This Row],[INVESTOR CODE]])</f>
        <v>1267.67</v>
      </c>
      <c r="AS468" s="6">
        <f>SUMIFS(DivAndTax[Gross Dividend],DivAndTax[Investor ID],INVESTORS_LIST[[#This Row],[INVESTOR CODE]])</f>
        <v>8451.1</v>
      </c>
      <c r="AT468" s="5">
        <f>IFERROR(INVESTORS_LIST[[#This Row],[TOTAL CURRENT UNITS]]/SUM(INVESTORS_LIST[TOTAL CURRENT UNITS]),0)</f>
        <v>0</v>
      </c>
    </row>
    <row r="469" spans="1:46" hidden="1">
      <c r="A469" t="s">
        <v>1039</v>
      </c>
      <c r="B469" t="s">
        <v>1040</v>
      </c>
      <c r="C469" t="s">
        <v>536</v>
      </c>
      <c r="D469" s="8" t="s">
        <v>2</v>
      </c>
      <c r="E469" s="2">
        <f>SUMIFS(LS[Unit],LS[Investor ID],INVESTORS_LIST[[#This Row],[INVESTOR CODE]],LS[B/S],"B")</f>
        <v>0</v>
      </c>
      <c r="F469" s="2">
        <f>-SUMIFS(LS[Unit],LS[Investor ID],INVESTORS_LIST[[#This Row],[INVESTOR CODE]],LS[B/S],"S")</f>
        <v>0</v>
      </c>
      <c r="G469" s="2">
        <f>IF(INVESTORS_LIST[[#This Row],[LS_TOTAL UNITS BUY]]=0,0,INVESTORS_LIST[[#This Row],[LS_TOTAL UNITS BUY]]-INVESTORS_LIST[[#This Row],[LS_TOTAL UNITS SOLD]])</f>
        <v>0</v>
      </c>
      <c r="H469" s="4">
        <f>IF(INVESTORS_LIST[[#This Row],[LS_TOTAL UNITS BUY]]=0,0,SUMIFS(LS[Amount],LS[Investor ID],INVESTORS_LIST[[#This Row],[INVESTOR CODE]],LS[B/S],"B"))</f>
        <v>0</v>
      </c>
      <c r="I469" s="6">
        <f>IF(INVESTORS_LIST[[#This Row],[LS_TOTAL UNITS SOLD]]=0,0,SUMIFS(LS[Cost of Units Sold],LS[Investor ID],INVESTORS_LIST[[#This Row],[INVESTOR CODE]],LS[B/S],"S"))</f>
        <v>0</v>
      </c>
      <c r="J469" s="6">
        <f>IF(INVESTORS_LIST[[#This Row],[LS_TOTAL CURRENT UNITS]]=0,0,INVESTORS_LIST[[#This Row],[LS_TOTAL CURRENT UNITS]]*INVESTORS_LIST[[#This Row],[LS_AVERAGE COST]])</f>
        <v>0</v>
      </c>
      <c r="K469" s="4">
        <f>IF(INVESTORS_LIST[[#This Row],[LS_TOTAL UNITS SOLD]]=0,0,SUMIFS(LS[Realized Gain],LS[Investor ID],INVESTORS_LIST[[#This Row],[INVESTOR CODE]],LS[B/S],"S"))</f>
        <v>0</v>
      </c>
      <c r="L469" s="2">
        <f>SUMIFS(SIP[Unit],SIP[Investor ID],INVESTORS_LIST[[#This Row],[INVESTOR CODE]],SIP[B/S],"B")</f>
        <v>0</v>
      </c>
      <c r="M469" s="2">
        <f>-SUMIFS(SIP[Unit],SIP[Investor ID],INVESTORS_LIST[[#This Row],[INVESTOR CODE]],SIP[B/S],"S")</f>
        <v>0</v>
      </c>
      <c r="N469" s="33">
        <f>IF(INVESTORS_LIST[[#This Row],[SIP_TOTAL UNITS BUY]]=0,0,INVESTORS_LIST[[#This Row],[SIP_TOTAL UNITS BUY]]-INVESTORS_LIST[[#This Row],[SIP_TOTAL UNITS SOLD]])</f>
        <v>0</v>
      </c>
      <c r="O469" s="4">
        <f>IF(INVESTORS_LIST[[#This Row],[SIP_TOTAL UNITS BUY]]=0,0,SUMIFS(SIP[Amount],SIP[Investor ID],INVESTORS_LIST[[#This Row],[INVESTOR CODE]],SIP[B/S],"B"))</f>
        <v>0</v>
      </c>
      <c r="P469" s="4">
        <f>IF(INVESTORS_LIST[[#This Row],[SIP_TOTAL UNITS SOLD]]=0,0,SUMIFS(SIP[Cost of Units Sold],SIP[Investor ID],INVESTORS_LIST[[#This Row],[INVESTOR CODE]],SIP[B/S],"S"))</f>
        <v>0</v>
      </c>
      <c r="Q469" s="6">
        <f>IF(INVESTORS_LIST[[#This Row],[SIP_TOTAL CURRENT UNITS]]=0,0,INVESTORS_LIST[[#This Row],[SIP_TOTAL CURRENT UNITS]]*INVESTORS_LIST[[#This Row],[SIP_AVERAGE COST]])</f>
        <v>0</v>
      </c>
      <c r="R469" s="6">
        <f>IF(INVESTORS_LIST[[#This Row],[SIP_TOTAL UNITS SOLD]]=0,0,SUMIFS(SIP[Realized Gain],SIP[Investor ID],INVESTORS_LIST[[#This Row],[INVESTOR CODE]],SIP[B/S],"S"))</f>
        <v>0</v>
      </c>
      <c r="S469" s="33">
        <f>INVESTORS_LIST[[#This Row],[LS_TOTAL UNITS BUY]]+INVESTORS_LIST[[#This Row],[SIP_TOTAL UNITS BUY]]</f>
        <v>0</v>
      </c>
      <c r="T469" s="33">
        <f>INVESTORS_LIST[[#This Row],[LS_TOTAL UNITS SOLD]]+INVESTORS_LIST[[#This Row],[SIP_TOTAL UNITS SOLD]]</f>
        <v>0</v>
      </c>
      <c r="U469" s="33">
        <v>0</v>
      </c>
      <c r="V469" s="33">
        <f>SUMIFS(LS[BO UNIT TRANSFER],LS[Investor ID],INVESTORS_LIST[[#This Row],[INVESTOR CODE]],LS[B/S],"B")</f>
        <v>0</v>
      </c>
      <c r="W469" s="33">
        <f>SUMIFS(LS[BO UNIT TRANSFER],LS[Investor ID],INVESTORS_LIST[[#This Row],[INVESTOR CODE]],LS[B/S],"S")</f>
        <v>0</v>
      </c>
      <c r="X469" s="33">
        <f>SUMIFS(SIP[BO UNIT TRANSFER],SIP[Investor ID],INVESTORS_LIST[[#This Row],[INVESTOR CODE]],SIP[B/S],"S")</f>
        <v>0</v>
      </c>
      <c r="Y469" s="33">
        <f>SUMIFS(SIP[BO UNIT TRANSFER],SIP[Investor ID],INVESTORS_LIST[[#This Row],[INVESTOR CODE]],SIP[B/S],"B")</f>
        <v>0</v>
      </c>
      <c r="Z46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69" s="119">
        <f>INVESTORS_LIST[[#This Row],[TOTAL UNITS BUY]]-INVESTORS_LIST[[#This Row],[TOTAL UNITS SOLD]]</f>
        <v>0</v>
      </c>
      <c r="AB469" s="119">
        <f>INVESTORS_LIST[[#This Row],[TOTAL CURRENT UNITS]]-INVESTORS_LIST[[#This Row],[BO UNITS HOLD]]</f>
        <v>0</v>
      </c>
      <c r="AC469" s="119" t="e">
        <f>INDEX([4]!Table_1[BO ID],MATCH(INVESTORS_LIST[[#This Row],[INVESTOR CODE]],[4]!Table_1[INVESTOR CODE],0))</f>
        <v>#REF!</v>
      </c>
      <c r="AD469" s="33">
        <f>INVESTORS_LIST[[#This Row],[LS_TOTAL COST VALUE OF CURRENT UNITS]]+INVESTORS_LIST[[#This Row],[SIP_TOTAL COST VALUE OF CURRENT UNITS]]</f>
        <v>0</v>
      </c>
      <c r="AE469" s="44">
        <f>IF(INVESTORS_LIST[[#This Row],[TOTAL CURRENT UNITS]]=0,0,INVESTORS_LIST[[#This Row],[LS_TOTAL CURRENT UNITS]]/INVESTORS_LIST[[#This Row],[TOTAL CURRENT UNITS]])</f>
        <v>0</v>
      </c>
      <c r="AF469" s="44">
        <f>IF(INVESTORS_LIST[[#This Row],[TOTAL CURRENT UNITS]]=0,0,INVESTORS_LIST[[#This Row],[SIP_TOTAL CURRENT UNITS]]/INVESTORS_LIST[[#This Row],[TOTAL CURRENT UNITS]])</f>
        <v>0</v>
      </c>
      <c r="AG469" s="4" cm="1">
        <f t="array" ref="AG46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69" s="4" cm="1">
        <f t="array" ref="AH46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6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69" s="178">
        <f t="shared" si="8"/>
        <v>12.552</v>
      </c>
      <c r="AK469" s="118">
        <f>IF(INVESTORS_LIST[[#This Row],[TOTAL CURRENT UNITS]]=0,0,INVESTORS_LIST[[#This Row],[TOTAL CURRENT UNITS]]*INVESTORS_LIST[[#This Row],[NAV]])</f>
        <v>0</v>
      </c>
      <c r="AL469" s="4">
        <f>IF(INVESTORS_LIST[[#This Row],[LS_TOTAL CURRENT UNITS]]=0,0,INVESTORS_LIST[[#This Row],[LS_TOTAL CURRENT UNITS]]*INVESTORS_LIST[[#This Row],[NAV]])</f>
        <v>0</v>
      </c>
      <c r="AM469" s="6">
        <f>IF(INVESTORS_LIST[[#This Row],[SIP_TOTAL CURRENT UNITS]]=0,0,INVESTORS_LIST[[#This Row],[SIP_TOTAL CURRENT UNITS]]*INVESTORS_LIST[[#This Row],[NAV]])</f>
        <v>0</v>
      </c>
      <c r="AO469" s="6">
        <f>IF(INVESTORS_LIST[[#This Row],[TOTAL SELLABLE UNITS]]=0,0,INVESTORS_LIST[[#This Row],[TOTAL SELLABLE UNITS]]*INVESTORS_LIST[[#This Row],[NAV]])</f>
        <v>0</v>
      </c>
      <c r="AP469" s="6">
        <f>INVESTORS_LIST[[#This Row],[LS_TOTAL REALIZED GAIN]]+INVESTORS_LIST[[#This Row],[SIP_TOTAL REALIZED GAIN]]</f>
        <v>0</v>
      </c>
      <c r="AQ469" s="6">
        <f>INVESTORS_LIST[[#This Row],[TOTAL MARKET VALUE]]-INVESTORS_LIST[[#This Row],[TOTAL COST VALUE OF CURRENT INVESTMENT]]</f>
        <v>0</v>
      </c>
      <c r="AR469" s="6">
        <f>SUMIFS(DivAndTax[Tax Amount],DivAndTax[Investor ID],INVESTORS_LIST[[#This Row],[INVESTOR CODE]])</f>
        <v>0</v>
      </c>
      <c r="AS469" s="6">
        <f>SUMIFS(DivAndTax[Gross Dividend],DivAndTax[Investor ID],INVESTORS_LIST[[#This Row],[INVESTOR CODE]])</f>
        <v>0</v>
      </c>
      <c r="AT469" s="5">
        <f>IFERROR(INVESTORS_LIST[[#This Row],[TOTAL CURRENT UNITS]]/SUM(INVESTORS_LIST[TOTAL CURRENT UNITS]),0)</f>
        <v>0</v>
      </c>
    </row>
    <row r="470" spans="1:46">
      <c r="A470" t="s">
        <v>1042</v>
      </c>
      <c r="B470" t="s">
        <v>1043</v>
      </c>
      <c r="C470" t="s">
        <v>536</v>
      </c>
      <c r="D470" s="8" t="s">
        <v>2</v>
      </c>
      <c r="E470" s="2">
        <f>SUMIFS(LS[Unit],LS[Investor ID],INVESTORS_LIST[[#This Row],[INVESTOR CODE]],LS[B/S],"B")</f>
        <v>346243</v>
      </c>
      <c r="F470" s="2">
        <f>-SUMIFS(LS[Unit],LS[Investor ID],INVESTORS_LIST[[#This Row],[INVESTOR CODE]],LS[B/S],"S")</f>
        <v>0</v>
      </c>
      <c r="G470" s="2">
        <f>IF(INVESTORS_LIST[[#This Row],[LS_TOTAL UNITS BUY]]=0,0,INVESTORS_LIST[[#This Row],[LS_TOTAL UNITS BUY]]-INVESTORS_LIST[[#This Row],[LS_TOTAL UNITS SOLD]])</f>
        <v>346243</v>
      </c>
      <c r="H470" s="4">
        <f>IF(INVESTORS_LIST[[#This Row],[LS_TOTAL UNITS BUY]]=0,0,SUMIFS(LS[Amount],LS[Investor ID],INVESTORS_LIST[[#This Row],[INVESTOR CODE]],LS[B/S],"B"))</f>
        <v>4118053.95</v>
      </c>
      <c r="I470" s="6">
        <f>IF(INVESTORS_LIST[[#This Row],[LS_TOTAL UNITS SOLD]]=0,0,SUMIFS(LS[Cost of Units Sold],LS[Investor ID],INVESTORS_LIST[[#This Row],[INVESTOR CODE]],LS[B/S],"S"))</f>
        <v>0</v>
      </c>
      <c r="J470" s="6">
        <f>IF(INVESTORS_LIST[[#This Row],[LS_TOTAL CURRENT UNITS]]=0,0,INVESTORS_LIST[[#This Row],[LS_TOTAL CURRENT UNITS]]*INVESTORS_LIST[[#This Row],[LS_AVERAGE COST]])</f>
        <v>4118053.9499999997</v>
      </c>
      <c r="K470" s="4">
        <f>IF(INVESTORS_LIST[[#This Row],[LS_TOTAL UNITS SOLD]]=0,0,SUMIFS(LS[Realized Gain],LS[Investor ID],INVESTORS_LIST[[#This Row],[INVESTOR CODE]],LS[B/S],"S"))</f>
        <v>0</v>
      </c>
      <c r="L470" s="2">
        <f>SUMIFS(SIP[Unit],SIP[Investor ID],INVESTORS_LIST[[#This Row],[INVESTOR CODE]],SIP[B/S],"B")</f>
        <v>0</v>
      </c>
      <c r="M470" s="2">
        <f>-SUMIFS(SIP[Unit],SIP[Investor ID],INVESTORS_LIST[[#This Row],[INVESTOR CODE]],SIP[B/S],"S")</f>
        <v>0</v>
      </c>
      <c r="N470" s="33">
        <f>IF(INVESTORS_LIST[[#This Row],[SIP_TOTAL UNITS BUY]]=0,0,INVESTORS_LIST[[#This Row],[SIP_TOTAL UNITS BUY]]-INVESTORS_LIST[[#This Row],[SIP_TOTAL UNITS SOLD]])</f>
        <v>0</v>
      </c>
      <c r="O470" s="4">
        <f>IF(INVESTORS_LIST[[#This Row],[SIP_TOTAL UNITS BUY]]=0,0,SUMIFS(SIP[Amount],SIP[Investor ID],INVESTORS_LIST[[#This Row],[INVESTOR CODE]],SIP[B/S],"B"))</f>
        <v>0</v>
      </c>
      <c r="P470" s="4">
        <f>IF(INVESTORS_LIST[[#This Row],[SIP_TOTAL UNITS SOLD]]=0,0,SUMIFS(SIP[Cost of Units Sold],SIP[Investor ID],INVESTORS_LIST[[#This Row],[INVESTOR CODE]],SIP[B/S],"S"))</f>
        <v>0</v>
      </c>
      <c r="Q470" s="6">
        <f>IF(INVESTORS_LIST[[#This Row],[SIP_TOTAL CURRENT UNITS]]=0,0,INVESTORS_LIST[[#This Row],[SIP_TOTAL CURRENT UNITS]]*INVESTORS_LIST[[#This Row],[SIP_AVERAGE COST]])</f>
        <v>0</v>
      </c>
      <c r="R470" s="6">
        <f>IF(INVESTORS_LIST[[#This Row],[SIP_TOTAL UNITS SOLD]]=0,0,SUMIFS(SIP[Realized Gain],SIP[Investor ID],INVESTORS_LIST[[#This Row],[INVESTOR CODE]],SIP[B/S],"S"))</f>
        <v>0</v>
      </c>
      <c r="S470" s="33">
        <f>INVESTORS_LIST[[#This Row],[LS_TOTAL UNITS BUY]]+INVESTORS_LIST[[#This Row],[SIP_TOTAL UNITS BUY]]</f>
        <v>346243</v>
      </c>
      <c r="T470" s="33">
        <f>INVESTORS_LIST[[#This Row],[LS_TOTAL UNITS SOLD]]+INVESTORS_LIST[[#This Row],[SIP_TOTAL UNITS SOLD]]</f>
        <v>0</v>
      </c>
      <c r="U470" s="33">
        <v>0</v>
      </c>
      <c r="V470" s="33">
        <f>SUMIFS(LS[BO UNIT TRANSFER],LS[Investor ID],INVESTORS_LIST[[#This Row],[INVESTOR CODE]],LS[B/S],"B")</f>
        <v>346243</v>
      </c>
      <c r="W470" s="33">
        <f>SUMIFS(LS[BO UNIT TRANSFER],LS[Investor ID],INVESTORS_LIST[[#This Row],[INVESTOR CODE]],LS[B/S],"S")</f>
        <v>0</v>
      </c>
      <c r="X470" s="33">
        <f>SUMIFS(SIP[BO UNIT TRANSFER],SIP[Investor ID],INVESTORS_LIST[[#This Row],[INVESTOR CODE]],SIP[B/S],"S")</f>
        <v>0</v>
      </c>
      <c r="Y470" s="33">
        <f>SUMIFS(SIP[BO UNIT TRANSFER],SIP[Investor ID],INVESTORS_LIST[[#This Row],[INVESTOR CODE]],SIP[B/S],"B")</f>
        <v>0</v>
      </c>
      <c r="Z47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346243</v>
      </c>
      <c r="AA470" s="119">
        <f>INVESTORS_LIST[[#This Row],[TOTAL UNITS BUY]]-INVESTORS_LIST[[#This Row],[TOTAL UNITS SOLD]]</f>
        <v>346243</v>
      </c>
      <c r="AB470" s="119">
        <f>INVESTORS_LIST[[#This Row],[TOTAL CURRENT UNITS]]-INVESTORS_LIST[[#This Row],[BO UNITS HOLD]]</f>
        <v>0</v>
      </c>
      <c r="AC470" s="119" t="e">
        <f>INDEX([4]!Table_1[BO ID],MATCH(INVESTORS_LIST[[#This Row],[INVESTOR CODE]],[4]!Table_1[INVESTOR CODE],0))</f>
        <v>#REF!</v>
      </c>
      <c r="AD470" s="33">
        <f>INVESTORS_LIST[[#This Row],[LS_TOTAL COST VALUE OF CURRENT UNITS]]+INVESTORS_LIST[[#This Row],[SIP_TOTAL COST VALUE OF CURRENT UNITS]]</f>
        <v>4118053.9499999997</v>
      </c>
      <c r="AE470" s="44">
        <f>IF(INVESTORS_LIST[[#This Row],[TOTAL CURRENT UNITS]]=0,0,INVESTORS_LIST[[#This Row],[LS_TOTAL CURRENT UNITS]]/INVESTORS_LIST[[#This Row],[TOTAL CURRENT UNITS]])</f>
        <v>1</v>
      </c>
      <c r="AF470" s="44">
        <f>IF(INVESTORS_LIST[[#This Row],[TOTAL CURRENT UNITS]]=0,0,INVESTORS_LIST[[#This Row],[SIP_TOTAL CURRENT UNITS]]/INVESTORS_LIST[[#This Row],[TOTAL CURRENT UNITS]])</f>
        <v>0</v>
      </c>
      <c r="AG470" s="4" cm="1">
        <f t="array" ref="AG470">IF(INVESTORS_LIST[[#This Row],[LS_TOTAL UNITS BUY]]&gt;0,INDEX(LS[NAV at Cost (Average)],MATCH(CONCATENATE(COUNTIFS(LS[Investor ID],INVESTORS_LIST[[#This Row],[INVESTOR CODE]]),INVESTORS_LIST[[#This Row],[INVESTOR CODE]]),LS[Unique Code],0),),0)</f>
        <v>11.893537053456676</v>
      </c>
      <c r="AH470" s="4" cm="1">
        <f t="array" ref="AH47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70" s="178">
        <f>IF(INVESTORS_LIST[[#This Row],[TOTAL CURRENT UNITS]]=0,0,(INVESTORS_LIST[[#This Row],[LS_WEIGHT]]*INVESTORS_LIST[[#This Row],[LS_AVERAGE COST]])+(INVESTORS_LIST[[#This Row],[SIP_WEIGHT]]*INVESTORS_LIST[[#This Row],[SIP_AVERAGE COST]]))</f>
        <v>11.893537053456676</v>
      </c>
      <c r="AJ470" s="178">
        <f t="shared" ref="AJ470:AJ476" si="9">NAV_MKT</f>
        <v>12.552</v>
      </c>
      <c r="AK470" s="118">
        <f>IF(INVESTORS_LIST[[#This Row],[TOTAL CURRENT UNITS]]=0,0,INVESTORS_LIST[[#This Row],[TOTAL CURRENT UNITS]]*INVESTORS_LIST[[#This Row],[NAV]])</f>
        <v>4346042.1359999999</v>
      </c>
      <c r="AL470" s="4">
        <f>IF(INVESTORS_LIST[[#This Row],[LS_TOTAL CURRENT UNITS]]=0,0,INVESTORS_LIST[[#This Row],[LS_TOTAL CURRENT UNITS]]*INVESTORS_LIST[[#This Row],[NAV]])</f>
        <v>4346042.1359999999</v>
      </c>
      <c r="AM470" s="6">
        <f>IF(INVESTORS_LIST[[#This Row],[SIP_TOTAL CURRENT UNITS]]=0,0,INVESTORS_LIST[[#This Row],[SIP_TOTAL CURRENT UNITS]]*INVESTORS_LIST[[#This Row],[NAV]])</f>
        <v>0</v>
      </c>
      <c r="AO470" s="6">
        <f>IF(INVESTORS_LIST[[#This Row],[TOTAL SELLABLE UNITS]]=0,0,INVESTORS_LIST[[#This Row],[TOTAL SELLABLE UNITS]]*INVESTORS_LIST[[#This Row],[NAV]])</f>
        <v>0</v>
      </c>
      <c r="AP470" s="6">
        <f>INVESTORS_LIST[[#This Row],[LS_TOTAL REALIZED GAIN]]+INVESTORS_LIST[[#This Row],[SIP_TOTAL REALIZED GAIN]]</f>
        <v>0</v>
      </c>
      <c r="AQ470" s="6">
        <f>INVESTORS_LIST[[#This Row],[TOTAL MARKET VALUE]]-INVESTORS_LIST[[#This Row],[TOTAL COST VALUE OF CURRENT INVESTMENT]]</f>
        <v>227988.18600000022</v>
      </c>
      <c r="AR470" s="6">
        <f>SUMIFS(DivAndTax[Tax Amount],DivAndTax[Investor ID],INVESTORS_LIST[[#This Row],[INVESTOR CODE]])</f>
        <v>11805.4</v>
      </c>
      <c r="AS470" s="6">
        <f>SUMIFS(DivAndTax[Gross Dividend],DivAndTax[Investor ID],INVESTORS_LIST[[#This Row],[INVESTOR CODE]])</f>
        <v>118053.95</v>
      </c>
      <c r="AT470" s="5">
        <f>IFERROR(INVESTORS_LIST[[#This Row],[TOTAL CURRENT UNITS]]/SUM(INVESTORS_LIST[TOTAL CURRENT UNITS]),0)</f>
        <v>1.6600563524413317E-2</v>
      </c>
    </row>
    <row r="471" spans="1:46" hidden="1">
      <c r="A471" t="s">
        <v>1044</v>
      </c>
      <c r="B471" t="s">
        <v>1045</v>
      </c>
      <c r="C471" t="s">
        <v>539</v>
      </c>
      <c r="D471" s="8" t="s">
        <v>2</v>
      </c>
      <c r="E471" s="2">
        <f>SUMIFS(LS[Unit],LS[Investor ID],INVESTORS_LIST[[#This Row],[INVESTOR CODE]],LS[B/S],"B")</f>
        <v>0</v>
      </c>
      <c r="F471" s="2">
        <f>-SUMIFS(LS[Unit],LS[Investor ID],INVESTORS_LIST[[#This Row],[INVESTOR CODE]],LS[B/S],"S")</f>
        <v>0</v>
      </c>
      <c r="G471" s="2">
        <f>IF(INVESTORS_LIST[[#This Row],[LS_TOTAL UNITS BUY]]=0,0,INVESTORS_LIST[[#This Row],[LS_TOTAL UNITS BUY]]-INVESTORS_LIST[[#This Row],[LS_TOTAL UNITS SOLD]])</f>
        <v>0</v>
      </c>
      <c r="H471" s="4">
        <f>IF(INVESTORS_LIST[[#This Row],[LS_TOTAL UNITS BUY]]=0,0,SUMIFS(LS[Amount],LS[Investor ID],INVESTORS_LIST[[#This Row],[INVESTOR CODE]],LS[B/S],"B"))</f>
        <v>0</v>
      </c>
      <c r="I471" s="6">
        <f>IF(INVESTORS_LIST[[#This Row],[LS_TOTAL UNITS SOLD]]=0,0,SUMIFS(LS[Cost of Units Sold],LS[Investor ID],INVESTORS_LIST[[#This Row],[INVESTOR CODE]],LS[B/S],"S"))</f>
        <v>0</v>
      </c>
      <c r="J471" s="6">
        <f>IF(INVESTORS_LIST[[#This Row],[LS_TOTAL CURRENT UNITS]]=0,0,INVESTORS_LIST[[#This Row],[LS_TOTAL CURRENT UNITS]]*INVESTORS_LIST[[#This Row],[LS_AVERAGE COST]])</f>
        <v>0</v>
      </c>
      <c r="K471" s="4">
        <f>IF(INVESTORS_LIST[[#This Row],[LS_TOTAL UNITS SOLD]]=0,0,SUMIFS(LS[Realized Gain],LS[Investor ID],INVESTORS_LIST[[#This Row],[INVESTOR CODE]],LS[B/S],"S"))</f>
        <v>0</v>
      </c>
      <c r="L471" s="2">
        <f>SUMIFS(SIP[Unit],SIP[Investor ID],INVESTORS_LIST[[#This Row],[INVESTOR CODE]],SIP[B/S],"B")</f>
        <v>0</v>
      </c>
      <c r="M471" s="2">
        <f>-SUMIFS(SIP[Unit],SIP[Investor ID],INVESTORS_LIST[[#This Row],[INVESTOR CODE]],SIP[B/S],"S")</f>
        <v>0</v>
      </c>
      <c r="N471" s="33">
        <f>IF(INVESTORS_LIST[[#This Row],[SIP_TOTAL UNITS BUY]]=0,0,INVESTORS_LIST[[#This Row],[SIP_TOTAL UNITS BUY]]-INVESTORS_LIST[[#This Row],[SIP_TOTAL UNITS SOLD]])</f>
        <v>0</v>
      </c>
      <c r="O471" s="4">
        <f>IF(INVESTORS_LIST[[#This Row],[SIP_TOTAL UNITS BUY]]=0,0,SUMIFS(SIP[Amount],SIP[Investor ID],INVESTORS_LIST[[#This Row],[INVESTOR CODE]],SIP[B/S],"B"))</f>
        <v>0</v>
      </c>
      <c r="P471" s="4">
        <f>IF(INVESTORS_LIST[[#This Row],[SIP_TOTAL UNITS SOLD]]=0,0,SUMIFS(SIP[Cost of Units Sold],SIP[Investor ID],INVESTORS_LIST[[#This Row],[INVESTOR CODE]],SIP[B/S],"S"))</f>
        <v>0</v>
      </c>
      <c r="Q471" s="6">
        <f>IF(INVESTORS_LIST[[#This Row],[SIP_TOTAL CURRENT UNITS]]=0,0,INVESTORS_LIST[[#This Row],[SIP_TOTAL CURRENT UNITS]]*INVESTORS_LIST[[#This Row],[SIP_AVERAGE COST]])</f>
        <v>0</v>
      </c>
      <c r="R471" s="6">
        <f>IF(INVESTORS_LIST[[#This Row],[SIP_TOTAL UNITS SOLD]]=0,0,SUMIFS(SIP[Realized Gain],SIP[Investor ID],INVESTORS_LIST[[#This Row],[INVESTOR CODE]],SIP[B/S],"S"))</f>
        <v>0</v>
      </c>
      <c r="S471" s="33">
        <f>INVESTORS_LIST[[#This Row],[LS_TOTAL UNITS BUY]]+INVESTORS_LIST[[#This Row],[SIP_TOTAL UNITS BUY]]</f>
        <v>0</v>
      </c>
      <c r="T471" s="33">
        <f>INVESTORS_LIST[[#This Row],[LS_TOTAL UNITS SOLD]]+INVESTORS_LIST[[#This Row],[SIP_TOTAL UNITS SOLD]]</f>
        <v>0</v>
      </c>
      <c r="U471" s="33">
        <v>0</v>
      </c>
      <c r="V471" s="33">
        <f>SUMIFS(LS[BO UNIT TRANSFER],LS[Investor ID],INVESTORS_LIST[[#This Row],[INVESTOR CODE]],LS[B/S],"B")</f>
        <v>0</v>
      </c>
      <c r="W471" s="33">
        <f>SUMIFS(LS[BO UNIT TRANSFER],LS[Investor ID],INVESTORS_LIST[[#This Row],[INVESTOR CODE]],LS[B/S],"S")</f>
        <v>0</v>
      </c>
      <c r="X471" s="33">
        <f>SUMIFS(SIP[BO UNIT TRANSFER],SIP[Investor ID],INVESTORS_LIST[[#This Row],[INVESTOR CODE]],SIP[B/S],"S")</f>
        <v>0</v>
      </c>
      <c r="Y471" s="33">
        <f>SUMIFS(SIP[BO UNIT TRANSFER],SIP[Investor ID],INVESTORS_LIST[[#This Row],[INVESTOR CODE]],SIP[B/S],"B")</f>
        <v>0</v>
      </c>
      <c r="Z47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71" s="119">
        <f>INVESTORS_LIST[[#This Row],[TOTAL UNITS BUY]]-INVESTORS_LIST[[#This Row],[TOTAL UNITS SOLD]]</f>
        <v>0</v>
      </c>
      <c r="AB471" s="119">
        <f>INVESTORS_LIST[[#This Row],[TOTAL CURRENT UNITS]]-INVESTORS_LIST[[#This Row],[BO UNITS HOLD]]</f>
        <v>0</v>
      </c>
      <c r="AC471" s="119" t="e">
        <f>INDEX([4]!Table_1[BO ID],MATCH(INVESTORS_LIST[[#This Row],[INVESTOR CODE]],[4]!Table_1[INVESTOR CODE],0))</f>
        <v>#REF!</v>
      </c>
      <c r="AD471" s="33">
        <f>INVESTORS_LIST[[#This Row],[LS_TOTAL COST VALUE OF CURRENT UNITS]]+INVESTORS_LIST[[#This Row],[SIP_TOTAL COST VALUE OF CURRENT UNITS]]</f>
        <v>0</v>
      </c>
      <c r="AE471" s="44">
        <f>IF(INVESTORS_LIST[[#This Row],[TOTAL CURRENT UNITS]]=0,0,INVESTORS_LIST[[#This Row],[LS_TOTAL CURRENT UNITS]]/INVESTORS_LIST[[#This Row],[TOTAL CURRENT UNITS]])</f>
        <v>0</v>
      </c>
      <c r="AF471" s="44">
        <f>IF(INVESTORS_LIST[[#This Row],[TOTAL CURRENT UNITS]]=0,0,INVESTORS_LIST[[#This Row],[SIP_TOTAL CURRENT UNITS]]/INVESTORS_LIST[[#This Row],[TOTAL CURRENT UNITS]])</f>
        <v>0</v>
      </c>
      <c r="AG471" s="4" cm="1">
        <f t="array" ref="AG47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71" s="4" cm="1">
        <f t="array" ref="AH47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7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71" s="178">
        <f t="shared" si="9"/>
        <v>12.552</v>
      </c>
      <c r="AK471" s="118">
        <f>IF(INVESTORS_LIST[[#This Row],[TOTAL CURRENT UNITS]]=0,0,INVESTORS_LIST[[#This Row],[TOTAL CURRENT UNITS]]*INVESTORS_LIST[[#This Row],[NAV]])</f>
        <v>0</v>
      </c>
      <c r="AL471" s="4">
        <f>IF(INVESTORS_LIST[[#This Row],[LS_TOTAL CURRENT UNITS]]=0,0,INVESTORS_LIST[[#This Row],[LS_TOTAL CURRENT UNITS]]*INVESTORS_LIST[[#This Row],[NAV]])</f>
        <v>0</v>
      </c>
      <c r="AM471" s="6">
        <f>IF(INVESTORS_LIST[[#This Row],[SIP_TOTAL CURRENT UNITS]]=0,0,INVESTORS_LIST[[#This Row],[SIP_TOTAL CURRENT UNITS]]*INVESTORS_LIST[[#This Row],[NAV]])</f>
        <v>0</v>
      </c>
      <c r="AO471" s="6">
        <f>IF(INVESTORS_LIST[[#This Row],[TOTAL SELLABLE UNITS]]=0,0,INVESTORS_LIST[[#This Row],[TOTAL SELLABLE UNITS]]*INVESTORS_LIST[[#This Row],[NAV]])</f>
        <v>0</v>
      </c>
      <c r="AP471" s="6">
        <f>INVESTORS_LIST[[#This Row],[LS_TOTAL REALIZED GAIN]]+INVESTORS_LIST[[#This Row],[SIP_TOTAL REALIZED GAIN]]</f>
        <v>0</v>
      </c>
      <c r="AQ471" s="6">
        <f>INVESTORS_LIST[[#This Row],[TOTAL MARKET VALUE]]-INVESTORS_LIST[[#This Row],[TOTAL COST VALUE OF CURRENT INVESTMENT]]</f>
        <v>0</v>
      </c>
      <c r="AR471" s="6">
        <f>SUMIFS(DivAndTax[Tax Amount],DivAndTax[Investor ID],INVESTORS_LIST[[#This Row],[INVESTOR CODE]])</f>
        <v>0</v>
      </c>
      <c r="AS471" s="6">
        <f>SUMIFS(DivAndTax[Gross Dividend],DivAndTax[Investor ID],INVESTORS_LIST[[#This Row],[INVESTOR CODE]])</f>
        <v>0</v>
      </c>
      <c r="AT471" s="5">
        <f>IFERROR(INVESTORS_LIST[[#This Row],[TOTAL CURRENT UNITS]]/SUM(INVESTORS_LIST[TOTAL CURRENT UNITS]),0)</f>
        <v>0</v>
      </c>
    </row>
    <row r="472" spans="1:46" hidden="1">
      <c r="A472" t="s">
        <v>1046</v>
      </c>
      <c r="B472" t="s">
        <v>1047</v>
      </c>
      <c r="C472" t="s">
        <v>536</v>
      </c>
      <c r="D472" s="8" t="s">
        <v>2</v>
      </c>
      <c r="E472" s="2">
        <f>SUMIFS(LS[Unit],LS[Investor ID],INVESTORS_LIST[[#This Row],[INVESTOR CODE]],LS[B/S],"B")</f>
        <v>0</v>
      </c>
      <c r="F472" s="2">
        <f>-SUMIFS(LS[Unit],LS[Investor ID],INVESTORS_LIST[[#This Row],[INVESTOR CODE]],LS[B/S],"S")</f>
        <v>0</v>
      </c>
      <c r="G472" s="2">
        <f>IF(INVESTORS_LIST[[#This Row],[LS_TOTAL UNITS BUY]]=0,0,INVESTORS_LIST[[#This Row],[LS_TOTAL UNITS BUY]]-INVESTORS_LIST[[#This Row],[LS_TOTAL UNITS SOLD]])</f>
        <v>0</v>
      </c>
      <c r="H472" s="4">
        <f>IF(INVESTORS_LIST[[#This Row],[LS_TOTAL UNITS BUY]]=0,0,SUMIFS(LS[Amount],LS[Investor ID],INVESTORS_LIST[[#This Row],[INVESTOR CODE]],LS[B/S],"B"))</f>
        <v>0</v>
      </c>
      <c r="I472" s="6">
        <f>IF(INVESTORS_LIST[[#This Row],[LS_TOTAL UNITS SOLD]]=0,0,SUMIFS(LS[Cost of Units Sold],LS[Investor ID],INVESTORS_LIST[[#This Row],[INVESTOR CODE]],LS[B/S],"S"))</f>
        <v>0</v>
      </c>
      <c r="J472" s="6">
        <f>IF(INVESTORS_LIST[[#This Row],[LS_TOTAL CURRENT UNITS]]=0,0,INVESTORS_LIST[[#This Row],[LS_TOTAL CURRENT UNITS]]*INVESTORS_LIST[[#This Row],[LS_AVERAGE COST]])</f>
        <v>0</v>
      </c>
      <c r="K472" s="4">
        <f>IF(INVESTORS_LIST[[#This Row],[LS_TOTAL UNITS SOLD]]=0,0,SUMIFS(LS[Realized Gain],LS[Investor ID],INVESTORS_LIST[[#This Row],[INVESTOR CODE]],LS[B/S],"S"))</f>
        <v>0</v>
      </c>
      <c r="L472" s="2">
        <f>SUMIFS(SIP[Unit],SIP[Investor ID],INVESTORS_LIST[[#This Row],[INVESTOR CODE]],SIP[B/S],"B")</f>
        <v>0</v>
      </c>
      <c r="M472" s="2">
        <f>-SUMIFS(SIP[Unit],SIP[Investor ID],INVESTORS_LIST[[#This Row],[INVESTOR CODE]],SIP[B/S],"S")</f>
        <v>0</v>
      </c>
      <c r="N472" s="33">
        <f>IF(INVESTORS_LIST[[#This Row],[SIP_TOTAL UNITS BUY]]=0,0,INVESTORS_LIST[[#This Row],[SIP_TOTAL UNITS BUY]]-INVESTORS_LIST[[#This Row],[SIP_TOTAL UNITS SOLD]])</f>
        <v>0</v>
      </c>
      <c r="O472" s="4">
        <f>IF(INVESTORS_LIST[[#This Row],[SIP_TOTAL UNITS BUY]]=0,0,SUMIFS(SIP[Amount],SIP[Investor ID],INVESTORS_LIST[[#This Row],[INVESTOR CODE]],SIP[B/S],"B"))</f>
        <v>0</v>
      </c>
      <c r="P472" s="4">
        <f>IF(INVESTORS_LIST[[#This Row],[SIP_TOTAL UNITS SOLD]]=0,0,SUMIFS(SIP[Cost of Units Sold],SIP[Investor ID],INVESTORS_LIST[[#This Row],[INVESTOR CODE]],SIP[B/S],"S"))</f>
        <v>0</v>
      </c>
      <c r="Q472" s="6">
        <f>IF(INVESTORS_LIST[[#This Row],[SIP_TOTAL CURRENT UNITS]]=0,0,INVESTORS_LIST[[#This Row],[SIP_TOTAL CURRENT UNITS]]*INVESTORS_LIST[[#This Row],[SIP_AVERAGE COST]])</f>
        <v>0</v>
      </c>
      <c r="R472" s="6">
        <f>IF(INVESTORS_LIST[[#This Row],[SIP_TOTAL UNITS SOLD]]=0,0,SUMIFS(SIP[Realized Gain],SIP[Investor ID],INVESTORS_LIST[[#This Row],[INVESTOR CODE]],SIP[B/S],"S"))</f>
        <v>0</v>
      </c>
      <c r="S472" s="33">
        <f>INVESTORS_LIST[[#This Row],[LS_TOTAL UNITS BUY]]+INVESTORS_LIST[[#This Row],[SIP_TOTAL UNITS BUY]]</f>
        <v>0</v>
      </c>
      <c r="T472" s="33">
        <f>INVESTORS_LIST[[#This Row],[LS_TOTAL UNITS SOLD]]+INVESTORS_LIST[[#This Row],[SIP_TOTAL UNITS SOLD]]</f>
        <v>0</v>
      </c>
      <c r="U472" s="33">
        <v>0</v>
      </c>
      <c r="V472" s="33">
        <f>SUMIFS(LS[BO UNIT TRANSFER],LS[Investor ID],INVESTORS_LIST[[#This Row],[INVESTOR CODE]],LS[B/S],"B")</f>
        <v>0</v>
      </c>
      <c r="W472" s="33">
        <f>SUMIFS(LS[BO UNIT TRANSFER],LS[Investor ID],INVESTORS_LIST[[#This Row],[INVESTOR CODE]],LS[B/S],"S")</f>
        <v>0</v>
      </c>
      <c r="X472" s="33">
        <f>SUMIFS(SIP[BO UNIT TRANSFER],SIP[Investor ID],INVESTORS_LIST[[#This Row],[INVESTOR CODE]],SIP[B/S],"S")</f>
        <v>0</v>
      </c>
      <c r="Y472" s="33">
        <f>SUMIFS(SIP[BO UNIT TRANSFER],SIP[Investor ID],INVESTORS_LIST[[#This Row],[INVESTOR CODE]],SIP[B/S],"B")</f>
        <v>0</v>
      </c>
      <c r="Z47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72" s="119">
        <f>INVESTORS_LIST[[#This Row],[TOTAL UNITS BUY]]-INVESTORS_LIST[[#This Row],[TOTAL UNITS SOLD]]</f>
        <v>0</v>
      </c>
      <c r="AB472" s="119">
        <f>INVESTORS_LIST[[#This Row],[TOTAL CURRENT UNITS]]-INVESTORS_LIST[[#This Row],[BO UNITS HOLD]]</f>
        <v>0</v>
      </c>
      <c r="AC472" s="119" t="e">
        <f>INDEX([4]!Table_1[BO ID],MATCH(INVESTORS_LIST[[#This Row],[INVESTOR CODE]],[4]!Table_1[INVESTOR CODE],0))</f>
        <v>#REF!</v>
      </c>
      <c r="AD472" s="33">
        <f>INVESTORS_LIST[[#This Row],[LS_TOTAL COST VALUE OF CURRENT UNITS]]+INVESTORS_LIST[[#This Row],[SIP_TOTAL COST VALUE OF CURRENT UNITS]]</f>
        <v>0</v>
      </c>
      <c r="AE472" s="44">
        <f>IF(INVESTORS_LIST[[#This Row],[TOTAL CURRENT UNITS]]=0,0,INVESTORS_LIST[[#This Row],[LS_TOTAL CURRENT UNITS]]/INVESTORS_LIST[[#This Row],[TOTAL CURRENT UNITS]])</f>
        <v>0</v>
      </c>
      <c r="AF472" s="44">
        <f>IF(INVESTORS_LIST[[#This Row],[TOTAL CURRENT UNITS]]=0,0,INVESTORS_LIST[[#This Row],[SIP_TOTAL CURRENT UNITS]]/INVESTORS_LIST[[#This Row],[TOTAL CURRENT UNITS]])</f>
        <v>0</v>
      </c>
      <c r="AG472" s="4" cm="1">
        <f t="array" ref="AG47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72" s="4" cm="1">
        <f t="array" ref="AH47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7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72" s="178">
        <f t="shared" si="9"/>
        <v>12.552</v>
      </c>
      <c r="AK472" s="118">
        <f>IF(INVESTORS_LIST[[#This Row],[TOTAL CURRENT UNITS]]=0,0,INVESTORS_LIST[[#This Row],[TOTAL CURRENT UNITS]]*INVESTORS_LIST[[#This Row],[NAV]])</f>
        <v>0</v>
      </c>
      <c r="AL472" s="4">
        <f>IF(INVESTORS_LIST[[#This Row],[LS_TOTAL CURRENT UNITS]]=0,0,INVESTORS_LIST[[#This Row],[LS_TOTAL CURRENT UNITS]]*INVESTORS_LIST[[#This Row],[NAV]])</f>
        <v>0</v>
      </c>
      <c r="AM472" s="6">
        <f>IF(INVESTORS_LIST[[#This Row],[SIP_TOTAL CURRENT UNITS]]=0,0,INVESTORS_LIST[[#This Row],[SIP_TOTAL CURRENT UNITS]]*INVESTORS_LIST[[#This Row],[NAV]])</f>
        <v>0</v>
      </c>
      <c r="AO472" s="6">
        <f>IF(INVESTORS_LIST[[#This Row],[TOTAL SELLABLE UNITS]]=0,0,INVESTORS_LIST[[#This Row],[TOTAL SELLABLE UNITS]]*INVESTORS_LIST[[#This Row],[NAV]])</f>
        <v>0</v>
      </c>
      <c r="AP472" s="6">
        <f>INVESTORS_LIST[[#This Row],[LS_TOTAL REALIZED GAIN]]+INVESTORS_LIST[[#This Row],[SIP_TOTAL REALIZED GAIN]]</f>
        <v>0</v>
      </c>
      <c r="AQ472" s="6">
        <f>INVESTORS_LIST[[#This Row],[TOTAL MARKET VALUE]]-INVESTORS_LIST[[#This Row],[TOTAL COST VALUE OF CURRENT INVESTMENT]]</f>
        <v>0</v>
      </c>
      <c r="AR472" s="6">
        <f>SUMIFS(DivAndTax[Tax Amount],DivAndTax[Investor ID],INVESTORS_LIST[[#This Row],[INVESTOR CODE]])</f>
        <v>0</v>
      </c>
      <c r="AS472" s="6">
        <f>SUMIFS(DivAndTax[Gross Dividend],DivAndTax[Investor ID],INVESTORS_LIST[[#This Row],[INVESTOR CODE]])</f>
        <v>0</v>
      </c>
      <c r="AT472" s="5">
        <f>IFERROR(INVESTORS_LIST[[#This Row],[TOTAL CURRENT UNITS]]/SUM(INVESTORS_LIST[TOTAL CURRENT UNITS]),0)</f>
        <v>0</v>
      </c>
    </row>
    <row r="473" spans="1:46" hidden="1">
      <c r="A473" t="s">
        <v>1052</v>
      </c>
      <c r="B473" t="s">
        <v>1053</v>
      </c>
      <c r="C473" t="s">
        <v>536</v>
      </c>
      <c r="D473" s="8" t="s">
        <v>2</v>
      </c>
      <c r="E473" s="2">
        <f>SUMIFS(LS[Unit],LS[Investor ID],INVESTORS_LIST[[#This Row],[INVESTOR CODE]],LS[B/S],"B")</f>
        <v>0</v>
      </c>
      <c r="F473" s="2">
        <f>-SUMIFS(LS[Unit],LS[Investor ID],INVESTORS_LIST[[#This Row],[INVESTOR CODE]],LS[B/S],"S")</f>
        <v>0</v>
      </c>
      <c r="G473" s="2">
        <f>IF(INVESTORS_LIST[[#This Row],[LS_TOTAL UNITS BUY]]=0,0,INVESTORS_LIST[[#This Row],[LS_TOTAL UNITS BUY]]-INVESTORS_LIST[[#This Row],[LS_TOTAL UNITS SOLD]])</f>
        <v>0</v>
      </c>
      <c r="H473" s="4">
        <f>IF(INVESTORS_LIST[[#This Row],[LS_TOTAL UNITS BUY]]=0,0,SUMIFS(LS[Amount],LS[Investor ID],INVESTORS_LIST[[#This Row],[INVESTOR CODE]],LS[B/S],"B"))</f>
        <v>0</v>
      </c>
      <c r="I473" s="6">
        <f>IF(INVESTORS_LIST[[#This Row],[LS_TOTAL UNITS SOLD]]=0,0,SUMIFS(LS[Cost of Units Sold],LS[Investor ID],INVESTORS_LIST[[#This Row],[INVESTOR CODE]],LS[B/S],"S"))</f>
        <v>0</v>
      </c>
      <c r="J473" s="6">
        <f>IF(INVESTORS_LIST[[#This Row],[LS_TOTAL CURRENT UNITS]]=0,0,INVESTORS_LIST[[#This Row],[LS_TOTAL CURRENT UNITS]]*INVESTORS_LIST[[#This Row],[LS_AVERAGE COST]])</f>
        <v>0</v>
      </c>
      <c r="K473" s="4">
        <f>IF(INVESTORS_LIST[[#This Row],[LS_TOTAL UNITS SOLD]]=0,0,SUMIFS(LS[Realized Gain],LS[Investor ID],INVESTORS_LIST[[#This Row],[INVESTOR CODE]],LS[B/S],"S"))</f>
        <v>0</v>
      </c>
      <c r="L473" s="2">
        <f>SUMIFS(SIP[Unit],SIP[Investor ID],INVESTORS_LIST[[#This Row],[INVESTOR CODE]],SIP[B/S],"B")</f>
        <v>0</v>
      </c>
      <c r="M473" s="2">
        <f>-SUMIFS(SIP[Unit],SIP[Investor ID],INVESTORS_LIST[[#This Row],[INVESTOR CODE]],SIP[B/S],"S")</f>
        <v>0</v>
      </c>
      <c r="N473" s="33">
        <f>IF(INVESTORS_LIST[[#This Row],[SIP_TOTAL UNITS BUY]]=0,0,INVESTORS_LIST[[#This Row],[SIP_TOTAL UNITS BUY]]-INVESTORS_LIST[[#This Row],[SIP_TOTAL UNITS SOLD]])</f>
        <v>0</v>
      </c>
      <c r="O473" s="4">
        <f>IF(INVESTORS_LIST[[#This Row],[SIP_TOTAL UNITS BUY]]=0,0,SUMIFS(SIP[Amount],SIP[Investor ID],INVESTORS_LIST[[#This Row],[INVESTOR CODE]],SIP[B/S],"B"))</f>
        <v>0</v>
      </c>
      <c r="P473" s="4">
        <f>IF(INVESTORS_LIST[[#This Row],[SIP_TOTAL UNITS SOLD]]=0,0,SUMIFS(SIP[Cost of Units Sold],SIP[Investor ID],INVESTORS_LIST[[#This Row],[INVESTOR CODE]],SIP[B/S],"S"))</f>
        <v>0</v>
      </c>
      <c r="Q473" s="6">
        <f>IF(INVESTORS_LIST[[#This Row],[SIP_TOTAL CURRENT UNITS]]=0,0,INVESTORS_LIST[[#This Row],[SIP_TOTAL CURRENT UNITS]]*INVESTORS_LIST[[#This Row],[SIP_AVERAGE COST]])</f>
        <v>0</v>
      </c>
      <c r="R473" s="6">
        <f>IF(INVESTORS_LIST[[#This Row],[SIP_TOTAL UNITS SOLD]]=0,0,SUMIFS(SIP[Realized Gain],SIP[Investor ID],INVESTORS_LIST[[#This Row],[INVESTOR CODE]],SIP[B/S],"S"))</f>
        <v>0</v>
      </c>
      <c r="S473" s="33">
        <f>INVESTORS_LIST[[#This Row],[LS_TOTAL UNITS BUY]]+INVESTORS_LIST[[#This Row],[SIP_TOTAL UNITS BUY]]</f>
        <v>0</v>
      </c>
      <c r="T473" s="33">
        <f>INVESTORS_LIST[[#This Row],[LS_TOTAL UNITS SOLD]]+INVESTORS_LIST[[#This Row],[SIP_TOTAL UNITS SOLD]]</f>
        <v>0</v>
      </c>
      <c r="U473" s="33">
        <v>0</v>
      </c>
      <c r="V473" s="33">
        <f>SUMIFS(LS[BO UNIT TRANSFER],LS[Investor ID],INVESTORS_LIST[[#This Row],[INVESTOR CODE]],LS[B/S],"B")</f>
        <v>0</v>
      </c>
      <c r="W473" s="33">
        <f>SUMIFS(LS[BO UNIT TRANSFER],LS[Investor ID],INVESTORS_LIST[[#This Row],[INVESTOR CODE]],LS[B/S],"S")</f>
        <v>0</v>
      </c>
      <c r="X473" s="33">
        <f>SUMIFS(SIP[BO UNIT TRANSFER],SIP[Investor ID],INVESTORS_LIST[[#This Row],[INVESTOR CODE]],SIP[B/S],"S")</f>
        <v>0</v>
      </c>
      <c r="Y473" s="33">
        <f>SUMIFS(SIP[BO UNIT TRANSFER],SIP[Investor ID],INVESTORS_LIST[[#This Row],[INVESTOR CODE]],SIP[B/S],"B")</f>
        <v>0</v>
      </c>
      <c r="Z47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73" s="119">
        <f>INVESTORS_LIST[[#This Row],[TOTAL UNITS BUY]]-INVESTORS_LIST[[#This Row],[TOTAL UNITS SOLD]]</f>
        <v>0</v>
      </c>
      <c r="AB473" s="119">
        <f>INVESTORS_LIST[[#This Row],[TOTAL CURRENT UNITS]]-INVESTORS_LIST[[#This Row],[BO UNITS HOLD]]</f>
        <v>0</v>
      </c>
      <c r="AC473" s="119" t="e">
        <f>INDEX([4]!Table_1[BO ID],MATCH(INVESTORS_LIST[[#This Row],[INVESTOR CODE]],[4]!Table_1[INVESTOR CODE],0))</f>
        <v>#REF!</v>
      </c>
      <c r="AD473" s="33">
        <f>INVESTORS_LIST[[#This Row],[LS_TOTAL COST VALUE OF CURRENT UNITS]]+INVESTORS_LIST[[#This Row],[SIP_TOTAL COST VALUE OF CURRENT UNITS]]</f>
        <v>0</v>
      </c>
      <c r="AE473" s="44">
        <f>IF(INVESTORS_LIST[[#This Row],[TOTAL CURRENT UNITS]]=0,0,INVESTORS_LIST[[#This Row],[LS_TOTAL CURRENT UNITS]]/INVESTORS_LIST[[#This Row],[TOTAL CURRENT UNITS]])</f>
        <v>0</v>
      </c>
      <c r="AF473" s="44">
        <f>IF(INVESTORS_LIST[[#This Row],[TOTAL CURRENT UNITS]]=0,0,INVESTORS_LIST[[#This Row],[SIP_TOTAL CURRENT UNITS]]/INVESTORS_LIST[[#This Row],[TOTAL CURRENT UNITS]])</f>
        <v>0</v>
      </c>
      <c r="AG473" s="4" cm="1">
        <f t="array" ref="AG47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73" s="4" cm="1">
        <f t="array" ref="AH4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7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73" s="178">
        <f t="shared" si="9"/>
        <v>12.552</v>
      </c>
      <c r="AK473" s="118">
        <f>IF(INVESTORS_LIST[[#This Row],[TOTAL CURRENT UNITS]]=0,0,INVESTORS_LIST[[#This Row],[TOTAL CURRENT UNITS]]*INVESTORS_LIST[[#This Row],[NAV]])</f>
        <v>0</v>
      </c>
      <c r="AL473" s="4">
        <f>IF(INVESTORS_LIST[[#This Row],[LS_TOTAL CURRENT UNITS]]=0,0,INVESTORS_LIST[[#This Row],[LS_TOTAL CURRENT UNITS]]*INVESTORS_LIST[[#This Row],[NAV]])</f>
        <v>0</v>
      </c>
      <c r="AM473" s="6">
        <f>IF(INVESTORS_LIST[[#This Row],[SIP_TOTAL CURRENT UNITS]]=0,0,INVESTORS_LIST[[#This Row],[SIP_TOTAL CURRENT UNITS]]*INVESTORS_LIST[[#This Row],[NAV]])</f>
        <v>0</v>
      </c>
      <c r="AO473" s="6">
        <f>IF(INVESTORS_LIST[[#This Row],[TOTAL SELLABLE UNITS]]=0,0,INVESTORS_LIST[[#This Row],[TOTAL SELLABLE UNITS]]*INVESTORS_LIST[[#This Row],[NAV]])</f>
        <v>0</v>
      </c>
      <c r="AP473" s="6">
        <f>INVESTORS_LIST[[#This Row],[LS_TOTAL REALIZED GAIN]]+INVESTORS_LIST[[#This Row],[SIP_TOTAL REALIZED GAIN]]</f>
        <v>0</v>
      </c>
      <c r="AQ473" s="6">
        <f>INVESTORS_LIST[[#This Row],[TOTAL MARKET VALUE]]-INVESTORS_LIST[[#This Row],[TOTAL COST VALUE OF CURRENT INVESTMENT]]</f>
        <v>0</v>
      </c>
      <c r="AR473" s="6">
        <f>SUMIFS(DivAndTax[Tax Amount],DivAndTax[Investor ID],INVESTORS_LIST[[#This Row],[INVESTOR CODE]])</f>
        <v>0</v>
      </c>
      <c r="AS473" s="6">
        <f>SUMIFS(DivAndTax[Gross Dividend],DivAndTax[Investor ID],INVESTORS_LIST[[#This Row],[INVESTOR CODE]])</f>
        <v>0</v>
      </c>
      <c r="AT473" s="5">
        <f>IFERROR(INVESTORS_LIST[[#This Row],[TOTAL CURRENT UNITS]]/SUM(INVESTORS_LIST[TOTAL CURRENT UNITS]),0)</f>
        <v>0</v>
      </c>
    </row>
    <row r="474" spans="1:46" hidden="1">
      <c r="A474" t="s">
        <v>1054</v>
      </c>
      <c r="B474" t="s">
        <v>1055</v>
      </c>
      <c r="C474" t="s">
        <v>536</v>
      </c>
      <c r="D474" s="8" t="s">
        <v>2</v>
      </c>
      <c r="E474" s="2">
        <f>SUMIFS(LS[Unit],LS[Investor ID],INVESTORS_LIST[[#This Row],[INVESTOR CODE]],LS[B/S],"B")</f>
        <v>0</v>
      </c>
      <c r="F474" s="2">
        <f>-SUMIFS(LS[Unit],LS[Investor ID],INVESTORS_LIST[[#This Row],[INVESTOR CODE]],LS[B/S],"S")</f>
        <v>0</v>
      </c>
      <c r="G474" s="2">
        <f>IF(INVESTORS_LIST[[#This Row],[LS_TOTAL UNITS BUY]]=0,0,INVESTORS_LIST[[#This Row],[LS_TOTAL UNITS BUY]]-INVESTORS_LIST[[#This Row],[LS_TOTAL UNITS SOLD]])</f>
        <v>0</v>
      </c>
      <c r="H474" s="4">
        <f>IF(INVESTORS_LIST[[#This Row],[LS_TOTAL UNITS BUY]]=0,0,SUMIFS(LS[Amount],LS[Investor ID],INVESTORS_LIST[[#This Row],[INVESTOR CODE]],LS[B/S],"B"))</f>
        <v>0</v>
      </c>
      <c r="I474" s="6">
        <f>IF(INVESTORS_LIST[[#This Row],[LS_TOTAL UNITS SOLD]]=0,0,SUMIFS(LS[Cost of Units Sold],LS[Investor ID],INVESTORS_LIST[[#This Row],[INVESTOR CODE]],LS[B/S],"S"))</f>
        <v>0</v>
      </c>
      <c r="J474" s="6">
        <f>IF(INVESTORS_LIST[[#This Row],[LS_TOTAL CURRENT UNITS]]=0,0,INVESTORS_LIST[[#This Row],[LS_TOTAL CURRENT UNITS]]*INVESTORS_LIST[[#This Row],[LS_AVERAGE COST]])</f>
        <v>0</v>
      </c>
      <c r="K474" s="4">
        <f>IF(INVESTORS_LIST[[#This Row],[LS_TOTAL UNITS SOLD]]=0,0,SUMIFS(LS[Realized Gain],LS[Investor ID],INVESTORS_LIST[[#This Row],[INVESTOR CODE]],LS[B/S],"S"))</f>
        <v>0</v>
      </c>
      <c r="L474" s="2">
        <f>SUMIFS(SIP[Unit],SIP[Investor ID],INVESTORS_LIST[[#This Row],[INVESTOR CODE]],SIP[B/S],"B")</f>
        <v>0</v>
      </c>
      <c r="M474" s="2">
        <f>-SUMIFS(SIP[Unit],SIP[Investor ID],INVESTORS_LIST[[#This Row],[INVESTOR CODE]],SIP[B/S],"S")</f>
        <v>0</v>
      </c>
      <c r="N474" s="33">
        <f>IF(INVESTORS_LIST[[#This Row],[SIP_TOTAL UNITS BUY]]=0,0,INVESTORS_LIST[[#This Row],[SIP_TOTAL UNITS BUY]]-INVESTORS_LIST[[#This Row],[SIP_TOTAL UNITS SOLD]])</f>
        <v>0</v>
      </c>
      <c r="O474" s="4">
        <f>IF(INVESTORS_LIST[[#This Row],[SIP_TOTAL UNITS BUY]]=0,0,SUMIFS(SIP[Amount],SIP[Investor ID],INVESTORS_LIST[[#This Row],[INVESTOR CODE]],SIP[B/S],"B"))</f>
        <v>0</v>
      </c>
      <c r="P474" s="4">
        <f>IF(INVESTORS_LIST[[#This Row],[SIP_TOTAL UNITS SOLD]]=0,0,SUMIFS(SIP[Cost of Units Sold],SIP[Investor ID],INVESTORS_LIST[[#This Row],[INVESTOR CODE]],SIP[B/S],"S"))</f>
        <v>0</v>
      </c>
      <c r="Q474" s="6">
        <f>IF(INVESTORS_LIST[[#This Row],[SIP_TOTAL CURRENT UNITS]]=0,0,INVESTORS_LIST[[#This Row],[SIP_TOTAL CURRENT UNITS]]*INVESTORS_LIST[[#This Row],[SIP_AVERAGE COST]])</f>
        <v>0</v>
      </c>
      <c r="R474" s="6">
        <f>IF(INVESTORS_LIST[[#This Row],[SIP_TOTAL UNITS SOLD]]=0,0,SUMIFS(SIP[Realized Gain],SIP[Investor ID],INVESTORS_LIST[[#This Row],[INVESTOR CODE]],SIP[B/S],"S"))</f>
        <v>0</v>
      </c>
      <c r="S474" s="33">
        <f>INVESTORS_LIST[[#This Row],[LS_TOTAL UNITS BUY]]+INVESTORS_LIST[[#This Row],[SIP_TOTAL UNITS BUY]]</f>
        <v>0</v>
      </c>
      <c r="T474" s="33">
        <f>INVESTORS_LIST[[#This Row],[LS_TOTAL UNITS SOLD]]+INVESTORS_LIST[[#This Row],[SIP_TOTAL UNITS SOLD]]</f>
        <v>0</v>
      </c>
      <c r="U474" s="33">
        <v>0</v>
      </c>
      <c r="V474" s="33">
        <f>SUMIFS(LS[BO UNIT TRANSFER],LS[Investor ID],INVESTORS_LIST[[#This Row],[INVESTOR CODE]],LS[B/S],"B")</f>
        <v>0</v>
      </c>
      <c r="W474" s="33">
        <f>SUMIFS(LS[BO UNIT TRANSFER],LS[Investor ID],INVESTORS_LIST[[#This Row],[INVESTOR CODE]],LS[B/S],"S")</f>
        <v>0</v>
      </c>
      <c r="X474" s="33">
        <f>SUMIFS(SIP[BO UNIT TRANSFER],SIP[Investor ID],INVESTORS_LIST[[#This Row],[INVESTOR CODE]],SIP[B/S],"S")</f>
        <v>0</v>
      </c>
      <c r="Y474" s="33">
        <f>SUMIFS(SIP[BO UNIT TRANSFER],SIP[Investor ID],INVESTORS_LIST[[#This Row],[INVESTOR CODE]],SIP[B/S],"B")</f>
        <v>0</v>
      </c>
      <c r="Z47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74" s="119">
        <f>INVESTORS_LIST[[#This Row],[TOTAL UNITS BUY]]-INVESTORS_LIST[[#This Row],[TOTAL UNITS SOLD]]</f>
        <v>0</v>
      </c>
      <c r="AB474" s="119">
        <f>INVESTORS_LIST[[#This Row],[TOTAL CURRENT UNITS]]-INVESTORS_LIST[[#This Row],[BO UNITS HOLD]]</f>
        <v>0</v>
      </c>
      <c r="AC474" s="119" t="e">
        <f>INDEX([4]!Table_1[BO ID],MATCH(INVESTORS_LIST[[#This Row],[INVESTOR CODE]],[4]!Table_1[INVESTOR CODE],0))</f>
        <v>#REF!</v>
      </c>
      <c r="AD474" s="33">
        <f>INVESTORS_LIST[[#This Row],[LS_TOTAL COST VALUE OF CURRENT UNITS]]+INVESTORS_LIST[[#This Row],[SIP_TOTAL COST VALUE OF CURRENT UNITS]]</f>
        <v>0</v>
      </c>
      <c r="AE474" s="44">
        <f>IF(INVESTORS_LIST[[#This Row],[TOTAL CURRENT UNITS]]=0,0,INVESTORS_LIST[[#This Row],[LS_TOTAL CURRENT UNITS]]/INVESTORS_LIST[[#This Row],[TOTAL CURRENT UNITS]])</f>
        <v>0</v>
      </c>
      <c r="AF474" s="44">
        <f>IF(INVESTORS_LIST[[#This Row],[TOTAL CURRENT UNITS]]=0,0,INVESTORS_LIST[[#This Row],[SIP_TOTAL CURRENT UNITS]]/INVESTORS_LIST[[#This Row],[TOTAL CURRENT UNITS]])</f>
        <v>0</v>
      </c>
      <c r="AG474" s="4" cm="1">
        <f t="array" ref="AG47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74" s="4" cm="1">
        <f t="array" ref="AH47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7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74" s="178">
        <f t="shared" si="9"/>
        <v>12.552</v>
      </c>
      <c r="AK474" s="118">
        <f>IF(INVESTORS_LIST[[#This Row],[TOTAL CURRENT UNITS]]=0,0,INVESTORS_LIST[[#This Row],[TOTAL CURRENT UNITS]]*INVESTORS_LIST[[#This Row],[NAV]])</f>
        <v>0</v>
      </c>
      <c r="AL474" s="4">
        <f>IF(INVESTORS_LIST[[#This Row],[LS_TOTAL CURRENT UNITS]]=0,0,INVESTORS_LIST[[#This Row],[LS_TOTAL CURRENT UNITS]]*INVESTORS_LIST[[#This Row],[NAV]])</f>
        <v>0</v>
      </c>
      <c r="AM474" s="6">
        <f>IF(INVESTORS_LIST[[#This Row],[SIP_TOTAL CURRENT UNITS]]=0,0,INVESTORS_LIST[[#This Row],[SIP_TOTAL CURRENT UNITS]]*INVESTORS_LIST[[#This Row],[NAV]])</f>
        <v>0</v>
      </c>
      <c r="AO474" s="6">
        <f>IF(INVESTORS_LIST[[#This Row],[TOTAL SELLABLE UNITS]]=0,0,INVESTORS_LIST[[#This Row],[TOTAL SELLABLE UNITS]]*INVESTORS_LIST[[#This Row],[NAV]])</f>
        <v>0</v>
      </c>
      <c r="AP474" s="6">
        <f>INVESTORS_LIST[[#This Row],[LS_TOTAL REALIZED GAIN]]+INVESTORS_LIST[[#This Row],[SIP_TOTAL REALIZED GAIN]]</f>
        <v>0</v>
      </c>
      <c r="AQ474" s="6">
        <f>INVESTORS_LIST[[#This Row],[TOTAL MARKET VALUE]]-INVESTORS_LIST[[#This Row],[TOTAL COST VALUE OF CURRENT INVESTMENT]]</f>
        <v>0</v>
      </c>
      <c r="AR474" s="6">
        <f>SUMIFS(DivAndTax[Tax Amount],DivAndTax[Investor ID],INVESTORS_LIST[[#This Row],[INVESTOR CODE]])</f>
        <v>0</v>
      </c>
      <c r="AS474" s="6">
        <f>SUMIFS(DivAndTax[Gross Dividend],DivAndTax[Investor ID],INVESTORS_LIST[[#This Row],[INVESTOR CODE]])</f>
        <v>0</v>
      </c>
      <c r="AT474" s="5">
        <f>IFERROR(INVESTORS_LIST[[#This Row],[TOTAL CURRENT UNITS]]/SUM(INVESTORS_LIST[TOTAL CURRENT UNITS]),0)</f>
        <v>0</v>
      </c>
    </row>
    <row r="475" spans="1:46" hidden="1">
      <c r="A475" t="s">
        <v>1056</v>
      </c>
      <c r="B475" t="s">
        <v>1057</v>
      </c>
      <c r="C475" t="s">
        <v>536</v>
      </c>
      <c r="D475" s="8" t="s">
        <v>2</v>
      </c>
      <c r="E475" s="2">
        <f>SUMIFS(LS[Unit],LS[Investor ID],INVESTORS_LIST[[#This Row],[INVESTOR CODE]],LS[B/S],"B")</f>
        <v>0</v>
      </c>
      <c r="F475" s="2">
        <f>-SUMIFS(LS[Unit],LS[Investor ID],INVESTORS_LIST[[#This Row],[INVESTOR CODE]],LS[B/S],"S")</f>
        <v>0</v>
      </c>
      <c r="G475" s="2">
        <f>IF(INVESTORS_LIST[[#This Row],[LS_TOTAL UNITS BUY]]=0,0,INVESTORS_LIST[[#This Row],[LS_TOTAL UNITS BUY]]-INVESTORS_LIST[[#This Row],[LS_TOTAL UNITS SOLD]])</f>
        <v>0</v>
      </c>
      <c r="H475" s="4">
        <f>IF(INVESTORS_LIST[[#This Row],[LS_TOTAL UNITS BUY]]=0,0,SUMIFS(LS[Amount],LS[Investor ID],INVESTORS_LIST[[#This Row],[INVESTOR CODE]],LS[B/S],"B"))</f>
        <v>0</v>
      </c>
      <c r="I475" s="6">
        <f>IF(INVESTORS_LIST[[#This Row],[LS_TOTAL UNITS SOLD]]=0,0,SUMIFS(LS[Cost of Units Sold],LS[Investor ID],INVESTORS_LIST[[#This Row],[INVESTOR CODE]],LS[B/S],"S"))</f>
        <v>0</v>
      </c>
      <c r="J475" s="6">
        <f>IF(INVESTORS_LIST[[#This Row],[LS_TOTAL CURRENT UNITS]]=0,0,INVESTORS_LIST[[#This Row],[LS_TOTAL CURRENT UNITS]]*INVESTORS_LIST[[#This Row],[LS_AVERAGE COST]])</f>
        <v>0</v>
      </c>
      <c r="K475" s="4">
        <f>IF(INVESTORS_LIST[[#This Row],[LS_TOTAL UNITS SOLD]]=0,0,SUMIFS(LS[Realized Gain],LS[Investor ID],INVESTORS_LIST[[#This Row],[INVESTOR CODE]],LS[B/S],"S"))</f>
        <v>0</v>
      </c>
      <c r="L475" s="2">
        <f>SUMIFS(SIP[Unit],SIP[Investor ID],INVESTORS_LIST[[#This Row],[INVESTOR CODE]],SIP[B/S],"B")</f>
        <v>0</v>
      </c>
      <c r="M475" s="2">
        <f>-SUMIFS(SIP[Unit],SIP[Investor ID],INVESTORS_LIST[[#This Row],[INVESTOR CODE]],SIP[B/S],"S")</f>
        <v>0</v>
      </c>
      <c r="N475" s="33">
        <f>IF(INVESTORS_LIST[[#This Row],[SIP_TOTAL UNITS BUY]]=0,0,INVESTORS_LIST[[#This Row],[SIP_TOTAL UNITS BUY]]-INVESTORS_LIST[[#This Row],[SIP_TOTAL UNITS SOLD]])</f>
        <v>0</v>
      </c>
      <c r="O475" s="4">
        <f>IF(INVESTORS_LIST[[#This Row],[SIP_TOTAL UNITS BUY]]=0,0,SUMIFS(SIP[Amount],SIP[Investor ID],INVESTORS_LIST[[#This Row],[INVESTOR CODE]],SIP[B/S],"B"))</f>
        <v>0</v>
      </c>
      <c r="P475" s="4">
        <f>IF(INVESTORS_LIST[[#This Row],[SIP_TOTAL UNITS SOLD]]=0,0,SUMIFS(SIP[Cost of Units Sold],SIP[Investor ID],INVESTORS_LIST[[#This Row],[INVESTOR CODE]],SIP[B/S],"S"))</f>
        <v>0</v>
      </c>
      <c r="Q475" s="6">
        <f>IF(INVESTORS_LIST[[#This Row],[SIP_TOTAL CURRENT UNITS]]=0,0,INVESTORS_LIST[[#This Row],[SIP_TOTAL CURRENT UNITS]]*INVESTORS_LIST[[#This Row],[SIP_AVERAGE COST]])</f>
        <v>0</v>
      </c>
      <c r="R475" s="6">
        <f>IF(INVESTORS_LIST[[#This Row],[SIP_TOTAL UNITS SOLD]]=0,0,SUMIFS(SIP[Realized Gain],SIP[Investor ID],INVESTORS_LIST[[#This Row],[INVESTOR CODE]],SIP[B/S],"S"))</f>
        <v>0</v>
      </c>
      <c r="S475" s="33">
        <f>INVESTORS_LIST[[#This Row],[LS_TOTAL UNITS BUY]]+INVESTORS_LIST[[#This Row],[SIP_TOTAL UNITS BUY]]</f>
        <v>0</v>
      </c>
      <c r="T475" s="33">
        <f>INVESTORS_LIST[[#This Row],[LS_TOTAL UNITS SOLD]]+INVESTORS_LIST[[#This Row],[SIP_TOTAL UNITS SOLD]]</f>
        <v>0</v>
      </c>
      <c r="U475" s="33">
        <v>0</v>
      </c>
      <c r="V475" s="33">
        <f>SUMIFS(LS[BO UNIT TRANSFER],LS[Investor ID],INVESTORS_LIST[[#This Row],[INVESTOR CODE]],LS[B/S],"B")</f>
        <v>0</v>
      </c>
      <c r="W475" s="33">
        <f>SUMIFS(LS[BO UNIT TRANSFER],LS[Investor ID],INVESTORS_LIST[[#This Row],[INVESTOR CODE]],LS[B/S],"S")</f>
        <v>0</v>
      </c>
      <c r="X475" s="33">
        <f>SUMIFS(SIP[BO UNIT TRANSFER],SIP[Investor ID],INVESTORS_LIST[[#This Row],[INVESTOR CODE]],SIP[B/S],"S")</f>
        <v>0</v>
      </c>
      <c r="Y475" s="33">
        <f>SUMIFS(SIP[BO UNIT TRANSFER],SIP[Investor ID],INVESTORS_LIST[[#This Row],[INVESTOR CODE]],SIP[B/S],"B")</f>
        <v>0</v>
      </c>
      <c r="Z47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75" s="119">
        <f>INVESTORS_LIST[[#This Row],[TOTAL UNITS BUY]]-INVESTORS_LIST[[#This Row],[TOTAL UNITS SOLD]]</f>
        <v>0</v>
      </c>
      <c r="AB475" s="119">
        <f>INVESTORS_LIST[[#This Row],[TOTAL CURRENT UNITS]]-INVESTORS_LIST[[#This Row],[BO UNITS HOLD]]</f>
        <v>0</v>
      </c>
      <c r="AC475" s="119" t="e">
        <f>INDEX([4]!Table_1[BO ID],MATCH(INVESTORS_LIST[[#This Row],[INVESTOR CODE]],[4]!Table_1[INVESTOR CODE],0))</f>
        <v>#REF!</v>
      </c>
      <c r="AD475" s="33">
        <f>INVESTORS_LIST[[#This Row],[LS_TOTAL COST VALUE OF CURRENT UNITS]]+INVESTORS_LIST[[#This Row],[SIP_TOTAL COST VALUE OF CURRENT UNITS]]</f>
        <v>0</v>
      </c>
      <c r="AE475" s="44">
        <f>IF(INVESTORS_LIST[[#This Row],[TOTAL CURRENT UNITS]]=0,0,INVESTORS_LIST[[#This Row],[LS_TOTAL CURRENT UNITS]]/INVESTORS_LIST[[#This Row],[TOTAL CURRENT UNITS]])</f>
        <v>0</v>
      </c>
      <c r="AF475" s="44">
        <f>IF(INVESTORS_LIST[[#This Row],[TOTAL CURRENT UNITS]]=0,0,INVESTORS_LIST[[#This Row],[SIP_TOTAL CURRENT UNITS]]/INVESTORS_LIST[[#This Row],[TOTAL CURRENT UNITS]])</f>
        <v>0</v>
      </c>
      <c r="AG475" s="4" cm="1">
        <f t="array" ref="AG47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75" s="4" cm="1">
        <f t="array" ref="AH47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7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75" s="178">
        <f t="shared" si="9"/>
        <v>12.552</v>
      </c>
      <c r="AK475" s="118">
        <f>IF(INVESTORS_LIST[[#This Row],[TOTAL CURRENT UNITS]]=0,0,INVESTORS_LIST[[#This Row],[TOTAL CURRENT UNITS]]*INVESTORS_LIST[[#This Row],[NAV]])</f>
        <v>0</v>
      </c>
      <c r="AL475" s="4">
        <f>IF(INVESTORS_LIST[[#This Row],[LS_TOTAL CURRENT UNITS]]=0,0,INVESTORS_LIST[[#This Row],[LS_TOTAL CURRENT UNITS]]*INVESTORS_LIST[[#This Row],[NAV]])</f>
        <v>0</v>
      </c>
      <c r="AM475" s="6">
        <f>IF(INVESTORS_LIST[[#This Row],[SIP_TOTAL CURRENT UNITS]]=0,0,INVESTORS_LIST[[#This Row],[SIP_TOTAL CURRENT UNITS]]*INVESTORS_LIST[[#This Row],[NAV]])</f>
        <v>0</v>
      </c>
      <c r="AO475" s="6">
        <f>IF(INVESTORS_LIST[[#This Row],[TOTAL SELLABLE UNITS]]=0,0,INVESTORS_LIST[[#This Row],[TOTAL SELLABLE UNITS]]*INVESTORS_LIST[[#This Row],[NAV]])</f>
        <v>0</v>
      </c>
      <c r="AP475" s="6">
        <f>INVESTORS_LIST[[#This Row],[LS_TOTAL REALIZED GAIN]]+INVESTORS_LIST[[#This Row],[SIP_TOTAL REALIZED GAIN]]</f>
        <v>0</v>
      </c>
      <c r="AQ475" s="6">
        <f>INVESTORS_LIST[[#This Row],[TOTAL MARKET VALUE]]-INVESTORS_LIST[[#This Row],[TOTAL COST VALUE OF CURRENT INVESTMENT]]</f>
        <v>0</v>
      </c>
      <c r="AR475" s="6">
        <f>SUMIFS(DivAndTax[Tax Amount],DivAndTax[Investor ID],INVESTORS_LIST[[#This Row],[INVESTOR CODE]])</f>
        <v>0</v>
      </c>
      <c r="AS475" s="6">
        <f>SUMIFS(DivAndTax[Gross Dividend],DivAndTax[Investor ID],INVESTORS_LIST[[#This Row],[INVESTOR CODE]])</f>
        <v>0</v>
      </c>
      <c r="AT475" s="5">
        <f>IFERROR(INVESTORS_LIST[[#This Row],[TOTAL CURRENT UNITS]]/SUM(INVESTORS_LIST[TOTAL CURRENT UNITS]),0)</f>
        <v>0</v>
      </c>
    </row>
    <row r="476" spans="1:46" hidden="1">
      <c r="A476" t="s">
        <v>1058</v>
      </c>
      <c r="B476" t="s">
        <v>1059</v>
      </c>
      <c r="C476" t="s">
        <v>536</v>
      </c>
      <c r="D476" s="8" t="s">
        <v>2</v>
      </c>
      <c r="E476" s="2">
        <f>SUMIFS(LS[Unit],LS[Investor ID],INVESTORS_LIST[[#This Row],[INVESTOR CODE]],LS[B/S],"B")</f>
        <v>0</v>
      </c>
      <c r="F476" s="2">
        <f>-SUMIFS(LS[Unit],LS[Investor ID],INVESTORS_LIST[[#This Row],[INVESTOR CODE]],LS[B/S],"S")</f>
        <v>0</v>
      </c>
      <c r="G476" s="2">
        <f>IF(INVESTORS_LIST[[#This Row],[LS_TOTAL UNITS BUY]]=0,0,INVESTORS_LIST[[#This Row],[LS_TOTAL UNITS BUY]]-INVESTORS_LIST[[#This Row],[LS_TOTAL UNITS SOLD]])</f>
        <v>0</v>
      </c>
      <c r="H476" s="4">
        <f>IF(INVESTORS_LIST[[#This Row],[LS_TOTAL UNITS BUY]]=0,0,SUMIFS(LS[Amount],LS[Investor ID],INVESTORS_LIST[[#This Row],[INVESTOR CODE]],LS[B/S],"B"))</f>
        <v>0</v>
      </c>
      <c r="I476" s="6">
        <f>IF(INVESTORS_LIST[[#This Row],[LS_TOTAL UNITS SOLD]]=0,0,SUMIFS(LS[Cost of Units Sold],LS[Investor ID],INVESTORS_LIST[[#This Row],[INVESTOR CODE]],LS[B/S],"S"))</f>
        <v>0</v>
      </c>
      <c r="J476" s="6">
        <f>IF(INVESTORS_LIST[[#This Row],[LS_TOTAL CURRENT UNITS]]=0,0,INVESTORS_LIST[[#This Row],[LS_TOTAL CURRENT UNITS]]*INVESTORS_LIST[[#This Row],[LS_AVERAGE COST]])</f>
        <v>0</v>
      </c>
      <c r="K476" s="4">
        <f>IF(INVESTORS_LIST[[#This Row],[LS_TOTAL UNITS SOLD]]=0,0,SUMIFS(LS[Realized Gain],LS[Investor ID],INVESTORS_LIST[[#This Row],[INVESTOR CODE]],LS[B/S],"S"))</f>
        <v>0</v>
      </c>
      <c r="L476" s="2">
        <f>SUMIFS(SIP[Unit],SIP[Investor ID],INVESTORS_LIST[[#This Row],[INVESTOR CODE]],SIP[B/S],"B")</f>
        <v>0</v>
      </c>
      <c r="M476" s="2">
        <f>-SUMIFS(SIP[Unit],SIP[Investor ID],INVESTORS_LIST[[#This Row],[INVESTOR CODE]],SIP[B/S],"S")</f>
        <v>0</v>
      </c>
      <c r="N476" s="33">
        <f>IF(INVESTORS_LIST[[#This Row],[SIP_TOTAL UNITS BUY]]=0,0,INVESTORS_LIST[[#This Row],[SIP_TOTAL UNITS BUY]]-INVESTORS_LIST[[#This Row],[SIP_TOTAL UNITS SOLD]])</f>
        <v>0</v>
      </c>
      <c r="O476" s="4">
        <f>IF(INVESTORS_LIST[[#This Row],[SIP_TOTAL UNITS BUY]]=0,0,SUMIFS(SIP[Amount],SIP[Investor ID],INVESTORS_LIST[[#This Row],[INVESTOR CODE]],SIP[B/S],"B"))</f>
        <v>0</v>
      </c>
      <c r="P476" s="4">
        <f>IF(INVESTORS_LIST[[#This Row],[SIP_TOTAL UNITS SOLD]]=0,0,SUMIFS(SIP[Cost of Units Sold],SIP[Investor ID],INVESTORS_LIST[[#This Row],[INVESTOR CODE]],SIP[B/S],"S"))</f>
        <v>0</v>
      </c>
      <c r="Q476" s="6">
        <f>IF(INVESTORS_LIST[[#This Row],[SIP_TOTAL CURRENT UNITS]]=0,0,INVESTORS_LIST[[#This Row],[SIP_TOTAL CURRENT UNITS]]*INVESTORS_LIST[[#This Row],[SIP_AVERAGE COST]])</f>
        <v>0</v>
      </c>
      <c r="R476" s="6">
        <f>IF(INVESTORS_LIST[[#This Row],[SIP_TOTAL UNITS SOLD]]=0,0,SUMIFS(SIP[Realized Gain],SIP[Investor ID],INVESTORS_LIST[[#This Row],[INVESTOR CODE]],SIP[B/S],"S"))</f>
        <v>0</v>
      </c>
      <c r="S476" s="33">
        <f>INVESTORS_LIST[[#This Row],[LS_TOTAL UNITS BUY]]+INVESTORS_LIST[[#This Row],[SIP_TOTAL UNITS BUY]]</f>
        <v>0</v>
      </c>
      <c r="T476" s="33">
        <f>INVESTORS_LIST[[#This Row],[LS_TOTAL UNITS SOLD]]+INVESTORS_LIST[[#This Row],[SIP_TOTAL UNITS SOLD]]</f>
        <v>0</v>
      </c>
      <c r="U476" s="33">
        <v>0</v>
      </c>
      <c r="V476" s="33">
        <f>SUMIFS(LS[BO UNIT TRANSFER],LS[Investor ID],INVESTORS_LIST[[#This Row],[INVESTOR CODE]],LS[B/S],"B")</f>
        <v>0</v>
      </c>
      <c r="W476" s="33">
        <f>SUMIFS(LS[BO UNIT TRANSFER],LS[Investor ID],INVESTORS_LIST[[#This Row],[INVESTOR CODE]],LS[B/S],"S")</f>
        <v>0</v>
      </c>
      <c r="X476" s="33">
        <f>SUMIFS(SIP[BO UNIT TRANSFER],SIP[Investor ID],INVESTORS_LIST[[#This Row],[INVESTOR CODE]],SIP[B/S],"S")</f>
        <v>0</v>
      </c>
      <c r="Y476" s="33">
        <f>SUMIFS(SIP[BO UNIT TRANSFER],SIP[Investor ID],INVESTORS_LIST[[#This Row],[INVESTOR CODE]],SIP[B/S],"B")</f>
        <v>0</v>
      </c>
      <c r="Z47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76" s="119">
        <f>INVESTORS_LIST[[#This Row],[TOTAL UNITS BUY]]-INVESTORS_LIST[[#This Row],[TOTAL UNITS SOLD]]</f>
        <v>0</v>
      </c>
      <c r="AB476" s="119">
        <f>INVESTORS_LIST[[#This Row],[TOTAL CURRENT UNITS]]-INVESTORS_LIST[[#This Row],[BO UNITS HOLD]]</f>
        <v>0</v>
      </c>
      <c r="AC476" s="119" t="e">
        <f>INDEX([4]!Table_1[BO ID],MATCH(INVESTORS_LIST[[#This Row],[INVESTOR CODE]],[4]!Table_1[INVESTOR CODE],0))</f>
        <v>#REF!</v>
      </c>
      <c r="AD476" s="33">
        <f>INVESTORS_LIST[[#This Row],[LS_TOTAL COST VALUE OF CURRENT UNITS]]+INVESTORS_LIST[[#This Row],[SIP_TOTAL COST VALUE OF CURRENT UNITS]]</f>
        <v>0</v>
      </c>
      <c r="AE476" s="44">
        <f>IF(INVESTORS_LIST[[#This Row],[TOTAL CURRENT UNITS]]=0,0,INVESTORS_LIST[[#This Row],[LS_TOTAL CURRENT UNITS]]/INVESTORS_LIST[[#This Row],[TOTAL CURRENT UNITS]])</f>
        <v>0</v>
      </c>
      <c r="AF476" s="44">
        <f>IF(INVESTORS_LIST[[#This Row],[TOTAL CURRENT UNITS]]=0,0,INVESTORS_LIST[[#This Row],[SIP_TOTAL CURRENT UNITS]]/INVESTORS_LIST[[#This Row],[TOTAL CURRENT UNITS]])</f>
        <v>0</v>
      </c>
      <c r="AG476" s="4" cm="1">
        <f t="array" ref="AG47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76" s="4" cm="1">
        <f t="array" ref="AH4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7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76" s="178">
        <f t="shared" si="9"/>
        <v>12.552</v>
      </c>
      <c r="AK476" s="118">
        <f>IF(INVESTORS_LIST[[#This Row],[TOTAL CURRENT UNITS]]=0,0,INVESTORS_LIST[[#This Row],[TOTAL CURRENT UNITS]]*INVESTORS_LIST[[#This Row],[NAV]])</f>
        <v>0</v>
      </c>
      <c r="AL476" s="4">
        <f>IF(INVESTORS_LIST[[#This Row],[LS_TOTAL CURRENT UNITS]]=0,0,INVESTORS_LIST[[#This Row],[LS_TOTAL CURRENT UNITS]]*INVESTORS_LIST[[#This Row],[NAV]])</f>
        <v>0</v>
      </c>
      <c r="AM476" s="6">
        <f>IF(INVESTORS_LIST[[#This Row],[SIP_TOTAL CURRENT UNITS]]=0,0,INVESTORS_LIST[[#This Row],[SIP_TOTAL CURRENT UNITS]]*INVESTORS_LIST[[#This Row],[NAV]])</f>
        <v>0</v>
      </c>
      <c r="AO476" s="6">
        <f>IF(INVESTORS_LIST[[#This Row],[TOTAL SELLABLE UNITS]]=0,0,INVESTORS_LIST[[#This Row],[TOTAL SELLABLE UNITS]]*INVESTORS_LIST[[#This Row],[NAV]])</f>
        <v>0</v>
      </c>
      <c r="AP476" s="6">
        <f>INVESTORS_LIST[[#This Row],[LS_TOTAL REALIZED GAIN]]+INVESTORS_LIST[[#This Row],[SIP_TOTAL REALIZED GAIN]]</f>
        <v>0</v>
      </c>
      <c r="AQ476" s="6">
        <f>INVESTORS_LIST[[#This Row],[TOTAL MARKET VALUE]]-INVESTORS_LIST[[#This Row],[TOTAL COST VALUE OF CURRENT INVESTMENT]]</f>
        <v>0</v>
      </c>
      <c r="AR476" s="6">
        <f>SUMIFS(DivAndTax[Tax Amount],DivAndTax[Investor ID],INVESTORS_LIST[[#This Row],[INVESTOR CODE]])</f>
        <v>0</v>
      </c>
      <c r="AS476" s="6">
        <f>SUMIFS(DivAndTax[Gross Dividend],DivAndTax[Investor ID],INVESTORS_LIST[[#This Row],[INVESTOR CODE]])</f>
        <v>0</v>
      </c>
      <c r="AT476" s="5">
        <f>IFERROR(INVESTORS_LIST[[#This Row],[TOTAL CURRENT UNITS]]/SUM(INVESTORS_LIST[TOTAL CURRENT UNITS]),0)</f>
        <v>0</v>
      </c>
    </row>
    <row r="477" spans="1:46" hidden="1">
      <c r="A477" t="s">
        <v>1064</v>
      </c>
      <c r="B477" t="s">
        <v>1065</v>
      </c>
      <c r="C477" t="s">
        <v>536</v>
      </c>
      <c r="D477" s="8" t="s">
        <v>2</v>
      </c>
      <c r="E477" s="2">
        <f>SUMIFS(LS[Unit],LS[Investor ID],INVESTORS_LIST[[#This Row],[INVESTOR CODE]],LS[B/S],"B")</f>
        <v>0</v>
      </c>
      <c r="F477" s="2">
        <f>-SUMIFS(LS[Unit],LS[Investor ID],INVESTORS_LIST[[#This Row],[INVESTOR CODE]],LS[B/S],"S")</f>
        <v>0</v>
      </c>
      <c r="G477" s="2">
        <f>IF(INVESTORS_LIST[[#This Row],[LS_TOTAL UNITS BUY]]=0,0,INVESTORS_LIST[[#This Row],[LS_TOTAL UNITS BUY]]-INVESTORS_LIST[[#This Row],[LS_TOTAL UNITS SOLD]])</f>
        <v>0</v>
      </c>
      <c r="H477" s="4">
        <f>IF(INVESTORS_LIST[[#This Row],[LS_TOTAL UNITS BUY]]=0,0,SUMIFS(LS[Amount],LS[Investor ID],INVESTORS_LIST[[#This Row],[INVESTOR CODE]],LS[B/S],"B"))</f>
        <v>0</v>
      </c>
      <c r="I477" s="6">
        <f>IF(INVESTORS_LIST[[#This Row],[LS_TOTAL UNITS SOLD]]=0,0,SUMIFS(LS[Cost of Units Sold],LS[Investor ID],INVESTORS_LIST[[#This Row],[INVESTOR CODE]],LS[B/S],"S"))</f>
        <v>0</v>
      </c>
      <c r="J477" s="6">
        <f>IF(INVESTORS_LIST[[#This Row],[LS_TOTAL CURRENT UNITS]]=0,0,INVESTORS_LIST[[#This Row],[LS_TOTAL CURRENT UNITS]]*INVESTORS_LIST[[#This Row],[LS_AVERAGE COST]])</f>
        <v>0</v>
      </c>
      <c r="K477" s="4">
        <f>IF(INVESTORS_LIST[[#This Row],[LS_TOTAL UNITS SOLD]]=0,0,SUMIFS(LS[Realized Gain],LS[Investor ID],INVESTORS_LIST[[#This Row],[INVESTOR CODE]],LS[B/S],"S"))</f>
        <v>0</v>
      </c>
      <c r="L477" s="2">
        <f>SUMIFS(SIP[Unit],SIP[Investor ID],INVESTORS_LIST[[#This Row],[INVESTOR CODE]],SIP[B/S],"B")</f>
        <v>0</v>
      </c>
      <c r="M477" s="2">
        <f>-SUMIFS(SIP[Unit],SIP[Investor ID],INVESTORS_LIST[[#This Row],[INVESTOR CODE]],SIP[B/S],"S")</f>
        <v>0</v>
      </c>
      <c r="N477" s="33">
        <f>IF(INVESTORS_LIST[[#This Row],[SIP_TOTAL UNITS BUY]]=0,0,INVESTORS_LIST[[#This Row],[SIP_TOTAL UNITS BUY]]-INVESTORS_LIST[[#This Row],[SIP_TOTAL UNITS SOLD]])</f>
        <v>0</v>
      </c>
      <c r="O477" s="4">
        <f>IF(INVESTORS_LIST[[#This Row],[SIP_TOTAL UNITS BUY]]=0,0,SUMIFS(SIP[Amount],SIP[Investor ID],INVESTORS_LIST[[#This Row],[INVESTOR CODE]],SIP[B/S],"B"))</f>
        <v>0</v>
      </c>
      <c r="P477" s="4">
        <f>IF(INVESTORS_LIST[[#This Row],[SIP_TOTAL UNITS SOLD]]=0,0,SUMIFS(SIP[Cost of Units Sold],SIP[Investor ID],INVESTORS_LIST[[#This Row],[INVESTOR CODE]],SIP[B/S],"S"))</f>
        <v>0</v>
      </c>
      <c r="Q477" s="6">
        <f>IF(INVESTORS_LIST[[#This Row],[SIP_TOTAL CURRENT UNITS]]=0,0,INVESTORS_LIST[[#This Row],[SIP_TOTAL CURRENT UNITS]]*INVESTORS_LIST[[#This Row],[SIP_AVERAGE COST]])</f>
        <v>0</v>
      </c>
      <c r="R477" s="6">
        <f>IF(INVESTORS_LIST[[#This Row],[SIP_TOTAL UNITS SOLD]]=0,0,SUMIFS(SIP[Realized Gain],SIP[Investor ID],INVESTORS_LIST[[#This Row],[INVESTOR CODE]],SIP[B/S],"S"))</f>
        <v>0</v>
      </c>
      <c r="S477" s="33">
        <f>INVESTORS_LIST[[#This Row],[LS_TOTAL UNITS BUY]]+INVESTORS_LIST[[#This Row],[SIP_TOTAL UNITS BUY]]</f>
        <v>0</v>
      </c>
      <c r="T477" s="33">
        <f>INVESTORS_LIST[[#This Row],[LS_TOTAL UNITS SOLD]]+INVESTORS_LIST[[#This Row],[SIP_TOTAL UNITS SOLD]]</f>
        <v>0</v>
      </c>
      <c r="U477" s="33">
        <v>0</v>
      </c>
      <c r="V477" s="33">
        <f>SUMIFS(LS[BO UNIT TRANSFER],LS[Investor ID],INVESTORS_LIST[[#This Row],[INVESTOR CODE]],LS[B/S],"B")</f>
        <v>0</v>
      </c>
      <c r="W477" s="33">
        <f>SUMIFS(LS[BO UNIT TRANSFER],LS[Investor ID],INVESTORS_LIST[[#This Row],[INVESTOR CODE]],LS[B/S],"S")</f>
        <v>0</v>
      </c>
      <c r="X477" s="33">
        <f>SUMIFS(SIP[BO UNIT TRANSFER],SIP[Investor ID],INVESTORS_LIST[[#This Row],[INVESTOR CODE]],SIP[B/S],"S")</f>
        <v>0</v>
      </c>
      <c r="Y477" s="33">
        <f>SUMIFS(SIP[BO UNIT TRANSFER],SIP[Investor ID],INVESTORS_LIST[[#This Row],[INVESTOR CODE]],SIP[B/S],"B")</f>
        <v>0</v>
      </c>
      <c r="Z47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77" s="119">
        <f>INVESTORS_LIST[[#This Row],[TOTAL UNITS BUY]]-INVESTORS_LIST[[#This Row],[TOTAL UNITS SOLD]]</f>
        <v>0</v>
      </c>
      <c r="AB477" s="119">
        <f>INVESTORS_LIST[[#This Row],[TOTAL CURRENT UNITS]]-INVESTORS_LIST[[#This Row],[BO UNITS HOLD]]</f>
        <v>0</v>
      </c>
      <c r="AC477" s="119" t="e">
        <f>INDEX([4]!Table_1[BO ID],MATCH(INVESTORS_LIST[[#This Row],[INVESTOR CODE]],[4]!Table_1[INVESTOR CODE],0))</f>
        <v>#REF!</v>
      </c>
      <c r="AD477" s="33">
        <f>INVESTORS_LIST[[#This Row],[LS_TOTAL COST VALUE OF CURRENT UNITS]]+INVESTORS_LIST[[#This Row],[SIP_TOTAL COST VALUE OF CURRENT UNITS]]</f>
        <v>0</v>
      </c>
      <c r="AE477" s="44">
        <f>IF(INVESTORS_LIST[[#This Row],[TOTAL CURRENT UNITS]]=0,0,INVESTORS_LIST[[#This Row],[LS_TOTAL CURRENT UNITS]]/INVESTORS_LIST[[#This Row],[TOTAL CURRENT UNITS]])</f>
        <v>0</v>
      </c>
      <c r="AF477" s="44">
        <f>IF(INVESTORS_LIST[[#This Row],[TOTAL CURRENT UNITS]]=0,0,INVESTORS_LIST[[#This Row],[SIP_TOTAL CURRENT UNITS]]/INVESTORS_LIST[[#This Row],[TOTAL CURRENT UNITS]])</f>
        <v>0</v>
      </c>
      <c r="AG477" s="4" cm="1">
        <f t="array" ref="AG47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77" s="4" cm="1">
        <f t="array" ref="AH4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7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77" s="178">
        <f t="shared" ref="AJ477:AJ489" si="10">NAV_MKT</f>
        <v>12.552</v>
      </c>
      <c r="AK477" s="118">
        <f>IF(INVESTORS_LIST[[#This Row],[TOTAL CURRENT UNITS]]=0,0,INVESTORS_LIST[[#This Row],[TOTAL CURRENT UNITS]]*INVESTORS_LIST[[#This Row],[NAV]])</f>
        <v>0</v>
      </c>
      <c r="AL477" s="4">
        <f>IF(INVESTORS_LIST[[#This Row],[LS_TOTAL CURRENT UNITS]]=0,0,INVESTORS_LIST[[#This Row],[LS_TOTAL CURRENT UNITS]]*INVESTORS_LIST[[#This Row],[NAV]])</f>
        <v>0</v>
      </c>
      <c r="AM477" s="6">
        <f>IF(INVESTORS_LIST[[#This Row],[SIP_TOTAL CURRENT UNITS]]=0,0,INVESTORS_LIST[[#This Row],[SIP_TOTAL CURRENT UNITS]]*INVESTORS_LIST[[#This Row],[NAV]])</f>
        <v>0</v>
      </c>
      <c r="AO477" s="6">
        <f>IF(INVESTORS_LIST[[#This Row],[TOTAL SELLABLE UNITS]]=0,0,INVESTORS_LIST[[#This Row],[TOTAL SELLABLE UNITS]]*INVESTORS_LIST[[#This Row],[NAV]])</f>
        <v>0</v>
      </c>
      <c r="AP477" s="6">
        <f>INVESTORS_LIST[[#This Row],[LS_TOTAL REALIZED GAIN]]+INVESTORS_LIST[[#This Row],[SIP_TOTAL REALIZED GAIN]]</f>
        <v>0</v>
      </c>
      <c r="AQ477" s="6">
        <f>INVESTORS_LIST[[#This Row],[TOTAL MARKET VALUE]]-INVESTORS_LIST[[#This Row],[TOTAL COST VALUE OF CURRENT INVESTMENT]]</f>
        <v>0</v>
      </c>
      <c r="AR477" s="6">
        <f>SUMIFS(DivAndTax[Tax Amount],DivAndTax[Investor ID],INVESTORS_LIST[[#This Row],[INVESTOR CODE]])</f>
        <v>0</v>
      </c>
      <c r="AS477" s="6">
        <f>SUMIFS(DivAndTax[Gross Dividend],DivAndTax[Investor ID],INVESTORS_LIST[[#This Row],[INVESTOR CODE]])</f>
        <v>0</v>
      </c>
      <c r="AT477" s="5">
        <f>IFERROR(INVESTORS_LIST[[#This Row],[TOTAL CURRENT UNITS]]/SUM(INVESTORS_LIST[TOTAL CURRENT UNITS]),0)</f>
        <v>0</v>
      </c>
    </row>
    <row r="478" spans="1:46" hidden="1">
      <c r="A478" t="s">
        <v>1066</v>
      </c>
      <c r="B478" t="s">
        <v>1067</v>
      </c>
      <c r="C478" t="s">
        <v>536</v>
      </c>
      <c r="D478" s="8" t="s">
        <v>2</v>
      </c>
      <c r="E478" s="2">
        <f>SUMIFS(LS[Unit],LS[Investor ID],INVESTORS_LIST[[#This Row],[INVESTOR CODE]],LS[B/S],"B")</f>
        <v>0</v>
      </c>
      <c r="F478" s="2">
        <f>-SUMIFS(LS[Unit],LS[Investor ID],INVESTORS_LIST[[#This Row],[INVESTOR CODE]],LS[B/S],"S")</f>
        <v>0</v>
      </c>
      <c r="G478" s="2">
        <f>IF(INVESTORS_LIST[[#This Row],[LS_TOTAL UNITS BUY]]=0,0,INVESTORS_LIST[[#This Row],[LS_TOTAL UNITS BUY]]-INVESTORS_LIST[[#This Row],[LS_TOTAL UNITS SOLD]])</f>
        <v>0</v>
      </c>
      <c r="H478" s="4">
        <f>IF(INVESTORS_LIST[[#This Row],[LS_TOTAL UNITS BUY]]=0,0,SUMIFS(LS[Amount],LS[Investor ID],INVESTORS_LIST[[#This Row],[INVESTOR CODE]],LS[B/S],"B"))</f>
        <v>0</v>
      </c>
      <c r="I478" s="6">
        <f>IF(INVESTORS_LIST[[#This Row],[LS_TOTAL UNITS SOLD]]=0,0,SUMIFS(LS[Cost of Units Sold],LS[Investor ID],INVESTORS_LIST[[#This Row],[INVESTOR CODE]],LS[B/S],"S"))</f>
        <v>0</v>
      </c>
      <c r="J478" s="6">
        <f>IF(INVESTORS_LIST[[#This Row],[LS_TOTAL CURRENT UNITS]]=0,0,INVESTORS_LIST[[#This Row],[LS_TOTAL CURRENT UNITS]]*INVESTORS_LIST[[#This Row],[LS_AVERAGE COST]])</f>
        <v>0</v>
      </c>
      <c r="K478" s="4">
        <f>IF(INVESTORS_LIST[[#This Row],[LS_TOTAL UNITS SOLD]]=0,0,SUMIFS(LS[Realized Gain],LS[Investor ID],INVESTORS_LIST[[#This Row],[INVESTOR CODE]],LS[B/S],"S"))</f>
        <v>0</v>
      </c>
      <c r="L478" s="2">
        <f>SUMIFS(SIP[Unit],SIP[Investor ID],INVESTORS_LIST[[#This Row],[INVESTOR CODE]],SIP[B/S],"B")</f>
        <v>0</v>
      </c>
      <c r="M478" s="2">
        <f>-SUMIFS(SIP[Unit],SIP[Investor ID],INVESTORS_LIST[[#This Row],[INVESTOR CODE]],SIP[B/S],"S")</f>
        <v>0</v>
      </c>
      <c r="N478" s="33">
        <f>IF(INVESTORS_LIST[[#This Row],[SIP_TOTAL UNITS BUY]]=0,0,INVESTORS_LIST[[#This Row],[SIP_TOTAL UNITS BUY]]-INVESTORS_LIST[[#This Row],[SIP_TOTAL UNITS SOLD]])</f>
        <v>0</v>
      </c>
      <c r="O478" s="4">
        <f>IF(INVESTORS_LIST[[#This Row],[SIP_TOTAL UNITS BUY]]=0,0,SUMIFS(SIP[Amount],SIP[Investor ID],INVESTORS_LIST[[#This Row],[INVESTOR CODE]],SIP[B/S],"B"))</f>
        <v>0</v>
      </c>
      <c r="P478" s="4">
        <f>IF(INVESTORS_LIST[[#This Row],[SIP_TOTAL UNITS SOLD]]=0,0,SUMIFS(SIP[Cost of Units Sold],SIP[Investor ID],INVESTORS_LIST[[#This Row],[INVESTOR CODE]],SIP[B/S],"S"))</f>
        <v>0</v>
      </c>
      <c r="Q478" s="6">
        <f>IF(INVESTORS_LIST[[#This Row],[SIP_TOTAL CURRENT UNITS]]=0,0,INVESTORS_LIST[[#This Row],[SIP_TOTAL CURRENT UNITS]]*INVESTORS_LIST[[#This Row],[SIP_AVERAGE COST]])</f>
        <v>0</v>
      </c>
      <c r="R478" s="6">
        <f>IF(INVESTORS_LIST[[#This Row],[SIP_TOTAL UNITS SOLD]]=0,0,SUMIFS(SIP[Realized Gain],SIP[Investor ID],INVESTORS_LIST[[#This Row],[INVESTOR CODE]],SIP[B/S],"S"))</f>
        <v>0</v>
      </c>
      <c r="S478" s="33">
        <f>INVESTORS_LIST[[#This Row],[LS_TOTAL UNITS BUY]]+INVESTORS_LIST[[#This Row],[SIP_TOTAL UNITS BUY]]</f>
        <v>0</v>
      </c>
      <c r="T478" s="33">
        <f>INVESTORS_LIST[[#This Row],[LS_TOTAL UNITS SOLD]]+INVESTORS_LIST[[#This Row],[SIP_TOTAL UNITS SOLD]]</f>
        <v>0</v>
      </c>
      <c r="U478" s="33">
        <v>0</v>
      </c>
      <c r="V478" s="33">
        <f>SUMIFS(LS[BO UNIT TRANSFER],LS[Investor ID],INVESTORS_LIST[[#This Row],[INVESTOR CODE]],LS[B/S],"B")</f>
        <v>0</v>
      </c>
      <c r="W478" s="33">
        <f>SUMIFS(LS[BO UNIT TRANSFER],LS[Investor ID],INVESTORS_LIST[[#This Row],[INVESTOR CODE]],LS[B/S],"S")</f>
        <v>0</v>
      </c>
      <c r="X478" s="33">
        <f>SUMIFS(SIP[BO UNIT TRANSFER],SIP[Investor ID],INVESTORS_LIST[[#This Row],[INVESTOR CODE]],SIP[B/S],"S")</f>
        <v>0</v>
      </c>
      <c r="Y478" s="33">
        <f>SUMIFS(SIP[BO UNIT TRANSFER],SIP[Investor ID],INVESTORS_LIST[[#This Row],[INVESTOR CODE]],SIP[B/S],"B")</f>
        <v>0</v>
      </c>
      <c r="Z47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78" s="119">
        <f>INVESTORS_LIST[[#This Row],[TOTAL UNITS BUY]]-INVESTORS_LIST[[#This Row],[TOTAL UNITS SOLD]]</f>
        <v>0</v>
      </c>
      <c r="AB478" s="119">
        <f>INVESTORS_LIST[[#This Row],[TOTAL CURRENT UNITS]]-INVESTORS_LIST[[#This Row],[BO UNITS HOLD]]</f>
        <v>0</v>
      </c>
      <c r="AC478" s="119" t="e">
        <f>INDEX([4]!Table_1[BO ID],MATCH(INVESTORS_LIST[[#This Row],[INVESTOR CODE]],[4]!Table_1[INVESTOR CODE],0))</f>
        <v>#REF!</v>
      </c>
      <c r="AD478" s="33">
        <f>INVESTORS_LIST[[#This Row],[LS_TOTAL COST VALUE OF CURRENT UNITS]]+INVESTORS_LIST[[#This Row],[SIP_TOTAL COST VALUE OF CURRENT UNITS]]</f>
        <v>0</v>
      </c>
      <c r="AE478" s="44">
        <f>IF(INVESTORS_LIST[[#This Row],[TOTAL CURRENT UNITS]]=0,0,INVESTORS_LIST[[#This Row],[LS_TOTAL CURRENT UNITS]]/INVESTORS_LIST[[#This Row],[TOTAL CURRENT UNITS]])</f>
        <v>0</v>
      </c>
      <c r="AF478" s="44">
        <f>IF(INVESTORS_LIST[[#This Row],[TOTAL CURRENT UNITS]]=0,0,INVESTORS_LIST[[#This Row],[SIP_TOTAL CURRENT UNITS]]/INVESTORS_LIST[[#This Row],[TOTAL CURRENT UNITS]])</f>
        <v>0</v>
      </c>
      <c r="AG478" s="4" cm="1">
        <f t="array" ref="AG47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78" s="4" cm="1">
        <f t="array" ref="AH4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7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78" s="178">
        <f t="shared" si="10"/>
        <v>12.552</v>
      </c>
      <c r="AK478" s="118">
        <f>IF(INVESTORS_LIST[[#This Row],[TOTAL CURRENT UNITS]]=0,0,INVESTORS_LIST[[#This Row],[TOTAL CURRENT UNITS]]*INVESTORS_LIST[[#This Row],[NAV]])</f>
        <v>0</v>
      </c>
      <c r="AL478" s="4">
        <f>IF(INVESTORS_LIST[[#This Row],[LS_TOTAL CURRENT UNITS]]=0,0,INVESTORS_LIST[[#This Row],[LS_TOTAL CURRENT UNITS]]*INVESTORS_LIST[[#This Row],[NAV]])</f>
        <v>0</v>
      </c>
      <c r="AM478" s="6">
        <f>IF(INVESTORS_LIST[[#This Row],[SIP_TOTAL CURRENT UNITS]]=0,0,INVESTORS_LIST[[#This Row],[SIP_TOTAL CURRENT UNITS]]*INVESTORS_LIST[[#This Row],[NAV]])</f>
        <v>0</v>
      </c>
      <c r="AO478" s="6">
        <f>IF(INVESTORS_LIST[[#This Row],[TOTAL SELLABLE UNITS]]=0,0,INVESTORS_LIST[[#This Row],[TOTAL SELLABLE UNITS]]*INVESTORS_LIST[[#This Row],[NAV]])</f>
        <v>0</v>
      </c>
      <c r="AP478" s="6">
        <f>INVESTORS_LIST[[#This Row],[LS_TOTAL REALIZED GAIN]]+INVESTORS_LIST[[#This Row],[SIP_TOTAL REALIZED GAIN]]</f>
        <v>0</v>
      </c>
      <c r="AQ478" s="6">
        <f>INVESTORS_LIST[[#This Row],[TOTAL MARKET VALUE]]-INVESTORS_LIST[[#This Row],[TOTAL COST VALUE OF CURRENT INVESTMENT]]</f>
        <v>0</v>
      </c>
      <c r="AR478" s="6">
        <f>SUMIFS(DivAndTax[Tax Amount],DivAndTax[Investor ID],INVESTORS_LIST[[#This Row],[INVESTOR CODE]])</f>
        <v>0</v>
      </c>
      <c r="AS478" s="6">
        <f>SUMIFS(DivAndTax[Gross Dividend],DivAndTax[Investor ID],INVESTORS_LIST[[#This Row],[INVESTOR CODE]])</f>
        <v>0</v>
      </c>
      <c r="AT478" s="5">
        <f>IFERROR(INVESTORS_LIST[[#This Row],[TOTAL CURRENT UNITS]]/SUM(INVESTORS_LIST[TOTAL CURRENT UNITS]),0)</f>
        <v>0</v>
      </c>
    </row>
    <row r="479" spans="1:46" hidden="1">
      <c r="A479" t="s">
        <v>1068</v>
      </c>
      <c r="B479" t="s">
        <v>1069</v>
      </c>
      <c r="C479" t="s">
        <v>536</v>
      </c>
      <c r="D479" s="8" t="s">
        <v>2</v>
      </c>
      <c r="E479" s="2">
        <f>SUMIFS(LS[Unit],LS[Investor ID],INVESTORS_LIST[[#This Row],[INVESTOR CODE]],LS[B/S],"B")</f>
        <v>0</v>
      </c>
      <c r="F479" s="2">
        <f>-SUMIFS(LS[Unit],LS[Investor ID],INVESTORS_LIST[[#This Row],[INVESTOR CODE]],LS[B/S],"S")</f>
        <v>0</v>
      </c>
      <c r="G479" s="2">
        <f>IF(INVESTORS_LIST[[#This Row],[LS_TOTAL UNITS BUY]]=0,0,INVESTORS_LIST[[#This Row],[LS_TOTAL UNITS BUY]]-INVESTORS_LIST[[#This Row],[LS_TOTAL UNITS SOLD]])</f>
        <v>0</v>
      </c>
      <c r="H479" s="4">
        <f>IF(INVESTORS_LIST[[#This Row],[LS_TOTAL UNITS BUY]]=0,0,SUMIFS(LS[Amount],LS[Investor ID],INVESTORS_LIST[[#This Row],[INVESTOR CODE]],LS[B/S],"B"))</f>
        <v>0</v>
      </c>
      <c r="I479" s="6">
        <f>IF(INVESTORS_LIST[[#This Row],[LS_TOTAL UNITS SOLD]]=0,0,SUMIFS(LS[Cost of Units Sold],LS[Investor ID],INVESTORS_LIST[[#This Row],[INVESTOR CODE]],LS[B/S],"S"))</f>
        <v>0</v>
      </c>
      <c r="J479" s="6">
        <f>IF(INVESTORS_LIST[[#This Row],[LS_TOTAL CURRENT UNITS]]=0,0,INVESTORS_LIST[[#This Row],[LS_TOTAL CURRENT UNITS]]*INVESTORS_LIST[[#This Row],[LS_AVERAGE COST]])</f>
        <v>0</v>
      </c>
      <c r="K479" s="4">
        <f>IF(INVESTORS_LIST[[#This Row],[LS_TOTAL UNITS SOLD]]=0,0,SUMIFS(LS[Realized Gain],LS[Investor ID],INVESTORS_LIST[[#This Row],[INVESTOR CODE]],LS[B/S],"S"))</f>
        <v>0</v>
      </c>
      <c r="L479" s="2">
        <f>SUMIFS(SIP[Unit],SIP[Investor ID],INVESTORS_LIST[[#This Row],[INVESTOR CODE]],SIP[B/S],"B")</f>
        <v>0</v>
      </c>
      <c r="M479" s="2">
        <f>-SUMIFS(SIP[Unit],SIP[Investor ID],INVESTORS_LIST[[#This Row],[INVESTOR CODE]],SIP[B/S],"S")</f>
        <v>0</v>
      </c>
      <c r="N479" s="33">
        <f>IF(INVESTORS_LIST[[#This Row],[SIP_TOTAL UNITS BUY]]=0,0,INVESTORS_LIST[[#This Row],[SIP_TOTAL UNITS BUY]]-INVESTORS_LIST[[#This Row],[SIP_TOTAL UNITS SOLD]])</f>
        <v>0</v>
      </c>
      <c r="O479" s="4">
        <f>IF(INVESTORS_LIST[[#This Row],[SIP_TOTAL UNITS BUY]]=0,0,SUMIFS(SIP[Amount],SIP[Investor ID],INVESTORS_LIST[[#This Row],[INVESTOR CODE]],SIP[B/S],"B"))</f>
        <v>0</v>
      </c>
      <c r="P479" s="4">
        <f>IF(INVESTORS_LIST[[#This Row],[SIP_TOTAL UNITS SOLD]]=0,0,SUMIFS(SIP[Cost of Units Sold],SIP[Investor ID],INVESTORS_LIST[[#This Row],[INVESTOR CODE]],SIP[B/S],"S"))</f>
        <v>0</v>
      </c>
      <c r="Q479" s="6">
        <f>IF(INVESTORS_LIST[[#This Row],[SIP_TOTAL CURRENT UNITS]]=0,0,INVESTORS_LIST[[#This Row],[SIP_TOTAL CURRENT UNITS]]*INVESTORS_LIST[[#This Row],[SIP_AVERAGE COST]])</f>
        <v>0</v>
      </c>
      <c r="R479" s="6">
        <f>IF(INVESTORS_LIST[[#This Row],[SIP_TOTAL UNITS SOLD]]=0,0,SUMIFS(SIP[Realized Gain],SIP[Investor ID],INVESTORS_LIST[[#This Row],[INVESTOR CODE]],SIP[B/S],"S"))</f>
        <v>0</v>
      </c>
      <c r="S479" s="33">
        <f>INVESTORS_LIST[[#This Row],[LS_TOTAL UNITS BUY]]+INVESTORS_LIST[[#This Row],[SIP_TOTAL UNITS BUY]]</f>
        <v>0</v>
      </c>
      <c r="T479" s="33">
        <f>INVESTORS_LIST[[#This Row],[LS_TOTAL UNITS SOLD]]+INVESTORS_LIST[[#This Row],[SIP_TOTAL UNITS SOLD]]</f>
        <v>0</v>
      </c>
      <c r="U479" s="33">
        <v>0</v>
      </c>
      <c r="V479" s="33">
        <f>SUMIFS(LS[BO UNIT TRANSFER],LS[Investor ID],INVESTORS_LIST[[#This Row],[INVESTOR CODE]],LS[B/S],"B")</f>
        <v>0</v>
      </c>
      <c r="W479" s="33">
        <f>SUMIFS(LS[BO UNIT TRANSFER],LS[Investor ID],INVESTORS_LIST[[#This Row],[INVESTOR CODE]],LS[B/S],"S")</f>
        <v>0</v>
      </c>
      <c r="X479" s="33">
        <f>SUMIFS(SIP[BO UNIT TRANSFER],SIP[Investor ID],INVESTORS_LIST[[#This Row],[INVESTOR CODE]],SIP[B/S],"S")</f>
        <v>0</v>
      </c>
      <c r="Y479" s="33">
        <f>SUMIFS(SIP[BO UNIT TRANSFER],SIP[Investor ID],INVESTORS_LIST[[#This Row],[INVESTOR CODE]],SIP[B/S],"B")</f>
        <v>0</v>
      </c>
      <c r="Z47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79" s="119">
        <f>INVESTORS_LIST[[#This Row],[TOTAL UNITS BUY]]-INVESTORS_LIST[[#This Row],[TOTAL UNITS SOLD]]</f>
        <v>0</v>
      </c>
      <c r="AB479" s="119">
        <f>INVESTORS_LIST[[#This Row],[TOTAL CURRENT UNITS]]-INVESTORS_LIST[[#This Row],[BO UNITS HOLD]]</f>
        <v>0</v>
      </c>
      <c r="AC479" s="119" t="e">
        <f>INDEX([4]!Table_1[BO ID],MATCH(INVESTORS_LIST[[#This Row],[INVESTOR CODE]],[4]!Table_1[INVESTOR CODE],0))</f>
        <v>#REF!</v>
      </c>
      <c r="AD479" s="33">
        <f>INVESTORS_LIST[[#This Row],[LS_TOTAL COST VALUE OF CURRENT UNITS]]+INVESTORS_LIST[[#This Row],[SIP_TOTAL COST VALUE OF CURRENT UNITS]]</f>
        <v>0</v>
      </c>
      <c r="AE479" s="44">
        <f>IF(INVESTORS_LIST[[#This Row],[TOTAL CURRENT UNITS]]=0,0,INVESTORS_LIST[[#This Row],[LS_TOTAL CURRENT UNITS]]/INVESTORS_LIST[[#This Row],[TOTAL CURRENT UNITS]])</f>
        <v>0</v>
      </c>
      <c r="AF479" s="44">
        <f>IF(INVESTORS_LIST[[#This Row],[TOTAL CURRENT UNITS]]=0,0,INVESTORS_LIST[[#This Row],[SIP_TOTAL CURRENT UNITS]]/INVESTORS_LIST[[#This Row],[TOTAL CURRENT UNITS]])</f>
        <v>0</v>
      </c>
      <c r="AG479" s="4" cm="1">
        <f t="array" ref="AG4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79" s="4" cm="1">
        <f t="array" ref="AH4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7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79" s="178">
        <f t="shared" si="10"/>
        <v>12.552</v>
      </c>
      <c r="AK479" s="118">
        <f>IF(INVESTORS_LIST[[#This Row],[TOTAL CURRENT UNITS]]=0,0,INVESTORS_LIST[[#This Row],[TOTAL CURRENT UNITS]]*INVESTORS_LIST[[#This Row],[NAV]])</f>
        <v>0</v>
      </c>
      <c r="AL479" s="4">
        <f>IF(INVESTORS_LIST[[#This Row],[LS_TOTAL CURRENT UNITS]]=0,0,INVESTORS_LIST[[#This Row],[LS_TOTAL CURRENT UNITS]]*INVESTORS_LIST[[#This Row],[NAV]])</f>
        <v>0</v>
      </c>
      <c r="AM479" s="6">
        <f>IF(INVESTORS_LIST[[#This Row],[SIP_TOTAL CURRENT UNITS]]=0,0,INVESTORS_LIST[[#This Row],[SIP_TOTAL CURRENT UNITS]]*INVESTORS_LIST[[#This Row],[NAV]])</f>
        <v>0</v>
      </c>
      <c r="AO479" s="6">
        <f>IF(INVESTORS_LIST[[#This Row],[TOTAL SELLABLE UNITS]]=0,0,INVESTORS_LIST[[#This Row],[TOTAL SELLABLE UNITS]]*INVESTORS_LIST[[#This Row],[NAV]])</f>
        <v>0</v>
      </c>
      <c r="AP479" s="6">
        <f>INVESTORS_LIST[[#This Row],[LS_TOTAL REALIZED GAIN]]+INVESTORS_LIST[[#This Row],[SIP_TOTAL REALIZED GAIN]]</f>
        <v>0</v>
      </c>
      <c r="AQ479" s="6">
        <f>INVESTORS_LIST[[#This Row],[TOTAL MARKET VALUE]]-INVESTORS_LIST[[#This Row],[TOTAL COST VALUE OF CURRENT INVESTMENT]]</f>
        <v>0</v>
      </c>
      <c r="AR479" s="6">
        <f>SUMIFS(DivAndTax[Tax Amount],DivAndTax[Investor ID],INVESTORS_LIST[[#This Row],[INVESTOR CODE]])</f>
        <v>0</v>
      </c>
      <c r="AS479" s="6">
        <f>SUMIFS(DivAndTax[Gross Dividend],DivAndTax[Investor ID],INVESTORS_LIST[[#This Row],[INVESTOR CODE]])</f>
        <v>0</v>
      </c>
      <c r="AT479" s="5">
        <f>IFERROR(INVESTORS_LIST[[#This Row],[TOTAL CURRENT UNITS]]/SUM(INVESTORS_LIST[TOTAL CURRENT UNITS]),0)</f>
        <v>0</v>
      </c>
    </row>
    <row r="480" spans="1:46" hidden="1">
      <c r="A480" t="s">
        <v>1070</v>
      </c>
      <c r="B480" t="s">
        <v>1071</v>
      </c>
      <c r="C480" t="s">
        <v>536</v>
      </c>
      <c r="D480" s="8" t="s">
        <v>2</v>
      </c>
      <c r="E480" s="2">
        <f>SUMIFS(LS[Unit],LS[Investor ID],INVESTORS_LIST[[#This Row],[INVESTOR CODE]],LS[B/S],"B")</f>
        <v>0</v>
      </c>
      <c r="F480" s="2">
        <f>-SUMIFS(LS[Unit],LS[Investor ID],INVESTORS_LIST[[#This Row],[INVESTOR CODE]],LS[B/S],"S")</f>
        <v>0</v>
      </c>
      <c r="G480" s="2">
        <f>IF(INVESTORS_LIST[[#This Row],[LS_TOTAL UNITS BUY]]=0,0,INVESTORS_LIST[[#This Row],[LS_TOTAL UNITS BUY]]-INVESTORS_LIST[[#This Row],[LS_TOTAL UNITS SOLD]])</f>
        <v>0</v>
      </c>
      <c r="H480" s="4">
        <f>IF(INVESTORS_LIST[[#This Row],[LS_TOTAL UNITS BUY]]=0,0,SUMIFS(LS[Amount],LS[Investor ID],INVESTORS_LIST[[#This Row],[INVESTOR CODE]],LS[B/S],"B"))</f>
        <v>0</v>
      </c>
      <c r="I480" s="6">
        <f>IF(INVESTORS_LIST[[#This Row],[LS_TOTAL UNITS SOLD]]=0,0,SUMIFS(LS[Cost of Units Sold],LS[Investor ID],INVESTORS_LIST[[#This Row],[INVESTOR CODE]],LS[B/S],"S"))</f>
        <v>0</v>
      </c>
      <c r="J480" s="6">
        <f>IF(INVESTORS_LIST[[#This Row],[LS_TOTAL CURRENT UNITS]]=0,0,INVESTORS_LIST[[#This Row],[LS_TOTAL CURRENT UNITS]]*INVESTORS_LIST[[#This Row],[LS_AVERAGE COST]])</f>
        <v>0</v>
      </c>
      <c r="K480" s="4">
        <f>IF(INVESTORS_LIST[[#This Row],[LS_TOTAL UNITS SOLD]]=0,0,SUMIFS(LS[Realized Gain],LS[Investor ID],INVESTORS_LIST[[#This Row],[INVESTOR CODE]],LS[B/S],"S"))</f>
        <v>0</v>
      </c>
      <c r="L480" s="2">
        <f>SUMIFS(SIP[Unit],SIP[Investor ID],INVESTORS_LIST[[#This Row],[INVESTOR CODE]],SIP[B/S],"B")</f>
        <v>0</v>
      </c>
      <c r="M480" s="2">
        <f>-SUMIFS(SIP[Unit],SIP[Investor ID],INVESTORS_LIST[[#This Row],[INVESTOR CODE]],SIP[B/S],"S")</f>
        <v>0</v>
      </c>
      <c r="N480" s="33">
        <f>IF(INVESTORS_LIST[[#This Row],[SIP_TOTAL UNITS BUY]]=0,0,INVESTORS_LIST[[#This Row],[SIP_TOTAL UNITS BUY]]-INVESTORS_LIST[[#This Row],[SIP_TOTAL UNITS SOLD]])</f>
        <v>0</v>
      </c>
      <c r="O480" s="4">
        <f>IF(INVESTORS_LIST[[#This Row],[SIP_TOTAL UNITS BUY]]=0,0,SUMIFS(SIP[Amount],SIP[Investor ID],INVESTORS_LIST[[#This Row],[INVESTOR CODE]],SIP[B/S],"B"))</f>
        <v>0</v>
      </c>
      <c r="P480" s="4">
        <f>IF(INVESTORS_LIST[[#This Row],[SIP_TOTAL UNITS SOLD]]=0,0,SUMIFS(SIP[Cost of Units Sold],SIP[Investor ID],INVESTORS_LIST[[#This Row],[INVESTOR CODE]],SIP[B/S],"S"))</f>
        <v>0</v>
      </c>
      <c r="Q480" s="6">
        <f>IF(INVESTORS_LIST[[#This Row],[SIP_TOTAL CURRENT UNITS]]=0,0,INVESTORS_LIST[[#This Row],[SIP_TOTAL CURRENT UNITS]]*INVESTORS_LIST[[#This Row],[SIP_AVERAGE COST]])</f>
        <v>0</v>
      </c>
      <c r="R480" s="6">
        <f>IF(INVESTORS_LIST[[#This Row],[SIP_TOTAL UNITS SOLD]]=0,0,SUMIFS(SIP[Realized Gain],SIP[Investor ID],INVESTORS_LIST[[#This Row],[INVESTOR CODE]],SIP[B/S],"S"))</f>
        <v>0</v>
      </c>
      <c r="S480" s="33">
        <f>INVESTORS_LIST[[#This Row],[LS_TOTAL UNITS BUY]]+INVESTORS_LIST[[#This Row],[SIP_TOTAL UNITS BUY]]</f>
        <v>0</v>
      </c>
      <c r="T480" s="33">
        <f>INVESTORS_LIST[[#This Row],[LS_TOTAL UNITS SOLD]]+INVESTORS_LIST[[#This Row],[SIP_TOTAL UNITS SOLD]]</f>
        <v>0</v>
      </c>
      <c r="U480" s="33">
        <v>0</v>
      </c>
      <c r="V480" s="33">
        <f>SUMIFS(LS[BO UNIT TRANSFER],LS[Investor ID],INVESTORS_LIST[[#This Row],[INVESTOR CODE]],LS[B/S],"B")</f>
        <v>0</v>
      </c>
      <c r="W480" s="33">
        <f>SUMIFS(LS[BO UNIT TRANSFER],LS[Investor ID],INVESTORS_LIST[[#This Row],[INVESTOR CODE]],LS[B/S],"S")</f>
        <v>0</v>
      </c>
      <c r="X480" s="33">
        <f>SUMIFS(SIP[BO UNIT TRANSFER],SIP[Investor ID],INVESTORS_LIST[[#This Row],[INVESTOR CODE]],SIP[B/S],"S")</f>
        <v>0</v>
      </c>
      <c r="Y480" s="33">
        <f>SUMIFS(SIP[BO UNIT TRANSFER],SIP[Investor ID],INVESTORS_LIST[[#This Row],[INVESTOR CODE]],SIP[B/S],"B")</f>
        <v>0</v>
      </c>
      <c r="Z48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80" s="119">
        <f>INVESTORS_LIST[[#This Row],[TOTAL UNITS BUY]]-INVESTORS_LIST[[#This Row],[TOTAL UNITS SOLD]]</f>
        <v>0</v>
      </c>
      <c r="AB480" s="119">
        <f>INVESTORS_LIST[[#This Row],[TOTAL CURRENT UNITS]]-INVESTORS_LIST[[#This Row],[BO UNITS HOLD]]</f>
        <v>0</v>
      </c>
      <c r="AC480" s="119" t="e">
        <f>INDEX([4]!Table_1[BO ID],MATCH(INVESTORS_LIST[[#This Row],[INVESTOR CODE]],[4]!Table_1[INVESTOR CODE],0))</f>
        <v>#REF!</v>
      </c>
      <c r="AD480" s="33">
        <f>INVESTORS_LIST[[#This Row],[LS_TOTAL COST VALUE OF CURRENT UNITS]]+INVESTORS_LIST[[#This Row],[SIP_TOTAL COST VALUE OF CURRENT UNITS]]</f>
        <v>0</v>
      </c>
      <c r="AE480" s="44">
        <f>IF(INVESTORS_LIST[[#This Row],[TOTAL CURRENT UNITS]]=0,0,INVESTORS_LIST[[#This Row],[LS_TOTAL CURRENT UNITS]]/INVESTORS_LIST[[#This Row],[TOTAL CURRENT UNITS]])</f>
        <v>0</v>
      </c>
      <c r="AF480" s="44">
        <f>IF(INVESTORS_LIST[[#This Row],[TOTAL CURRENT UNITS]]=0,0,INVESTORS_LIST[[#This Row],[SIP_TOTAL CURRENT UNITS]]/INVESTORS_LIST[[#This Row],[TOTAL CURRENT UNITS]])</f>
        <v>0</v>
      </c>
      <c r="AG480" s="4" cm="1">
        <f t="array" ref="AG4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80" s="4" cm="1">
        <f t="array" ref="AH4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8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80" s="178">
        <f t="shared" si="10"/>
        <v>12.552</v>
      </c>
      <c r="AK480" s="118">
        <f>IF(INVESTORS_LIST[[#This Row],[TOTAL CURRENT UNITS]]=0,0,INVESTORS_LIST[[#This Row],[TOTAL CURRENT UNITS]]*INVESTORS_LIST[[#This Row],[NAV]])</f>
        <v>0</v>
      </c>
      <c r="AL480" s="4">
        <f>IF(INVESTORS_LIST[[#This Row],[LS_TOTAL CURRENT UNITS]]=0,0,INVESTORS_LIST[[#This Row],[LS_TOTAL CURRENT UNITS]]*INVESTORS_LIST[[#This Row],[NAV]])</f>
        <v>0</v>
      </c>
      <c r="AM480" s="6">
        <f>IF(INVESTORS_LIST[[#This Row],[SIP_TOTAL CURRENT UNITS]]=0,0,INVESTORS_LIST[[#This Row],[SIP_TOTAL CURRENT UNITS]]*INVESTORS_LIST[[#This Row],[NAV]])</f>
        <v>0</v>
      </c>
      <c r="AO480" s="6">
        <f>IF(INVESTORS_LIST[[#This Row],[TOTAL SELLABLE UNITS]]=0,0,INVESTORS_LIST[[#This Row],[TOTAL SELLABLE UNITS]]*INVESTORS_LIST[[#This Row],[NAV]])</f>
        <v>0</v>
      </c>
      <c r="AP480" s="6">
        <f>INVESTORS_LIST[[#This Row],[LS_TOTAL REALIZED GAIN]]+INVESTORS_LIST[[#This Row],[SIP_TOTAL REALIZED GAIN]]</f>
        <v>0</v>
      </c>
      <c r="AQ480" s="6">
        <f>INVESTORS_LIST[[#This Row],[TOTAL MARKET VALUE]]-INVESTORS_LIST[[#This Row],[TOTAL COST VALUE OF CURRENT INVESTMENT]]</f>
        <v>0</v>
      </c>
      <c r="AR480" s="6">
        <f>SUMIFS(DivAndTax[Tax Amount],DivAndTax[Investor ID],INVESTORS_LIST[[#This Row],[INVESTOR CODE]])</f>
        <v>0</v>
      </c>
      <c r="AS480" s="6">
        <f>SUMIFS(DivAndTax[Gross Dividend],DivAndTax[Investor ID],INVESTORS_LIST[[#This Row],[INVESTOR CODE]])</f>
        <v>0</v>
      </c>
      <c r="AT480" s="5">
        <f>IFERROR(INVESTORS_LIST[[#This Row],[TOTAL CURRENT UNITS]]/SUM(INVESTORS_LIST[TOTAL CURRENT UNITS]),0)</f>
        <v>0</v>
      </c>
    </row>
    <row r="481" spans="1:46" hidden="1">
      <c r="A481" t="s">
        <v>1072</v>
      </c>
      <c r="B481" t="s">
        <v>1073</v>
      </c>
      <c r="C481" t="s">
        <v>539</v>
      </c>
      <c r="D481" s="8" t="s">
        <v>2</v>
      </c>
      <c r="E481" s="2">
        <f>SUMIFS(LS[Unit],LS[Investor ID],INVESTORS_LIST[[#This Row],[INVESTOR CODE]],LS[B/S],"B")</f>
        <v>0</v>
      </c>
      <c r="F481" s="2">
        <f>-SUMIFS(LS[Unit],LS[Investor ID],INVESTORS_LIST[[#This Row],[INVESTOR CODE]],LS[B/S],"S")</f>
        <v>0</v>
      </c>
      <c r="G481" s="2">
        <f>IF(INVESTORS_LIST[[#This Row],[LS_TOTAL UNITS BUY]]=0,0,INVESTORS_LIST[[#This Row],[LS_TOTAL UNITS BUY]]-INVESTORS_LIST[[#This Row],[LS_TOTAL UNITS SOLD]])</f>
        <v>0</v>
      </c>
      <c r="H481" s="4">
        <f>IF(INVESTORS_LIST[[#This Row],[LS_TOTAL UNITS BUY]]=0,0,SUMIFS(LS[Amount],LS[Investor ID],INVESTORS_LIST[[#This Row],[INVESTOR CODE]],LS[B/S],"B"))</f>
        <v>0</v>
      </c>
      <c r="I481" s="6">
        <f>IF(INVESTORS_LIST[[#This Row],[LS_TOTAL UNITS SOLD]]=0,0,SUMIFS(LS[Cost of Units Sold],LS[Investor ID],INVESTORS_LIST[[#This Row],[INVESTOR CODE]],LS[B/S],"S"))</f>
        <v>0</v>
      </c>
      <c r="J481" s="6">
        <f>IF(INVESTORS_LIST[[#This Row],[LS_TOTAL CURRENT UNITS]]=0,0,INVESTORS_LIST[[#This Row],[LS_TOTAL CURRENT UNITS]]*INVESTORS_LIST[[#This Row],[LS_AVERAGE COST]])</f>
        <v>0</v>
      </c>
      <c r="K481" s="4">
        <f>IF(INVESTORS_LIST[[#This Row],[LS_TOTAL UNITS SOLD]]=0,0,SUMIFS(LS[Realized Gain],LS[Investor ID],INVESTORS_LIST[[#This Row],[INVESTOR CODE]],LS[B/S],"S"))</f>
        <v>0</v>
      </c>
      <c r="L481" s="2">
        <f>SUMIFS(SIP[Unit],SIP[Investor ID],INVESTORS_LIST[[#This Row],[INVESTOR CODE]],SIP[B/S],"B")</f>
        <v>0</v>
      </c>
      <c r="M481" s="2">
        <f>-SUMIFS(SIP[Unit],SIP[Investor ID],INVESTORS_LIST[[#This Row],[INVESTOR CODE]],SIP[B/S],"S")</f>
        <v>0</v>
      </c>
      <c r="N481" s="33">
        <f>IF(INVESTORS_LIST[[#This Row],[SIP_TOTAL UNITS BUY]]=0,0,INVESTORS_LIST[[#This Row],[SIP_TOTAL UNITS BUY]]-INVESTORS_LIST[[#This Row],[SIP_TOTAL UNITS SOLD]])</f>
        <v>0</v>
      </c>
      <c r="O481" s="4">
        <f>IF(INVESTORS_LIST[[#This Row],[SIP_TOTAL UNITS BUY]]=0,0,SUMIFS(SIP[Amount],SIP[Investor ID],INVESTORS_LIST[[#This Row],[INVESTOR CODE]],SIP[B/S],"B"))</f>
        <v>0</v>
      </c>
      <c r="P481" s="4">
        <f>IF(INVESTORS_LIST[[#This Row],[SIP_TOTAL UNITS SOLD]]=0,0,SUMIFS(SIP[Cost of Units Sold],SIP[Investor ID],INVESTORS_LIST[[#This Row],[INVESTOR CODE]],SIP[B/S],"S"))</f>
        <v>0</v>
      </c>
      <c r="Q481" s="6">
        <f>IF(INVESTORS_LIST[[#This Row],[SIP_TOTAL CURRENT UNITS]]=0,0,INVESTORS_LIST[[#This Row],[SIP_TOTAL CURRENT UNITS]]*INVESTORS_LIST[[#This Row],[SIP_AVERAGE COST]])</f>
        <v>0</v>
      </c>
      <c r="R481" s="6">
        <f>IF(INVESTORS_LIST[[#This Row],[SIP_TOTAL UNITS SOLD]]=0,0,SUMIFS(SIP[Realized Gain],SIP[Investor ID],INVESTORS_LIST[[#This Row],[INVESTOR CODE]],SIP[B/S],"S"))</f>
        <v>0</v>
      </c>
      <c r="S481" s="33">
        <f>INVESTORS_LIST[[#This Row],[LS_TOTAL UNITS BUY]]+INVESTORS_LIST[[#This Row],[SIP_TOTAL UNITS BUY]]</f>
        <v>0</v>
      </c>
      <c r="T481" s="33">
        <f>INVESTORS_LIST[[#This Row],[LS_TOTAL UNITS SOLD]]+INVESTORS_LIST[[#This Row],[SIP_TOTAL UNITS SOLD]]</f>
        <v>0</v>
      </c>
      <c r="U481" s="33">
        <v>0</v>
      </c>
      <c r="V481" s="33">
        <f>SUMIFS(LS[BO UNIT TRANSFER],LS[Investor ID],INVESTORS_LIST[[#This Row],[INVESTOR CODE]],LS[B/S],"B")</f>
        <v>0</v>
      </c>
      <c r="W481" s="33">
        <f>SUMIFS(LS[BO UNIT TRANSFER],LS[Investor ID],INVESTORS_LIST[[#This Row],[INVESTOR CODE]],LS[B/S],"S")</f>
        <v>0</v>
      </c>
      <c r="X481" s="33">
        <f>SUMIFS(SIP[BO UNIT TRANSFER],SIP[Investor ID],INVESTORS_LIST[[#This Row],[INVESTOR CODE]],SIP[B/S],"S")</f>
        <v>0</v>
      </c>
      <c r="Y481" s="33">
        <f>SUMIFS(SIP[BO UNIT TRANSFER],SIP[Investor ID],INVESTORS_LIST[[#This Row],[INVESTOR CODE]],SIP[B/S],"B")</f>
        <v>0</v>
      </c>
      <c r="Z48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81" s="119">
        <f>INVESTORS_LIST[[#This Row],[TOTAL UNITS BUY]]-INVESTORS_LIST[[#This Row],[TOTAL UNITS SOLD]]</f>
        <v>0</v>
      </c>
      <c r="AB481" s="119">
        <f>INVESTORS_LIST[[#This Row],[TOTAL CURRENT UNITS]]-INVESTORS_LIST[[#This Row],[BO UNITS HOLD]]</f>
        <v>0</v>
      </c>
      <c r="AC481" s="119" t="e">
        <f>INDEX([4]!Table_1[BO ID],MATCH(INVESTORS_LIST[[#This Row],[INVESTOR CODE]],[4]!Table_1[INVESTOR CODE],0))</f>
        <v>#REF!</v>
      </c>
      <c r="AD481" s="33">
        <f>INVESTORS_LIST[[#This Row],[LS_TOTAL COST VALUE OF CURRENT UNITS]]+INVESTORS_LIST[[#This Row],[SIP_TOTAL COST VALUE OF CURRENT UNITS]]</f>
        <v>0</v>
      </c>
      <c r="AE481" s="44">
        <f>IF(INVESTORS_LIST[[#This Row],[TOTAL CURRENT UNITS]]=0,0,INVESTORS_LIST[[#This Row],[LS_TOTAL CURRENT UNITS]]/INVESTORS_LIST[[#This Row],[TOTAL CURRENT UNITS]])</f>
        <v>0</v>
      </c>
      <c r="AF481" s="44">
        <f>IF(INVESTORS_LIST[[#This Row],[TOTAL CURRENT UNITS]]=0,0,INVESTORS_LIST[[#This Row],[SIP_TOTAL CURRENT UNITS]]/INVESTORS_LIST[[#This Row],[TOTAL CURRENT UNITS]])</f>
        <v>0</v>
      </c>
      <c r="AG481" s="4" cm="1">
        <f t="array" ref="AG48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81" s="4" cm="1">
        <f t="array" ref="AH4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8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81" s="178">
        <f t="shared" si="10"/>
        <v>12.552</v>
      </c>
      <c r="AK481" s="118">
        <f>IF(INVESTORS_LIST[[#This Row],[TOTAL CURRENT UNITS]]=0,0,INVESTORS_LIST[[#This Row],[TOTAL CURRENT UNITS]]*INVESTORS_LIST[[#This Row],[NAV]])</f>
        <v>0</v>
      </c>
      <c r="AL481" s="4">
        <f>IF(INVESTORS_LIST[[#This Row],[LS_TOTAL CURRENT UNITS]]=0,0,INVESTORS_LIST[[#This Row],[LS_TOTAL CURRENT UNITS]]*INVESTORS_LIST[[#This Row],[NAV]])</f>
        <v>0</v>
      </c>
      <c r="AM481" s="6">
        <f>IF(INVESTORS_LIST[[#This Row],[SIP_TOTAL CURRENT UNITS]]=0,0,INVESTORS_LIST[[#This Row],[SIP_TOTAL CURRENT UNITS]]*INVESTORS_LIST[[#This Row],[NAV]])</f>
        <v>0</v>
      </c>
      <c r="AO481" s="6">
        <f>IF(INVESTORS_LIST[[#This Row],[TOTAL SELLABLE UNITS]]=0,0,INVESTORS_LIST[[#This Row],[TOTAL SELLABLE UNITS]]*INVESTORS_LIST[[#This Row],[NAV]])</f>
        <v>0</v>
      </c>
      <c r="AP481" s="6">
        <f>INVESTORS_LIST[[#This Row],[LS_TOTAL REALIZED GAIN]]+INVESTORS_LIST[[#This Row],[SIP_TOTAL REALIZED GAIN]]</f>
        <v>0</v>
      </c>
      <c r="AQ481" s="6">
        <f>INVESTORS_LIST[[#This Row],[TOTAL MARKET VALUE]]-INVESTORS_LIST[[#This Row],[TOTAL COST VALUE OF CURRENT INVESTMENT]]</f>
        <v>0</v>
      </c>
      <c r="AR481" s="6">
        <f>SUMIFS(DivAndTax[Tax Amount],DivAndTax[Investor ID],INVESTORS_LIST[[#This Row],[INVESTOR CODE]])</f>
        <v>0</v>
      </c>
      <c r="AS481" s="6">
        <f>SUMIFS(DivAndTax[Gross Dividend],DivAndTax[Investor ID],INVESTORS_LIST[[#This Row],[INVESTOR CODE]])</f>
        <v>0</v>
      </c>
      <c r="AT481" s="5">
        <f>IFERROR(INVESTORS_LIST[[#This Row],[TOTAL CURRENT UNITS]]/SUM(INVESTORS_LIST[TOTAL CURRENT UNITS]),0)</f>
        <v>0</v>
      </c>
    </row>
    <row r="482" spans="1:46" hidden="1">
      <c r="A482" t="s">
        <v>1074</v>
      </c>
      <c r="B482" t="s">
        <v>1075</v>
      </c>
      <c r="C482" t="s">
        <v>536</v>
      </c>
      <c r="D482" s="8" t="s">
        <v>2</v>
      </c>
      <c r="E482" s="2">
        <f>SUMIFS(LS[Unit],LS[Investor ID],INVESTORS_LIST[[#This Row],[INVESTOR CODE]],LS[B/S],"B")</f>
        <v>0</v>
      </c>
      <c r="F482" s="2">
        <f>-SUMIFS(LS[Unit],LS[Investor ID],INVESTORS_LIST[[#This Row],[INVESTOR CODE]],LS[B/S],"S")</f>
        <v>0</v>
      </c>
      <c r="G482" s="2">
        <f>IF(INVESTORS_LIST[[#This Row],[LS_TOTAL UNITS BUY]]=0,0,INVESTORS_LIST[[#This Row],[LS_TOTAL UNITS BUY]]-INVESTORS_LIST[[#This Row],[LS_TOTAL UNITS SOLD]])</f>
        <v>0</v>
      </c>
      <c r="H482" s="4">
        <f>IF(INVESTORS_LIST[[#This Row],[LS_TOTAL UNITS BUY]]=0,0,SUMIFS(LS[Amount],LS[Investor ID],INVESTORS_LIST[[#This Row],[INVESTOR CODE]],LS[B/S],"B"))</f>
        <v>0</v>
      </c>
      <c r="I482" s="6">
        <f>IF(INVESTORS_LIST[[#This Row],[LS_TOTAL UNITS SOLD]]=0,0,SUMIFS(LS[Cost of Units Sold],LS[Investor ID],INVESTORS_LIST[[#This Row],[INVESTOR CODE]],LS[B/S],"S"))</f>
        <v>0</v>
      </c>
      <c r="J482" s="6">
        <f>IF(INVESTORS_LIST[[#This Row],[LS_TOTAL CURRENT UNITS]]=0,0,INVESTORS_LIST[[#This Row],[LS_TOTAL CURRENT UNITS]]*INVESTORS_LIST[[#This Row],[LS_AVERAGE COST]])</f>
        <v>0</v>
      </c>
      <c r="K482" s="4">
        <f>IF(INVESTORS_LIST[[#This Row],[LS_TOTAL UNITS SOLD]]=0,0,SUMIFS(LS[Realized Gain],LS[Investor ID],INVESTORS_LIST[[#This Row],[INVESTOR CODE]],LS[B/S],"S"))</f>
        <v>0</v>
      </c>
      <c r="L482" s="2">
        <f>SUMIFS(SIP[Unit],SIP[Investor ID],INVESTORS_LIST[[#This Row],[INVESTOR CODE]],SIP[B/S],"B")</f>
        <v>0</v>
      </c>
      <c r="M482" s="2">
        <f>-SUMIFS(SIP[Unit],SIP[Investor ID],INVESTORS_LIST[[#This Row],[INVESTOR CODE]],SIP[B/S],"S")</f>
        <v>0</v>
      </c>
      <c r="N482" s="33">
        <f>IF(INVESTORS_LIST[[#This Row],[SIP_TOTAL UNITS BUY]]=0,0,INVESTORS_LIST[[#This Row],[SIP_TOTAL UNITS BUY]]-INVESTORS_LIST[[#This Row],[SIP_TOTAL UNITS SOLD]])</f>
        <v>0</v>
      </c>
      <c r="O482" s="4">
        <f>IF(INVESTORS_LIST[[#This Row],[SIP_TOTAL UNITS BUY]]=0,0,SUMIFS(SIP[Amount],SIP[Investor ID],INVESTORS_LIST[[#This Row],[INVESTOR CODE]],SIP[B/S],"B"))</f>
        <v>0</v>
      </c>
      <c r="P482" s="4">
        <f>IF(INVESTORS_LIST[[#This Row],[SIP_TOTAL UNITS SOLD]]=0,0,SUMIFS(SIP[Cost of Units Sold],SIP[Investor ID],INVESTORS_LIST[[#This Row],[INVESTOR CODE]],SIP[B/S],"S"))</f>
        <v>0</v>
      </c>
      <c r="Q482" s="6">
        <f>IF(INVESTORS_LIST[[#This Row],[SIP_TOTAL CURRENT UNITS]]=0,0,INVESTORS_LIST[[#This Row],[SIP_TOTAL CURRENT UNITS]]*INVESTORS_LIST[[#This Row],[SIP_AVERAGE COST]])</f>
        <v>0</v>
      </c>
      <c r="R482" s="6">
        <f>IF(INVESTORS_LIST[[#This Row],[SIP_TOTAL UNITS SOLD]]=0,0,SUMIFS(SIP[Realized Gain],SIP[Investor ID],INVESTORS_LIST[[#This Row],[INVESTOR CODE]],SIP[B/S],"S"))</f>
        <v>0</v>
      </c>
      <c r="S482" s="33">
        <f>INVESTORS_LIST[[#This Row],[LS_TOTAL UNITS BUY]]+INVESTORS_LIST[[#This Row],[SIP_TOTAL UNITS BUY]]</f>
        <v>0</v>
      </c>
      <c r="T482" s="33">
        <f>INVESTORS_LIST[[#This Row],[LS_TOTAL UNITS SOLD]]+INVESTORS_LIST[[#This Row],[SIP_TOTAL UNITS SOLD]]</f>
        <v>0</v>
      </c>
      <c r="U482" s="33">
        <v>0</v>
      </c>
      <c r="V482" s="33">
        <f>SUMIFS(LS[BO UNIT TRANSFER],LS[Investor ID],INVESTORS_LIST[[#This Row],[INVESTOR CODE]],LS[B/S],"B")</f>
        <v>0</v>
      </c>
      <c r="W482" s="33">
        <f>SUMIFS(LS[BO UNIT TRANSFER],LS[Investor ID],INVESTORS_LIST[[#This Row],[INVESTOR CODE]],LS[B/S],"S")</f>
        <v>0</v>
      </c>
      <c r="X482" s="33">
        <f>SUMIFS(SIP[BO UNIT TRANSFER],SIP[Investor ID],INVESTORS_LIST[[#This Row],[INVESTOR CODE]],SIP[B/S],"S")</f>
        <v>0</v>
      </c>
      <c r="Y482" s="33">
        <f>SUMIFS(SIP[BO UNIT TRANSFER],SIP[Investor ID],INVESTORS_LIST[[#This Row],[INVESTOR CODE]],SIP[B/S],"B")</f>
        <v>0</v>
      </c>
      <c r="Z48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82" s="119">
        <f>INVESTORS_LIST[[#This Row],[TOTAL UNITS BUY]]-INVESTORS_LIST[[#This Row],[TOTAL UNITS SOLD]]</f>
        <v>0</v>
      </c>
      <c r="AB482" s="119">
        <f>INVESTORS_LIST[[#This Row],[TOTAL CURRENT UNITS]]-INVESTORS_LIST[[#This Row],[BO UNITS HOLD]]</f>
        <v>0</v>
      </c>
      <c r="AC482" s="119" t="e">
        <f>INDEX([4]!Table_1[BO ID],MATCH(INVESTORS_LIST[[#This Row],[INVESTOR CODE]],[4]!Table_1[INVESTOR CODE],0))</f>
        <v>#REF!</v>
      </c>
      <c r="AD482" s="33">
        <f>INVESTORS_LIST[[#This Row],[LS_TOTAL COST VALUE OF CURRENT UNITS]]+INVESTORS_LIST[[#This Row],[SIP_TOTAL COST VALUE OF CURRENT UNITS]]</f>
        <v>0</v>
      </c>
      <c r="AE482" s="44">
        <f>IF(INVESTORS_LIST[[#This Row],[TOTAL CURRENT UNITS]]=0,0,INVESTORS_LIST[[#This Row],[LS_TOTAL CURRENT UNITS]]/INVESTORS_LIST[[#This Row],[TOTAL CURRENT UNITS]])</f>
        <v>0</v>
      </c>
      <c r="AF482" s="44">
        <f>IF(INVESTORS_LIST[[#This Row],[TOTAL CURRENT UNITS]]=0,0,INVESTORS_LIST[[#This Row],[SIP_TOTAL CURRENT UNITS]]/INVESTORS_LIST[[#This Row],[TOTAL CURRENT UNITS]])</f>
        <v>0</v>
      </c>
      <c r="AG482" s="4" cm="1">
        <f t="array" ref="AG48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82" s="4" cm="1">
        <f t="array" ref="AH48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8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82" s="178">
        <f t="shared" si="10"/>
        <v>12.552</v>
      </c>
      <c r="AK482" s="118">
        <f>IF(INVESTORS_LIST[[#This Row],[TOTAL CURRENT UNITS]]=0,0,INVESTORS_LIST[[#This Row],[TOTAL CURRENT UNITS]]*INVESTORS_LIST[[#This Row],[NAV]])</f>
        <v>0</v>
      </c>
      <c r="AL482" s="4">
        <f>IF(INVESTORS_LIST[[#This Row],[LS_TOTAL CURRENT UNITS]]=0,0,INVESTORS_LIST[[#This Row],[LS_TOTAL CURRENT UNITS]]*INVESTORS_LIST[[#This Row],[NAV]])</f>
        <v>0</v>
      </c>
      <c r="AM482" s="6">
        <f>IF(INVESTORS_LIST[[#This Row],[SIP_TOTAL CURRENT UNITS]]=0,0,INVESTORS_LIST[[#This Row],[SIP_TOTAL CURRENT UNITS]]*INVESTORS_LIST[[#This Row],[NAV]])</f>
        <v>0</v>
      </c>
      <c r="AO482" s="6">
        <f>IF(INVESTORS_LIST[[#This Row],[TOTAL SELLABLE UNITS]]=0,0,INVESTORS_LIST[[#This Row],[TOTAL SELLABLE UNITS]]*INVESTORS_LIST[[#This Row],[NAV]])</f>
        <v>0</v>
      </c>
      <c r="AP482" s="6">
        <f>INVESTORS_LIST[[#This Row],[LS_TOTAL REALIZED GAIN]]+INVESTORS_LIST[[#This Row],[SIP_TOTAL REALIZED GAIN]]</f>
        <v>0</v>
      </c>
      <c r="AQ482" s="6">
        <f>INVESTORS_LIST[[#This Row],[TOTAL MARKET VALUE]]-INVESTORS_LIST[[#This Row],[TOTAL COST VALUE OF CURRENT INVESTMENT]]</f>
        <v>0</v>
      </c>
      <c r="AR482" s="6">
        <f>SUMIFS(DivAndTax[Tax Amount],DivAndTax[Investor ID],INVESTORS_LIST[[#This Row],[INVESTOR CODE]])</f>
        <v>0</v>
      </c>
      <c r="AS482" s="6">
        <f>SUMIFS(DivAndTax[Gross Dividend],DivAndTax[Investor ID],INVESTORS_LIST[[#This Row],[INVESTOR CODE]])</f>
        <v>0</v>
      </c>
      <c r="AT482" s="5">
        <f>IFERROR(INVESTORS_LIST[[#This Row],[TOTAL CURRENT UNITS]]/SUM(INVESTORS_LIST[TOTAL CURRENT UNITS]),0)</f>
        <v>0</v>
      </c>
    </row>
    <row r="483" spans="1:46" hidden="1">
      <c r="A483" t="s">
        <v>1076</v>
      </c>
      <c r="B483" t="s">
        <v>1077</v>
      </c>
      <c r="C483" t="s">
        <v>536</v>
      </c>
      <c r="D483" s="8" t="s">
        <v>2</v>
      </c>
      <c r="E483" s="2">
        <f>SUMIFS(LS[Unit],LS[Investor ID],INVESTORS_LIST[[#This Row],[INVESTOR CODE]],LS[B/S],"B")</f>
        <v>0</v>
      </c>
      <c r="F483" s="2">
        <f>-SUMIFS(LS[Unit],LS[Investor ID],INVESTORS_LIST[[#This Row],[INVESTOR CODE]],LS[B/S],"S")</f>
        <v>0</v>
      </c>
      <c r="G483" s="2">
        <f>IF(INVESTORS_LIST[[#This Row],[LS_TOTAL UNITS BUY]]=0,0,INVESTORS_LIST[[#This Row],[LS_TOTAL UNITS BUY]]-INVESTORS_LIST[[#This Row],[LS_TOTAL UNITS SOLD]])</f>
        <v>0</v>
      </c>
      <c r="H483" s="4">
        <f>IF(INVESTORS_LIST[[#This Row],[LS_TOTAL UNITS BUY]]=0,0,SUMIFS(LS[Amount],LS[Investor ID],INVESTORS_LIST[[#This Row],[INVESTOR CODE]],LS[B/S],"B"))</f>
        <v>0</v>
      </c>
      <c r="I483" s="6">
        <f>IF(INVESTORS_LIST[[#This Row],[LS_TOTAL UNITS SOLD]]=0,0,SUMIFS(LS[Cost of Units Sold],LS[Investor ID],INVESTORS_LIST[[#This Row],[INVESTOR CODE]],LS[B/S],"S"))</f>
        <v>0</v>
      </c>
      <c r="J483" s="6">
        <f>IF(INVESTORS_LIST[[#This Row],[LS_TOTAL CURRENT UNITS]]=0,0,INVESTORS_LIST[[#This Row],[LS_TOTAL CURRENT UNITS]]*INVESTORS_LIST[[#This Row],[LS_AVERAGE COST]])</f>
        <v>0</v>
      </c>
      <c r="K483" s="4">
        <f>IF(INVESTORS_LIST[[#This Row],[LS_TOTAL UNITS SOLD]]=0,0,SUMIFS(LS[Realized Gain],LS[Investor ID],INVESTORS_LIST[[#This Row],[INVESTOR CODE]],LS[B/S],"S"))</f>
        <v>0</v>
      </c>
      <c r="L483" s="2">
        <f>SUMIFS(SIP[Unit],SIP[Investor ID],INVESTORS_LIST[[#This Row],[INVESTOR CODE]],SIP[B/S],"B")</f>
        <v>0</v>
      </c>
      <c r="M483" s="2">
        <f>-SUMIFS(SIP[Unit],SIP[Investor ID],INVESTORS_LIST[[#This Row],[INVESTOR CODE]],SIP[B/S],"S")</f>
        <v>0</v>
      </c>
      <c r="N483" s="33">
        <f>IF(INVESTORS_LIST[[#This Row],[SIP_TOTAL UNITS BUY]]=0,0,INVESTORS_LIST[[#This Row],[SIP_TOTAL UNITS BUY]]-INVESTORS_LIST[[#This Row],[SIP_TOTAL UNITS SOLD]])</f>
        <v>0</v>
      </c>
      <c r="O483" s="4">
        <f>IF(INVESTORS_LIST[[#This Row],[SIP_TOTAL UNITS BUY]]=0,0,SUMIFS(SIP[Amount],SIP[Investor ID],INVESTORS_LIST[[#This Row],[INVESTOR CODE]],SIP[B/S],"B"))</f>
        <v>0</v>
      </c>
      <c r="P483" s="4">
        <f>IF(INVESTORS_LIST[[#This Row],[SIP_TOTAL UNITS SOLD]]=0,0,SUMIFS(SIP[Cost of Units Sold],SIP[Investor ID],INVESTORS_LIST[[#This Row],[INVESTOR CODE]],SIP[B/S],"S"))</f>
        <v>0</v>
      </c>
      <c r="Q483" s="6">
        <f>IF(INVESTORS_LIST[[#This Row],[SIP_TOTAL CURRENT UNITS]]=0,0,INVESTORS_LIST[[#This Row],[SIP_TOTAL CURRENT UNITS]]*INVESTORS_LIST[[#This Row],[SIP_AVERAGE COST]])</f>
        <v>0</v>
      </c>
      <c r="R483" s="6">
        <f>IF(INVESTORS_LIST[[#This Row],[SIP_TOTAL UNITS SOLD]]=0,0,SUMIFS(SIP[Realized Gain],SIP[Investor ID],INVESTORS_LIST[[#This Row],[INVESTOR CODE]],SIP[B/S],"S"))</f>
        <v>0</v>
      </c>
      <c r="S483" s="33">
        <f>INVESTORS_LIST[[#This Row],[LS_TOTAL UNITS BUY]]+INVESTORS_LIST[[#This Row],[SIP_TOTAL UNITS BUY]]</f>
        <v>0</v>
      </c>
      <c r="T483" s="33">
        <f>INVESTORS_LIST[[#This Row],[LS_TOTAL UNITS SOLD]]+INVESTORS_LIST[[#This Row],[SIP_TOTAL UNITS SOLD]]</f>
        <v>0</v>
      </c>
      <c r="U483" s="33">
        <v>0</v>
      </c>
      <c r="V483" s="33">
        <f>SUMIFS(LS[BO UNIT TRANSFER],LS[Investor ID],INVESTORS_LIST[[#This Row],[INVESTOR CODE]],LS[B/S],"B")</f>
        <v>0</v>
      </c>
      <c r="W483" s="33">
        <f>SUMIFS(LS[BO UNIT TRANSFER],LS[Investor ID],INVESTORS_LIST[[#This Row],[INVESTOR CODE]],LS[B/S],"S")</f>
        <v>0</v>
      </c>
      <c r="X483" s="33">
        <f>SUMIFS(SIP[BO UNIT TRANSFER],SIP[Investor ID],INVESTORS_LIST[[#This Row],[INVESTOR CODE]],SIP[B/S],"S")</f>
        <v>0</v>
      </c>
      <c r="Y483" s="33">
        <f>SUMIFS(SIP[BO UNIT TRANSFER],SIP[Investor ID],INVESTORS_LIST[[#This Row],[INVESTOR CODE]],SIP[B/S],"B")</f>
        <v>0</v>
      </c>
      <c r="Z48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83" s="119">
        <f>INVESTORS_LIST[[#This Row],[TOTAL UNITS BUY]]-INVESTORS_LIST[[#This Row],[TOTAL UNITS SOLD]]</f>
        <v>0</v>
      </c>
      <c r="AB483" s="119">
        <f>INVESTORS_LIST[[#This Row],[TOTAL CURRENT UNITS]]-INVESTORS_LIST[[#This Row],[BO UNITS HOLD]]</f>
        <v>0</v>
      </c>
      <c r="AC483" s="119" t="e">
        <f>INDEX([4]!Table_1[BO ID],MATCH(INVESTORS_LIST[[#This Row],[INVESTOR CODE]],[4]!Table_1[INVESTOR CODE],0))</f>
        <v>#REF!</v>
      </c>
      <c r="AD483" s="33">
        <f>INVESTORS_LIST[[#This Row],[LS_TOTAL COST VALUE OF CURRENT UNITS]]+INVESTORS_LIST[[#This Row],[SIP_TOTAL COST VALUE OF CURRENT UNITS]]</f>
        <v>0</v>
      </c>
      <c r="AE483" s="44">
        <f>IF(INVESTORS_LIST[[#This Row],[TOTAL CURRENT UNITS]]=0,0,INVESTORS_LIST[[#This Row],[LS_TOTAL CURRENT UNITS]]/INVESTORS_LIST[[#This Row],[TOTAL CURRENT UNITS]])</f>
        <v>0</v>
      </c>
      <c r="AF483" s="44">
        <f>IF(INVESTORS_LIST[[#This Row],[TOTAL CURRENT UNITS]]=0,0,INVESTORS_LIST[[#This Row],[SIP_TOTAL CURRENT UNITS]]/INVESTORS_LIST[[#This Row],[TOTAL CURRENT UNITS]])</f>
        <v>0</v>
      </c>
      <c r="AG483" s="4" cm="1">
        <f t="array" ref="AG48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83" s="4" cm="1">
        <f t="array" ref="AH48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8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83" s="178">
        <f t="shared" si="10"/>
        <v>12.552</v>
      </c>
      <c r="AK483" s="118">
        <f>IF(INVESTORS_LIST[[#This Row],[TOTAL CURRENT UNITS]]=0,0,INVESTORS_LIST[[#This Row],[TOTAL CURRENT UNITS]]*INVESTORS_LIST[[#This Row],[NAV]])</f>
        <v>0</v>
      </c>
      <c r="AL483" s="4">
        <f>IF(INVESTORS_LIST[[#This Row],[LS_TOTAL CURRENT UNITS]]=0,0,INVESTORS_LIST[[#This Row],[LS_TOTAL CURRENT UNITS]]*INVESTORS_LIST[[#This Row],[NAV]])</f>
        <v>0</v>
      </c>
      <c r="AM483" s="6">
        <f>IF(INVESTORS_LIST[[#This Row],[SIP_TOTAL CURRENT UNITS]]=0,0,INVESTORS_LIST[[#This Row],[SIP_TOTAL CURRENT UNITS]]*INVESTORS_LIST[[#This Row],[NAV]])</f>
        <v>0</v>
      </c>
      <c r="AO483" s="6">
        <f>IF(INVESTORS_LIST[[#This Row],[TOTAL SELLABLE UNITS]]=0,0,INVESTORS_LIST[[#This Row],[TOTAL SELLABLE UNITS]]*INVESTORS_LIST[[#This Row],[NAV]])</f>
        <v>0</v>
      </c>
      <c r="AP483" s="6">
        <f>INVESTORS_LIST[[#This Row],[LS_TOTAL REALIZED GAIN]]+INVESTORS_LIST[[#This Row],[SIP_TOTAL REALIZED GAIN]]</f>
        <v>0</v>
      </c>
      <c r="AQ483" s="6">
        <f>INVESTORS_LIST[[#This Row],[TOTAL MARKET VALUE]]-INVESTORS_LIST[[#This Row],[TOTAL COST VALUE OF CURRENT INVESTMENT]]</f>
        <v>0</v>
      </c>
      <c r="AR483" s="6">
        <f>SUMIFS(DivAndTax[Tax Amount],DivAndTax[Investor ID],INVESTORS_LIST[[#This Row],[INVESTOR CODE]])</f>
        <v>0</v>
      </c>
      <c r="AS483" s="6">
        <f>SUMIFS(DivAndTax[Gross Dividend],DivAndTax[Investor ID],INVESTORS_LIST[[#This Row],[INVESTOR CODE]])</f>
        <v>0</v>
      </c>
      <c r="AT483" s="5">
        <f>IFERROR(INVESTORS_LIST[[#This Row],[TOTAL CURRENT UNITS]]/SUM(INVESTORS_LIST[TOTAL CURRENT UNITS]),0)</f>
        <v>0</v>
      </c>
    </row>
    <row r="484" spans="1:46" hidden="1">
      <c r="A484" t="s">
        <v>1078</v>
      </c>
      <c r="B484" t="s">
        <v>1079</v>
      </c>
      <c r="C484" t="s">
        <v>536</v>
      </c>
      <c r="D484" s="8" t="s">
        <v>2</v>
      </c>
      <c r="E484" s="2">
        <f>SUMIFS(LS[Unit],LS[Investor ID],INVESTORS_LIST[[#This Row],[INVESTOR CODE]],LS[B/S],"B")</f>
        <v>0</v>
      </c>
      <c r="F484" s="2">
        <f>-SUMIFS(LS[Unit],LS[Investor ID],INVESTORS_LIST[[#This Row],[INVESTOR CODE]],LS[B/S],"S")</f>
        <v>0</v>
      </c>
      <c r="G484" s="2">
        <f>IF(INVESTORS_LIST[[#This Row],[LS_TOTAL UNITS BUY]]=0,0,INVESTORS_LIST[[#This Row],[LS_TOTAL UNITS BUY]]-INVESTORS_LIST[[#This Row],[LS_TOTAL UNITS SOLD]])</f>
        <v>0</v>
      </c>
      <c r="H484" s="4">
        <f>IF(INVESTORS_LIST[[#This Row],[LS_TOTAL UNITS BUY]]=0,0,SUMIFS(LS[Amount],LS[Investor ID],INVESTORS_LIST[[#This Row],[INVESTOR CODE]],LS[B/S],"B"))</f>
        <v>0</v>
      </c>
      <c r="I484" s="6">
        <f>IF(INVESTORS_LIST[[#This Row],[LS_TOTAL UNITS SOLD]]=0,0,SUMIFS(LS[Cost of Units Sold],LS[Investor ID],INVESTORS_LIST[[#This Row],[INVESTOR CODE]],LS[B/S],"S"))</f>
        <v>0</v>
      </c>
      <c r="J484" s="6">
        <f>IF(INVESTORS_LIST[[#This Row],[LS_TOTAL CURRENT UNITS]]=0,0,INVESTORS_LIST[[#This Row],[LS_TOTAL CURRENT UNITS]]*INVESTORS_LIST[[#This Row],[LS_AVERAGE COST]])</f>
        <v>0</v>
      </c>
      <c r="K484" s="4">
        <f>IF(INVESTORS_LIST[[#This Row],[LS_TOTAL UNITS SOLD]]=0,0,SUMIFS(LS[Realized Gain],LS[Investor ID],INVESTORS_LIST[[#This Row],[INVESTOR CODE]],LS[B/S],"S"))</f>
        <v>0</v>
      </c>
      <c r="L484" s="2">
        <f>SUMIFS(SIP[Unit],SIP[Investor ID],INVESTORS_LIST[[#This Row],[INVESTOR CODE]],SIP[B/S],"B")</f>
        <v>0</v>
      </c>
      <c r="M484" s="2">
        <f>-SUMIFS(SIP[Unit],SIP[Investor ID],INVESTORS_LIST[[#This Row],[INVESTOR CODE]],SIP[B/S],"S")</f>
        <v>0</v>
      </c>
      <c r="N484" s="33">
        <f>IF(INVESTORS_LIST[[#This Row],[SIP_TOTAL UNITS BUY]]=0,0,INVESTORS_LIST[[#This Row],[SIP_TOTAL UNITS BUY]]-INVESTORS_LIST[[#This Row],[SIP_TOTAL UNITS SOLD]])</f>
        <v>0</v>
      </c>
      <c r="O484" s="4">
        <f>IF(INVESTORS_LIST[[#This Row],[SIP_TOTAL UNITS BUY]]=0,0,SUMIFS(SIP[Amount],SIP[Investor ID],INVESTORS_LIST[[#This Row],[INVESTOR CODE]],SIP[B/S],"B"))</f>
        <v>0</v>
      </c>
      <c r="P484" s="4">
        <f>IF(INVESTORS_LIST[[#This Row],[SIP_TOTAL UNITS SOLD]]=0,0,SUMIFS(SIP[Cost of Units Sold],SIP[Investor ID],INVESTORS_LIST[[#This Row],[INVESTOR CODE]],SIP[B/S],"S"))</f>
        <v>0</v>
      </c>
      <c r="Q484" s="6">
        <f>IF(INVESTORS_LIST[[#This Row],[SIP_TOTAL CURRENT UNITS]]=0,0,INVESTORS_LIST[[#This Row],[SIP_TOTAL CURRENT UNITS]]*INVESTORS_LIST[[#This Row],[SIP_AVERAGE COST]])</f>
        <v>0</v>
      </c>
      <c r="R484" s="6">
        <f>IF(INVESTORS_LIST[[#This Row],[SIP_TOTAL UNITS SOLD]]=0,0,SUMIFS(SIP[Realized Gain],SIP[Investor ID],INVESTORS_LIST[[#This Row],[INVESTOR CODE]],SIP[B/S],"S"))</f>
        <v>0</v>
      </c>
      <c r="S484" s="33">
        <f>INVESTORS_LIST[[#This Row],[LS_TOTAL UNITS BUY]]+INVESTORS_LIST[[#This Row],[SIP_TOTAL UNITS BUY]]</f>
        <v>0</v>
      </c>
      <c r="T484" s="33">
        <f>INVESTORS_LIST[[#This Row],[LS_TOTAL UNITS SOLD]]+INVESTORS_LIST[[#This Row],[SIP_TOTAL UNITS SOLD]]</f>
        <v>0</v>
      </c>
      <c r="U484" s="33">
        <v>0</v>
      </c>
      <c r="V484" s="33">
        <f>SUMIFS(LS[BO UNIT TRANSFER],LS[Investor ID],INVESTORS_LIST[[#This Row],[INVESTOR CODE]],LS[B/S],"B")</f>
        <v>0</v>
      </c>
      <c r="W484" s="33">
        <f>SUMIFS(LS[BO UNIT TRANSFER],LS[Investor ID],INVESTORS_LIST[[#This Row],[INVESTOR CODE]],LS[B/S],"S")</f>
        <v>0</v>
      </c>
      <c r="X484" s="33">
        <f>SUMIFS(SIP[BO UNIT TRANSFER],SIP[Investor ID],INVESTORS_LIST[[#This Row],[INVESTOR CODE]],SIP[B/S],"S")</f>
        <v>0</v>
      </c>
      <c r="Y484" s="33">
        <f>SUMIFS(SIP[BO UNIT TRANSFER],SIP[Investor ID],INVESTORS_LIST[[#This Row],[INVESTOR CODE]],SIP[B/S],"B")</f>
        <v>0</v>
      </c>
      <c r="Z48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84" s="119">
        <f>INVESTORS_LIST[[#This Row],[TOTAL UNITS BUY]]-INVESTORS_LIST[[#This Row],[TOTAL UNITS SOLD]]</f>
        <v>0</v>
      </c>
      <c r="AB484" s="119">
        <f>INVESTORS_LIST[[#This Row],[TOTAL CURRENT UNITS]]-INVESTORS_LIST[[#This Row],[BO UNITS HOLD]]</f>
        <v>0</v>
      </c>
      <c r="AC484" s="119" t="e">
        <f>INDEX([4]!Table_1[BO ID],MATCH(INVESTORS_LIST[[#This Row],[INVESTOR CODE]],[4]!Table_1[INVESTOR CODE],0))</f>
        <v>#REF!</v>
      </c>
      <c r="AD484" s="33">
        <f>INVESTORS_LIST[[#This Row],[LS_TOTAL COST VALUE OF CURRENT UNITS]]+INVESTORS_LIST[[#This Row],[SIP_TOTAL COST VALUE OF CURRENT UNITS]]</f>
        <v>0</v>
      </c>
      <c r="AE484" s="44">
        <f>IF(INVESTORS_LIST[[#This Row],[TOTAL CURRENT UNITS]]=0,0,INVESTORS_LIST[[#This Row],[LS_TOTAL CURRENT UNITS]]/INVESTORS_LIST[[#This Row],[TOTAL CURRENT UNITS]])</f>
        <v>0</v>
      </c>
      <c r="AF484" s="44">
        <f>IF(INVESTORS_LIST[[#This Row],[TOTAL CURRENT UNITS]]=0,0,INVESTORS_LIST[[#This Row],[SIP_TOTAL CURRENT UNITS]]/INVESTORS_LIST[[#This Row],[TOTAL CURRENT UNITS]])</f>
        <v>0</v>
      </c>
      <c r="AG484" s="4" cm="1">
        <f t="array" ref="AG48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84" s="4" cm="1">
        <f t="array" ref="AH4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8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84" s="178">
        <f t="shared" si="10"/>
        <v>12.552</v>
      </c>
      <c r="AK484" s="118">
        <f>IF(INVESTORS_LIST[[#This Row],[TOTAL CURRENT UNITS]]=0,0,INVESTORS_LIST[[#This Row],[TOTAL CURRENT UNITS]]*INVESTORS_LIST[[#This Row],[NAV]])</f>
        <v>0</v>
      </c>
      <c r="AL484" s="4">
        <f>IF(INVESTORS_LIST[[#This Row],[LS_TOTAL CURRENT UNITS]]=0,0,INVESTORS_LIST[[#This Row],[LS_TOTAL CURRENT UNITS]]*INVESTORS_LIST[[#This Row],[NAV]])</f>
        <v>0</v>
      </c>
      <c r="AM484" s="6">
        <f>IF(INVESTORS_LIST[[#This Row],[SIP_TOTAL CURRENT UNITS]]=0,0,INVESTORS_LIST[[#This Row],[SIP_TOTAL CURRENT UNITS]]*INVESTORS_LIST[[#This Row],[NAV]])</f>
        <v>0</v>
      </c>
      <c r="AO484" s="6">
        <f>IF(INVESTORS_LIST[[#This Row],[TOTAL SELLABLE UNITS]]=0,0,INVESTORS_LIST[[#This Row],[TOTAL SELLABLE UNITS]]*INVESTORS_LIST[[#This Row],[NAV]])</f>
        <v>0</v>
      </c>
      <c r="AP484" s="6">
        <f>INVESTORS_LIST[[#This Row],[LS_TOTAL REALIZED GAIN]]+INVESTORS_LIST[[#This Row],[SIP_TOTAL REALIZED GAIN]]</f>
        <v>0</v>
      </c>
      <c r="AQ484" s="6">
        <f>INVESTORS_LIST[[#This Row],[TOTAL MARKET VALUE]]-INVESTORS_LIST[[#This Row],[TOTAL COST VALUE OF CURRENT INVESTMENT]]</f>
        <v>0</v>
      </c>
      <c r="AR484" s="6">
        <f>SUMIFS(DivAndTax[Tax Amount],DivAndTax[Investor ID],INVESTORS_LIST[[#This Row],[INVESTOR CODE]])</f>
        <v>0</v>
      </c>
      <c r="AS484" s="6">
        <f>SUMIFS(DivAndTax[Gross Dividend],DivAndTax[Investor ID],INVESTORS_LIST[[#This Row],[INVESTOR CODE]])</f>
        <v>0</v>
      </c>
      <c r="AT484" s="5">
        <f>IFERROR(INVESTORS_LIST[[#This Row],[TOTAL CURRENT UNITS]]/SUM(INVESTORS_LIST[TOTAL CURRENT UNITS]),0)</f>
        <v>0</v>
      </c>
    </row>
    <row r="485" spans="1:46" hidden="1">
      <c r="A485" t="s">
        <v>1080</v>
      </c>
      <c r="B485" t="s">
        <v>1081</v>
      </c>
      <c r="C485" t="s">
        <v>536</v>
      </c>
      <c r="D485" s="8" t="s">
        <v>2</v>
      </c>
      <c r="E485" s="2">
        <f>SUMIFS(LS[Unit],LS[Investor ID],INVESTORS_LIST[[#This Row],[INVESTOR CODE]],LS[B/S],"B")</f>
        <v>0</v>
      </c>
      <c r="F485" s="2">
        <f>-SUMIFS(LS[Unit],LS[Investor ID],INVESTORS_LIST[[#This Row],[INVESTOR CODE]],LS[B/S],"S")</f>
        <v>0</v>
      </c>
      <c r="G485" s="2">
        <f>IF(INVESTORS_LIST[[#This Row],[LS_TOTAL UNITS BUY]]=0,0,INVESTORS_LIST[[#This Row],[LS_TOTAL UNITS BUY]]-INVESTORS_LIST[[#This Row],[LS_TOTAL UNITS SOLD]])</f>
        <v>0</v>
      </c>
      <c r="H485" s="4">
        <f>IF(INVESTORS_LIST[[#This Row],[LS_TOTAL UNITS BUY]]=0,0,SUMIFS(LS[Amount],LS[Investor ID],INVESTORS_LIST[[#This Row],[INVESTOR CODE]],LS[B/S],"B"))</f>
        <v>0</v>
      </c>
      <c r="I485" s="6">
        <f>IF(INVESTORS_LIST[[#This Row],[LS_TOTAL UNITS SOLD]]=0,0,SUMIFS(LS[Cost of Units Sold],LS[Investor ID],INVESTORS_LIST[[#This Row],[INVESTOR CODE]],LS[B/S],"S"))</f>
        <v>0</v>
      </c>
      <c r="J485" s="6">
        <f>IF(INVESTORS_LIST[[#This Row],[LS_TOTAL CURRENT UNITS]]=0,0,INVESTORS_LIST[[#This Row],[LS_TOTAL CURRENT UNITS]]*INVESTORS_LIST[[#This Row],[LS_AVERAGE COST]])</f>
        <v>0</v>
      </c>
      <c r="K485" s="4">
        <f>IF(INVESTORS_LIST[[#This Row],[LS_TOTAL UNITS SOLD]]=0,0,SUMIFS(LS[Realized Gain],LS[Investor ID],INVESTORS_LIST[[#This Row],[INVESTOR CODE]],LS[B/S],"S"))</f>
        <v>0</v>
      </c>
      <c r="L485" s="2">
        <f>SUMIFS(SIP[Unit],SIP[Investor ID],INVESTORS_LIST[[#This Row],[INVESTOR CODE]],SIP[B/S],"B")</f>
        <v>0</v>
      </c>
      <c r="M485" s="2">
        <f>-SUMIFS(SIP[Unit],SIP[Investor ID],INVESTORS_LIST[[#This Row],[INVESTOR CODE]],SIP[B/S],"S")</f>
        <v>0</v>
      </c>
      <c r="N485" s="33">
        <f>IF(INVESTORS_LIST[[#This Row],[SIP_TOTAL UNITS BUY]]=0,0,INVESTORS_LIST[[#This Row],[SIP_TOTAL UNITS BUY]]-INVESTORS_LIST[[#This Row],[SIP_TOTAL UNITS SOLD]])</f>
        <v>0</v>
      </c>
      <c r="O485" s="4">
        <f>IF(INVESTORS_LIST[[#This Row],[SIP_TOTAL UNITS BUY]]=0,0,SUMIFS(SIP[Amount],SIP[Investor ID],INVESTORS_LIST[[#This Row],[INVESTOR CODE]],SIP[B/S],"B"))</f>
        <v>0</v>
      </c>
      <c r="P485" s="4">
        <f>IF(INVESTORS_LIST[[#This Row],[SIP_TOTAL UNITS SOLD]]=0,0,SUMIFS(SIP[Cost of Units Sold],SIP[Investor ID],INVESTORS_LIST[[#This Row],[INVESTOR CODE]],SIP[B/S],"S"))</f>
        <v>0</v>
      </c>
      <c r="Q485" s="6">
        <f>IF(INVESTORS_LIST[[#This Row],[SIP_TOTAL CURRENT UNITS]]=0,0,INVESTORS_LIST[[#This Row],[SIP_TOTAL CURRENT UNITS]]*INVESTORS_LIST[[#This Row],[SIP_AVERAGE COST]])</f>
        <v>0</v>
      </c>
      <c r="R485" s="6">
        <f>IF(INVESTORS_LIST[[#This Row],[SIP_TOTAL UNITS SOLD]]=0,0,SUMIFS(SIP[Realized Gain],SIP[Investor ID],INVESTORS_LIST[[#This Row],[INVESTOR CODE]],SIP[B/S],"S"))</f>
        <v>0</v>
      </c>
      <c r="S485" s="33">
        <f>INVESTORS_LIST[[#This Row],[LS_TOTAL UNITS BUY]]+INVESTORS_LIST[[#This Row],[SIP_TOTAL UNITS BUY]]</f>
        <v>0</v>
      </c>
      <c r="T485" s="33">
        <f>INVESTORS_LIST[[#This Row],[LS_TOTAL UNITS SOLD]]+INVESTORS_LIST[[#This Row],[SIP_TOTAL UNITS SOLD]]</f>
        <v>0</v>
      </c>
      <c r="U485" s="33">
        <v>0</v>
      </c>
      <c r="V485" s="33">
        <f>SUMIFS(LS[BO UNIT TRANSFER],LS[Investor ID],INVESTORS_LIST[[#This Row],[INVESTOR CODE]],LS[B/S],"B")</f>
        <v>0</v>
      </c>
      <c r="W485" s="33">
        <f>SUMIFS(LS[BO UNIT TRANSFER],LS[Investor ID],INVESTORS_LIST[[#This Row],[INVESTOR CODE]],LS[B/S],"S")</f>
        <v>0</v>
      </c>
      <c r="X485" s="33">
        <f>SUMIFS(SIP[BO UNIT TRANSFER],SIP[Investor ID],INVESTORS_LIST[[#This Row],[INVESTOR CODE]],SIP[B/S],"S")</f>
        <v>0</v>
      </c>
      <c r="Y485" s="33">
        <f>SUMIFS(SIP[BO UNIT TRANSFER],SIP[Investor ID],INVESTORS_LIST[[#This Row],[INVESTOR CODE]],SIP[B/S],"B")</f>
        <v>0</v>
      </c>
      <c r="Z48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85" s="119">
        <f>INVESTORS_LIST[[#This Row],[TOTAL UNITS BUY]]-INVESTORS_LIST[[#This Row],[TOTAL UNITS SOLD]]</f>
        <v>0</v>
      </c>
      <c r="AB485" s="119">
        <f>INVESTORS_LIST[[#This Row],[TOTAL CURRENT UNITS]]-INVESTORS_LIST[[#This Row],[BO UNITS HOLD]]</f>
        <v>0</v>
      </c>
      <c r="AC485" s="119" t="e">
        <f>INDEX([4]!Table_1[BO ID],MATCH(INVESTORS_LIST[[#This Row],[INVESTOR CODE]],[4]!Table_1[INVESTOR CODE],0))</f>
        <v>#REF!</v>
      </c>
      <c r="AD485" s="33">
        <f>INVESTORS_LIST[[#This Row],[LS_TOTAL COST VALUE OF CURRENT UNITS]]+INVESTORS_LIST[[#This Row],[SIP_TOTAL COST VALUE OF CURRENT UNITS]]</f>
        <v>0</v>
      </c>
      <c r="AE485" s="44">
        <f>IF(INVESTORS_LIST[[#This Row],[TOTAL CURRENT UNITS]]=0,0,INVESTORS_LIST[[#This Row],[LS_TOTAL CURRENT UNITS]]/INVESTORS_LIST[[#This Row],[TOTAL CURRENT UNITS]])</f>
        <v>0</v>
      </c>
      <c r="AF485" s="44">
        <f>IF(INVESTORS_LIST[[#This Row],[TOTAL CURRENT UNITS]]=0,0,INVESTORS_LIST[[#This Row],[SIP_TOTAL CURRENT UNITS]]/INVESTORS_LIST[[#This Row],[TOTAL CURRENT UNITS]])</f>
        <v>0</v>
      </c>
      <c r="AG485" s="4" cm="1">
        <f t="array" ref="AG4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85" s="4" cm="1">
        <f t="array" ref="AH48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8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85" s="178">
        <f t="shared" si="10"/>
        <v>12.552</v>
      </c>
      <c r="AK485" s="118">
        <f>IF(INVESTORS_LIST[[#This Row],[TOTAL CURRENT UNITS]]=0,0,INVESTORS_LIST[[#This Row],[TOTAL CURRENT UNITS]]*INVESTORS_LIST[[#This Row],[NAV]])</f>
        <v>0</v>
      </c>
      <c r="AL485" s="4">
        <f>IF(INVESTORS_LIST[[#This Row],[LS_TOTAL CURRENT UNITS]]=0,0,INVESTORS_LIST[[#This Row],[LS_TOTAL CURRENT UNITS]]*INVESTORS_LIST[[#This Row],[NAV]])</f>
        <v>0</v>
      </c>
      <c r="AM485" s="6">
        <f>IF(INVESTORS_LIST[[#This Row],[SIP_TOTAL CURRENT UNITS]]=0,0,INVESTORS_LIST[[#This Row],[SIP_TOTAL CURRENT UNITS]]*INVESTORS_LIST[[#This Row],[NAV]])</f>
        <v>0</v>
      </c>
      <c r="AO485" s="6">
        <f>IF(INVESTORS_LIST[[#This Row],[TOTAL SELLABLE UNITS]]=0,0,INVESTORS_LIST[[#This Row],[TOTAL SELLABLE UNITS]]*INVESTORS_LIST[[#This Row],[NAV]])</f>
        <v>0</v>
      </c>
      <c r="AP485" s="6">
        <f>INVESTORS_LIST[[#This Row],[LS_TOTAL REALIZED GAIN]]+INVESTORS_LIST[[#This Row],[SIP_TOTAL REALIZED GAIN]]</f>
        <v>0</v>
      </c>
      <c r="AQ485" s="6">
        <f>INVESTORS_LIST[[#This Row],[TOTAL MARKET VALUE]]-INVESTORS_LIST[[#This Row],[TOTAL COST VALUE OF CURRENT INVESTMENT]]</f>
        <v>0</v>
      </c>
      <c r="AR485" s="6">
        <f>SUMIFS(DivAndTax[Tax Amount],DivAndTax[Investor ID],INVESTORS_LIST[[#This Row],[INVESTOR CODE]])</f>
        <v>0</v>
      </c>
      <c r="AS485" s="6">
        <f>SUMIFS(DivAndTax[Gross Dividend],DivAndTax[Investor ID],INVESTORS_LIST[[#This Row],[INVESTOR CODE]])</f>
        <v>0</v>
      </c>
      <c r="AT485" s="5">
        <f>IFERROR(INVESTORS_LIST[[#This Row],[TOTAL CURRENT UNITS]]/SUM(INVESTORS_LIST[TOTAL CURRENT UNITS]),0)</f>
        <v>0</v>
      </c>
    </row>
    <row r="486" spans="1:46" hidden="1">
      <c r="A486" t="s">
        <v>1082</v>
      </c>
      <c r="B486" t="s">
        <v>1083</v>
      </c>
      <c r="C486" t="s">
        <v>539</v>
      </c>
      <c r="D486" s="8" t="s">
        <v>2</v>
      </c>
      <c r="E486" s="2">
        <f>SUMIFS(LS[Unit],LS[Investor ID],INVESTORS_LIST[[#This Row],[INVESTOR CODE]],LS[B/S],"B")</f>
        <v>0</v>
      </c>
      <c r="F486" s="2">
        <f>-SUMIFS(LS[Unit],LS[Investor ID],INVESTORS_LIST[[#This Row],[INVESTOR CODE]],LS[B/S],"S")</f>
        <v>0</v>
      </c>
      <c r="G486" s="2">
        <f>IF(INVESTORS_LIST[[#This Row],[LS_TOTAL UNITS BUY]]=0,0,INVESTORS_LIST[[#This Row],[LS_TOTAL UNITS BUY]]-INVESTORS_LIST[[#This Row],[LS_TOTAL UNITS SOLD]])</f>
        <v>0</v>
      </c>
      <c r="H486" s="4">
        <f>IF(INVESTORS_LIST[[#This Row],[LS_TOTAL UNITS BUY]]=0,0,SUMIFS(LS[Amount],LS[Investor ID],INVESTORS_LIST[[#This Row],[INVESTOR CODE]],LS[B/S],"B"))</f>
        <v>0</v>
      </c>
      <c r="I486" s="6">
        <f>IF(INVESTORS_LIST[[#This Row],[LS_TOTAL UNITS SOLD]]=0,0,SUMIFS(LS[Cost of Units Sold],LS[Investor ID],INVESTORS_LIST[[#This Row],[INVESTOR CODE]],LS[B/S],"S"))</f>
        <v>0</v>
      </c>
      <c r="J486" s="6">
        <f>IF(INVESTORS_LIST[[#This Row],[LS_TOTAL CURRENT UNITS]]=0,0,INVESTORS_LIST[[#This Row],[LS_TOTAL CURRENT UNITS]]*INVESTORS_LIST[[#This Row],[LS_AVERAGE COST]])</f>
        <v>0</v>
      </c>
      <c r="K486" s="4">
        <f>IF(INVESTORS_LIST[[#This Row],[LS_TOTAL UNITS SOLD]]=0,0,SUMIFS(LS[Realized Gain],LS[Investor ID],INVESTORS_LIST[[#This Row],[INVESTOR CODE]],LS[B/S],"S"))</f>
        <v>0</v>
      </c>
      <c r="L486" s="2">
        <f>SUMIFS(SIP[Unit],SIP[Investor ID],INVESTORS_LIST[[#This Row],[INVESTOR CODE]],SIP[B/S],"B")</f>
        <v>0</v>
      </c>
      <c r="M486" s="2">
        <f>-SUMIFS(SIP[Unit],SIP[Investor ID],INVESTORS_LIST[[#This Row],[INVESTOR CODE]],SIP[B/S],"S")</f>
        <v>0</v>
      </c>
      <c r="N486" s="33">
        <f>IF(INVESTORS_LIST[[#This Row],[SIP_TOTAL UNITS BUY]]=0,0,INVESTORS_LIST[[#This Row],[SIP_TOTAL UNITS BUY]]-INVESTORS_LIST[[#This Row],[SIP_TOTAL UNITS SOLD]])</f>
        <v>0</v>
      </c>
      <c r="O486" s="4">
        <f>IF(INVESTORS_LIST[[#This Row],[SIP_TOTAL UNITS BUY]]=0,0,SUMIFS(SIP[Amount],SIP[Investor ID],INVESTORS_LIST[[#This Row],[INVESTOR CODE]],SIP[B/S],"B"))</f>
        <v>0</v>
      </c>
      <c r="P486" s="4">
        <f>IF(INVESTORS_LIST[[#This Row],[SIP_TOTAL UNITS SOLD]]=0,0,SUMIFS(SIP[Cost of Units Sold],SIP[Investor ID],INVESTORS_LIST[[#This Row],[INVESTOR CODE]],SIP[B/S],"S"))</f>
        <v>0</v>
      </c>
      <c r="Q486" s="6">
        <f>IF(INVESTORS_LIST[[#This Row],[SIP_TOTAL CURRENT UNITS]]=0,0,INVESTORS_LIST[[#This Row],[SIP_TOTAL CURRENT UNITS]]*INVESTORS_LIST[[#This Row],[SIP_AVERAGE COST]])</f>
        <v>0</v>
      </c>
      <c r="R486" s="6">
        <f>IF(INVESTORS_LIST[[#This Row],[SIP_TOTAL UNITS SOLD]]=0,0,SUMIFS(SIP[Realized Gain],SIP[Investor ID],INVESTORS_LIST[[#This Row],[INVESTOR CODE]],SIP[B/S],"S"))</f>
        <v>0</v>
      </c>
      <c r="S486" s="33">
        <f>INVESTORS_LIST[[#This Row],[LS_TOTAL UNITS BUY]]+INVESTORS_LIST[[#This Row],[SIP_TOTAL UNITS BUY]]</f>
        <v>0</v>
      </c>
      <c r="T486" s="33">
        <f>INVESTORS_LIST[[#This Row],[LS_TOTAL UNITS SOLD]]+INVESTORS_LIST[[#This Row],[SIP_TOTAL UNITS SOLD]]</f>
        <v>0</v>
      </c>
      <c r="U486" s="33">
        <v>0</v>
      </c>
      <c r="V486" s="33">
        <f>SUMIFS(LS[BO UNIT TRANSFER],LS[Investor ID],INVESTORS_LIST[[#This Row],[INVESTOR CODE]],LS[B/S],"B")</f>
        <v>0</v>
      </c>
      <c r="W486" s="33">
        <f>SUMIFS(LS[BO UNIT TRANSFER],LS[Investor ID],INVESTORS_LIST[[#This Row],[INVESTOR CODE]],LS[B/S],"S")</f>
        <v>0</v>
      </c>
      <c r="X486" s="33">
        <f>SUMIFS(SIP[BO UNIT TRANSFER],SIP[Investor ID],INVESTORS_LIST[[#This Row],[INVESTOR CODE]],SIP[B/S],"S")</f>
        <v>0</v>
      </c>
      <c r="Y486" s="33">
        <f>SUMIFS(SIP[BO UNIT TRANSFER],SIP[Investor ID],INVESTORS_LIST[[#This Row],[INVESTOR CODE]],SIP[B/S],"B")</f>
        <v>0</v>
      </c>
      <c r="Z48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86" s="119">
        <f>INVESTORS_LIST[[#This Row],[TOTAL UNITS BUY]]-INVESTORS_LIST[[#This Row],[TOTAL UNITS SOLD]]</f>
        <v>0</v>
      </c>
      <c r="AB486" s="119">
        <f>INVESTORS_LIST[[#This Row],[TOTAL CURRENT UNITS]]-INVESTORS_LIST[[#This Row],[BO UNITS HOLD]]</f>
        <v>0</v>
      </c>
      <c r="AC486" s="119" t="e">
        <f>INDEX([4]!Table_1[BO ID],MATCH(INVESTORS_LIST[[#This Row],[INVESTOR CODE]],[4]!Table_1[INVESTOR CODE],0))</f>
        <v>#REF!</v>
      </c>
      <c r="AD486" s="33">
        <f>INVESTORS_LIST[[#This Row],[LS_TOTAL COST VALUE OF CURRENT UNITS]]+INVESTORS_LIST[[#This Row],[SIP_TOTAL COST VALUE OF CURRENT UNITS]]</f>
        <v>0</v>
      </c>
      <c r="AE486" s="44">
        <f>IF(INVESTORS_LIST[[#This Row],[TOTAL CURRENT UNITS]]=0,0,INVESTORS_LIST[[#This Row],[LS_TOTAL CURRENT UNITS]]/INVESTORS_LIST[[#This Row],[TOTAL CURRENT UNITS]])</f>
        <v>0</v>
      </c>
      <c r="AF486" s="44">
        <f>IF(INVESTORS_LIST[[#This Row],[TOTAL CURRENT UNITS]]=0,0,INVESTORS_LIST[[#This Row],[SIP_TOTAL CURRENT UNITS]]/INVESTORS_LIST[[#This Row],[TOTAL CURRENT UNITS]])</f>
        <v>0</v>
      </c>
      <c r="AG486" s="4" cm="1">
        <f t="array" ref="AG4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86" s="4" cm="1">
        <f t="array" ref="AH48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8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86" s="178">
        <f t="shared" si="10"/>
        <v>12.552</v>
      </c>
      <c r="AK486" s="118">
        <f>IF(INVESTORS_LIST[[#This Row],[TOTAL CURRENT UNITS]]=0,0,INVESTORS_LIST[[#This Row],[TOTAL CURRENT UNITS]]*INVESTORS_LIST[[#This Row],[NAV]])</f>
        <v>0</v>
      </c>
      <c r="AL486" s="4">
        <f>IF(INVESTORS_LIST[[#This Row],[LS_TOTAL CURRENT UNITS]]=0,0,INVESTORS_LIST[[#This Row],[LS_TOTAL CURRENT UNITS]]*INVESTORS_LIST[[#This Row],[NAV]])</f>
        <v>0</v>
      </c>
      <c r="AM486" s="6">
        <f>IF(INVESTORS_LIST[[#This Row],[SIP_TOTAL CURRENT UNITS]]=0,0,INVESTORS_LIST[[#This Row],[SIP_TOTAL CURRENT UNITS]]*INVESTORS_LIST[[#This Row],[NAV]])</f>
        <v>0</v>
      </c>
      <c r="AO486" s="6">
        <f>IF(INVESTORS_LIST[[#This Row],[TOTAL SELLABLE UNITS]]=0,0,INVESTORS_LIST[[#This Row],[TOTAL SELLABLE UNITS]]*INVESTORS_LIST[[#This Row],[NAV]])</f>
        <v>0</v>
      </c>
      <c r="AP486" s="6">
        <f>INVESTORS_LIST[[#This Row],[LS_TOTAL REALIZED GAIN]]+INVESTORS_LIST[[#This Row],[SIP_TOTAL REALIZED GAIN]]</f>
        <v>0</v>
      </c>
      <c r="AQ486" s="6">
        <f>INVESTORS_LIST[[#This Row],[TOTAL MARKET VALUE]]-INVESTORS_LIST[[#This Row],[TOTAL COST VALUE OF CURRENT INVESTMENT]]</f>
        <v>0</v>
      </c>
      <c r="AR486" s="6">
        <f>SUMIFS(DivAndTax[Tax Amount],DivAndTax[Investor ID],INVESTORS_LIST[[#This Row],[INVESTOR CODE]])</f>
        <v>0</v>
      </c>
      <c r="AS486" s="6">
        <f>SUMIFS(DivAndTax[Gross Dividend],DivAndTax[Investor ID],INVESTORS_LIST[[#This Row],[INVESTOR CODE]])</f>
        <v>0</v>
      </c>
      <c r="AT486" s="5">
        <f>IFERROR(INVESTORS_LIST[[#This Row],[TOTAL CURRENT UNITS]]/SUM(INVESTORS_LIST[TOTAL CURRENT UNITS]),0)</f>
        <v>0</v>
      </c>
    </row>
    <row r="487" spans="1:46" hidden="1">
      <c r="A487" t="s">
        <v>1084</v>
      </c>
      <c r="B487" t="s">
        <v>1085</v>
      </c>
      <c r="C487" t="s">
        <v>536</v>
      </c>
      <c r="D487" s="8" t="s">
        <v>2</v>
      </c>
      <c r="E487" s="2">
        <f>SUMIFS(LS[Unit],LS[Investor ID],INVESTORS_LIST[[#This Row],[INVESTOR CODE]],LS[B/S],"B")</f>
        <v>0</v>
      </c>
      <c r="F487" s="2">
        <f>-SUMIFS(LS[Unit],LS[Investor ID],INVESTORS_LIST[[#This Row],[INVESTOR CODE]],LS[B/S],"S")</f>
        <v>0</v>
      </c>
      <c r="G487" s="2">
        <f>IF(INVESTORS_LIST[[#This Row],[LS_TOTAL UNITS BUY]]=0,0,INVESTORS_LIST[[#This Row],[LS_TOTAL UNITS BUY]]-INVESTORS_LIST[[#This Row],[LS_TOTAL UNITS SOLD]])</f>
        <v>0</v>
      </c>
      <c r="H487" s="4">
        <f>IF(INVESTORS_LIST[[#This Row],[LS_TOTAL UNITS BUY]]=0,0,SUMIFS(LS[Amount],LS[Investor ID],INVESTORS_LIST[[#This Row],[INVESTOR CODE]],LS[B/S],"B"))</f>
        <v>0</v>
      </c>
      <c r="I487" s="6">
        <f>IF(INVESTORS_LIST[[#This Row],[LS_TOTAL UNITS SOLD]]=0,0,SUMIFS(LS[Cost of Units Sold],LS[Investor ID],INVESTORS_LIST[[#This Row],[INVESTOR CODE]],LS[B/S],"S"))</f>
        <v>0</v>
      </c>
      <c r="J487" s="6">
        <f>IF(INVESTORS_LIST[[#This Row],[LS_TOTAL CURRENT UNITS]]=0,0,INVESTORS_LIST[[#This Row],[LS_TOTAL CURRENT UNITS]]*INVESTORS_LIST[[#This Row],[LS_AVERAGE COST]])</f>
        <v>0</v>
      </c>
      <c r="K487" s="4">
        <f>IF(INVESTORS_LIST[[#This Row],[LS_TOTAL UNITS SOLD]]=0,0,SUMIFS(LS[Realized Gain],LS[Investor ID],INVESTORS_LIST[[#This Row],[INVESTOR CODE]],LS[B/S],"S"))</f>
        <v>0</v>
      </c>
      <c r="L487" s="2">
        <f>SUMIFS(SIP[Unit],SIP[Investor ID],INVESTORS_LIST[[#This Row],[INVESTOR CODE]],SIP[B/S],"B")</f>
        <v>0</v>
      </c>
      <c r="M487" s="2">
        <f>-SUMIFS(SIP[Unit],SIP[Investor ID],INVESTORS_LIST[[#This Row],[INVESTOR CODE]],SIP[B/S],"S")</f>
        <v>0</v>
      </c>
      <c r="N487" s="33">
        <f>IF(INVESTORS_LIST[[#This Row],[SIP_TOTAL UNITS BUY]]=0,0,INVESTORS_LIST[[#This Row],[SIP_TOTAL UNITS BUY]]-INVESTORS_LIST[[#This Row],[SIP_TOTAL UNITS SOLD]])</f>
        <v>0</v>
      </c>
      <c r="O487" s="4">
        <f>IF(INVESTORS_LIST[[#This Row],[SIP_TOTAL UNITS BUY]]=0,0,SUMIFS(SIP[Amount],SIP[Investor ID],INVESTORS_LIST[[#This Row],[INVESTOR CODE]],SIP[B/S],"B"))</f>
        <v>0</v>
      </c>
      <c r="P487" s="4">
        <f>IF(INVESTORS_LIST[[#This Row],[SIP_TOTAL UNITS SOLD]]=0,0,SUMIFS(SIP[Cost of Units Sold],SIP[Investor ID],INVESTORS_LIST[[#This Row],[INVESTOR CODE]],SIP[B/S],"S"))</f>
        <v>0</v>
      </c>
      <c r="Q487" s="6">
        <f>IF(INVESTORS_LIST[[#This Row],[SIP_TOTAL CURRENT UNITS]]=0,0,INVESTORS_LIST[[#This Row],[SIP_TOTAL CURRENT UNITS]]*INVESTORS_LIST[[#This Row],[SIP_AVERAGE COST]])</f>
        <v>0</v>
      </c>
      <c r="R487" s="6">
        <f>IF(INVESTORS_LIST[[#This Row],[SIP_TOTAL UNITS SOLD]]=0,0,SUMIFS(SIP[Realized Gain],SIP[Investor ID],INVESTORS_LIST[[#This Row],[INVESTOR CODE]],SIP[B/S],"S"))</f>
        <v>0</v>
      </c>
      <c r="S487" s="33">
        <f>INVESTORS_LIST[[#This Row],[LS_TOTAL UNITS BUY]]+INVESTORS_LIST[[#This Row],[SIP_TOTAL UNITS BUY]]</f>
        <v>0</v>
      </c>
      <c r="T487" s="33">
        <f>INVESTORS_LIST[[#This Row],[LS_TOTAL UNITS SOLD]]+INVESTORS_LIST[[#This Row],[SIP_TOTAL UNITS SOLD]]</f>
        <v>0</v>
      </c>
      <c r="U487" s="33">
        <v>0</v>
      </c>
      <c r="V487" s="33">
        <f>SUMIFS(LS[BO UNIT TRANSFER],LS[Investor ID],INVESTORS_LIST[[#This Row],[INVESTOR CODE]],LS[B/S],"B")</f>
        <v>0</v>
      </c>
      <c r="W487" s="33">
        <f>SUMIFS(LS[BO UNIT TRANSFER],LS[Investor ID],INVESTORS_LIST[[#This Row],[INVESTOR CODE]],LS[B/S],"S")</f>
        <v>0</v>
      </c>
      <c r="X487" s="33">
        <f>SUMIFS(SIP[BO UNIT TRANSFER],SIP[Investor ID],INVESTORS_LIST[[#This Row],[INVESTOR CODE]],SIP[B/S],"S")</f>
        <v>0</v>
      </c>
      <c r="Y487" s="33">
        <f>SUMIFS(SIP[BO UNIT TRANSFER],SIP[Investor ID],INVESTORS_LIST[[#This Row],[INVESTOR CODE]],SIP[B/S],"B")</f>
        <v>0</v>
      </c>
      <c r="Z48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87" s="119">
        <f>INVESTORS_LIST[[#This Row],[TOTAL UNITS BUY]]-INVESTORS_LIST[[#This Row],[TOTAL UNITS SOLD]]</f>
        <v>0</v>
      </c>
      <c r="AB487" s="119">
        <f>INVESTORS_LIST[[#This Row],[TOTAL CURRENT UNITS]]-INVESTORS_LIST[[#This Row],[BO UNITS HOLD]]</f>
        <v>0</v>
      </c>
      <c r="AC487" s="119" t="e">
        <f>INDEX([4]!Table_1[BO ID],MATCH(INVESTORS_LIST[[#This Row],[INVESTOR CODE]],[4]!Table_1[INVESTOR CODE],0))</f>
        <v>#REF!</v>
      </c>
      <c r="AD487" s="33">
        <f>INVESTORS_LIST[[#This Row],[LS_TOTAL COST VALUE OF CURRENT UNITS]]+INVESTORS_LIST[[#This Row],[SIP_TOTAL COST VALUE OF CURRENT UNITS]]</f>
        <v>0</v>
      </c>
      <c r="AE487" s="44">
        <f>IF(INVESTORS_LIST[[#This Row],[TOTAL CURRENT UNITS]]=0,0,INVESTORS_LIST[[#This Row],[LS_TOTAL CURRENT UNITS]]/INVESTORS_LIST[[#This Row],[TOTAL CURRENT UNITS]])</f>
        <v>0</v>
      </c>
      <c r="AF487" s="44">
        <f>IF(INVESTORS_LIST[[#This Row],[TOTAL CURRENT UNITS]]=0,0,INVESTORS_LIST[[#This Row],[SIP_TOTAL CURRENT UNITS]]/INVESTORS_LIST[[#This Row],[TOTAL CURRENT UNITS]])</f>
        <v>0</v>
      </c>
      <c r="AG487" s="4" cm="1">
        <f t="array" ref="AG48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87" s="4" cm="1">
        <f t="array" ref="AH48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8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87" s="178">
        <f t="shared" si="10"/>
        <v>12.552</v>
      </c>
      <c r="AK487" s="118">
        <f>IF(INVESTORS_LIST[[#This Row],[TOTAL CURRENT UNITS]]=0,0,INVESTORS_LIST[[#This Row],[TOTAL CURRENT UNITS]]*INVESTORS_LIST[[#This Row],[NAV]])</f>
        <v>0</v>
      </c>
      <c r="AL487" s="4">
        <f>IF(INVESTORS_LIST[[#This Row],[LS_TOTAL CURRENT UNITS]]=0,0,INVESTORS_LIST[[#This Row],[LS_TOTAL CURRENT UNITS]]*INVESTORS_LIST[[#This Row],[NAV]])</f>
        <v>0</v>
      </c>
      <c r="AM487" s="6">
        <f>IF(INVESTORS_LIST[[#This Row],[SIP_TOTAL CURRENT UNITS]]=0,0,INVESTORS_LIST[[#This Row],[SIP_TOTAL CURRENT UNITS]]*INVESTORS_LIST[[#This Row],[NAV]])</f>
        <v>0</v>
      </c>
      <c r="AO487" s="6">
        <f>IF(INVESTORS_LIST[[#This Row],[TOTAL SELLABLE UNITS]]=0,0,INVESTORS_LIST[[#This Row],[TOTAL SELLABLE UNITS]]*INVESTORS_LIST[[#This Row],[NAV]])</f>
        <v>0</v>
      </c>
      <c r="AP487" s="6">
        <f>INVESTORS_LIST[[#This Row],[LS_TOTAL REALIZED GAIN]]+INVESTORS_LIST[[#This Row],[SIP_TOTAL REALIZED GAIN]]</f>
        <v>0</v>
      </c>
      <c r="AQ487" s="6">
        <f>INVESTORS_LIST[[#This Row],[TOTAL MARKET VALUE]]-INVESTORS_LIST[[#This Row],[TOTAL COST VALUE OF CURRENT INVESTMENT]]</f>
        <v>0</v>
      </c>
      <c r="AR487" s="6">
        <f>SUMIFS(DivAndTax[Tax Amount],DivAndTax[Investor ID],INVESTORS_LIST[[#This Row],[INVESTOR CODE]])</f>
        <v>0</v>
      </c>
      <c r="AS487" s="6">
        <f>SUMIFS(DivAndTax[Gross Dividend],DivAndTax[Investor ID],INVESTORS_LIST[[#This Row],[INVESTOR CODE]])</f>
        <v>0</v>
      </c>
      <c r="AT487" s="5">
        <f>IFERROR(INVESTORS_LIST[[#This Row],[TOTAL CURRENT UNITS]]/SUM(INVESTORS_LIST[TOTAL CURRENT UNITS]),0)</f>
        <v>0</v>
      </c>
    </row>
    <row r="488" spans="1:46" hidden="1">
      <c r="A488" t="s">
        <v>1086</v>
      </c>
      <c r="B488" t="s">
        <v>1087</v>
      </c>
      <c r="C488" t="s">
        <v>536</v>
      </c>
      <c r="D488" s="8" t="s">
        <v>2</v>
      </c>
      <c r="E488" s="2">
        <f>SUMIFS(LS[Unit],LS[Investor ID],INVESTORS_LIST[[#This Row],[INVESTOR CODE]],LS[B/S],"B")</f>
        <v>0</v>
      </c>
      <c r="F488" s="2">
        <f>-SUMIFS(LS[Unit],LS[Investor ID],INVESTORS_LIST[[#This Row],[INVESTOR CODE]],LS[B/S],"S")</f>
        <v>0</v>
      </c>
      <c r="G488" s="2">
        <f>IF(INVESTORS_LIST[[#This Row],[LS_TOTAL UNITS BUY]]=0,0,INVESTORS_LIST[[#This Row],[LS_TOTAL UNITS BUY]]-INVESTORS_LIST[[#This Row],[LS_TOTAL UNITS SOLD]])</f>
        <v>0</v>
      </c>
      <c r="H488" s="4">
        <f>IF(INVESTORS_LIST[[#This Row],[LS_TOTAL UNITS BUY]]=0,0,SUMIFS(LS[Amount],LS[Investor ID],INVESTORS_LIST[[#This Row],[INVESTOR CODE]],LS[B/S],"B"))</f>
        <v>0</v>
      </c>
      <c r="I488" s="6">
        <f>IF(INVESTORS_LIST[[#This Row],[LS_TOTAL UNITS SOLD]]=0,0,SUMIFS(LS[Cost of Units Sold],LS[Investor ID],INVESTORS_LIST[[#This Row],[INVESTOR CODE]],LS[B/S],"S"))</f>
        <v>0</v>
      </c>
      <c r="J488" s="6">
        <f>IF(INVESTORS_LIST[[#This Row],[LS_TOTAL CURRENT UNITS]]=0,0,INVESTORS_LIST[[#This Row],[LS_TOTAL CURRENT UNITS]]*INVESTORS_LIST[[#This Row],[LS_AVERAGE COST]])</f>
        <v>0</v>
      </c>
      <c r="K488" s="4">
        <f>IF(INVESTORS_LIST[[#This Row],[LS_TOTAL UNITS SOLD]]=0,0,SUMIFS(LS[Realized Gain],LS[Investor ID],INVESTORS_LIST[[#This Row],[INVESTOR CODE]],LS[B/S],"S"))</f>
        <v>0</v>
      </c>
      <c r="L488" s="2">
        <f>SUMIFS(SIP[Unit],SIP[Investor ID],INVESTORS_LIST[[#This Row],[INVESTOR CODE]],SIP[B/S],"B")</f>
        <v>0</v>
      </c>
      <c r="M488" s="2">
        <f>-SUMIFS(SIP[Unit],SIP[Investor ID],INVESTORS_LIST[[#This Row],[INVESTOR CODE]],SIP[B/S],"S")</f>
        <v>0</v>
      </c>
      <c r="N488" s="33">
        <f>IF(INVESTORS_LIST[[#This Row],[SIP_TOTAL UNITS BUY]]=0,0,INVESTORS_LIST[[#This Row],[SIP_TOTAL UNITS BUY]]-INVESTORS_LIST[[#This Row],[SIP_TOTAL UNITS SOLD]])</f>
        <v>0</v>
      </c>
      <c r="O488" s="4">
        <f>IF(INVESTORS_LIST[[#This Row],[SIP_TOTAL UNITS BUY]]=0,0,SUMIFS(SIP[Amount],SIP[Investor ID],INVESTORS_LIST[[#This Row],[INVESTOR CODE]],SIP[B/S],"B"))</f>
        <v>0</v>
      </c>
      <c r="P488" s="4">
        <f>IF(INVESTORS_LIST[[#This Row],[SIP_TOTAL UNITS SOLD]]=0,0,SUMIFS(SIP[Cost of Units Sold],SIP[Investor ID],INVESTORS_LIST[[#This Row],[INVESTOR CODE]],SIP[B/S],"S"))</f>
        <v>0</v>
      </c>
      <c r="Q488" s="6">
        <f>IF(INVESTORS_LIST[[#This Row],[SIP_TOTAL CURRENT UNITS]]=0,0,INVESTORS_LIST[[#This Row],[SIP_TOTAL CURRENT UNITS]]*INVESTORS_LIST[[#This Row],[SIP_AVERAGE COST]])</f>
        <v>0</v>
      </c>
      <c r="R488" s="6">
        <f>IF(INVESTORS_LIST[[#This Row],[SIP_TOTAL UNITS SOLD]]=0,0,SUMIFS(SIP[Realized Gain],SIP[Investor ID],INVESTORS_LIST[[#This Row],[INVESTOR CODE]],SIP[B/S],"S"))</f>
        <v>0</v>
      </c>
      <c r="S488" s="33">
        <f>INVESTORS_LIST[[#This Row],[LS_TOTAL UNITS BUY]]+INVESTORS_LIST[[#This Row],[SIP_TOTAL UNITS BUY]]</f>
        <v>0</v>
      </c>
      <c r="T488" s="33">
        <f>INVESTORS_LIST[[#This Row],[LS_TOTAL UNITS SOLD]]+INVESTORS_LIST[[#This Row],[SIP_TOTAL UNITS SOLD]]</f>
        <v>0</v>
      </c>
      <c r="U488" s="33">
        <v>0</v>
      </c>
      <c r="V488" s="33">
        <f>SUMIFS(LS[BO UNIT TRANSFER],LS[Investor ID],INVESTORS_LIST[[#This Row],[INVESTOR CODE]],LS[B/S],"B")</f>
        <v>0</v>
      </c>
      <c r="W488" s="33">
        <f>SUMIFS(LS[BO UNIT TRANSFER],LS[Investor ID],INVESTORS_LIST[[#This Row],[INVESTOR CODE]],LS[B/S],"S")</f>
        <v>0</v>
      </c>
      <c r="X488" s="33">
        <f>SUMIFS(SIP[BO UNIT TRANSFER],SIP[Investor ID],INVESTORS_LIST[[#This Row],[INVESTOR CODE]],SIP[B/S],"S")</f>
        <v>0</v>
      </c>
      <c r="Y488" s="33">
        <f>SUMIFS(SIP[BO UNIT TRANSFER],SIP[Investor ID],INVESTORS_LIST[[#This Row],[INVESTOR CODE]],SIP[B/S],"B")</f>
        <v>0</v>
      </c>
      <c r="Z48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88" s="119">
        <f>INVESTORS_LIST[[#This Row],[TOTAL UNITS BUY]]-INVESTORS_LIST[[#This Row],[TOTAL UNITS SOLD]]</f>
        <v>0</v>
      </c>
      <c r="AB488" s="119">
        <f>INVESTORS_LIST[[#This Row],[TOTAL CURRENT UNITS]]-INVESTORS_LIST[[#This Row],[BO UNITS HOLD]]</f>
        <v>0</v>
      </c>
      <c r="AC488" s="119" t="e">
        <f>INDEX([4]!Table_1[BO ID],MATCH(INVESTORS_LIST[[#This Row],[INVESTOR CODE]],[4]!Table_1[INVESTOR CODE],0))</f>
        <v>#REF!</v>
      </c>
      <c r="AD488" s="33">
        <f>INVESTORS_LIST[[#This Row],[LS_TOTAL COST VALUE OF CURRENT UNITS]]+INVESTORS_LIST[[#This Row],[SIP_TOTAL COST VALUE OF CURRENT UNITS]]</f>
        <v>0</v>
      </c>
      <c r="AE488" s="44">
        <f>IF(INVESTORS_LIST[[#This Row],[TOTAL CURRENT UNITS]]=0,0,INVESTORS_LIST[[#This Row],[LS_TOTAL CURRENT UNITS]]/INVESTORS_LIST[[#This Row],[TOTAL CURRENT UNITS]])</f>
        <v>0</v>
      </c>
      <c r="AF488" s="44">
        <f>IF(INVESTORS_LIST[[#This Row],[TOTAL CURRENT UNITS]]=0,0,INVESTORS_LIST[[#This Row],[SIP_TOTAL CURRENT UNITS]]/INVESTORS_LIST[[#This Row],[TOTAL CURRENT UNITS]])</f>
        <v>0</v>
      </c>
      <c r="AG488" s="4" cm="1">
        <f t="array" ref="AG48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88" s="4" cm="1">
        <f t="array" ref="AH48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8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88" s="178">
        <f t="shared" si="10"/>
        <v>12.552</v>
      </c>
      <c r="AK488" s="118">
        <f>IF(INVESTORS_LIST[[#This Row],[TOTAL CURRENT UNITS]]=0,0,INVESTORS_LIST[[#This Row],[TOTAL CURRENT UNITS]]*INVESTORS_LIST[[#This Row],[NAV]])</f>
        <v>0</v>
      </c>
      <c r="AL488" s="4">
        <f>IF(INVESTORS_LIST[[#This Row],[LS_TOTAL CURRENT UNITS]]=0,0,INVESTORS_LIST[[#This Row],[LS_TOTAL CURRENT UNITS]]*INVESTORS_LIST[[#This Row],[NAV]])</f>
        <v>0</v>
      </c>
      <c r="AM488" s="6">
        <f>IF(INVESTORS_LIST[[#This Row],[SIP_TOTAL CURRENT UNITS]]=0,0,INVESTORS_LIST[[#This Row],[SIP_TOTAL CURRENT UNITS]]*INVESTORS_LIST[[#This Row],[NAV]])</f>
        <v>0</v>
      </c>
      <c r="AO488" s="6">
        <f>IF(INVESTORS_LIST[[#This Row],[TOTAL SELLABLE UNITS]]=0,0,INVESTORS_LIST[[#This Row],[TOTAL SELLABLE UNITS]]*INVESTORS_LIST[[#This Row],[NAV]])</f>
        <v>0</v>
      </c>
      <c r="AP488" s="6">
        <f>INVESTORS_LIST[[#This Row],[LS_TOTAL REALIZED GAIN]]+INVESTORS_LIST[[#This Row],[SIP_TOTAL REALIZED GAIN]]</f>
        <v>0</v>
      </c>
      <c r="AQ488" s="6">
        <f>INVESTORS_LIST[[#This Row],[TOTAL MARKET VALUE]]-INVESTORS_LIST[[#This Row],[TOTAL COST VALUE OF CURRENT INVESTMENT]]</f>
        <v>0</v>
      </c>
      <c r="AR488" s="6">
        <f>SUMIFS(DivAndTax[Tax Amount],DivAndTax[Investor ID],INVESTORS_LIST[[#This Row],[INVESTOR CODE]])</f>
        <v>0</v>
      </c>
      <c r="AS488" s="6">
        <f>SUMIFS(DivAndTax[Gross Dividend],DivAndTax[Investor ID],INVESTORS_LIST[[#This Row],[INVESTOR CODE]])</f>
        <v>0</v>
      </c>
      <c r="AT488" s="5">
        <f>IFERROR(INVESTORS_LIST[[#This Row],[TOTAL CURRENT UNITS]]/SUM(INVESTORS_LIST[TOTAL CURRENT UNITS]),0)</f>
        <v>0</v>
      </c>
    </row>
    <row r="489" spans="1:46" hidden="1">
      <c r="A489" t="s">
        <v>1088</v>
      </c>
      <c r="B489" t="s">
        <v>1089</v>
      </c>
      <c r="C489" t="s">
        <v>536</v>
      </c>
      <c r="D489" s="8" t="s">
        <v>2</v>
      </c>
      <c r="E489" s="2">
        <f>SUMIFS(LS[Unit],LS[Investor ID],INVESTORS_LIST[[#This Row],[INVESTOR CODE]],LS[B/S],"B")</f>
        <v>0</v>
      </c>
      <c r="F489" s="2">
        <f>-SUMIFS(LS[Unit],LS[Investor ID],INVESTORS_LIST[[#This Row],[INVESTOR CODE]],LS[B/S],"S")</f>
        <v>0</v>
      </c>
      <c r="G489" s="2">
        <f>IF(INVESTORS_LIST[[#This Row],[LS_TOTAL UNITS BUY]]=0,0,INVESTORS_LIST[[#This Row],[LS_TOTAL UNITS BUY]]-INVESTORS_LIST[[#This Row],[LS_TOTAL UNITS SOLD]])</f>
        <v>0</v>
      </c>
      <c r="H489" s="4">
        <f>IF(INVESTORS_LIST[[#This Row],[LS_TOTAL UNITS BUY]]=0,0,SUMIFS(LS[Amount],LS[Investor ID],INVESTORS_LIST[[#This Row],[INVESTOR CODE]],LS[B/S],"B"))</f>
        <v>0</v>
      </c>
      <c r="I489" s="6">
        <f>IF(INVESTORS_LIST[[#This Row],[LS_TOTAL UNITS SOLD]]=0,0,SUMIFS(LS[Cost of Units Sold],LS[Investor ID],INVESTORS_LIST[[#This Row],[INVESTOR CODE]],LS[B/S],"S"))</f>
        <v>0</v>
      </c>
      <c r="J489" s="6">
        <f>IF(INVESTORS_LIST[[#This Row],[LS_TOTAL CURRENT UNITS]]=0,0,INVESTORS_LIST[[#This Row],[LS_TOTAL CURRENT UNITS]]*INVESTORS_LIST[[#This Row],[LS_AVERAGE COST]])</f>
        <v>0</v>
      </c>
      <c r="K489" s="4">
        <f>IF(INVESTORS_LIST[[#This Row],[LS_TOTAL UNITS SOLD]]=0,0,SUMIFS(LS[Realized Gain],LS[Investor ID],INVESTORS_LIST[[#This Row],[INVESTOR CODE]],LS[B/S],"S"))</f>
        <v>0</v>
      </c>
      <c r="L489" s="2">
        <f>SUMIFS(SIP[Unit],SIP[Investor ID],INVESTORS_LIST[[#This Row],[INVESTOR CODE]],SIP[B/S],"B")</f>
        <v>0</v>
      </c>
      <c r="M489" s="2">
        <f>-SUMIFS(SIP[Unit],SIP[Investor ID],INVESTORS_LIST[[#This Row],[INVESTOR CODE]],SIP[B/S],"S")</f>
        <v>0</v>
      </c>
      <c r="N489" s="33">
        <f>IF(INVESTORS_LIST[[#This Row],[SIP_TOTAL UNITS BUY]]=0,0,INVESTORS_LIST[[#This Row],[SIP_TOTAL UNITS BUY]]-INVESTORS_LIST[[#This Row],[SIP_TOTAL UNITS SOLD]])</f>
        <v>0</v>
      </c>
      <c r="O489" s="4">
        <f>IF(INVESTORS_LIST[[#This Row],[SIP_TOTAL UNITS BUY]]=0,0,SUMIFS(SIP[Amount],SIP[Investor ID],INVESTORS_LIST[[#This Row],[INVESTOR CODE]],SIP[B/S],"B"))</f>
        <v>0</v>
      </c>
      <c r="P489" s="4">
        <f>IF(INVESTORS_LIST[[#This Row],[SIP_TOTAL UNITS SOLD]]=0,0,SUMIFS(SIP[Cost of Units Sold],SIP[Investor ID],INVESTORS_LIST[[#This Row],[INVESTOR CODE]],SIP[B/S],"S"))</f>
        <v>0</v>
      </c>
      <c r="Q489" s="6">
        <f>IF(INVESTORS_LIST[[#This Row],[SIP_TOTAL CURRENT UNITS]]=0,0,INVESTORS_LIST[[#This Row],[SIP_TOTAL CURRENT UNITS]]*INVESTORS_LIST[[#This Row],[SIP_AVERAGE COST]])</f>
        <v>0</v>
      </c>
      <c r="R489" s="6">
        <f>IF(INVESTORS_LIST[[#This Row],[SIP_TOTAL UNITS SOLD]]=0,0,SUMIFS(SIP[Realized Gain],SIP[Investor ID],INVESTORS_LIST[[#This Row],[INVESTOR CODE]],SIP[B/S],"S"))</f>
        <v>0</v>
      </c>
      <c r="S489" s="33">
        <f>INVESTORS_LIST[[#This Row],[LS_TOTAL UNITS BUY]]+INVESTORS_LIST[[#This Row],[SIP_TOTAL UNITS BUY]]</f>
        <v>0</v>
      </c>
      <c r="T489" s="33">
        <f>INVESTORS_LIST[[#This Row],[LS_TOTAL UNITS SOLD]]+INVESTORS_LIST[[#This Row],[SIP_TOTAL UNITS SOLD]]</f>
        <v>0</v>
      </c>
      <c r="U489" s="33">
        <v>0</v>
      </c>
      <c r="V489" s="33">
        <f>SUMIFS(LS[BO UNIT TRANSFER],LS[Investor ID],INVESTORS_LIST[[#This Row],[INVESTOR CODE]],LS[B/S],"B")</f>
        <v>0</v>
      </c>
      <c r="W489" s="33">
        <f>SUMIFS(LS[BO UNIT TRANSFER],LS[Investor ID],INVESTORS_LIST[[#This Row],[INVESTOR CODE]],LS[B/S],"S")</f>
        <v>0</v>
      </c>
      <c r="X489" s="33">
        <f>SUMIFS(SIP[BO UNIT TRANSFER],SIP[Investor ID],INVESTORS_LIST[[#This Row],[INVESTOR CODE]],SIP[B/S],"S")</f>
        <v>0</v>
      </c>
      <c r="Y489" s="33">
        <f>SUMIFS(SIP[BO UNIT TRANSFER],SIP[Investor ID],INVESTORS_LIST[[#This Row],[INVESTOR CODE]],SIP[B/S],"B")</f>
        <v>0</v>
      </c>
      <c r="Z48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89" s="119">
        <f>INVESTORS_LIST[[#This Row],[TOTAL UNITS BUY]]-INVESTORS_LIST[[#This Row],[TOTAL UNITS SOLD]]</f>
        <v>0</v>
      </c>
      <c r="AB489" s="119">
        <f>INVESTORS_LIST[[#This Row],[TOTAL CURRENT UNITS]]-INVESTORS_LIST[[#This Row],[BO UNITS HOLD]]</f>
        <v>0</v>
      </c>
      <c r="AC489" s="119" t="e">
        <f>INDEX([4]!Table_1[BO ID],MATCH(INVESTORS_LIST[[#This Row],[INVESTOR CODE]],[4]!Table_1[INVESTOR CODE],0))</f>
        <v>#REF!</v>
      </c>
      <c r="AD489" s="33">
        <f>INVESTORS_LIST[[#This Row],[LS_TOTAL COST VALUE OF CURRENT UNITS]]+INVESTORS_LIST[[#This Row],[SIP_TOTAL COST VALUE OF CURRENT UNITS]]</f>
        <v>0</v>
      </c>
      <c r="AE489" s="44">
        <f>IF(INVESTORS_LIST[[#This Row],[TOTAL CURRENT UNITS]]=0,0,INVESTORS_LIST[[#This Row],[LS_TOTAL CURRENT UNITS]]/INVESTORS_LIST[[#This Row],[TOTAL CURRENT UNITS]])</f>
        <v>0</v>
      </c>
      <c r="AF489" s="44">
        <f>IF(INVESTORS_LIST[[#This Row],[TOTAL CURRENT UNITS]]=0,0,INVESTORS_LIST[[#This Row],[SIP_TOTAL CURRENT UNITS]]/INVESTORS_LIST[[#This Row],[TOTAL CURRENT UNITS]])</f>
        <v>0</v>
      </c>
      <c r="AG489" s="4" cm="1">
        <f t="array" ref="AG48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89" s="4" cm="1">
        <f t="array" ref="AH48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8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89" s="178">
        <f t="shared" si="10"/>
        <v>12.552</v>
      </c>
      <c r="AK489" s="118">
        <f>IF(INVESTORS_LIST[[#This Row],[TOTAL CURRENT UNITS]]=0,0,INVESTORS_LIST[[#This Row],[TOTAL CURRENT UNITS]]*INVESTORS_LIST[[#This Row],[NAV]])</f>
        <v>0</v>
      </c>
      <c r="AL489" s="4">
        <f>IF(INVESTORS_LIST[[#This Row],[LS_TOTAL CURRENT UNITS]]=0,0,INVESTORS_LIST[[#This Row],[LS_TOTAL CURRENT UNITS]]*INVESTORS_LIST[[#This Row],[NAV]])</f>
        <v>0</v>
      </c>
      <c r="AM489" s="6">
        <f>IF(INVESTORS_LIST[[#This Row],[SIP_TOTAL CURRENT UNITS]]=0,0,INVESTORS_LIST[[#This Row],[SIP_TOTAL CURRENT UNITS]]*INVESTORS_LIST[[#This Row],[NAV]])</f>
        <v>0</v>
      </c>
      <c r="AO489" s="6">
        <f>IF(INVESTORS_LIST[[#This Row],[TOTAL SELLABLE UNITS]]=0,0,INVESTORS_LIST[[#This Row],[TOTAL SELLABLE UNITS]]*INVESTORS_LIST[[#This Row],[NAV]])</f>
        <v>0</v>
      </c>
      <c r="AP489" s="6">
        <f>INVESTORS_LIST[[#This Row],[LS_TOTAL REALIZED GAIN]]+INVESTORS_LIST[[#This Row],[SIP_TOTAL REALIZED GAIN]]</f>
        <v>0</v>
      </c>
      <c r="AQ489" s="6">
        <f>INVESTORS_LIST[[#This Row],[TOTAL MARKET VALUE]]-INVESTORS_LIST[[#This Row],[TOTAL COST VALUE OF CURRENT INVESTMENT]]</f>
        <v>0</v>
      </c>
      <c r="AR489" s="6">
        <f>SUMIFS(DivAndTax[Tax Amount],DivAndTax[Investor ID],INVESTORS_LIST[[#This Row],[INVESTOR CODE]])</f>
        <v>0</v>
      </c>
      <c r="AS489" s="6">
        <f>SUMIFS(DivAndTax[Gross Dividend],DivAndTax[Investor ID],INVESTORS_LIST[[#This Row],[INVESTOR CODE]])</f>
        <v>0</v>
      </c>
      <c r="AT489" s="5">
        <f>IFERROR(INVESTORS_LIST[[#This Row],[TOTAL CURRENT UNITS]]/SUM(INVESTORS_LIST[TOTAL CURRENT UNITS]),0)</f>
        <v>0</v>
      </c>
    </row>
    <row r="490" spans="1:46" hidden="1">
      <c r="A490" t="s">
        <v>1091</v>
      </c>
      <c r="B490" t="s">
        <v>1092</v>
      </c>
      <c r="C490" t="s">
        <v>536</v>
      </c>
      <c r="D490" s="8" t="s">
        <v>2</v>
      </c>
      <c r="E490" s="2">
        <f>SUMIFS(LS[Unit],LS[Investor ID],INVESTORS_LIST[[#This Row],[INVESTOR CODE]],LS[B/S],"B")</f>
        <v>0</v>
      </c>
      <c r="F490" s="2">
        <f>-SUMIFS(LS[Unit],LS[Investor ID],INVESTORS_LIST[[#This Row],[INVESTOR CODE]],LS[B/S],"S")</f>
        <v>0</v>
      </c>
      <c r="G490" s="2">
        <f>IF(INVESTORS_LIST[[#This Row],[LS_TOTAL UNITS BUY]]=0,0,INVESTORS_LIST[[#This Row],[LS_TOTAL UNITS BUY]]-INVESTORS_LIST[[#This Row],[LS_TOTAL UNITS SOLD]])</f>
        <v>0</v>
      </c>
      <c r="H490" s="4">
        <f>IF(INVESTORS_LIST[[#This Row],[LS_TOTAL UNITS BUY]]=0,0,SUMIFS(LS[Amount],LS[Investor ID],INVESTORS_LIST[[#This Row],[INVESTOR CODE]],LS[B/S],"B"))</f>
        <v>0</v>
      </c>
      <c r="I490" s="6">
        <f>IF(INVESTORS_LIST[[#This Row],[LS_TOTAL UNITS SOLD]]=0,0,SUMIFS(LS[Cost of Units Sold],LS[Investor ID],INVESTORS_LIST[[#This Row],[INVESTOR CODE]],LS[B/S],"S"))</f>
        <v>0</v>
      </c>
      <c r="J490" s="6">
        <f>IF(INVESTORS_LIST[[#This Row],[LS_TOTAL CURRENT UNITS]]=0,0,INVESTORS_LIST[[#This Row],[LS_TOTAL CURRENT UNITS]]*INVESTORS_LIST[[#This Row],[LS_AVERAGE COST]])</f>
        <v>0</v>
      </c>
      <c r="K490" s="4">
        <f>IF(INVESTORS_LIST[[#This Row],[LS_TOTAL UNITS SOLD]]=0,0,SUMIFS(LS[Realized Gain],LS[Investor ID],INVESTORS_LIST[[#This Row],[INVESTOR CODE]],LS[B/S],"S"))</f>
        <v>0</v>
      </c>
      <c r="L490" s="2">
        <f>SUMIFS(SIP[Unit],SIP[Investor ID],INVESTORS_LIST[[#This Row],[INVESTOR CODE]],SIP[B/S],"B")</f>
        <v>0</v>
      </c>
      <c r="M490" s="2">
        <f>-SUMIFS(SIP[Unit],SIP[Investor ID],INVESTORS_LIST[[#This Row],[INVESTOR CODE]],SIP[B/S],"S")</f>
        <v>0</v>
      </c>
      <c r="N490" s="33">
        <f>IF(INVESTORS_LIST[[#This Row],[SIP_TOTAL UNITS BUY]]=0,0,INVESTORS_LIST[[#This Row],[SIP_TOTAL UNITS BUY]]-INVESTORS_LIST[[#This Row],[SIP_TOTAL UNITS SOLD]])</f>
        <v>0</v>
      </c>
      <c r="O490" s="4">
        <f>IF(INVESTORS_LIST[[#This Row],[SIP_TOTAL UNITS BUY]]=0,0,SUMIFS(SIP[Amount],SIP[Investor ID],INVESTORS_LIST[[#This Row],[INVESTOR CODE]],SIP[B/S],"B"))</f>
        <v>0</v>
      </c>
      <c r="P490" s="4">
        <f>IF(INVESTORS_LIST[[#This Row],[SIP_TOTAL UNITS SOLD]]=0,0,SUMIFS(SIP[Cost of Units Sold],SIP[Investor ID],INVESTORS_LIST[[#This Row],[INVESTOR CODE]],SIP[B/S],"S"))</f>
        <v>0</v>
      </c>
      <c r="Q490" s="6">
        <f>IF(INVESTORS_LIST[[#This Row],[SIP_TOTAL CURRENT UNITS]]=0,0,INVESTORS_LIST[[#This Row],[SIP_TOTAL CURRENT UNITS]]*INVESTORS_LIST[[#This Row],[SIP_AVERAGE COST]])</f>
        <v>0</v>
      </c>
      <c r="R490" s="6">
        <f>IF(INVESTORS_LIST[[#This Row],[SIP_TOTAL UNITS SOLD]]=0,0,SUMIFS(SIP[Realized Gain],SIP[Investor ID],INVESTORS_LIST[[#This Row],[INVESTOR CODE]],SIP[B/S],"S"))</f>
        <v>0</v>
      </c>
      <c r="S490" s="33">
        <f>INVESTORS_LIST[[#This Row],[LS_TOTAL UNITS BUY]]+INVESTORS_LIST[[#This Row],[SIP_TOTAL UNITS BUY]]</f>
        <v>0</v>
      </c>
      <c r="T490" s="33">
        <f>INVESTORS_LIST[[#This Row],[LS_TOTAL UNITS SOLD]]+INVESTORS_LIST[[#This Row],[SIP_TOTAL UNITS SOLD]]</f>
        <v>0</v>
      </c>
      <c r="U490" s="33">
        <v>0</v>
      </c>
      <c r="V490" s="33">
        <f>SUMIFS(LS[BO UNIT TRANSFER],LS[Investor ID],INVESTORS_LIST[[#This Row],[INVESTOR CODE]],LS[B/S],"B")</f>
        <v>0</v>
      </c>
      <c r="W490" s="33">
        <f>SUMIFS(LS[BO UNIT TRANSFER],LS[Investor ID],INVESTORS_LIST[[#This Row],[INVESTOR CODE]],LS[B/S],"S")</f>
        <v>0</v>
      </c>
      <c r="X490" s="33">
        <f>SUMIFS(SIP[BO UNIT TRANSFER],SIP[Investor ID],INVESTORS_LIST[[#This Row],[INVESTOR CODE]],SIP[B/S],"S")</f>
        <v>0</v>
      </c>
      <c r="Y490" s="33">
        <f>SUMIFS(SIP[BO UNIT TRANSFER],SIP[Investor ID],INVESTORS_LIST[[#This Row],[INVESTOR CODE]],SIP[B/S],"B")</f>
        <v>0</v>
      </c>
      <c r="Z49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90" s="119">
        <f>INVESTORS_LIST[[#This Row],[TOTAL UNITS BUY]]-INVESTORS_LIST[[#This Row],[TOTAL UNITS SOLD]]</f>
        <v>0</v>
      </c>
      <c r="AB490" s="119">
        <f>INVESTORS_LIST[[#This Row],[TOTAL CURRENT UNITS]]-INVESTORS_LIST[[#This Row],[BO UNITS HOLD]]</f>
        <v>0</v>
      </c>
      <c r="AC490" s="119" t="e">
        <f>INDEX([4]!Table_1[BO ID],MATCH(INVESTORS_LIST[[#This Row],[INVESTOR CODE]],[4]!Table_1[INVESTOR CODE],0))</f>
        <v>#REF!</v>
      </c>
      <c r="AD490" s="33">
        <f>INVESTORS_LIST[[#This Row],[LS_TOTAL COST VALUE OF CURRENT UNITS]]+INVESTORS_LIST[[#This Row],[SIP_TOTAL COST VALUE OF CURRENT UNITS]]</f>
        <v>0</v>
      </c>
      <c r="AE490" s="44">
        <f>IF(INVESTORS_LIST[[#This Row],[TOTAL CURRENT UNITS]]=0,0,INVESTORS_LIST[[#This Row],[LS_TOTAL CURRENT UNITS]]/INVESTORS_LIST[[#This Row],[TOTAL CURRENT UNITS]])</f>
        <v>0</v>
      </c>
      <c r="AF490" s="44">
        <f>IF(INVESTORS_LIST[[#This Row],[TOTAL CURRENT UNITS]]=0,0,INVESTORS_LIST[[#This Row],[SIP_TOTAL CURRENT UNITS]]/INVESTORS_LIST[[#This Row],[TOTAL CURRENT UNITS]])</f>
        <v>0</v>
      </c>
      <c r="AG490" s="4" cm="1">
        <f t="array" ref="AG49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90" s="4" cm="1">
        <f t="array" ref="AH4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9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90" s="178">
        <f t="shared" ref="AJ490:AJ500" si="11">NAV_MKT</f>
        <v>12.552</v>
      </c>
      <c r="AK490" s="118">
        <f>IF(INVESTORS_LIST[[#This Row],[TOTAL CURRENT UNITS]]=0,0,INVESTORS_LIST[[#This Row],[TOTAL CURRENT UNITS]]*INVESTORS_LIST[[#This Row],[NAV]])</f>
        <v>0</v>
      </c>
      <c r="AL490" s="4">
        <f>IF(INVESTORS_LIST[[#This Row],[LS_TOTAL CURRENT UNITS]]=0,0,INVESTORS_LIST[[#This Row],[LS_TOTAL CURRENT UNITS]]*INVESTORS_LIST[[#This Row],[NAV]])</f>
        <v>0</v>
      </c>
      <c r="AM490" s="6">
        <f>IF(INVESTORS_LIST[[#This Row],[SIP_TOTAL CURRENT UNITS]]=0,0,INVESTORS_LIST[[#This Row],[SIP_TOTAL CURRENT UNITS]]*INVESTORS_LIST[[#This Row],[NAV]])</f>
        <v>0</v>
      </c>
      <c r="AO490" s="6">
        <f>IF(INVESTORS_LIST[[#This Row],[TOTAL SELLABLE UNITS]]=0,0,INVESTORS_LIST[[#This Row],[TOTAL SELLABLE UNITS]]*INVESTORS_LIST[[#This Row],[NAV]])</f>
        <v>0</v>
      </c>
      <c r="AP490" s="6">
        <f>INVESTORS_LIST[[#This Row],[LS_TOTAL REALIZED GAIN]]+INVESTORS_LIST[[#This Row],[SIP_TOTAL REALIZED GAIN]]</f>
        <v>0</v>
      </c>
      <c r="AQ490" s="6">
        <f>INVESTORS_LIST[[#This Row],[TOTAL MARKET VALUE]]-INVESTORS_LIST[[#This Row],[TOTAL COST VALUE OF CURRENT INVESTMENT]]</f>
        <v>0</v>
      </c>
      <c r="AR490" s="6">
        <f>SUMIFS(DivAndTax[Tax Amount],DivAndTax[Investor ID],INVESTORS_LIST[[#This Row],[INVESTOR CODE]])</f>
        <v>0</v>
      </c>
      <c r="AS490" s="6">
        <f>SUMIFS(DivAndTax[Gross Dividend],DivAndTax[Investor ID],INVESTORS_LIST[[#This Row],[INVESTOR CODE]])</f>
        <v>0</v>
      </c>
      <c r="AT490" s="5">
        <f>IFERROR(INVESTORS_LIST[[#This Row],[TOTAL CURRENT UNITS]]/SUM(INVESTORS_LIST[TOTAL CURRENT UNITS]),0)</f>
        <v>0</v>
      </c>
    </row>
    <row r="491" spans="1:46" hidden="1">
      <c r="A491" t="s">
        <v>1093</v>
      </c>
      <c r="B491" t="s">
        <v>1094</v>
      </c>
      <c r="C491" t="s">
        <v>536</v>
      </c>
      <c r="D491" s="8" t="s">
        <v>2</v>
      </c>
      <c r="E491" s="2">
        <f>SUMIFS(LS[Unit],LS[Investor ID],INVESTORS_LIST[[#This Row],[INVESTOR CODE]],LS[B/S],"B")</f>
        <v>0</v>
      </c>
      <c r="F491" s="2">
        <f>-SUMIFS(LS[Unit],LS[Investor ID],INVESTORS_LIST[[#This Row],[INVESTOR CODE]],LS[B/S],"S")</f>
        <v>0</v>
      </c>
      <c r="G491" s="2">
        <f>IF(INVESTORS_LIST[[#This Row],[LS_TOTAL UNITS BUY]]=0,0,INVESTORS_LIST[[#This Row],[LS_TOTAL UNITS BUY]]-INVESTORS_LIST[[#This Row],[LS_TOTAL UNITS SOLD]])</f>
        <v>0</v>
      </c>
      <c r="H491" s="4">
        <f>IF(INVESTORS_LIST[[#This Row],[LS_TOTAL UNITS BUY]]=0,0,SUMIFS(LS[Amount],LS[Investor ID],INVESTORS_LIST[[#This Row],[INVESTOR CODE]],LS[B/S],"B"))</f>
        <v>0</v>
      </c>
      <c r="I491" s="6">
        <f>IF(INVESTORS_LIST[[#This Row],[LS_TOTAL UNITS SOLD]]=0,0,SUMIFS(LS[Cost of Units Sold],LS[Investor ID],INVESTORS_LIST[[#This Row],[INVESTOR CODE]],LS[B/S],"S"))</f>
        <v>0</v>
      </c>
      <c r="J491" s="6">
        <f>IF(INVESTORS_LIST[[#This Row],[LS_TOTAL CURRENT UNITS]]=0,0,INVESTORS_LIST[[#This Row],[LS_TOTAL CURRENT UNITS]]*INVESTORS_LIST[[#This Row],[LS_AVERAGE COST]])</f>
        <v>0</v>
      </c>
      <c r="K491" s="4">
        <f>IF(INVESTORS_LIST[[#This Row],[LS_TOTAL UNITS SOLD]]=0,0,SUMIFS(LS[Realized Gain],LS[Investor ID],INVESTORS_LIST[[#This Row],[INVESTOR CODE]],LS[B/S],"S"))</f>
        <v>0</v>
      </c>
      <c r="L491" s="2">
        <f>SUMIFS(SIP[Unit],SIP[Investor ID],INVESTORS_LIST[[#This Row],[INVESTOR CODE]],SIP[B/S],"B")</f>
        <v>0</v>
      </c>
      <c r="M491" s="2">
        <f>-SUMIFS(SIP[Unit],SIP[Investor ID],INVESTORS_LIST[[#This Row],[INVESTOR CODE]],SIP[B/S],"S")</f>
        <v>0</v>
      </c>
      <c r="N491" s="33">
        <f>IF(INVESTORS_LIST[[#This Row],[SIP_TOTAL UNITS BUY]]=0,0,INVESTORS_LIST[[#This Row],[SIP_TOTAL UNITS BUY]]-INVESTORS_LIST[[#This Row],[SIP_TOTAL UNITS SOLD]])</f>
        <v>0</v>
      </c>
      <c r="O491" s="4">
        <f>IF(INVESTORS_LIST[[#This Row],[SIP_TOTAL UNITS BUY]]=0,0,SUMIFS(SIP[Amount],SIP[Investor ID],INVESTORS_LIST[[#This Row],[INVESTOR CODE]],SIP[B/S],"B"))</f>
        <v>0</v>
      </c>
      <c r="P491" s="4">
        <f>IF(INVESTORS_LIST[[#This Row],[SIP_TOTAL UNITS SOLD]]=0,0,SUMIFS(SIP[Cost of Units Sold],SIP[Investor ID],INVESTORS_LIST[[#This Row],[INVESTOR CODE]],SIP[B/S],"S"))</f>
        <v>0</v>
      </c>
      <c r="Q491" s="6">
        <f>IF(INVESTORS_LIST[[#This Row],[SIP_TOTAL CURRENT UNITS]]=0,0,INVESTORS_LIST[[#This Row],[SIP_TOTAL CURRENT UNITS]]*INVESTORS_LIST[[#This Row],[SIP_AVERAGE COST]])</f>
        <v>0</v>
      </c>
      <c r="R491" s="6">
        <f>IF(INVESTORS_LIST[[#This Row],[SIP_TOTAL UNITS SOLD]]=0,0,SUMIFS(SIP[Realized Gain],SIP[Investor ID],INVESTORS_LIST[[#This Row],[INVESTOR CODE]],SIP[B/S],"S"))</f>
        <v>0</v>
      </c>
      <c r="S491" s="33">
        <f>INVESTORS_LIST[[#This Row],[LS_TOTAL UNITS BUY]]+INVESTORS_LIST[[#This Row],[SIP_TOTAL UNITS BUY]]</f>
        <v>0</v>
      </c>
      <c r="T491" s="33">
        <f>INVESTORS_LIST[[#This Row],[LS_TOTAL UNITS SOLD]]+INVESTORS_LIST[[#This Row],[SIP_TOTAL UNITS SOLD]]</f>
        <v>0</v>
      </c>
      <c r="U491" s="33">
        <v>0</v>
      </c>
      <c r="V491" s="33">
        <f>SUMIFS(LS[BO UNIT TRANSFER],LS[Investor ID],INVESTORS_LIST[[#This Row],[INVESTOR CODE]],LS[B/S],"B")</f>
        <v>0</v>
      </c>
      <c r="W491" s="33">
        <f>SUMIFS(LS[BO UNIT TRANSFER],LS[Investor ID],INVESTORS_LIST[[#This Row],[INVESTOR CODE]],LS[B/S],"S")</f>
        <v>0</v>
      </c>
      <c r="X491" s="33">
        <f>SUMIFS(SIP[BO UNIT TRANSFER],SIP[Investor ID],INVESTORS_LIST[[#This Row],[INVESTOR CODE]],SIP[B/S],"S")</f>
        <v>0</v>
      </c>
      <c r="Y491" s="33">
        <f>SUMIFS(SIP[BO UNIT TRANSFER],SIP[Investor ID],INVESTORS_LIST[[#This Row],[INVESTOR CODE]],SIP[B/S],"B")</f>
        <v>0</v>
      </c>
      <c r="Z49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91" s="119">
        <f>INVESTORS_LIST[[#This Row],[TOTAL UNITS BUY]]-INVESTORS_LIST[[#This Row],[TOTAL UNITS SOLD]]</f>
        <v>0</v>
      </c>
      <c r="AB491" s="119">
        <f>INVESTORS_LIST[[#This Row],[TOTAL CURRENT UNITS]]-INVESTORS_LIST[[#This Row],[BO UNITS HOLD]]</f>
        <v>0</v>
      </c>
      <c r="AC491" s="119" t="e">
        <f>INDEX([4]!Table_1[BO ID],MATCH(INVESTORS_LIST[[#This Row],[INVESTOR CODE]],[4]!Table_1[INVESTOR CODE],0))</f>
        <v>#REF!</v>
      </c>
      <c r="AD491" s="33">
        <f>INVESTORS_LIST[[#This Row],[LS_TOTAL COST VALUE OF CURRENT UNITS]]+INVESTORS_LIST[[#This Row],[SIP_TOTAL COST VALUE OF CURRENT UNITS]]</f>
        <v>0</v>
      </c>
      <c r="AE491" s="44">
        <f>IF(INVESTORS_LIST[[#This Row],[TOTAL CURRENT UNITS]]=0,0,INVESTORS_LIST[[#This Row],[LS_TOTAL CURRENT UNITS]]/INVESTORS_LIST[[#This Row],[TOTAL CURRENT UNITS]])</f>
        <v>0</v>
      </c>
      <c r="AF491" s="44">
        <f>IF(INVESTORS_LIST[[#This Row],[TOTAL CURRENT UNITS]]=0,0,INVESTORS_LIST[[#This Row],[SIP_TOTAL CURRENT UNITS]]/INVESTORS_LIST[[#This Row],[TOTAL CURRENT UNITS]])</f>
        <v>0</v>
      </c>
      <c r="AG491" s="4" cm="1">
        <f t="array" ref="AG4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91" s="4" cm="1">
        <f t="array" ref="AH4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9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91" s="178">
        <f t="shared" si="11"/>
        <v>12.552</v>
      </c>
      <c r="AK491" s="118">
        <f>IF(INVESTORS_LIST[[#This Row],[TOTAL CURRENT UNITS]]=0,0,INVESTORS_LIST[[#This Row],[TOTAL CURRENT UNITS]]*INVESTORS_LIST[[#This Row],[NAV]])</f>
        <v>0</v>
      </c>
      <c r="AL491" s="4">
        <f>IF(INVESTORS_LIST[[#This Row],[LS_TOTAL CURRENT UNITS]]=0,0,INVESTORS_LIST[[#This Row],[LS_TOTAL CURRENT UNITS]]*INVESTORS_LIST[[#This Row],[NAV]])</f>
        <v>0</v>
      </c>
      <c r="AM491" s="6">
        <f>IF(INVESTORS_LIST[[#This Row],[SIP_TOTAL CURRENT UNITS]]=0,0,INVESTORS_LIST[[#This Row],[SIP_TOTAL CURRENT UNITS]]*INVESTORS_LIST[[#This Row],[NAV]])</f>
        <v>0</v>
      </c>
      <c r="AO491" s="6">
        <f>IF(INVESTORS_LIST[[#This Row],[TOTAL SELLABLE UNITS]]=0,0,INVESTORS_LIST[[#This Row],[TOTAL SELLABLE UNITS]]*INVESTORS_LIST[[#This Row],[NAV]])</f>
        <v>0</v>
      </c>
      <c r="AP491" s="6">
        <f>INVESTORS_LIST[[#This Row],[LS_TOTAL REALIZED GAIN]]+INVESTORS_LIST[[#This Row],[SIP_TOTAL REALIZED GAIN]]</f>
        <v>0</v>
      </c>
      <c r="AQ491" s="6">
        <f>INVESTORS_LIST[[#This Row],[TOTAL MARKET VALUE]]-INVESTORS_LIST[[#This Row],[TOTAL COST VALUE OF CURRENT INVESTMENT]]</f>
        <v>0</v>
      </c>
      <c r="AR491" s="6">
        <f>SUMIFS(DivAndTax[Tax Amount],DivAndTax[Investor ID],INVESTORS_LIST[[#This Row],[INVESTOR CODE]])</f>
        <v>0</v>
      </c>
      <c r="AS491" s="6">
        <f>SUMIFS(DivAndTax[Gross Dividend],DivAndTax[Investor ID],INVESTORS_LIST[[#This Row],[INVESTOR CODE]])</f>
        <v>0</v>
      </c>
      <c r="AT491" s="5">
        <f>IFERROR(INVESTORS_LIST[[#This Row],[TOTAL CURRENT UNITS]]/SUM(INVESTORS_LIST[TOTAL CURRENT UNITS]),0)</f>
        <v>0</v>
      </c>
    </row>
    <row r="492" spans="1:46" hidden="1">
      <c r="A492" t="s">
        <v>1095</v>
      </c>
      <c r="B492" t="s">
        <v>1096</v>
      </c>
      <c r="C492" t="s">
        <v>539</v>
      </c>
      <c r="D492" s="8" t="s">
        <v>2</v>
      </c>
      <c r="E492" s="2">
        <f>SUMIFS(LS[Unit],LS[Investor ID],INVESTORS_LIST[[#This Row],[INVESTOR CODE]],LS[B/S],"B")</f>
        <v>0</v>
      </c>
      <c r="F492" s="2">
        <f>-SUMIFS(LS[Unit],LS[Investor ID],INVESTORS_LIST[[#This Row],[INVESTOR CODE]],LS[B/S],"S")</f>
        <v>0</v>
      </c>
      <c r="G492" s="2">
        <f>IF(INVESTORS_LIST[[#This Row],[LS_TOTAL UNITS BUY]]=0,0,INVESTORS_LIST[[#This Row],[LS_TOTAL UNITS BUY]]-INVESTORS_LIST[[#This Row],[LS_TOTAL UNITS SOLD]])</f>
        <v>0</v>
      </c>
      <c r="H492" s="4">
        <f>IF(INVESTORS_LIST[[#This Row],[LS_TOTAL UNITS BUY]]=0,0,SUMIFS(LS[Amount],LS[Investor ID],INVESTORS_LIST[[#This Row],[INVESTOR CODE]],LS[B/S],"B"))</f>
        <v>0</v>
      </c>
      <c r="I492" s="6">
        <f>IF(INVESTORS_LIST[[#This Row],[LS_TOTAL UNITS SOLD]]=0,0,SUMIFS(LS[Cost of Units Sold],LS[Investor ID],INVESTORS_LIST[[#This Row],[INVESTOR CODE]],LS[B/S],"S"))</f>
        <v>0</v>
      </c>
      <c r="J492" s="6">
        <f>IF(INVESTORS_LIST[[#This Row],[LS_TOTAL CURRENT UNITS]]=0,0,INVESTORS_LIST[[#This Row],[LS_TOTAL CURRENT UNITS]]*INVESTORS_LIST[[#This Row],[LS_AVERAGE COST]])</f>
        <v>0</v>
      </c>
      <c r="K492" s="4">
        <f>IF(INVESTORS_LIST[[#This Row],[LS_TOTAL UNITS SOLD]]=0,0,SUMIFS(LS[Realized Gain],LS[Investor ID],INVESTORS_LIST[[#This Row],[INVESTOR CODE]],LS[B/S],"S"))</f>
        <v>0</v>
      </c>
      <c r="L492" s="2">
        <f>SUMIFS(SIP[Unit],SIP[Investor ID],INVESTORS_LIST[[#This Row],[INVESTOR CODE]],SIP[B/S],"B")</f>
        <v>0</v>
      </c>
      <c r="M492" s="2">
        <f>-SUMIFS(SIP[Unit],SIP[Investor ID],INVESTORS_LIST[[#This Row],[INVESTOR CODE]],SIP[B/S],"S")</f>
        <v>0</v>
      </c>
      <c r="N492" s="33">
        <f>IF(INVESTORS_LIST[[#This Row],[SIP_TOTAL UNITS BUY]]=0,0,INVESTORS_LIST[[#This Row],[SIP_TOTAL UNITS BUY]]-INVESTORS_LIST[[#This Row],[SIP_TOTAL UNITS SOLD]])</f>
        <v>0</v>
      </c>
      <c r="O492" s="4">
        <f>IF(INVESTORS_LIST[[#This Row],[SIP_TOTAL UNITS BUY]]=0,0,SUMIFS(SIP[Amount],SIP[Investor ID],INVESTORS_LIST[[#This Row],[INVESTOR CODE]],SIP[B/S],"B"))</f>
        <v>0</v>
      </c>
      <c r="P492" s="4">
        <f>IF(INVESTORS_LIST[[#This Row],[SIP_TOTAL UNITS SOLD]]=0,0,SUMIFS(SIP[Cost of Units Sold],SIP[Investor ID],INVESTORS_LIST[[#This Row],[INVESTOR CODE]],SIP[B/S],"S"))</f>
        <v>0</v>
      </c>
      <c r="Q492" s="6">
        <f>IF(INVESTORS_LIST[[#This Row],[SIP_TOTAL CURRENT UNITS]]=0,0,INVESTORS_LIST[[#This Row],[SIP_TOTAL CURRENT UNITS]]*INVESTORS_LIST[[#This Row],[SIP_AVERAGE COST]])</f>
        <v>0</v>
      </c>
      <c r="R492" s="6">
        <f>IF(INVESTORS_LIST[[#This Row],[SIP_TOTAL UNITS SOLD]]=0,0,SUMIFS(SIP[Realized Gain],SIP[Investor ID],INVESTORS_LIST[[#This Row],[INVESTOR CODE]],SIP[B/S],"S"))</f>
        <v>0</v>
      </c>
      <c r="S492" s="33">
        <f>INVESTORS_LIST[[#This Row],[LS_TOTAL UNITS BUY]]+INVESTORS_LIST[[#This Row],[SIP_TOTAL UNITS BUY]]</f>
        <v>0</v>
      </c>
      <c r="T492" s="33">
        <f>INVESTORS_LIST[[#This Row],[LS_TOTAL UNITS SOLD]]+INVESTORS_LIST[[#This Row],[SIP_TOTAL UNITS SOLD]]</f>
        <v>0</v>
      </c>
      <c r="U492" s="33">
        <v>0</v>
      </c>
      <c r="V492" s="33">
        <f>SUMIFS(LS[BO UNIT TRANSFER],LS[Investor ID],INVESTORS_LIST[[#This Row],[INVESTOR CODE]],LS[B/S],"B")</f>
        <v>0</v>
      </c>
      <c r="W492" s="33">
        <f>SUMIFS(LS[BO UNIT TRANSFER],LS[Investor ID],INVESTORS_LIST[[#This Row],[INVESTOR CODE]],LS[B/S],"S")</f>
        <v>0</v>
      </c>
      <c r="X492" s="33">
        <f>SUMIFS(SIP[BO UNIT TRANSFER],SIP[Investor ID],INVESTORS_LIST[[#This Row],[INVESTOR CODE]],SIP[B/S],"S")</f>
        <v>0</v>
      </c>
      <c r="Y492" s="33">
        <f>SUMIFS(SIP[BO UNIT TRANSFER],SIP[Investor ID],INVESTORS_LIST[[#This Row],[INVESTOR CODE]],SIP[B/S],"B")</f>
        <v>0</v>
      </c>
      <c r="Z49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92" s="119">
        <f>INVESTORS_LIST[[#This Row],[TOTAL UNITS BUY]]-INVESTORS_LIST[[#This Row],[TOTAL UNITS SOLD]]</f>
        <v>0</v>
      </c>
      <c r="AB492" s="119">
        <f>INVESTORS_LIST[[#This Row],[TOTAL CURRENT UNITS]]-INVESTORS_LIST[[#This Row],[BO UNITS HOLD]]</f>
        <v>0</v>
      </c>
      <c r="AC492" s="119" t="e">
        <f>INDEX([4]!Table_1[BO ID],MATCH(INVESTORS_LIST[[#This Row],[INVESTOR CODE]],[4]!Table_1[INVESTOR CODE],0))</f>
        <v>#REF!</v>
      </c>
      <c r="AD492" s="33">
        <f>INVESTORS_LIST[[#This Row],[LS_TOTAL COST VALUE OF CURRENT UNITS]]+INVESTORS_LIST[[#This Row],[SIP_TOTAL COST VALUE OF CURRENT UNITS]]</f>
        <v>0</v>
      </c>
      <c r="AE492" s="44">
        <f>IF(INVESTORS_LIST[[#This Row],[TOTAL CURRENT UNITS]]=0,0,INVESTORS_LIST[[#This Row],[LS_TOTAL CURRENT UNITS]]/INVESTORS_LIST[[#This Row],[TOTAL CURRENT UNITS]])</f>
        <v>0</v>
      </c>
      <c r="AF492" s="44">
        <f>IF(INVESTORS_LIST[[#This Row],[TOTAL CURRENT UNITS]]=0,0,INVESTORS_LIST[[#This Row],[SIP_TOTAL CURRENT UNITS]]/INVESTORS_LIST[[#This Row],[TOTAL CURRENT UNITS]])</f>
        <v>0</v>
      </c>
      <c r="AG492" s="4" cm="1">
        <f t="array" ref="AG49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92" s="4" cm="1">
        <f t="array" ref="AH49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9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92" s="178">
        <f t="shared" si="11"/>
        <v>12.552</v>
      </c>
      <c r="AK492" s="118">
        <f>IF(INVESTORS_LIST[[#This Row],[TOTAL CURRENT UNITS]]=0,0,INVESTORS_LIST[[#This Row],[TOTAL CURRENT UNITS]]*INVESTORS_LIST[[#This Row],[NAV]])</f>
        <v>0</v>
      </c>
      <c r="AL492" s="4">
        <f>IF(INVESTORS_LIST[[#This Row],[LS_TOTAL CURRENT UNITS]]=0,0,INVESTORS_LIST[[#This Row],[LS_TOTAL CURRENT UNITS]]*INVESTORS_LIST[[#This Row],[NAV]])</f>
        <v>0</v>
      </c>
      <c r="AM492" s="6">
        <f>IF(INVESTORS_LIST[[#This Row],[SIP_TOTAL CURRENT UNITS]]=0,0,INVESTORS_LIST[[#This Row],[SIP_TOTAL CURRENT UNITS]]*INVESTORS_LIST[[#This Row],[NAV]])</f>
        <v>0</v>
      </c>
      <c r="AO492" s="6">
        <f>IF(INVESTORS_LIST[[#This Row],[TOTAL SELLABLE UNITS]]=0,0,INVESTORS_LIST[[#This Row],[TOTAL SELLABLE UNITS]]*INVESTORS_LIST[[#This Row],[NAV]])</f>
        <v>0</v>
      </c>
      <c r="AP492" s="6">
        <f>INVESTORS_LIST[[#This Row],[LS_TOTAL REALIZED GAIN]]+INVESTORS_LIST[[#This Row],[SIP_TOTAL REALIZED GAIN]]</f>
        <v>0</v>
      </c>
      <c r="AQ492" s="6">
        <f>INVESTORS_LIST[[#This Row],[TOTAL MARKET VALUE]]-INVESTORS_LIST[[#This Row],[TOTAL COST VALUE OF CURRENT INVESTMENT]]</f>
        <v>0</v>
      </c>
      <c r="AR492" s="6">
        <f>SUMIFS(DivAndTax[Tax Amount],DivAndTax[Investor ID],INVESTORS_LIST[[#This Row],[INVESTOR CODE]])</f>
        <v>0</v>
      </c>
      <c r="AS492" s="6">
        <f>SUMIFS(DivAndTax[Gross Dividend],DivAndTax[Investor ID],INVESTORS_LIST[[#This Row],[INVESTOR CODE]])</f>
        <v>0</v>
      </c>
      <c r="AT492" s="5">
        <f>IFERROR(INVESTORS_LIST[[#This Row],[TOTAL CURRENT UNITS]]/SUM(INVESTORS_LIST[TOTAL CURRENT UNITS]),0)</f>
        <v>0</v>
      </c>
    </row>
    <row r="493" spans="1:46" hidden="1">
      <c r="A493" t="s">
        <v>1097</v>
      </c>
      <c r="B493" t="s">
        <v>1098</v>
      </c>
      <c r="C493" t="s">
        <v>536</v>
      </c>
      <c r="D493" s="8" t="s">
        <v>2</v>
      </c>
      <c r="E493" s="2">
        <f>SUMIFS(LS[Unit],LS[Investor ID],INVESTORS_LIST[[#This Row],[INVESTOR CODE]],LS[B/S],"B")</f>
        <v>0</v>
      </c>
      <c r="F493" s="2">
        <f>-SUMIFS(LS[Unit],LS[Investor ID],INVESTORS_LIST[[#This Row],[INVESTOR CODE]],LS[B/S],"S")</f>
        <v>0</v>
      </c>
      <c r="G493" s="2">
        <f>IF(INVESTORS_LIST[[#This Row],[LS_TOTAL UNITS BUY]]=0,0,INVESTORS_LIST[[#This Row],[LS_TOTAL UNITS BUY]]-INVESTORS_LIST[[#This Row],[LS_TOTAL UNITS SOLD]])</f>
        <v>0</v>
      </c>
      <c r="H493" s="4">
        <f>IF(INVESTORS_LIST[[#This Row],[LS_TOTAL UNITS BUY]]=0,0,SUMIFS(LS[Amount],LS[Investor ID],INVESTORS_LIST[[#This Row],[INVESTOR CODE]],LS[B/S],"B"))</f>
        <v>0</v>
      </c>
      <c r="I493" s="6">
        <f>IF(INVESTORS_LIST[[#This Row],[LS_TOTAL UNITS SOLD]]=0,0,SUMIFS(LS[Cost of Units Sold],LS[Investor ID],INVESTORS_LIST[[#This Row],[INVESTOR CODE]],LS[B/S],"S"))</f>
        <v>0</v>
      </c>
      <c r="J493" s="6">
        <f>IF(INVESTORS_LIST[[#This Row],[LS_TOTAL CURRENT UNITS]]=0,0,INVESTORS_LIST[[#This Row],[LS_TOTAL CURRENT UNITS]]*INVESTORS_LIST[[#This Row],[LS_AVERAGE COST]])</f>
        <v>0</v>
      </c>
      <c r="K493" s="4">
        <f>IF(INVESTORS_LIST[[#This Row],[LS_TOTAL UNITS SOLD]]=0,0,SUMIFS(LS[Realized Gain],LS[Investor ID],INVESTORS_LIST[[#This Row],[INVESTOR CODE]],LS[B/S],"S"))</f>
        <v>0</v>
      </c>
      <c r="L493" s="2">
        <f>SUMIFS(SIP[Unit],SIP[Investor ID],INVESTORS_LIST[[#This Row],[INVESTOR CODE]],SIP[B/S],"B")</f>
        <v>0</v>
      </c>
      <c r="M493" s="2">
        <f>-SUMIFS(SIP[Unit],SIP[Investor ID],INVESTORS_LIST[[#This Row],[INVESTOR CODE]],SIP[B/S],"S")</f>
        <v>0</v>
      </c>
      <c r="N493" s="33">
        <f>IF(INVESTORS_LIST[[#This Row],[SIP_TOTAL UNITS BUY]]=0,0,INVESTORS_LIST[[#This Row],[SIP_TOTAL UNITS BUY]]-INVESTORS_LIST[[#This Row],[SIP_TOTAL UNITS SOLD]])</f>
        <v>0</v>
      </c>
      <c r="O493" s="4">
        <f>IF(INVESTORS_LIST[[#This Row],[SIP_TOTAL UNITS BUY]]=0,0,SUMIFS(SIP[Amount],SIP[Investor ID],INVESTORS_LIST[[#This Row],[INVESTOR CODE]],SIP[B/S],"B"))</f>
        <v>0</v>
      </c>
      <c r="P493" s="4">
        <f>IF(INVESTORS_LIST[[#This Row],[SIP_TOTAL UNITS SOLD]]=0,0,SUMIFS(SIP[Cost of Units Sold],SIP[Investor ID],INVESTORS_LIST[[#This Row],[INVESTOR CODE]],SIP[B/S],"S"))</f>
        <v>0</v>
      </c>
      <c r="Q493" s="6">
        <f>IF(INVESTORS_LIST[[#This Row],[SIP_TOTAL CURRENT UNITS]]=0,0,INVESTORS_LIST[[#This Row],[SIP_TOTAL CURRENT UNITS]]*INVESTORS_LIST[[#This Row],[SIP_AVERAGE COST]])</f>
        <v>0</v>
      </c>
      <c r="R493" s="6">
        <f>IF(INVESTORS_LIST[[#This Row],[SIP_TOTAL UNITS SOLD]]=0,0,SUMIFS(SIP[Realized Gain],SIP[Investor ID],INVESTORS_LIST[[#This Row],[INVESTOR CODE]],SIP[B/S],"S"))</f>
        <v>0</v>
      </c>
      <c r="S493" s="33">
        <f>INVESTORS_LIST[[#This Row],[LS_TOTAL UNITS BUY]]+INVESTORS_LIST[[#This Row],[SIP_TOTAL UNITS BUY]]</f>
        <v>0</v>
      </c>
      <c r="T493" s="33">
        <f>INVESTORS_LIST[[#This Row],[LS_TOTAL UNITS SOLD]]+INVESTORS_LIST[[#This Row],[SIP_TOTAL UNITS SOLD]]</f>
        <v>0</v>
      </c>
      <c r="U493" s="33">
        <v>0</v>
      </c>
      <c r="V493" s="33">
        <f>SUMIFS(LS[BO UNIT TRANSFER],LS[Investor ID],INVESTORS_LIST[[#This Row],[INVESTOR CODE]],LS[B/S],"B")</f>
        <v>0</v>
      </c>
      <c r="W493" s="33">
        <f>SUMIFS(LS[BO UNIT TRANSFER],LS[Investor ID],INVESTORS_LIST[[#This Row],[INVESTOR CODE]],LS[B/S],"S")</f>
        <v>0</v>
      </c>
      <c r="X493" s="33">
        <f>SUMIFS(SIP[BO UNIT TRANSFER],SIP[Investor ID],INVESTORS_LIST[[#This Row],[INVESTOR CODE]],SIP[B/S],"S")</f>
        <v>0</v>
      </c>
      <c r="Y493" s="33">
        <f>SUMIFS(SIP[BO UNIT TRANSFER],SIP[Investor ID],INVESTORS_LIST[[#This Row],[INVESTOR CODE]],SIP[B/S],"B")</f>
        <v>0</v>
      </c>
      <c r="Z49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93" s="119">
        <f>INVESTORS_LIST[[#This Row],[TOTAL UNITS BUY]]-INVESTORS_LIST[[#This Row],[TOTAL UNITS SOLD]]</f>
        <v>0</v>
      </c>
      <c r="AB493" s="119">
        <f>INVESTORS_LIST[[#This Row],[TOTAL CURRENT UNITS]]-INVESTORS_LIST[[#This Row],[BO UNITS HOLD]]</f>
        <v>0</v>
      </c>
      <c r="AC493" s="119" t="e">
        <f>INDEX([4]!Table_1[BO ID],MATCH(INVESTORS_LIST[[#This Row],[INVESTOR CODE]],[4]!Table_1[INVESTOR CODE],0))</f>
        <v>#REF!</v>
      </c>
      <c r="AD493" s="33">
        <f>INVESTORS_LIST[[#This Row],[LS_TOTAL COST VALUE OF CURRENT UNITS]]+INVESTORS_LIST[[#This Row],[SIP_TOTAL COST VALUE OF CURRENT UNITS]]</f>
        <v>0</v>
      </c>
      <c r="AE493" s="44">
        <f>IF(INVESTORS_LIST[[#This Row],[TOTAL CURRENT UNITS]]=0,0,INVESTORS_LIST[[#This Row],[LS_TOTAL CURRENT UNITS]]/INVESTORS_LIST[[#This Row],[TOTAL CURRENT UNITS]])</f>
        <v>0</v>
      </c>
      <c r="AF493" s="44">
        <f>IF(INVESTORS_LIST[[#This Row],[TOTAL CURRENT UNITS]]=0,0,INVESTORS_LIST[[#This Row],[SIP_TOTAL CURRENT UNITS]]/INVESTORS_LIST[[#This Row],[TOTAL CURRENT UNITS]])</f>
        <v>0</v>
      </c>
      <c r="AG493" s="4" cm="1">
        <f t="array" ref="AG49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93" s="4" cm="1">
        <f t="array" ref="AH49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9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93" s="178">
        <f t="shared" si="11"/>
        <v>12.552</v>
      </c>
      <c r="AK493" s="118">
        <f>IF(INVESTORS_LIST[[#This Row],[TOTAL CURRENT UNITS]]=0,0,INVESTORS_LIST[[#This Row],[TOTAL CURRENT UNITS]]*INVESTORS_LIST[[#This Row],[NAV]])</f>
        <v>0</v>
      </c>
      <c r="AL493" s="4">
        <f>IF(INVESTORS_LIST[[#This Row],[LS_TOTAL CURRENT UNITS]]=0,0,INVESTORS_LIST[[#This Row],[LS_TOTAL CURRENT UNITS]]*INVESTORS_LIST[[#This Row],[NAV]])</f>
        <v>0</v>
      </c>
      <c r="AM493" s="6">
        <f>IF(INVESTORS_LIST[[#This Row],[SIP_TOTAL CURRENT UNITS]]=0,0,INVESTORS_LIST[[#This Row],[SIP_TOTAL CURRENT UNITS]]*INVESTORS_LIST[[#This Row],[NAV]])</f>
        <v>0</v>
      </c>
      <c r="AO493" s="6">
        <f>IF(INVESTORS_LIST[[#This Row],[TOTAL SELLABLE UNITS]]=0,0,INVESTORS_LIST[[#This Row],[TOTAL SELLABLE UNITS]]*INVESTORS_LIST[[#This Row],[NAV]])</f>
        <v>0</v>
      </c>
      <c r="AP493" s="6">
        <f>INVESTORS_LIST[[#This Row],[LS_TOTAL REALIZED GAIN]]+INVESTORS_LIST[[#This Row],[SIP_TOTAL REALIZED GAIN]]</f>
        <v>0</v>
      </c>
      <c r="AQ493" s="6">
        <f>INVESTORS_LIST[[#This Row],[TOTAL MARKET VALUE]]-INVESTORS_LIST[[#This Row],[TOTAL COST VALUE OF CURRENT INVESTMENT]]</f>
        <v>0</v>
      </c>
      <c r="AR493" s="6">
        <f>SUMIFS(DivAndTax[Tax Amount],DivAndTax[Investor ID],INVESTORS_LIST[[#This Row],[INVESTOR CODE]])</f>
        <v>0</v>
      </c>
      <c r="AS493" s="6">
        <f>SUMIFS(DivAndTax[Gross Dividend],DivAndTax[Investor ID],INVESTORS_LIST[[#This Row],[INVESTOR CODE]])</f>
        <v>0</v>
      </c>
      <c r="AT493" s="5">
        <f>IFERROR(INVESTORS_LIST[[#This Row],[TOTAL CURRENT UNITS]]/SUM(INVESTORS_LIST[TOTAL CURRENT UNITS]),0)</f>
        <v>0</v>
      </c>
    </row>
    <row r="494" spans="1:46" hidden="1">
      <c r="A494" t="s">
        <v>1100</v>
      </c>
      <c r="B494" t="s">
        <v>1101</v>
      </c>
      <c r="C494" t="s">
        <v>536</v>
      </c>
      <c r="D494" s="8" t="s">
        <v>2</v>
      </c>
      <c r="E494" s="2">
        <f>SUMIFS(LS[Unit],LS[Investor ID],INVESTORS_LIST[[#This Row],[INVESTOR CODE]],LS[B/S],"B")</f>
        <v>0</v>
      </c>
      <c r="F494" s="2">
        <f>-SUMIFS(LS[Unit],LS[Investor ID],INVESTORS_LIST[[#This Row],[INVESTOR CODE]],LS[B/S],"S")</f>
        <v>0</v>
      </c>
      <c r="G494" s="2">
        <f>IF(INVESTORS_LIST[[#This Row],[LS_TOTAL UNITS BUY]]=0,0,INVESTORS_LIST[[#This Row],[LS_TOTAL UNITS BUY]]-INVESTORS_LIST[[#This Row],[LS_TOTAL UNITS SOLD]])</f>
        <v>0</v>
      </c>
      <c r="H494" s="4">
        <f>IF(INVESTORS_LIST[[#This Row],[LS_TOTAL UNITS BUY]]=0,0,SUMIFS(LS[Amount],LS[Investor ID],INVESTORS_LIST[[#This Row],[INVESTOR CODE]],LS[B/S],"B"))</f>
        <v>0</v>
      </c>
      <c r="I494" s="6">
        <f>IF(INVESTORS_LIST[[#This Row],[LS_TOTAL UNITS SOLD]]=0,0,SUMIFS(LS[Cost of Units Sold],LS[Investor ID],INVESTORS_LIST[[#This Row],[INVESTOR CODE]],LS[B/S],"S"))</f>
        <v>0</v>
      </c>
      <c r="J494" s="6">
        <f>IF(INVESTORS_LIST[[#This Row],[LS_TOTAL CURRENT UNITS]]=0,0,INVESTORS_LIST[[#This Row],[LS_TOTAL CURRENT UNITS]]*INVESTORS_LIST[[#This Row],[LS_AVERAGE COST]])</f>
        <v>0</v>
      </c>
      <c r="K494" s="4">
        <f>IF(INVESTORS_LIST[[#This Row],[LS_TOTAL UNITS SOLD]]=0,0,SUMIFS(LS[Realized Gain],LS[Investor ID],INVESTORS_LIST[[#This Row],[INVESTOR CODE]],LS[B/S],"S"))</f>
        <v>0</v>
      </c>
      <c r="L494" s="2">
        <f>SUMIFS(SIP[Unit],SIP[Investor ID],INVESTORS_LIST[[#This Row],[INVESTOR CODE]],SIP[B/S],"B")</f>
        <v>0</v>
      </c>
      <c r="M494" s="2">
        <f>-SUMIFS(SIP[Unit],SIP[Investor ID],INVESTORS_LIST[[#This Row],[INVESTOR CODE]],SIP[B/S],"S")</f>
        <v>0</v>
      </c>
      <c r="N494" s="33">
        <f>IF(INVESTORS_LIST[[#This Row],[SIP_TOTAL UNITS BUY]]=0,0,INVESTORS_LIST[[#This Row],[SIP_TOTAL UNITS BUY]]-INVESTORS_LIST[[#This Row],[SIP_TOTAL UNITS SOLD]])</f>
        <v>0</v>
      </c>
      <c r="O494" s="4">
        <f>IF(INVESTORS_LIST[[#This Row],[SIP_TOTAL UNITS BUY]]=0,0,SUMIFS(SIP[Amount],SIP[Investor ID],INVESTORS_LIST[[#This Row],[INVESTOR CODE]],SIP[B/S],"B"))</f>
        <v>0</v>
      </c>
      <c r="P494" s="4">
        <f>IF(INVESTORS_LIST[[#This Row],[SIP_TOTAL UNITS SOLD]]=0,0,SUMIFS(SIP[Cost of Units Sold],SIP[Investor ID],INVESTORS_LIST[[#This Row],[INVESTOR CODE]],SIP[B/S],"S"))</f>
        <v>0</v>
      </c>
      <c r="Q494" s="6">
        <f>IF(INVESTORS_LIST[[#This Row],[SIP_TOTAL CURRENT UNITS]]=0,0,INVESTORS_LIST[[#This Row],[SIP_TOTAL CURRENT UNITS]]*INVESTORS_LIST[[#This Row],[SIP_AVERAGE COST]])</f>
        <v>0</v>
      </c>
      <c r="R494" s="6">
        <f>IF(INVESTORS_LIST[[#This Row],[SIP_TOTAL UNITS SOLD]]=0,0,SUMIFS(SIP[Realized Gain],SIP[Investor ID],INVESTORS_LIST[[#This Row],[INVESTOR CODE]],SIP[B/S],"S"))</f>
        <v>0</v>
      </c>
      <c r="S494" s="33">
        <f>INVESTORS_LIST[[#This Row],[LS_TOTAL UNITS BUY]]+INVESTORS_LIST[[#This Row],[SIP_TOTAL UNITS BUY]]</f>
        <v>0</v>
      </c>
      <c r="T494" s="33">
        <f>INVESTORS_LIST[[#This Row],[LS_TOTAL UNITS SOLD]]+INVESTORS_LIST[[#This Row],[SIP_TOTAL UNITS SOLD]]</f>
        <v>0</v>
      </c>
      <c r="U494" s="33">
        <v>0</v>
      </c>
      <c r="V494" s="33">
        <f>SUMIFS(LS[BO UNIT TRANSFER],LS[Investor ID],INVESTORS_LIST[[#This Row],[INVESTOR CODE]],LS[B/S],"B")</f>
        <v>0</v>
      </c>
      <c r="W494" s="33">
        <f>SUMIFS(LS[BO UNIT TRANSFER],LS[Investor ID],INVESTORS_LIST[[#This Row],[INVESTOR CODE]],LS[B/S],"S")</f>
        <v>0</v>
      </c>
      <c r="X494" s="33">
        <f>SUMIFS(SIP[BO UNIT TRANSFER],SIP[Investor ID],INVESTORS_LIST[[#This Row],[INVESTOR CODE]],SIP[B/S],"S")</f>
        <v>0</v>
      </c>
      <c r="Y494" s="33">
        <f>SUMIFS(SIP[BO UNIT TRANSFER],SIP[Investor ID],INVESTORS_LIST[[#This Row],[INVESTOR CODE]],SIP[B/S],"B")</f>
        <v>0</v>
      </c>
      <c r="Z49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94" s="119">
        <f>INVESTORS_LIST[[#This Row],[TOTAL UNITS BUY]]-INVESTORS_LIST[[#This Row],[TOTAL UNITS SOLD]]</f>
        <v>0</v>
      </c>
      <c r="AB494" s="119">
        <f>INVESTORS_LIST[[#This Row],[TOTAL CURRENT UNITS]]-INVESTORS_LIST[[#This Row],[BO UNITS HOLD]]</f>
        <v>0</v>
      </c>
      <c r="AC494" s="119" t="e">
        <f>INDEX([4]!Table_1[BO ID],MATCH(INVESTORS_LIST[[#This Row],[INVESTOR CODE]],[4]!Table_1[INVESTOR CODE],0))</f>
        <v>#REF!</v>
      </c>
      <c r="AD494" s="33">
        <f>INVESTORS_LIST[[#This Row],[LS_TOTAL COST VALUE OF CURRENT UNITS]]+INVESTORS_LIST[[#This Row],[SIP_TOTAL COST VALUE OF CURRENT UNITS]]</f>
        <v>0</v>
      </c>
      <c r="AE494" s="44">
        <f>IF(INVESTORS_LIST[[#This Row],[TOTAL CURRENT UNITS]]=0,0,INVESTORS_LIST[[#This Row],[LS_TOTAL CURRENT UNITS]]/INVESTORS_LIST[[#This Row],[TOTAL CURRENT UNITS]])</f>
        <v>0</v>
      </c>
      <c r="AF494" s="44">
        <f>IF(INVESTORS_LIST[[#This Row],[TOTAL CURRENT UNITS]]=0,0,INVESTORS_LIST[[#This Row],[SIP_TOTAL CURRENT UNITS]]/INVESTORS_LIST[[#This Row],[TOTAL CURRENT UNITS]])</f>
        <v>0</v>
      </c>
      <c r="AG494" s="4" cm="1">
        <f t="array" ref="AG49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94" s="4" cm="1">
        <f t="array" ref="AH49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9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94" s="178">
        <f t="shared" si="11"/>
        <v>12.552</v>
      </c>
      <c r="AK494" s="118">
        <f>IF(INVESTORS_LIST[[#This Row],[TOTAL CURRENT UNITS]]=0,0,INVESTORS_LIST[[#This Row],[TOTAL CURRENT UNITS]]*INVESTORS_LIST[[#This Row],[NAV]])</f>
        <v>0</v>
      </c>
      <c r="AL494" s="4">
        <f>IF(INVESTORS_LIST[[#This Row],[LS_TOTAL CURRENT UNITS]]=0,0,INVESTORS_LIST[[#This Row],[LS_TOTAL CURRENT UNITS]]*INVESTORS_LIST[[#This Row],[NAV]])</f>
        <v>0</v>
      </c>
      <c r="AM494" s="6">
        <f>IF(INVESTORS_LIST[[#This Row],[SIP_TOTAL CURRENT UNITS]]=0,0,INVESTORS_LIST[[#This Row],[SIP_TOTAL CURRENT UNITS]]*INVESTORS_LIST[[#This Row],[NAV]])</f>
        <v>0</v>
      </c>
      <c r="AO494" s="6">
        <f>IF(INVESTORS_LIST[[#This Row],[TOTAL SELLABLE UNITS]]=0,0,INVESTORS_LIST[[#This Row],[TOTAL SELLABLE UNITS]]*INVESTORS_LIST[[#This Row],[NAV]])</f>
        <v>0</v>
      </c>
      <c r="AP494" s="6">
        <f>INVESTORS_LIST[[#This Row],[LS_TOTAL REALIZED GAIN]]+INVESTORS_LIST[[#This Row],[SIP_TOTAL REALIZED GAIN]]</f>
        <v>0</v>
      </c>
      <c r="AQ494" s="6">
        <f>INVESTORS_LIST[[#This Row],[TOTAL MARKET VALUE]]-INVESTORS_LIST[[#This Row],[TOTAL COST VALUE OF CURRENT INVESTMENT]]</f>
        <v>0</v>
      </c>
      <c r="AR494" s="6">
        <f>SUMIFS(DivAndTax[Tax Amount],DivAndTax[Investor ID],INVESTORS_LIST[[#This Row],[INVESTOR CODE]])</f>
        <v>0</v>
      </c>
      <c r="AS494" s="6">
        <f>SUMIFS(DivAndTax[Gross Dividend],DivAndTax[Investor ID],INVESTORS_LIST[[#This Row],[INVESTOR CODE]])</f>
        <v>0</v>
      </c>
      <c r="AT494" s="5">
        <f>IFERROR(INVESTORS_LIST[[#This Row],[TOTAL CURRENT UNITS]]/SUM(INVESTORS_LIST[TOTAL CURRENT UNITS]),0)</f>
        <v>0</v>
      </c>
    </row>
    <row r="495" spans="1:46" hidden="1">
      <c r="A495" t="s">
        <v>1102</v>
      </c>
      <c r="B495" t="s">
        <v>1103</v>
      </c>
      <c r="C495" t="s">
        <v>539</v>
      </c>
      <c r="D495" s="8" t="s">
        <v>2</v>
      </c>
      <c r="E495" s="2">
        <f>SUMIFS(LS[Unit],LS[Investor ID],INVESTORS_LIST[[#This Row],[INVESTOR CODE]],LS[B/S],"B")</f>
        <v>0</v>
      </c>
      <c r="F495" s="2">
        <f>-SUMIFS(LS[Unit],LS[Investor ID],INVESTORS_LIST[[#This Row],[INVESTOR CODE]],LS[B/S],"S")</f>
        <v>0</v>
      </c>
      <c r="G495" s="2">
        <f>IF(INVESTORS_LIST[[#This Row],[LS_TOTAL UNITS BUY]]=0,0,INVESTORS_LIST[[#This Row],[LS_TOTAL UNITS BUY]]-INVESTORS_LIST[[#This Row],[LS_TOTAL UNITS SOLD]])</f>
        <v>0</v>
      </c>
      <c r="H495" s="4">
        <f>IF(INVESTORS_LIST[[#This Row],[LS_TOTAL UNITS BUY]]=0,0,SUMIFS(LS[Amount],LS[Investor ID],INVESTORS_LIST[[#This Row],[INVESTOR CODE]],LS[B/S],"B"))</f>
        <v>0</v>
      </c>
      <c r="I495" s="6">
        <f>IF(INVESTORS_LIST[[#This Row],[LS_TOTAL UNITS SOLD]]=0,0,SUMIFS(LS[Cost of Units Sold],LS[Investor ID],INVESTORS_LIST[[#This Row],[INVESTOR CODE]],LS[B/S],"S"))</f>
        <v>0</v>
      </c>
      <c r="J495" s="6">
        <f>IF(INVESTORS_LIST[[#This Row],[LS_TOTAL CURRENT UNITS]]=0,0,INVESTORS_LIST[[#This Row],[LS_TOTAL CURRENT UNITS]]*INVESTORS_LIST[[#This Row],[LS_AVERAGE COST]])</f>
        <v>0</v>
      </c>
      <c r="K495" s="4">
        <f>IF(INVESTORS_LIST[[#This Row],[LS_TOTAL UNITS SOLD]]=0,0,SUMIFS(LS[Realized Gain],LS[Investor ID],INVESTORS_LIST[[#This Row],[INVESTOR CODE]],LS[B/S],"S"))</f>
        <v>0</v>
      </c>
      <c r="L495" s="2">
        <f>SUMIFS(SIP[Unit],SIP[Investor ID],INVESTORS_LIST[[#This Row],[INVESTOR CODE]],SIP[B/S],"B")</f>
        <v>0</v>
      </c>
      <c r="M495" s="2">
        <f>-SUMIFS(SIP[Unit],SIP[Investor ID],INVESTORS_LIST[[#This Row],[INVESTOR CODE]],SIP[B/S],"S")</f>
        <v>0</v>
      </c>
      <c r="N495" s="33">
        <f>IF(INVESTORS_LIST[[#This Row],[SIP_TOTAL UNITS BUY]]=0,0,INVESTORS_LIST[[#This Row],[SIP_TOTAL UNITS BUY]]-INVESTORS_LIST[[#This Row],[SIP_TOTAL UNITS SOLD]])</f>
        <v>0</v>
      </c>
      <c r="O495" s="4">
        <f>IF(INVESTORS_LIST[[#This Row],[SIP_TOTAL UNITS BUY]]=0,0,SUMIFS(SIP[Amount],SIP[Investor ID],INVESTORS_LIST[[#This Row],[INVESTOR CODE]],SIP[B/S],"B"))</f>
        <v>0</v>
      </c>
      <c r="P495" s="4">
        <f>IF(INVESTORS_LIST[[#This Row],[SIP_TOTAL UNITS SOLD]]=0,0,SUMIFS(SIP[Cost of Units Sold],SIP[Investor ID],INVESTORS_LIST[[#This Row],[INVESTOR CODE]],SIP[B/S],"S"))</f>
        <v>0</v>
      </c>
      <c r="Q495" s="6">
        <f>IF(INVESTORS_LIST[[#This Row],[SIP_TOTAL CURRENT UNITS]]=0,0,INVESTORS_LIST[[#This Row],[SIP_TOTAL CURRENT UNITS]]*INVESTORS_LIST[[#This Row],[SIP_AVERAGE COST]])</f>
        <v>0</v>
      </c>
      <c r="R495" s="6">
        <f>IF(INVESTORS_LIST[[#This Row],[SIP_TOTAL UNITS SOLD]]=0,0,SUMIFS(SIP[Realized Gain],SIP[Investor ID],INVESTORS_LIST[[#This Row],[INVESTOR CODE]],SIP[B/S],"S"))</f>
        <v>0</v>
      </c>
      <c r="S495" s="33">
        <f>INVESTORS_LIST[[#This Row],[LS_TOTAL UNITS BUY]]+INVESTORS_LIST[[#This Row],[SIP_TOTAL UNITS BUY]]</f>
        <v>0</v>
      </c>
      <c r="T495" s="33">
        <f>INVESTORS_LIST[[#This Row],[LS_TOTAL UNITS SOLD]]+INVESTORS_LIST[[#This Row],[SIP_TOTAL UNITS SOLD]]</f>
        <v>0</v>
      </c>
      <c r="U495" s="33">
        <v>0</v>
      </c>
      <c r="V495" s="33">
        <f>SUMIFS(LS[BO UNIT TRANSFER],LS[Investor ID],INVESTORS_LIST[[#This Row],[INVESTOR CODE]],LS[B/S],"B")</f>
        <v>0</v>
      </c>
      <c r="W495" s="33">
        <f>SUMIFS(LS[BO UNIT TRANSFER],LS[Investor ID],INVESTORS_LIST[[#This Row],[INVESTOR CODE]],LS[B/S],"S")</f>
        <v>0</v>
      </c>
      <c r="X495" s="33">
        <f>SUMIFS(SIP[BO UNIT TRANSFER],SIP[Investor ID],INVESTORS_LIST[[#This Row],[INVESTOR CODE]],SIP[B/S],"S")</f>
        <v>0</v>
      </c>
      <c r="Y495" s="33">
        <f>SUMIFS(SIP[BO UNIT TRANSFER],SIP[Investor ID],INVESTORS_LIST[[#This Row],[INVESTOR CODE]],SIP[B/S],"B")</f>
        <v>0</v>
      </c>
      <c r="Z49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95" s="119">
        <f>INVESTORS_LIST[[#This Row],[TOTAL UNITS BUY]]-INVESTORS_LIST[[#This Row],[TOTAL UNITS SOLD]]</f>
        <v>0</v>
      </c>
      <c r="AB495" s="119">
        <f>INVESTORS_LIST[[#This Row],[TOTAL CURRENT UNITS]]-INVESTORS_LIST[[#This Row],[BO UNITS HOLD]]</f>
        <v>0</v>
      </c>
      <c r="AC495" s="119" t="e">
        <f>INDEX([4]!Table_1[BO ID],MATCH(INVESTORS_LIST[[#This Row],[INVESTOR CODE]],[4]!Table_1[INVESTOR CODE],0))</f>
        <v>#REF!</v>
      </c>
      <c r="AD495" s="33">
        <f>INVESTORS_LIST[[#This Row],[LS_TOTAL COST VALUE OF CURRENT UNITS]]+INVESTORS_LIST[[#This Row],[SIP_TOTAL COST VALUE OF CURRENT UNITS]]</f>
        <v>0</v>
      </c>
      <c r="AE495" s="44">
        <f>IF(INVESTORS_LIST[[#This Row],[TOTAL CURRENT UNITS]]=0,0,INVESTORS_LIST[[#This Row],[LS_TOTAL CURRENT UNITS]]/INVESTORS_LIST[[#This Row],[TOTAL CURRENT UNITS]])</f>
        <v>0</v>
      </c>
      <c r="AF495" s="44">
        <f>IF(INVESTORS_LIST[[#This Row],[TOTAL CURRENT UNITS]]=0,0,INVESTORS_LIST[[#This Row],[SIP_TOTAL CURRENT UNITS]]/INVESTORS_LIST[[#This Row],[TOTAL CURRENT UNITS]])</f>
        <v>0</v>
      </c>
      <c r="AG495" s="4" cm="1">
        <f t="array" ref="AG49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95" s="4" cm="1">
        <f t="array" ref="AH4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9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95" s="178">
        <f t="shared" si="11"/>
        <v>12.552</v>
      </c>
      <c r="AK495" s="118">
        <f>IF(INVESTORS_LIST[[#This Row],[TOTAL CURRENT UNITS]]=0,0,INVESTORS_LIST[[#This Row],[TOTAL CURRENT UNITS]]*INVESTORS_LIST[[#This Row],[NAV]])</f>
        <v>0</v>
      </c>
      <c r="AL495" s="4">
        <f>IF(INVESTORS_LIST[[#This Row],[LS_TOTAL CURRENT UNITS]]=0,0,INVESTORS_LIST[[#This Row],[LS_TOTAL CURRENT UNITS]]*INVESTORS_LIST[[#This Row],[NAV]])</f>
        <v>0</v>
      </c>
      <c r="AM495" s="6">
        <f>IF(INVESTORS_LIST[[#This Row],[SIP_TOTAL CURRENT UNITS]]=0,0,INVESTORS_LIST[[#This Row],[SIP_TOTAL CURRENT UNITS]]*INVESTORS_LIST[[#This Row],[NAV]])</f>
        <v>0</v>
      </c>
      <c r="AO495" s="6">
        <f>IF(INVESTORS_LIST[[#This Row],[TOTAL SELLABLE UNITS]]=0,0,INVESTORS_LIST[[#This Row],[TOTAL SELLABLE UNITS]]*INVESTORS_LIST[[#This Row],[NAV]])</f>
        <v>0</v>
      </c>
      <c r="AP495" s="6">
        <f>INVESTORS_LIST[[#This Row],[LS_TOTAL REALIZED GAIN]]+INVESTORS_LIST[[#This Row],[SIP_TOTAL REALIZED GAIN]]</f>
        <v>0</v>
      </c>
      <c r="AQ495" s="6">
        <f>INVESTORS_LIST[[#This Row],[TOTAL MARKET VALUE]]-INVESTORS_LIST[[#This Row],[TOTAL COST VALUE OF CURRENT INVESTMENT]]</f>
        <v>0</v>
      </c>
      <c r="AR495" s="6">
        <f>SUMIFS(DivAndTax[Tax Amount],DivAndTax[Investor ID],INVESTORS_LIST[[#This Row],[INVESTOR CODE]])</f>
        <v>0</v>
      </c>
      <c r="AS495" s="6">
        <f>SUMIFS(DivAndTax[Gross Dividend],DivAndTax[Investor ID],INVESTORS_LIST[[#This Row],[INVESTOR CODE]])</f>
        <v>0</v>
      </c>
      <c r="AT495" s="5">
        <f>IFERROR(INVESTORS_LIST[[#This Row],[TOTAL CURRENT UNITS]]/SUM(INVESTORS_LIST[TOTAL CURRENT UNITS]),0)</f>
        <v>0</v>
      </c>
    </row>
    <row r="496" spans="1:46">
      <c r="A496" t="s">
        <v>1104</v>
      </c>
      <c r="B496" t="s">
        <v>1105</v>
      </c>
      <c r="C496" t="s">
        <v>536</v>
      </c>
      <c r="D496" s="8" t="s">
        <v>2</v>
      </c>
      <c r="E496" s="2">
        <f>SUMIFS(LS[Unit],LS[Investor ID],INVESTORS_LIST[[#This Row],[INVESTOR CODE]],LS[B/S],"B")</f>
        <v>46809</v>
      </c>
      <c r="F496" s="2">
        <f>-SUMIFS(LS[Unit],LS[Investor ID],INVESTORS_LIST[[#This Row],[INVESTOR CODE]],LS[B/S],"S")</f>
        <v>0</v>
      </c>
      <c r="G496" s="2">
        <f>IF(INVESTORS_LIST[[#This Row],[LS_TOTAL UNITS BUY]]=0,0,INVESTORS_LIST[[#This Row],[LS_TOTAL UNITS BUY]]-INVESTORS_LIST[[#This Row],[LS_TOTAL UNITS SOLD]])</f>
        <v>46809</v>
      </c>
      <c r="H496" s="4">
        <f>IF(INVESTORS_LIST[[#This Row],[LS_TOTAL UNITS BUY]]=0,0,SUMIFS(LS[Amount],LS[Investor ID],INVESTORS_LIST[[#This Row],[INVESTOR CODE]],LS[B/S],"B"))</f>
        <v>515960</v>
      </c>
      <c r="I496" s="6">
        <f>IF(INVESTORS_LIST[[#This Row],[LS_TOTAL UNITS SOLD]]=0,0,SUMIFS(LS[Cost of Units Sold],LS[Investor ID],INVESTORS_LIST[[#This Row],[INVESTOR CODE]],LS[B/S],"S"))</f>
        <v>0</v>
      </c>
      <c r="J496" s="6">
        <f>IF(INVESTORS_LIST[[#This Row],[LS_TOTAL CURRENT UNITS]]=0,0,INVESTORS_LIST[[#This Row],[LS_TOTAL CURRENT UNITS]]*INVESTORS_LIST[[#This Row],[LS_AVERAGE COST]])</f>
        <v>515960</v>
      </c>
      <c r="K496" s="4">
        <f>IF(INVESTORS_LIST[[#This Row],[LS_TOTAL UNITS SOLD]]=0,0,SUMIFS(LS[Realized Gain],LS[Investor ID],INVESTORS_LIST[[#This Row],[INVESTOR CODE]],LS[B/S],"S"))</f>
        <v>0</v>
      </c>
      <c r="L496" s="2">
        <f>SUMIFS(SIP[Unit],SIP[Investor ID],INVESTORS_LIST[[#This Row],[INVESTOR CODE]],SIP[B/S],"B")</f>
        <v>0</v>
      </c>
      <c r="M496" s="2">
        <f>-SUMIFS(SIP[Unit],SIP[Investor ID],INVESTORS_LIST[[#This Row],[INVESTOR CODE]],SIP[B/S],"S")</f>
        <v>0</v>
      </c>
      <c r="N496" s="33">
        <f>IF(INVESTORS_LIST[[#This Row],[SIP_TOTAL UNITS BUY]]=0,0,INVESTORS_LIST[[#This Row],[SIP_TOTAL UNITS BUY]]-INVESTORS_LIST[[#This Row],[SIP_TOTAL UNITS SOLD]])</f>
        <v>0</v>
      </c>
      <c r="O496" s="4">
        <f>IF(INVESTORS_LIST[[#This Row],[SIP_TOTAL UNITS BUY]]=0,0,SUMIFS(SIP[Amount],SIP[Investor ID],INVESTORS_LIST[[#This Row],[INVESTOR CODE]],SIP[B/S],"B"))</f>
        <v>0</v>
      </c>
      <c r="P496" s="4">
        <f>IF(INVESTORS_LIST[[#This Row],[SIP_TOTAL UNITS SOLD]]=0,0,SUMIFS(SIP[Cost of Units Sold],SIP[Investor ID],INVESTORS_LIST[[#This Row],[INVESTOR CODE]],SIP[B/S],"S"))</f>
        <v>0</v>
      </c>
      <c r="Q496" s="6">
        <f>IF(INVESTORS_LIST[[#This Row],[SIP_TOTAL CURRENT UNITS]]=0,0,INVESTORS_LIST[[#This Row],[SIP_TOTAL CURRENT UNITS]]*INVESTORS_LIST[[#This Row],[SIP_AVERAGE COST]])</f>
        <v>0</v>
      </c>
      <c r="R496" s="6">
        <f>IF(INVESTORS_LIST[[#This Row],[SIP_TOTAL UNITS SOLD]]=0,0,SUMIFS(SIP[Realized Gain],SIP[Investor ID],INVESTORS_LIST[[#This Row],[INVESTOR CODE]],SIP[B/S],"S"))</f>
        <v>0</v>
      </c>
      <c r="S496" s="33">
        <f>INVESTORS_LIST[[#This Row],[LS_TOTAL UNITS BUY]]+INVESTORS_LIST[[#This Row],[SIP_TOTAL UNITS BUY]]</f>
        <v>46809</v>
      </c>
      <c r="T496" s="33">
        <f>INVESTORS_LIST[[#This Row],[LS_TOTAL UNITS SOLD]]+INVESTORS_LIST[[#This Row],[SIP_TOTAL UNITS SOLD]]</f>
        <v>0</v>
      </c>
      <c r="U496" s="33">
        <v>45600</v>
      </c>
      <c r="V496" s="33">
        <f>SUMIFS(LS[BO UNIT TRANSFER],LS[Investor ID],INVESTORS_LIST[[#This Row],[INVESTOR CODE]],LS[B/S],"B")</f>
        <v>1209</v>
      </c>
      <c r="W496" s="33">
        <f>SUMIFS(LS[BO UNIT TRANSFER],LS[Investor ID],INVESTORS_LIST[[#This Row],[INVESTOR CODE]],LS[B/S],"S")</f>
        <v>0</v>
      </c>
      <c r="X496" s="33">
        <f>SUMIFS(SIP[BO UNIT TRANSFER],SIP[Investor ID],INVESTORS_LIST[[#This Row],[INVESTOR CODE]],SIP[B/S],"S")</f>
        <v>0</v>
      </c>
      <c r="Y496" s="33">
        <f>SUMIFS(SIP[BO UNIT TRANSFER],SIP[Investor ID],INVESTORS_LIST[[#This Row],[INVESTOR CODE]],SIP[B/S],"B")</f>
        <v>0</v>
      </c>
      <c r="Z49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46809</v>
      </c>
      <c r="AA496" s="119">
        <f>INVESTORS_LIST[[#This Row],[TOTAL UNITS BUY]]-INVESTORS_LIST[[#This Row],[TOTAL UNITS SOLD]]</f>
        <v>46809</v>
      </c>
      <c r="AB496" s="119">
        <f>INVESTORS_LIST[[#This Row],[TOTAL CURRENT UNITS]]-INVESTORS_LIST[[#This Row],[BO UNITS HOLD]]</f>
        <v>0</v>
      </c>
      <c r="AC496" s="119" t="e">
        <f>INDEX([4]!Table_1[BO ID],MATCH(INVESTORS_LIST[[#This Row],[INVESTOR CODE]],[4]!Table_1[INVESTOR CODE],0))</f>
        <v>#REF!</v>
      </c>
      <c r="AD496" s="33">
        <f>INVESTORS_LIST[[#This Row],[LS_TOTAL COST VALUE OF CURRENT UNITS]]+INVESTORS_LIST[[#This Row],[SIP_TOTAL COST VALUE OF CURRENT UNITS]]</f>
        <v>515960</v>
      </c>
      <c r="AE496" s="44">
        <f>IF(INVESTORS_LIST[[#This Row],[TOTAL CURRENT UNITS]]=0,0,INVESTORS_LIST[[#This Row],[LS_TOTAL CURRENT UNITS]]/INVESTORS_LIST[[#This Row],[TOTAL CURRENT UNITS]])</f>
        <v>1</v>
      </c>
      <c r="AF496" s="44">
        <f>IF(INVESTORS_LIST[[#This Row],[TOTAL CURRENT UNITS]]=0,0,INVESTORS_LIST[[#This Row],[SIP_TOTAL CURRENT UNITS]]/INVESTORS_LIST[[#This Row],[TOTAL CURRENT UNITS]])</f>
        <v>0</v>
      </c>
      <c r="AG496" s="4" cm="1">
        <f t="array" ref="AG496">IF(INVESTORS_LIST[[#This Row],[LS_TOTAL UNITS BUY]]&gt;0,INDEX(LS[NAV at Cost (Average)],MATCH(CONCATENATE(COUNTIFS(LS[Investor ID],INVESTORS_LIST[[#This Row],[INVESTOR CODE]]),INVESTORS_LIST[[#This Row],[INVESTOR CODE]]),LS[Unique Code],0),),0)</f>
        <v>11.022666581213015</v>
      </c>
      <c r="AH496" s="4" cm="1">
        <f t="array" ref="AH49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96" s="178">
        <f>IF(INVESTORS_LIST[[#This Row],[TOTAL CURRENT UNITS]]=0,0,(INVESTORS_LIST[[#This Row],[LS_WEIGHT]]*INVESTORS_LIST[[#This Row],[LS_AVERAGE COST]])+(INVESTORS_LIST[[#This Row],[SIP_WEIGHT]]*INVESTORS_LIST[[#This Row],[SIP_AVERAGE COST]]))</f>
        <v>11.022666581213015</v>
      </c>
      <c r="AJ496" s="178">
        <f t="shared" si="11"/>
        <v>12.552</v>
      </c>
      <c r="AK496" s="118">
        <f>IF(INVESTORS_LIST[[#This Row],[TOTAL CURRENT UNITS]]=0,0,INVESTORS_LIST[[#This Row],[TOTAL CURRENT UNITS]]*INVESTORS_LIST[[#This Row],[NAV]])</f>
        <v>587546.56799999997</v>
      </c>
      <c r="AL496" s="4">
        <f>IF(INVESTORS_LIST[[#This Row],[LS_TOTAL CURRENT UNITS]]=0,0,INVESTORS_LIST[[#This Row],[LS_TOTAL CURRENT UNITS]]*INVESTORS_LIST[[#This Row],[NAV]])</f>
        <v>587546.56799999997</v>
      </c>
      <c r="AM496" s="6">
        <f>IF(INVESTORS_LIST[[#This Row],[SIP_TOTAL CURRENT UNITS]]=0,0,INVESTORS_LIST[[#This Row],[SIP_TOTAL CURRENT UNITS]]*INVESTORS_LIST[[#This Row],[NAV]])</f>
        <v>0</v>
      </c>
      <c r="AO496" s="6">
        <f>IF(INVESTORS_LIST[[#This Row],[TOTAL SELLABLE UNITS]]=0,0,INVESTORS_LIST[[#This Row],[TOTAL SELLABLE UNITS]]*INVESTORS_LIST[[#This Row],[NAV]])</f>
        <v>0</v>
      </c>
      <c r="AP496" s="6">
        <f>INVESTORS_LIST[[#This Row],[LS_TOTAL REALIZED GAIN]]+INVESTORS_LIST[[#This Row],[SIP_TOTAL REALIZED GAIN]]</f>
        <v>0</v>
      </c>
      <c r="AQ496" s="6">
        <f>INVESTORS_LIST[[#This Row],[TOTAL MARKET VALUE]]-INVESTORS_LIST[[#This Row],[TOTAL COST VALUE OF CURRENT INVESTMENT]]</f>
        <v>71586.56799999997</v>
      </c>
      <c r="AR496" s="6">
        <f>SUMIFS(DivAndTax[Tax Amount],DivAndTax[Investor ID],INVESTORS_LIST[[#This Row],[INVESTOR CODE]])</f>
        <v>1596</v>
      </c>
      <c r="AS496" s="6">
        <f>SUMIFS(DivAndTax[Gross Dividend],DivAndTax[Investor ID],INVESTORS_LIST[[#This Row],[INVESTOR CODE]])</f>
        <v>15959.999999999998</v>
      </c>
      <c r="AT496" s="5">
        <f>IFERROR(INVESTORS_LIST[[#This Row],[TOTAL CURRENT UNITS]]/SUM(INVESTORS_LIST[TOTAL CURRENT UNITS]),0)</f>
        <v>2.2442497841523527E-3</v>
      </c>
    </row>
    <row r="497" spans="1:46">
      <c r="A497" t="s">
        <v>1106</v>
      </c>
      <c r="B497" t="s">
        <v>1107</v>
      </c>
      <c r="C497" t="s">
        <v>536</v>
      </c>
      <c r="D497" s="8" t="s">
        <v>2</v>
      </c>
      <c r="E497" s="2">
        <f>SUMIFS(LS[Unit],LS[Investor ID],INVESTORS_LIST[[#This Row],[INVESTOR CODE]],LS[B/S],"B")</f>
        <v>38346</v>
      </c>
      <c r="F497" s="2">
        <f>-SUMIFS(LS[Unit],LS[Investor ID],INVESTORS_LIST[[#This Row],[INVESTOR CODE]],LS[B/S],"S")</f>
        <v>7635</v>
      </c>
      <c r="G497" s="2">
        <f>IF(INVESTORS_LIST[[#This Row],[LS_TOTAL UNITS BUY]]=0,0,INVESTORS_LIST[[#This Row],[LS_TOTAL UNITS BUY]]-INVESTORS_LIST[[#This Row],[LS_TOTAL UNITS SOLD]])</f>
        <v>30711</v>
      </c>
      <c r="H497" s="4">
        <f>IF(INVESTORS_LIST[[#This Row],[LS_TOTAL UNITS BUY]]=0,0,SUMIFS(LS[Amount],LS[Investor ID],INVESTORS_LIST[[#This Row],[INVESTOR CODE]],LS[B/S],"B"))</f>
        <v>411550</v>
      </c>
      <c r="I497" s="6">
        <f>IF(INVESTORS_LIST[[#This Row],[LS_TOTAL UNITS SOLD]]=0,0,SUMIFS(LS[Cost of Units Sold],LS[Investor ID],INVESTORS_LIST[[#This Row],[INVESTOR CODE]],LS[B/S],"S"))</f>
        <v>81709.395905340236</v>
      </c>
      <c r="J497" s="6">
        <f>IF(INVESTORS_LIST[[#This Row],[LS_TOTAL CURRENT UNITS]]=0,0,INVESTORS_LIST[[#This Row],[LS_TOTAL CURRENT UNITS]]*INVESTORS_LIST[[#This Row],[LS_AVERAGE COST]])</f>
        <v>329840.60409465973</v>
      </c>
      <c r="K497" s="4">
        <f>IF(INVESTORS_LIST[[#This Row],[LS_TOTAL UNITS SOLD]]=0,0,SUMIFS(LS[Realized Gain],LS[Investor ID],INVESTORS_LIST[[#This Row],[INVESTOR CODE]],LS[B/S],"S"))</f>
        <v>12362.874094659772</v>
      </c>
      <c r="L497" s="2">
        <f>SUMIFS(SIP[Unit],SIP[Investor ID],INVESTORS_LIST[[#This Row],[INVESTOR CODE]],SIP[B/S],"B")</f>
        <v>0</v>
      </c>
      <c r="M497" s="2">
        <f>-SUMIFS(SIP[Unit],SIP[Investor ID],INVESTORS_LIST[[#This Row],[INVESTOR CODE]],SIP[B/S],"S")</f>
        <v>0</v>
      </c>
      <c r="N497" s="33">
        <f>IF(INVESTORS_LIST[[#This Row],[SIP_TOTAL UNITS BUY]]=0,0,INVESTORS_LIST[[#This Row],[SIP_TOTAL UNITS BUY]]-INVESTORS_LIST[[#This Row],[SIP_TOTAL UNITS SOLD]])</f>
        <v>0</v>
      </c>
      <c r="O497" s="4">
        <f>IF(INVESTORS_LIST[[#This Row],[SIP_TOTAL UNITS BUY]]=0,0,SUMIFS(SIP[Amount],SIP[Investor ID],INVESTORS_LIST[[#This Row],[INVESTOR CODE]],SIP[B/S],"B"))</f>
        <v>0</v>
      </c>
      <c r="P497" s="4">
        <f>IF(INVESTORS_LIST[[#This Row],[SIP_TOTAL UNITS SOLD]]=0,0,SUMIFS(SIP[Cost of Units Sold],SIP[Investor ID],INVESTORS_LIST[[#This Row],[INVESTOR CODE]],SIP[B/S],"S"))</f>
        <v>0</v>
      </c>
      <c r="Q497" s="6">
        <f>IF(INVESTORS_LIST[[#This Row],[SIP_TOTAL CURRENT UNITS]]=0,0,INVESTORS_LIST[[#This Row],[SIP_TOTAL CURRENT UNITS]]*INVESTORS_LIST[[#This Row],[SIP_AVERAGE COST]])</f>
        <v>0</v>
      </c>
      <c r="R497" s="6">
        <f>IF(INVESTORS_LIST[[#This Row],[SIP_TOTAL UNITS SOLD]]=0,0,SUMIFS(SIP[Realized Gain],SIP[Investor ID],INVESTORS_LIST[[#This Row],[INVESTOR CODE]],SIP[B/S],"S"))</f>
        <v>0</v>
      </c>
      <c r="S497" s="33">
        <f>INVESTORS_LIST[[#This Row],[LS_TOTAL UNITS BUY]]+INVESTORS_LIST[[#This Row],[SIP_TOTAL UNITS BUY]]</f>
        <v>38346</v>
      </c>
      <c r="T497" s="33">
        <f>INVESTORS_LIST[[#This Row],[LS_TOTAL UNITS SOLD]]+INVESTORS_LIST[[#This Row],[SIP_TOTAL UNITS SOLD]]</f>
        <v>7635</v>
      </c>
      <c r="U497" s="33">
        <v>37471</v>
      </c>
      <c r="V497" s="33">
        <f>SUMIFS(LS[BO UNIT TRANSFER],LS[Investor ID],INVESTORS_LIST[[#This Row],[INVESTOR CODE]],LS[B/S],"B")</f>
        <v>0</v>
      </c>
      <c r="W497" s="33">
        <f>SUMIFS(LS[BO UNIT TRANSFER],LS[Investor ID],INVESTORS_LIST[[#This Row],[INVESTOR CODE]],LS[B/S],"S")</f>
        <v>0</v>
      </c>
      <c r="X497" s="33">
        <f>SUMIFS(SIP[BO UNIT TRANSFER],SIP[Investor ID],INVESTORS_LIST[[#This Row],[INVESTOR CODE]],SIP[B/S],"S")</f>
        <v>0</v>
      </c>
      <c r="Y497" s="33">
        <f>SUMIFS(SIP[BO UNIT TRANSFER],SIP[Investor ID],INVESTORS_LIST[[#This Row],[INVESTOR CODE]],SIP[B/S],"B")</f>
        <v>0</v>
      </c>
      <c r="Z49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37471</v>
      </c>
      <c r="AA497" s="119">
        <f>INVESTORS_LIST[[#This Row],[TOTAL UNITS BUY]]-INVESTORS_LIST[[#This Row],[TOTAL UNITS SOLD]]</f>
        <v>30711</v>
      </c>
      <c r="AB497" s="119">
        <f>INVESTORS_LIST[[#This Row],[TOTAL CURRENT UNITS]]-INVESTORS_LIST[[#This Row],[BO UNITS HOLD]]</f>
        <v>-6760</v>
      </c>
      <c r="AC497" s="119" t="e">
        <f>INDEX([4]!Table_1[BO ID],MATCH(INVESTORS_LIST[[#This Row],[INVESTOR CODE]],[4]!Table_1[INVESTOR CODE],0))</f>
        <v>#REF!</v>
      </c>
      <c r="AD497" s="33">
        <f>INVESTORS_LIST[[#This Row],[LS_TOTAL COST VALUE OF CURRENT UNITS]]+INVESTORS_LIST[[#This Row],[SIP_TOTAL COST VALUE OF CURRENT UNITS]]</f>
        <v>329840.60409465973</v>
      </c>
      <c r="AE497" s="44">
        <f>IF(INVESTORS_LIST[[#This Row],[TOTAL CURRENT UNITS]]=0,0,INVESTORS_LIST[[#This Row],[LS_TOTAL CURRENT UNITS]]/INVESTORS_LIST[[#This Row],[TOTAL CURRENT UNITS]])</f>
        <v>1</v>
      </c>
      <c r="AF497" s="44">
        <f>IF(INVESTORS_LIST[[#This Row],[TOTAL CURRENT UNITS]]=0,0,INVESTORS_LIST[[#This Row],[SIP_TOTAL CURRENT UNITS]]/INVESTORS_LIST[[#This Row],[TOTAL CURRENT UNITS]])</f>
        <v>0</v>
      </c>
      <c r="AG497" s="4" cm="1">
        <f t="array" ref="AG497">IF(INVESTORS_LIST[[#This Row],[LS_TOTAL UNITS BUY]]&gt;0,INDEX(LS[NAV at Cost (Average)],MATCH(CONCATENATE(COUNTIFS(LS[Investor ID],INVESTORS_LIST[[#This Row],[INVESTOR CODE]]),INVESTORS_LIST[[#This Row],[INVESTOR CODE]]),LS[Unique Code],0),),0)</f>
        <v>10.740145358166773</v>
      </c>
      <c r="AH497" s="4" cm="1">
        <f t="array" ref="AH49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97" s="178">
        <f>IF(INVESTORS_LIST[[#This Row],[TOTAL CURRENT UNITS]]=0,0,(INVESTORS_LIST[[#This Row],[LS_WEIGHT]]*INVESTORS_LIST[[#This Row],[LS_AVERAGE COST]])+(INVESTORS_LIST[[#This Row],[SIP_WEIGHT]]*INVESTORS_LIST[[#This Row],[SIP_AVERAGE COST]]))</f>
        <v>10.740145358166773</v>
      </c>
      <c r="AJ497" s="178">
        <f t="shared" si="11"/>
        <v>12.552</v>
      </c>
      <c r="AK497" s="118">
        <f>IF(INVESTORS_LIST[[#This Row],[TOTAL CURRENT UNITS]]=0,0,INVESTORS_LIST[[#This Row],[TOTAL CURRENT UNITS]]*INVESTORS_LIST[[#This Row],[NAV]])</f>
        <v>385484.47200000001</v>
      </c>
      <c r="AL497" s="4">
        <f>IF(INVESTORS_LIST[[#This Row],[LS_TOTAL CURRENT UNITS]]=0,0,INVESTORS_LIST[[#This Row],[LS_TOTAL CURRENT UNITS]]*INVESTORS_LIST[[#This Row],[NAV]])</f>
        <v>385484.47200000001</v>
      </c>
      <c r="AM497" s="6">
        <f>IF(INVESTORS_LIST[[#This Row],[SIP_TOTAL CURRENT UNITS]]=0,0,INVESTORS_LIST[[#This Row],[SIP_TOTAL CURRENT UNITS]]*INVESTORS_LIST[[#This Row],[NAV]])</f>
        <v>0</v>
      </c>
      <c r="AO497" s="6">
        <f>IF(INVESTORS_LIST[[#This Row],[TOTAL SELLABLE UNITS]]=0,0,INVESTORS_LIST[[#This Row],[TOTAL SELLABLE UNITS]]*INVESTORS_LIST[[#This Row],[NAV]])</f>
        <v>0</v>
      </c>
      <c r="AP497" s="6">
        <f>INVESTORS_LIST[[#This Row],[LS_TOTAL REALIZED GAIN]]+INVESTORS_LIST[[#This Row],[SIP_TOTAL REALIZED GAIN]]</f>
        <v>12362.874094659772</v>
      </c>
      <c r="AQ497" s="6">
        <f>INVESTORS_LIST[[#This Row],[TOTAL MARKET VALUE]]-INVESTORS_LIST[[#This Row],[TOTAL COST VALUE OF CURRENT INVESTMENT]]</f>
        <v>55643.867905340274</v>
      </c>
      <c r="AR497" s="6">
        <f>SUMIFS(DivAndTax[Tax Amount],DivAndTax[Investor ID],INVESTORS_LIST[[#This Row],[INVESTOR CODE]])</f>
        <v>1155</v>
      </c>
      <c r="AS497" s="6">
        <f>SUMIFS(DivAndTax[Gross Dividend],DivAndTax[Investor ID],INVESTORS_LIST[[#This Row],[INVESTOR CODE]])</f>
        <v>11550</v>
      </c>
      <c r="AT497" s="5">
        <f>IFERROR(INVESTORS_LIST[[#This Row],[TOTAL CURRENT UNITS]]/SUM(INVESTORS_LIST[TOTAL CURRENT UNITS]),0)</f>
        <v>1.4724338294153454E-3</v>
      </c>
    </row>
    <row r="498" spans="1:46" hidden="1">
      <c r="A498" t="s">
        <v>1108</v>
      </c>
      <c r="B498" t="s">
        <v>1109</v>
      </c>
      <c r="C498" t="s">
        <v>536</v>
      </c>
      <c r="D498" s="8" t="s">
        <v>2</v>
      </c>
      <c r="E498" s="2">
        <f>SUMIFS(LS[Unit],LS[Investor ID],INVESTORS_LIST[[#This Row],[INVESTOR CODE]],LS[B/S],"B")</f>
        <v>0</v>
      </c>
      <c r="F498" s="2">
        <f>-SUMIFS(LS[Unit],LS[Investor ID],INVESTORS_LIST[[#This Row],[INVESTOR CODE]],LS[B/S],"S")</f>
        <v>0</v>
      </c>
      <c r="G498" s="2">
        <f>IF(INVESTORS_LIST[[#This Row],[LS_TOTAL UNITS BUY]]=0,0,INVESTORS_LIST[[#This Row],[LS_TOTAL UNITS BUY]]-INVESTORS_LIST[[#This Row],[LS_TOTAL UNITS SOLD]])</f>
        <v>0</v>
      </c>
      <c r="H498" s="4">
        <f>IF(INVESTORS_LIST[[#This Row],[LS_TOTAL UNITS BUY]]=0,0,SUMIFS(LS[Amount],LS[Investor ID],INVESTORS_LIST[[#This Row],[INVESTOR CODE]],LS[B/S],"B"))</f>
        <v>0</v>
      </c>
      <c r="I498" s="6">
        <f>IF(INVESTORS_LIST[[#This Row],[LS_TOTAL UNITS SOLD]]=0,0,SUMIFS(LS[Cost of Units Sold],LS[Investor ID],INVESTORS_LIST[[#This Row],[INVESTOR CODE]],LS[B/S],"S"))</f>
        <v>0</v>
      </c>
      <c r="J498" s="6">
        <f>IF(INVESTORS_LIST[[#This Row],[LS_TOTAL CURRENT UNITS]]=0,0,INVESTORS_LIST[[#This Row],[LS_TOTAL CURRENT UNITS]]*INVESTORS_LIST[[#This Row],[LS_AVERAGE COST]])</f>
        <v>0</v>
      </c>
      <c r="K498" s="4">
        <f>IF(INVESTORS_LIST[[#This Row],[LS_TOTAL UNITS SOLD]]=0,0,SUMIFS(LS[Realized Gain],LS[Investor ID],INVESTORS_LIST[[#This Row],[INVESTOR CODE]],LS[B/S],"S"))</f>
        <v>0</v>
      </c>
      <c r="L498" s="2">
        <f>SUMIFS(SIP[Unit],SIP[Investor ID],INVESTORS_LIST[[#This Row],[INVESTOR CODE]],SIP[B/S],"B")</f>
        <v>0</v>
      </c>
      <c r="M498" s="2">
        <f>-SUMIFS(SIP[Unit],SIP[Investor ID],INVESTORS_LIST[[#This Row],[INVESTOR CODE]],SIP[B/S],"S")</f>
        <v>0</v>
      </c>
      <c r="N498" s="33">
        <f>IF(INVESTORS_LIST[[#This Row],[SIP_TOTAL UNITS BUY]]=0,0,INVESTORS_LIST[[#This Row],[SIP_TOTAL UNITS BUY]]-INVESTORS_LIST[[#This Row],[SIP_TOTAL UNITS SOLD]])</f>
        <v>0</v>
      </c>
      <c r="O498" s="4">
        <f>IF(INVESTORS_LIST[[#This Row],[SIP_TOTAL UNITS BUY]]=0,0,SUMIFS(SIP[Amount],SIP[Investor ID],INVESTORS_LIST[[#This Row],[INVESTOR CODE]],SIP[B/S],"B"))</f>
        <v>0</v>
      </c>
      <c r="P498" s="4">
        <f>IF(INVESTORS_LIST[[#This Row],[SIP_TOTAL UNITS SOLD]]=0,0,SUMIFS(SIP[Cost of Units Sold],SIP[Investor ID],INVESTORS_LIST[[#This Row],[INVESTOR CODE]],SIP[B/S],"S"))</f>
        <v>0</v>
      </c>
      <c r="Q498" s="6">
        <f>IF(INVESTORS_LIST[[#This Row],[SIP_TOTAL CURRENT UNITS]]=0,0,INVESTORS_LIST[[#This Row],[SIP_TOTAL CURRENT UNITS]]*INVESTORS_LIST[[#This Row],[SIP_AVERAGE COST]])</f>
        <v>0</v>
      </c>
      <c r="R498" s="6">
        <f>IF(INVESTORS_LIST[[#This Row],[SIP_TOTAL UNITS SOLD]]=0,0,SUMIFS(SIP[Realized Gain],SIP[Investor ID],INVESTORS_LIST[[#This Row],[INVESTOR CODE]],SIP[B/S],"S"))</f>
        <v>0</v>
      </c>
      <c r="S498" s="33">
        <f>INVESTORS_LIST[[#This Row],[LS_TOTAL UNITS BUY]]+INVESTORS_LIST[[#This Row],[SIP_TOTAL UNITS BUY]]</f>
        <v>0</v>
      </c>
      <c r="T498" s="33">
        <f>INVESTORS_LIST[[#This Row],[LS_TOTAL UNITS SOLD]]+INVESTORS_LIST[[#This Row],[SIP_TOTAL UNITS SOLD]]</f>
        <v>0</v>
      </c>
      <c r="U498" s="33">
        <v>0</v>
      </c>
      <c r="V498" s="33">
        <f>SUMIFS(LS[BO UNIT TRANSFER],LS[Investor ID],INVESTORS_LIST[[#This Row],[INVESTOR CODE]],LS[B/S],"B")</f>
        <v>0</v>
      </c>
      <c r="W498" s="33">
        <f>SUMIFS(LS[BO UNIT TRANSFER],LS[Investor ID],INVESTORS_LIST[[#This Row],[INVESTOR CODE]],LS[B/S],"S")</f>
        <v>0</v>
      </c>
      <c r="X498" s="33">
        <f>SUMIFS(SIP[BO UNIT TRANSFER],SIP[Investor ID],INVESTORS_LIST[[#This Row],[INVESTOR CODE]],SIP[B/S],"S")</f>
        <v>0</v>
      </c>
      <c r="Y498" s="33">
        <f>SUMIFS(SIP[BO UNIT TRANSFER],SIP[Investor ID],INVESTORS_LIST[[#This Row],[INVESTOR CODE]],SIP[B/S],"B")</f>
        <v>0</v>
      </c>
      <c r="Z49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98" s="119">
        <f>INVESTORS_LIST[[#This Row],[TOTAL UNITS BUY]]-INVESTORS_LIST[[#This Row],[TOTAL UNITS SOLD]]</f>
        <v>0</v>
      </c>
      <c r="AB498" s="119">
        <f>INVESTORS_LIST[[#This Row],[TOTAL CURRENT UNITS]]-INVESTORS_LIST[[#This Row],[BO UNITS HOLD]]</f>
        <v>0</v>
      </c>
      <c r="AC498" s="119" t="e">
        <f>INDEX([4]!Table_1[BO ID],MATCH(INVESTORS_LIST[[#This Row],[INVESTOR CODE]],[4]!Table_1[INVESTOR CODE],0))</f>
        <v>#REF!</v>
      </c>
      <c r="AD498" s="33">
        <f>INVESTORS_LIST[[#This Row],[LS_TOTAL COST VALUE OF CURRENT UNITS]]+INVESTORS_LIST[[#This Row],[SIP_TOTAL COST VALUE OF CURRENT UNITS]]</f>
        <v>0</v>
      </c>
      <c r="AE498" s="44">
        <f>IF(INVESTORS_LIST[[#This Row],[TOTAL CURRENT UNITS]]=0,0,INVESTORS_LIST[[#This Row],[LS_TOTAL CURRENT UNITS]]/INVESTORS_LIST[[#This Row],[TOTAL CURRENT UNITS]])</f>
        <v>0</v>
      </c>
      <c r="AF498" s="44">
        <f>IF(INVESTORS_LIST[[#This Row],[TOTAL CURRENT UNITS]]=0,0,INVESTORS_LIST[[#This Row],[SIP_TOTAL CURRENT UNITS]]/INVESTORS_LIST[[#This Row],[TOTAL CURRENT UNITS]])</f>
        <v>0</v>
      </c>
      <c r="AG498" s="4" cm="1">
        <f t="array" ref="AG49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98" s="4" cm="1">
        <f t="array" ref="AH4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9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98" s="178">
        <f t="shared" si="11"/>
        <v>12.552</v>
      </c>
      <c r="AK498" s="118">
        <f>IF(INVESTORS_LIST[[#This Row],[TOTAL CURRENT UNITS]]=0,0,INVESTORS_LIST[[#This Row],[TOTAL CURRENT UNITS]]*INVESTORS_LIST[[#This Row],[NAV]])</f>
        <v>0</v>
      </c>
      <c r="AL498" s="4">
        <f>IF(INVESTORS_LIST[[#This Row],[LS_TOTAL CURRENT UNITS]]=0,0,INVESTORS_LIST[[#This Row],[LS_TOTAL CURRENT UNITS]]*INVESTORS_LIST[[#This Row],[NAV]])</f>
        <v>0</v>
      </c>
      <c r="AM498" s="6">
        <f>IF(INVESTORS_LIST[[#This Row],[SIP_TOTAL CURRENT UNITS]]=0,0,INVESTORS_LIST[[#This Row],[SIP_TOTAL CURRENT UNITS]]*INVESTORS_LIST[[#This Row],[NAV]])</f>
        <v>0</v>
      </c>
      <c r="AO498" s="6">
        <f>IF(INVESTORS_LIST[[#This Row],[TOTAL SELLABLE UNITS]]=0,0,INVESTORS_LIST[[#This Row],[TOTAL SELLABLE UNITS]]*INVESTORS_LIST[[#This Row],[NAV]])</f>
        <v>0</v>
      </c>
      <c r="AP498" s="6">
        <f>INVESTORS_LIST[[#This Row],[LS_TOTAL REALIZED GAIN]]+INVESTORS_LIST[[#This Row],[SIP_TOTAL REALIZED GAIN]]</f>
        <v>0</v>
      </c>
      <c r="AQ498" s="6">
        <f>INVESTORS_LIST[[#This Row],[TOTAL MARKET VALUE]]-INVESTORS_LIST[[#This Row],[TOTAL COST VALUE OF CURRENT INVESTMENT]]</f>
        <v>0</v>
      </c>
      <c r="AR498" s="6">
        <f>SUMIFS(DivAndTax[Tax Amount],DivAndTax[Investor ID],INVESTORS_LIST[[#This Row],[INVESTOR CODE]])</f>
        <v>0</v>
      </c>
      <c r="AS498" s="6">
        <f>SUMIFS(DivAndTax[Gross Dividend],DivAndTax[Investor ID],INVESTORS_LIST[[#This Row],[INVESTOR CODE]])</f>
        <v>0</v>
      </c>
      <c r="AT498" s="5">
        <f>IFERROR(INVESTORS_LIST[[#This Row],[TOTAL CURRENT UNITS]]/SUM(INVESTORS_LIST[TOTAL CURRENT UNITS]),0)</f>
        <v>0</v>
      </c>
    </row>
    <row r="499" spans="1:46" hidden="1">
      <c r="A499" t="s">
        <v>1110</v>
      </c>
      <c r="B499" t="s">
        <v>1099</v>
      </c>
      <c r="C499" t="s">
        <v>536</v>
      </c>
      <c r="D499" s="8" t="s">
        <v>2</v>
      </c>
      <c r="E499" s="2">
        <f>SUMIFS(LS[Unit],LS[Investor ID],INVESTORS_LIST[[#This Row],[INVESTOR CODE]],LS[B/S],"B")</f>
        <v>24402</v>
      </c>
      <c r="F499" s="2">
        <f>-SUMIFS(LS[Unit],LS[Investor ID],INVESTORS_LIST[[#This Row],[INVESTOR CODE]],LS[B/S],"S")</f>
        <v>24402</v>
      </c>
      <c r="G499" s="2">
        <f>IF(INVESTORS_LIST[[#This Row],[LS_TOTAL UNITS BUY]]=0,0,INVESTORS_LIST[[#This Row],[LS_TOTAL UNITS BUY]]-INVESTORS_LIST[[#This Row],[LS_TOTAL UNITS SOLD]])</f>
        <v>0</v>
      </c>
      <c r="H499" s="4">
        <f>IF(INVESTORS_LIST[[#This Row],[LS_TOTAL UNITS BUY]]=0,0,SUMIFS(LS[Amount],LS[Investor ID],INVESTORS_LIST[[#This Row],[INVESTOR CODE]],LS[B/S],"B"))</f>
        <v>250000</v>
      </c>
      <c r="I499" s="6">
        <f>IF(INVESTORS_LIST[[#This Row],[LS_TOTAL UNITS SOLD]]=0,0,SUMIFS(LS[Cost of Units Sold],LS[Investor ID],INVESTORS_LIST[[#This Row],[INVESTOR CODE]],LS[B/S],"S"))</f>
        <v>250000</v>
      </c>
      <c r="J499" s="6">
        <f>IF(INVESTORS_LIST[[#This Row],[LS_TOTAL CURRENT UNITS]]=0,0,INVESTORS_LIST[[#This Row],[LS_TOTAL CURRENT UNITS]]*INVESTORS_LIST[[#This Row],[LS_AVERAGE COST]])</f>
        <v>0</v>
      </c>
      <c r="K499" s="4">
        <f>IF(INVESTORS_LIST[[#This Row],[LS_TOTAL UNITS SOLD]]=0,0,SUMIFS(LS[Realized Gain],LS[Investor ID],INVESTORS_LIST[[#This Row],[INVESTOR CODE]],LS[B/S],"S"))</f>
        <v>1535.8200000000172</v>
      </c>
      <c r="L499" s="2">
        <f>SUMIFS(SIP[Unit],SIP[Investor ID],INVESTORS_LIST[[#This Row],[INVESTOR CODE]],SIP[B/S],"B")</f>
        <v>0</v>
      </c>
      <c r="M499" s="2">
        <f>-SUMIFS(SIP[Unit],SIP[Investor ID],INVESTORS_LIST[[#This Row],[INVESTOR CODE]],SIP[B/S],"S")</f>
        <v>0</v>
      </c>
      <c r="N499" s="33">
        <f>IF(INVESTORS_LIST[[#This Row],[SIP_TOTAL UNITS BUY]]=0,0,INVESTORS_LIST[[#This Row],[SIP_TOTAL UNITS BUY]]-INVESTORS_LIST[[#This Row],[SIP_TOTAL UNITS SOLD]])</f>
        <v>0</v>
      </c>
      <c r="O499" s="4">
        <f>IF(INVESTORS_LIST[[#This Row],[SIP_TOTAL UNITS BUY]]=0,0,SUMIFS(SIP[Amount],SIP[Investor ID],INVESTORS_LIST[[#This Row],[INVESTOR CODE]],SIP[B/S],"B"))</f>
        <v>0</v>
      </c>
      <c r="P499" s="4">
        <f>IF(INVESTORS_LIST[[#This Row],[SIP_TOTAL UNITS SOLD]]=0,0,SUMIFS(SIP[Cost of Units Sold],SIP[Investor ID],INVESTORS_LIST[[#This Row],[INVESTOR CODE]],SIP[B/S],"S"))</f>
        <v>0</v>
      </c>
      <c r="Q499" s="6">
        <f>IF(INVESTORS_LIST[[#This Row],[SIP_TOTAL CURRENT UNITS]]=0,0,INVESTORS_LIST[[#This Row],[SIP_TOTAL CURRENT UNITS]]*INVESTORS_LIST[[#This Row],[SIP_AVERAGE COST]])</f>
        <v>0</v>
      </c>
      <c r="R499" s="6">
        <f>IF(INVESTORS_LIST[[#This Row],[SIP_TOTAL UNITS SOLD]]=0,0,SUMIFS(SIP[Realized Gain],SIP[Investor ID],INVESTORS_LIST[[#This Row],[INVESTOR CODE]],SIP[B/S],"S"))</f>
        <v>0</v>
      </c>
      <c r="S499" s="33">
        <f>INVESTORS_LIST[[#This Row],[LS_TOTAL UNITS BUY]]+INVESTORS_LIST[[#This Row],[SIP_TOTAL UNITS BUY]]</f>
        <v>24402</v>
      </c>
      <c r="T499" s="33">
        <f>INVESTORS_LIST[[#This Row],[LS_TOTAL UNITS SOLD]]+INVESTORS_LIST[[#This Row],[SIP_TOTAL UNITS SOLD]]</f>
        <v>24402</v>
      </c>
      <c r="U499" s="33">
        <v>0</v>
      </c>
      <c r="V499" s="33">
        <f>SUMIFS(LS[BO UNIT TRANSFER],LS[Investor ID],INVESTORS_LIST[[#This Row],[INVESTOR CODE]],LS[B/S],"B")</f>
        <v>0</v>
      </c>
      <c r="W499" s="33">
        <f>SUMIFS(LS[BO UNIT TRANSFER],LS[Investor ID],INVESTORS_LIST[[#This Row],[INVESTOR CODE]],LS[B/S],"S")</f>
        <v>0</v>
      </c>
      <c r="X499" s="33">
        <f>SUMIFS(SIP[BO UNIT TRANSFER],SIP[Investor ID],INVESTORS_LIST[[#This Row],[INVESTOR CODE]],SIP[B/S],"S")</f>
        <v>0</v>
      </c>
      <c r="Y499" s="33">
        <f>SUMIFS(SIP[BO UNIT TRANSFER],SIP[Investor ID],INVESTORS_LIST[[#This Row],[INVESTOR CODE]],SIP[B/S],"B")</f>
        <v>0</v>
      </c>
      <c r="Z49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499" s="119">
        <f>INVESTORS_LIST[[#This Row],[TOTAL UNITS BUY]]-INVESTORS_LIST[[#This Row],[TOTAL UNITS SOLD]]</f>
        <v>0</v>
      </c>
      <c r="AB499" s="119">
        <f>INVESTORS_LIST[[#This Row],[TOTAL CURRENT UNITS]]-INVESTORS_LIST[[#This Row],[BO UNITS HOLD]]</f>
        <v>0</v>
      </c>
      <c r="AC499" s="119" t="e">
        <f>INDEX([4]!Table_1[BO ID],MATCH(INVESTORS_LIST[[#This Row],[INVESTOR CODE]],[4]!Table_1[INVESTOR CODE],0))</f>
        <v>#REF!</v>
      </c>
      <c r="AD499" s="33">
        <f>INVESTORS_LIST[[#This Row],[LS_TOTAL COST VALUE OF CURRENT UNITS]]+INVESTORS_LIST[[#This Row],[SIP_TOTAL COST VALUE OF CURRENT UNITS]]</f>
        <v>0</v>
      </c>
      <c r="AE499" s="44">
        <f>IF(INVESTORS_LIST[[#This Row],[TOTAL CURRENT UNITS]]=0,0,INVESTORS_LIST[[#This Row],[LS_TOTAL CURRENT UNITS]]/INVESTORS_LIST[[#This Row],[TOTAL CURRENT UNITS]])</f>
        <v>0</v>
      </c>
      <c r="AF499" s="44">
        <f>IF(INVESTORS_LIST[[#This Row],[TOTAL CURRENT UNITS]]=0,0,INVESTORS_LIST[[#This Row],[SIP_TOTAL CURRENT UNITS]]/INVESTORS_LIST[[#This Row],[TOTAL CURRENT UNITS]])</f>
        <v>0</v>
      </c>
      <c r="AG499" s="4" cm="1">
        <f t="array" ref="AG4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499" s="4" cm="1">
        <f t="array" ref="AH4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49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499" s="178">
        <f t="shared" si="11"/>
        <v>12.552</v>
      </c>
      <c r="AK499" s="118">
        <f>IF(INVESTORS_LIST[[#This Row],[TOTAL CURRENT UNITS]]=0,0,INVESTORS_LIST[[#This Row],[TOTAL CURRENT UNITS]]*INVESTORS_LIST[[#This Row],[NAV]])</f>
        <v>0</v>
      </c>
      <c r="AL499" s="4">
        <f>IF(INVESTORS_LIST[[#This Row],[LS_TOTAL CURRENT UNITS]]=0,0,INVESTORS_LIST[[#This Row],[LS_TOTAL CURRENT UNITS]]*INVESTORS_LIST[[#This Row],[NAV]])</f>
        <v>0</v>
      </c>
      <c r="AM499" s="6">
        <f>IF(INVESTORS_LIST[[#This Row],[SIP_TOTAL CURRENT UNITS]]=0,0,INVESTORS_LIST[[#This Row],[SIP_TOTAL CURRENT UNITS]]*INVESTORS_LIST[[#This Row],[NAV]])</f>
        <v>0</v>
      </c>
      <c r="AO499" s="6">
        <f>IF(INVESTORS_LIST[[#This Row],[TOTAL SELLABLE UNITS]]=0,0,INVESTORS_LIST[[#This Row],[TOTAL SELLABLE UNITS]]*INVESTORS_LIST[[#This Row],[NAV]])</f>
        <v>0</v>
      </c>
      <c r="AP499" s="6">
        <f>INVESTORS_LIST[[#This Row],[LS_TOTAL REALIZED GAIN]]+INVESTORS_LIST[[#This Row],[SIP_TOTAL REALIZED GAIN]]</f>
        <v>1535.8200000000172</v>
      </c>
      <c r="AQ499" s="6">
        <f>INVESTORS_LIST[[#This Row],[TOTAL MARKET VALUE]]-INVESTORS_LIST[[#This Row],[TOTAL COST VALUE OF CURRENT INVESTMENT]]</f>
        <v>0</v>
      </c>
      <c r="AR499" s="6">
        <f>SUMIFS(DivAndTax[Tax Amount],DivAndTax[Investor ID],INVESTORS_LIST[[#This Row],[INVESTOR CODE]])</f>
        <v>0</v>
      </c>
      <c r="AS499" s="6">
        <f>SUMIFS(DivAndTax[Gross Dividend],DivAndTax[Investor ID],INVESTORS_LIST[[#This Row],[INVESTOR CODE]])</f>
        <v>0</v>
      </c>
      <c r="AT499" s="5">
        <f>IFERROR(INVESTORS_LIST[[#This Row],[TOTAL CURRENT UNITS]]/SUM(INVESTORS_LIST[TOTAL CURRENT UNITS]),0)</f>
        <v>0</v>
      </c>
    </row>
    <row r="500" spans="1:46" hidden="1">
      <c r="A500" t="s">
        <v>1111</v>
      </c>
      <c r="B500" t="s">
        <v>1112</v>
      </c>
      <c r="C500" t="s">
        <v>536</v>
      </c>
      <c r="D500" s="8" t="s">
        <v>2</v>
      </c>
      <c r="E500" s="2">
        <f>SUMIFS(LS[Unit],LS[Investor ID],INVESTORS_LIST[[#This Row],[INVESTOR CODE]],LS[B/S],"B")</f>
        <v>0</v>
      </c>
      <c r="F500" s="2">
        <f>-SUMIFS(LS[Unit],LS[Investor ID],INVESTORS_LIST[[#This Row],[INVESTOR CODE]],LS[B/S],"S")</f>
        <v>0</v>
      </c>
      <c r="G500" s="2">
        <f>IF(INVESTORS_LIST[[#This Row],[LS_TOTAL UNITS BUY]]=0,0,INVESTORS_LIST[[#This Row],[LS_TOTAL UNITS BUY]]-INVESTORS_LIST[[#This Row],[LS_TOTAL UNITS SOLD]])</f>
        <v>0</v>
      </c>
      <c r="H500" s="4">
        <f>IF(INVESTORS_LIST[[#This Row],[LS_TOTAL UNITS BUY]]=0,0,SUMIFS(LS[Amount],LS[Investor ID],INVESTORS_LIST[[#This Row],[INVESTOR CODE]],LS[B/S],"B"))</f>
        <v>0</v>
      </c>
      <c r="I500" s="6">
        <f>IF(INVESTORS_LIST[[#This Row],[LS_TOTAL UNITS SOLD]]=0,0,SUMIFS(LS[Cost of Units Sold],LS[Investor ID],INVESTORS_LIST[[#This Row],[INVESTOR CODE]],LS[B/S],"S"))</f>
        <v>0</v>
      </c>
      <c r="J500" s="6">
        <f>IF(INVESTORS_LIST[[#This Row],[LS_TOTAL CURRENT UNITS]]=0,0,INVESTORS_LIST[[#This Row],[LS_TOTAL CURRENT UNITS]]*INVESTORS_LIST[[#This Row],[LS_AVERAGE COST]])</f>
        <v>0</v>
      </c>
      <c r="K500" s="4">
        <f>IF(INVESTORS_LIST[[#This Row],[LS_TOTAL UNITS SOLD]]=0,0,SUMIFS(LS[Realized Gain],LS[Investor ID],INVESTORS_LIST[[#This Row],[INVESTOR CODE]],LS[B/S],"S"))</f>
        <v>0</v>
      </c>
      <c r="L500" s="2">
        <f>SUMIFS(SIP[Unit],SIP[Investor ID],INVESTORS_LIST[[#This Row],[INVESTOR CODE]],SIP[B/S],"B")</f>
        <v>0</v>
      </c>
      <c r="M500" s="2">
        <f>-SUMIFS(SIP[Unit],SIP[Investor ID],INVESTORS_LIST[[#This Row],[INVESTOR CODE]],SIP[B/S],"S")</f>
        <v>0</v>
      </c>
      <c r="N500" s="33">
        <f>IF(INVESTORS_LIST[[#This Row],[SIP_TOTAL UNITS BUY]]=0,0,INVESTORS_LIST[[#This Row],[SIP_TOTAL UNITS BUY]]-INVESTORS_LIST[[#This Row],[SIP_TOTAL UNITS SOLD]])</f>
        <v>0</v>
      </c>
      <c r="O500" s="4">
        <f>IF(INVESTORS_LIST[[#This Row],[SIP_TOTAL UNITS BUY]]=0,0,SUMIFS(SIP[Amount],SIP[Investor ID],INVESTORS_LIST[[#This Row],[INVESTOR CODE]],SIP[B/S],"B"))</f>
        <v>0</v>
      </c>
      <c r="P500" s="4">
        <f>IF(INVESTORS_LIST[[#This Row],[SIP_TOTAL UNITS SOLD]]=0,0,SUMIFS(SIP[Cost of Units Sold],SIP[Investor ID],INVESTORS_LIST[[#This Row],[INVESTOR CODE]],SIP[B/S],"S"))</f>
        <v>0</v>
      </c>
      <c r="Q500" s="6">
        <f>IF(INVESTORS_LIST[[#This Row],[SIP_TOTAL CURRENT UNITS]]=0,0,INVESTORS_LIST[[#This Row],[SIP_TOTAL CURRENT UNITS]]*INVESTORS_LIST[[#This Row],[SIP_AVERAGE COST]])</f>
        <v>0</v>
      </c>
      <c r="R500" s="6">
        <f>IF(INVESTORS_LIST[[#This Row],[SIP_TOTAL UNITS SOLD]]=0,0,SUMIFS(SIP[Realized Gain],SIP[Investor ID],INVESTORS_LIST[[#This Row],[INVESTOR CODE]],SIP[B/S],"S"))</f>
        <v>0</v>
      </c>
      <c r="S500" s="33">
        <f>INVESTORS_LIST[[#This Row],[LS_TOTAL UNITS BUY]]+INVESTORS_LIST[[#This Row],[SIP_TOTAL UNITS BUY]]</f>
        <v>0</v>
      </c>
      <c r="T500" s="33">
        <f>INVESTORS_LIST[[#This Row],[LS_TOTAL UNITS SOLD]]+INVESTORS_LIST[[#This Row],[SIP_TOTAL UNITS SOLD]]</f>
        <v>0</v>
      </c>
      <c r="U500" s="33">
        <v>0</v>
      </c>
      <c r="V500" s="33">
        <f>SUMIFS(LS[BO UNIT TRANSFER],LS[Investor ID],INVESTORS_LIST[[#This Row],[INVESTOR CODE]],LS[B/S],"B")</f>
        <v>0</v>
      </c>
      <c r="W500" s="33">
        <f>SUMIFS(LS[BO UNIT TRANSFER],LS[Investor ID],INVESTORS_LIST[[#This Row],[INVESTOR CODE]],LS[B/S],"S")</f>
        <v>0</v>
      </c>
      <c r="X500" s="33">
        <f>SUMIFS(SIP[BO UNIT TRANSFER],SIP[Investor ID],INVESTORS_LIST[[#This Row],[INVESTOR CODE]],SIP[B/S],"S")</f>
        <v>0</v>
      </c>
      <c r="Y500" s="33">
        <f>SUMIFS(SIP[BO UNIT TRANSFER],SIP[Investor ID],INVESTORS_LIST[[#This Row],[INVESTOR CODE]],SIP[B/S],"B")</f>
        <v>0</v>
      </c>
      <c r="Z50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00" s="119">
        <f>INVESTORS_LIST[[#This Row],[TOTAL UNITS BUY]]-INVESTORS_LIST[[#This Row],[TOTAL UNITS SOLD]]</f>
        <v>0</v>
      </c>
      <c r="AB500" s="119">
        <f>INVESTORS_LIST[[#This Row],[TOTAL CURRENT UNITS]]-INVESTORS_LIST[[#This Row],[BO UNITS HOLD]]</f>
        <v>0</v>
      </c>
      <c r="AC500" s="119" t="e">
        <f>INDEX([4]!Table_1[BO ID],MATCH(INVESTORS_LIST[[#This Row],[INVESTOR CODE]],[4]!Table_1[INVESTOR CODE],0))</f>
        <v>#REF!</v>
      </c>
      <c r="AD500" s="33">
        <f>INVESTORS_LIST[[#This Row],[LS_TOTAL COST VALUE OF CURRENT UNITS]]+INVESTORS_LIST[[#This Row],[SIP_TOTAL COST VALUE OF CURRENT UNITS]]</f>
        <v>0</v>
      </c>
      <c r="AE500" s="44">
        <f>IF(INVESTORS_LIST[[#This Row],[TOTAL CURRENT UNITS]]=0,0,INVESTORS_LIST[[#This Row],[LS_TOTAL CURRENT UNITS]]/INVESTORS_LIST[[#This Row],[TOTAL CURRENT UNITS]])</f>
        <v>0</v>
      </c>
      <c r="AF500" s="44">
        <f>IF(INVESTORS_LIST[[#This Row],[TOTAL CURRENT UNITS]]=0,0,INVESTORS_LIST[[#This Row],[SIP_TOTAL CURRENT UNITS]]/INVESTORS_LIST[[#This Row],[TOTAL CURRENT UNITS]])</f>
        <v>0</v>
      </c>
      <c r="AG500" s="4" cm="1">
        <f t="array" ref="AG5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00" s="4" cm="1">
        <f t="array" ref="AH5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0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00" s="178">
        <f t="shared" si="11"/>
        <v>12.552</v>
      </c>
      <c r="AK500" s="118">
        <f>IF(INVESTORS_LIST[[#This Row],[TOTAL CURRENT UNITS]]=0,0,INVESTORS_LIST[[#This Row],[TOTAL CURRENT UNITS]]*INVESTORS_LIST[[#This Row],[NAV]])</f>
        <v>0</v>
      </c>
      <c r="AL500" s="4">
        <f>IF(INVESTORS_LIST[[#This Row],[LS_TOTAL CURRENT UNITS]]=0,0,INVESTORS_LIST[[#This Row],[LS_TOTAL CURRENT UNITS]]*INVESTORS_LIST[[#This Row],[NAV]])</f>
        <v>0</v>
      </c>
      <c r="AM500" s="6">
        <f>IF(INVESTORS_LIST[[#This Row],[SIP_TOTAL CURRENT UNITS]]=0,0,INVESTORS_LIST[[#This Row],[SIP_TOTAL CURRENT UNITS]]*INVESTORS_LIST[[#This Row],[NAV]])</f>
        <v>0</v>
      </c>
      <c r="AO500" s="6">
        <f>IF(INVESTORS_LIST[[#This Row],[TOTAL SELLABLE UNITS]]=0,0,INVESTORS_LIST[[#This Row],[TOTAL SELLABLE UNITS]]*INVESTORS_LIST[[#This Row],[NAV]])</f>
        <v>0</v>
      </c>
      <c r="AP500" s="6">
        <f>INVESTORS_LIST[[#This Row],[LS_TOTAL REALIZED GAIN]]+INVESTORS_LIST[[#This Row],[SIP_TOTAL REALIZED GAIN]]</f>
        <v>0</v>
      </c>
      <c r="AQ500" s="6">
        <f>INVESTORS_LIST[[#This Row],[TOTAL MARKET VALUE]]-INVESTORS_LIST[[#This Row],[TOTAL COST VALUE OF CURRENT INVESTMENT]]</f>
        <v>0</v>
      </c>
      <c r="AR500" s="6">
        <f>SUMIFS(DivAndTax[Tax Amount],DivAndTax[Investor ID],INVESTORS_LIST[[#This Row],[INVESTOR CODE]])</f>
        <v>0</v>
      </c>
      <c r="AS500" s="6">
        <f>SUMIFS(DivAndTax[Gross Dividend],DivAndTax[Investor ID],INVESTORS_LIST[[#This Row],[INVESTOR CODE]])</f>
        <v>0</v>
      </c>
      <c r="AT500" s="5">
        <f>IFERROR(INVESTORS_LIST[[#This Row],[TOTAL CURRENT UNITS]]/SUM(INVESTORS_LIST[TOTAL CURRENT UNITS]),0)</f>
        <v>0</v>
      </c>
    </row>
    <row r="501" spans="1:46" hidden="1">
      <c r="A501" t="s">
        <v>1113</v>
      </c>
      <c r="B501" t="s">
        <v>1114</v>
      </c>
      <c r="C501" t="s">
        <v>536</v>
      </c>
      <c r="D501" s="8" t="s">
        <v>2</v>
      </c>
      <c r="E501" s="2">
        <f>SUMIFS(LS[Unit],LS[Investor ID],INVESTORS_LIST[[#This Row],[INVESTOR CODE]],LS[B/S],"B")</f>
        <v>0</v>
      </c>
      <c r="F501" s="2">
        <f>-SUMIFS(LS[Unit],LS[Investor ID],INVESTORS_LIST[[#This Row],[INVESTOR CODE]],LS[B/S],"S")</f>
        <v>0</v>
      </c>
      <c r="G501" s="2">
        <f>IF(INVESTORS_LIST[[#This Row],[LS_TOTAL UNITS BUY]]=0,0,INVESTORS_LIST[[#This Row],[LS_TOTAL UNITS BUY]]-INVESTORS_LIST[[#This Row],[LS_TOTAL UNITS SOLD]])</f>
        <v>0</v>
      </c>
      <c r="H501" s="4">
        <f>IF(INVESTORS_LIST[[#This Row],[LS_TOTAL UNITS BUY]]=0,0,SUMIFS(LS[Amount],LS[Investor ID],INVESTORS_LIST[[#This Row],[INVESTOR CODE]],LS[B/S],"B"))</f>
        <v>0</v>
      </c>
      <c r="I501" s="6">
        <f>IF(INVESTORS_LIST[[#This Row],[LS_TOTAL UNITS SOLD]]=0,0,SUMIFS(LS[Cost of Units Sold],LS[Investor ID],INVESTORS_LIST[[#This Row],[INVESTOR CODE]],LS[B/S],"S"))</f>
        <v>0</v>
      </c>
      <c r="J501" s="6">
        <f>IF(INVESTORS_LIST[[#This Row],[LS_TOTAL CURRENT UNITS]]=0,0,INVESTORS_LIST[[#This Row],[LS_TOTAL CURRENT UNITS]]*INVESTORS_LIST[[#This Row],[LS_AVERAGE COST]])</f>
        <v>0</v>
      </c>
      <c r="K501" s="4">
        <f>IF(INVESTORS_LIST[[#This Row],[LS_TOTAL UNITS SOLD]]=0,0,SUMIFS(LS[Realized Gain],LS[Investor ID],INVESTORS_LIST[[#This Row],[INVESTOR CODE]],LS[B/S],"S"))</f>
        <v>0</v>
      </c>
      <c r="L501" s="2">
        <f>SUMIFS(SIP[Unit],SIP[Investor ID],INVESTORS_LIST[[#This Row],[INVESTOR CODE]],SIP[B/S],"B")</f>
        <v>0</v>
      </c>
      <c r="M501" s="2">
        <f>-SUMIFS(SIP[Unit],SIP[Investor ID],INVESTORS_LIST[[#This Row],[INVESTOR CODE]],SIP[B/S],"S")</f>
        <v>0</v>
      </c>
      <c r="N501" s="33">
        <f>IF(INVESTORS_LIST[[#This Row],[SIP_TOTAL UNITS BUY]]=0,0,INVESTORS_LIST[[#This Row],[SIP_TOTAL UNITS BUY]]-INVESTORS_LIST[[#This Row],[SIP_TOTAL UNITS SOLD]])</f>
        <v>0</v>
      </c>
      <c r="O501" s="4">
        <f>IF(INVESTORS_LIST[[#This Row],[SIP_TOTAL UNITS BUY]]=0,0,SUMIFS(SIP[Amount],SIP[Investor ID],INVESTORS_LIST[[#This Row],[INVESTOR CODE]],SIP[B/S],"B"))</f>
        <v>0</v>
      </c>
      <c r="P501" s="4">
        <f>IF(INVESTORS_LIST[[#This Row],[SIP_TOTAL UNITS SOLD]]=0,0,SUMIFS(SIP[Cost of Units Sold],SIP[Investor ID],INVESTORS_LIST[[#This Row],[INVESTOR CODE]],SIP[B/S],"S"))</f>
        <v>0</v>
      </c>
      <c r="Q501" s="6">
        <f>IF(INVESTORS_LIST[[#This Row],[SIP_TOTAL CURRENT UNITS]]=0,0,INVESTORS_LIST[[#This Row],[SIP_TOTAL CURRENT UNITS]]*INVESTORS_LIST[[#This Row],[SIP_AVERAGE COST]])</f>
        <v>0</v>
      </c>
      <c r="R501" s="6">
        <f>IF(INVESTORS_LIST[[#This Row],[SIP_TOTAL UNITS SOLD]]=0,0,SUMIFS(SIP[Realized Gain],SIP[Investor ID],INVESTORS_LIST[[#This Row],[INVESTOR CODE]],SIP[B/S],"S"))</f>
        <v>0</v>
      </c>
      <c r="S501" s="33">
        <f>INVESTORS_LIST[[#This Row],[LS_TOTAL UNITS BUY]]+INVESTORS_LIST[[#This Row],[SIP_TOTAL UNITS BUY]]</f>
        <v>0</v>
      </c>
      <c r="T501" s="33">
        <f>INVESTORS_LIST[[#This Row],[LS_TOTAL UNITS SOLD]]+INVESTORS_LIST[[#This Row],[SIP_TOTAL UNITS SOLD]]</f>
        <v>0</v>
      </c>
      <c r="U501" s="33">
        <v>0</v>
      </c>
      <c r="V501" s="33">
        <f>SUMIFS(LS[BO UNIT TRANSFER],LS[Investor ID],INVESTORS_LIST[[#This Row],[INVESTOR CODE]],LS[B/S],"B")</f>
        <v>0</v>
      </c>
      <c r="W501" s="33">
        <f>SUMIFS(LS[BO UNIT TRANSFER],LS[Investor ID],INVESTORS_LIST[[#This Row],[INVESTOR CODE]],LS[B/S],"S")</f>
        <v>0</v>
      </c>
      <c r="X501" s="33">
        <f>SUMIFS(SIP[BO UNIT TRANSFER],SIP[Investor ID],INVESTORS_LIST[[#This Row],[INVESTOR CODE]],SIP[B/S],"S")</f>
        <v>0</v>
      </c>
      <c r="Y501" s="33">
        <f>SUMIFS(SIP[BO UNIT TRANSFER],SIP[Investor ID],INVESTORS_LIST[[#This Row],[INVESTOR CODE]],SIP[B/S],"B")</f>
        <v>0</v>
      </c>
      <c r="Z50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01" s="119">
        <f>INVESTORS_LIST[[#This Row],[TOTAL UNITS BUY]]-INVESTORS_LIST[[#This Row],[TOTAL UNITS SOLD]]</f>
        <v>0</v>
      </c>
      <c r="AB501" s="119">
        <f>INVESTORS_LIST[[#This Row],[TOTAL CURRENT UNITS]]-INVESTORS_LIST[[#This Row],[BO UNITS HOLD]]</f>
        <v>0</v>
      </c>
      <c r="AC501" s="119" t="e">
        <f>INDEX([4]!Table_1[BO ID],MATCH(INVESTORS_LIST[[#This Row],[INVESTOR CODE]],[4]!Table_1[INVESTOR CODE],0))</f>
        <v>#REF!</v>
      </c>
      <c r="AD501" s="33">
        <f>INVESTORS_LIST[[#This Row],[LS_TOTAL COST VALUE OF CURRENT UNITS]]+INVESTORS_LIST[[#This Row],[SIP_TOTAL COST VALUE OF CURRENT UNITS]]</f>
        <v>0</v>
      </c>
      <c r="AE501" s="44">
        <f>IF(INVESTORS_LIST[[#This Row],[TOTAL CURRENT UNITS]]=0,0,INVESTORS_LIST[[#This Row],[LS_TOTAL CURRENT UNITS]]/INVESTORS_LIST[[#This Row],[TOTAL CURRENT UNITS]])</f>
        <v>0</v>
      </c>
      <c r="AF501" s="44">
        <f>IF(INVESTORS_LIST[[#This Row],[TOTAL CURRENT UNITS]]=0,0,INVESTORS_LIST[[#This Row],[SIP_TOTAL CURRENT UNITS]]/INVESTORS_LIST[[#This Row],[TOTAL CURRENT UNITS]])</f>
        <v>0</v>
      </c>
      <c r="AG501" s="4" cm="1">
        <f t="array" ref="AG50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01" s="4" cm="1">
        <f t="array" ref="AH5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0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01" s="178">
        <f t="shared" ref="AJ501:AJ509" si="12">NAV_MKT</f>
        <v>12.552</v>
      </c>
      <c r="AK501" s="118">
        <f>IF(INVESTORS_LIST[[#This Row],[TOTAL CURRENT UNITS]]=0,0,INVESTORS_LIST[[#This Row],[TOTAL CURRENT UNITS]]*INVESTORS_LIST[[#This Row],[NAV]])</f>
        <v>0</v>
      </c>
      <c r="AL501" s="4">
        <f>IF(INVESTORS_LIST[[#This Row],[LS_TOTAL CURRENT UNITS]]=0,0,INVESTORS_LIST[[#This Row],[LS_TOTAL CURRENT UNITS]]*INVESTORS_LIST[[#This Row],[NAV]])</f>
        <v>0</v>
      </c>
      <c r="AM501" s="6">
        <f>IF(INVESTORS_LIST[[#This Row],[SIP_TOTAL CURRENT UNITS]]=0,0,INVESTORS_LIST[[#This Row],[SIP_TOTAL CURRENT UNITS]]*INVESTORS_LIST[[#This Row],[NAV]])</f>
        <v>0</v>
      </c>
      <c r="AO501" s="6">
        <f>IF(INVESTORS_LIST[[#This Row],[TOTAL SELLABLE UNITS]]=0,0,INVESTORS_LIST[[#This Row],[TOTAL SELLABLE UNITS]]*INVESTORS_LIST[[#This Row],[NAV]])</f>
        <v>0</v>
      </c>
      <c r="AP501" s="6">
        <f>INVESTORS_LIST[[#This Row],[LS_TOTAL REALIZED GAIN]]+INVESTORS_LIST[[#This Row],[SIP_TOTAL REALIZED GAIN]]</f>
        <v>0</v>
      </c>
      <c r="AQ501" s="6">
        <f>INVESTORS_LIST[[#This Row],[TOTAL MARKET VALUE]]-INVESTORS_LIST[[#This Row],[TOTAL COST VALUE OF CURRENT INVESTMENT]]</f>
        <v>0</v>
      </c>
      <c r="AR501" s="6">
        <f>SUMIFS(DivAndTax[Tax Amount],DivAndTax[Investor ID],INVESTORS_LIST[[#This Row],[INVESTOR CODE]])</f>
        <v>0</v>
      </c>
      <c r="AS501" s="6">
        <f>SUMIFS(DivAndTax[Gross Dividend],DivAndTax[Investor ID],INVESTORS_LIST[[#This Row],[INVESTOR CODE]])</f>
        <v>0</v>
      </c>
      <c r="AT501" s="5">
        <f>IFERROR(INVESTORS_LIST[[#This Row],[TOTAL CURRENT UNITS]]/SUM(INVESTORS_LIST[TOTAL CURRENT UNITS]),0)</f>
        <v>0</v>
      </c>
    </row>
    <row r="502" spans="1:46" hidden="1">
      <c r="A502" t="s">
        <v>1115</v>
      </c>
      <c r="B502" t="s">
        <v>1116</v>
      </c>
      <c r="C502" t="s">
        <v>536</v>
      </c>
      <c r="D502" s="8" t="s">
        <v>2</v>
      </c>
      <c r="E502" s="2">
        <f>SUMIFS(LS[Unit],LS[Investor ID],INVESTORS_LIST[[#This Row],[INVESTOR CODE]],LS[B/S],"B")</f>
        <v>0</v>
      </c>
      <c r="F502" s="2">
        <f>-SUMIFS(LS[Unit],LS[Investor ID],INVESTORS_LIST[[#This Row],[INVESTOR CODE]],LS[B/S],"S")</f>
        <v>0</v>
      </c>
      <c r="G502" s="2">
        <f>IF(INVESTORS_LIST[[#This Row],[LS_TOTAL UNITS BUY]]=0,0,INVESTORS_LIST[[#This Row],[LS_TOTAL UNITS BUY]]-INVESTORS_LIST[[#This Row],[LS_TOTAL UNITS SOLD]])</f>
        <v>0</v>
      </c>
      <c r="H502" s="4">
        <f>IF(INVESTORS_LIST[[#This Row],[LS_TOTAL UNITS BUY]]=0,0,SUMIFS(LS[Amount],LS[Investor ID],INVESTORS_LIST[[#This Row],[INVESTOR CODE]],LS[B/S],"B"))</f>
        <v>0</v>
      </c>
      <c r="I502" s="6">
        <f>IF(INVESTORS_LIST[[#This Row],[LS_TOTAL UNITS SOLD]]=0,0,SUMIFS(LS[Cost of Units Sold],LS[Investor ID],INVESTORS_LIST[[#This Row],[INVESTOR CODE]],LS[B/S],"S"))</f>
        <v>0</v>
      </c>
      <c r="J502" s="6">
        <f>IF(INVESTORS_LIST[[#This Row],[LS_TOTAL CURRENT UNITS]]=0,0,INVESTORS_LIST[[#This Row],[LS_TOTAL CURRENT UNITS]]*INVESTORS_LIST[[#This Row],[LS_AVERAGE COST]])</f>
        <v>0</v>
      </c>
      <c r="K502" s="4">
        <f>IF(INVESTORS_LIST[[#This Row],[LS_TOTAL UNITS SOLD]]=0,0,SUMIFS(LS[Realized Gain],LS[Investor ID],INVESTORS_LIST[[#This Row],[INVESTOR CODE]],LS[B/S],"S"))</f>
        <v>0</v>
      </c>
      <c r="L502" s="2">
        <f>SUMIFS(SIP[Unit],SIP[Investor ID],INVESTORS_LIST[[#This Row],[INVESTOR CODE]],SIP[B/S],"B")</f>
        <v>0</v>
      </c>
      <c r="M502" s="2">
        <f>-SUMIFS(SIP[Unit],SIP[Investor ID],INVESTORS_LIST[[#This Row],[INVESTOR CODE]],SIP[B/S],"S")</f>
        <v>0</v>
      </c>
      <c r="N502" s="33">
        <f>IF(INVESTORS_LIST[[#This Row],[SIP_TOTAL UNITS BUY]]=0,0,INVESTORS_LIST[[#This Row],[SIP_TOTAL UNITS BUY]]-INVESTORS_LIST[[#This Row],[SIP_TOTAL UNITS SOLD]])</f>
        <v>0</v>
      </c>
      <c r="O502" s="4">
        <f>IF(INVESTORS_LIST[[#This Row],[SIP_TOTAL UNITS BUY]]=0,0,SUMIFS(SIP[Amount],SIP[Investor ID],INVESTORS_LIST[[#This Row],[INVESTOR CODE]],SIP[B/S],"B"))</f>
        <v>0</v>
      </c>
      <c r="P502" s="4">
        <f>IF(INVESTORS_LIST[[#This Row],[SIP_TOTAL UNITS SOLD]]=0,0,SUMIFS(SIP[Cost of Units Sold],SIP[Investor ID],INVESTORS_LIST[[#This Row],[INVESTOR CODE]],SIP[B/S],"S"))</f>
        <v>0</v>
      </c>
      <c r="Q502" s="6">
        <f>IF(INVESTORS_LIST[[#This Row],[SIP_TOTAL CURRENT UNITS]]=0,0,INVESTORS_LIST[[#This Row],[SIP_TOTAL CURRENT UNITS]]*INVESTORS_LIST[[#This Row],[SIP_AVERAGE COST]])</f>
        <v>0</v>
      </c>
      <c r="R502" s="6">
        <f>IF(INVESTORS_LIST[[#This Row],[SIP_TOTAL UNITS SOLD]]=0,0,SUMIFS(SIP[Realized Gain],SIP[Investor ID],INVESTORS_LIST[[#This Row],[INVESTOR CODE]],SIP[B/S],"S"))</f>
        <v>0</v>
      </c>
      <c r="S502" s="33">
        <f>INVESTORS_LIST[[#This Row],[LS_TOTAL UNITS BUY]]+INVESTORS_LIST[[#This Row],[SIP_TOTAL UNITS BUY]]</f>
        <v>0</v>
      </c>
      <c r="T502" s="33">
        <f>INVESTORS_LIST[[#This Row],[LS_TOTAL UNITS SOLD]]+INVESTORS_LIST[[#This Row],[SIP_TOTAL UNITS SOLD]]</f>
        <v>0</v>
      </c>
      <c r="U502" s="33">
        <v>0</v>
      </c>
      <c r="V502" s="33">
        <f>SUMIFS(LS[BO UNIT TRANSFER],LS[Investor ID],INVESTORS_LIST[[#This Row],[INVESTOR CODE]],LS[B/S],"B")</f>
        <v>0</v>
      </c>
      <c r="W502" s="33">
        <f>SUMIFS(LS[BO UNIT TRANSFER],LS[Investor ID],INVESTORS_LIST[[#This Row],[INVESTOR CODE]],LS[B/S],"S")</f>
        <v>0</v>
      </c>
      <c r="X502" s="33">
        <f>SUMIFS(SIP[BO UNIT TRANSFER],SIP[Investor ID],INVESTORS_LIST[[#This Row],[INVESTOR CODE]],SIP[B/S],"S")</f>
        <v>0</v>
      </c>
      <c r="Y502" s="33">
        <f>SUMIFS(SIP[BO UNIT TRANSFER],SIP[Investor ID],INVESTORS_LIST[[#This Row],[INVESTOR CODE]],SIP[B/S],"B")</f>
        <v>0</v>
      </c>
      <c r="Z50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02" s="119">
        <f>INVESTORS_LIST[[#This Row],[TOTAL UNITS BUY]]-INVESTORS_LIST[[#This Row],[TOTAL UNITS SOLD]]</f>
        <v>0</v>
      </c>
      <c r="AB502" s="119">
        <f>INVESTORS_LIST[[#This Row],[TOTAL CURRENT UNITS]]-INVESTORS_LIST[[#This Row],[BO UNITS HOLD]]</f>
        <v>0</v>
      </c>
      <c r="AC502" s="119" t="e">
        <f>INDEX([4]!Table_1[BO ID],MATCH(INVESTORS_LIST[[#This Row],[INVESTOR CODE]],[4]!Table_1[INVESTOR CODE],0))</f>
        <v>#REF!</v>
      </c>
      <c r="AD502" s="33">
        <f>INVESTORS_LIST[[#This Row],[LS_TOTAL COST VALUE OF CURRENT UNITS]]+INVESTORS_LIST[[#This Row],[SIP_TOTAL COST VALUE OF CURRENT UNITS]]</f>
        <v>0</v>
      </c>
      <c r="AE502" s="44">
        <f>IF(INVESTORS_LIST[[#This Row],[TOTAL CURRENT UNITS]]=0,0,INVESTORS_LIST[[#This Row],[LS_TOTAL CURRENT UNITS]]/INVESTORS_LIST[[#This Row],[TOTAL CURRENT UNITS]])</f>
        <v>0</v>
      </c>
      <c r="AF502" s="44">
        <f>IF(INVESTORS_LIST[[#This Row],[TOTAL CURRENT UNITS]]=0,0,INVESTORS_LIST[[#This Row],[SIP_TOTAL CURRENT UNITS]]/INVESTORS_LIST[[#This Row],[TOTAL CURRENT UNITS]])</f>
        <v>0</v>
      </c>
      <c r="AG502" s="4" cm="1">
        <f t="array" ref="AG50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02" s="4" cm="1">
        <f t="array" ref="AH5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0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02" s="178">
        <f t="shared" si="12"/>
        <v>12.552</v>
      </c>
      <c r="AK502" s="118">
        <f>IF(INVESTORS_LIST[[#This Row],[TOTAL CURRENT UNITS]]=0,0,INVESTORS_LIST[[#This Row],[TOTAL CURRENT UNITS]]*INVESTORS_LIST[[#This Row],[NAV]])</f>
        <v>0</v>
      </c>
      <c r="AL502" s="4">
        <f>IF(INVESTORS_LIST[[#This Row],[LS_TOTAL CURRENT UNITS]]=0,0,INVESTORS_LIST[[#This Row],[LS_TOTAL CURRENT UNITS]]*INVESTORS_LIST[[#This Row],[NAV]])</f>
        <v>0</v>
      </c>
      <c r="AM502" s="6">
        <f>IF(INVESTORS_LIST[[#This Row],[SIP_TOTAL CURRENT UNITS]]=0,0,INVESTORS_LIST[[#This Row],[SIP_TOTAL CURRENT UNITS]]*INVESTORS_LIST[[#This Row],[NAV]])</f>
        <v>0</v>
      </c>
      <c r="AO502" s="6">
        <f>IF(INVESTORS_LIST[[#This Row],[TOTAL SELLABLE UNITS]]=0,0,INVESTORS_LIST[[#This Row],[TOTAL SELLABLE UNITS]]*INVESTORS_LIST[[#This Row],[NAV]])</f>
        <v>0</v>
      </c>
      <c r="AP502" s="6">
        <f>INVESTORS_LIST[[#This Row],[LS_TOTAL REALIZED GAIN]]+INVESTORS_LIST[[#This Row],[SIP_TOTAL REALIZED GAIN]]</f>
        <v>0</v>
      </c>
      <c r="AQ502" s="6">
        <f>INVESTORS_LIST[[#This Row],[TOTAL MARKET VALUE]]-INVESTORS_LIST[[#This Row],[TOTAL COST VALUE OF CURRENT INVESTMENT]]</f>
        <v>0</v>
      </c>
      <c r="AR502" s="6">
        <f>SUMIFS(DivAndTax[Tax Amount],DivAndTax[Investor ID],INVESTORS_LIST[[#This Row],[INVESTOR CODE]])</f>
        <v>0</v>
      </c>
      <c r="AS502" s="6">
        <f>SUMIFS(DivAndTax[Gross Dividend],DivAndTax[Investor ID],INVESTORS_LIST[[#This Row],[INVESTOR CODE]])</f>
        <v>0</v>
      </c>
      <c r="AT502" s="5">
        <f>IFERROR(INVESTORS_LIST[[#This Row],[TOTAL CURRENT UNITS]]/SUM(INVESTORS_LIST[TOTAL CURRENT UNITS]),0)</f>
        <v>0</v>
      </c>
    </row>
    <row r="503" spans="1:46">
      <c r="A503" t="s">
        <v>1117</v>
      </c>
      <c r="B503" t="s">
        <v>1118</v>
      </c>
      <c r="C503" t="s">
        <v>539</v>
      </c>
      <c r="D503" s="8" t="s">
        <v>2</v>
      </c>
      <c r="E503" s="2">
        <f>SUMIFS(LS[Unit],LS[Investor ID],INVESTORS_LIST[[#This Row],[INVESTOR CODE]],LS[B/S],"B")</f>
        <v>0</v>
      </c>
      <c r="F503" s="2">
        <f>-SUMIFS(LS[Unit],LS[Investor ID],INVESTORS_LIST[[#This Row],[INVESTOR CODE]],LS[B/S],"S")</f>
        <v>0</v>
      </c>
      <c r="G503" s="2">
        <f>IF(INVESTORS_LIST[[#This Row],[LS_TOTAL UNITS BUY]]=0,0,INVESTORS_LIST[[#This Row],[LS_TOTAL UNITS BUY]]-INVESTORS_LIST[[#This Row],[LS_TOTAL UNITS SOLD]])</f>
        <v>0</v>
      </c>
      <c r="H503" s="4">
        <f>IF(INVESTORS_LIST[[#This Row],[LS_TOTAL UNITS BUY]]=0,0,SUMIFS(LS[Amount],LS[Investor ID],INVESTORS_LIST[[#This Row],[INVESTOR CODE]],LS[B/S],"B"))</f>
        <v>0</v>
      </c>
      <c r="I503" s="6">
        <f>IF(INVESTORS_LIST[[#This Row],[LS_TOTAL UNITS SOLD]]=0,0,SUMIFS(LS[Cost of Units Sold],LS[Investor ID],INVESTORS_LIST[[#This Row],[INVESTOR CODE]],LS[B/S],"S"))</f>
        <v>0</v>
      </c>
      <c r="J503" s="6">
        <f>IF(INVESTORS_LIST[[#This Row],[LS_TOTAL CURRENT UNITS]]=0,0,INVESTORS_LIST[[#This Row],[LS_TOTAL CURRENT UNITS]]*INVESTORS_LIST[[#This Row],[LS_AVERAGE COST]])</f>
        <v>0</v>
      </c>
      <c r="K503" s="4">
        <f>IF(INVESTORS_LIST[[#This Row],[LS_TOTAL UNITS SOLD]]=0,0,SUMIFS(LS[Realized Gain],LS[Investor ID],INVESTORS_LIST[[#This Row],[INVESTOR CODE]],LS[B/S],"S"))</f>
        <v>0</v>
      </c>
      <c r="L503" s="2">
        <f>SUMIFS(SIP[Unit],SIP[Investor ID],INVESTORS_LIST[[#This Row],[INVESTOR CODE]],SIP[B/S],"B")</f>
        <v>3377</v>
      </c>
      <c r="M503" s="2">
        <f>-SUMIFS(SIP[Unit],SIP[Investor ID],INVESTORS_LIST[[#This Row],[INVESTOR CODE]],SIP[B/S],"S")</f>
        <v>740</v>
      </c>
      <c r="N503" s="33">
        <f>IF(INVESTORS_LIST[[#This Row],[SIP_TOTAL UNITS BUY]]=0,0,INVESTORS_LIST[[#This Row],[SIP_TOTAL UNITS BUY]]-INVESTORS_LIST[[#This Row],[SIP_TOTAL UNITS SOLD]])</f>
        <v>2637</v>
      </c>
      <c r="O503" s="4">
        <f>IF(INVESTORS_LIST[[#This Row],[SIP_TOTAL UNITS BUY]]=0,0,SUMIFS(SIP[Amount],SIP[Investor ID],INVESTORS_LIST[[#This Row],[INVESTOR CODE]],SIP[B/S],"B"))</f>
        <v>38000</v>
      </c>
      <c r="P503" s="4">
        <f>IF(INVESTORS_LIST[[#This Row],[SIP_TOTAL UNITS SOLD]]=0,0,SUMIFS(SIP[Cost of Units Sold],SIP[Investor ID],INVESTORS_LIST[[#This Row],[INVESTOR CODE]],SIP[B/S],"S"))</f>
        <v>8000</v>
      </c>
      <c r="Q503" s="6">
        <f>IF(INVESTORS_LIST[[#This Row],[SIP_TOTAL CURRENT UNITS]]=0,0,INVESTORS_LIST[[#This Row],[SIP_TOTAL CURRENT UNITS]]*INVESTORS_LIST[[#This Row],[SIP_AVERAGE COST]])</f>
        <v>30000</v>
      </c>
      <c r="R503" s="6">
        <f>IF(INVESTORS_LIST[[#This Row],[SIP_TOTAL UNITS SOLD]]=0,0,SUMIFS(SIP[Realized Gain],SIP[Investor ID],INVESTORS_LIST[[#This Row],[INVESTOR CODE]],SIP[B/S],"S"))</f>
        <v>-124.1800000000006</v>
      </c>
      <c r="S503" s="33">
        <f>INVESTORS_LIST[[#This Row],[LS_TOTAL UNITS BUY]]+INVESTORS_LIST[[#This Row],[SIP_TOTAL UNITS BUY]]</f>
        <v>3377</v>
      </c>
      <c r="T503" s="33">
        <f>INVESTORS_LIST[[#This Row],[LS_TOTAL UNITS SOLD]]+INVESTORS_LIST[[#This Row],[SIP_TOTAL UNITS SOLD]]</f>
        <v>740</v>
      </c>
      <c r="U503" s="33">
        <v>0</v>
      </c>
      <c r="V503" s="33">
        <f>SUMIFS(LS[BO UNIT TRANSFER],LS[Investor ID],INVESTORS_LIST[[#This Row],[INVESTOR CODE]],LS[B/S],"B")</f>
        <v>0</v>
      </c>
      <c r="W503" s="33">
        <f>SUMIFS(LS[BO UNIT TRANSFER],LS[Investor ID],INVESTORS_LIST[[#This Row],[INVESTOR CODE]],LS[B/S],"S")</f>
        <v>0</v>
      </c>
      <c r="X503" s="33">
        <f>SUMIFS(SIP[BO UNIT TRANSFER],SIP[Investor ID],INVESTORS_LIST[[#This Row],[INVESTOR CODE]],SIP[B/S],"S")</f>
        <v>0</v>
      </c>
      <c r="Y503" s="33">
        <f>SUMIFS(SIP[BO UNIT TRANSFER],SIP[Investor ID],INVESTORS_LIST[[#This Row],[INVESTOR CODE]],SIP[B/S],"B")</f>
        <v>0</v>
      </c>
      <c r="Z50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03" s="119">
        <f>INVESTORS_LIST[[#This Row],[TOTAL UNITS BUY]]-INVESTORS_LIST[[#This Row],[TOTAL UNITS SOLD]]</f>
        <v>2637</v>
      </c>
      <c r="AB503" s="119">
        <f>INVESTORS_LIST[[#This Row],[TOTAL CURRENT UNITS]]-INVESTORS_LIST[[#This Row],[BO UNITS HOLD]]</f>
        <v>2637</v>
      </c>
      <c r="AC503" s="119" t="e">
        <f>INDEX([4]!Table_1[BO ID],MATCH(INVESTORS_LIST[[#This Row],[INVESTOR CODE]],[4]!Table_1[INVESTOR CODE],0))</f>
        <v>#REF!</v>
      </c>
      <c r="AD503" s="33">
        <f>INVESTORS_LIST[[#This Row],[LS_TOTAL COST VALUE OF CURRENT UNITS]]+INVESTORS_LIST[[#This Row],[SIP_TOTAL COST VALUE OF CURRENT UNITS]]</f>
        <v>30000</v>
      </c>
      <c r="AE503" s="44">
        <f>IF(INVESTORS_LIST[[#This Row],[TOTAL CURRENT UNITS]]=0,0,INVESTORS_LIST[[#This Row],[LS_TOTAL CURRENT UNITS]]/INVESTORS_LIST[[#This Row],[TOTAL CURRENT UNITS]])</f>
        <v>0</v>
      </c>
      <c r="AF503" s="44">
        <f>IF(INVESTORS_LIST[[#This Row],[TOTAL CURRENT UNITS]]=0,0,INVESTORS_LIST[[#This Row],[SIP_TOTAL CURRENT UNITS]]/INVESTORS_LIST[[#This Row],[TOTAL CURRENT UNITS]])</f>
        <v>1</v>
      </c>
      <c r="AG503" s="4" cm="1">
        <f t="array" ref="AG5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03" s="4" cm="1">
        <f t="array" ref="AH503">IF(INVESTORS_LIST[[#This Row],[SIP_TOTAL UNITS BUY]]&gt;0,INDEX(SIP[NAV at Cost (Average)],MATCH(CONCATENATE(COUNTIFS(SIP[Investor ID],INVESTORS_LIST[[#This Row],[INVESTOR CODE]]),INVESTORS_LIST[[#This Row],[INVESTOR CODE]]),SIP[Unique Code],0),),0)</f>
        <v>11.376564277588168</v>
      </c>
      <c r="AI503" s="178">
        <f>IF(INVESTORS_LIST[[#This Row],[TOTAL CURRENT UNITS]]=0,0,(INVESTORS_LIST[[#This Row],[LS_WEIGHT]]*INVESTORS_LIST[[#This Row],[LS_AVERAGE COST]])+(INVESTORS_LIST[[#This Row],[SIP_WEIGHT]]*INVESTORS_LIST[[#This Row],[SIP_AVERAGE COST]]))</f>
        <v>11.376564277588168</v>
      </c>
      <c r="AJ503" s="178">
        <f t="shared" si="12"/>
        <v>12.552</v>
      </c>
      <c r="AK503" s="118">
        <f>IF(INVESTORS_LIST[[#This Row],[TOTAL CURRENT UNITS]]=0,0,INVESTORS_LIST[[#This Row],[TOTAL CURRENT UNITS]]*INVESTORS_LIST[[#This Row],[NAV]])</f>
        <v>33099.623999999996</v>
      </c>
      <c r="AL503" s="4">
        <f>IF(INVESTORS_LIST[[#This Row],[LS_TOTAL CURRENT UNITS]]=0,0,INVESTORS_LIST[[#This Row],[LS_TOTAL CURRENT UNITS]]*INVESTORS_LIST[[#This Row],[NAV]])</f>
        <v>0</v>
      </c>
      <c r="AM503" s="6">
        <f>IF(INVESTORS_LIST[[#This Row],[SIP_TOTAL CURRENT UNITS]]=0,0,INVESTORS_LIST[[#This Row],[SIP_TOTAL CURRENT UNITS]]*INVESTORS_LIST[[#This Row],[NAV]])</f>
        <v>33099.623999999996</v>
      </c>
      <c r="AO503" s="6">
        <f>IF(INVESTORS_LIST[[#This Row],[TOTAL SELLABLE UNITS]]=0,0,INVESTORS_LIST[[#This Row],[TOTAL SELLABLE UNITS]]*INVESTORS_LIST[[#This Row],[NAV]])</f>
        <v>0</v>
      </c>
      <c r="AP503" s="6">
        <f>INVESTORS_LIST[[#This Row],[LS_TOTAL REALIZED GAIN]]+INVESTORS_LIST[[#This Row],[SIP_TOTAL REALIZED GAIN]]</f>
        <v>-124.1800000000006</v>
      </c>
      <c r="AQ503" s="6">
        <f>INVESTORS_LIST[[#This Row],[TOTAL MARKET VALUE]]-INVESTORS_LIST[[#This Row],[TOTAL COST VALUE OF CURRENT INVESTMENT]]</f>
        <v>3099.6239999999962</v>
      </c>
      <c r="AR503" s="6">
        <f>SUMIFS(DivAndTax[Tax Amount],DivAndTax[Investor ID],INVESTORS_LIST[[#This Row],[INVESTOR CODE]])</f>
        <v>90.55</v>
      </c>
      <c r="AS503" s="6">
        <f>SUMIFS(DivAndTax[Gross Dividend],DivAndTax[Investor ID],INVESTORS_LIST[[#This Row],[INVESTOR CODE]])</f>
        <v>905.5</v>
      </c>
      <c r="AT503" s="5">
        <f>IFERROR(INVESTORS_LIST[[#This Row],[TOTAL CURRENT UNITS]]/SUM(INVESTORS_LIST[TOTAL CURRENT UNITS]),0)</f>
        <v>1.2643053004357611E-4</v>
      </c>
    </row>
    <row r="504" spans="1:46" hidden="1">
      <c r="A504" t="s">
        <v>1119</v>
      </c>
      <c r="B504" t="s">
        <v>1120</v>
      </c>
      <c r="C504" t="s">
        <v>539</v>
      </c>
      <c r="D504" s="8" t="s">
        <v>2</v>
      </c>
      <c r="E504" s="2">
        <f>SUMIFS(LS[Unit],LS[Investor ID],INVESTORS_LIST[[#This Row],[INVESTOR CODE]],LS[B/S],"B")</f>
        <v>0</v>
      </c>
      <c r="F504" s="2">
        <f>-SUMIFS(LS[Unit],LS[Investor ID],INVESTORS_LIST[[#This Row],[INVESTOR CODE]],LS[B/S],"S")</f>
        <v>0</v>
      </c>
      <c r="G504" s="2">
        <f>IF(INVESTORS_LIST[[#This Row],[LS_TOTAL UNITS BUY]]=0,0,INVESTORS_LIST[[#This Row],[LS_TOTAL UNITS BUY]]-INVESTORS_LIST[[#This Row],[LS_TOTAL UNITS SOLD]])</f>
        <v>0</v>
      </c>
      <c r="H504" s="4">
        <f>IF(INVESTORS_LIST[[#This Row],[LS_TOTAL UNITS BUY]]=0,0,SUMIFS(LS[Amount],LS[Investor ID],INVESTORS_LIST[[#This Row],[INVESTOR CODE]],LS[B/S],"B"))</f>
        <v>0</v>
      </c>
      <c r="I504" s="6">
        <f>IF(INVESTORS_LIST[[#This Row],[LS_TOTAL UNITS SOLD]]=0,0,SUMIFS(LS[Cost of Units Sold],LS[Investor ID],INVESTORS_LIST[[#This Row],[INVESTOR CODE]],LS[B/S],"S"))</f>
        <v>0</v>
      </c>
      <c r="J504" s="6">
        <f>IF(INVESTORS_LIST[[#This Row],[LS_TOTAL CURRENT UNITS]]=0,0,INVESTORS_LIST[[#This Row],[LS_TOTAL CURRENT UNITS]]*INVESTORS_LIST[[#This Row],[LS_AVERAGE COST]])</f>
        <v>0</v>
      </c>
      <c r="K504" s="4">
        <f>IF(INVESTORS_LIST[[#This Row],[LS_TOTAL UNITS SOLD]]=0,0,SUMIFS(LS[Realized Gain],LS[Investor ID],INVESTORS_LIST[[#This Row],[INVESTOR CODE]],LS[B/S],"S"))</f>
        <v>0</v>
      </c>
      <c r="L504" s="2">
        <f>SUMIFS(SIP[Unit],SIP[Investor ID],INVESTORS_LIST[[#This Row],[INVESTOR CODE]],SIP[B/S],"B")</f>
        <v>0</v>
      </c>
      <c r="M504" s="2">
        <f>-SUMIFS(SIP[Unit],SIP[Investor ID],INVESTORS_LIST[[#This Row],[INVESTOR CODE]],SIP[B/S],"S")</f>
        <v>0</v>
      </c>
      <c r="N504" s="33">
        <f>IF(INVESTORS_LIST[[#This Row],[SIP_TOTAL UNITS BUY]]=0,0,INVESTORS_LIST[[#This Row],[SIP_TOTAL UNITS BUY]]-INVESTORS_LIST[[#This Row],[SIP_TOTAL UNITS SOLD]])</f>
        <v>0</v>
      </c>
      <c r="O504" s="4">
        <f>IF(INVESTORS_LIST[[#This Row],[SIP_TOTAL UNITS BUY]]=0,0,SUMIFS(SIP[Amount],SIP[Investor ID],INVESTORS_LIST[[#This Row],[INVESTOR CODE]],SIP[B/S],"B"))</f>
        <v>0</v>
      </c>
      <c r="P504" s="4">
        <f>IF(INVESTORS_LIST[[#This Row],[SIP_TOTAL UNITS SOLD]]=0,0,SUMIFS(SIP[Cost of Units Sold],SIP[Investor ID],INVESTORS_LIST[[#This Row],[INVESTOR CODE]],SIP[B/S],"S"))</f>
        <v>0</v>
      </c>
      <c r="Q504" s="6">
        <f>IF(INVESTORS_LIST[[#This Row],[SIP_TOTAL CURRENT UNITS]]=0,0,INVESTORS_LIST[[#This Row],[SIP_TOTAL CURRENT UNITS]]*INVESTORS_LIST[[#This Row],[SIP_AVERAGE COST]])</f>
        <v>0</v>
      </c>
      <c r="R504" s="6">
        <f>IF(INVESTORS_LIST[[#This Row],[SIP_TOTAL UNITS SOLD]]=0,0,SUMIFS(SIP[Realized Gain],SIP[Investor ID],INVESTORS_LIST[[#This Row],[INVESTOR CODE]],SIP[B/S],"S"))</f>
        <v>0</v>
      </c>
      <c r="S504" s="33">
        <f>INVESTORS_LIST[[#This Row],[LS_TOTAL UNITS BUY]]+INVESTORS_LIST[[#This Row],[SIP_TOTAL UNITS BUY]]</f>
        <v>0</v>
      </c>
      <c r="T504" s="33">
        <f>INVESTORS_LIST[[#This Row],[LS_TOTAL UNITS SOLD]]+INVESTORS_LIST[[#This Row],[SIP_TOTAL UNITS SOLD]]</f>
        <v>0</v>
      </c>
      <c r="U504" s="33">
        <v>0</v>
      </c>
      <c r="V504" s="33">
        <f>SUMIFS(LS[BO UNIT TRANSFER],LS[Investor ID],INVESTORS_LIST[[#This Row],[INVESTOR CODE]],LS[B/S],"B")</f>
        <v>0</v>
      </c>
      <c r="W504" s="33">
        <f>SUMIFS(LS[BO UNIT TRANSFER],LS[Investor ID],INVESTORS_LIST[[#This Row],[INVESTOR CODE]],LS[B/S],"S")</f>
        <v>0</v>
      </c>
      <c r="X504" s="33">
        <f>SUMIFS(SIP[BO UNIT TRANSFER],SIP[Investor ID],INVESTORS_LIST[[#This Row],[INVESTOR CODE]],SIP[B/S],"S")</f>
        <v>0</v>
      </c>
      <c r="Y504" s="33">
        <f>SUMIFS(SIP[BO UNIT TRANSFER],SIP[Investor ID],INVESTORS_LIST[[#This Row],[INVESTOR CODE]],SIP[B/S],"B")</f>
        <v>0</v>
      </c>
      <c r="Z50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04" s="119">
        <f>INVESTORS_LIST[[#This Row],[TOTAL UNITS BUY]]-INVESTORS_LIST[[#This Row],[TOTAL UNITS SOLD]]</f>
        <v>0</v>
      </c>
      <c r="AB504" s="119">
        <f>INVESTORS_LIST[[#This Row],[TOTAL CURRENT UNITS]]-INVESTORS_LIST[[#This Row],[BO UNITS HOLD]]</f>
        <v>0</v>
      </c>
      <c r="AC504" s="119" t="e">
        <f>INDEX([4]!Table_1[BO ID],MATCH(INVESTORS_LIST[[#This Row],[INVESTOR CODE]],[4]!Table_1[INVESTOR CODE],0))</f>
        <v>#REF!</v>
      </c>
      <c r="AD504" s="33">
        <f>INVESTORS_LIST[[#This Row],[LS_TOTAL COST VALUE OF CURRENT UNITS]]+INVESTORS_LIST[[#This Row],[SIP_TOTAL COST VALUE OF CURRENT UNITS]]</f>
        <v>0</v>
      </c>
      <c r="AE504" s="44">
        <f>IF(INVESTORS_LIST[[#This Row],[TOTAL CURRENT UNITS]]=0,0,INVESTORS_LIST[[#This Row],[LS_TOTAL CURRENT UNITS]]/INVESTORS_LIST[[#This Row],[TOTAL CURRENT UNITS]])</f>
        <v>0</v>
      </c>
      <c r="AF504" s="44">
        <f>IF(INVESTORS_LIST[[#This Row],[TOTAL CURRENT UNITS]]=0,0,INVESTORS_LIST[[#This Row],[SIP_TOTAL CURRENT UNITS]]/INVESTORS_LIST[[#This Row],[TOTAL CURRENT UNITS]])</f>
        <v>0</v>
      </c>
      <c r="AG504" s="4" cm="1">
        <f t="array" ref="AG50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04" s="4" cm="1">
        <f t="array" ref="AH5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0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04" s="178">
        <f t="shared" si="12"/>
        <v>12.552</v>
      </c>
      <c r="AK504" s="118">
        <f>IF(INVESTORS_LIST[[#This Row],[TOTAL CURRENT UNITS]]=0,0,INVESTORS_LIST[[#This Row],[TOTAL CURRENT UNITS]]*INVESTORS_LIST[[#This Row],[NAV]])</f>
        <v>0</v>
      </c>
      <c r="AL504" s="4">
        <f>IF(INVESTORS_LIST[[#This Row],[LS_TOTAL CURRENT UNITS]]=0,0,INVESTORS_LIST[[#This Row],[LS_TOTAL CURRENT UNITS]]*INVESTORS_LIST[[#This Row],[NAV]])</f>
        <v>0</v>
      </c>
      <c r="AM504" s="6">
        <f>IF(INVESTORS_LIST[[#This Row],[SIP_TOTAL CURRENT UNITS]]=0,0,INVESTORS_LIST[[#This Row],[SIP_TOTAL CURRENT UNITS]]*INVESTORS_LIST[[#This Row],[NAV]])</f>
        <v>0</v>
      </c>
      <c r="AO504" s="6">
        <f>IF(INVESTORS_LIST[[#This Row],[TOTAL SELLABLE UNITS]]=0,0,INVESTORS_LIST[[#This Row],[TOTAL SELLABLE UNITS]]*INVESTORS_LIST[[#This Row],[NAV]])</f>
        <v>0</v>
      </c>
      <c r="AP504" s="6">
        <f>INVESTORS_LIST[[#This Row],[LS_TOTAL REALIZED GAIN]]+INVESTORS_LIST[[#This Row],[SIP_TOTAL REALIZED GAIN]]</f>
        <v>0</v>
      </c>
      <c r="AQ504" s="6">
        <f>INVESTORS_LIST[[#This Row],[TOTAL MARKET VALUE]]-INVESTORS_LIST[[#This Row],[TOTAL COST VALUE OF CURRENT INVESTMENT]]</f>
        <v>0</v>
      </c>
      <c r="AR504" s="6">
        <f>SUMIFS(DivAndTax[Tax Amount],DivAndTax[Investor ID],INVESTORS_LIST[[#This Row],[INVESTOR CODE]])</f>
        <v>0</v>
      </c>
      <c r="AS504" s="6">
        <f>SUMIFS(DivAndTax[Gross Dividend],DivAndTax[Investor ID],INVESTORS_LIST[[#This Row],[INVESTOR CODE]])</f>
        <v>0</v>
      </c>
      <c r="AT504" s="5">
        <f>IFERROR(INVESTORS_LIST[[#This Row],[TOTAL CURRENT UNITS]]/SUM(INVESTORS_LIST[TOTAL CURRENT UNITS]),0)</f>
        <v>0</v>
      </c>
    </row>
    <row r="505" spans="1:46" hidden="1">
      <c r="A505" t="s">
        <v>1121</v>
      </c>
      <c r="B505" t="s">
        <v>1122</v>
      </c>
      <c r="C505" t="s">
        <v>536</v>
      </c>
      <c r="D505" s="8" t="s">
        <v>2</v>
      </c>
      <c r="E505" s="2">
        <f>SUMIFS(LS[Unit],LS[Investor ID],INVESTORS_LIST[[#This Row],[INVESTOR CODE]],LS[B/S],"B")</f>
        <v>0</v>
      </c>
      <c r="F505" s="2">
        <f>-SUMIFS(LS[Unit],LS[Investor ID],INVESTORS_LIST[[#This Row],[INVESTOR CODE]],LS[B/S],"S")</f>
        <v>0</v>
      </c>
      <c r="G505" s="2">
        <f>IF(INVESTORS_LIST[[#This Row],[LS_TOTAL UNITS BUY]]=0,0,INVESTORS_LIST[[#This Row],[LS_TOTAL UNITS BUY]]-INVESTORS_LIST[[#This Row],[LS_TOTAL UNITS SOLD]])</f>
        <v>0</v>
      </c>
      <c r="H505" s="4">
        <f>IF(INVESTORS_LIST[[#This Row],[LS_TOTAL UNITS BUY]]=0,0,SUMIFS(LS[Amount],LS[Investor ID],INVESTORS_LIST[[#This Row],[INVESTOR CODE]],LS[B/S],"B"))</f>
        <v>0</v>
      </c>
      <c r="I505" s="6">
        <f>IF(INVESTORS_LIST[[#This Row],[LS_TOTAL UNITS SOLD]]=0,0,SUMIFS(LS[Cost of Units Sold],LS[Investor ID],INVESTORS_LIST[[#This Row],[INVESTOR CODE]],LS[B/S],"S"))</f>
        <v>0</v>
      </c>
      <c r="J505" s="6">
        <f>IF(INVESTORS_LIST[[#This Row],[LS_TOTAL CURRENT UNITS]]=0,0,INVESTORS_LIST[[#This Row],[LS_TOTAL CURRENT UNITS]]*INVESTORS_LIST[[#This Row],[LS_AVERAGE COST]])</f>
        <v>0</v>
      </c>
      <c r="K505" s="4">
        <f>IF(INVESTORS_LIST[[#This Row],[LS_TOTAL UNITS SOLD]]=0,0,SUMIFS(LS[Realized Gain],LS[Investor ID],INVESTORS_LIST[[#This Row],[INVESTOR CODE]],LS[B/S],"S"))</f>
        <v>0</v>
      </c>
      <c r="L505" s="2">
        <f>SUMIFS(SIP[Unit],SIP[Investor ID],INVESTORS_LIST[[#This Row],[INVESTOR CODE]],SIP[B/S],"B")</f>
        <v>0</v>
      </c>
      <c r="M505" s="2">
        <f>-SUMIFS(SIP[Unit],SIP[Investor ID],INVESTORS_LIST[[#This Row],[INVESTOR CODE]],SIP[B/S],"S")</f>
        <v>0</v>
      </c>
      <c r="N505" s="33">
        <f>IF(INVESTORS_LIST[[#This Row],[SIP_TOTAL UNITS BUY]]=0,0,INVESTORS_LIST[[#This Row],[SIP_TOTAL UNITS BUY]]-INVESTORS_LIST[[#This Row],[SIP_TOTAL UNITS SOLD]])</f>
        <v>0</v>
      </c>
      <c r="O505" s="4">
        <f>IF(INVESTORS_LIST[[#This Row],[SIP_TOTAL UNITS BUY]]=0,0,SUMIFS(SIP[Amount],SIP[Investor ID],INVESTORS_LIST[[#This Row],[INVESTOR CODE]],SIP[B/S],"B"))</f>
        <v>0</v>
      </c>
      <c r="P505" s="4">
        <f>IF(INVESTORS_LIST[[#This Row],[SIP_TOTAL UNITS SOLD]]=0,0,SUMIFS(SIP[Cost of Units Sold],SIP[Investor ID],INVESTORS_LIST[[#This Row],[INVESTOR CODE]],SIP[B/S],"S"))</f>
        <v>0</v>
      </c>
      <c r="Q505" s="6">
        <f>IF(INVESTORS_LIST[[#This Row],[SIP_TOTAL CURRENT UNITS]]=0,0,INVESTORS_LIST[[#This Row],[SIP_TOTAL CURRENT UNITS]]*INVESTORS_LIST[[#This Row],[SIP_AVERAGE COST]])</f>
        <v>0</v>
      </c>
      <c r="R505" s="6">
        <f>IF(INVESTORS_LIST[[#This Row],[SIP_TOTAL UNITS SOLD]]=0,0,SUMIFS(SIP[Realized Gain],SIP[Investor ID],INVESTORS_LIST[[#This Row],[INVESTOR CODE]],SIP[B/S],"S"))</f>
        <v>0</v>
      </c>
      <c r="S505" s="33">
        <f>INVESTORS_LIST[[#This Row],[LS_TOTAL UNITS BUY]]+INVESTORS_LIST[[#This Row],[SIP_TOTAL UNITS BUY]]</f>
        <v>0</v>
      </c>
      <c r="T505" s="33">
        <f>INVESTORS_LIST[[#This Row],[LS_TOTAL UNITS SOLD]]+INVESTORS_LIST[[#This Row],[SIP_TOTAL UNITS SOLD]]</f>
        <v>0</v>
      </c>
      <c r="U505" s="33">
        <v>0</v>
      </c>
      <c r="V505" s="33">
        <f>SUMIFS(LS[BO UNIT TRANSFER],LS[Investor ID],INVESTORS_LIST[[#This Row],[INVESTOR CODE]],LS[B/S],"B")</f>
        <v>0</v>
      </c>
      <c r="W505" s="33">
        <f>SUMIFS(LS[BO UNIT TRANSFER],LS[Investor ID],INVESTORS_LIST[[#This Row],[INVESTOR CODE]],LS[B/S],"S")</f>
        <v>0</v>
      </c>
      <c r="X505" s="33">
        <f>SUMIFS(SIP[BO UNIT TRANSFER],SIP[Investor ID],INVESTORS_LIST[[#This Row],[INVESTOR CODE]],SIP[B/S],"S")</f>
        <v>0</v>
      </c>
      <c r="Y505" s="33">
        <f>SUMIFS(SIP[BO UNIT TRANSFER],SIP[Investor ID],INVESTORS_LIST[[#This Row],[INVESTOR CODE]],SIP[B/S],"B")</f>
        <v>0</v>
      </c>
      <c r="Z50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05" s="119">
        <f>INVESTORS_LIST[[#This Row],[TOTAL UNITS BUY]]-INVESTORS_LIST[[#This Row],[TOTAL UNITS SOLD]]</f>
        <v>0</v>
      </c>
      <c r="AB505" s="119">
        <f>INVESTORS_LIST[[#This Row],[TOTAL CURRENT UNITS]]-INVESTORS_LIST[[#This Row],[BO UNITS HOLD]]</f>
        <v>0</v>
      </c>
      <c r="AC505" s="119" t="e">
        <f>INDEX([4]!Table_1[BO ID],MATCH(INVESTORS_LIST[[#This Row],[INVESTOR CODE]],[4]!Table_1[INVESTOR CODE],0))</f>
        <v>#REF!</v>
      </c>
      <c r="AD505" s="33">
        <f>INVESTORS_LIST[[#This Row],[LS_TOTAL COST VALUE OF CURRENT UNITS]]+INVESTORS_LIST[[#This Row],[SIP_TOTAL COST VALUE OF CURRENT UNITS]]</f>
        <v>0</v>
      </c>
      <c r="AE505" s="44">
        <f>IF(INVESTORS_LIST[[#This Row],[TOTAL CURRENT UNITS]]=0,0,INVESTORS_LIST[[#This Row],[LS_TOTAL CURRENT UNITS]]/INVESTORS_LIST[[#This Row],[TOTAL CURRENT UNITS]])</f>
        <v>0</v>
      </c>
      <c r="AF505" s="44">
        <f>IF(INVESTORS_LIST[[#This Row],[TOTAL CURRENT UNITS]]=0,0,INVESTORS_LIST[[#This Row],[SIP_TOTAL CURRENT UNITS]]/INVESTORS_LIST[[#This Row],[TOTAL CURRENT UNITS]])</f>
        <v>0</v>
      </c>
      <c r="AG505" s="4" cm="1">
        <f t="array" ref="AG50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05" s="4" cm="1">
        <f t="array" ref="AH50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0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05" s="178">
        <f t="shared" si="12"/>
        <v>12.552</v>
      </c>
      <c r="AK505" s="118">
        <f>IF(INVESTORS_LIST[[#This Row],[TOTAL CURRENT UNITS]]=0,0,INVESTORS_LIST[[#This Row],[TOTAL CURRENT UNITS]]*INVESTORS_LIST[[#This Row],[NAV]])</f>
        <v>0</v>
      </c>
      <c r="AL505" s="4">
        <f>IF(INVESTORS_LIST[[#This Row],[LS_TOTAL CURRENT UNITS]]=0,0,INVESTORS_LIST[[#This Row],[LS_TOTAL CURRENT UNITS]]*INVESTORS_LIST[[#This Row],[NAV]])</f>
        <v>0</v>
      </c>
      <c r="AM505" s="6">
        <f>IF(INVESTORS_LIST[[#This Row],[SIP_TOTAL CURRENT UNITS]]=0,0,INVESTORS_LIST[[#This Row],[SIP_TOTAL CURRENT UNITS]]*INVESTORS_LIST[[#This Row],[NAV]])</f>
        <v>0</v>
      </c>
      <c r="AO505" s="6">
        <f>IF(INVESTORS_LIST[[#This Row],[TOTAL SELLABLE UNITS]]=0,0,INVESTORS_LIST[[#This Row],[TOTAL SELLABLE UNITS]]*INVESTORS_LIST[[#This Row],[NAV]])</f>
        <v>0</v>
      </c>
      <c r="AP505" s="6">
        <f>INVESTORS_LIST[[#This Row],[LS_TOTAL REALIZED GAIN]]+INVESTORS_LIST[[#This Row],[SIP_TOTAL REALIZED GAIN]]</f>
        <v>0</v>
      </c>
      <c r="AQ505" s="6">
        <f>INVESTORS_LIST[[#This Row],[TOTAL MARKET VALUE]]-INVESTORS_LIST[[#This Row],[TOTAL COST VALUE OF CURRENT INVESTMENT]]</f>
        <v>0</v>
      </c>
      <c r="AR505" s="6">
        <f>SUMIFS(DivAndTax[Tax Amount],DivAndTax[Investor ID],INVESTORS_LIST[[#This Row],[INVESTOR CODE]])</f>
        <v>0</v>
      </c>
      <c r="AS505" s="6">
        <f>SUMIFS(DivAndTax[Gross Dividend],DivAndTax[Investor ID],INVESTORS_LIST[[#This Row],[INVESTOR CODE]])</f>
        <v>0</v>
      </c>
      <c r="AT505" s="5">
        <f>IFERROR(INVESTORS_LIST[[#This Row],[TOTAL CURRENT UNITS]]/SUM(INVESTORS_LIST[TOTAL CURRENT UNITS]),0)</f>
        <v>0</v>
      </c>
    </row>
    <row r="506" spans="1:46" hidden="1">
      <c r="A506" t="s">
        <v>141</v>
      </c>
      <c r="B506" t="s">
        <v>1123</v>
      </c>
      <c r="C506" t="s">
        <v>536</v>
      </c>
      <c r="D506" s="8" t="s">
        <v>2</v>
      </c>
      <c r="E506" s="2">
        <f>SUMIFS(LS[Unit],LS[Investor ID],INVESTORS_LIST[[#This Row],[INVESTOR CODE]],LS[B/S],"B")</f>
        <v>0</v>
      </c>
      <c r="F506" s="2">
        <f>-SUMIFS(LS[Unit],LS[Investor ID],INVESTORS_LIST[[#This Row],[INVESTOR CODE]],LS[B/S],"S")</f>
        <v>0</v>
      </c>
      <c r="G506" s="2">
        <f>IF(INVESTORS_LIST[[#This Row],[LS_TOTAL UNITS BUY]]=0,0,INVESTORS_LIST[[#This Row],[LS_TOTAL UNITS BUY]]-INVESTORS_LIST[[#This Row],[LS_TOTAL UNITS SOLD]])</f>
        <v>0</v>
      </c>
      <c r="H506" s="4">
        <f>IF(INVESTORS_LIST[[#This Row],[LS_TOTAL UNITS BUY]]=0,0,SUMIFS(LS[Amount],LS[Investor ID],INVESTORS_LIST[[#This Row],[INVESTOR CODE]],LS[B/S],"B"))</f>
        <v>0</v>
      </c>
      <c r="I506" s="6">
        <f>IF(INVESTORS_LIST[[#This Row],[LS_TOTAL UNITS SOLD]]=0,0,SUMIFS(LS[Cost of Units Sold],LS[Investor ID],INVESTORS_LIST[[#This Row],[INVESTOR CODE]],LS[B/S],"S"))</f>
        <v>0</v>
      </c>
      <c r="J506" s="6">
        <f>IF(INVESTORS_LIST[[#This Row],[LS_TOTAL CURRENT UNITS]]=0,0,INVESTORS_LIST[[#This Row],[LS_TOTAL CURRENT UNITS]]*INVESTORS_LIST[[#This Row],[LS_AVERAGE COST]])</f>
        <v>0</v>
      </c>
      <c r="K506" s="4">
        <f>IF(INVESTORS_LIST[[#This Row],[LS_TOTAL UNITS SOLD]]=0,0,SUMIFS(LS[Realized Gain],LS[Investor ID],INVESTORS_LIST[[#This Row],[INVESTOR CODE]],LS[B/S],"S"))</f>
        <v>0</v>
      </c>
      <c r="L506" s="2">
        <f>SUMIFS(SIP[Unit],SIP[Investor ID],INVESTORS_LIST[[#This Row],[INVESTOR CODE]],SIP[B/S],"B")</f>
        <v>0</v>
      </c>
      <c r="M506" s="2">
        <f>-SUMIFS(SIP[Unit],SIP[Investor ID],INVESTORS_LIST[[#This Row],[INVESTOR CODE]],SIP[B/S],"S")</f>
        <v>0</v>
      </c>
      <c r="N506" s="33">
        <f>IF(INVESTORS_LIST[[#This Row],[SIP_TOTAL UNITS BUY]]=0,0,INVESTORS_LIST[[#This Row],[SIP_TOTAL UNITS BUY]]-INVESTORS_LIST[[#This Row],[SIP_TOTAL UNITS SOLD]])</f>
        <v>0</v>
      </c>
      <c r="O506" s="4">
        <f>IF(INVESTORS_LIST[[#This Row],[SIP_TOTAL UNITS BUY]]=0,0,SUMIFS(SIP[Amount],SIP[Investor ID],INVESTORS_LIST[[#This Row],[INVESTOR CODE]],SIP[B/S],"B"))</f>
        <v>0</v>
      </c>
      <c r="P506" s="4">
        <f>IF(INVESTORS_LIST[[#This Row],[SIP_TOTAL UNITS SOLD]]=0,0,SUMIFS(SIP[Cost of Units Sold],SIP[Investor ID],INVESTORS_LIST[[#This Row],[INVESTOR CODE]],SIP[B/S],"S"))</f>
        <v>0</v>
      </c>
      <c r="Q506" s="6">
        <f>IF(INVESTORS_LIST[[#This Row],[SIP_TOTAL CURRENT UNITS]]=0,0,INVESTORS_LIST[[#This Row],[SIP_TOTAL CURRENT UNITS]]*INVESTORS_LIST[[#This Row],[SIP_AVERAGE COST]])</f>
        <v>0</v>
      </c>
      <c r="R506" s="6">
        <f>IF(INVESTORS_LIST[[#This Row],[SIP_TOTAL UNITS SOLD]]=0,0,SUMIFS(SIP[Realized Gain],SIP[Investor ID],INVESTORS_LIST[[#This Row],[INVESTOR CODE]],SIP[B/S],"S"))</f>
        <v>0</v>
      </c>
      <c r="S506" s="33">
        <f>INVESTORS_LIST[[#This Row],[LS_TOTAL UNITS BUY]]+INVESTORS_LIST[[#This Row],[SIP_TOTAL UNITS BUY]]</f>
        <v>0</v>
      </c>
      <c r="T506" s="33">
        <f>INVESTORS_LIST[[#This Row],[LS_TOTAL UNITS SOLD]]+INVESTORS_LIST[[#This Row],[SIP_TOTAL UNITS SOLD]]</f>
        <v>0</v>
      </c>
      <c r="U506" s="33">
        <v>0</v>
      </c>
      <c r="V506" s="33">
        <f>SUMIFS(LS[BO UNIT TRANSFER],LS[Investor ID],INVESTORS_LIST[[#This Row],[INVESTOR CODE]],LS[B/S],"B")</f>
        <v>0</v>
      </c>
      <c r="W506" s="33">
        <f>SUMIFS(LS[BO UNIT TRANSFER],LS[Investor ID],INVESTORS_LIST[[#This Row],[INVESTOR CODE]],LS[B/S],"S")</f>
        <v>0</v>
      </c>
      <c r="X506" s="33">
        <f>SUMIFS(SIP[BO UNIT TRANSFER],SIP[Investor ID],INVESTORS_LIST[[#This Row],[INVESTOR CODE]],SIP[B/S],"S")</f>
        <v>0</v>
      </c>
      <c r="Y506" s="33">
        <f>SUMIFS(SIP[BO UNIT TRANSFER],SIP[Investor ID],INVESTORS_LIST[[#This Row],[INVESTOR CODE]],SIP[B/S],"B")</f>
        <v>0</v>
      </c>
      <c r="Z50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06" s="119">
        <f>INVESTORS_LIST[[#This Row],[TOTAL UNITS BUY]]-INVESTORS_LIST[[#This Row],[TOTAL UNITS SOLD]]</f>
        <v>0</v>
      </c>
      <c r="AB506" s="119">
        <f>INVESTORS_LIST[[#This Row],[TOTAL CURRENT UNITS]]-INVESTORS_LIST[[#This Row],[BO UNITS HOLD]]</f>
        <v>0</v>
      </c>
      <c r="AC506" s="119" t="e">
        <f>INDEX([4]!Table_1[BO ID],MATCH(INVESTORS_LIST[[#This Row],[INVESTOR CODE]],[4]!Table_1[INVESTOR CODE],0))</f>
        <v>#REF!</v>
      </c>
      <c r="AD506" s="33">
        <f>INVESTORS_LIST[[#This Row],[LS_TOTAL COST VALUE OF CURRENT UNITS]]+INVESTORS_LIST[[#This Row],[SIP_TOTAL COST VALUE OF CURRENT UNITS]]</f>
        <v>0</v>
      </c>
      <c r="AE506" s="44">
        <f>IF(INVESTORS_LIST[[#This Row],[TOTAL CURRENT UNITS]]=0,0,INVESTORS_LIST[[#This Row],[LS_TOTAL CURRENT UNITS]]/INVESTORS_LIST[[#This Row],[TOTAL CURRENT UNITS]])</f>
        <v>0</v>
      </c>
      <c r="AF506" s="44">
        <f>IF(INVESTORS_LIST[[#This Row],[TOTAL CURRENT UNITS]]=0,0,INVESTORS_LIST[[#This Row],[SIP_TOTAL CURRENT UNITS]]/INVESTORS_LIST[[#This Row],[TOTAL CURRENT UNITS]])</f>
        <v>0</v>
      </c>
      <c r="AG506" s="4" cm="1">
        <f t="array" ref="AG5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06" s="4" cm="1">
        <f t="array" ref="AH5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0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06" s="178">
        <f t="shared" si="12"/>
        <v>12.552</v>
      </c>
      <c r="AK506" s="118">
        <f>IF(INVESTORS_LIST[[#This Row],[TOTAL CURRENT UNITS]]=0,0,INVESTORS_LIST[[#This Row],[TOTAL CURRENT UNITS]]*INVESTORS_LIST[[#This Row],[NAV]])</f>
        <v>0</v>
      </c>
      <c r="AL506" s="4">
        <f>IF(INVESTORS_LIST[[#This Row],[LS_TOTAL CURRENT UNITS]]=0,0,INVESTORS_LIST[[#This Row],[LS_TOTAL CURRENT UNITS]]*INVESTORS_LIST[[#This Row],[NAV]])</f>
        <v>0</v>
      </c>
      <c r="AM506" s="6">
        <f>IF(INVESTORS_LIST[[#This Row],[SIP_TOTAL CURRENT UNITS]]=0,0,INVESTORS_LIST[[#This Row],[SIP_TOTAL CURRENT UNITS]]*INVESTORS_LIST[[#This Row],[NAV]])</f>
        <v>0</v>
      </c>
      <c r="AO506" s="6">
        <f>IF(INVESTORS_LIST[[#This Row],[TOTAL SELLABLE UNITS]]=0,0,INVESTORS_LIST[[#This Row],[TOTAL SELLABLE UNITS]]*INVESTORS_LIST[[#This Row],[NAV]])</f>
        <v>0</v>
      </c>
      <c r="AP506" s="6">
        <f>INVESTORS_LIST[[#This Row],[LS_TOTAL REALIZED GAIN]]+INVESTORS_LIST[[#This Row],[SIP_TOTAL REALIZED GAIN]]</f>
        <v>0</v>
      </c>
      <c r="AQ506" s="6">
        <f>INVESTORS_LIST[[#This Row],[TOTAL MARKET VALUE]]-INVESTORS_LIST[[#This Row],[TOTAL COST VALUE OF CURRENT INVESTMENT]]</f>
        <v>0</v>
      </c>
      <c r="AR506" s="6">
        <f>SUMIFS(DivAndTax[Tax Amount],DivAndTax[Investor ID],INVESTORS_LIST[[#This Row],[INVESTOR CODE]])</f>
        <v>0</v>
      </c>
      <c r="AS506" s="6">
        <f>SUMIFS(DivAndTax[Gross Dividend],DivAndTax[Investor ID],INVESTORS_LIST[[#This Row],[INVESTOR CODE]])</f>
        <v>0</v>
      </c>
      <c r="AT506" s="5">
        <f>IFERROR(INVESTORS_LIST[[#This Row],[TOTAL CURRENT UNITS]]/SUM(INVESTORS_LIST[TOTAL CURRENT UNITS]),0)</f>
        <v>0</v>
      </c>
    </row>
    <row r="507" spans="1:46" hidden="1">
      <c r="A507" t="s">
        <v>1124</v>
      </c>
      <c r="B507" t="s">
        <v>1125</v>
      </c>
      <c r="C507" t="s">
        <v>539</v>
      </c>
      <c r="D507" s="8" t="s">
        <v>2</v>
      </c>
      <c r="E507" s="2">
        <f>SUMIFS(LS[Unit],LS[Investor ID],INVESTORS_LIST[[#This Row],[INVESTOR CODE]],LS[B/S],"B")</f>
        <v>0</v>
      </c>
      <c r="F507" s="2">
        <f>-SUMIFS(LS[Unit],LS[Investor ID],INVESTORS_LIST[[#This Row],[INVESTOR CODE]],LS[B/S],"S")</f>
        <v>0</v>
      </c>
      <c r="G507" s="2">
        <f>IF(INVESTORS_LIST[[#This Row],[LS_TOTAL UNITS BUY]]=0,0,INVESTORS_LIST[[#This Row],[LS_TOTAL UNITS BUY]]-INVESTORS_LIST[[#This Row],[LS_TOTAL UNITS SOLD]])</f>
        <v>0</v>
      </c>
      <c r="H507" s="4">
        <f>IF(INVESTORS_LIST[[#This Row],[LS_TOTAL UNITS BUY]]=0,0,SUMIFS(LS[Amount],LS[Investor ID],INVESTORS_LIST[[#This Row],[INVESTOR CODE]],LS[B/S],"B"))</f>
        <v>0</v>
      </c>
      <c r="I507" s="6">
        <f>IF(INVESTORS_LIST[[#This Row],[LS_TOTAL UNITS SOLD]]=0,0,SUMIFS(LS[Cost of Units Sold],LS[Investor ID],INVESTORS_LIST[[#This Row],[INVESTOR CODE]],LS[B/S],"S"))</f>
        <v>0</v>
      </c>
      <c r="J507" s="6">
        <f>IF(INVESTORS_LIST[[#This Row],[LS_TOTAL CURRENT UNITS]]=0,0,INVESTORS_LIST[[#This Row],[LS_TOTAL CURRENT UNITS]]*INVESTORS_LIST[[#This Row],[LS_AVERAGE COST]])</f>
        <v>0</v>
      </c>
      <c r="K507" s="4">
        <f>IF(INVESTORS_LIST[[#This Row],[LS_TOTAL UNITS SOLD]]=0,0,SUMIFS(LS[Realized Gain],LS[Investor ID],INVESTORS_LIST[[#This Row],[INVESTOR CODE]],LS[B/S],"S"))</f>
        <v>0</v>
      </c>
      <c r="L507" s="2">
        <f>SUMIFS(SIP[Unit],SIP[Investor ID],INVESTORS_LIST[[#This Row],[INVESTOR CODE]],SIP[B/S],"B")</f>
        <v>0</v>
      </c>
      <c r="M507" s="2">
        <f>-SUMIFS(SIP[Unit],SIP[Investor ID],INVESTORS_LIST[[#This Row],[INVESTOR CODE]],SIP[B/S],"S")</f>
        <v>0</v>
      </c>
      <c r="N507" s="33">
        <f>IF(INVESTORS_LIST[[#This Row],[SIP_TOTAL UNITS BUY]]=0,0,INVESTORS_LIST[[#This Row],[SIP_TOTAL UNITS BUY]]-INVESTORS_LIST[[#This Row],[SIP_TOTAL UNITS SOLD]])</f>
        <v>0</v>
      </c>
      <c r="O507" s="4">
        <f>IF(INVESTORS_LIST[[#This Row],[SIP_TOTAL UNITS BUY]]=0,0,SUMIFS(SIP[Amount],SIP[Investor ID],INVESTORS_LIST[[#This Row],[INVESTOR CODE]],SIP[B/S],"B"))</f>
        <v>0</v>
      </c>
      <c r="P507" s="4">
        <f>IF(INVESTORS_LIST[[#This Row],[SIP_TOTAL UNITS SOLD]]=0,0,SUMIFS(SIP[Cost of Units Sold],SIP[Investor ID],INVESTORS_LIST[[#This Row],[INVESTOR CODE]],SIP[B/S],"S"))</f>
        <v>0</v>
      </c>
      <c r="Q507" s="6">
        <f>IF(INVESTORS_LIST[[#This Row],[SIP_TOTAL CURRENT UNITS]]=0,0,INVESTORS_LIST[[#This Row],[SIP_TOTAL CURRENT UNITS]]*INVESTORS_LIST[[#This Row],[SIP_AVERAGE COST]])</f>
        <v>0</v>
      </c>
      <c r="R507" s="6">
        <f>IF(INVESTORS_LIST[[#This Row],[SIP_TOTAL UNITS SOLD]]=0,0,SUMIFS(SIP[Realized Gain],SIP[Investor ID],INVESTORS_LIST[[#This Row],[INVESTOR CODE]],SIP[B/S],"S"))</f>
        <v>0</v>
      </c>
      <c r="S507" s="33">
        <f>INVESTORS_LIST[[#This Row],[LS_TOTAL UNITS BUY]]+INVESTORS_LIST[[#This Row],[SIP_TOTAL UNITS BUY]]</f>
        <v>0</v>
      </c>
      <c r="T507" s="33">
        <f>INVESTORS_LIST[[#This Row],[LS_TOTAL UNITS SOLD]]+INVESTORS_LIST[[#This Row],[SIP_TOTAL UNITS SOLD]]</f>
        <v>0</v>
      </c>
      <c r="U507" s="33">
        <v>0</v>
      </c>
      <c r="V507" s="33">
        <f>SUMIFS(LS[BO UNIT TRANSFER],LS[Investor ID],INVESTORS_LIST[[#This Row],[INVESTOR CODE]],LS[B/S],"B")</f>
        <v>0</v>
      </c>
      <c r="W507" s="33">
        <f>SUMIFS(LS[BO UNIT TRANSFER],LS[Investor ID],INVESTORS_LIST[[#This Row],[INVESTOR CODE]],LS[B/S],"S")</f>
        <v>0</v>
      </c>
      <c r="X507" s="33">
        <f>SUMIFS(SIP[BO UNIT TRANSFER],SIP[Investor ID],INVESTORS_LIST[[#This Row],[INVESTOR CODE]],SIP[B/S],"S")</f>
        <v>0</v>
      </c>
      <c r="Y507" s="33">
        <f>SUMIFS(SIP[BO UNIT TRANSFER],SIP[Investor ID],INVESTORS_LIST[[#This Row],[INVESTOR CODE]],SIP[B/S],"B")</f>
        <v>0</v>
      </c>
      <c r="Z50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07" s="119">
        <f>INVESTORS_LIST[[#This Row],[TOTAL UNITS BUY]]-INVESTORS_LIST[[#This Row],[TOTAL UNITS SOLD]]</f>
        <v>0</v>
      </c>
      <c r="AB507" s="119">
        <f>INVESTORS_LIST[[#This Row],[TOTAL CURRENT UNITS]]-INVESTORS_LIST[[#This Row],[BO UNITS HOLD]]</f>
        <v>0</v>
      </c>
      <c r="AC507" s="119" t="e">
        <f>INDEX([4]!Table_1[BO ID],MATCH(INVESTORS_LIST[[#This Row],[INVESTOR CODE]],[4]!Table_1[INVESTOR CODE],0))</f>
        <v>#REF!</v>
      </c>
      <c r="AD507" s="33">
        <f>INVESTORS_LIST[[#This Row],[LS_TOTAL COST VALUE OF CURRENT UNITS]]+INVESTORS_LIST[[#This Row],[SIP_TOTAL COST VALUE OF CURRENT UNITS]]</f>
        <v>0</v>
      </c>
      <c r="AE507" s="44">
        <f>IF(INVESTORS_LIST[[#This Row],[TOTAL CURRENT UNITS]]=0,0,INVESTORS_LIST[[#This Row],[LS_TOTAL CURRENT UNITS]]/INVESTORS_LIST[[#This Row],[TOTAL CURRENT UNITS]])</f>
        <v>0</v>
      </c>
      <c r="AF507" s="44">
        <f>IF(INVESTORS_LIST[[#This Row],[TOTAL CURRENT UNITS]]=0,0,INVESTORS_LIST[[#This Row],[SIP_TOTAL CURRENT UNITS]]/INVESTORS_LIST[[#This Row],[TOTAL CURRENT UNITS]])</f>
        <v>0</v>
      </c>
      <c r="AG507" s="4" cm="1">
        <f t="array" ref="AG50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07" s="4" cm="1">
        <f t="array" ref="AH50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0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07" s="178">
        <f t="shared" si="12"/>
        <v>12.552</v>
      </c>
      <c r="AK507" s="118">
        <f>IF(INVESTORS_LIST[[#This Row],[TOTAL CURRENT UNITS]]=0,0,INVESTORS_LIST[[#This Row],[TOTAL CURRENT UNITS]]*INVESTORS_LIST[[#This Row],[NAV]])</f>
        <v>0</v>
      </c>
      <c r="AL507" s="4">
        <f>IF(INVESTORS_LIST[[#This Row],[LS_TOTAL CURRENT UNITS]]=0,0,INVESTORS_LIST[[#This Row],[LS_TOTAL CURRENT UNITS]]*INVESTORS_LIST[[#This Row],[NAV]])</f>
        <v>0</v>
      </c>
      <c r="AM507" s="6">
        <f>IF(INVESTORS_LIST[[#This Row],[SIP_TOTAL CURRENT UNITS]]=0,0,INVESTORS_LIST[[#This Row],[SIP_TOTAL CURRENT UNITS]]*INVESTORS_LIST[[#This Row],[NAV]])</f>
        <v>0</v>
      </c>
      <c r="AO507" s="6">
        <f>IF(INVESTORS_LIST[[#This Row],[TOTAL SELLABLE UNITS]]=0,0,INVESTORS_LIST[[#This Row],[TOTAL SELLABLE UNITS]]*INVESTORS_LIST[[#This Row],[NAV]])</f>
        <v>0</v>
      </c>
      <c r="AP507" s="6">
        <f>INVESTORS_LIST[[#This Row],[LS_TOTAL REALIZED GAIN]]+INVESTORS_LIST[[#This Row],[SIP_TOTAL REALIZED GAIN]]</f>
        <v>0</v>
      </c>
      <c r="AQ507" s="6">
        <f>INVESTORS_LIST[[#This Row],[TOTAL MARKET VALUE]]-INVESTORS_LIST[[#This Row],[TOTAL COST VALUE OF CURRENT INVESTMENT]]</f>
        <v>0</v>
      </c>
      <c r="AR507" s="6">
        <f>SUMIFS(DivAndTax[Tax Amount],DivAndTax[Investor ID],INVESTORS_LIST[[#This Row],[INVESTOR CODE]])</f>
        <v>0</v>
      </c>
      <c r="AS507" s="6">
        <f>SUMIFS(DivAndTax[Gross Dividend],DivAndTax[Investor ID],INVESTORS_LIST[[#This Row],[INVESTOR CODE]])</f>
        <v>0</v>
      </c>
      <c r="AT507" s="5">
        <f>IFERROR(INVESTORS_LIST[[#This Row],[TOTAL CURRENT UNITS]]/SUM(INVESTORS_LIST[TOTAL CURRENT UNITS]),0)</f>
        <v>0</v>
      </c>
    </row>
    <row r="508" spans="1:46" hidden="1">
      <c r="A508" t="s">
        <v>1126</v>
      </c>
      <c r="B508" t="s">
        <v>1127</v>
      </c>
      <c r="C508" t="s">
        <v>538</v>
      </c>
      <c r="D508" s="8" t="s">
        <v>2</v>
      </c>
      <c r="E508" s="2">
        <f>SUMIFS(LS[Unit],LS[Investor ID],INVESTORS_LIST[[#This Row],[INVESTOR CODE]],LS[B/S],"B")</f>
        <v>0</v>
      </c>
      <c r="F508" s="2">
        <f>-SUMIFS(LS[Unit],LS[Investor ID],INVESTORS_LIST[[#This Row],[INVESTOR CODE]],LS[B/S],"S")</f>
        <v>0</v>
      </c>
      <c r="G508" s="2">
        <f>IF(INVESTORS_LIST[[#This Row],[LS_TOTAL UNITS BUY]]=0,0,INVESTORS_LIST[[#This Row],[LS_TOTAL UNITS BUY]]-INVESTORS_LIST[[#This Row],[LS_TOTAL UNITS SOLD]])</f>
        <v>0</v>
      </c>
      <c r="H508" s="4">
        <f>IF(INVESTORS_LIST[[#This Row],[LS_TOTAL UNITS BUY]]=0,0,SUMIFS(LS[Amount],LS[Investor ID],INVESTORS_LIST[[#This Row],[INVESTOR CODE]],LS[B/S],"B"))</f>
        <v>0</v>
      </c>
      <c r="I508" s="6">
        <f>IF(INVESTORS_LIST[[#This Row],[LS_TOTAL UNITS SOLD]]=0,0,SUMIFS(LS[Cost of Units Sold],LS[Investor ID],INVESTORS_LIST[[#This Row],[INVESTOR CODE]],LS[B/S],"S"))</f>
        <v>0</v>
      </c>
      <c r="J508" s="6">
        <f>IF(INVESTORS_LIST[[#This Row],[LS_TOTAL CURRENT UNITS]]=0,0,INVESTORS_LIST[[#This Row],[LS_TOTAL CURRENT UNITS]]*INVESTORS_LIST[[#This Row],[LS_AVERAGE COST]])</f>
        <v>0</v>
      </c>
      <c r="K508" s="4">
        <f>IF(INVESTORS_LIST[[#This Row],[LS_TOTAL UNITS SOLD]]=0,0,SUMIFS(LS[Realized Gain],LS[Investor ID],INVESTORS_LIST[[#This Row],[INVESTOR CODE]],LS[B/S],"S"))</f>
        <v>0</v>
      </c>
      <c r="L508" s="2">
        <f>SUMIFS(SIP[Unit],SIP[Investor ID],INVESTORS_LIST[[#This Row],[INVESTOR CODE]],SIP[B/S],"B")</f>
        <v>0</v>
      </c>
      <c r="M508" s="2">
        <f>-SUMIFS(SIP[Unit],SIP[Investor ID],INVESTORS_LIST[[#This Row],[INVESTOR CODE]],SIP[B/S],"S")</f>
        <v>0</v>
      </c>
      <c r="N508" s="33">
        <f>IF(INVESTORS_LIST[[#This Row],[SIP_TOTAL UNITS BUY]]=0,0,INVESTORS_LIST[[#This Row],[SIP_TOTAL UNITS BUY]]-INVESTORS_LIST[[#This Row],[SIP_TOTAL UNITS SOLD]])</f>
        <v>0</v>
      </c>
      <c r="O508" s="4">
        <f>IF(INVESTORS_LIST[[#This Row],[SIP_TOTAL UNITS BUY]]=0,0,SUMIFS(SIP[Amount],SIP[Investor ID],INVESTORS_LIST[[#This Row],[INVESTOR CODE]],SIP[B/S],"B"))</f>
        <v>0</v>
      </c>
      <c r="P508" s="4">
        <f>IF(INVESTORS_LIST[[#This Row],[SIP_TOTAL UNITS SOLD]]=0,0,SUMIFS(SIP[Cost of Units Sold],SIP[Investor ID],INVESTORS_LIST[[#This Row],[INVESTOR CODE]],SIP[B/S],"S"))</f>
        <v>0</v>
      </c>
      <c r="Q508" s="6">
        <f>IF(INVESTORS_LIST[[#This Row],[SIP_TOTAL CURRENT UNITS]]=0,0,INVESTORS_LIST[[#This Row],[SIP_TOTAL CURRENT UNITS]]*INVESTORS_LIST[[#This Row],[SIP_AVERAGE COST]])</f>
        <v>0</v>
      </c>
      <c r="R508" s="6">
        <f>IF(INVESTORS_LIST[[#This Row],[SIP_TOTAL UNITS SOLD]]=0,0,SUMIFS(SIP[Realized Gain],SIP[Investor ID],INVESTORS_LIST[[#This Row],[INVESTOR CODE]],SIP[B/S],"S"))</f>
        <v>0</v>
      </c>
      <c r="S508" s="33">
        <f>INVESTORS_LIST[[#This Row],[LS_TOTAL UNITS BUY]]+INVESTORS_LIST[[#This Row],[SIP_TOTAL UNITS BUY]]</f>
        <v>0</v>
      </c>
      <c r="T508" s="33">
        <f>INVESTORS_LIST[[#This Row],[LS_TOTAL UNITS SOLD]]+INVESTORS_LIST[[#This Row],[SIP_TOTAL UNITS SOLD]]</f>
        <v>0</v>
      </c>
      <c r="U508" s="33">
        <v>0</v>
      </c>
      <c r="V508" s="33">
        <f>SUMIFS(LS[BO UNIT TRANSFER],LS[Investor ID],INVESTORS_LIST[[#This Row],[INVESTOR CODE]],LS[B/S],"B")</f>
        <v>0</v>
      </c>
      <c r="W508" s="33">
        <f>SUMIFS(LS[BO UNIT TRANSFER],LS[Investor ID],INVESTORS_LIST[[#This Row],[INVESTOR CODE]],LS[B/S],"S")</f>
        <v>0</v>
      </c>
      <c r="X508" s="33">
        <f>SUMIFS(SIP[BO UNIT TRANSFER],SIP[Investor ID],INVESTORS_LIST[[#This Row],[INVESTOR CODE]],SIP[B/S],"S")</f>
        <v>0</v>
      </c>
      <c r="Y508" s="33">
        <f>SUMIFS(SIP[BO UNIT TRANSFER],SIP[Investor ID],INVESTORS_LIST[[#This Row],[INVESTOR CODE]],SIP[B/S],"B")</f>
        <v>0</v>
      </c>
      <c r="Z50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08" s="119">
        <f>INVESTORS_LIST[[#This Row],[TOTAL UNITS BUY]]-INVESTORS_LIST[[#This Row],[TOTAL UNITS SOLD]]</f>
        <v>0</v>
      </c>
      <c r="AB508" s="119">
        <f>INVESTORS_LIST[[#This Row],[TOTAL CURRENT UNITS]]-INVESTORS_LIST[[#This Row],[BO UNITS HOLD]]</f>
        <v>0</v>
      </c>
      <c r="AC508" s="119" t="e">
        <f>INDEX([4]!Table_1[BO ID],MATCH(INVESTORS_LIST[[#This Row],[INVESTOR CODE]],[4]!Table_1[INVESTOR CODE],0))</f>
        <v>#REF!</v>
      </c>
      <c r="AD508" s="33">
        <f>INVESTORS_LIST[[#This Row],[LS_TOTAL COST VALUE OF CURRENT UNITS]]+INVESTORS_LIST[[#This Row],[SIP_TOTAL COST VALUE OF CURRENT UNITS]]</f>
        <v>0</v>
      </c>
      <c r="AE508" s="44">
        <f>IF(INVESTORS_LIST[[#This Row],[TOTAL CURRENT UNITS]]=0,0,INVESTORS_LIST[[#This Row],[LS_TOTAL CURRENT UNITS]]/INVESTORS_LIST[[#This Row],[TOTAL CURRENT UNITS]])</f>
        <v>0</v>
      </c>
      <c r="AF508" s="44">
        <f>IF(INVESTORS_LIST[[#This Row],[TOTAL CURRENT UNITS]]=0,0,INVESTORS_LIST[[#This Row],[SIP_TOTAL CURRENT UNITS]]/INVESTORS_LIST[[#This Row],[TOTAL CURRENT UNITS]])</f>
        <v>0</v>
      </c>
      <c r="AG508" s="4" cm="1">
        <f t="array" ref="AG5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08" s="4" cm="1">
        <f t="array" ref="AH50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0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08" s="178">
        <f t="shared" si="12"/>
        <v>12.552</v>
      </c>
      <c r="AK508" s="118">
        <f>IF(INVESTORS_LIST[[#This Row],[TOTAL CURRENT UNITS]]=0,0,INVESTORS_LIST[[#This Row],[TOTAL CURRENT UNITS]]*INVESTORS_LIST[[#This Row],[NAV]])</f>
        <v>0</v>
      </c>
      <c r="AL508" s="4">
        <f>IF(INVESTORS_LIST[[#This Row],[LS_TOTAL CURRENT UNITS]]=0,0,INVESTORS_LIST[[#This Row],[LS_TOTAL CURRENT UNITS]]*INVESTORS_LIST[[#This Row],[NAV]])</f>
        <v>0</v>
      </c>
      <c r="AM508" s="6">
        <f>IF(INVESTORS_LIST[[#This Row],[SIP_TOTAL CURRENT UNITS]]=0,0,INVESTORS_LIST[[#This Row],[SIP_TOTAL CURRENT UNITS]]*INVESTORS_LIST[[#This Row],[NAV]])</f>
        <v>0</v>
      </c>
      <c r="AO508" s="6">
        <f>IF(INVESTORS_LIST[[#This Row],[TOTAL SELLABLE UNITS]]=0,0,INVESTORS_LIST[[#This Row],[TOTAL SELLABLE UNITS]]*INVESTORS_LIST[[#This Row],[NAV]])</f>
        <v>0</v>
      </c>
      <c r="AP508" s="6">
        <f>INVESTORS_LIST[[#This Row],[LS_TOTAL REALIZED GAIN]]+INVESTORS_LIST[[#This Row],[SIP_TOTAL REALIZED GAIN]]</f>
        <v>0</v>
      </c>
      <c r="AQ508" s="6">
        <f>INVESTORS_LIST[[#This Row],[TOTAL MARKET VALUE]]-INVESTORS_LIST[[#This Row],[TOTAL COST VALUE OF CURRENT INVESTMENT]]</f>
        <v>0</v>
      </c>
      <c r="AR508" s="6">
        <f>SUMIFS(DivAndTax[Tax Amount],DivAndTax[Investor ID],INVESTORS_LIST[[#This Row],[INVESTOR CODE]])</f>
        <v>0</v>
      </c>
      <c r="AS508" s="6">
        <f>SUMIFS(DivAndTax[Gross Dividend],DivAndTax[Investor ID],INVESTORS_LIST[[#This Row],[INVESTOR CODE]])</f>
        <v>0</v>
      </c>
      <c r="AT508" s="5">
        <f>IFERROR(INVESTORS_LIST[[#This Row],[TOTAL CURRENT UNITS]]/SUM(INVESTORS_LIST[TOTAL CURRENT UNITS]),0)</f>
        <v>0</v>
      </c>
    </row>
    <row r="509" spans="1:46" hidden="1">
      <c r="A509" t="s">
        <v>1128</v>
      </c>
      <c r="B509" t="s">
        <v>1129</v>
      </c>
      <c r="C509" t="s">
        <v>539</v>
      </c>
      <c r="D509" s="8" t="s">
        <v>2</v>
      </c>
      <c r="E509" s="2">
        <f>SUMIFS(LS[Unit],LS[Investor ID],INVESTORS_LIST[[#This Row],[INVESTOR CODE]],LS[B/S],"B")</f>
        <v>0</v>
      </c>
      <c r="F509" s="2">
        <f>-SUMIFS(LS[Unit],LS[Investor ID],INVESTORS_LIST[[#This Row],[INVESTOR CODE]],LS[B/S],"S")</f>
        <v>0</v>
      </c>
      <c r="G509" s="2">
        <f>IF(INVESTORS_LIST[[#This Row],[LS_TOTAL UNITS BUY]]=0,0,INVESTORS_LIST[[#This Row],[LS_TOTAL UNITS BUY]]-INVESTORS_LIST[[#This Row],[LS_TOTAL UNITS SOLD]])</f>
        <v>0</v>
      </c>
      <c r="H509" s="4">
        <f>IF(INVESTORS_LIST[[#This Row],[LS_TOTAL UNITS BUY]]=0,0,SUMIFS(LS[Amount],LS[Investor ID],INVESTORS_LIST[[#This Row],[INVESTOR CODE]],LS[B/S],"B"))</f>
        <v>0</v>
      </c>
      <c r="I509" s="6">
        <f>IF(INVESTORS_LIST[[#This Row],[LS_TOTAL UNITS SOLD]]=0,0,SUMIFS(LS[Cost of Units Sold],LS[Investor ID],INVESTORS_LIST[[#This Row],[INVESTOR CODE]],LS[B/S],"S"))</f>
        <v>0</v>
      </c>
      <c r="J509" s="6">
        <f>IF(INVESTORS_LIST[[#This Row],[LS_TOTAL CURRENT UNITS]]=0,0,INVESTORS_LIST[[#This Row],[LS_TOTAL CURRENT UNITS]]*INVESTORS_LIST[[#This Row],[LS_AVERAGE COST]])</f>
        <v>0</v>
      </c>
      <c r="K509" s="4">
        <f>IF(INVESTORS_LIST[[#This Row],[LS_TOTAL UNITS SOLD]]=0,0,SUMIFS(LS[Realized Gain],LS[Investor ID],INVESTORS_LIST[[#This Row],[INVESTOR CODE]],LS[B/S],"S"))</f>
        <v>0</v>
      </c>
      <c r="L509" s="2">
        <f>SUMIFS(SIP[Unit],SIP[Investor ID],INVESTORS_LIST[[#This Row],[INVESTOR CODE]],SIP[B/S],"B")</f>
        <v>0</v>
      </c>
      <c r="M509" s="2">
        <f>-SUMIFS(SIP[Unit],SIP[Investor ID],INVESTORS_LIST[[#This Row],[INVESTOR CODE]],SIP[B/S],"S")</f>
        <v>0</v>
      </c>
      <c r="N509" s="33">
        <f>IF(INVESTORS_LIST[[#This Row],[SIP_TOTAL UNITS BUY]]=0,0,INVESTORS_LIST[[#This Row],[SIP_TOTAL UNITS BUY]]-INVESTORS_LIST[[#This Row],[SIP_TOTAL UNITS SOLD]])</f>
        <v>0</v>
      </c>
      <c r="O509" s="4">
        <f>IF(INVESTORS_LIST[[#This Row],[SIP_TOTAL UNITS BUY]]=0,0,SUMIFS(SIP[Amount],SIP[Investor ID],INVESTORS_LIST[[#This Row],[INVESTOR CODE]],SIP[B/S],"B"))</f>
        <v>0</v>
      </c>
      <c r="P509" s="4">
        <f>IF(INVESTORS_LIST[[#This Row],[SIP_TOTAL UNITS SOLD]]=0,0,SUMIFS(SIP[Cost of Units Sold],SIP[Investor ID],INVESTORS_LIST[[#This Row],[INVESTOR CODE]],SIP[B/S],"S"))</f>
        <v>0</v>
      </c>
      <c r="Q509" s="6">
        <f>IF(INVESTORS_LIST[[#This Row],[SIP_TOTAL CURRENT UNITS]]=0,0,INVESTORS_LIST[[#This Row],[SIP_TOTAL CURRENT UNITS]]*INVESTORS_LIST[[#This Row],[SIP_AVERAGE COST]])</f>
        <v>0</v>
      </c>
      <c r="R509" s="6">
        <f>IF(INVESTORS_LIST[[#This Row],[SIP_TOTAL UNITS SOLD]]=0,0,SUMIFS(SIP[Realized Gain],SIP[Investor ID],INVESTORS_LIST[[#This Row],[INVESTOR CODE]],SIP[B/S],"S"))</f>
        <v>0</v>
      </c>
      <c r="S509" s="33">
        <f>INVESTORS_LIST[[#This Row],[LS_TOTAL UNITS BUY]]+INVESTORS_LIST[[#This Row],[SIP_TOTAL UNITS BUY]]</f>
        <v>0</v>
      </c>
      <c r="T509" s="33">
        <f>INVESTORS_LIST[[#This Row],[LS_TOTAL UNITS SOLD]]+INVESTORS_LIST[[#This Row],[SIP_TOTAL UNITS SOLD]]</f>
        <v>0</v>
      </c>
      <c r="U509" s="33">
        <v>0</v>
      </c>
      <c r="V509" s="33">
        <f>SUMIFS(LS[BO UNIT TRANSFER],LS[Investor ID],INVESTORS_LIST[[#This Row],[INVESTOR CODE]],LS[B/S],"B")</f>
        <v>0</v>
      </c>
      <c r="W509" s="33">
        <f>SUMIFS(LS[BO UNIT TRANSFER],LS[Investor ID],INVESTORS_LIST[[#This Row],[INVESTOR CODE]],LS[B/S],"S")</f>
        <v>0</v>
      </c>
      <c r="X509" s="33">
        <f>SUMIFS(SIP[BO UNIT TRANSFER],SIP[Investor ID],INVESTORS_LIST[[#This Row],[INVESTOR CODE]],SIP[B/S],"S")</f>
        <v>0</v>
      </c>
      <c r="Y509" s="33">
        <f>SUMIFS(SIP[BO UNIT TRANSFER],SIP[Investor ID],INVESTORS_LIST[[#This Row],[INVESTOR CODE]],SIP[B/S],"B")</f>
        <v>0</v>
      </c>
      <c r="Z50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09" s="119">
        <f>INVESTORS_LIST[[#This Row],[TOTAL UNITS BUY]]-INVESTORS_LIST[[#This Row],[TOTAL UNITS SOLD]]</f>
        <v>0</v>
      </c>
      <c r="AB509" s="119">
        <f>INVESTORS_LIST[[#This Row],[TOTAL CURRENT UNITS]]-INVESTORS_LIST[[#This Row],[BO UNITS HOLD]]</f>
        <v>0</v>
      </c>
      <c r="AC509" s="119" t="e">
        <f>INDEX([4]!Table_1[BO ID],MATCH(INVESTORS_LIST[[#This Row],[INVESTOR CODE]],[4]!Table_1[INVESTOR CODE],0))</f>
        <v>#REF!</v>
      </c>
      <c r="AD509" s="33">
        <f>INVESTORS_LIST[[#This Row],[LS_TOTAL COST VALUE OF CURRENT UNITS]]+INVESTORS_LIST[[#This Row],[SIP_TOTAL COST VALUE OF CURRENT UNITS]]</f>
        <v>0</v>
      </c>
      <c r="AE509" s="44">
        <f>IF(INVESTORS_LIST[[#This Row],[TOTAL CURRENT UNITS]]=0,0,INVESTORS_LIST[[#This Row],[LS_TOTAL CURRENT UNITS]]/INVESTORS_LIST[[#This Row],[TOTAL CURRENT UNITS]])</f>
        <v>0</v>
      </c>
      <c r="AF509" s="44">
        <f>IF(INVESTORS_LIST[[#This Row],[TOTAL CURRENT UNITS]]=0,0,INVESTORS_LIST[[#This Row],[SIP_TOTAL CURRENT UNITS]]/INVESTORS_LIST[[#This Row],[TOTAL CURRENT UNITS]])</f>
        <v>0</v>
      </c>
      <c r="AG509" s="4" cm="1">
        <f t="array" ref="AG50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09" s="4" cm="1">
        <f t="array" ref="AH5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0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09" s="178">
        <f t="shared" si="12"/>
        <v>12.552</v>
      </c>
      <c r="AK509" s="118">
        <f>IF(INVESTORS_LIST[[#This Row],[TOTAL CURRENT UNITS]]=0,0,INVESTORS_LIST[[#This Row],[TOTAL CURRENT UNITS]]*INVESTORS_LIST[[#This Row],[NAV]])</f>
        <v>0</v>
      </c>
      <c r="AL509" s="4">
        <f>IF(INVESTORS_LIST[[#This Row],[LS_TOTAL CURRENT UNITS]]=0,0,INVESTORS_LIST[[#This Row],[LS_TOTAL CURRENT UNITS]]*INVESTORS_LIST[[#This Row],[NAV]])</f>
        <v>0</v>
      </c>
      <c r="AM509" s="6">
        <f>IF(INVESTORS_LIST[[#This Row],[SIP_TOTAL CURRENT UNITS]]=0,0,INVESTORS_LIST[[#This Row],[SIP_TOTAL CURRENT UNITS]]*INVESTORS_LIST[[#This Row],[NAV]])</f>
        <v>0</v>
      </c>
      <c r="AO509" s="6">
        <f>IF(INVESTORS_LIST[[#This Row],[TOTAL SELLABLE UNITS]]=0,0,INVESTORS_LIST[[#This Row],[TOTAL SELLABLE UNITS]]*INVESTORS_LIST[[#This Row],[NAV]])</f>
        <v>0</v>
      </c>
      <c r="AP509" s="6">
        <f>INVESTORS_LIST[[#This Row],[LS_TOTAL REALIZED GAIN]]+INVESTORS_LIST[[#This Row],[SIP_TOTAL REALIZED GAIN]]</f>
        <v>0</v>
      </c>
      <c r="AQ509" s="6">
        <f>INVESTORS_LIST[[#This Row],[TOTAL MARKET VALUE]]-INVESTORS_LIST[[#This Row],[TOTAL COST VALUE OF CURRENT INVESTMENT]]</f>
        <v>0</v>
      </c>
      <c r="AR509" s="6">
        <f>SUMIFS(DivAndTax[Tax Amount],DivAndTax[Investor ID],INVESTORS_LIST[[#This Row],[INVESTOR CODE]])</f>
        <v>0</v>
      </c>
      <c r="AS509" s="6">
        <f>SUMIFS(DivAndTax[Gross Dividend],DivAndTax[Investor ID],INVESTORS_LIST[[#This Row],[INVESTOR CODE]])</f>
        <v>0</v>
      </c>
      <c r="AT509" s="5">
        <f>IFERROR(INVESTORS_LIST[[#This Row],[TOTAL CURRENT UNITS]]/SUM(INVESTORS_LIST[TOTAL CURRENT UNITS]),0)</f>
        <v>0</v>
      </c>
    </row>
    <row r="510" spans="1:46" hidden="1">
      <c r="A510" t="s">
        <v>1209</v>
      </c>
      <c r="B510" t="s">
        <v>1210</v>
      </c>
      <c r="C510" t="s">
        <v>539</v>
      </c>
      <c r="D510" s="8" t="s">
        <v>2</v>
      </c>
      <c r="E510" s="2">
        <f>SUMIFS(LS[Unit],LS[Investor ID],INVESTORS_LIST[[#This Row],[INVESTOR CODE]],LS[B/S],"B")</f>
        <v>0</v>
      </c>
      <c r="F510" s="2">
        <f>-SUMIFS(LS[Unit],LS[Investor ID],INVESTORS_LIST[[#This Row],[INVESTOR CODE]],LS[B/S],"S")</f>
        <v>0</v>
      </c>
      <c r="G510" s="2">
        <f>IF(INVESTORS_LIST[[#This Row],[LS_TOTAL UNITS BUY]]=0,0,INVESTORS_LIST[[#This Row],[LS_TOTAL UNITS BUY]]-INVESTORS_LIST[[#This Row],[LS_TOTAL UNITS SOLD]])</f>
        <v>0</v>
      </c>
      <c r="H510" s="4">
        <f>IF(INVESTORS_LIST[[#This Row],[LS_TOTAL UNITS BUY]]=0,0,SUMIFS(LS[Amount],LS[Investor ID],INVESTORS_LIST[[#This Row],[INVESTOR CODE]],LS[B/S],"B"))</f>
        <v>0</v>
      </c>
      <c r="I510" s="6">
        <f>IF(INVESTORS_LIST[[#This Row],[LS_TOTAL UNITS SOLD]]=0,0,SUMIFS(LS[Cost of Units Sold],LS[Investor ID],INVESTORS_LIST[[#This Row],[INVESTOR CODE]],LS[B/S],"S"))</f>
        <v>0</v>
      </c>
      <c r="J510" s="6">
        <f>IF(INVESTORS_LIST[[#This Row],[LS_TOTAL CURRENT UNITS]]=0,0,INVESTORS_LIST[[#This Row],[LS_TOTAL CURRENT UNITS]]*INVESTORS_LIST[[#This Row],[LS_AVERAGE COST]])</f>
        <v>0</v>
      </c>
      <c r="K510" s="4">
        <f>IF(INVESTORS_LIST[[#This Row],[LS_TOTAL UNITS SOLD]]=0,0,SUMIFS(LS[Realized Gain],LS[Investor ID],INVESTORS_LIST[[#This Row],[INVESTOR CODE]],LS[B/S],"S"))</f>
        <v>0</v>
      </c>
      <c r="L510" s="2">
        <f>SUMIFS(SIP[Unit],SIP[Investor ID],INVESTORS_LIST[[#This Row],[INVESTOR CODE]],SIP[B/S],"B")</f>
        <v>0</v>
      </c>
      <c r="M510" s="2">
        <f>-SUMIFS(SIP[Unit],SIP[Investor ID],INVESTORS_LIST[[#This Row],[INVESTOR CODE]],SIP[B/S],"S")</f>
        <v>0</v>
      </c>
      <c r="N510" s="33">
        <f>IF(INVESTORS_LIST[[#This Row],[SIP_TOTAL UNITS BUY]]=0,0,INVESTORS_LIST[[#This Row],[SIP_TOTAL UNITS BUY]]-INVESTORS_LIST[[#This Row],[SIP_TOTAL UNITS SOLD]])</f>
        <v>0</v>
      </c>
      <c r="O510" s="4">
        <f>IF(INVESTORS_LIST[[#This Row],[SIP_TOTAL UNITS BUY]]=0,0,SUMIFS(SIP[Amount],SIP[Investor ID],INVESTORS_LIST[[#This Row],[INVESTOR CODE]],SIP[B/S],"B"))</f>
        <v>0</v>
      </c>
      <c r="P510" s="4">
        <f>IF(INVESTORS_LIST[[#This Row],[SIP_TOTAL UNITS SOLD]]=0,0,SUMIFS(SIP[Cost of Units Sold],SIP[Investor ID],INVESTORS_LIST[[#This Row],[INVESTOR CODE]],SIP[B/S],"S"))</f>
        <v>0</v>
      </c>
      <c r="Q510" s="6">
        <f>IF(INVESTORS_LIST[[#This Row],[SIP_TOTAL CURRENT UNITS]]=0,0,INVESTORS_LIST[[#This Row],[SIP_TOTAL CURRENT UNITS]]*INVESTORS_LIST[[#This Row],[SIP_AVERAGE COST]])</f>
        <v>0</v>
      </c>
      <c r="R510" s="6">
        <f>IF(INVESTORS_LIST[[#This Row],[SIP_TOTAL UNITS SOLD]]=0,0,SUMIFS(SIP[Realized Gain],SIP[Investor ID],INVESTORS_LIST[[#This Row],[INVESTOR CODE]],SIP[B/S],"S"))</f>
        <v>0</v>
      </c>
      <c r="S510" s="33">
        <f>INVESTORS_LIST[[#This Row],[LS_TOTAL UNITS BUY]]+INVESTORS_LIST[[#This Row],[SIP_TOTAL UNITS BUY]]</f>
        <v>0</v>
      </c>
      <c r="T510" s="33">
        <f>INVESTORS_LIST[[#This Row],[LS_TOTAL UNITS SOLD]]+INVESTORS_LIST[[#This Row],[SIP_TOTAL UNITS SOLD]]</f>
        <v>0</v>
      </c>
      <c r="U510" s="33">
        <v>0</v>
      </c>
      <c r="V510" s="33">
        <f>SUMIFS(LS[BO UNIT TRANSFER],LS[Investor ID],INVESTORS_LIST[[#This Row],[INVESTOR CODE]],LS[B/S],"B")</f>
        <v>0</v>
      </c>
      <c r="W510" s="33">
        <f>SUMIFS(LS[BO UNIT TRANSFER],LS[Investor ID],INVESTORS_LIST[[#This Row],[INVESTOR CODE]],LS[B/S],"S")</f>
        <v>0</v>
      </c>
      <c r="X510" s="33">
        <f>SUMIFS(SIP[BO UNIT TRANSFER],SIP[Investor ID],INVESTORS_LIST[[#This Row],[INVESTOR CODE]],SIP[B/S],"S")</f>
        <v>0</v>
      </c>
      <c r="Y510" s="33">
        <f>SUMIFS(SIP[BO UNIT TRANSFER],SIP[Investor ID],INVESTORS_LIST[[#This Row],[INVESTOR CODE]],SIP[B/S],"B")</f>
        <v>0</v>
      </c>
      <c r="Z51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10" s="119">
        <f>INVESTORS_LIST[[#This Row],[TOTAL UNITS BUY]]-INVESTORS_LIST[[#This Row],[TOTAL UNITS SOLD]]</f>
        <v>0</v>
      </c>
      <c r="AB510" s="119">
        <f>INVESTORS_LIST[[#This Row],[TOTAL CURRENT UNITS]]-INVESTORS_LIST[[#This Row],[BO UNITS HOLD]]</f>
        <v>0</v>
      </c>
      <c r="AC510" s="119" t="e">
        <f>INDEX([4]!Table_1[BO ID],MATCH(INVESTORS_LIST[[#This Row],[INVESTOR CODE]],[4]!Table_1[INVESTOR CODE],0))</f>
        <v>#REF!</v>
      </c>
      <c r="AD510" s="33">
        <f>INVESTORS_LIST[[#This Row],[LS_TOTAL COST VALUE OF CURRENT UNITS]]+INVESTORS_LIST[[#This Row],[SIP_TOTAL COST VALUE OF CURRENT UNITS]]</f>
        <v>0</v>
      </c>
      <c r="AE510" s="44">
        <f>IF(INVESTORS_LIST[[#This Row],[TOTAL CURRENT UNITS]]=0,0,INVESTORS_LIST[[#This Row],[LS_TOTAL CURRENT UNITS]]/INVESTORS_LIST[[#This Row],[TOTAL CURRENT UNITS]])</f>
        <v>0</v>
      </c>
      <c r="AF510" s="44">
        <f>IF(INVESTORS_LIST[[#This Row],[TOTAL CURRENT UNITS]]=0,0,INVESTORS_LIST[[#This Row],[SIP_TOTAL CURRENT UNITS]]/INVESTORS_LIST[[#This Row],[TOTAL CURRENT UNITS]])</f>
        <v>0</v>
      </c>
      <c r="AG510" s="4" cm="1">
        <f t="array" ref="AG5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10" s="4" cm="1">
        <f t="array" ref="AH5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1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10" s="178">
        <f t="shared" ref="AJ510:AJ541" si="13">NAV_MKT</f>
        <v>12.552</v>
      </c>
      <c r="AK510" s="118">
        <f>IF(INVESTORS_LIST[[#This Row],[TOTAL CURRENT UNITS]]=0,0,INVESTORS_LIST[[#This Row],[TOTAL CURRENT UNITS]]*INVESTORS_LIST[[#This Row],[NAV]])</f>
        <v>0</v>
      </c>
      <c r="AL510" s="4">
        <f>IF(INVESTORS_LIST[[#This Row],[LS_TOTAL CURRENT UNITS]]=0,0,INVESTORS_LIST[[#This Row],[LS_TOTAL CURRENT UNITS]]*INVESTORS_LIST[[#This Row],[NAV]])</f>
        <v>0</v>
      </c>
      <c r="AM510" s="6">
        <f>IF(INVESTORS_LIST[[#This Row],[SIP_TOTAL CURRENT UNITS]]=0,0,INVESTORS_LIST[[#This Row],[SIP_TOTAL CURRENT UNITS]]*INVESTORS_LIST[[#This Row],[NAV]])</f>
        <v>0</v>
      </c>
      <c r="AO510" s="6">
        <f>IF(INVESTORS_LIST[[#This Row],[TOTAL SELLABLE UNITS]]=0,0,INVESTORS_LIST[[#This Row],[TOTAL SELLABLE UNITS]]*INVESTORS_LIST[[#This Row],[NAV]])</f>
        <v>0</v>
      </c>
      <c r="AP510" s="6">
        <f>INVESTORS_LIST[[#This Row],[LS_TOTAL REALIZED GAIN]]+INVESTORS_LIST[[#This Row],[SIP_TOTAL REALIZED GAIN]]</f>
        <v>0</v>
      </c>
      <c r="AQ510" s="6">
        <f>INVESTORS_LIST[[#This Row],[TOTAL MARKET VALUE]]-INVESTORS_LIST[[#This Row],[TOTAL COST VALUE OF CURRENT INVESTMENT]]</f>
        <v>0</v>
      </c>
      <c r="AR510" s="6">
        <f>SUMIFS(DivAndTax[Tax Amount],DivAndTax[Investor ID],INVESTORS_LIST[[#This Row],[INVESTOR CODE]])</f>
        <v>0</v>
      </c>
      <c r="AS510" s="6">
        <f>SUMIFS(DivAndTax[Gross Dividend],DivAndTax[Investor ID],INVESTORS_LIST[[#This Row],[INVESTOR CODE]])</f>
        <v>0</v>
      </c>
      <c r="AT510" s="5">
        <f>IFERROR(INVESTORS_LIST[[#This Row],[TOTAL CURRENT UNITS]]/SUM(INVESTORS_LIST[TOTAL CURRENT UNITS]),0)</f>
        <v>0</v>
      </c>
    </row>
    <row r="511" spans="1:46" hidden="1">
      <c r="A511" t="s">
        <v>1211</v>
      </c>
      <c r="B511" t="s">
        <v>1212</v>
      </c>
      <c r="C511" t="s">
        <v>536</v>
      </c>
      <c r="D511" s="8" t="s">
        <v>2</v>
      </c>
      <c r="E511" s="2">
        <f>SUMIFS(LS[Unit],LS[Investor ID],INVESTORS_LIST[[#This Row],[INVESTOR CODE]],LS[B/S],"B")</f>
        <v>0</v>
      </c>
      <c r="F511" s="2">
        <f>-SUMIFS(LS[Unit],LS[Investor ID],INVESTORS_LIST[[#This Row],[INVESTOR CODE]],LS[B/S],"S")</f>
        <v>0</v>
      </c>
      <c r="G511" s="2">
        <f>IF(INVESTORS_LIST[[#This Row],[LS_TOTAL UNITS BUY]]=0,0,INVESTORS_LIST[[#This Row],[LS_TOTAL UNITS BUY]]-INVESTORS_LIST[[#This Row],[LS_TOTAL UNITS SOLD]])</f>
        <v>0</v>
      </c>
      <c r="H511" s="4">
        <f>IF(INVESTORS_LIST[[#This Row],[LS_TOTAL UNITS BUY]]=0,0,SUMIFS(LS[Amount],LS[Investor ID],INVESTORS_LIST[[#This Row],[INVESTOR CODE]],LS[B/S],"B"))</f>
        <v>0</v>
      </c>
      <c r="I511" s="6">
        <f>IF(INVESTORS_LIST[[#This Row],[LS_TOTAL UNITS SOLD]]=0,0,SUMIFS(LS[Cost of Units Sold],LS[Investor ID],INVESTORS_LIST[[#This Row],[INVESTOR CODE]],LS[B/S],"S"))</f>
        <v>0</v>
      </c>
      <c r="J511" s="6">
        <f>IF(INVESTORS_LIST[[#This Row],[LS_TOTAL CURRENT UNITS]]=0,0,INVESTORS_LIST[[#This Row],[LS_TOTAL CURRENT UNITS]]*INVESTORS_LIST[[#This Row],[LS_AVERAGE COST]])</f>
        <v>0</v>
      </c>
      <c r="K511" s="4">
        <f>IF(INVESTORS_LIST[[#This Row],[LS_TOTAL UNITS SOLD]]=0,0,SUMIFS(LS[Realized Gain],LS[Investor ID],INVESTORS_LIST[[#This Row],[INVESTOR CODE]],LS[B/S],"S"))</f>
        <v>0</v>
      </c>
      <c r="L511" s="2">
        <f>SUMIFS(SIP[Unit],SIP[Investor ID],INVESTORS_LIST[[#This Row],[INVESTOR CODE]],SIP[B/S],"B")</f>
        <v>0</v>
      </c>
      <c r="M511" s="2">
        <f>-SUMIFS(SIP[Unit],SIP[Investor ID],INVESTORS_LIST[[#This Row],[INVESTOR CODE]],SIP[B/S],"S")</f>
        <v>0</v>
      </c>
      <c r="N511" s="33">
        <f>IF(INVESTORS_LIST[[#This Row],[SIP_TOTAL UNITS BUY]]=0,0,INVESTORS_LIST[[#This Row],[SIP_TOTAL UNITS BUY]]-INVESTORS_LIST[[#This Row],[SIP_TOTAL UNITS SOLD]])</f>
        <v>0</v>
      </c>
      <c r="O511" s="4">
        <f>IF(INVESTORS_LIST[[#This Row],[SIP_TOTAL UNITS BUY]]=0,0,SUMIFS(SIP[Amount],SIP[Investor ID],INVESTORS_LIST[[#This Row],[INVESTOR CODE]],SIP[B/S],"B"))</f>
        <v>0</v>
      </c>
      <c r="P511" s="4">
        <f>IF(INVESTORS_LIST[[#This Row],[SIP_TOTAL UNITS SOLD]]=0,0,SUMIFS(SIP[Cost of Units Sold],SIP[Investor ID],INVESTORS_LIST[[#This Row],[INVESTOR CODE]],SIP[B/S],"S"))</f>
        <v>0</v>
      </c>
      <c r="Q511" s="6">
        <f>IF(INVESTORS_LIST[[#This Row],[SIP_TOTAL CURRENT UNITS]]=0,0,INVESTORS_LIST[[#This Row],[SIP_TOTAL CURRENT UNITS]]*INVESTORS_LIST[[#This Row],[SIP_AVERAGE COST]])</f>
        <v>0</v>
      </c>
      <c r="R511" s="6">
        <f>IF(INVESTORS_LIST[[#This Row],[SIP_TOTAL UNITS SOLD]]=0,0,SUMIFS(SIP[Realized Gain],SIP[Investor ID],INVESTORS_LIST[[#This Row],[INVESTOR CODE]],SIP[B/S],"S"))</f>
        <v>0</v>
      </c>
      <c r="S511" s="33">
        <f>INVESTORS_LIST[[#This Row],[LS_TOTAL UNITS BUY]]+INVESTORS_LIST[[#This Row],[SIP_TOTAL UNITS BUY]]</f>
        <v>0</v>
      </c>
      <c r="T511" s="33">
        <f>INVESTORS_LIST[[#This Row],[LS_TOTAL UNITS SOLD]]+INVESTORS_LIST[[#This Row],[SIP_TOTAL UNITS SOLD]]</f>
        <v>0</v>
      </c>
      <c r="U511" s="33">
        <v>0</v>
      </c>
      <c r="V511" s="33">
        <f>SUMIFS(LS[BO UNIT TRANSFER],LS[Investor ID],INVESTORS_LIST[[#This Row],[INVESTOR CODE]],LS[B/S],"B")</f>
        <v>0</v>
      </c>
      <c r="W511" s="33">
        <f>SUMIFS(LS[BO UNIT TRANSFER],LS[Investor ID],INVESTORS_LIST[[#This Row],[INVESTOR CODE]],LS[B/S],"S")</f>
        <v>0</v>
      </c>
      <c r="X511" s="33">
        <f>SUMIFS(SIP[BO UNIT TRANSFER],SIP[Investor ID],INVESTORS_LIST[[#This Row],[INVESTOR CODE]],SIP[B/S],"S")</f>
        <v>0</v>
      </c>
      <c r="Y511" s="33">
        <f>SUMIFS(SIP[BO UNIT TRANSFER],SIP[Investor ID],INVESTORS_LIST[[#This Row],[INVESTOR CODE]],SIP[B/S],"B")</f>
        <v>0</v>
      </c>
      <c r="Z51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11" s="119">
        <f>INVESTORS_LIST[[#This Row],[TOTAL UNITS BUY]]-INVESTORS_LIST[[#This Row],[TOTAL UNITS SOLD]]</f>
        <v>0</v>
      </c>
      <c r="AB511" s="119">
        <f>INVESTORS_LIST[[#This Row],[TOTAL CURRENT UNITS]]-INVESTORS_LIST[[#This Row],[BO UNITS HOLD]]</f>
        <v>0</v>
      </c>
      <c r="AC511" s="119" t="e">
        <f>INDEX([4]!Table_1[BO ID],MATCH(INVESTORS_LIST[[#This Row],[INVESTOR CODE]],[4]!Table_1[INVESTOR CODE],0))</f>
        <v>#REF!</v>
      </c>
      <c r="AD511" s="33">
        <f>INVESTORS_LIST[[#This Row],[LS_TOTAL COST VALUE OF CURRENT UNITS]]+INVESTORS_LIST[[#This Row],[SIP_TOTAL COST VALUE OF CURRENT UNITS]]</f>
        <v>0</v>
      </c>
      <c r="AE511" s="44">
        <f>IF(INVESTORS_LIST[[#This Row],[TOTAL CURRENT UNITS]]=0,0,INVESTORS_LIST[[#This Row],[LS_TOTAL CURRENT UNITS]]/INVESTORS_LIST[[#This Row],[TOTAL CURRENT UNITS]])</f>
        <v>0</v>
      </c>
      <c r="AF511" s="44">
        <f>IF(INVESTORS_LIST[[#This Row],[TOTAL CURRENT UNITS]]=0,0,INVESTORS_LIST[[#This Row],[SIP_TOTAL CURRENT UNITS]]/INVESTORS_LIST[[#This Row],[TOTAL CURRENT UNITS]])</f>
        <v>0</v>
      </c>
      <c r="AG511" s="4" cm="1">
        <f t="array" ref="AG5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11" s="4" cm="1">
        <f t="array" ref="AH5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1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11" s="178">
        <f t="shared" si="13"/>
        <v>12.552</v>
      </c>
      <c r="AK511" s="118">
        <f>IF(INVESTORS_LIST[[#This Row],[TOTAL CURRENT UNITS]]=0,0,INVESTORS_LIST[[#This Row],[TOTAL CURRENT UNITS]]*INVESTORS_LIST[[#This Row],[NAV]])</f>
        <v>0</v>
      </c>
      <c r="AL511" s="4">
        <f>IF(INVESTORS_LIST[[#This Row],[LS_TOTAL CURRENT UNITS]]=0,0,INVESTORS_LIST[[#This Row],[LS_TOTAL CURRENT UNITS]]*INVESTORS_LIST[[#This Row],[NAV]])</f>
        <v>0</v>
      </c>
      <c r="AM511" s="6">
        <f>IF(INVESTORS_LIST[[#This Row],[SIP_TOTAL CURRENT UNITS]]=0,0,INVESTORS_LIST[[#This Row],[SIP_TOTAL CURRENT UNITS]]*INVESTORS_LIST[[#This Row],[NAV]])</f>
        <v>0</v>
      </c>
      <c r="AO511" s="6">
        <f>IF(INVESTORS_LIST[[#This Row],[TOTAL SELLABLE UNITS]]=0,0,INVESTORS_LIST[[#This Row],[TOTAL SELLABLE UNITS]]*INVESTORS_LIST[[#This Row],[NAV]])</f>
        <v>0</v>
      </c>
      <c r="AP511" s="6">
        <f>INVESTORS_LIST[[#This Row],[LS_TOTAL REALIZED GAIN]]+INVESTORS_LIST[[#This Row],[SIP_TOTAL REALIZED GAIN]]</f>
        <v>0</v>
      </c>
      <c r="AQ511" s="6">
        <f>INVESTORS_LIST[[#This Row],[TOTAL MARKET VALUE]]-INVESTORS_LIST[[#This Row],[TOTAL COST VALUE OF CURRENT INVESTMENT]]</f>
        <v>0</v>
      </c>
      <c r="AR511" s="6">
        <f>SUMIFS(DivAndTax[Tax Amount],DivAndTax[Investor ID],INVESTORS_LIST[[#This Row],[INVESTOR CODE]])</f>
        <v>0</v>
      </c>
      <c r="AS511" s="6">
        <f>SUMIFS(DivAndTax[Gross Dividend],DivAndTax[Investor ID],INVESTORS_LIST[[#This Row],[INVESTOR CODE]])</f>
        <v>0</v>
      </c>
      <c r="AT511" s="5">
        <f>IFERROR(INVESTORS_LIST[[#This Row],[TOTAL CURRENT UNITS]]/SUM(INVESTORS_LIST[TOTAL CURRENT UNITS]),0)</f>
        <v>0</v>
      </c>
    </row>
    <row r="512" spans="1:46" hidden="1">
      <c r="A512" t="s">
        <v>1213</v>
      </c>
      <c r="B512" t="s">
        <v>1214</v>
      </c>
      <c r="C512" t="s">
        <v>539</v>
      </c>
      <c r="D512" s="8" t="s">
        <v>2</v>
      </c>
      <c r="E512" s="2">
        <f>SUMIFS(LS[Unit],LS[Investor ID],INVESTORS_LIST[[#This Row],[INVESTOR CODE]],LS[B/S],"B")</f>
        <v>184852</v>
      </c>
      <c r="F512" s="2">
        <f>-SUMIFS(LS[Unit],LS[Investor ID],INVESTORS_LIST[[#This Row],[INVESTOR CODE]],LS[B/S],"S")</f>
        <v>184852</v>
      </c>
      <c r="G512" s="2">
        <f>IF(INVESTORS_LIST[[#This Row],[LS_TOTAL UNITS BUY]]=0,0,INVESTORS_LIST[[#This Row],[LS_TOTAL UNITS BUY]]-INVESTORS_LIST[[#This Row],[LS_TOTAL UNITS SOLD]])</f>
        <v>0</v>
      </c>
      <c r="H512" s="4">
        <f>IF(INVESTORS_LIST[[#This Row],[LS_TOTAL UNITS BUY]]=0,0,SUMIFS(LS[Amount],LS[Investor ID],INVESTORS_LIST[[#This Row],[INVESTOR CODE]],LS[B/S],"B"))</f>
        <v>1950000</v>
      </c>
      <c r="I512" s="6">
        <f>IF(INVESTORS_LIST[[#This Row],[LS_TOTAL UNITS SOLD]]=0,0,SUMIFS(LS[Cost of Units Sold],LS[Investor ID],INVESTORS_LIST[[#This Row],[INVESTOR CODE]],LS[B/S],"S"))</f>
        <v>1950000</v>
      </c>
      <c r="J512" s="6">
        <f>IF(INVESTORS_LIST[[#This Row],[LS_TOTAL CURRENT UNITS]]=0,0,INVESTORS_LIST[[#This Row],[LS_TOTAL CURRENT UNITS]]*INVESTORS_LIST[[#This Row],[LS_AVERAGE COST]])</f>
        <v>0</v>
      </c>
      <c r="K512" s="4">
        <f>IF(INVESTORS_LIST[[#This Row],[LS_TOTAL UNITS SOLD]]=0,0,SUMIFS(LS[Realized Gain],LS[Investor ID],INVESTORS_LIST[[#This Row],[INVESTOR CODE]],LS[B/S],"S"))</f>
        <v>27361.84000000016</v>
      </c>
      <c r="L512" s="2">
        <f>SUMIFS(SIP[Unit],SIP[Investor ID],INVESTORS_LIST[[#This Row],[INVESTOR CODE]],SIP[B/S],"B")</f>
        <v>0</v>
      </c>
      <c r="M512" s="2">
        <f>-SUMIFS(SIP[Unit],SIP[Investor ID],INVESTORS_LIST[[#This Row],[INVESTOR CODE]],SIP[B/S],"S")</f>
        <v>0</v>
      </c>
      <c r="N512" s="33">
        <f>IF(INVESTORS_LIST[[#This Row],[SIP_TOTAL UNITS BUY]]=0,0,INVESTORS_LIST[[#This Row],[SIP_TOTAL UNITS BUY]]-INVESTORS_LIST[[#This Row],[SIP_TOTAL UNITS SOLD]])</f>
        <v>0</v>
      </c>
      <c r="O512" s="4">
        <f>IF(INVESTORS_LIST[[#This Row],[SIP_TOTAL UNITS BUY]]=0,0,SUMIFS(SIP[Amount],SIP[Investor ID],INVESTORS_LIST[[#This Row],[INVESTOR CODE]],SIP[B/S],"B"))</f>
        <v>0</v>
      </c>
      <c r="P512" s="4">
        <f>IF(INVESTORS_LIST[[#This Row],[SIP_TOTAL UNITS SOLD]]=0,0,SUMIFS(SIP[Cost of Units Sold],SIP[Investor ID],INVESTORS_LIST[[#This Row],[INVESTOR CODE]],SIP[B/S],"S"))</f>
        <v>0</v>
      </c>
      <c r="Q512" s="6">
        <f>IF(INVESTORS_LIST[[#This Row],[SIP_TOTAL CURRENT UNITS]]=0,0,INVESTORS_LIST[[#This Row],[SIP_TOTAL CURRENT UNITS]]*INVESTORS_LIST[[#This Row],[SIP_AVERAGE COST]])</f>
        <v>0</v>
      </c>
      <c r="R512" s="6">
        <f>IF(INVESTORS_LIST[[#This Row],[SIP_TOTAL UNITS SOLD]]=0,0,SUMIFS(SIP[Realized Gain],SIP[Investor ID],INVESTORS_LIST[[#This Row],[INVESTOR CODE]],SIP[B/S],"S"))</f>
        <v>0</v>
      </c>
      <c r="S512" s="33">
        <f>INVESTORS_LIST[[#This Row],[LS_TOTAL UNITS BUY]]+INVESTORS_LIST[[#This Row],[SIP_TOTAL UNITS BUY]]</f>
        <v>184852</v>
      </c>
      <c r="T512" s="33">
        <f>INVESTORS_LIST[[#This Row],[LS_TOTAL UNITS SOLD]]+INVESTORS_LIST[[#This Row],[SIP_TOTAL UNITS SOLD]]</f>
        <v>184852</v>
      </c>
      <c r="U512" s="33">
        <v>0</v>
      </c>
      <c r="V512" s="33">
        <f>SUMIFS(LS[BO UNIT TRANSFER],LS[Investor ID],INVESTORS_LIST[[#This Row],[INVESTOR CODE]],LS[B/S],"B")</f>
        <v>0</v>
      </c>
      <c r="W512" s="33">
        <f>SUMIFS(LS[BO UNIT TRANSFER],LS[Investor ID],INVESTORS_LIST[[#This Row],[INVESTOR CODE]],LS[B/S],"S")</f>
        <v>0</v>
      </c>
      <c r="X512" s="33">
        <f>SUMIFS(SIP[BO UNIT TRANSFER],SIP[Investor ID],INVESTORS_LIST[[#This Row],[INVESTOR CODE]],SIP[B/S],"S")</f>
        <v>0</v>
      </c>
      <c r="Y512" s="33">
        <f>SUMIFS(SIP[BO UNIT TRANSFER],SIP[Investor ID],INVESTORS_LIST[[#This Row],[INVESTOR CODE]],SIP[B/S],"B")</f>
        <v>0</v>
      </c>
      <c r="Z51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12" s="119">
        <f>INVESTORS_LIST[[#This Row],[TOTAL UNITS BUY]]-INVESTORS_LIST[[#This Row],[TOTAL UNITS SOLD]]</f>
        <v>0</v>
      </c>
      <c r="AB512" s="119">
        <f>INVESTORS_LIST[[#This Row],[TOTAL CURRENT UNITS]]-INVESTORS_LIST[[#This Row],[BO UNITS HOLD]]</f>
        <v>0</v>
      </c>
      <c r="AC512" s="119" t="e">
        <f>INDEX([4]!Table_1[BO ID],MATCH(INVESTORS_LIST[[#This Row],[INVESTOR CODE]],[4]!Table_1[INVESTOR CODE],0))</f>
        <v>#REF!</v>
      </c>
      <c r="AD512" s="33">
        <f>INVESTORS_LIST[[#This Row],[LS_TOTAL COST VALUE OF CURRENT UNITS]]+INVESTORS_LIST[[#This Row],[SIP_TOTAL COST VALUE OF CURRENT UNITS]]</f>
        <v>0</v>
      </c>
      <c r="AE512" s="44">
        <f>IF(INVESTORS_LIST[[#This Row],[TOTAL CURRENT UNITS]]=0,0,INVESTORS_LIST[[#This Row],[LS_TOTAL CURRENT UNITS]]/INVESTORS_LIST[[#This Row],[TOTAL CURRENT UNITS]])</f>
        <v>0</v>
      </c>
      <c r="AF512" s="44">
        <f>IF(INVESTORS_LIST[[#This Row],[TOTAL CURRENT UNITS]]=0,0,INVESTORS_LIST[[#This Row],[SIP_TOTAL CURRENT UNITS]]/INVESTORS_LIST[[#This Row],[TOTAL CURRENT UNITS]])</f>
        <v>0</v>
      </c>
      <c r="AG512" s="4" cm="1">
        <f t="array" ref="AG5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12" s="4" cm="1">
        <f t="array" ref="AH5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1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12" s="178">
        <f t="shared" si="13"/>
        <v>12.552</v>
      </c>
      <c r="AK512" s="118">
        <f>IF(INVESTORS_LIST[[#This Row],[TOTAL CURRENT UNITS]]=0,0,INVESTORS_LIST[[#This Row],[TOTAL CURRENT UNITS]]*INVESTORS_LIST[[#This Row],[NAV]])</f>
        <v>0</v>
      </c>
      <c r="AL512" s="4">
        <f>IF(INVESTORS_LIST[[#This Row],[LS_TOTAL CURRENT UNITS]]=0,0,INVESTORS_LIST[[#This Row],[LS_TOTAL CURRENT UNITS]]*INVESTORS_LIST[[#This Row],[NAV]])</f>
        <v>0</v>
      </c>
      <c r="AM512" s="6">
        <f>IF(INVESTORS_LIST[[#This Row],[SIP_TOTAL CURRENT UNITS]]=0,0,INVESTORS_LIST[[#This Row],[SIP_TOTAL CURRENT UNITS]]*INVESTORS_LIST[[#This Row],[NAV]])</f>
        <v>0</v>
      </c>
      <c r="AO512" s="6">
        <f>IF(INVESTORS_LIST[[#This Row],[TOTAL SELLABLE UNITS]]=0,0,INVESTORS_LIST[[#This Row],[TOTAL SELLABLE UNITS]]*INVESTORS_LIST[[#This Row],[NAV]])</f>
        <v>0</v>
      </c>
      <c r="AP512" s="6">
        <f>INVESTORS_LIST[[#This Row],[LS_TOTAL REALIZED GAIN]]+INVESTORS_LIST[[#This Row],[SIP_TOTAL REALIZED GAIN]]</f>
        <v>27361.84000000016</v>
      </c>
      <c r="AQ512" s="6">
        <f>INVESTORS_LIST[[#This Row],[TOTAL MARKET VALUE]]-INVESTORS_LIST[[#This Row],[TOTAL COST VALUE OF CURRENT INVESTMENT]]</f>
        <v>0</v>
      </c>
      <c r="AR512" s="6">
        <f>SUMIFS(DivAndTax[Tax Amount],DivAndTax[Investor ID],INVESTORS_LIST[[#This Row],[INVESTOR CODE]])</f>
        <v>0</v>
      </c>
      <c r="AS512" s="6">
        <f>SUMIFS(DivAndTax[Gross Dividend],DivAndTax[Investor ID],INVESTORS_LIST[[#This Row],[INVESTOR CODE]])</f>
        <v>0</v>
      </c>
      <c r="AT512" s="5">
        <f>IFERROR(INVESTORS_LIST[[#This Row],[TOTAL CURRENT UNITS]]/SUM(INVESTORS_LIST[TOTAL CURRENT UNITS]),0)</f>
        <v>0</v>
      </c>
    </row>
    <row r="513" spans="1:46" hidden="1">
      <c r="A513" t="s">
        <v>1215</v>
      </c>
      <c r="B513" t="s">
        <v>1216</v>
      </c>
      <c r="C513" t="s">
        <v>536</v>
      </c>
      <c r="D513" s="8" t="s">
        <v>2</v>
      </c>
      <c r="E513" s="2">
        <f>SUMIFS(LS[Unit],LS[Investor ID],INVESTORS_LIST[[#This Row],[INVESTOR CODE]],LS[B/S],"B")</f>
        <v>0</v>
      </c>
      <c r="F513" s="2">
        <f>-SUMIFS(LS[Unit],LS[Investor ID],INVESTORS_LIST[[#This Row],[INVESTOR CODE]],LS[B/S],"S")</f>
        <v>0</v>
      </c>
      <c r="G513" s="2">
        <f>IF(INVESTORS_LIST[[#This Row],[LS_TOTAL UNITS BUY]]=0,0,INVESTORS_LIST[[#This Row],[LS_TOTAL UNITS BUY]]-INVESTORS_LIST[[#This Row],[LS_TOTAL UNITS SOLD]])</f>
        <v>0</v>
      </c>
      <c r="H513" s="4">
        <f>IF(INVESTORS_LIST[[#This Row],[LS_TOTAL UNITS BUY]]=0,0,SUMIFS(LS[Amount],LS[Investor ID],INVESTORS_LIST[[#This Row],[INVESTOR CODE]],LS[B/S],"B"))</f>
        <v>0</v>
      </c>
      <c r="I513" s="6">
        <f>IF(INVESTORS_LIST[[#This Row],[LS_TOTAL UNITS SOLD]]=0,0,SUMIFS(LS[Cost of Units Sold],LS[Investor ID],INVESTORS_LIST[[#This Row],[INVESTOR CODE]],LS[B/S],"S"))</f>
        <v>0</v>
      </c>
      <c r="J513" s="6">
        <f>IF(INVESTORS_LIST[[#This Row],[LS_TOTAL CURRENT UNITS]]=0,0,INVESTORS_LIST[[#This Row],[LS_TOTAL CURRENT UNITS]]*INVESTORS_LIST[[#This Row],[LS_AVERAGE COST]])</f>
        <v>0</v>
      </c>
      <c r="K513" s="4">
        <f>IF(INVESTORS_LIST[[#This Row],[LS_TOTAL UNITS SOLD]]=0,0,SUMIFS(LS[Realized Gain],LS[Investor ID],INVESTORS_LIST[[#This Row],[INVESTOR CODE]],LS[B/S],"S"))</f>
        <v>0</v>
      </c>
      <c r="L513" s="2">
        <f>SUMIFS(SIP[Unit],SIP[Investor ID],INVESTORS_LIST[[#This Row],[INVESTOR CODE]],SIP[B/S],"B")</f>
        <v>0</v>
      </c>
      <c r="M513" s="2">
        <f>-SUMIFS(SIP[Unit],SIP[Investor ID],INVESTORS_LIST[[#This Row],[INVESTOR CODE]],SIP[B/S],"S")</f>
        <v>0</v>
      </c>
      <c r="N513" s="33">
        <f>IF(INVESTORS_LIST[[#This Row],[SIP_TOTAL UNITS BUY]]=0,0,INVESTORS_LIST[[#This Row],[SIP_TOTAL UNITS BUY]]-INVESTORS_LIST[[#This Row],[SIP_TOTAL UNITS SOLD]])</f>
        <v>0</v>
      </c>
      <c r="O513" s="4">
        <f>IF(INVESTORS_LIST[[#This Row],[SIP_TOTAL UNITS BUY]]=0,0,SUMIFS(SIP[Amount],SIP[Investor ID],INVESTORS_LIST[[#This Row],[INVESTOR CODE]],SIP[B/S],"B"))</f>
        <v>0</v>
      </c>
      <c r="P513" s="4">
        <f>IF(INVESTORS_LIST[[#This Row],[SIP_TOTAL UNITS SOLD]]=0,0,SUMIFS(SIP[Cost of Units Sold],SIP[Investor ID],INVESTORS_LIST[[#This Row],[INVESTOR CODE]],SIP[B/S],"S"))</f>
        <v>0</v>
      </c>
      <c r="Q513" s="6">
        <f>IF(INVESTORS_LIST[[#This Row],[SIP_TOTAL CURRENT UNITS]]=0,0,INVESTORS_LIST[[#This Row],[SIP_TOTAL CURRENT UNITS]]*INVESTORS_LIST[[#This Row],[SIP_AVERAGE COST]])</f>
        <v>0</v>
      </c>
      <c r="R513" s="6">
        <f>IF(INVESTORS_LIST[[#This Row],[SIP_TOTAL UNITS SOLD]]=0,0,SUMIFS(SIP[Realized Gain],SIP[Investor ID],INVESTORS_LIST[[#This Row],[INVESTOR CODE]],SIP[B/S],"S"))</f>
        <v>0</v>
      </c>
      <c r="S513" s="33">
        <f>INVESTORS_LIST[[#This Row],[LS_TOTAL UNITS BUY]]+INVESTORS_LIST[[#This Row],[SIP_TOTAL UNITS BUY]]</f>
        <v>0</v>
      </c>
      <c r="T513" s="33">
        <f>INVESTORS_LIST[[#This Row],[LS_TOTAL UNITS SOLD]]+INVESTORS_LIST[[#This Row],[SIP_TOTAL UNITS SOLD]]</f>
        <v>0</v>
      </c>
      <c r="U513" s="33">
        <v>0</v>
      </c>
      <c r="V513" s="33">
        <f>SUMIFS(LS[BO UNIT TRANSFER],LS[Investor ID],INVESTORS_LIST[[#This Row],[INVESTOR CODE]],LS[B/S],"B")</f>
        <v>0</v>
      </c>
      <c r="W513" s="33">
        <f>SUMIFS(LS[BO UNIT TRANSFER],LS[Investor ID],INVESTORS_LIST[[#This Row],[INVESTOR CODE]],LS[B/S],"S")</f>
        <v>0</v>
      </c>
      <c r="X513" s="33">
        <f>SUMIFS(SIP[BO UNIT TRANSFER],SIP[Investor ID],INVESTORS_LIST[[#This Row],[INVESTOR CODE]],SIP[B/S],"S")</f>
        <v>0</v>
      </c>
      <c r="Y513" s="33">
        <f>SUMIFS(SIP[BO UNIT TRANSFER],SIP[Investor ID],INVESTORS_LIST[[#This Row],[INVESTOR CODE]],SIP[B/S],"B")</f>
        <v>0</v>
      </c>
      <c r="Z51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13" s="119">
        <f>INVESTORS_LIST[[#This Row],[TOTAL UNITS BUY]]-INVESTORS_LIST[[#This Row],[TOTAL UNITS SOLD]]</f>
        <v>0</v>
      </c>
      <c r="AB513" s="119">
        <f>INVESTORS_LIST[[#This Row],[TOTAL CURRENT UNITS]]-INVESTORS_LIST[[#This Row],[BO UNITS HOLD]]</f>
        <v>0</v>
      </c>
      <c r="AC513" s="119" t="e">
        <f>INDEX([4]!Table_1[BO ID],MATCH(INVESTORS_LIST[[#This Row],[INVESTOR CODE]],[4]!Table_1[INVESTOR CODE],0))</f>
        <v>#REF!</v>
      </c>
      <c r="AD513" s="33">
        <f>INVESTORS_LIST[[#This Row],[LS_TOTAL COST VALUE OF CURRENT UNITS]]+INVESTORS_LIST[[#This Row],[SIP_TOTAL COST VALUE OF CURRENT UNITS]]</f>
        <v>0</v>
      </c>
      <c r="AE513" s="44">
        <f>IF(INVESTORS_LIST[[#This Row],[TOTAL CURRENT UNITS]]=0,0,INVESTORS_LIST[[#This Row],[LS_TOTAL CURRENT UNITS]]/INVESTORS_LIST[[#This Row],[TOTAL CURRENT UNITS]])</f>
        <v>0</v>
      </c>
      <c r="AF513" s="44">
        <f>IF(INVESTORS_LIST[[#This Row],[TOTAL CURRENT UNITS]]=0,0,INVESTORS_LIST[[#This Row],[SIP_TOTAL CURRENT UNITS]]/INVESTORS_LIST[[#This Row],[TOTAL CURRENT UNITS]])</f>
        <v>0</v>
      </c>
      <c r="AG513" s="4" cm="1">
        <f t="array" ref="AG51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13" s="4" cm="1">
        <f t="array" ref="AH5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1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13" s="178">
        <f t="shared" si="13"/>
        <v>12.552</v>
      </c>
      <c r="AK513" s="118">
        <f>IF(INVESTORS_LIST[[#This Row],[TOTAL CURRENT UNITS]]=0,0,INVESTORS_LIST[[#This Row],[TOTAL CURRENT UNITS]]*INVESTORS_LIST[[#This Row],[NAV]])</f>
        <v>0</v>
      </c>
      <c r="AL513" s="4">
        <f>IF(INVESTORS_LIST[[#This Row],[LS_TOTAL CURRENT UNITS]]=0,0,INVESTORS_LIST[[#This Row],[LS_TOTAL CURRENT UNITS]]*INVESTORS_LIST[[#This Row],[NAV]])</f>
        <v>0</v>
      </c>
      <c r="AM513" s="6">
        <f>IF(INVESTORS_LIST[[#This Row],[SIP_TOTAL CURRENT UNITS]]=0,0,INVESTORS_LIST[[#This Row],[SIP_TOTAL CURRENT UNITS]]*INVESTORS_LIST[[#This Row],[NAV]])</f>
        <v>0</v>
      </c>
      <c r="AO513" s="6">
        <f>IF(INVESTORS_LIST[[#This Row],[TOTAL SELLABLE UNITS]]=0,0,INVESTORS_LIST[[#This Row],[TOTAL SELLABLE UNITS]]*INVESTORS_LIST[[#This Row],[NAV]])</f>
        <v>0</v>
      </c>
      <c r="AP513" s="6">
        <f>INVESTORS_LIST[[#This Row],[LS_TOTAL REALIZED GAIN]]+INVESTORS_LIST[[#This Row],[SIP_TOTAL REALIZED GAIN]]</f>
        <v>0</v>
      </c>
      <c r="AQ513" s="6">
        <f>INVESTORS_LIST[[#This Row],[TOTAL MARKET VALUE]]-INVESTORS_LIST[[#This Row],[TOTAL COST VALUE OF CURRENT INVESTMENT]]</f>
        <v>0</v>
      </c>
      <c r="AR513" s="6">
        <f>SUMIFS(DivAndTax[Tax Amount],DivAndTax[Investor ID],INVESTORS_LIST[[#This Row],[INVESTOR CODE]])</f>
        <v>0</v>
      </c>
      <c r="AS513" s="6">
        <f>SUMIFS(DivAndTax[Gross Dividend],DivAndTax[Investor ID],INVESTORS_LIST[[#This Row],[INVESTOR CODE]])</f>
        <v>0</v>
      </c>
      <c r="AT513" s="5">
        <f>IFERROR(INVESTORS_LIST[[#This Row],[TOTAL CURRENT UNITS]]/SUM(INVESTORS_LIST[TOTAL CURRENT UNITS]),0)</f>
        <v>0</v>
      </c>
    </row>
    <row r="514" spans="1:46" hidden="1">
      <c r="A514" t="s">
        <v>1217</v>
      </c>
      <c r="B514" t="s">
        <v>1218</v>
      </c>
      <c r="C514" t="s">
        <v>539</v>
      </c>
      <c r="D514" s="8" t="s">
        <v>2</v>
      </c>
      <c r="E514" s="2">
        <f>SUMIFS(LS[Unit],LS[Investor ID],INVESTORS_LIST[[#This Row],[INVESTOR CODE]],LS[B/S],"B")</f>
        <v>0</v>
      </c>
      <c r="F514" s="2">
        <f>-SUMIFS(LS[Unit],LS[Investor ID],INVESTORS_LIST[[#This Row],[INVESTOR CODE]],LS[B/S],"S")</f>
        <v>0</v>
      </c>
      <c r="G514" s="2">
        <f>IF(INVESTORS_LIST[[#This Row],[LS_TOTAL UNITS BUY]]=0,0,INVESTORS_LIST[[#This Row],[LS_TOTAL UNITS BUY]]-INVESTORS_LIST[[#This Row],[LS_TOTAL UNITS SOLD]])</f>
        <v>0</v>
      </c>
      <c r="H514" s="4">
        <f>IF(INVESTORS_LIST[[#This Row],[LS_TOTAL UNITS BUY]]=0,0,SUMIFS(LS[Amount],LS[Investor ID],INVESTORS_LIST[[#This Row],[INVESTOR CODE]],LS[B/S],"B"))</f>
        <v>0</v>
      </c>
      <c r="I514" s="6">
        <f>IF(INVESTORS_LIST[[#This Row],[LS_TOTAL UNITS SOLD]]=0,0,SUMIFS(LS[Cost of Units Sold],LS[Investor ID],INVESTORS_LIST[[#This Row],[INVESTOR CODE]],LS[B/S],"S"))</f>
        <v>0</v>
      </c>
      <c r="J514" s="6">
        <f>IF(INVESTORS_LIST[[#This Row],[LS_TOTAL CURRENT UNITS]]=0,0,INVESTORS_LIST[[#This Row],[LS_TOTAL CURRENT UNITS]]*INVESTORS_LIST[[#This Row],[LS_AVERAGE COST]])</f>
        <v>0</v>
      </c>
      <c r="K514" s="4">
        <f>IF(INVESTORS_LIST[[#This Row],[LS_TOTAL UNITS SOLD]]=0,0,SUMIFS(LS[Realized Gain],LS[Investor ID],INVESTORS_LIST[[#This Row],[INVESTOR CODE]],LS[B/S],"S"))</f>
        <v>0</v>
      </c>
      <c r="L514" s="2">
        <f>SUMIFS(SIP[Unit],SIP[Investor ID],INVESTORS_LIST[[#This Row],[INVESTOR CODE]],SIP[B/S],"B")</f>
        <v>0</v>
      </c>
      <c r="M514" s="2">
        <f>-SUMIFS(SIP[Unit],SIP[Investor ID],INVESTORS_LIST[[#This Row],[INVESTOR CODE]],SIP[B/S],"S")</f>
        <v>0</v>
      </c>
      <c r="N514" s="33">
        <f>IF(INVESTORS_LIST[[#This Row],[SIP_TOTAL UNITS BUY]]=0,0,INVESTORS_LIST[[#This Row],[SIP_TOTAL UNITS BUY]]-INVESTORS_LIST[[#This Row],[SIP_TOTAL UNITS SOLD]])</f>
        <v>0</v>
      </c>
      <c r="O514" s="4">
        <f>IF(INVESTORS_LIST[[#This Row],[SIP_TOTAL UNITS BUY]]=0,0,SUMIFS(SIP[Amount],SIP[Investor ID],INVESTORS_LIST[[#This Row],[INVESTOR CODE]],SIP[B/S],"B"))</f>
        <v>0</v>
      </c>
      <c r="P514" s="4">
        <f>IF(INVESTORS_LIST[[#This Row],[SIP_TOTAL UNITS SOLD]]=0,0,SUMIFS(SIP[Cost of Units Sold],SIP[Investor ID],INVESTORS_LIST[[#This Row],[INVESTOR CODE]],SIP[B/S],"S"))</f>
        <v>0</v>
      </c>
      <c r="Q514" s="6">
        <f>IF(INVESTORS_LIST[[#This Row],[SIP_TOTAL CURRENT UNITS]]=0,0,INVESTORS_LIST[[#This Row],[SIP_TOTAL CURRENT UNITS]]*INVESTORS_LIST[[#This Row],[SIP_AVERAGE COST]])</f>
        <v>0</v>
      </c>
      <c r="R514" s="6">
        <f>IF(INVESTORS_LIST[[#This Row],[SIP_TOTAL UNITS SOLD]]=0,0,SUMIFS(SIP[Realized Gain],SIP[Investor ID],INVESTORS_LIST[[#This Row],[INVESTOR CODE]],SIP[B/S],"S"))</f>
        <v>0</v>
      </c>
      <c r="S514" s="33">
        <f>INVESTORS_LIST[[#This Row],[LS_TOTAL UNITS BUY]]+INVESTORS_LIST[[#This Row],[SIP_TOTAL UNITS BUY]]</f>
        <v>0</v>
      </c>
      <c r="T514" s="33">
        <f>INVESTORS_LIST[[#This Row],[LS_TOTAL UNITS SOLD]]+INVESTORS_LIST[[#This Row],[SIP_TOTAL UNITS SOLD]]</f>
        <v>0</v>
      </c>
      <c r="U514" s="33">
        <v>0</v>
      </c>
      <c r="V514" s="33">
        <f>SUMIFS(LS[BO UNIT TRANSFER],LS[Investor ID],INVESTORS_LIST[[#This Row],[INVESTOR CODE]],LS[B/S],"B")</f>
        <v>0</v>
      </c>
      <c r="W514" s="33">
        <f>SUMIFS(LS[BO UNIT TRANSFER],LS[Investor ID],INVESTORS_LIST[[#This Row],[INVESTOR CODE]],LS[B/S],"S")</f>
        <v>0</v>
      </c>
      <c r="X514" s="33">
        <f>SUMIFS(SIP[BO UNIT TRANSFER],SIP[Investor ID],INVESTORS_LIST[[#This Row],[INVESTOR CODE]],SIP[B/S],"S")</f>
        <v>0</v>
      </c>
      <c r="Y514" s="33">
        <f>SUMIFS(SIP[BO UNIT TRANSFER],SIP[Investor ID],INVESTORS_LIST[[#This Row],[INVESTOR CODE]],SIP[B/S],"B")</f>
        <v>0</v>
      </c>
      <c r="Z51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14" s="119">
        <f>INVESTORS_LIST[[#This Row],[TOTAL UNITS BUY]]-INVESTORS_LIST[[#This Row],[TOTAL UNITS SOLD]]</f>
        <v>0</v>
      </c>
      <c r="AB514" s="119">
        <f>INVESTORS_LIST[[#This Row],[TOTAL CURRENT UNITS]]-INVESTORS_LIST[[#This Row],[BO UNITS HOLD]]</f>
        <v>0</v>
      </c>
      <c r="AC514" s="119" t="e">
        <f>INDEX([4]!Table_1[BO ID],MATCH(INVESTORS_LIST[[#This Row],[INVESTOR CODE]],[4]!Table_1[INVESTOR CODE],0))</f>
        <v>#REF!</v>
      </c>
      <c r="AD514" s="33">
        <f>INVESTORS_LIST[[#This Row],[LS_TOTAL COST VALUE OF CURRENT UNITS]]+INVESTORS_LIST[[#This Row],[SIP_TOTAL COST VALUE OF CURRENT UNITS]]</f>
        <v>0</v>
      </c>
      <c r="AE514" s="44">
        <f>IF(INVESTORS_LIST[[#This Row],[TOTAL CURRENT UNITS]]=0,0,INVESTORS_LIST[[#This Row],[LS_TOTAL CURRENT UNITS]]/INVESTORS_LIST[[#This Row],[TOTAL CURRENT UNITS]])</f>
        <v>0</v>
      </c>
      <c r="AF514" s="44">
        <f>IF(INVESTORS_LIST[[#This Row],[TOTAL CURRENT UNITS]]=0,0,INVESTORS_LIST[[#This Row],[SIP_TOTAL CURRENT UNITS]]/INVESTORS_LIST[[#This Row],[TOTAL CURRENT UNITS]])</f>
        <v>0</v>
      </c>
      <c r="AG514" s="4" cm="1">
        <f t="array" ref="AG5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14" s="4" cm="1">
        <f t="array" ref="AH5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1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14" s="178">
        <f t="shared" si="13"/>
        <v>12.552</v>
      </c>
      <c r="AK514" s="118">
        <f>IF(INVESTORS_LIST[[#This Row],[TOTAL CURRENT UNITS]]=0,0,INVESTORS_LIST[[#This Row],[TOTAL CURRENT UNITS]]*INVESTORS_LIST[[#This Row],[NAV]])</f>
        <v>0</v>
      </c>
      <c r="AL514" s="4">
        <f>IF(INVESTORS_LIST[[#This Row],[LS_TOTAL CURRENT UNITS]]=0,0,INVESTORS_LIST[[#This Row],[LS_TOTAL CURRENT UNITS]]*INVESTORS_LIST[[#This Row],[NAV]])</f>
        <v>0</v>
      </c>
      <c r="AM514" s="6">
        <f>IF(INVESTORS_LIST[[#This Row],[SIP_TOTAL CURRENT UNITS]]=0,0,INVESTORS_LIST[[#This Row],[SIP_TOTAL CURRENT UNITS]]*INVESTORS_LIST[[#This Row],[NAV]])</f>
        <v>0</v>
      </c>
      <c r="AO514" s="6">
        <f>IF(INVESTORS_LIST[[#This Row],[TOTAL SELLABLE UNITS]]=0,0,INVESTORS_LIST[[#This Row],[TOTAL SELLABLE UNITS]]*INVESTORS_LIST[[#This Row],[NAV]])</f>
        <v>0</v>
      </c>
      <c r="AP514" s="6">
        <f>INVESTORS_LIST[[#This Row],[LS_TOTAL REALIZED GAIN]]+INVESTORS_LIST[[#This Row],[SIP_TOTAL REALIZED GAIN]]</f>
        <v>0</v>
      </c>
      <c r="AQ514" s="6">
        <f>INVESTORS_LIST[[#This Row],[TOTAL MARKET VALUE]]-INVESTORS_LIST[[#This Row],[TOTAL COST VALUE OF CURRENT INVESTMENT]]</f>
        <v>0</v>
      </c>
      <c r="AR514" s="6">
        <f>SUMIFS(DivAndTax[Tax Amount],DivAndTax[Investor ID],INVESTORS_LIST[[#This Row],[INVESTOR CODE]])</f>
        <v>0</v>
      </c>
      <c r="AS514" s="6">
        <f>SUMIFS(DivAndTax[Gross Dividend],DivAndTax[Investor ID],INVESTORS_LIST[[#This Row],[INVESTOR CODE]])</f>
        <v>0</v>
      </c>
      <c r="AT514" s="5">
        <f>IFERROR(INVESTORS_LIST[[#This Row],[TOTAL CURRENT UNITS]]/SUM(INVESTORS_LIST[TOTAL CURRENT UNITS]),0)</f>
        <v>0</v>
      </c>
    </row>
    <row r="515" spans="1:46" hidden="1">
      <c r="A515" t="s">
        <v>1219</v>
      </c>
      <c r="B515" t="s">
        <v>1220</v>
      </c>
      <c r="C515" t="s">
        <v>539</v>
      </c>
      <c r="D515" s="8" t="s">
        <v>2</v>
      </c>
      <c r="E515" s="2">
        <f>SUMIFS(LS[Unit],LS[Investor ID],INVESTORS_LIST[[#This Row],[INVESTOR CODE]],LS[B/S],"B")</f>
        <v>0</v>
      </c>
      <c r="F515" s="2">
        <f>-SUMIFS(LS[Unit],LS[Investor ID],INVESTORS_LIST[[#This Row],[INVESTOR CODE]],LS[B/S],"S")</f>
        <v>0</v>
      </c>
      <c r="G515" s="2">
        <f>IF(INVESTORS_LIST[[#This Row],[LS_TOTAL UNITS BUY]]=0,0,INVESTORS_LIST[[#This Row],[LS_TOTAL UNITS BUY]]-INVESTORS_LIST[[#This Row],[LS_TOTAL UNITS SOLD]])</f>
        <v>0</v>
      </c>
      <c r="H515" s="4">
        <f>IF(INVESTORS_LIST[[#This Row],[LS_TOTAL UNITS BUY]]=0,0,SUMIFS(LS[Amount],LS[Investor ID],INVESTORS_LIST[[#This Row],[INVESTOR CODE]],LS[B/S],"B"))</f>
        <v>0</v>
      </c>
      <c r="I515" s="6">
        <f>IF(INVESTORS_LIST[[#This Row],[LS_TOTAL UNITS SOLD]]=0,0,SUMIFS(LS[Cost of Units Sold],LS[Investor ID],INVESTORS_LIST[[#This Row],[INVESTOR CODE]],LS[B/S],"S"))</f>
        <v>0</v>
      </c>
      <c r="J515" s="6">
        <f>IF(INVESTORS_LIST[[#This Row],[LS_TOTAL CURRENT UNITS]]=0,0,INVESTORS_LIST[[#This Row],[LS_TOTAL CURRENT UNITS]]*INVESTORS_LIST[[#This Row],[LS_AVERAGE COST]])</f>
        <v>0</v>
      </c>
      <c r="K515" s="4">
        <f>IF(INVESTORS_LIST[[#This Row],[LS_TOTAL UNITS SOLD]]=0,0,SUMIFS(LS[Realized Gain],LS[Investor ID],INVESTORS_LIST[[#This Row],[INVESTOR CODE]],LS[B/S],"S"))</f>
        <v>0</v>
      </c>
      <c r="L515" s="2">
        <f>SUMIFS(SIP[Unit],SIP[Investor ID],INVESTORS_LIST[[#This Row],[INVESTOR CODE]],SIP[B/S],"B")</f>
        <v>0</v>
      </c>
      <c r="M515" s="2">
        <f>-SUMIFS(SIP[Unit],SIP[Investor ID],INVESTORS_LIST[[#This Row],[INVESTOR CODE]],SIP[B/S],"S")</f>
        <v>0</v>
      </c>
      <c r="N515" s="33">
        <f>IF(INVESTORS_LIST[[#This Row],[SIP_TOTAL UNITS BUY]]=0,0,INVESTORS_LIST[[#This Row],[SIP_TOTAL UNITS BUY]]-INVESTORS_LIST[[#This Row],[SIP_TOTAL UNITS SOLD]])</f>
        <v>0</v>
      </c>
      <c r="O515" s="4">
        <f>IF(INVESTORS_LIST[[#This Row],[SIP_TOTAL UNITS BUY]]=0,0,SUMIFS(SIP[Amount],SIP[Investor ID],INVESTORS_LIST[[#This Row],[INVESTOR CODE]],SIP[B/S],"B"))</f>
        <v>0</v>
      </c>
      <c r="P515" s="4">
        <f>IF(INVESTORS_LIST[[#This Row],[SIP_TOTAL UNITS SOLD]]=0,0,SUMIFS(SIP[Cost of Units Sold],SIP[Investor ID],INVESTORS_LIST[[#This Row],[INVESTOR CODE]],SIP[B/S],"S"))</f>
        <v>0</v>
      </c>
      <c r="Q515" s="6">
        <f>IF(INVESTORS_LIST[[#This Row],[SIP_TOTAL CURRENT UNITS]]=0,0,INVESTORS_LIST[[#This Row],[SIP_TOTAL CURRENT UNITS]]*INVESTORS_LIST[[#This Row],[SIP_AVERAGE COST]])</f>
        <v>0</v>
      </c>
      <c r="R515" s="6">
        <f>IF(INVESTORS_LIST[[#This Row],[SIP_TOTAL UNITS SOLD]]=0,0,SUMIFS(SIP[Realized Gain],SIP[Investor ID],INVESTORS_LIST[[#This Row],[INVESTOR CODE]],SIP[B/S],"S"))</f>
        <v>0</v>
      </c>
      <c r="S515" s="33">
        <f>INVESTORS_LIST[[#This Row],[LS_TOTAL UNITS BUY]]+INVESTORS_LIST[[#This Row],[SIP_TOTAL UNITS BUY]]</f>
        <v>0</v>
      </c>
      <c r="T515" s="33">
        <f>INVESTORS_LIST[[#This Row],[LS_TOTAL UNITS SOLD]]+INVESTORS_LIST[[#This Row],[SIP_TOTAL UNITS SOLD]]</f>
        <v>0</v>
      </c>
      <c r="U515" s="33">
        <v>0</v>
      </c>
      <c r="V515" s="33">
        <f>SUMIFS(LS[BO UNIT TRANSFER],LS[Investor ID],INVESTORS_LIST[[#This Row],[INVESTOR CODE]],LS[B/S],"B")</f>
        <v>0</v>
      </c>
      <c r="W515" s="33">
        <f>SUMIFS(LS[BO UNIT TRANSFER],LS[Investor ID],INVESTORS_LIST[[#This Row],[INVESTOR CODE]],LS[B/S],"S")</f>
        <v>0</v>
      </c>
      <c r="X515" s="33">
        <f>SUMIFS(SIP[BO UNIT TRANSFER],SIP[Investor ID],INVESTORS_LIST[[#This Row],[INVESTOR CODE]],SIP[B/S],"S")</f>
        <v>0</v>
      </c>
      <c r="Y515" s="33">
        <f>SUMIFS(SIP[BO UNIT TRANSFER],SIP[Investor ID],INVESTORS_LIST[[#This Row],[INVESTOR CODE]],SIP[B/S],"B")</f>
        <v>0</v>
      </c>
      <c r="Z51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15" s="119">
        <f>INVESTORS_LIST[[#This Row],[TOTAL UNITS BUY]]-INVESTORS_LIST[[#This Row],[TOTAL UNITS SOLD]]</f>
        <v>0</v>
      </c>
      <c r="AB515" s="119">
        <f>INVESTORS_LIST[[#This Row],[TOTAL CURRENT UNITS]]-INVESTORS_LIST[[#This Row],[BO UNITS HOLD]]</f>
        <v>0</v>
      </c>
      <c r="AC515" s="119" t="e">
        <f>INDEX([4]!Table_1[BO ID],MATCH(INVESTORS_LIST[[#This Row],[INVESTOR CODE]],[4]!Table_1[INVESTOR CODE],0))</f>
        <v>#REF!</v>
      </c>
      <c r="AD515" s="33">
        <f>INVESTORS_LIST[[#This Row],[LS_TOTAL COST VALUE OF CURRENT UNITS]]+INVESTORS_LIST[[#This Row],[SIP_TOTAL COST VALUE OF CURRENT UNITS]]</f>
        <v>0</v>
      </c>
      <c r="AE515" s="44">
        <f>IF(INVESTORS_LIST[[#This Row],[TOTAL CURRENT UNITS]]=0,0,INVESTORS_LIST[[#This Row],[LS_TOTAL CURRENT UNITS]]/INVESTORS_LIST[[#This Row],[TOTAL CURRENT UNITS]])</f>
        <v>0</v>
      </c>
      <c r="AF515" s="44">
        <f>IF(INVESTORS_LIST[[#This Row],[TOTAL CURRENT UNITS]]=0,0,INVESTORS_LIST[[#This Row],[SIP_TOTAL CURRENT UNITS]]/INVESTORS_LIST[[#This Row],[TOTAL CURRENT UNITS]])</f>
        <v>0</v>
      </c>
      <c r="AG515" s="4" cm="1">
        <f t="array" ref="AG51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15" s="4" cm="1">
        <f t="array" ref="AH5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1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15" s="178">
        <f t="shared" si="13"/>
        <v>12.552</v>
      </c>
      <c r="AK515" s="118">
        <f>IF(INVESTORS_LIST[[#This Row],[TOTAL CURRENT UNITS]]=0,0,INVESTORS_LIST[[#This Row],[TOTAL CURRENT UNITS]]*INVESTORS_LIST[[#This Row],[NAV]])</f>
        <v>0</v>
      </c>
      <c r="AL515" s="4">
        <f>IF(INVESTORS_LIST[[#This Row],[LS_TOTAL CURRENT UNITS]]=0,0,INVESTORS_LIST[[#This Row],[LS_TOTAL CURRENT UNITS]]*INVESTORS_LIST[[#This Row],[NAV]])</f>
        <v>0</v>
      </c>
      <c r="AM515" s="6">
        <f>IF(INVESTORS_LIST[[#This Row],[SIP_TOTAL CURRENT UNITS]]=0,0,INVESTORS_LIST[[#This Row],[SIP_TOTAL CURRENT UNITS]]*INVESTORS_LIST[[#This Row],[NAV]])</f>
        <v>0</v>
      </c>
      <c r="AO515" s="6">
        <f>IF(INVESTORS_LIST[[#This Row],[TOTAL SELLABLE UNITS]]=0,0,INVESTORS_LIST[[#This Row],[TOTAL SELLABLE UNITS]]*INVESTORS_LIST[[#This Row],[NAV]])</f>
        <v>0</v>
      </c>
      <c r="AP515" s="6">
        <f>INVESTORS_LIST[[#This Row],[LS_TOTAL REALIZED GAIN]]+INVESTORS_LIST[[#This Row],[SIP_TOTAL REALIZED GAIN]]</f>
        <v>0</v>
      </c>
      <c r="AQ515" s="6">
        <f>INVESTORS_LIST[[#This Row],[TOTAL MARKET VALUE]]-INVESTORS_LIST[[#This Row],[TOTAL COST VALUE OF CURRENT INVESTMENT]]</f>
        <v>0</v>
      </c>
      <c r="AR515" s="6">
        <f>SUMIFS(DivAndTax[Tax Amount],DivAndTax[Investor ID],INVESTORS_LIST[[#This Row],[INVESTOR CODE]])</f>
        <v>0</v>
      </c>
      <c r="AS515" s="6">
        <f>SUMIFS(DivAndTax[Gross Dividend],DivAndTax[Investor ID],INVESTORS_LIST[[#This Row],[INVESTOR CODE]])</f>
        <v>0</v>
      </c>
      <c r="AT515" s="5">
        <f>IFERROR(INVESTORS_LIST[[#This Row],[TOTAL CURRENT UNITS]]/SUM(INVESTORS_LIST[TOTAL CURRENT UNITS]),0)</f>
        <v>0</v>
      </c>
    </row>
    <row r="516" spans="1:46" hidden="1">
      <c r="A516" t="s">
        <v>1221</v>
      </c>
      <c r="B516" t="s">
        <v>1222</v>
      </c>
      <c r="C516" t="s">
        <v>536</v>
      </c>
      <c r="D516" s="8" t="s">
        <v>2</v>
      </c>
      <c r="E516" s="2">
        <f>SUMIFS(LS[Unit],LS[Investor ID],INVESTORS_LIST[[#This Row],[INVESTOR CODE]],LS[B/S],"B")</f>
        <v>0</v>
      </c>
      <c r="F516" s="2">
        <f>-SUMIFS(LS[Unit],LS[Investor ID],INVESTORS_LIST[[#This Row],[INVESTOR CODE]],LS[B/S],"S")</f>
        <v>0</v>
      </c>
      <c r="G516" s="2">
        <f>IF(INVESTORS_LIST[[#This Row],[LS_TOTAL UNITS BUY]]=0,0,INVESTORS_LIST[[#This Row],[LS_TOTAL UNITS BUY]]-INVESTORS_LIST[[#This Row],[LS_TOTAL UNITS SOLD]])</f>
        <v>0</v>
      </c>
      <c r="H516" s="4">
        <f>IF(INVESTORS_LIST[[#This Row],[LS_TOTAL UNITS BUY]]=0,0,SUMIFS(LS[Amount],LS[Investor ID],INVESTORS_LIST[[#This Row],[INVESTOR CODE]],LS[B/S],"B"))</f>
        <v>0</v>
      </c>
      <c r="I516" s="6">
        <f>IF(INVESTORS_LIST[[#This Row],[LS_TOTAL UNITS SOLD]]=0,0,SUMIFS(LS[Cost of Units Sold],LS[Investor ID],INVESTORS_LIST[[#This Row],[INVESTOR CODE]],LS[B/S],"S"))</f>
        <v>0</v>
      </c>
      <c r="J516" s="6">
        <f>IF(INVESTORS_LIST[[#This Row],[LS_TOTAL CURRENT UNITS]]=0,0,INVESTORS_LIST[[#This Row],[LS_TOTAL CURRENT UNITS]]*INVESTORS_LIST[[#This Row],[LS_AVERAGE COST]])</f>
        <v>0</v>
      </c>
      <c r="K516" s="4">
        <f>IF(INVESTORS_LIST[[#This Row],[LS_TOTAL UNITS SOLD]]=0,0,SUMIFS(LS[Realized Gain],LS[Investor ID],INVESTORS_LIST[[#This Row],[INVESTOR CODE]],LS[B/S],"S"))</f>
        <v>0</v>
      </c>
      <c r="L516" s="2">
        <f>SUMIFS(SIP[Unit],SIP[Investor ID],INVESTORS_LIST[[#This Row],[INVESTOR CODE]],SIP[B/S],"B")</f>
        <v>0</v>
      </c>
      <c r="M516" s="2">
        <f>-SUMIFS(SIP[Unit],SIP[Investor ID],INVESTORS_LIST[[#This Row],[INVESTOR CODE]],SIP[B/S],"S")</f>
        <v>0</v>
      </c>
      <c r="N516" s="33">
        <f>IF(INVESTORS_LIST[[#This Row],[SIP_TOTAL UNITS BUY]]=0,0,INVESTORS_LIST[[#This Row],[SIP_TOTAL UNITS BUY]]-INVESTORS_LIST[[#This Row],[SIP_TOTAL UNITS SOLD]])</f>
        <v>0</v>
      </c>
      <c r="O516" s="4">
        <f>IF(INVESTORS_LIST[[#This Row],[SIP_TOTAL UNITS BUY]]=0,0,SUMIFS(SIP[Amount],SIP[Investor ID],INVESTORS_LIST[[#This Row],[INVESTOR CODE]],SIP[B/S],"B"))</f>
        <v>0</v>
      </c>
      <c r="P516" s="4">
        <f>IF(INVESTORS_LIST[[#This Row],[SIP_TOTAL UNITS SOLD]]=0,0,SUMIFS(SIP[Cost of Units Sold],SIP[Investor ID],INVESTORS_LIST[[#This Row],[INVESTOR CODE]],SIP[B/S],"S"))</f>
        <v>0</v>
      </c>
      <c r="Q516" s="6">
        <f>IF(INVESTORS_LIST[[#This Row],[SIP_TOTAL CURRENT UNITS]]=0,0,INVESTORS_LIST[[#This Row],[SIP_TOTAL CURRENT UNITS]]*INVESTORS_LIST[[#This Row],[SIP_AVERAGE COST]])</f>
        <v>0</v>
      </c>
      <c r="R516" s="6">
        <f>IF(INVESTORS_LIST[[#This Row],[SIP_TOTAL UNITS SOLD]]=0,0,SUMIFS(SIP[Realized Gain],SIP[Investor ID],INVESTORS_LIST[[#This Row],[INVESTOR CODE]],SIP[B/S],"S"))</f>
        <v>0</v>
      </c>
      <c r="S516" s="207">
        <f>INVESTORS_LIST[[#This Row],[LS_TOTAL UNITS BUY]]+INVESTORS_LIST[[#This Row],[SIP_TOTAL UNITS BUY]]</f>
        <v>0</v>
      </c>
      <c r="T516" s="207">
        <f>INVESTORS_LIST[[#This Row],[LS_TOTAL UNITS SOLD]]+INVESTORS_LIST[[#This Row],[SIP_TOTAL UNITS SOLD]]</f>
        <v>0</v>
      </c>
      <c r="U516" s="33">
        <v>0</v>
      </c>
      <c r="V516" s="33">
        <f>SUMIFS(LS[BO UNIT TRANSFER],LS[Investor ID],INVESTORS_LIST[[#This Row],[INVESTOR CODE]],LS[B/S],"B")</f>
        <v>0</v>
      </c>
      <c r="W516" s="33">
        <f>SUMIFS(LS[BO UNIT TRANSFER],LS[Investor ID],INVESTORS_LIST[[#This Row],[INVESTOR CODE]],LS[B/S],"S")</f>
        <v>0</v>
      </c>
      <c r="X516" s="33">
        <f>SUMIFS(SIP[BO UNIT TRANSFER],SIP[Investor ID],INVESTORS_LIST[[#This Row],[INVESTOR CODE]],SIP[B/S],"S")</f>
        <v>0</v>
      </c>
      <c r="Y516" s="33">
        <f>SUMIFS(SIP[BO UNIT TRANSFER],SIP[Investor ID],INVESTORS_LIST[[#This Row],[INVESTOR CODE]],SIP[B/S],"B")</f>
        <v>0</v>
      </c>
      <c r="Z51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16" s="119">
        <f>INVESTORS_LIST[[#This Row],[TOTAL UNITS BUY]]-INVESTORS_LIST[[#This Row],[TOTAL UNITS SOLD]]</f>
        <v>0</v>
      </c>
      <c r="AB516" s="119">
        <f>INVESTORS_LIST[[#This Row],[TOTAL CURRENT UNITS]]-INVESTORS_LIST[[#This Row],[BO UNITS HOLD]]</f>
        <v>0</v>
      </c>
      <c r="AC516" s="119" t="e">
        <f>INDEX([4]!Table_1[BO ID],MATCH(INVESTORS_LIST[[#This Row],[INVESTOR CODE]],[4]!Table_1[INVESTOR CODE],0))</f>
        <v>#REF!</v>
      </c>
      <c r="AD516" s="33">
        <f>INVESTORS_LIST[[#This Row],[LS_TOTAL COST VALUE OF CURRENT UNITS]]+INVESTORS_LIST[[#This Row],[SIP_TOTAL COST VALUE OF CURRENT UNITS]]</f>
        <v>0</v>
      </c>
      <c r="AE516" s="44">
        <f>IF(INVESTORS_LIST[[#This Row],[TOTAL CURRENT UNITS]]=0,0,INVESTORS_LIST[[#This Row],[LS_TOTAL CURRENT UNITS]]/INVESTORS_LIST[[#This Row],[TOTAL CURRENT UNITS]])</f>
        <v>0</v>
      </c>
      <c r="AF516" s="44">
        <f>IF(INVESTORS_LIST[[#This Row],[TOTAL CURRENT UNITS]]=0,0,INVESTORS_LIST[[#This Row],[SIP_TOTAL CURRENT UNITS]]/INVESTORS_LIST[[#This Row],[TOTAL CURRENT UNITS]])</f>
        <v>0</v>
      </c>
      <c r="AG516" s="4" cm="1">
        <f t="array" ref="AG5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16" s="4" cm="1">
        <f t="array" ref="AH5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1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16" s="178">
        <f t="shared" si="13"/>
        <v>12.552</v>
      </c>
      <c r="AK516" s="118">
        <f>IF(INVESTORS_LIST[[#This Row],[TOTAL CURRENT UNITS]]=0,0,INVESTORS_LIST[[#This Row],[TOTAL CURRENT UNITS]]*INVESTORS_LIST[[#This Row],[NAV]])</f>
        <v>0</v>
      </c>
      <c r="AL516" s="4">
        <f>IF(INVESTORS_LIST[[#This Row],[LS_TOTAL CURRENT UNITS]]=0,0,INVESTORS_LIST[[#This Row],[LS_TOTAL CURRENT UNITS]]*INVESTORS_LIST[[#This Row],[NAV]])</f>
        <v>0</v>
      </c>
      <c r="AM516" s="6">
        <f>IF(INVESTORS_LIST[[#This Row],[SIP_TOTAL CURRENT UNITS]]=0,0,INVESTORS_LIST[[#This Row],[SIP_TOTAL CURRENT UNITS]]*INVESTORS_LIST[[#This Row],[NAV]])</f>
        <v>0</v>
      </c>
      <c r="AO516" s="6">
        <f>IF(INVESTORS_LIST[[#This Row],[TOTAL SELLABLE UNITS]]=0,0,INVESTORS_LIST[[#This Row],[TOTAL SELLABLE UNITS]]*INVESTORS_LIST[[#This Row],[NAV]])</f>
        <v>0</v>
      </c>
      <c r="AP516" s="6">
        <f>INVESTORS_LIST[[#This Row],[LS_TOTAL REALIZED GAIN]]+INVESTORS_LIST[[#This Row],[SIP_TOTAL REALIZED GAIN]]</f>
        <v>0</v>
      </c>
      <c r="AQ516" s="6">
        <f>INVESTORS_LIST[[#This Row],[TOTAL MARKET VALUE]]-INVESTORS_LIST[[#This Row],[TOTAL COST VALUE OF CURRENT INVESTMENT]]</f>
        <v>0</v>
      </c>
      <c r="AR516" s="6">
        <f>SUMIFS(DivAndTax[Tax Amount],DivAndTax[Investor ID],INVESTORS_LIST[[#This Row],[INVESTOR CODE]])</f>
        <v>0</v>
      </c>
      <c r="AS516" s="6">
        <f>SUMIFS(DivAndTax[Gross Dividend],DivAndTax[Investor ID],INVESTORS_LIST[[#This Row],[INVESTOR CODE]])</f>
        <v>0</v>
      </c>
      <c r="AT516" s="5">
        <f>IFERROR(INVESTORS_LIST[[#This Row],[TOTAL CURRENT UNITS]]/SUM(INVESTORS_LIST[TOTAL CURRENT UNITS]),0)</f>
        <v>0</v>
      </c>
    </row>
    <row r="517" spans="1:46">
      <c r="A517" t="s">
        <v>1223</v>
      </c>
      <c r="B517" t="s">
        <v>1224</v>
      </c>
      <c r="C517" t="s">
        <v>539</v>
      </c>
      <c r="D517" s="8" t="s">
        <v>2</v>
      </c>
      <c r="E517" s="2">
        <f>SUMIFS(LS[Unit],LS[Investor ID],INVESTORS_LIST[[#This Row],[INVESTOR CODE]],LS[B/S],"B")</f>
        <v>246366</v>
      </c>
      <c r="F517" s="2">
        <f>-SUMIFS(LS[Unit],LS[Investor ID],INVESTORS_LIST[[#This Row],[INVESTOR CODE]],LS[B/S],"S")</f>
        <v>0</v>
      </c>
      <c r="G517" s="2">
        <f>IF(INVESTORS_LIST[[#This Row],[LS_TOTAL UNITS BUY]]=0,0,INVESTORS_LIST[[#This Row],[LS_TOTAL UNITS BUY]]-INVESTORS_LIST[[#This Row],[LS_TOTAL UNITS SOLD]])</f>
        <v>246366</v>
      </c>
      <c r="H517" s="4">
        <f>IF(INVESTORS_LIST[[#This Row],[LS_TOTAL UNITS BUY]]=0,0,SUMIFS(LS[Amount],LS[Investor ID],INVESTORS_LIST[[#This Row],[INVESTOR CODE]],LS[B/S],"B"))</f>
        <v>2911680</v>
      </c>
      <c r="I517" s="6">
        <f>IF(INVESTORS_LIST[[#This Row],[LS_TOTAL UNITS SOLD]]=0,0,SUMIFS(LS[Cost of Units Sold],LS[Investor ID],INVESTORS_LIST[[#This Row],[INVESTOR CODE]],LS[B/S],"S"))</f>
        <v>0</v>
      </c>
      <c r="J517" s="6">
        <f>IF(INVESTORS_LIST[[#This Row],[LS_TOTAL CURRENT UNITS]]=0,0,INVESTORS_LIST[[#This Row],[LS_TOTAL CURRENT UNITS]]*INVESTORS_LIST[[#This Row],[LS_AVERAGE COST]])</f>
        <v>2911680</v>
      </c>
      <c r="K517" s="4">
        <f>IF(INVESTORS_LIST[[#This Row],[LS_TOTAL UNITS SOLD]]=0,0,SUMIFS(LS[Realized Gain],LS[Investor ID],INVESTORS_LIST[[#This Row],[INVESTOR CODE]],LS[B/S],"S"))</f>
        <v>0</v>
      </c>
      <c r="L517" s="2">
        <f>SUMIFS(SIP[Unit],SIP[Investor ID],INVESTORS_LIST[[#This Row],[INVESTOR CODE]],SIP[B/S],"B")</f>
        <v>0</v>
      </c>
      <c r="M517" s="2">
        <f>-SUMIFS(SIP[Unit],SIP[Investor ID],INVESTORS_LIST[[#This Row],[INVESTOR CODE]],SIP[B/S],"S")</f>
        <v>0</v>
      </c>
      <c r="N517" s="33">
        <f>IF(INVESTORS_LIST[[#This Row],[SIP_TOTAL UNITS BUY]]=0,0,INVESTORS_LIST[[#This Row],[SIP_TOTAL UNITS BUY]]-INVESTORS_LIST[[#This Row],[SIP_TOTAL UNITS SOLD]])</f>
        <v>0</v>
      </c>
      <c r="O517" s="4">
        <f>IF(INVESTORS_LIST[[#This Row],[SIP_TOTAL UNITS BUY]]=0,0,SUMIFS(SIP[Amount],SIP[Investor ID],INVESTORS_LIST[[#This Row],[INVESTOR CODE]],SIP[B/S],"B"))</f>
        <v>0</v>
      </c>
      <c r="P517" s="4">
        <f>IF(INVESTORS_LIST[[#This Row],[SIP_TOTAL UNITS SOLD]]=0,0,SUMIFS(SIP[Cost of Units Sold],SIP[Investor ID],INVESTORS_LIST[[#This Row],[INVESTOR CODE]],SIP[B/S],"S"))</f>
        <v>0</v>
      </c>
      <c r="Q517" s="6">
        <f>IF(INVESTORS_LIST[[#This Row],[SIP_TOTAL CURRENT UNITS]]=0,0,INVESTORS_LIST[[#This Row],[SIP_TOTAL CURRENT UNITS]]*INVESTORS_LIST[[#This Row],[SIP_AVERAGE COST]])</f>
        <v>0</v>
      </c>
      <c r="R517" s="6">
        <f>IF(INVESTORS_LIST[[#This Row],[SIP_TOTAL UNITS SOLD]]=0,0,SUMIFS(SIP[Realized Gain],SIP[Investor ID],INVESTORS_LIST[[#This Row],[INVESTOR CODE]],SIP[B/S],"S"))</f>
        <v>0</v>
      </c>
      <c r="S517" s="33">
        <f>INVESTORS_LIST[[#This Row],[LS_TOTAL UNITS BUY]]+INVESTORS_LIST[[#This Row],[SIP_TOTAL UNITS BUY]]</f>
        <v>246366</v>
      </c>
      <c r="T517" s="33">
        <f>INVESTORS_LIST[[#This Row],[LS_TOTAL UNITS SOLD]]+INVESTORS_LIST[[#This Row],[SIP_TOTAL UNITS SOLD]]</f>
        <v>0</v>
      </c>
      <c r="U517" s="33">
        <v>240000</v>
      </c>
      <c r="V517" s="33">
        <f>SUMIFS(LS[BO UNIT TRANSFER],LS[Investor ID],INVESTORS_LIST[[#This Row],[INVESTOR CODE]],LS[B/S],"B")</f>
        <v>6366</v>
      </c>
      <c r="W517" s="33">
        <f>SUMIFS(LS[BO UNIT TRANSFER],LS[Investor ID],INVESTORS_LIST[[#This Row],[INVESTOR CODE]],LS[B/S],"S")</f>
        <v>0</v>
      </c>
      <c r="X517" s="33">
        <f>SUMIFS(SIP[BO UNIT TRANSFER],SIP[Investor ID],INVESTORS_LIST[[#This Row],[INVESTOR CODE]],SIP[B/S],"S")</f>
        <v>0</v>
      </c>
      <c r="Y517" s="33">
        <f>SUMIFS(SIP[BO UNIT TRANSFER],SIP[Investor ID],INVESTORS_LIST[[#This Row],[INVESTOR CODE]],SIP[B/S],"B")</f>
        <v>0</v>
      </c>
      <c r="Z51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246366</v>
      </c>
      <c r="AA517" s="119">
        <f>INVESTORS_LIST[[#This Row],[TOTAL UNITS BUY]]-INVESTORS_LIST[[#This Row],[TOTAL UNITS SOLD]]</f>
        <v>246366</v>
      </c>
      <c r="AB517" s="119">
        <f>INVESTORS_LIST[[#This Row],[TOTAL CURRENT UNITS]]-INVESTORS_LIST[[#This Row],[BO UNITS HOLD]]</f>
        <v>0</v>
      </c>
      <c r="AC517" s="119" t="e">
        <f>INDEX([4]!Table_1[BO ID],MATCH(INVESTORS_LIST[[#This Row],[INVESTOR CODE]],[4]!Table_1[INVESTOR CODE],0))</f>
        <v>#REF!</v>
      </c>
      <c r="AD517" s="33">
        <f>INVESTORS_LIST[[#This Row],[LS_TOTAL COST VALUE OF CURRENT UNITS]]+INVESTORS_LIST[[#This Row],[SIP_TOTAL COST VALUE OF CURRENT UNITS]]</f>
        <v>2911680</v>
      </c>
      <c r="AE517" s="44">
        <f>IF(INVESTORS_LIST[[#This Row],[TOTAL CURRENT UNITS]]=0,0,INVESTORS_LIST[[#This Row],[LS_TOTAL CURRENT UNITS]]/INVESTORS_LIST[[#This Row],[TOTAL CURRENT UNITS]])</f>
        <v>1</v>
      </c>
      <c r="AF517" s="44">
        <f>IF(INVESTORS_LIST[[#This Row],[TOTAL CURRENT UNITS]]=0,0,INVESTORS_LIST[[#This Row],[SIP_TOTAL CURRENT UNITS]]/INVESTORS_LIST[[#This Row],[TOTAL CURRENT UNITS]])</f>
        <v>0</v>
      </c>
      <c r="AG517" s="4" cm="1">
        <f t="array" ref="AG517">IF(INVESTORS_LIST[[#This Row],[LS_TOTAL UNITS BUY]]&gt;0,INDEX(LS[NAV at Cost (Average)],MATCH(CONCATENATE(COUNTIFS(LS[Investor ID],INVESTORS_LIST[[#This Row],[INVESTOR CODE]]),INVESTORS_LIST[[#This Row],[INVESTOR CODE]]),LS[Unique Code],0),),0)</f>
        <v>11.818513918316651</v>
      </c>
      <c r="AH517" s="4" cm="1">
        <f t="array" ref="AH5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17" s="178">
        <f>IF(INVESTORS_LIST[[#This Row],[TOTAL CURRENT UNITS]]=0,0,(INVESTORS_LIST[[#This Row],[LS_WEIGHT]]*INVESTORS_LIST[[#This Row],[LS_AVERAGE COST]])+(INVESTORS_LIST[[#This Row],[SIP_WEIGHT]]*INVESTORS_LIST[[#This Row],[SIP_AVERAGE COST]]))</f>
        <v>11.818513918316651</v>
      </c>
      <c r="AJ517" s="178">
        <f t="shared" si="13"/>
        <v>12.552</v>
      </c>
      <c r="AK517" s="118">
        <f>IF(INVESTORS_LIST[[#This Row],[TOTAL CURRENT UNITS]]=0,0,INVESTORS_LIST[[#This Row],[TOTAL CURRENT UNITS]]*INVESTORS_LIST[[#This Row],[NAV]])</f>
        <v>3092386.0320000001</v>
      </c>
      <c r="AL517" s="4">
        <f>IF(INVESTORS_LIST[[#This Row],[LS_TOTAL CURRENT UNITS]]=0,0,INVESTORS_LIST[[#This Row],[LS_TOTAL CURRENT UNITS]]*INVESTORS_LIST[[#This Row],[NAV]])</f>
        <v>3092386.0320000001</v>
      </c>
      <c r="AM517" s="6">
        <f>IF(INVESTORS_LIST[[#This Row],[SIP_TOTAL CURRENT UNITS]]=0,0,INVESTORS_LIST[[#This Row],[SIP_TOTAL CURRENT UNITS]]*INVESTORS_LIST[[#This Row],[NAV]])</f>
        <v>0</v>
      </c>
      <c r="AO517" s="6">
        <f>IF(INVESTORS_LIST[[#This Row],[TOTAL SELLABLE UNITS]]=0,0,INVESTORS_LIST[[#This Row],[TOTAL SELLABLE UNITS]]*INVESTORS_LIST[[#This Row],[NAV]])</f>
        <v>0</v>
      </c>
      <c r="AP517" s="6">
        <f>INVESTORS_LIST[[#This Row],[LS_TOTAL REALIZED GAIN]]+INVESTORS_LIST[[#This Row],[SIP_TOTAL REALIZED GAIN]]</f>
        <v>0</v>
      </c>
      <c r="AQ517" s="6">
        <f>INVESTORS_LIST[[#This Row],[TOTAL MARKET VALUE]]-INVESTORS_LIST[[#This Row],[TOTAL COST VALUE OF CURRENT INVESTMENT]]</f>
        <v>180706.03200000012</v>
      </c>
      <c r="AR517" s="6">
        <f>SUMIFS(DivAndTax[Tax Amount],DivAndTax[Investor ID],INVESTORS_LIST[[#This Row],[INVESTOR CODE]])</f>
        <v>8400</v>
      </c>
      <c r="AS517" s="6">
        <f>SUMIFS(DivAndTax[Gross Dividend],DivAndTax[Investor ID],INVESTORS_LIST[[#This Row],[INVESTOR CODE]])</f>
        <v>84000</v>
      </c>
      <c r="AT517" s="5">
        <f>IFERROR(INVESTORS_LIST[[#This Row],[TOTAL CURRENT UNITS]]/SUM(INVESTORS_LIST[TOTAL CURRENT UNITS]),0)</f>
        <v>1.1811977233490964E-2</v>
      </c>
    </row>
    <row r="518" spans="1:46" hidden="1">
      <c r="A518" t="s">
        <v>1225</v>
      </c>
      <c r="B518" t="s">
        <v>1226</v>
      </c>
      <c r="C518" t="s">
        <v>539</v>
      </c>
      <c r="D518" s="8" t="s">
        <v>2</v>
      </c>
      <c r="E518" s="2">
        <f>SUMIFS(LS[Unit],LS[Investor ID],INVESTORS_LIST[[#This Row],[INVESTOR CODE]],LS[B/S],"B")</f>
        <v>0</v>
      </c>
      <c r="F518" s="2">
        <f>-SUMIFS(LS[Unit],LS[Investor ID],INVESTORS_LIST[[#This Row],[INVESTOR CODE]],LS[B/S],"S")</f>
        <v>0</v>
      </c>
      <c r="G518" s="2">
        <f>IF(INVESTORS_LIST[[#This Row],[LS_TOTAL UNITS BUY]]=0,0,INVESTORS_LIST[[#This Row],[LS_TOTAL UNITS BUY]]-INVESTORS_LIST[[#This Row],[LS_TOTAL UNITS SOLD]])</f>
        <v>0</v>
      </c>
      <c r="H518" s="4">
        <f>IF(INVESTORS_LIST[[#This Row],[LS_TOTAL UNITS BUY]]=0,0,SUMIFS(LS[Amount],LS[Investor ID],INVESTORS_LIST[[#This Row],[INVESTOR CODE]],LS[B/S],"B"))</f>
        <v>0</v>
      </c>
      <c r="I518" s="6">
        <f>IF(INVESTORS_LIST[[#This Row],[LS_TOTAL UNITS SOLD]]=0,0,SUMIFS(LS[Cost of Units Sold],LS[Investor ID],INVESTORS_LIST[[#This Row],[INVESTOR CODE]],LS[B/S],"S"))</f>
        <v>0</v>
      </c>
      <c r="J518" s="6">
        <f>IF(INVESTORS_LIST[[#This Row],[LS_TOTAL CURRENT UNITS]]=0,0,INVESTORS_LIST[[#This Row],[LS_TOTAL CURRENT UNITS]]*INVESTORS_LIST[[#This Row],[LS_AVERAGE COST]])</f>
        <v>0</v>
      </c>
      <c r="K518" s="4">
        <f>IF(INVESTORS_LIST[[#This Row],[LS_TOTAL UNITS SOLD]]=0,0,SUMIFS(LS[Realized Gain],LS[Investor ID],INVESTORS_LIST[[#This Row],[INVESTOR CODE]],LS[B/S],"S"))</f>
        <v>0</v>
      </c>
      <c r="L518" s="2">
        <f>SUMIFS(SIP[Unit],SIP[Investor ID],INVESTORS_LIST[[#This Row],[INVESTOR CODE]],SIP[B/S],"B")</f>
        <v>0</v>
      </c>
      <c r="M518" s="2">
        <f>-SUMIFS(SIP[Unit],SIP[Investor ID],INVESTORS_LIST[[#This Row],[INVESTOR CODE]],SIP[B/S],"S")</f>
        <v>0</v>
      </c>
      <c r="N518" s="33">
        <f>IF(INVESTORS_LIST[[#This Row],[SIP_TOTAL UNITS BUY]]=0,0,INVESTORS_LIST[[#This Row],[SIP_TOTAL UNITS BUY]]-INVESTORS_LIST[[#This Row],[SIP_TOTAL UNITS SOLD]])</f>
        <v>0</v>
      </c>
      <c r="O518" s="4">
        <f>IF(INVESTORS_LIST[[#This Row],[SIP_TOTAL UNITS BUY]]=0,0,SUMIFS(SIP[Amount],SIP[Investor ID],INVESTORS_LIST[[#This Row],[INVESTOR CODE]],SIP[B/S],"B"))</f>
        <v>0</v>
      </c>
      <c r="P518" s="4">
        <f>IF(INVESTORS_LIST[[#This Row],[SIP_TOTAL UNITS SOLD]]=0,0,SUMIFS(SIP[Cost of Units Sold],SIP[Investor ID],INVESTORS_LIST[[#This Row],[INVESTOR CODE]],SIP[B/S],"S"))</f>
        <v>0</v>
      </c>
      <c r="Q518" s="6">
        <f>IF(INVESTORS_LIST[[#This Row],[SIP_TOTAL CURRENT UNITS]]=0,0,INVESTORS_LIST[[#This Row],[SIP_TOTAL CURRENT UNITS]]*INVESTORS_LIST[[#This Row],[SIP_AVERAGE COST]])</f>
        <v>0</v>
      </c>
      <c r="R518" s="6">
        <f>IF(INVESTORS_LIST[[#This Row],[SIP_TOTAL UNITS SOLD]]=0,0,SUMIFS(SIP[Realized Gain],SIP[Investor ID],INVESTORS_LIST[[#This Row],[INVESTOR CODE]],SIP[B/S],"S"))</f>
        <v>0</v>
      </c>
      <c r="S518" s="33">
        <f>INVESTORS_LIST[[#This Row],[LS_TOTAL UNITS BUY]]+INVESTORS_LIST[[#This Row],[SIP_TOTAL UNITS BUY]]</f>
        <v>0</v>
      </c>
      <c r="T518" s="33">
        <f>INVESTORS_LIST[[#This Row],[LS_TOTAL UNITS SOLD]]+INVESTORS_LIST[[#This Row],[SIP_TOTAL UNITS SOLD]]</f>
        <v>0</v>
      </c>
      <c r="U518" s="33">
        <v>0</v>
      </c>
      <c r="V518" s="33">
        <f>SUMIFS(LS[BO UNIT TRANSFER],LS[Investor ID],INVESTORS_LIST[[#This Row],[INVESTOR CODE]],LS[B/S],"B")</f>
        <v>0</v>
      </c>
      <c r="W518" s="33">
        <f>SUMIFS(LS[BO UNIT TRANSFER],LS[Investor ID],INVESTORS_LIST[[#This Row],[INVESTOR CODE]],LS[B/S],"S")</f>
        <v>0</v>
      </c>
      <c r="X518" s="33">
        <f>SUMIFS(SIP[BO UNIT TRANSFER],SIP[Investor ID],INVESTORS_LIST[[#This Row],[INVESTOR CODE]],SIP[B/S],"S")</f>
        <v>0</v>
      </c>
      <c r="Y518" s="33">
        <f>SUMIFS(SIP[BO UNIT TRANSFER],SIP[Investor ID],INVESTORS_LIST[[#This Row],[INVESTOR CODE]],SIP[B/S],"B")</f>
        <v>0</v>
      </c>
      <c r="Z51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18" s="119">
        <f>INVESTORS_LIST[[#This Row],[TOTAL UNITS BUY]]-INVESTORS_LIST[[#This Row],[TOTAL UNITS SOLD]]</f>
        <v>0</v>
      </c>
      <c r="AB518" s="119">
        <f>INVESTORS_LIST[[#This Row],[TOTAL CURRENT UNITS]]-INVESTORS_LIST[[#This Row],[BO UNITS HOLD]]</f>
        <v>0</v>
      </c>
      <c r="AC518" s="119" t="e">
        <f>INDEX([4]!Table_1[BO ID],MATCH(INVESTORS_LIST[[#This Row],[INVESTOR CODE]],[4]!Table_1[INVESTOR CODE],0))</f>
        <v>#REF!</v>
      </c>
      <c r="AD518" s="33">
        <f>INVESTORS_LIST[[#This Row],[LS_TOTAL COST VALUE OF CURRENT UNITS]]+INVESTORS_LIST[[#This Row],[SIP_TOTAL COST VALUE OF CURRENT UNITS]]</f>
        <v>0</v>
      </c>
      <c r="AE518" s="44">
        <f>IF(INVESTORS_LIST[[#This Row],[TOTAL CURRENT UNITS]]=0,0,INVESTORS_LIST[[#This Row],[LS_TOTAL CURRENT UNITS]]/INVESTORS_LIST[[#This Row],[TOTAL CURRENT UNITS]])</f>
        <v>0</v>
      </c>
      <c r="AF518" s="44">
        <f>IF(INVESTORS_LIST[[#This Row],[TOTAL CURRENT UNITS]]=0,0,INVESTORS_LIST[[#This Row],[SIP_TOTAL CURRENT UNITS]]/INVESTORS_LIST[[#This Row],[TOTAL CURRENT UNITS]])</f>
        <v>0</v>
      </c>
      <c r="AG518" s="4" cm="1">
        <f t="array" ref="AG5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18" s="4" cm="1">
        <f t="array" ref="AH5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1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18" s="178">
        <f t="shared" si="13"/>
        <v>12.552</v>
      </c>
      <c r="AK518" s="118">
        <f>IF(INVESTORS_LIST[[#This Row],[TOTAL CURRENT UNITS]]=0,0,INVESTORS_LIST[[#This Row],[TOTAL CURRENT UNITS]]*INVESTORS_LIST[[#This Row],[NAV]])</f>
        <v>0</v>
      </c>
      <c r="AL518" s="4">
        <f>IF(INVESTORS_LIST[[#This Row],[LS_TOTAL CURRENT UNITS]]=0,0,INVESTORS_LIST[[#This Row],[LS_TOTAL CURRENT UNITS]]*INVESTORS_LIST[[#This Row],[NAV]])</f>
        <v>0</v>
      </c>
      <c r="AM518" s="6">
        <f>IF(INVESTORS_LIST[[#This Row],[SIP_TOTAL CURRENT UNITS]]=0,0,INVESTORS_LIST[[#This Row],[SIP_TOTAL CURRENT UNITS]]*INVESTORS_LIST[[#This Row],[NAV]])</f>
        <v>0</v>
      </c>
      <c r="AO518" s="6">
        <f>IF(INVESTORS_LIST[[#This Row],[TOTAL SELLABLE UNITS]]=0,0,INVESTORS_LIST[[#This Row],[TOTAL SELLABLE UNITS]]*INVESTORS_LIST[[#This Row],[NAV]])</f>
        <v>0</v>
      </c>
      <c r="AP518" s="6">
        <f>INVESTORS_LIST[[#This Row],[LS_TOTAL REALIZED GAIN]]+INVESTORS_LIST[[#This Row],[SIP_TOTAL REALIZED GAIN]]</f>
        <v>0</v>
      </c>
      <c r="AQ518" s="6">
        <f>INVESTORS_LIST[[#This Row],[TOTAL MARKET VALUE]]-INVESTORS_LIST[[#This Row],[TOTAL COST VALUE OF CURRENT INVESTMENT]]</f>
        <v>0</v>
      </c>
      <c r="AR518" s="6">
        <f>SUMIFS(DivAndTax[Tax Amount],DivAndTax[Investor ID],INVESTORS_LIST[[#This Row],[INVESTOR CODE]])</f>
        <v>0</v>
      </c>
      <c r="AS518" s="6">
        <f>SUMIFS(DivAndTax[Gross Dividend],DivAndTax[Investor ID],INVESTORS_LIST[[#This Row],[INVESTOR CODE]])</f>
        <v>0</v>
      </c>
      <c r="AT518" s="5">
        <f>IFERROR(INVESTORS_LIST[[#This Row],[TOTAL CURRENT UNITS]]/SUM(INVESTORS_LIST[TOTAL CURRENT UNITS]),0)</f>
        <v>0</v>
      </c>
    </row>
    <row r="519" spans="1:46" hidden="1">
      <c r="A519" t="s">
        <v>1227</v>
      </c>
      <c r="B519" t="s">
        <v>1228</v>
      </c>
      <c r="C519" t="s">
        <v>536</v>
      </c>
      <c r="D519" s="8" t="s">
        <v>2</v>
      </c>
      <c r="E519" s="2">
        <f>SUMIFS(LS[Unit],LS[Investor ID],INVESTORS_LIST[[#This Row],[INVESTOR CODE]],LS[B/S],"B")</f>
        <v>0</v>
      </c>
      <c r="F519" s="2">
        <f>-SUMIFS(LS[Unit],LS[Investor ID],INVESTORS_LIST[[#This Row],[INVESTOR CODE]],LS[B/S],"S")</f>
        <v>0</v>
      </c>
      <c r="G519" s="2">
        <f>IF(INVESTORS_LIST[[#This Row],[LS_TOTAL UNITS BUY]]=0,0,INVESTORS_LIST[[#This Row],[LS_TOTAL UNITS BUY]]-INVESTORS_LIST[[#This Row],[LS_TOTAL UNITS SOLD]])</f>
        <v>0</v>
      </c>
      <c r="H519" s="4">
        <f>IF(INVESTORS_LIST[[#This Row],[LS_TOTAL UNITS BUY]]=0,0,SUMIFS(LS[Amount],LS[Investor ID],INVESTORS_LIST[[#This Row],[INVESTOR CODE]],LS[B/S],"B"))</f>
        <v>0</v>
      </c>
      <c r="I519" s="6">
        <f>IF(INVESTORS_LIST[[#This Row],[LS_TOTAL UNITS SOLD]]=0,0,SUMIFS(LS[Cost of Units Sold],LS[Investor ID],INVESTORS_LIST[[#This Row],[INVESTOR CODE]],LS[B/S],"S"))</f>
        <v>0</v>
      </c>
      <c r="J519" s="6">
        <f>IF(INVESTORS_LIST[[#This Row],[LS_TOTAL CURRENT UNITS]]=0,0,INVESTORS_LIST[[#This Row],[LS_TOTAL CURRENT UNITS]]*INVESTORS_LIST[[#This Row],[LS_AVERAGE COST]])</f>
        <v>0</v>
      </c>
      <c r="K519" s="4">
        <f>IF(INVESTORS_LIST[[#This Row],[LS_TOTAL UNITS SOLD]]=0,0,SUMIFS(LS[Realized Gain],LS[Investor ID],INVESTORS_LIST[[#This Row],[INVESTOR CODE]],LS[B/S],"S"))</f>
        <v>0</v>
      </c>
      <c r="L519" s="2">
        <f>SUMIFS(SIP[Unit],SIP[Investor ID],INVESTORS_LIST[[#This Row],[INVESTOR CODE]],SIP[B/S],"B")</f>
        <v>0</v>
      </c>
      <c r="M519" s="2">
        <f>-SUMIFS(SIP[Unit],SIP[Investor ID],INVESTORS_LIST[[#This Row],[INVESTOR CODE]],SIP[B/S],"S")</f>
        <v>0</v>
      </c>
      <c r="N519" s="33">
        <f>IF(INVESTORS_LIST[[#This Row],[SIP_TOTAL UNITS BUY]]=0,0,INVESTORS_LIST[[#This Row],[SIP_TOTAL UNITS BUY]]-INVESTORS_LIST[[#This Row],[SIP_TOTAL UNITS SOLD]])</f>
        <v>0</v>
      </c>
      <c r="O519" s="4">
        <f>IF(INVESTORS_LIST[[#This Row],[SIP_TOTAL UNITS BUY]]=0,0,SUMIFS(SIP[Amount],SIP[Investor ID],INVESTORS_LIST[[#This Row],[INVESTOR CODE]],SIP[B/S],"B"))</f>
        <v>0</v>
      </c>
      <c r="P519" s="4">
        <f>IF(INVESTORS_LIST[[#This Row],[SIP_TOTAL UNITS SOLD]]=0,0,SUMIFS(SIP[Cost of Units Sold],SIP[Investor ID],INVESTORS_LIST[[#This Row],[INVESTOR CODE]],SIP[B/S],"S"))</f>
        <v>0</v>
      </c>
      <c r="Q519" s="6">
        <f>IF(INVESTORS_LIST[[#This Row],[SIP_TOTAL CURRENT UNITS]]=0,0,INVESTORS_LIST[[#This Row],[SIP_TOTAL CURRENT UNITS]]*INVESTORS_LIST[[#This Row],[SIP_AVERAGE COST]])</f>
        <v>0</v>
      </c>
      <c r="R519" s="6">
        <f>IF(INVESTORS_LIST[[#This Row],[SIP_TOTAL UNITS SOLD]]=0,0,SUMIFS(SIP[Realized Gain],SIP[Investor ID],INVESTORS_LIST[[#This Row],[INVESTOR CODE]],SIP[B/S],"S"))</f>
        <v>0</v>
      </c>
      <c r="S519" s="33">
        <f>INVESTORS_LIST[[#This Row],[LS_TOTAL UNITS BUY]]+INVESTORS_LIST[[#This Row],[SIP_TOTAL UNITS BUY]]</f>
        <v>0</v>
      </c>
      <c r="T519" s="33">
        <f>INVESTORS_LIST[[#This Row],[LS_TOTAL UNITS SOLD]]+INVESTORS_LIST[[#This Row],[SIP_TOTAL UNITS SOLD]]</f>
        <v>0</v>
      </c>
      <c r="U519" s="33">
        <v>0</v>
      </c>
      <c r="V519" s="33">
        <f>SUMIFS(LS[BO UNIT TRANSFER],LS[Investor ID],INVESTORS_LIST[[#This Row],[INVESTOR CODE]],LS[B/S],"B")</f>
        <v>0</v>
      </c>
      <c r="W519" s="33">
        <f>SUMIFS(LS[BO UNIT TRANSFER],LS[Investor ID],INVESTORS_LIST[[#This Row],[INVESTOR CODE]],LS[B/S],"S")</f>
        <v>0</v>
      </c>
      <c r="X519" s="33">
        <f>SUMIFS(SIP[BO UNIT TRANSFER],SIP[Investor ID],INVESTORS_LIST[[#This Row],[INVESTOR CODE]],SIP[B/S],"S")</f>
        <v>0</v>
      </c>
      <c r="Y519" s="33">
        <f>SUMIFS(SIP[BO UNIT TRANSFER],SIP[Investor ID],INVESTORS_LIST[[#This Row],[INVESTOR CODE]],SIP[B/S],"B")</f>
        <v>0</v>
      </c>
      <c r="Z51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19" s="119">
        <f>INVESTORS_LIST[[#This Row],[TOTAL UNITS BUY]]-INVESTORS_LIST[[#This Row],[TOTAL UNITS SOLD]]</f>
        <v>0</v>
      </c>
      <c r="AB519" s="119">
        <f>INVESTORS_LIST[[#This Row],[TOTAL CURRENT UNITS]]-INVESTORS_LIST[[#This Row],[BO UNITS HOLD]]</f>
        <v>0</v>
      </c>
      <c r="AC519" s="119" t="e">
        <f>INDEX([4]!Table_1[BO ID],MATCH(INVESTORS_LIST[[#This Row],[INVESTOR CODE]],[4]!Table_1[INVESTOR CODE],0))</f>
        <v>#REF!</v>
      </c>
      <c r="AD519" s="33">
        <f>INVESTORS_LIST[[#This Row],[LS_TOTAL COST VALUE OF CURRENT UNITS]]+INVESTORS_LIST[[#This Row],[SIP_TOTAL COST VALUE OF CURRENT UNITS]]</f>
        <v>0</v>
      </c>
      <c r="AE519" s="44">
        <f>IF(INVESTORS_LIST[[#This Row],[TOTAL CURRENT UNITS]]=0,0,INVESTORS_LIST[[#This Row],[LS_TOTAL CURRENT UNITS]]/INVESTORS_LIST[[#This Row],[TOTAL CURRENT UNITS]])</f>
        <v>0</v>
      </c>
      <c r="AF519" s="44">
        <f>IF(INVESTORS_LIST[[#This Row],[TOTAL CURRENT UNITS]]=0,0,INVESTORS_LIST[[#This Row],[SIP_TOTAL CURRENT UNITS]]/INVESTORS_LIST[[#This Row],[TOTAL CURRENT UNITS]])</f>
        <v>0</v>
      </c>
      <c r="AG519" s="4" cm="1">
        <f t="array" ref="AG5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19" s="4" cm="1">
        <f t="array" ref="AH5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1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19" s="178">
        <f t="shared" si="13"/>
        <v>12.552</v>
      </c>
      <c r="AK519" s="118">
        <f>IF(INVESTORS_LIST[[#This Row],[TOTAL CURRENT UNITS]]=0,0,INVESTORS_LIST[[#This Row],[TOTAL CURRENT UNITS]]*INVESTORS_LIST[[#This Row],[NAV]])</f>
        <v>0</v>
      </c>
      <c r="AL519" s="4">
        <f>IF(INVESTORS_LIST[[#This Row],[LS_TOTAL CURRENT UNITS]]=0,0,INVESTORS_LIST[[#This Row],[LS_TOTAL CURRENT UNITS]]*INVESTORS_LIST[[#This Row],[NAV]])</f>
        <v>0</v>
      </c>
      <c r="AM519" s="6">
        <f>IF(INVESTORS_LIST[[#This Row],[SIP_TOTAL CURRENT UNITS]]=0,0,INVESTORS_LIST[[#This Row],[SIP_TOTAL CURRENT UNITS]]*INVESTORS_LIST[[#This Row],[NAV]])</f>
        <v>0</v>
      </c>
      <c r="AO519" s="6">
        <f>IF(INVESTORS_LIST[[#This Row],[TOTAL SELLABLE UNITS]]=0,0,INVESTORS_LIST[[#This Row],[TOTAL SELLABLE UNITS]]*INVESTORS_LIST[[#This Row],[NAV]])</f>
        <v>0</v>
      </c>
      <c r="AP519" s="6">
        <f>INVESTORS_LIST[[#This Row],[LS_TOTAL REALIZED GAIN]]+INVESTORS_LIST[[#This Row],[SIP_TOTAL REALIZED GAIN]]</f>
        <v>0</v>
      </c>
      <c r="AQ519" s="6">
        <f>INVESTORS_LIST[[#This Row],[TOTAL MARKET VALUE]]-INVESTORS_LIST[[#This Row],[TOTAL COST VALUE OF CURRENT INVESTMENT]]</f>
        <v>0</v>
      </c>
      <c r="AR519" s="6">
        <f>SUMIFS(DivAndTax[Tax Amount],DivAndTax[Investor ID],INVESTORS_LIST[[#This Row],[INVESTOR CODE]])</f>
        <v>0</v>
      </c>
      <c r="AS519" s="6">
        <f>SUMIFS(DivAndTax[Gross Dividend],DivAndTax[Investor ID],INVESTORS_LIST[[#This Row],[INVESTOR CODE]])</f>
        <v>0</v>
      </c>
      <c r="AT519" s="5">
        <f>IFERROR(INVESTORS_LIST[[#This Row],[TOTAL CURRENT UNITS]]/SUM(INVESTORS_LIST[TOTAL CURRENT UNITS]),0)</f>
        <v>0</v>
      </c>
    </row>
    <row r="520" spans="1:46" hidden="1">
      <c r="A520" t="s">
        <v>1229</v>
      </c>
      <c r="B520" t="s">
        <v>1230</v>
      </c>
      <c r="C520" t="s">
        <v>536</v>
      </c>
      <c r="D520" s="8" t="s">
        <v>2</v>
      </c>
      <c r="E520" s="2">
        <f>SUMIFS(LS[Unit],LS[Investor ID],INVESTORS_LIST[[#This Row],[INVESTOR CODE]],LS[B/S],"B")</f>
        <v>0</v>
      </c>
      <c r="F520" s="2">
        <f>-SUMIFS(LS[Unit],LS[Investor ID],INVESTORS_LIST[[#This Row],[INVESTOR CODE]],LS[B/S],"S")</f>
        <v>0</v>
      </c>
      <c r="G520" s="2">
        <f>IF(INVESTORS_LIST[[#This Row],[LS_TOTAL UNITS BUY]]=0,0,INVESTORS_LIST[[#This Row],[LS_TOTAL UNITS BUY]]-INVESTORS_LIST[[#This Row],[LS_TOTAL UNITS SOLD]])</f>
        <v>0</v>
      </c>
      <c r="H520" s="4">
        <f>IF(INVESTORS_LIST[[#This Row],[LS_TOTAL UNITS BUY]]=0,0,SUMIFS(LS[Amount],LS[Investor ID],INVESTORS_LIST[[#This Row],[INVESTOR CODE]],LS[B/S],"B"))</f>
        <v>0</v>
      </c>
      <c r="I520" s="6">
        <f>IF(INVESTORS_LIST[[#This Row],[LS_TOTAL UNITS SOLD]]=0,0,SUMIFS(LS[Cost of Units Sold],LS[Investor ID],INVESTORS_LIST[[#This Row],[INVESTOR CODE]],LS[B/S],"S"))</f>
        <v>0</v>
      </c>
      <c r="J520" s="6">
        <f>IF(INVESTORS_LIST[[#This Row],[LS_TOTAL CURRENT UNITS]]=0,0,INVESTORS_LIST[[#This Row],[LS_TOTAL CURRENT UNITS]]*INVESTORS_LIST[[#This Row],[LS_AVERAGE COST]])</f>
        <v>0</v>
      </c>
      <c r="K520" s="4">
        <f>IF(INVESTORS_LIST[[#This Row],[LS_TOTAL UNITS SOLD]]=0,0,SUMIFS(LS[Realized Gain],LS[Investor ID],INVESTORS_LIST[[#This Row],[INVESTOR CODE]],LS[B/S],"S"))</f>
        <v>0</v>
      </c>
      <c r="L520" s="2">
        <f>SUMIFS(SIP[Unit],SIP[Investor ID],INVESTORS_LIST[[#This Row],[INVESTOR CODE]],SIP[B/S],"B")</f>
        <v>0</v>
      </c>
      <c r="M520" s="2">
        <f>-SUMIFS(SIP[Unit],SIP[Investor ID],INVESTORS_LIST[[#This Row],[INVESTOR CODE]],SIP[B/S],"S")</f>
        <v>0</v>
      </c>
      <c r="N520" s="33">
        <f>IF(INVESTORS_LIST[[#This Row],[SIP_TOTAL UNITS BUY]]=0,0,INVESTORS_LIST[[#This Row],[SIP_TOTAL UNITS BUY]]-INVESTORS_LIST[[#This Row],[SIP_TOTAL UNITS SOLD]])</f>
        <v>0</v>
      </c>
      <c r="O520" s="4">
        <f>IF(INVESTORS_LIST[[#This Row],[SIP_TOTAL UNITS BUY]]=0,0,SUMIFS(SIP[Amount],SIP[Investor ID],INVESTORS_LIST[[#This Row],[INVESTOR CODE]],SIP[B/S],"B"))</f>
        <v>0</v>
      </c>
      <c r="P520" s="4">
        <f>IF(INVESTORS_LIST[[#This Row],[SIP_TOTAL UNITS SOLD]]=0,0,SUMIFS(SIP[Cost of Units Sold],SIP[Investor ID],INVESTORS_LIST[[#This Row],[INVESTOR CODE]],SIP[B/S],"S"))</f>
        <v>0</v>
      </c>
      <c r="Q520" s="6">
        <f>IF(INVESTORS_LIST[[#This Row],[SIP_TOTAL CURRENT UNITS]]=0,0,INVESTORS_LIST[[#This Row],[SIP_TOTAL CURRENT UNITS]]*INVESTORS_LIST[[#This Row],[SIP_AVERAGE COST]])</f>
        <v>0</v>
      </c>
      <c r="R520" s="6">
        <f>IF(INVESTORS_LIST[[#This Row],[SIP_TOTAL UNITS SOLD]]=0,0,SUMIFS(SIP[Realized Gain],SIP[Investor ID],INVESTORS_LIST[[#This Row],[INVESTOR CODE]],SIP[B/S],"S"))</f>
        <v>0</v>
      </c>
      <c r="S520" s="33">
        <f>INVESTORS_LIST[[#This Row],[LS_TOTAL UNITS BUY]]+INVESTORS_LIST[[#This Row],[SIP_TOTAL UNITS BUY]]</f>
        <v>0</v>
      </c>
      <c r="T520" s="33">
        <f>INVESTORS_LIST[[#This Row],[LS_TOTAL UNITS SOLD]]+INVESTORS_LIST[[#This Row],[SIP_TOTAL UNITS SOLD]]</f>
        <v>0</v>
      </c>
      <c r="U520" s="33">
        <v>0</v>
      </c>
      <c r="V520" s="33">
        <f>SUMIFS(LS[BO UNIT TRANSFER],LS[Investor ID],INVESTORS_LIST[[#This Row],[INVESTOR CODE]],LS[B/S],"B")</f>
        <v>0</v>
      </c>
      <c r="W520" s="33">
        <f>SUMIFS(LS[BO UNIT TRANSFER],LS[Investor ID],INVESTORS_LIST[[#This Row],[INVESTOR CODE]],LS[B/S],"S")</f>
        <v>0</v>
      </c>
      <c r="X520" s="33">
        <f>SUMIFS(SIP[BO UNIT TRANSFER],SIP[Investor ID],INVESTORS_LIST[[#This Row],[INVESTOR CODE]],SIP[B/S],"S")</f>
        <v>0</v>
      </c>
      <c r="Y520" s="33">
        <f>SUMIFS(SIP[BO UNIT TRANSFER],SIP[Investor ID],INVESTORS_LIST[[#This Row],[INVESTOR CODE]],SIP[B/S],"B")</f>
        <v>0</v>
      </c>
      <c r="Z52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20" s="119">
        <f>INVESTORS_LIST[[#This Row],[TOTAL UNITS BUY]]-INVESTORS_LIST[[#This Row],[TOTAL UNITS SOLD]]</f>
        <v>0</v>
      </c>
      <c r="AB520" s="119">
        <f>INVESTORS_LIST[[#This Row],[TOTAL CURRENT UNITS]]-INVESTORS_LIST[[#This Row],[BO UNITS HOLD]]</f>
        <v>0</v>
      </c>
      <c r="AC520" s="119" t="e">
        <f>INDEX([4]!Table_1[BO ID],MATCH(INVESTORS_LIST[[#This Row],[INVESTOR CODE]],[4]!Table_1[INVESTOR CODE],0))</f>
        <v>#REF!</v>
      </c>
      <c r="AD520" s="33">
        <f>INVESTORS_LIST[[#This Row],[LS_TOTAL COST VALUE OF CURRENT UNITS]]+INVESTORS_LIST[[#This Row],[SIP_TOTAL COST VALUE OF CURRENT UNITS]]</f>
        <v>0</v>
      </c>
      <c r="AE520" s="44">
        <f>IF(INVESTORS_LIST[[#This Row],[TOTAL CURRENT UNITS]]=0,0,INVESTORS_LIST[[#This Row],[LS_TOTAL CURRENT UNITS]]/INVESTORS_LIST[[#This Row],[TOTAL CURRENT UNITS]])</f>
        <v>0</v>
      </c>
      <c r="AF520" s="44">
        <f>IF(INVESTORS_LIST[[#This Row],[TOTAL CURRENT UNITS]]=0,0,INVESTORS_LIST[[#This Row],[SIP_TOTAL CURRENT UNITS]]/INVESTORS_LIST[[#This Row],[TOTAL CURRENT UNITS]])</f>
        <v>0</v>
      </c>
      <c r="AG520" s="4" cm="1">
        <f t="array" ref="AG52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20" s="4" cm="1">
        <f t="array" ref="AH5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2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20" s="178">
        <f t="shared" si="13"/>
        <v>12.552</v>
      </c>
      <c r="AK520" s="118">
        <f>IF(INVESTORS_LIST[[#This Row],[TOTAL CURRENT UNITS]]=0,0,INVESTORS_LIST[[#This Row],[TOTAL CURRENT UNITS]]*INVESTORS_LIST[[#This Row],[NAV]])</f>
        <v>0</v>
      </c>
      <c r="AL520" s="4">
        <f>IF(INVESTORS_LIST[[#This Row],[LS_TOTAL CURRENT UNITS]]=0,0,INVESTORS_LIST[[#This Row],[LS_TOTAL CURRENT UNITS]]*INVESTORS_LIST[[#This Row],[NAV]])</f>
        <v>0</v>
      </c>
      <c r="AM520" s="6">
        <f>IF(INVESTORS_LIST[[#This Row],[SIP_TOTAL CURRENT UNITS]]=0,0,INVESTORS_LIST[[#This Row],[SIP_TOTAL CURRENT UNITS]]*INVESTORS_LIST[[#This Row],[NAV]])</f>
        <v>0</v>
      </c>
      <c r="AO520" s="6">
        <f>IF(INVESTORS_LIST[[#This Row],[TOTAL SELLABLE UNITS]]=0,0,INVESTORS_LIST[[#This Row],[TOTAL SELLABLE UNITS]]*INVESTORS_LIST[[#This Row],[NAV]])</f>
        <v>0</v>
      </c>
      <c r="AP520" s="6">
        <f>INVESTORS_LIST[[#This Row],[LS_TOTAL REALIZED GAIN]]+INVESTORS_LIST[[#This Row],[SIP_TOTAL REALIZED GAIN]]</f>
        <v>0</v>
      </c>
      <c r="AQ520" s="6">
        <f>INVESTORS_LIST[[#This Row],[TOTAL MARKET VALUE]]-INVESTORS_LIST[[#This Row],[TOTAL COST VALUE OF CURRENT INVESTMENT]]</f>
        <v>0</v>
      </c>
      <c r="AR520" s="6">
        <f>SUMIFS(DivAndTax[Tax Amount],DivAndTax[Investor ID],INVESTORS_LIST[[#This Row],[INVESTOR CODE]])</f>
        <v>0</v>
      </c>
      <c r="AS520" s="6">
        <f>SUMIFS(DivAndTax[Gross Dividend],DivAndTax[Investor ID],INVESTORS_LIST[[#This Row],[INVESTOR CODE]])</f>
        <v>0</v>
      </c>
      <c r="AT520" s="5">
        <f>IFERROR(INVESTORS_LIST[[#This Row],[TOTAL CURRENT UNITS]]/SUM(INVESTORS_LIST[TOTAL CURRENT UNITS]),0)</f>
        <v>0</v>
      </c>
    </row>
    <row r="521" spans="1:46" hidden="1">
      <c r="A521" t="s">
        <v>1231</v>
      </c>
      <c r="B521" t="s">
        <v>1232</v>
      </c>
      <c r="C521" t="s">
        <v>536</v>
      </c>
      <c r="D521" s="8" t="s">
        <v>2</v>
      </c>
      <c r="E521" s="2">
        <f>SUMIFS(LS[Unit],LS[Investor ID],INVESTORS_LIST[[#This Row],[INVESTOR CODE]],LS[B/S],"B")</f>
        <v>0</v>
      </c>
      <c r="F521" s="2">
        <f>-SUMIFS(LS[Unit],LS[Investor ID],INVESTORS_LIST[[#This Row],[INVESTOR CODE]],LS[B/S],"S")</f>
        <v>0</v>
      </c>
      <c r="G521" s="2">
        <f>IF(INVESTORS_LIST[[#This Row],[LS_TOTAL UNITS BUY]]=0,0,INVESTORS_LIST[[#This Row],[LS_TOTAL UNITS BUY]]-INVESTORS_LIST[[#This Row],[LS_TOTAL UNITS SOLD]])</f>
        <v>0</v>
      </c>
      <c r="H521" s="4">
        <f>IF(INVESTORS_LIST[[#This Row],[LS_TOTAL UNITS BUY]]=0,0,SUMIFS(LS[Amount],LS[Investor ID],INVESTORS_LIST[[#This Row],[INVESTOR CODE]],LS[B/S],"B"))</f>
        <v>0</v>
      </c>
      <c r="I521" s="6">
        <f>IF(INVESTORS_LIST[[#This Row],[LS_TOTAL UNITS SOLD]]=0,0,SUMIFS(LS[Cost of Units Sold],LS[Investor ID],INVESTORS_LIST[[#This Row],[INVESTOR CODE]],LS[B/S],"S"))</f>
        <v>0</v>
      </c>
      <c r="J521" s="6">
        <f>IF(INVESTORS_LIST[[#This Row],[LS_TOTAL CURRENT UNITS]]=0,0,INVESTORS_LIST[[#This Row],[LS_TOTAL CURRENT UNITS]]*INVESTORS_LIST[[#This Row],[LS_AVERAGE COST]])</f>
        <v>0</v>
      </c>
      <c r="K521" s="4">
        <f>IF(INVESTORS_LIST[[#This Row],[LS_TOTAL UNITS SOLD]]=0,0,SUMIFS(LS[Realized Gain],LS[Investor ID],INVESTORS_LIST[[#This Row],[INVESTOR CODE]],LS[B/S],"S"))</f>
        <v>0</v>
      </c>
      <c r="L521" s="2">
        <f>SUMIFS(SIP[Unit],SIP[Investor ID],INVESTORS_LIST[[#This Row],[INVESTOR CODE]],SIP[B/S],"B")</f>
        <v>0</v>
      </c>
      <c r="M521" s="2">
        <f>-SUMIFS(SIP[Unit],SIP[Investor ID],INVESTORS_LIST[[#This Row],[INVESTOR CODE]],SIP[B/S],"S")</f>
        <v>0</v>
      </c>
      <c r="N521" s="33">
        <f>IF(INVESTORS_LIST[[#This Row],[SIP_TOTAL UNITS BUY]]=0,0,INVESTORS_LIST[[#This Row],[SIP_TOTAL UNITS BUY]]-INVESTORS_LIST[[#This Row],[SIP_TOTAL UNITS SOLD]])</f>
        <v>0</v>
      </c>
      <c r="O521" s="4">
        <f>IF(INVESTORS_LIST[[#This Row],[SIP_TOTAL UNITS BUY]]=0,0,SUMIFS(SIP[Amount],SIP[Investor ID],INVESTORS_LIST[[#This Row],[INVESTOR CODE]],SIP[B/S],"B"))</f>
        <v>0</v>
      </c>
      <c r="P521" s="4">
        <f>IF(INVESTORS_LIST[[#This Row],[SIP_TOTAL UNITS SOLD]]=0,0,SUMIFS(SIP[Cost of Units Sold],SIP[Investor ID],INVESTORS_LIST[[#This Row],[INVESTOR CODE]],SIP[B/S],"S"))</f>
        <v>0</v>
      </c>
      <c r="Q521" s="6">
        <f>IF(INVESTORS_LIST[[#This Row],[SIP_TOTAL CURRENT UNITS]]=0,0,INVESTORS_LIST[[#This Row],[SIP_TOTAL CURRENT UNITS]]*INVESTORS_LIST[[#This Row],[SIP_AVERAGE COST]])</f>
        <v>0</v>
      </c>
      <c r="R521" s="6">
        <f>IF(INVESTORS_LIST[[#This Row],[SIP_TOTAL UNITS SOLD]]=0,0,SUMIFS(SIP[Realized Gain],SIP[Investor ID],INVESTORS_LIST[[#This Row],[INVESTOR CODE]],SIP[B/S],"S"))</f>
        <v>0</v>
      </c>
      <c r="S521" s="33">
        <f>INVESTORS_LIST[[#This Row],[LS_TOTAL UNITS BUY]]+INVESTORS_LIST[[#This Row],[SIP_TOTAL UNITS BUY]]</f>
        <v>0</v>
      </c>
      <c r="T521" s="33">
        <f>INVESTORS_LIST[[#This Row],[LS_TOTAL UNITS SOLD]]+INVESTORS_LIST[[#This Row],[SIP_TOTAL UNITS SOLD]]</f>
        <v>0</v>
      </c>
      <c r="U521" s="33">
        <v>0</v>
      </c>
      <c r="V521" s="33">
        <f>SUMIFS(LS[BO UNIT TRANSFER],LS[Investor ID],INVESTORS_LIST[[#This Row],[INVESTOR CODE]],LS[B/S],"B")</f>
        <v>0</v>
      </c>
      <c r="W521" s="33">
        <f>SUMIFS(LS[BO UNIT TRANSFER],LS[Investor ID],INVESTORS_LIST[[#This Row],[INVESTOR CODE]],LS[B/S],"S")</f>
        <v>0</v>
      </c>
      <c r="X521" s="33">
        <f>SUMIFS(SIP[BO UNIT TRANSFER],SIP[Investor ID],INVESTORS_LIST[[#This Row],[INVESTOR CODE]],SIP[B/S],"S")</f>
        <v>0</v>
      </c>
      <c r="Y521" s="33">
        <f>SUMIFS(SIP[BO UNIT TRANSFER],SIP[Investor ID],INVESTORS_LIST[[#This Row],[INVESTOR CODE]],SIP[B/S],"B")</f>
        <v>0</v>
      </c>
      <c r="Z52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21" s="119">
        <f>INVESTORS_LIST[[#This Row],[TOTAL UNITS BUY]]-INVESTORS_LIST[[#This Row],[TOTAL UNITS SOLD]]</f>
        <v>0</v>
      </c>
      <c r="AB521" s="119">
        <f>INVESTORS_LIST[[#This Row],[TOTAL CURRENT UNITS]]-INVESTORS_LIST[[#This Row],[BO UNITS HOLD]]</f>
        <v>0</v>
      </c>
      <c r="AC521" s="119" t="e">
        <f>INDEX([4]!Table_1[BO ID],MATCH(INVESTORS_LIST[[#This Row],[INVESTOR CODE]],[4]!Table_1[INVESTOR CODE],0))</f>
        <v>#REF!</v>
      </c>
      <c r="AD521" s="33">
        <f>INVESTORS_LIST[[#This Row],[LS_TOTAL COST VALUE OF CURRENT UNITS]]+INVESTORS_LIST[[#This Row],[SIP_TOTAL COST VALUE OF CURRENT UNITS]]</f>
        <v>0</v>
      </c>
      <c r="AE521" s="44">
        <f>IF(INVESTORS_LIST[[#This Row],[TOTAL CURRENT UNITS]]=0,0,INVESTORS_LIST[[#This Row],[LS_TOTAL CURRENT UNITS]]/INVESTORS_LIST[[#This Row],[TOTAL CURRENT UNITS]])</f>
        <v>0</v>
      </c>
      <c r="AF521" s="44">
        <f>IF(INVESTORS_LIST[[#This Row],[TOTAL CURRENT UNITS]]=0,0,INVESTORS_LIST[[#This Row],[SIP_TOTAL CURRENT UNITS]]/INVESTORS_LIST[[#This Row],[TOTAL CURRENT UNITS]])</f>
        <v>0</v>
      </c>
      <c r="AG521" s="4" cm="1">
        <f t="array" ref="AG5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21" s="4" cm="1">
        <f t="array" ref="AH5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2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21" s="178">
        <f t="shared" si="13"/>
        <v>12.552</v>
      </c>
      <c r="AK521" s="118">
        <f>IF(INVESTORS_LIST[[#This Row],[TOTAL CURRENT UNITS]]=0,0,INVESTORS_LIST[[#This Row],[TOTAL CURRENT UNITS]]*INVESTORS_LIST[[#This Row],[NAV]])</f>
        <v>0</v>
      </c>
      <c r="AL521" s="4">
        <f>IF(INVESTORS_LIST[[#This Row],[LS_TOTAL CURRENT UNITS]]=0,0,INVESTORS_LIST[[#This Row],[LS_TOTAL CURRENT UNITS]]*INVESTORS_LIST[[#This Row],[NAV]])</f>
        <v>0</v>
      </c>
      <c r="AM521" s="6">
        <f>IF(INVESTORS_LIST[[#This Row],[SIP_TOTAL CURRENT UNITS]]=0,0,INVESTORS_LIST[[#This Row],[SIP_TOTAL CURRENT UNITS]]*INVESTORS_LIST[[#This Row],[NAV]])</f>
        <v>0</v>
      </c>
      <c r="AO521" s="6">
        <f>IF(INVESTORS_LIST[[#This Row],[TOTAL SELLABLE UNITS]]=0,0,INVESTORS_LIST[[#This Row],[TOTAL SELLABLE UNITS]]*INVESTORS_LIST[[#This Row],[NAV]])</f>
        <v>0</v>
      </c>
      <c r="AP521" s="6">
        <f>INVESTORS_LIST[[#This Row],[LS_TOTAL REALIZED GAIN]]+INVESTORS_LIST[[#This Row],[SIP_TOTAL REALIZED GAIN]]</f>
        <v>0</v>
      </c>
      <c r="AQ521" s="6">
        <f>INVESTORS_LIST[[#This Row],[TOTAL MARKET VALUE]]-INVESTORS_LIST[[#This Row],[TOTAL COST VALUE OF CURRENT INVESTMENT]]</f>
        <v>0</v>
      </c>
      <c r="AR521" s="6">
        <f>SUMIFS(DivAndTax[Tax Amount],DivAndTax[Investor ID],INVESTORS_LIST[[#This Row],[INVESTOR CODE]])</f>
        <v>0</v>
      </c>
      <c r="AS521" s="6">
        <f>SUMIFS(DivAndTax[Gross Dividend],DivAndTax[Investor ID],INVESTORS_LIST[[#This Row],[INVESTOR CODE]])</f>
        <v>0</v>
      </c>
      <c r="AT521" s="5">
        <f>IFERROR(INVESTORS_LIST[[#This Row],[TOTAL CURRENT UNITS]]/SUM(INVESTORS_LIST[TOTAL CURRENT UNITS]),0)</f>
        <v>0</v>
      </c>
    </row>
    <row r="522" spans="1:46" hidden="1">
      <c r="A522" t="s">
        <v>1233</v>
      </c>
      <c r="B522" t="s">
        <v>1234</v>
      </c>
      <c r="C522" t="s">
        <v>537</v>
      </c>
      <c r="D522" s="8" t="s">
        <v>8</v>
      </c>
      <c r="E522" s="2">
        <f>SUMIFS(LS[Unit],LS[Investor ID],INVESTORS_LIST[[#This Row],[INVESTOR CODE]],LS[B/S],"B")</f>
        <v>0</v>
      </c>
      <c r="F522" s="2">
        <f>-SUMIFS(LS[Unit],LS[Investor ID],INVESTORS_LIST[[#This Row],[INVESTOR CODE]],LS[B/S],"S")</f>
        <v>0</v>
      </c>
      <c r="G522" s="2">
        <f>IF(INVESTORS_LIST[[#This Row],[LS_TOTAL UNITS BUY]]=0,0,INVESTORS_LIST[[#This Row],[LS_TOTAL UNITS BUY]]-INVESTORS_LIST[[#This Row],[LS_TOTAL UNITS SOLD]])</f>
        <v>0</v>
      </c>
      <c r="H522" s="4">
        <f>IF(INVESTORS_LIST[[#This Row],[LS_TOTAL UNITS BUY]]=0,0,SUMIFS(LS[Amount],LS[Investor ID],INVESTORS_LIST[[#This Row],[INVESTOR CODE]],LS[B/S],"B"))</f>
        <v>0</v>
      </c>
      <c r="I522" s="6">
        <f>IF(INVESTORS_LIST[[#This Row],[LS_TOTAL UNITS SOLD]]=0,0,SUMIFS(LS[Cost of Units Sold],LS[Investor ID],INVESTORS_LIST[[#This Row],[INVESTOR CODE]],LS[B/S],"S"))</f>
        <v>0</v>
      </c>
      <c r="J522" s="6">
        <f>IF(INVESTORS_LIST[[#This Row],[LS_TOTAL CURRENT UNITS]]=0,0,INVESTORS_LIST[[#This Row],[LS_TOTAL CURRENT UNITS]]*INVESTORS_LIST[[#This Row],[LS_AVERAGE COST]])</f>
        <v>0</v>
      </c>
      <c r="K522" s="4">
        <f>IF(INVESTORS_LIST[[#This Row],[LS_TOTAL UNITS SOLD]]=0,0,SUMIFS(LS[Realized Gain],LS[Investor ID],INVESTORS_LIST[[#This Row],[INVESTOR CODE]],LS[B/S],"S"))</f>
        <v>0</v>
      </c>
      <c r="L522" s="2">
        <f>SUMIFS(SIP[Unit],SIP[Investor ID],INVESTORS_LIST[[#This Row],[INVESTOR CODE]],SIP[B/S],"B")</f>
        <v>0</v>
      </c>
      <c r="M522" s="2">
        <f>-SUMIFS(SIP[Unit],SIP[Investor ID],INVESTORS_LIST[[#This Row],[INVESTOR CODE]],SIP[B/S],"S")</f>
        <v>0</v>
      </c>
      <c r="N522" s="33">
        <f>IF(INVESTORS_LIST[[#This Row],[SIP_TOTAL UNITS BUY]]=0,0,INVESTORS_LIST[[#This Row],[SIP_TOTAL UNITS BUY]]-INVESTORS_LIST[[#This Row],[SIP_TOTAL UNITS SOLD]])</f>
        <v>0</v>
      </c>
      <c r="O522" s="4">
        <f>IF(INVESTORS_LIST[[#This Row],[SIP_TOTAL UNITS BUY]]=0,0,SUMIFS(SIP[Amount],SIP[Investor ID],INVESTORS_LIST[[#This Row],[INVESTOR CODE]],SIP[B/S],"B"))</f>
        <v>0</v>
      </c>
      <c r="P522" s="4">
        <f>IF(INVESTORS_LIST[[#This Row],[SIP_TOTAL UNITS SOLD]]=0,0,SUMIFS(SIP[Cost of Units Sold],SIP[Investor ID],INVESTORS_LIST[[#This Row],[INVESTOR CODE]],SIP[B/S],"S"))</f>
        <v>0</v>
      </c>
      <c r="Q522" s="6">
        <f>IF(INVESTORS_LIST[[#This Row],[SIP_TOTAL CURRENT UNITS]]=0,0,INVESTORS_LIST[[#This Row],[SIP_TOTAL CURRENT UNITS]]*INVESTORS_LIST[[#This Row],[SIP_AVERAGE COST]])</f>
        <v>0</v>
      </c>
      <c r="R522" s="6">
        <f>IF(INVESTORS_LIST[[#This Row],[SIP_TOTAL UNITS SOLD]]=0,0,SUMIFS(SIP[Realized Gain],SIP[Investor ID],INVESTORS_LIST[[#This Row],[INVESTOR CODE]],SIP[B/S],"S"))</f>
        <v>0</v>
      </c>
      <c r="S522" s="33">
        <f>INVESTORS_LIST[[#This Row],[LS_TOTAL UNITS BUY]]+INVESTORS_LIST[[#This Row],[SIP_TOTAL UNITS BUY]]</f>
        <v>0</v>
      </c>
      <c r="T522" s="33">
        <f>INVESTORS_LIST[[#This Row],[LS_TOTAL UNITS SOLD]]+INVESTORS_LIST[[#This Row],[SIP_TOTAL UNITS SOLD]]</f>
        <v>0</v>
      </c>
      <c r="U522" s="33">
        <v>0</v>
      </c>
      <c r="V522" s="33">
        <f>SUMIFS(LS[BO UNIT TRANSFER],LS[Investor ID],INVESTORS_LIST[[#This Row],[INVESTOR CODE]],LS[B/S],"B")</f>
        <v>0</v>
      </c>
      <c r="W522" s="33">
        <f>SUMIFS(LS[BO UNIT TRANSFER],LS[Investor ID],INVESTORS_LIST[[#This Row],[INVESTOR CODE]],LS[B/S],"S")</f>
        <v>0</v>
      </c>
      <c r="X522" s="33">
        <f>SUMIFS(SIP[BO UNIT TRANSFER],SIP[Investor ID],INVESTORS_LIST[[#This Row],[INVESTOR CODE]],SIP[B/S],"S")</f>
        <v>0</v>
      </c>
      <c r="Y522" s="33">
        <f>SUMIFS(SIP[BO UNIT TRANSFER],SIP[Investor ID],INVESTORS_LIST[[#This Row],[INVESTOR CODE]],SIP[B/S],"B")</f>
        <v>0</v>
      </c>
      <c r="Z52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22" s="119">
        <f>INVESTORS_LIST[[#This Row],[TOTAL UNITS BUY]]-INVESTORS_LIST[[#This Row],[TOTAL UNITS SOLD]]</f>
        <v>0</v>
      </c>
      <c r="AB522" s="119">
        <f>INVESTORS_LIST[[#This Row],[TOTAL CURRENT UNITS]]-INVESTORS_LIST[[#This Row],[BO UNITS HOLD]]</f>
        <v>0</v>
      </c>
      <c r="AC522" s="119" t="e">
        <f>INDEX([4]!Table_1[BO ID],MATCH(INVESTORS_LIST[[#This Row],[INVESTOR CODE]],[4]!Table_1[INVESTOR CODE],0))</f>
        <v>#REF!</v>
      </c>
      <c r="AD522" s="33">
        <f>INVESTORS_LIST[[#This Row],[LS_TOTAL COST VALUE OF CURRENT UNITS]]+INVESTORS_LIST[[#This Row],[SIP_TOTAL COST VALUE OF CURRENT UNITS]]</f>
        <v>0</v>
      </c>
      <c r="AE522" s="44">
        <f>IF(INVESTORS_LIST[[#This Row],[TOTAL CURRENT UNITS]]=0,0,INVESTORS_LIST[[#This Row],[LS_TOTAL CURRENT UNITS]]/INVESTORS_LIST[[#This Row],[TOTAL CURRENT UNITS]])</f>
        <v>0</v>
      </c>
      <c r="AF522" s="44">
        <f>IF(INVESTORS_LIST[[#This Row],[TOTAL CURRENT UNITS]]=0,0,INVESTORS_LIST[[#This Row],[SIP_TOTAL CURRENT UNITS]]/INVESTORS_LIST[[#This Row],[TOTAL CURRENT UNITS]])</f>
        <v>0</v>
      </c>
      <c r="AG522" s="4" cm="1">
        <f t="array" ref="AG5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22" s="4" cm="1">
        <f t="array" ref="AH5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2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22" s="178">
        <f t="shared" si="13"/>
        <v>12.552</v>
      </c>
      <c r="AK522" s="118">
        <f>IF(INVESTORS_LIST[[#This Row],[TOTAL CURRENT UNITS]]=0,0,INVESTORS_LIST[[#This Row],[TOTAL CURRENT UNITS]]*INVESTORS_LIST[[#This Row],[NAV]])</f>
        <v>0</v>
      </c>
      <c r="AL522" s="4">
        <f>IF(INVESTORS_LIST[[#This Row],[LS_TOTAL CURRENT UNITS]]=0,0,INVESTORS_LIST[[#This Row],[LS_TOTAL CURRENT UNITS]]*INVESTORS_LIST[[#This Row],[NAV]])</f>
        <v>0</v>
      </c>
      <c r="AM522" s="6">
        <f>IF(INVESTORS_LIST[[#This Row],[SIP_TOTAL CURRENT UNITS]]=0,0,INVESTORS_LIST[[#This Row],[SIP_TOTAL CURRENT UNITS]]*INVESTORS_LIST[[#This Row],[NAV]])</f>
        <v>0</v>
      </c>
      <c r="AO522" s="6">
        <f>IF(INVESTORS_LIST[[#This Row],[TOTAL SELLABLE UNITS]]=0,0,INVESTORS_LIST[[#This Row],[TOTAL SELLABLE UNITS]]*INVESTORS_LIST[[#This Row],[NAV]])</f>
        <v>0</v>
      </c>
      <c r="AP522" s="6">
        <f>INVESTORS_LIST[[#This Row],[LS_TOTAL REALIZED GAIN]]+INVESTORS_LIST[[#This Row],[SIP_TOTAL REALIZED GAIN]]</f>
        <v>0</v>
      </c>
      <c r="AQ522" s="6">
        <f>INVESTORS_LIST[[#This Row],[TOTAL MARKET VALUE]]-INVESTORS_LIST[[#This Row],[TOTAL COST VALUE OF CURRENT INVESTMENT]]</f>
        <v>0</v>
      </c>
      <c r="AR522" s="6">
        <f>SUMIFS(DivAndTax[Tax Amount],DivAndTax[Investor ID],INVESTORS_LIST[[#This Row],[INVESTOR CODE]])</f>
        <v>0</v>
      </c>
      <c r="AS522" s="6">
        <f>SUMIFS(DivAndTax[Gross Dividend],DivAndTax[Investor ID],INVESTORS_LIST[[#This Row],[INVESTOR CODE]])</f>
        <v>0</v>
      </c>
      <c r="AT522" s="5">
        <f>IFERROR(INVESTORS_LIST[[#This Row],[TOTAL CURRENT UNITS]]/SUM(INVESTORS_LIST[TOTAL CURRENT UNITS]),0)</f>
        <v>0</v>
      </c>
    </row>
    <row r="523" spans="1:46" hidden="1">
      <c r="A523" t="s">
        <v>1235</v>
      </c>
      <c r="B523" t="s">
        <v>1236</v>
      </c>
      <c r="C523" t="s">
        <v>537</v>
      </c>
      <c r="D523" s="8" t="s">
        <v>8</v>
      </c>
      <c r="E523" s="2">
        <f>SUMIFS(LS[Unit],LS[Investor ID],INVESTORS_LIST[[#This Row],[INVESTOR CODE]],LS[B/S],"B")</f>
        <v>0</v>
      </c>
      <c r="F523" s="2">
        <f>-SUMIFS(LS[Unit],LS[Investor ID],INVESTORS_LIST[[#This Row],[INVESTOR CODE]],LS[B/S],"S")</f>
        <v>0</v>
      </c>
      <c r="G523" s="2">
        <f>IF(INVESTORS_LIST[[#This Row],[LS_TOTAL UNITS BUY]]=0,0,INVESTORS_LIST[[#This Row],[LS_TOTAL UNITS BUY]]-INVESTORS_LIST[[#This Row],[LS_TOTAL UNITS SOLD]])</f>
        <v>0</v>
      </c>
      <c r="H523" s="4">
        <f>IF(INVESTORS_LIST[[#This Row],[LS_TOTAL UNITS BUY]]=0,0,SUMIFS(LS[Amount],LS[Investor ID],INVESTORS_LIST[[#This Row],[INVESTOR CODE]],LS[B/S],"B"))</f>
        <v>0</v>
      </c>
      <c r="I523" s="6">
        <f>IF(INVESTORS_LIST[[#This Row],[LS_TOTAL UNITS SOLD]]=0,0,SUMIFS(LS[Cost of Units Sold],LS[Investor ID],INVESTORS_LIST[[#This Row],[INVESTOR CODE]],LS[B/S],"S"))</f>
        <v>0</v>
      </c>
      <c r="J523" s="6">
        <f>IF(INVESTORS_LIST[[#This Row],[LS_TOTAL CURRENT UNITS]]=0,0,INVESTORS_LIST[[#This Row],[LS_TOTAL CURRENT UNITS]]*INVESTORS_LIST[[#This Row],[LS_AVERAGE COST]])</f>
        <v>0</v>
      </c>
      <c r="K523" s="4">
        <f>IF(INVESTORS_LIST[[#This Row],[LS_TOTAL UNITS SOLD]]=0,0,SUMIFS(LS[Realized Gain],LS[Investor ID],INVESTORS_LIST[[#This Row],[INVESTOR CODE]],LS[B/S],"S"))</f>
        <v>0</v>
      </c>
      <c r="L523" s="2">
        <f>SUMIFS(SIP[Unit],SIP[Investor ID],INVESTORS_LIST[[#This Row],[INVESTOR CODE]],SIP[B/S],"B")</f>
        <v>0</v>
      </c>
      <c r="M523" s="2">
        <f>-SUMIFS(SIP[Unit],SIP[Investor ID],INVESTORS_LIST[[#This Row],[INVESTOR CODE]],SIP[B/S],"S")</f>
        <v>0</v>
      </c>
      <c r="N523" s="33">
        <f>IF(INVESTORS_LIST[[#This Row],[SIP_TOTAL UNITS BUY]]=0,0,INVESTORS_LIST[[#This Row],[SIP_TOTAL UNITS BUY]]-INVESTORS_LIST[[#This Row],[SIP_TOTAL UNITS SOLD]])</f>
        <v>0</v>
      </c>
      <c r="O523" s="4">
        <f>IF(INVESTORS_LIST[[#This Row],[SIP_TOTAL UNITS BUY]]=0,0,SUMIFS(SIP[Amount],SIP[Investor ID],INVESTORS_LIST[[#This Row],[INVESTOR CODE]],SIP[B/S],"B"))</f>
        <v>0</v>
      </c>
      <c r="P523" s="4">
        <f>IF(INVESTORS_LIST[[#This Row],[SIP_TOTAL UNITS SOLD]]=0,0,SUMIFS(SIP[Cost of Units Sold],SIP[Investor ID],INVESTORS_LIST[[#This Row],[INVESTOR CODE]],SIP[B/S],"S"))</f>
        <v>0</v>
      </c>
      <c r="Q523" s="6">
        <f>IF(INVESTORS_LIST[[#This Row],[SIP_TOTAL CURRENT UNITS]]=0,0,INVESTORS_LIST[[#This Row],[SIP_TOTAL CURRENT UNITS]]*INVESTORS_LIST[[#This Row],[SIP_AVERAGE COST]])</f>
        <v>0</v>
      </c>
      <c r="R523" s="6">
        <f>IF(INVESTORS_LIST[[#This Row],[SIP_TOTAL UNITS SOLD]]=0,0,SUMIFS(SIP[Realized Gain],SIP[Investor ID],INVESTORS_LIST[[#This Row],[INVESTOR CODE]],SIP[B/S],"S"))</f>
        <v>0</v>
      </c>
      <c r="S523" s="33">
        <f>INVESTORS_LIST[[#This Row],[LS_TOTAL UNITS BUY]]+INVESTORS_LIST[[#This Row],[SIP_TOTAL UNITS BUY]]</f>
        <v>0</v>
      </c>
      <c r="T523" s="33">
        <f>INVESTORS_LIST[[#This Row],[LS_TOTAL UNITS SOLD]]+INVESTORS_LIST[[#This Row],[SIP_TOTAL UNITS SOLD]]</f>
        <v>0</v>
      </c>
      <c r="U523" s="33">
        <v>0</v>
      </c>
      <c r="V523" s="33">
        <f>SUMIFS(LS[BO UNIT TRANSFER],LS[Investor ID],INVESTORS_LIST[[#This Row],[INVESTOR CODE]],LS[B/S],"B")</f>
        <v>0</v>
      </c>
      <c r="W523" s="33">
        <f>SUMIFS(LS[BO UNIT TRANSFER],LS[Investor ID],INVESTORS_LIST[[#This Row],[INVESTOR CODE]],LS[B/S],"S")</f>
        <v>0</v>
      </c>
      <c r="X523" s="33">
        <f>SUMIFS(SIP[BO UNIT TRANSFER],SIP[Investor ID],INVESTORS_LIST[[#This Row],[INVESTOR CODE]],SIP[B/S],"S")</f>
        <v>0</v>
      </c>
      <c r="Y523" s="33">
        <f>SUMIFS(SIP[BO UNIT TRANSFER],SIP[Investor ID],INVESTORS_LIST[[#This Row],[INVESTOR CODE]],SIP[B/S],"B")</f>
        <v>0</v>
      </c>
      <c r="Z52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23" s="119">
        <f>INVESTORS_LIST[[#This Row],[TOTAL UNITS BUY]]-INVESTORS_LIST[[#This Row],[TOTAL UNITS SOLD]]</f>
        <v>0</v>
      </c>
      <c r="AB523" s="119">
        <f>INVESTORS_LIST[[#This Row],[TOTAL CURRENT UNITS]]-INVESTORS_LIST[[#This Row],[BO UNITS HOLD]]</f>
        <v>0</v>
      </c>
      <c r="AC523" s="119" t="e">
        <f>INDEX([4]!Table_1[BO ID],MATCH(INVESTORS_LIST[[#This Row],[INVESTOR CODE]],[4]!Table_1[INVESTOR CODE],0))</f>
        <v>#REF!</v>
      </c>
      <c r="AD523" s="33">
        <f>INVESTORS_LIST[[#This Row],[LS_TOTAL COST VALUE OF CURRENT UNITS]]+INVESTORS_LIST[[#This Row],[SIP_TOTAL COST VALUE OF CURRENT UNITS]]</f>
        <v>0</v>
      </c>
      <c r="AE523" s="44">
        <f>IF(INVESTORS_LIST[[#This Row],[TOTAL CURRENT UNITS]]=0,0,INVESTORS_LIST[[#This Row],[LS_TOTAL CURRENT UNITS]]/INVESTORS_LIST[[#This Row],[TOTAL CURRENT UNITS]])</f>
        <v>0</v>
      </c>
      <c r="AF523" s="44">
        <f>IF(INVESTORS_LIST[[#This Row],[TOTAL CURRENT UNITS]]=0,0,INVESTORS_LIST[[#This Row],[SIP_TOTAL CURRENT UNITS]]/INVESTORS_LIST[[#This Row],[TOTAL CURRENT UNITS]])</f>
        <v>0</v>
      </c>
      <c r="AG523" s="4" cm="1">
        <f t="array" ref="AG5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23" s="4" cm="1">
        <f t="array" ref="AH5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2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23" s="178">
        <f t="shared" si="13"/>
        <v>12.552</v>
      </c>
      <c r="AK523" s="118">
        <f>IF(INVESTORS_LIST[[#This Row],[TOTAL CURRENT UNITS]]=0,0,INVESTORS_LIST[[#This Row],[TOTAL CURRENT UNITS]]*INVESTORS_LIST[[#This Row],[NAV]])</f>
        <v>0</v>
      </c>
      <c r="AL523" s="4">
        <f>IF(INVESTORS_LIST[[#This Row],[LS_TOTAL CURRENT UNITS]]=0,0,INVESTORS_LIST[[#This Row],[LS_TOTAL CURRENT UNITS]]*INVESTORS_LIST[[#This Row],[NAV]])</f>
        <v>0</v>
      </c>
      <c r="AM523" s="6">
        <f>IF(INVESTORS_LIST[[#This Row],[SIP_TOTAL CURRENT UNITS]]=0,0,INVESTORS_LIST[[#This Row],[SIP_TOTAL CURRENT UNITS]]*INVESTORS_LIST[[#This Row],[NAV]])</f>
        <v>0</v>
      </c>
      <c r="AO523" s="6">
        <f>IF(INVESTORS_LIST[[#This Row],[TOTAL SELLABLE UNITS]]=0,0,INVESTORS_LIST[[#This Row],[TOTAL SELLABLE UNITS]]*INVESTORS_LIST[[#This Row],[NAV]])</f>
        <v>0</v>
      </c>
      <c r="AP523" s="6">
        <f>INVESTORS_LIST[[#This Row],[LS_TOTAL REALIZED GAIN]]+INVESTORS_LIST[[#This Row],[SIP_TOTAL REALIZED GAIN]]</f>
        <v>0</v>
      </c>
      <c r="AQ523" s="6">
        <f>INVESTORS_LIST[[#This Row],[TOTAL MARKET VALUE]]-INVESTORS_LIST[[#This Row],[TOTAL COST VALUE OF CURRENT INVESTMENT]]</f>
        <v>0</v>
      </c>
      <c r="AR523" s="6">
        <f>SUMIFS(DivAndTax[Tax Amount],DivAndTax[Investor ID],INVESTORS_LIST[[#This Row],[INVESTOR CODE]])</f>
        <v>0</v>
      </c>
      <c r="AS523" s="6">
        <f>SUMIFS(DivAndTax[Gross Dividend],DivAndTax[Investor ID],INVESTORS_LIST[[#This Row],[INVESTOR CODE]])</f>
        <v>0</v>
      </c>
      <c r="AT523" s="5">
        <f>IFERROR(INVESTORS_LIST[[#This Row],[TOTAL CURRENT UNITS]]/SUM(INVESTORS_LIST[TOTAL CURRENT UNITS]),0)</f>
        <v>0</v>
      </c>
    </row>
    <row r="524" spans="1:46" hidden="1">
      <c r="A524" t="s">
        <v>1237</v>
      </c>
      <c r="B524" t="s">
        <v>1238</v>
      </c>
      <c r="C524" t="s">
        <v>537</v>
      </c>
      <c r="D524" s="8" t="s">
        <v>8</v>
      </c>
      <c r="E524" s="2">
        <f>SUMIFS(LS[Unit],LS[Investor ID],INVESTORS_LIST[[#This Row],[INVESTOR CODE]],LS[B/S],"B")</f>
        <v>0</v>
      </c>
      <c r="F524" s="2">
        <f>-SUMIFS(LS[Unit],LS[Investor ID],INVESTORS_LIST[[#This Row],[INVESTOR CODE]],LS[B/S],"S")</f>
        <v>0</v>
      </c>
      <c r="G524" s="2">
        <f>IF(INVESTORS_LIST[[#This Row],[LS_TOTAL UNITS BUY]]=0,0,INVESTORS_LIST[[#This Row],[LS_TOTAL UNITS BUY]]-INVESTORS_LIST[[#This Row],[LS_TOTAL UNITS SOLD]])</f>
        <v>0</v>
      </c>
      <c r="H524" s="4">
        <f>IF(INVESTORS_LIST[[#This Row],[LS_TOTAL UNITS BUY]]=0,0,SUMIFS(LS[Amount],LS[Investor ID],INVESTORS_LIST[[#This Row],[INVESTOR CODE]],LS[B/S],"B"))</f>
        <v>0</v>
      </c>
      <c r="I524" s="6">
        <f>IF(INVESTORS_LIST[[#This Row],[LS_TOTAL UNITS SOLD]]=0,0,SUMIFS(LS[Cost of Units Sold],LS[Investor ID],INVESTORS_LIST[[#This Row],[INVESTOR CODE]],LS[B/S],"S"))</f>
        <v>0</v>
      </c>
      <c r="J524" s="6">
        <f>IF(INVESTORS_LIST[[#This Row],[LS_TOTAL CURRENT UNITS]]=0,0,INVESTORS_LIST[[#This Row],[LS_TOTAL CURRENT UNITS]]*INVESTORS_LIST[[#This Row],[LS_AVERAGE COST]])</f>
        <v>0</v>
      </c>
      <c r="K524" s="4">
        <f>IF(INVESTORS_LIST[[#This Row],[LS_TOTAL UNITS SOLD]]=0,0,SUMIFS(LS[Realized Gain],LS[Investor ID],INVESTORS_LIST[[#This Row],[INVESTOR CODE]],LS[B/S],"S"))</f>
        <v>0</v>
      </c>
      <c r="L524" s="2">
        <f>SUMIFS(SIP[Unit],SIP[Investor ID],INVESTORS_LIST[[#This Row],[INVESTOR CODE]],SIP[B/S],"B")</f>
        <v>0</v>
      </c>
      <c r="M524" s="2">
        <f>-SUMIFS(SIP[Unit],SIP[Investor ID],INVESTORS_LIST[[#This Row],[INVESTOR CODE]],SIP[B/S],"S")</f>
        <v>0</v>
      </c>
      <c r="N524" s="33">
        <f>IF(INVESTORS_LIST[[#This Row],[SIP_TOTAL UNITS BUY]]=0,0,INVESTORS_LIST[[#This Row],[SIP_TOTAL UNITS BUY]]-INVESTORS_LIST[[#This Row],[SIP_TOTAL UNITS SOLD]])</f>
        <v>0</v>
      </c>
      <c r="O524" s="4">
        <f>IF(INVESTORS_LIST[[#This Row],[SIP_TOTAL UNITS BUY]]=0,0,SUMIFS(SIP[Amount],SIP[Investor ID],INVESTORS_LIST[[#This Row],[INVESTOR CODE]],SIP[B/S],"B"))</f>
        <v>0</v>
      </c>
      <c r="P524" s="4">
        <f>IF(INVESTORS_LIST[[#This Row],[SIP_TOTAL UNITS SOLD]]=0,0,SUMIFS(SIP[Cost of Units Sold],SIP[Investor ID],INVESTORS_LIST[[#This Row],[INVESTOR CODE]],SIP[B/S],"S"))</f>
        <v>0</v>
      </c>
      <c r="Q524" s="6">
        <f>IF(INVESTORS_LIST[[#This Row],[SIP_TOTAL CURRENT UNITS]]=0,0,INVESTORS_LIST[[#This Row],[SIP_TOTAL CURRENT UNITS]]*INVESTORS_LIST[[#This Row],[SIP_AVERAGE COST]])</f>
        <v>0</v>
      </c>
      <c r="R524" s="6">
        <f>IF(INVESTORS_LIST[[#This Row],[SIP_TOTAL UNITS SOLD]]=0,0,SUMIFS(SIP[Realized Gain],SIP[Investor ID],INVESTORS_LIST[[#This Row],[INVESTOR CODE]],SIP[B/S],"S"))</f>
        <v>0</v>
      </c>
      <c r="S524" s="33">
        <f>INVESTORS_LIST[[#This Row],[LS_TOTAL UNITS BUY]]+INVESTORS_LIST[[#This Row],[SIP_TOTAL UNITS BUY]]</f>
        <v>0</v>
      </c>
      <c r="T524" s="33">
        <f>INVESTORS_LIST[[#This Row],[LS_TOTAL UNITS SOLD]]+INVESTORS_LIST[[#This Row],[SIP_TOTAL UNITS SOLD]]</f>
        <v>0</v>
      </c>
      <c r="U524" s="33">
        <v>0</v>
      </c>
      <c r="V524" s="33">
        <f>SUMIFS(LS[BO UNIT TRANSFER],LS[Investor ID],INVESTORS_LIST[[#This Row],[INVESTOR CODE]],LS[B/S],"B")</f>
        <v>0</v>
      </c>
      <c r="W524" s="33">
        <f>SUMIFS(LS[BO UNIT TRANSFER],LS[Investor ID],INVESTORS_LIST[[#This Row],[INVESTOR CODE]],LS[B/S],"S")</f>
        <v>0</v>
      </c>
      <c r="X524" s="33">
        <f>SUMIFS(SIP[BO UNIT TRANSFER],SIP[Investor ID],INVESTORS_LIST[[#This Row],[INVESTOR CODE]],SIP[B/S],"S")</f>
        <v>0</v>
      </c>
      <c r="Y524" s="33">
        <f>SUMIFS(SIP[BO UNIT TRANSFER],SIP[Investor ID],INVESTORS_LIST[[#This Row],[INVESTOR CODE]],SIP[B/S],"B")</f>
        <v>0</v>
      </c>
      <c r="Z52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24" s="119">
        <f>INVESTORS_LIST[[#This Row],[TOTAL UNITS BUY]]-INVESTORS_LIST[[#This Row],[TOTAL UNITS SOLD]]</f>
        <v>0</v>
      </c>
      <c r="AB524" s="119">
        <f>INVESTORS_LIST[[#This Row],[TOTAL CURRENT UNITS]]-INVESTORS_LIST[[#This Row],[BO UNITS HOLD]]</f>
        <v>0</v>
      </c>
      <c r="AC524" s="119" t="e">
        <f>INDEX([4]!Table_1[BO ID],MATCH(INVESTORS_LIST[[#This Row],[INVESTOR CODE]],[4]!Table_1[INVESTOR CODE],0))</f>
        <v>#REF!</v>
      </c>
      <c r="AD524" s="33">
        <f>INVESTORS_LIST[[#This Row],[LS_TOTAL COST VALUE OF CURRENT UNITS]]+INVESTORS_LIST[[#This Row],[SIP_TOTAL COST VALUE OF CURRENT UNITS]]</f>
        <v>0</v>
      </c>
      <c r="AE524" s="44">
        <f>IF(INVESTORS_LIST[[#This Row],[TOTAL CURRENT UNITS]]=0,0,INVESTORS_LIST[[#This Row],[LS_TOTAL CURRENT UNITS]]/INVESTORS_LIST[[#This Row],[TOTAL CURRENT UNITS]])</f>
        <v>0</v>
      </c>
      <c r="AF524" s="44">
        <f>IF(INVESTORS_LIST[[#This Row],[TOTAL CURRENT UNITS]]=0,0,INVESTORS_LIST[[#This Row],[SIP_TOTAL CURRENT UNITS]]/INVESTORS_LIST[[#This Row],[TOTAL CURRENT UNITS]])</f>
        <v>0</v>
      </c>
      <c r="AG524" s="4" cm="1">
        <f t="array" ref="AG52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24" s="4" cm="1">
        <f t="array" ref="AH5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2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24" s="178">
        <f t="shared" si="13"/>
        <v>12.552</v>
      </c>
      <c r="AK524" s="118">
        <f>IF(INVESTORS_LIST[[#This Row],[TOTAL CURRENT UNITS]]=0,0,INVESTORS_LIST[[#This Row],[TOTAL CURRENT UNITS]]*INVESTORS_LIST[[#This Row],[NAV]])</f>
        <v>0</v>
      </c>
      <c r="AL524" s="4">
        <f>IF(INVESTORS_LIST[[#This Row],[LS_TOTAL CURRENT UNITS]]=0,0,INVESTORS_LIST[[#This Row],[LS_TOTAL CURRENT UNITS]]*INVESTORS_LIST[[#This Row],[NAV]])</f>
        <v>0</v>
      </c>
      <c r="AM524" s="6">
        <f>IF(INVESTORS_LIST[[#This Row],[SIP_TOTAL CURRENT UNITS]]=0,0,INVESTORS_LIST[[#This Row],[SIP_TOTAL CURRENT UNITS]]*INVESTORS_LIST[[#This Row],[NAV]])</f>
        <v>0</v>
      </c>
      <c r="AO524" s="6">
        <f>IF(INVESTORS_LIST[[#This Row],[TOTAL SELLABLE UNITS]]=0,0,INVESTORS_LIST[[#This Row],[TOTAL SELLABLE UNITS]]*INVESTORS_LIST[[#This Row],[NAV]])</f>
        <v>0</v>
      </c>
      <c r="AP524" s="6">
        <f>INVESTORS_LIST[[#This Row],[LS_TOTAL REALIZED GAIN]]+INVESTORS_LIST[[#This Row],[SIP_TOTAL REALIZED GAIN]]</f>
        <v>0</v>
      </c>
      <c r="AQ524" s="6">
        <f>INVESTORS_LIST[[#This Row],[TOTAL MARKET VALUE]]-INVESTORS_LIST[[#This Row],[TOTAL COST VALUE OF CURRENT INVESTMENT]]</f>
        <v>0</v>
      </c>
      <c r="AR524" s="6">
        <f>SUMIFS(DivAndTax[Tax Amount],DivAndTax[Investor ID],INVESTORS_LIST[[#This Row],[INVESTOR CODE]])</f>
        <v>0</v>
      </c>
      <c r="AS524" s="6">
        <f>SUMIFS(DivAndTax[Gross Dividend],DivAndTax[Investor ID],INVESTORS_LIST[[#This Row],[INVESTOR CODE]])</f>
        <v>0</v>
      </c>
      <c r="AT524" s="5">
        <f>IFERROR(INVESTORS_LIST[[#This Row],[TOTAL CURRENT UNITS]]/SUM(INVESTORS_LIST[TOTAL CURRENT UNITS]),0)</f>
        <v>0</v>
      </c>
    </row>
    <row r="525" spans="1:46" hidden="1">
      <c r="A525" t="s">
        <v>1239</v>
      </c>
      <c r="B525" t="s">
        <v>1240</v>
      </c>
      <c r="C525" t="s">
        <v>539</v>
      </c>
      <c r="D525" s="8" t="s">
        <v>2</v>
      </c>
      <c r="E525" s="2">
        <f>SUMIFS(LS[Unit],LS[Investor ID],INVESTORS_LIST[[#This Row],[INVESTOR CODE]],LS[B/S],"B")</f>
        <v>0</v>
      </c>
      <c r="F525" s="2">
        <f>-SUMIFS(LS[Unit],LS[Investor ID],INVESTORS_LIST[[#This Row],[INVESTOR CODE]],LS[B/S],"S")</f>
        <v>0</v>
      </c>
      <c r="G525" s="2">
        <f>IF(INVESTORS_LIST[[#This Row],[LS_TOTAL UNITS BUY]]=0,0,INVESTORS_LIST[[#This Row],[LS_TOTAL UNITS BUY]]-INVESTORS_LIST[[#This Row],[LS_TOTAL UNITS SOLD]])</f>
        <v>0</v>
      </c>
      <c r="H525" s="4">
        <f>IF(INVESTORS_LIST[[#This Row],[LS_TOTAL UNITS BUY]]=0,0,SUMIFS(LS[Amount],LS[Investor ID],INVESTORS_LIST[[#This Row],[INVESTOR CODE]],LS[B/S],"B"))</f>
        <v>0</v>
      </c>
      <c r="I525" s="6">
        <f>IF(INVESTORS_LIST[[#This Row],[LS_TOTAL UNITS SOLD]]=0,0,SUMIFS(LS[Cost of Units Sold],LS[Investor ID],INVESTORS_LIST[[#This Row],[INVESTOR CODE]],LS[B/S],"S"))</f>
        <v>0</v>
      </c>
      <c r="J525" s="6">
        <f>IF(INVESTORS_LIST[[#This Row],[LS_TOTAL CURRENT UNITS]]=0,0,INVESTORS_LIST[[#This Row],[LS_TOTAL CURRENT UNITS]]*INVESTORS_LIST[[#This Row],[LS_AVERAGE COST]])</f>
        <v>0</v>
      </c>
      <c r="K525" s="4">
        <f>IF(INVESTORS_LIST[[#This Row],[LS_TOTAL UNITS SOLD]]=0,0,SUMIFS(LS[Realized Gain],LS[Investor ID],INVESTORS_LIST[[#This Row],[INVESTOR CODE]],LS[B/S],"S"))</f>
        <v>0</v>
      </c>
      <c r="L525" s="2">
        <f>SUMIFS(SIP[Unit],SIP[Investor ID],INVESTORS_LIST[[#This Row],[INVESTOR CODE]],SIP[B/S],"B")</f>
        <v>0</v>
      </c>
      <c r="M525" s="2">
        <f>-SUMIFS(SIP[Unit],SIP[Investor ID],INVESTORS_LIST[[#This Row],[INVESTOR CODE]],SIP[B/S],"S")</f>
        <v>0</v>
      </c>
      <c r="N525" s="33">
        <f>IF(INVESTORS_LIST[[#This Row],[SIP_TOTAL UNITS BUY]]=0,0,INVESTORS_LIST[[#This Row],[SIP_TOTAL UNITS BUY]]-INVESTORS_LIST[[#This Row],[SIP_TOTAL UNITS SOLD]])</f>
        <v>0</v>
      </c>
      <c r="O525" s="4">
        <f>IF(INVESTORS_LIST[[#This Row],[SIP_TOTAL UNITS BUY]]=0,0,SUMIFS(SIP[Amount],SIP[Investor ID],INVESTORS_LIST[[#This Row],[INVESTOR CODE]],SIP[B/S],"B"))</f>
        <v>0</v>
      </c>
      <c r="P525" s="4">
        <f>IF(INVESTORS_LIST[[#This Row],[SIP_TOTAL UNITS SOLD]]=0,0,SUMIFS(SIP[Cost of Units Sold],SIP[Investor ID],INVESTORS_LIST[[#This Row],[INVESTOR CODE]],SIP[B/S],"S"))</f>
        <v>0</v>
      </c>
      <c r="Q525" s="6">
        <f>IF(INVESTORS_LIST[[#This Row],[SIP_TOTAL CURRENT UNITS]]=0,0,INVESTORS_LIST[[#This Row],[SIP_TOTAL CURRENT UNITS]]*INVESTORS_LIST[[#This Row],[SIP_AVERAGE COST]])</f>
        <v>0</v>
      </c>
      <c r="R525" s="6">
        <f>IF(INVESTORS_LIST[[#This Row],[SIP_TOTAL UNITS SOLD]]=0,0,SUMIFS(SIP[Realized Gain],SIP[Investor ID],INVESTORS_LIST[[#This Row],[INVESTOR CODE]],SIP[B/S],"S"))</f>
        <v>0</v>
      </c>
      <c r="S525" s="33">
        <f>INVESTORS_LIST[[#This Row],[LS_TOTAL UNITS BUY]]+INVESTORS_LIST[[#This Row],[SIP_TOTAL UNITS BUY]]</f>
        <v>0</v>
      </c>
      <c r="T525" s="33">
        <f>INVESTORS_LIST[[#This Row],[LS_TOTAL UNITS SOLD]]+INVESTORS_LIST[[#This Row],[SIP_TOTAL UNITS SOLD]]</f>
        <v>0</v>
      </c>
      <c r="U525" s="33">
        <v>0</v>
      </c>
      <c r="V525" s="33">
        <f>SUMIFS(LS[BO UNIT TRANSFER],LS[Investor ID],INVESTORS_LIST[[#This Row],[INVESTOR CODE]],LS[B/S],"B")</f>
        <v>0</v>
      </c>
      <c r="W525" s="33">
        <f>SUMIFS(LS[BO UNIT TRANSFER],LS[Investor ID],INVESTORS_LIST[[#This Row],[INVESTOR CODE]],LS[B/S],"S")</f>
        <v>0</v>
      </c>
      <c r="X525" s="33">
        <f>SUMIFS(SIP[BO UNIT TRANSFER],SIP[Investor ID],INVESTORS_LIST[[#This Row],[INVESTOR CODE]],SIP[B/S],"S")</f>
        <v>0</v>
      </c>
      <c r="Y525" s="33">
        <f>SUMIFS(SIP[BO UNIT TRANSFER],SIP[Investor ID],INVESTORS_LIST[[#This Row],[INVESTOR CODE]],SIP[B/S],"B")</f>
        <v>0</v>
      </c>
      <c r="Z52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25" s="119">
        <f>INVESTORS_LIST[[#This Row],[TOTAL UNITS BUY]]-INVESTORS_LIST[[#This Row],[TOTAL UNITS SOLD]]</f>
        <v>0</v>
      </c>
      <c r="AB525" s="119">
        <f>INVESTORS_LIST[[#This Row],[TOTAL CURRENT UNITS]]-INVESTORS_LIST[[#This Row],[BO UNITS HOLD]]</f>
        <v>0</v>
      </c>
      <c r="AC525" s="119" t="e">
        <f>INDEX([4]!Table_1[BO ID],MATCH(INVESTORS_LIST[[#This Row],[INVESTOR CODE]],[4]!Table_1[INVESTOR CODE],0))</f>
        <v>#REF!</v>
      </c>
      <c r="AD525" s="33">
        <f>INVESTORS_LIST[[#This Row],[LS_TOTAL COST VALUE OF CURRENT UNITS]]+INVESTORS_LIST[[#This Row],[SIP_TOTAL COST VALUE OF CURRENT UNITS]]</f>
        <v>0</v>
      </c>
      <c r="AE525" s="44">
        <f>IF(INVESTORS_LIST[[#This Row],[TOTAL CURRENT UNITS]]=0,0,INVESTORS_LIST[[#This Row],[LS_TOTAL CURRENT UNITS]]/INVESTORS_LIST[[#This Row],[TOTAL CURRENT UNITS]])</f>
        <v>0</v>
      </c>
      <c r="AF525" s="44">
        <f>IF(INVESTORS_LIST[[#This Row],[TOTAL CURRENT UNITS]]=0,0,INVESTORS_LIST[[#This Row],[SIP_TOTAL CURRENT UNITS]]/INVESTORS_LIST[[#This Row],[TOTAL CURRENT UNITS]])</f>
        <v>0</v>
      </c>
      <c r="AG525" s="4" cm="1">
        <f t="array" ref="AG5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25" s="4" cm="1">
        <f t="array" ref="AH5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2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25" s="178">
        <f t="shared" si="13"/>
        <v>12.552</v>
      </c>
      <c r="AK525" s="118">
        <f>IF(INVESTORS_LIST[[#This Row],[TOTAL CURRENT UNITS]]=0,0,INVESTORS_LIST[[#This Row],[TOTAL CURRENT UNITS]]*INVESTORS_LIST[[#This Row],[NAV]])</f>
        <v>0</v>
      </c>
      <c r="AL525" s="4">
        <f>IF(INVESTORS_LIST[[#This Row],[LS_TOTAL CURRENT UNITS]]=0,0,INVESTORS_LIST[[#This Row],[LS_TOTAL CURRENT UNITS]]*INVESTORS_LIST[[#This Row],[NAV]])</f>
        <v>0</v>
      </c>
      <c r="AM525" s="6">
        <f>IF(INVESTORS_LIST[[#This Row],[SIP_TOTAL CURRENT UNITS]]=0,0,INVESTORS_LIST[[#This Row],[SIP_TOTAL CURRENT UNITS]]*INVESTORS_LIST[[#This Row],[NAV]])</f>
        <v>0</v>
      </c>
      <c r="AO525" s="6">
        <f>IF(INVESTORS_LIST[[#This Row],[TOTAL SELLABLE UNITS]]=0,0,INVESTORS_LIST[[#This Row],[TOTAL SELLABLE UNITS]]*INVESTORS_LIST[[#This Row],[NAV]])</f>
        <v>0</v>
      </c>
      <c r="AP525" s="6">
        <f>INVESTORS_LIST[[#This Row],[LS_TOTAL REALIZED GAIN]]+INVESTORS_LIST[[#This Row],[SIP_TOTAL REALIZED GAIN]]</f>
        <v>0</v>
      </c>
      <c r="AQ525" s="6">
        <f>INVESTORS_LIST[[#This Row],[TOTAL MARKET VALUE]]-INVESTORS_LIST[[#This Row],[TOTAL COST VALUE OF CURRENT INVESTMENT]]</f>
        <v>0</v>
      </c>
      <c r="AR525" s="6">
        <f>SUMIFS(DivAndTax[Tax Amount],DivAndTax[Investor ID],INVESTORS_LIST[[#This Row],[INVESTOR CODE]])</f>
        <v>0</v>
      </c>
      <c r="AS525" s="6">
        <f>SUMIFS(DivAndTax[Gross Dividend],DivAndTax[Investor ID],INVESTORS_LIST[[#This Row],[INVESTOR CODE]])</f>
        <v>0</v>
      </c>
      <c r="AT525" s="5">
        <f>IFERROR(INVESTORS_LIST[[#This Row],[TOTAL CURRENT UNITS]]/SUM(INVESTORS_LIST[TOTAL CURRENT UNITS]),0)</f>
        <v>0</v>
      </c>
    </row>
    <row r="526" spans="1:46" hidden="1">
      <c r="A526" t="s">
        <v>1241</v>
      </c>
      <c r="B526" t="s">
        <v>1242</v>
      </c>
      <c r="C526" t="s">
        <v>536</v>
      </c>
      <c r="D526" s="8" t="s">
        <v>2</v>
      </c>
      <c r="E526" s="2">
        <f>SUMIFS(LS[Unit],LS[Investor ID],INVESTORS_LIST[[#This Row],[INVESTOR CODE]],LS[B/S],"B")</f>
        <v>0</v>
      </c>
      <c r="F526" s="2">
        <f>-SUMIFS(LS[Unit],LS[Investor ID],INVESTORS_LIST[[#This Row],[INVESTOR CODE]],LS[B/S],"S")</f>
        <v>0</v>
      </c>
      <c r="G526" s="2">
        <f>IF(INVESTORS_LIST[[#This Row],[LS_TOTAL UNITS BUY]]=0,0,INVESTORS_LIST[[#This Row],[LS_TOTAL UNITS BUY]]-INVESTORS_LIST[[#This Row],[LS_TOTAL UNITS SOLD]])</f>
        <v>0</v>
      </c>
      <c r="H526" s="4">
        <f>IF(INVESTORS_LIST[[#This Row],[LS_TOTAL UNITS BUY]]=0,0,SUMIFS(LS[Amount],LS[Investor ID],INVESTORS_LIST[[#This Row],[INVESTOR CODE]],LS[B/S],"B"))</f>
        <v>0</v>
      </c>
      <c r="I526" s="6">
        <f>IF(INVESTORS_LIST[[#This Row],[LS_TOTAL UNITS SOLD]]=0,0,SUMIFS(LS[Cost of Units Sold],LS[Investor ID],INVESTORS_LIST[[#This Row],[INVESTOR CODE]],LS[B/S],"S"))</f>
        <v>0</v>
      </c>
      <c r="J526" s="6">
        <f>IF(INVESTORS_LIST[[#This Row],[LS_TOTAL CURRENT UNITS]]=0,0,INVESTORS_LIST[[#This Row],[LS_TOTAL CURRENT UNITS]]*INVESTORS_LIST[[#This Row],[LS_AVERAGE COST]])</f>
        <v>0</v>
      </c>
      <c r="K526" s="4">
        <f>IF(INVESTORS_LIST[[#This Row],[LS_TOTAL UNITS SOLD]]=0,0,SUMIFS(LS[Realized Gain],LS[Investor ID],INVESTORS_LIST[[#This Row],[INVESTOR CODE]],LS[B/S],"S"))</f>
        <v>0</v>
      </c>
      <c r="L526" s="2">
        <f>SUMIFS(SIP[Unit],SIP[Investor ID],INVESTORS_LIST[[#This Row],[INVESTOR CODE]],SIP[B/S],"B")</f>
        <v>0</v>
      </c>
      <c r="M526" s="2">
        <f>-SUMIFS(SIP[Unit],SIP[Investor ID],INVESTORS_LIST[[#This Row],[INVESTOR CODE]],SIP[B/S],"S")</f>
        <v>0</v>
      </c>
      <c r="N526" s="33">
        <f>IF(INVESTORS_LIST[[#This Row],[SIP_TOTAL UNITS BUY]]=0,0,INVESTORS_LIST[[#This Row],[SIP_TOTAL UNITS BUY]]-INVESTORS_LIST[[#This Row],[SIP_TOTAL UNITS SOLD]])</f>
        <v>0</v>
      </c>
      <c r="O526" s="4">
        <f>IF(INVESTORS_LIST[[#This Row],[SIP_TOTAL UNITS BUY]]=0,0,SUMIFS(SIP[Amount],SIP[Investor ID],INVESTORS_LIST[[#This Row],[INVESTOR CODE]],SIP[B/S],"B"))</f>
        <v>0</v>
      </c>
      <c r="P526" s="4">
        <f>IF(INVESTORS_LIST[[#This Row],[SIP_TOTAL UNITS SOLD]]=0,0,SUMIFS(SIP[Cost of Units Sold],SIP[Investor ID],INVESTORS_LIST[[#This Row],[INVESTOR CODE]],SIP[B/S],"S"))</f>
        <v>0</v>
      </c>
      <c r="Q526" s="6">
        <f>IF(INVESTORS_LIST[[#This Row],[SIP_TOTAL CURRENT UNITS]]=0,0,INVESTORS_LIST[[#This Row],[SIP_TOTAL CURRENT UNITS]]*INVESTORS_LIST[[#This Row],[SIP_AVERAGE COST]])</f>
        <v>0</v>
      </c>
      <c r="R526" s="6">
        <f>IF(INVESTORS_LIST[[#This Row],[SIP_TOTAL UNITS SOLD]]=0,0,SUMIFS(SIP[Realized Gain],SIP[Investor ID],INVESTORS_LIST[[#This Row],[INVESTOR CODE]],SIP[B/S],"S"))</f>
        <v>0</v>
      </c>
      <c r="S526" s="33">
        <f>INVESTORS_LIST[[#This Row],[LS_TOTAL UNITS BUY]]+INVESTORS_LIST[[#This Row],[SIP_TOTAL UNITS BUY]]</f>
        <v>0</v>
      </c>
      <c r="T526" s="33">
        <f>INVESTORS_LIST[[#This Row],[LS_TOTAL UNITS SOLD]]+INVESTORS_LIST[[#This Row],[SIP_TOTAL UNITS SOLD]]</f>
        <v>0</v>
      </c>
      <c r="U526" s="33">
        <v>0</v>
      </c>
      <c r="V526" s="33">
        <f>SUMIFS(LS[BO UNIT TRANSFER],LS[Investor ID],INVESTORS_LIST[[#This Row],[INVESTOR CODE]],LS[B/S],"B")</f>
        <v>0</v>
      </c>
      <c r="W526" s="33">
        <f>SUMIFS(LS[BO UNIT TRANSFER],LS[Investor ID],INVESTORS_LIST[[#This Row],[INVESTOR CODE]],LS[B/S],"S")</f>
        <v>0</v>
      </c>
      <c r="X526" s="33">
        <f>SUMIFS(SIP[BO UNIT TRANSFER],SIP[Investor ID],INVESTORS_LIST[[#This Row],[INVESTOR CODE]],SIP[B/S],"S")</f>
        <v>0</v>
      </c>
      <c r="Y526" s="33">
        <f>SUMIFS(SIP[BO UNIT TRANSFER],SIP[Investor ID],INVESTORS_LIST[[#This Row],[INVESTOR CODE]],SIP[B/S],"B")</f>
        <v>0</v>
      </c>
      <c r="Z52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26" s="119">
        <f>INVESTORS_LIST[[#This Row],[TOTAL UNITS BUY]]-INVESTORS_LIST[[#This Row],[TOTAL UNITS SOLD]]</f>
        <v>0</v>
      </c>
      <c r="AB526" s="119">
        <f>INVESTORS_LIST[[#This Row],[TOTAL CURRENT UNITS]]-INVESTORS_LIST[[#This Row],[BO UNITS HOLD]]</f>
        <v>0</v>
      </c>
      <c r="AC526" s="119" t="e">
        <f>INDEX([4]!Table_1[BO ID],MATCH(INVESTORS_LIST[[#This Row],[INVESTOR CODE]],[4]!Table_1[INVESTOR CODE],0))</f>
        <v>#REF!</v>
      </c>
      <c r="AD526" s="33">
        <f>INVESTORS_LIST[[#This Row],[LS_TOTAL COST VALUE OF CURRENT UNITS]]+INVESTORS_LIST[[#This Row],[SIP_TOTAL COST VALUE OF CURRENT UNITS]]</f>
        <v>0</v>
      </c>
      <c r="AE526" s="44">
        <f>IF(INVESTORS_LIST[[#This Row],[TOTAL CURRENT UNITS]]=0,0,INVESTORS_LIST[[#This Row],[LS_TOTAL CURRENT UNITS]]/INVESTORS_LIST[[#This Row],[TOTAL CURRENT UNITS]])</f>
        <v>0</v>
      </c>
      <c r="AF526" s="44">
        <f>IF(INVESTORS_LIST[[#This Row],[TOTAL CURRENT UNITS]]=0,0,INVESTORS_LIST[[#This Row],[SIP_TOTAL CURRENT UNITS]]/INVESTORS_LIST[[#This Row],[TOTAL CURRENT UNITS]])</f>
        <v>0</v>
      </c>
      <c r="AG526" s="4" cm="1">
        <f t="array" ref="AG52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26" s="4" cm="1">
        <f t="array" ref="AH5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2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26" s="178">
        <f t="shared" si="13"/>
        <v>12.552</v>
      </c>
      <c r="AK526" s="118">
        <f>IF(INVESTORS_LIST[[#This Row],[TOTAL CURRENT UNITS]]=0,0,INVESTORS_LIST[[#This Row],[TOTAL CURRENT UNITS]]*INVESTORS_LIST[[#This Row],[NAV]])</f>
        <v>0</v>
      </c>
      <c r="AL526" s="4">
        <f>IF(INVESTORS_LIST[[#This Row],[LS_TOTAL CURRENT UNITS]]=0,0,INVESTORS_LIST[[#This Row],[LS_TOTAL CURRENT UNITS]]*INVESTORS_LIST[[#This Row],[NAV]])</f>
        <v>0</v>
      </c>
      <c r="AM526" s="6">
        <f>IF(INVESTORS_LIST[[#This Row],[SIP_TOTAL CURRENT UNITS]]=0,0,INVESTORS_LIST[[#This Row],[SIP_TOTAL CURRENT UNITS]]*INVESTORS_LIST[[#This Row],[NAV]])</f>
        <v>0</v>
      </c>
      <c r="AO526" s="6">
        <f>IF(INVESTORS_LIST[[#This Row],[TOTAL SELLABLE UNITS]]=0,0,INVESTORS_LIST[[#This Row],[TOTAL SELLABLE UNITS]]*INVESTORS_LIST[[#This Row],[NAV]])</f>
        <v>0</v>
      </c>
      <c r="AP526" s="6">
        <f>INVESTORS_LIST[[#This Row],[LS_TOTAL REALIZED GAIN]]+INVESTORS_LIST[[#This Row],[SIP_TOTAL REALIZED GAIN]]</f>
        <v>0</v>
      </c>
      <c r="AQ526" s="6">
        <f>INVESTORS_LIST[[#This Row],[TOTAL MARKET VALUE]]-INVESTORS_LIST[[#This Row],[TOTAL COST VALUE OF CURRENT INVESTMENT]]</f>
        <v>0</v>
      </c>
      <c r="AR526" s="6">
        <f>SUMIFS(DivAndTax[Tax Amount],DivAndTax[Investor ID],INVESTORS_LIST[[#This Row],[INVESTOR CODE]])</f>
        <v>0</v>
      </c>
      <c r="AS526" s="6">
        <f>SUMIFS(DivAndTax[Gross Dividend],DivAndTax[Investor ID],INVESTORS_LIST[[#This Row],[INVESTOR CODE]])</f>
        <v>0</v>
      </c>
      <c r="AT526" s="5">
        <f>IFERROR(INVESTORS_LIST[[#This Row],[TOTAL CURRENT UNITS]]/SUM(INVESTORS_LIST[TOTAL CURRENT UNITS]),0)</f>
        <v>0</v>
      </c>
    </row>
    <row r="527" spans="1:46" hidden="1">
      <c r="A527" t="s">
        <v>1243</v>
      </c>
      <c r="B527" t="s">
        <v>1244</v>
      </c>
      <c r="C527" t="s">
        <v>536</v>
      </c>
      <c r="D527" s="8" t="s">
        <v>2</v>
      </c>
      <c r="E527" s="2">
        <f>SUMIFS(LS[Unit],LS[Investor ID],INVESTORS_LIST[[#This Row],[INVESTOR CODE]],LS[B/S],"B")</f>
        <v>0</v>
      </c>
      <c r="F527" s="2">
        <f>-SUMIFS(LS[Unit],LS[Investor ID],INVESTORS_LIST[[#This Row],[INVESTOR CODE]],LS[B/S],"S")</f>
        <v>0</v>
      </c>
      <c r="G527" s="2">
        <f>IF(INVESTORS_LIST[[#This Row],[LS_TOTAL UNITS BUY]]=0,0,INVESTORS_LIST[[#This Row],[LS_TOTAL UNITS BUY]]-INVESTORS_LIST[[#This Row],[LS_TOTAL UNITS SOLD]])</f>
        <v>0</v>
      </c>
      <c r="H527" s="4">
        <f>IF(INVESTORS_LIST[[#This Row],[LS_TOTAL UNITS BUY]]=0,0,SUMIFS(LS[Amount],LS[Investor ID],INVESTORS_LIST[[#This Row],[INVESTOR CODE]],LS[B/S],"B"))</f>
        <v>0</v>
      </c>
      <c r="I527" s="6">
        <f>IF(INVESTORS_LIST[[#This Row],[LS_TOTAL UNITS SOLD]]=0,0,SUMIFS(LS[Cost of Units Sold],LS[Investor ID],INVESTORS_LIST[[#This Row],[INVESTOR CODE]],LS[B/S],"S"))</f>
        <v>0</v>
      </c>
      <c r="J527" s="6">
        <f>IF(INVESTORS_LIST[[#This Row],[LS_TOTAL CURRENT UNITS]]=0,0,INVESTORS_LIST[[#This Row],[LS_TOTAL CURRENT UNITS]]*INVESTORS_LIST[[#This Row],[LS_AVERAGE COST]])</f>
        <v>0</v>
      </c>
      <c r="K527" s="4">
        <f>IF(INVESTORS_LIST[[#This Row],[LS_TOTAL UNITS SOLD]]=0,0,SUMIFS(LS[Realized Gain],LS[Investor ID],INVESTORS_LIST[[#This Row],[INVESTOR CODE]],LS[B/S],"S"))</f>
        <v>0</v>
      </c>
      <c r="L527" s="2">
        <f>SUMIFS(SIP[Unit],SIP[Investor ID],INVESTORS_LIST[[#This Row],[INVESTOR CODE]],SIP[B/S],"B")</f>
        <v>0</v>
      </c>
      <c r="M527" s="2">
        <f>-SUMIFS(SIP[Unit],SIP[Investor ID],INVESTORS_LIST[[#This Row],[INVESTOR CODE]],SIP[B/S],"S")</f>
        <v>0</v>
      </c>
      <c r="N527" s="33">
        <f>IF(INVESTORS_LIST[[#This Row],[SIP_TOTAL UNITS BUY]]=0,0,INVESTORS_LIST[[#This Row],[SIP_TOTAL UNITS BUY]]-INVESTORS_LIST[[#This Row],[SIP_TOTAL UNITS SOLD]])</f>
        <v>0</v>
      </c>
      <c r="O527" s="4">
        <f>IF(INVESTORS_LIST[[#This Row],[SIP_TOTAL UNITS BUY]]=0,0,SUMIFS(SIP[Amount],SIP[Investor ID],INVESTORS_LIST[[#This Row],[INVESTOR CODE]],SIP[B/S],"B"))</f>
        <v>0</v>
      </c>
      <c r="P527" s="4">
        <f>IF(INVESTORS_LIST[[#This Row],[SIP_TOTAL UNITS SOLD]]=0,0,SUMIFS(SIP[Cost of Units Sold],SIP[Investor ID],INVESTORS_LIST[[#This Row],[INVESTOR CODE]],SIP[B/S],"S"))</f>
        <v>0</v>
      </c>
      <c r="Q527" s="6">
        <f>IF(INVESTORS_LIST[[#This Row],[SIP_TOTAL CURRENT UNITS]]=0,0,INVESTORS_LIST[[#This Row],[SIP_TOTAL CURRENT UNITS]]*INVESTORS_LIST[[#This Row],[SIP_AVERAGE COST]])</f>
        <v>0</v>
      </c>
      <c r="R527" s="6">
        <f>IF(INVESTORS_LIST[[#This Row],[SIP_TOTAL UNITS SOLD]]=0,0,SUMIFS(SIP[Realized Gain],SIP[Investor ID],INVESTORS_LIST[[#This Row],[INVESTOR CODE]],SIP[B/S],"S"))</f>
        <v>0</v>
      </c>
      <c r="S527" s="33">
        <f>INVESTORS_LIST[[#This Row],[LS_TOTAL UNITS BUY]]+INVESTORS_LIST[[#This Row],[SIP_TOTAL UNITS BUY]]</f>
        <v>0</v>
      </c>
      <c r="T527" s="33">
        <f>INVESTORS_LIST[[#This Row],[LS_TOTAL UNITS SOLD]]+INVESTORS_LIST[[#This Row],[SIP_TOTAL UNITS SOLD]]</f>
        <v>0</v>
      </c>
      <c r="U527" s="33">
        <v>0</v>
      </c>
      <c r="V527" s="33">
        <f>SUMIFS(LS[BO UNIT TRANSFER],LS[Investor ID],INVESTORS_LIST[[#This Row],[INVESTOR CODE]],LS[B/S],"B")</f>
        <v>0</v>
      </c>
      <c r="W527" s="33">
        <f>SUMIFS(LS[BO UNIT TRANSFER],LS[Investor ID],INVESTORS_LIST[[#This Row],[INVESTOR CODE]],LS[B/S],"S")</f>
        <v>0</v>
      </c>
      <c r="X527" s="33">
        <f>SUMIFS(SIP[BO UNIT TRANSFER],SIP[Investor ID],INVESTORS_LIST[[#This Row],[INVESTOR CODE]],SIP[B/S],"S")</f>
        <v>0</v>
      </c>
      <c r="Y527" s="33">
        <f>SUMIFS(SIP[BO UNIT TRANSFER],SIP[Investor ID],INVESTORS_LIST[[#This Row],[INVESTOR CODE]],SIP[B/S],"B")</f>
        <v>0</v>
      </c>
      <c r="Z52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27" s="119">
        <f>INVESTORS_LIST[[#This Row],[TOTAL UNITS BUY]]-INVESTORS_LIST[[#This Row],[TOTAL UNITS SOLD]]</f>
        <v>0</v>
      </c>
      <c r="AB527" s="119">
        <f>INVESTORS_LIST[[#This Row],[TOTAL CURRENT UNITS]]-INVESTORS_LIST[[#This Row],[BO UNITS HOLD]]</f>
        <v>0</v>
      </c>
      <c r="AC527" s="119" t="e">
        <f>INDEX([4]!Table_1[BO ID],MATCH(INVESTORS_LIST[[#This Row],[INVESTOR CODE]],[4]!Table_1[INVESTOR CODE],0))</f>
        <v>#REF!</v>
      </c>
      <c r="AD527" s="33">
        <f>INVESTORS_LIST[[#This Row],[LS_TOTAL COST VALUE OF CURRENT UNITS]]+INVESTORS_LIST[[#This Row],[SIP_TOTAL COST VALUE OF CURRENT UNITS]]</f>
        <v>0</v>
      </c>
      <c r="AE527" s="44">
        <f>IF(INVESTORS_LIST[[#This Row],[TOTAL CURRENT UNITS]]=0,0,INVESTORS_LIST[[#This Row],[LS_TOTAL CURRENT UNITS]]/INVESTORS_LIST[[#This Row],[TOTAL CURRENT UNITS]])</f>
        <v>0</v>
      </c>
      <c r="AF527" s="44">
        <f>IF(INVESTORS_LIST[[#This Row],[TOTAL CURRENT UNITS]]=0,0,INVESTORS_LIST[[#This Row],[SIP_TOTAL CURRENT UNITS]]/INVESTORS_LIST[[#This Row],[TOTAL CURRENT UNITS]])</f>
        <v>0</v>
      </c>
      <c r="AG527" s="4" cm="1">
        <f t="array" ref="AG52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27" s="4" cm="1">
        <f t="array" ref="AH52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2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27" s="178">
        <f t="shared" si="13"/>
        <v>12.552</v>
      </c>
      <c r="AK527" s="118">
        <f>IF(INVESTORS_LIST[[#This Row],[TOTAL CURRENT UNITS]]=0,0,INVESTORS_LIST[[#This Row],[TOTAL CURRENT UNITS]]*INVESTORS_LIST[[#This Row],[NAV]])</f>
        <v>0</v>
      </c>
      <c r="AL527" s="4">
        <f>IF(INVESTORS_LIST[[#This Row],[LS_TOTAL CURRENT UNITS]]=0,0,INVESTORS_LIST[[#This Row],[LS_TOTAL CURRENT UNITS]]*INVESTORS_LIST[[#This Row],[NAV]])</f>
        <v>0</v>
      </c>
      <c r="AM527" s="6">
        <f>IF(INVESTORS_LIST[[#This Row],[SIP_TOTAL CURRENT UNITS]]=0,0,INVESTORS_LIST[[#This Row],[SIP_TOTAL CURRENT UNITS]]*INVESTORS_LIST[[#This Row],[NAV]])</f>
        <v>0</v>
      </c>
      <c r="AO527" s="6">
        <f>IF(INVESTORS_LIST[[#This Row],[TOTAL SELLABLE UNITS]]=0,0,INVESTORS_LIST[[#This Row],[TOTAL SELLABLE UNITS]]*INVESTORS_LIST[[#This Row],[NAV]])</f>
        <v>0</v>
      </c>
      <c r="AP527" s="6">
        <f>INVESTORS_LIST[[#This Row],[LS_TOTAL REALIZED GAIN]]+INVESTORS_LIST[[#This Row],[SIP_TOTAL REALIZED GAIN]]</f>
        <v>0</v>
      </c>
      <c r="AQ527" s="6">
        <f>INVESTORS_LIST[[#This Row],[TOTAL MARKET VALUE]]-INVESTORS_LIST[[#This Row],[TOTAL COST VALUE OF CURRENT INVESTMENT]]</f>
        <v>0</v>
      </c>
      <c r="AR527" s="6">
        <f>SUMIFS(DivAndTax[Tax Amount],DivAndTax[Investor ID],INVESTORS_LIST[[#This Row],[INVESTOR CODE]])</f>
        <v>0</v>
      </c>
      <c r="AS527" s="6">
        <f>SUMIFS(DivAndTax[Gross Dividend],DivAndTax[Investor ID],INVESTORS_LIST[[#This Row],[INVESTOR CODE]])</f>
        <v>0</v>
      </c>
      <c r="AT527" s="5">
        <f>IFERROR(INVESTORS_LIST[[#This Row],[TOTAL CURRENT UNITS]]/SUM(INVESTORS_LIST[TOTAL CURRENT UNITS]),0)</f>
        <v>0</v>
      </c>
    </row>
    <row r="528" spans="1:46" hidden="1">
      <c r="A528" t="s">
        <v>1245</v>
      </c>
      <c r="B528" t="s">
        <v>1246</v>
      </c>
      <c r="C528" t="s">
        <v>536</v>
      </c>
      <c r="D528" s="8" t="s">
        <v>2</v>
      </c>
      <c r="E528" s="2">
        <f>SUMIFS(LS[Unit],LS[Investor ID],INVESTORS_LIST[[#This Row],[INVESTOR CODE]],LS[B/S],"B")</f>
        <v>0</v>
      </c>
      <c r="F528" s="2">
        <f>-SUMIFS(LS[Unit],LS[Investor ID],INVESTORS_LIST[[#This Row],[INVESTOR CODE]],LS[B/S],"S")</f>
        <v>0</v>
      </c>
      <c r="G528" s="2">
        <f>IF(INVESTORS_LIST[[#This Row],[LS_TOTAL UNITS BUY]]=0,0,INVESTORS_LIST[[#This Row],[LS_TOTAL UNITS BUY]]-INVESTORS_LIST[[#This Row],[LS_TOTAL UNITS SOLD]])</f>
        <v>0</v>
      </c>
      <c r="H528" s="4">
        <f>IF(INVESTORS_LIST[[#This Row],[LS_TOTAL UNITS BUY]]=0,0,SUMIFS(LS[Amount],LS[Investor ID],INVESTORS_LIST[[#This Row],[INVESTOR CODE]],LS[B/S],"B"))</f>
        <v>0</v>
      </c>
      <c r="I528" s="6">
        <f>IF(INVESTORS_LIST[[#This Row],[LS_TOTAL UNITS SOLD]]=0,0,SUMIFS(LS[Cost of Units Sold],LS[Investor ID],INVESTORS_LIST[[#This Row],[INVESTOR CODE]],LS[B/S],"S"))</f>
        <v>0</v>
      </c>
      <c r="J528" s="6">
        <f>IF(INVESTORS_LIST[[#This Row],[LS_TOTAL CURRENT UNITS]]=0,0,INVESTORS_LIST[[#This Row],[LS_TOTAL CURRENT UNITS]]*INVESTORS_LIST[[#This Row],[LS_AVERAGE COST]])</f>
        <v>0</v>
      </c>
      <c r="K528" s="4">
        <f>IF(INVESTORS_LIST[[#This Row],[LS_TOTAL UNITS SOLD]]=0,0,SUMIFS(LS[Realized Gain],LS[Investor ID],INVESTORS_LIST[[#This Row],[INVESTOR CODE]],LS[B/S],"S"))</f>
        <v>0</v>
      </c>
      <c r="L528" s="2">
        <f>SUMIFS(SIP[Unit],SIP[Investor ID],INVESTORS_LIST[[#This Row],[INVESTOR CODE]],SIP[B/S],"B")</f>
        <v>0</v>
      </c>
      <c r="M528" s="2">
        <f>-SUMIFS(SIP[Unit],SIP[Investor ID],INVESTORS_LIST[[#This Row],[INVESTOR CODE]],SIP[B/S],"S")</f>
        <v>0</v>
      </c>
      <c r="N528" s="33">
        <f>IF(INVESTORS_LIST[[#This Row],[SIP_TOTAL UNITS BUY]]=0,0,INVESTORS_LIST[[#This Row],[SIP_TOTAL UNITS BUY]]-INVESTORS_LIST[[#This Row],[SIP_TOTAL UNITS SOLD]])</f>
        <v>0</v>
      </c>
      <c r="O528" s="4">
        <f>IF(INVESTORS_LIST[[#This Row],[SIP_TOTAL UNITS BUY]]=0,0,SUMIFS(SIP[Amount],SIP[Investor ID],INVESTORS_LIST[[#This Row],[INVESTOR CODE]],SIP[B/S],"B"))</f>
        <v>0</v>
      </c>
      <c r="P528" s="4">
        <f>IF(INVESTORS_LIST[[#This Row],[SIP_TOTAL UNITS SOLD]]=0,0,SUMIFS(SIP[Cost of Units Sold],SIP[Investor ID],INVESTORS_LIST[[#This Row],[INVESTOR CODE]],SIP[B/S],"S"))</f>
        <v>0</v>
      </c>
      <c r="Q528" s="6">
        <f>IF(INVESTORS_LIST[[#This Row],[SIP_TOTAL CURRENT UNITS]]=0,0,INVESTORS_LIST[[#This Row],[SIP_TOTAL CURRENT UNITS]]*INVESTORS_LIST[[#This Row],[SIP_AVERAGE COST]])</f>
        <v>0</v>
      </c>
      <c r="R528" s="6">
        <f>IF(INVESTORS_LIST[[#This Row],[SIP_TOTAL UNITS SOLD]]=0,0,SUMIFS(SIP[Realized Gain],SIP[Investor ID],INVESTORS_LIST[[#This Row],[INVESTOR CODE]],SIP[B/S],"S"))</f>
        <v>0</v>
      </c>
      <c r="S528" s="33">
        <f>INVESTORS_LIST[[#This Row],[LS_TOTAL UNITS BUY]]+INVESTORS_LIST[[#This Row],[SIP_TOTAL UNITS BUY]]</f>
        <v>0</v>
      </c>
      <c r="T528" s="33">
        <f>INVESTORS_LIST[[#This Row],[LS_TOTAL UNITS SOLD]]+INVESTORS_LIST[[#This Row],[SIP_TOTAL UNITS SOLD]]</f>
        <v>0</v>
      </c>
      <c r="U528" s="33">
        <v>0</v>
      </c>
      <c r="V528" s="33">
        <f>SUMIFS(LS[BO UNIT TRANSFER],LS[Investor ID],INVESTORS_LIST[[#This Row],[INVESTOR CODE]],LS[B/S],"B")</f>
        <v>0</v>
      </c>
      <c r="W528" s="33">
        <f>SUMIFS(LS[BO UNIT TRANSFER],LS[Investor ID],INVESTORS_LIST[[#This Row],[INVESTOR CODE]],LS[B/S],"S")</f>
        <v>0</v>
      </c>
      <c r="X528" s="33">
        <f>SUMIFS(SIP[BO UNIT TRANSFER],SIP[Investor ID],INVESTORS_LIST[[#This Row],[INVESTOR CODE]],SIP[B/S],"S")</f>
        <v>0</v>
      </c>
      <c r="Y528" s="33">
        <f>SUMIFS(SIP[BO UNIT TRANSFER],SIP[Investor ID],INVESTORS_LIST[[#This Row],[INVESTOR CODE]],SIP[B/S],"B")</f>
        <v>0</v>
      </c>
      <c r="Z52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28" s="119">
        <f>INVESTORS_LIST[[#This Row],[TOTAL UNITS BUY]]-INVESTORS_LIST[[#This Row],[TOTAL UNITS SOLD]]</f>
        <v>0</v>
      </c>
      <c r="AB528" s="119">
        <f>INVESTORS_LIST[[#This Row],[TOTAL CURRENT UNITS]]-INVESTORS_LIST[[#This Row],[BO UNITS HOLD]]</f>
        <v>0</v>
      </c>
      <c r="AC528" s="119" t="e">
        <f>INDEX([4]!Table_1[BO ID],MATCH(INVESTORS_LIST[[#This Row],[INVESTOR CODE]],[4]!Table_1[INVESTOR CODE],0))</f>
        <v>#REF!</v>
      </c>
      <c r="AD528" s="33">
        <f>INVESTORS_LIST[[#This Row],[LS_TOTAL COST VALUE OF CURRENT UNITS]]+INVESTORS_LIST[[#This Row],[SIP_TOTAL COST VALUE OF CURRENT UNITS]]</f>
        <v>0</v>
      </c>
      <c r="AE528" s="44">
        <f>IF(INVESTORS_LIST[[#This Row],[TOTAL CURRENT UNITS]]=0,0,INVESTORS_LIST[[#This Row],[LS_TOTAL CURRENT UNITS]]/INVESTORS_LIST[[#This Row],[TOTAL CURRENT UNITS]])</f>
        <v>0</v>
      </c>
      <c r="AF528" s="44">
        <f>IF(INVESTORS_LIST[[#This Row],[TOTAL CURRENT UNITS]]=0,0,INVESTORS_LIST[[#This Row],[SIP_TOTAL CURRENT UNITS]]/INVESTORS_LIST[[#This Row],[TOTAL CURRENT UNITS]])</f>
        <v>0</v>
      </c>
      <c r="AG528" s="4" cm="1">
        <f t="array" ref="AG52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28" s="4" cm="1">
        <f t="array" ref="AH5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2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28" s="178">
        <f t="shared" si="13"/>
        <v>12.552</v>
      </c>
      <c r="AK528" s="118">
        <f>IF(INVESTORS_LIST[[#This Row],[TOTAL CURRENT UNITS]]=0,0,INVESTORS_LIST[[#This Row],[TOTAL CURRENT UNITS]]*INVESTORS_LIST[[#This Row],[NAV]])</f>
        <v>0</v>
      </c>
      <c r="AL528" s="4">
        <f>IF(INVESTORS_LIST[[#This Row],[LS_TOTAL CURRENT UNITS]]=0,0,INVESTORS_LIST[[#This Row],[LS_TOTAL CURRENT UNITS]]*INVESTORS_LIST[[#This Row],[NAV]])</f>
        <v>0</v>
      </c>
      <c r="AM528" s="6">
        <f>IF(INVESTORS_LIST[[#This Row],[SIP_TOTAL CURRENT UNITS]]=0,0,INVESTORS_LIST[[#This Row],[SIP_TOTAL CURRENT UNITS]]*INVESTORS_LIST[[#This Row],[NAV]])</f>
        <v>0</v>
      </c>
      <c r="AO528" s="6">
        <f>IF(INVESTORS_LIST[[#This Row],[TOTAL SELLABLE UNITS]]=0,0,INVESTORS_LIST[[#This Row],[TOTAL SELLABLE UNITS]]*INVESTORS_LIST[[#This Row],[NAV]])</f>
        <v>0</v>
      </c>
      <c r="AP528" s="6">
        <f>INVESTORS_LIST[[#This Row],[LS_TOTAL REALIZED GAIN]]+INVESTORS_LIST[[#This Row],[SIP_TOTAL REALIZED GAIN]]</f>
        <v>0</v>
      </c>
      <c r="AQ528" s="6">
        <f>INVESTORS_LIST[[#This Row],[TOTAL MARKET VALUE]]-INVESTORS_LIST[[#This Row],[TOTAL COST VALUE OF CURRENT INVESTMENT]]</f>
        <v>0</v>
      </c>
      <c r="AR528" s="6">
        <f>SUMIFS(DivAndTax[Tax Amount],DivAndTax[Investor ID],INVESTORS_LIST[[#This Row],[INVESTOR CODE]])</f>
        <v>0</v>
      </c>
      <c r="AS528" s="6">
        <f>SUMIFS(DivAndTax[Gross Dividend],DivAndTax[Investor ID],INVESTORS_LIST[[#This Row],[INVESTOR CODE]])</f>
        <v>0</v>
      </c>
      <c r="AT528" s="5">
        <f>IFERROR(INVESTORS_LIST[[#This Row],[TOTAL CURRENT UNITS]]/SUM(INVESTORS_LIST[TOTAL CURRENT UNITS]),0)</f>
        <v>0</v>
      </c>
    </row>
    <row r="529" spans="1:46">
      <c r="A529" t="s">
        <v>1247</v>
      </c>
      <c r="B529" t="s">
        <v>1248</v>
      </c>
      <c r="C529" t="s">
        <v>536</v>
      </c>
      <c r="D529" s="8" t="s">
        <v>2</v>
      </c>
      <c r="E529" s="2">
        <f>SUMIFS(LS[Unit],LS[Investor ID],INVESTORS_LIST[[#This Row],[INVESTOR CODE]],LS[B/S],"B")</f>
        <v>96166</v>
      </c>
      <c r="F529" s="2">
        <f>-SUMIFS(LS[Unit],LS[Investor ID],INVESTORS_LIST[[#This Row],[INVESTOR CODE]],LS[B/S],"S")</f>
        <v>47331</v>
      </c>
      <c r="G529" s="2">
        <f>IF(INVESTORS_LIST[[#This Row],[LS_TOTAL UNITS BUY]]=0,0,INVESTORS_LIST[[#This Row],[LS_TOTAL UNITS BUY]]-INVESTORS_LIST[[#This Row],[LS_TOTAL UNITS SOLD]])</f>
        <v>48835</v>
      </c>
      <c r="H529" s="4">
        <f>IF(INVESTORS_LIST[[#This Row],[LS_TOTAL UNITS BUY]]=0,0,SUMIFS(LS[Amount],LS[Investor ID],INVESTORS_LIST[[#This Row],[INVESTOR CODE]],LS[B/S],"B"))</f>
        <v>1016650.55</v>
      </c>
      <c r="I529" s="6">
        <f>IF(INVESTORS_LIST[[#This Row],[LS_TOTAL UNITS SOLD]]=0,0,SUMIFS(LS[Cost of Units Sold],LS[Investor ID],INVESTORS_LIST[[#This Row],[INVESTOR CODE]],LS[B/S],"S"))</f>
        <v>498725.02739610558</v>
      </c>
      <c r="J529" s="6">
        <f>IF(INVESTORS_LIST[[#This Row],[LS_TOTAL CURRENT UNITS]]=0,0,INVESTORS_LIST[[#This Row],[LS_TOTAL CURRENT UNITS]]*INVESTORS_LIST[[#This Row],[LS_AVERAGE COST]])</f>
        <v>517925.52260389447</v>
      </c>
      <c r="K529" s="4">
        <f>IF(INVESTORS_LIST[[#This Row],[LS_TOTAL UNITS SOLD]]=0,0,SUMIFS(LS[Realized Gain],LS[Investor ID],INVESTORS_LIST[[#This Row],[INVESTOR CODE]],LS[B/S],"S"))</f>
        <v>1274.97260389446</v>
      </c>
      <c r="L529" s="2">
        <f>SUMIFS(SIP[Unit],SIP[Investor ID],INVESTORS_LIST[[#This Row],[INVESTOR CODE]],SIP[B/S],"B")</f>
        <v>0</v>
      </c>
      <c r="M529" s="2">
        <f>-SUMIFS(SIP[Unit],SIP[Investor ID],INVESTORS_LIST[[#This Row],[INVESTOR CODE]],SIP[B/S],"S")</f>
        <v>0</v>
      </c>
      <c r="N529" s="33">
        <f>IF(INVESTORS_LIST[[#This Row],[SIP_TOTAL UNITS BUY]]=0,0,INVESTORS_LIST[[#This Row],[SIP_TOTAL UNITS BUY]]-INVESTORS_LIST[[#This Row],[SIP_TOTAL UNITS SOLD]])</f>
        <v>0</v>
      </c>
      <c r="O529" s="4">
        <f>IF(INVESTORS_LIST[[#This Row],[SIP_TOTAL UNITS BUY]]=0,0,SUMIFS(SIP[Amount],SIP[Investor ID],INVESTORS_LIST[[#This Row],[INVESTOR CODE]],SIP[B/S],"B"))</f>
        <v>0</v>
      </c>
      <c r="P529" s="4">
        <f>IF(INVESTORS_LIST[[#This Row],[SIP_TOTAL UNITS SOLD]]=0,0,SUMIFS(SIP[Cost of Units Sold],SIP[Investor ID],INVESTORS_LIST[[#This Row],[INVESTOR CODE]],SIP[B/S],"S"))</f>
        <v>0</v>
      </c>
      <c r="Q529" s="6">
        <f>IF(INVESTORS_LIST[[#This Row],[SIP_TOTAL CURRENT UNITS]]=0,0,INVESTORS_LIST[[#This Row],[SIP_TOTAL CURRENT UNITS]]*INVESTORS_LIST[[#This Row],[SIP_AVERAGE COST]])</f>
        <v>0</v>
      </c>
      <c r="R529" s="6">
        <f>IF(INVESTORS_LIST[[#This Row],[SIP_TOTAL UNITS SOLD]]=0,0,SUMIFS(SIP[Realized Gain],SIP[Investor ID],INVESTORS_LIST[[#This Row],[INVESTOR CODE]],SIP[B/S],"S"))</f>
        <v>0</v>
      </c>
      <c r="S529" s="33">
        <f>INVESTORS_LIST[[#This Row],[LS_TOTAL UNITS BUY]]+INVESTORS_LIST[[#This Row],[SIP_TOTAL UNITS BUY]]</f>
        <v>96166</v>
      </c>
      <c r="T529" s="33">
        <f>INVESTORS_LIST[[#This Row],[LS_TOTAL UNITS SOLD]]+INVESTORS_LIST[[#This Row],[SIP_TOTAL UNITS SOLD]]</f>
        <v>47331</v>
      </c>
      <c r="U529" s="33">
        <v>0</v>
      </c>
      <c r="V529" s="33">
        <f>SUMIFS(LS[BO UNIT TRANSFER],LS[Investor ID],INVESTORS_LIST[[#This Row],[INVESTOR CODE]],LS[B/S],"B")</f>
        <v>96166</v>
      </c>
      <c r="W529" s="33">
        <f>SUMIFS(LS[BO UNIT TRANSFER],LS[Investor ID],INVESTORS_LIST[[#This Row],[INVESTOR CODE]],LS[B/S],"S")</f>
        <v>-47331</v>
      </c>
      <c r="X529" s="33">
        <f>SUMIFS(SIP[BO UNIT TRANSFER],SIP[Investor ID],INVESTORS_LIST[[#This Row],[INVESTOR CODE]],SIP[B/S],"S")</f>
        <v>0</v>
      </c>
      <c r="Y529" s="33">
        <f>SUMIFS(SIP[BO UNIT TRANSFER],SIP[Investor ID],INVESTORS_LIST[[#This Row],[INVESTOR CODE]],SIP[B/S],"B")</f>
        <v>0</v>
      </c>
      <c r="Z52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48835</v>
      </c>
      <c r="AA529" s="119">
        <f>INVESTORS_LIST[[#This Row],[TOTAL UNITS BUY]]-INVESTORS_LIST[[#This Row],[TOTAL UNITS SOLD]]</f>
        <v>48835</v>
      </c>
      <c r="AB529" s="119">
        <f>INVESTORS_LIST[[#This Row],[TOTAL CURRENT UNITS]]-INVESTORS_LIST[[#This Row],[BO UNITS HOLD]]</f>
        <v>0</v>
      </c>
      <c r="AC529" s="119" t="e">
        <f>INDEX([4]!Table_1[BO ID],MATCH(INVESTORS_LIST[[#This Row],[INVESTOR CODE]],[4]!Table_1[INVESTOR CODE],0))</f>
        <v>#REF!</v>
      </c>
      <c r="AD529" s="33">
        <f>INVESTORS_LIST[[#This Row],[LS_TOTAL COST VALUE OF CURRENT UNITS]]+INVESTORS_LIST[[#This Row],[SIP_TOTAL COST VALUE OF CURRENT UNITS]]</f>
        <v>517925.52260389447</v>
      </c>
      <c r="AE529" s="44">
        <f>IF(INVESTORS_LIST[[#This Row],[TOTAL CURRENT UNITS]]=0,0,INVESTORS_LIST[[#This Row],[LS_TOTAL CURRENT UNITS]]/INVESTORS_LIST[[#This Row],[TOTAL CURRENT UNITS]])</f>
        <v>1</v>
      </c>
      <c r="AF529" s="44">
        <f>IF(INVESTORS_LIST[[#This Row],[TOTAL CURRENT UNITS]]=0,0,INVESTORS_LIST[[#This Row],[SIP_TOTAL CURRENT UNITS]]/INVESTORS_LIST[[#This Row],[TOTAL CURRENT UNITS]])</f>
        <v>0</v>
      </c>
      <c r="AG529" s="4" cm="1">
        <f t="array" ref="AG529">IF(INVESTORS_LIST[[#This Row],[LS_TOTAL UNITS BUY]]&gt;0,INDEX(LS[NAV at Cost (Average)],MATCH(CONCATENATE(COUNTIFS(LS[Investor ID],INVESTORS_LIST[[#This Row],[INVESTOR CODE]]),INVESTORS_LIST[[#This Row],[INVESTOR CODE]]),LS[Unique Code],0),),0)</f>
        <v>10.605621431430214</v>
      </c>
      <c r="AH529" s="4" cm="1">
        <f t="array" ref="AH5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29" s="178">
        <f>IF(INVESTORS_LIST[[#This Row],[TOTAL CURRENT UNITS]]=0,0,(INVESTORS_LIST[[#This Row],[LS_WEIGHT]]*INVESTORS_LIST[[#This Row],[LS_AVERAGE COST]])+(INVESTORS_LIST[[#This Row],[SIP_WEIGHT]]*INVESTORS_LIST[[#This Row],[SIP_AVERAGE COST]]))</f>
        <v>10.605621431430214</v>
      </c>
      <c r="AJ529" s="178">
        <f t="shared" si="13"/>
        <v>12.552</v>
      </c>
      <c r="AK529" s="118">
        <f>IF(INVESTORS_LIST[[#This Row],[TOTAL CURRENT UNITS]]=0,0,INVESTORS_LIST[[#This Row],[TOTAL CURRENT UNITS]]*INVESTORS_LIST[[#This Row],[NAV]])</f>
        <v>612976.91999999993</v>
      </c>
      <c r="AL529" s="4">
        <f>IF(INVESTORS_LIST[[#This Row],[LS_TOTAL CURRENT UNITS]]=0,0,INVESTORS_LIST[[#This Row],[LS_TOTAL CURRENT UNITS]]*INVESTORS_LIST[[#This Row],[NAV]])</f>
        <v>612976.91999999993</v>
      </c>
      <c r="AM529" s="6">
        <f>IF(INVESTORS_LIST[[#This Row],[SIP_TOTAL CURRENT UNITS]]=0,0,INVESTORS_LIST[[#This Row],[SIP_TOTAL CURRENT UNITS]]*INVESTORS_LIST[[#This Row],[NAV]])</f>
        <v>0</v>
      </c>
      <c r="AO529" s="6">
        <f>IF(INVESTORS_LIST[[#This Row],[TOTAL SELLABLE UNITS]]=0,0,INVESTORS_LIST[[#This Row],[TOTAL SELLABLE UNITS]]*INVESTORS_LIST[[#This Row],[NAV]])</f>
        <v>0</v>
      </c>
      <c r="AP529" s="6">
        <f>INVESTORS_LIST[[#This Row],[LS_TOTAL REALIZED GAIN]]+INVESTORS_LIST[[#This Row],[SIP_TOTAL REALIZED GAIN]]</f>
        <v>1274.97260389446</v>
      </c>
      <c r="AQ529" s="6">
        <f>INVESTORS_LIST[[#This Row],[TOTAL MARKET VALUE]]-INVESTORS_LIST[[#This Row],[TOTAL COST VALUE OF CURRENT INVESTMENT]]</f>
        <v>95051.397396105458</v>
      </c>
      <c r="AR529" s="6">
        <f>SUMIFS(DivAndTax[Tax Amount],DivAndTax[Investor ID],INVESTORS_LIST[[#This Row],[INVESTOR CODE]])</f>
        <v>1665.06</v>
      </c>
      <c r="AS529" s="6">
        <f>SUMIFS(DivAndTax[Gross Dividend],DivAndTax[Investor ID],INVESTORS_LIST[[#This Row],[INVESTOR CODE]])</f>
        <v>16650.55</v>
      </c>
      <c r="AT529" s="5">
        <f>IFERROR(INVESTORS_LIST[[#This Row],[TOTAL CURRENT UNITS]]/SUM(INVESTORS_LIST[TOTAL CURRENT UNITS]),0)</f>
        <v>2.3413860199765031E-3</v>
      </c>
    </row>
    <row r="530" spans="1:46" hidden="1">
      <c r="A530" t="s">
        <v>1249</v>
      </c>
      <c r="B530" t="s">
        <v>1540</v>
      </c>
      <c r="C530" t="s">
        <v>536</v>
      </c>
      <c r="D530" s="8" t="s">
        <v>2</v>
      </c>
      <c r="E530" s="2">
        <f>SUMIFS(LS[Unit],LS[Investor ID],INVESTORS_LIST[[#This Row],[INVESTOR CODE]],LS[B/S],"B")</f>
        <v>0</v>
      </c>
      <c r="F530" s="2">
        <f>-SUMIFS(LS[Unit],LS[Investor ID],INVESTORS_LIST[[#This Row],[INVESTOR CODE]],LS[B/S],"S")</f>
        <v>0</v>
      </c>
      <c r="G530" s="2">
        <f>IF(INVESTORS_LIST[[#This Row],[LS_TOTAL UNITS BUY]]=0,0,INVESTORS_LIST[[#This Row],[LS_TOTAL UNITS BUY]]-INVESTORS_LIST[[#This Row],[LS_TOTAL UNITS SOLD]])</f>
        <v>0</v>
      </c>
      <c r="H530" s="4">
        <f>IF(INVESTORS_LIST[[#This Row],[LS_TOTAL UNITS BUY]]=0,0,SUMIFS(LS[Amount],LS[Investor ID],INVESTORS_LIST[[#This Row],[INVESTOR CODE]],LS[B/S],"B"))</f>
        <v>0</v>
      </c>
      <c r="I530" s="6">
        <f>IF(INVESTORS_LIST[[#This Row],[LS_TOTAL UNITS SOLD]]=0,0,SUMIFS(LS[Cost of Units Sold],LS[Investor ID],INVESTORS_LIST[[#This Row],[INVESTOR CODE]],LS[B/S],"S"))</f>
        <v>0</v>
      </c>
      <c r="J530" s="6">
        <f>IF(INVESTORS_LIST[[#This Row],[LS_TOTAL CURRENT UNITS]]=0,0,INVESTORS_LIST[[#This Row],[LS_TOTAL CURRENT UNITS]]*INVESTORS_LIST[[#This Row],[LS_AVERAGE COST]])</f>
        <v>0</v>
      </c>
      <c r="K530" s="4">
        <f>IF(INVESTORS_LIST[[#This Row],[LS_TOTAL UNITS SOLD]]=0,0,SUMIFS(LS[Realized Gain],LS[Investor ID],INVESTORS_LIST[[#This Row],[INVESTOR CODE]],LS[B/S],"S"))</f>
        <v>0</v>
      </c>
      <c r="L530" s="2">
        <f>SUMIFS(SIP[Unit],SIP[Investor ID],INVESTORS_LIST[[#This Row],[INVESTOR CODE]],SIP[B/S],"B")</f>
        <v>0</v>
      </c>
      <c r="M530" s="2">
        <f>-SUMIFS(SIP[Unit],SIP[Investor ID],INVESTORS_LIST[[#This Row],[INVESTOR CODE]],SIP[B/S],"S")</f>
        <v>0</v>
      </c>
      <c r="N530" s="33">
        <f>IF(INVESTORS_LIST[[#This Row],[SIP_TOTAL UNITS BUY]]=0,0,INVESTORS_LIST[[#This Row],[SIP_TOTAL UNITS BUY]]-INVESTORS_LIST[[#This Row],[SIP_TOTAL UNITS SOLD]])</f>
        <v>0</v>
      </c>
      <c r="O530" s="4">
        <f>IF(INVESTORS_LIST[[#This Row],[SIP_TOTAL UNITS BUY]]=0,0,SUMIFS(SIP[Amount],SIP[Investor ID],INVESTORS_LIST[[#This Row],[INVESTOR CODE]],SIP[B/S],"B"))</f>
        <v>0</v>
      </c>
      <c r="P530" s="4">
        <f>IF(INVESTORS_LIST[[#This Row],[SIP_TOTAL UNITS SOLD]]=0,0,SUMIFS(SIP[Cost of Units Sold],SIP[Investor ID],INVESTORS_LIST[[#This Row],[INVESTOR CODE]],SIP[B/S],"S"))</f>
        <v>0</v>
      </c>
      <c r="Q530" s="6">
        <f>IF(INVESTORS_LIST[[#This Row],[SIP_TOTAL CURRENT UNITS]]=0,0,INVESTORS_LIST[[#This Row],[SIP_TOTAL CURRENT UNITS]]*INVESTORS_LIST[[#This Row],[SIP_AVERAGE COST]])</f>
        <v>0</v>
      </c>
      <c r="R530" s="6">
        <f>IF(INVESTORS_LIST[[#This Row],[SIP_TOTAL UNITS SOLD]]=0,0,SUMIFS(SIP[Realized Gain],SIP[Investor ID],INVESTORS_LIST[[#This Row],[INVESTOR CODE]],SIP[B/S],"S"))</f>
        <v>0</v>
      </c>
      <c r="S530" s="33">
        <f>INVESTORS_LIST[[#This Row],[LS_TOTAL UNITS BUY]]+INVESTORS_LIST[[#This Row],[SIP_TOTAL UNITS BUY]]</f>
        <v>0</v>
      </c>
      <c r="T530" s="33">
        <f>INVESTORS_LIST[[#This Row],[LS_TOTAL UNITS SOLD]]+INVESTORS_LIST[[#This Row],[SIP_TOTAL UNITS SOLD]]</f>
        <v>0</v>
      </c>
      <c r="U530" s="33">
        <v>0</v>
      </c>
      <c r="V530" s="33">
        <f>SUMIFS(LS[BO UNIT TRANSFER],LS[Investor ID],INVESTORS_LIST[[#This Row],[INVESTOR CODE]],LS[B/S],"B")</f>
        <v>0</v>
      </c>
      <c r="W530" s="33">
        <f>SUMIFS(LS[BO UNIT TRANSFER],LS[Investor ID],INVESTORS_LIST[[#This Row],[INVESTOR CODE]],LS[B/S],"S")</f>
        <v>0</v>
      </c>
      <c r="X530" s="33">
        <f>SUMIFS(SIP[BO UNIT TRANSFER],SIP[Investor ID],INVESTORS_LIST[[#This Row],[INVESTOR CODE]],SIP[B/S],"S")</f>
        <v>0</v>
      </c>
      <c r="Y530" s="33">
        <f>SUMIFS(SIP[BO UNIT TRANSFER],SIP[Investor ID],INVESTORS_LIST[[#This Row],[INVESTOR CODE]],SIP[B/S],"B")</f>
        <v>0</v>
      </c>
      <c r="Z53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30" s="119">
        <f>INVESTORS_LIST[[#This Row],[TOTAL UNITS BUY]]-INVESTORS_LIST[[#This Row],[TOTAL UNITS SOLD]]</f>
        <v>0</v>
      </c>
      <c r="AB530" s="119">
        <f>INVESTORS_LIST[[#This Row],[TOTAL CURRENT UNITS]]-INVESTORS_LIST[[#This Row],[BO UNITS HOLD]]</f>
        <v>0</v>
      </c>
      <c r="AC530" s="119" t="e">
        <f>INDEX([4]!Table_1[BO ID],MATCH(INVESTORS_LIST[[#This Row],[INVESTOR CODE]],[4]!Table_1[INVESTOR CODE],0))</f>
        <v>#REF!</v>
      </c>
      <c r="AD530" s="33">
        <f>INVESTORS_LIST[[#This Row],[LS_TOTAL COST VALUE OF CURRENT UNITS]]+INVESTORS_LIST[[#This Row],[SIP_TOTAL COST VALUE OF CURRENT UNITS]]</f>
        <v>0</v>
      </c>
      <c r="AE530" s="44">
        <f>IF(INVESTORS_LIST[[#This Row],[TOTAL CURRENT UNITS]]=0,0,INVESTORS_LIST[[#This Row],[LS_TOTAL CURRENT UNITS]]/INVESTORS_LIST[[#This Row],[TOTAL CURRENT UNITS]])</f>
        <v>0</v>
      </c>
      <c r="AF530" s="44">
        <f>IF(INVESTORS_LIST[[#This Row],[TOTAL CURRENT UNITS]]=0,0,INVESTORS_LIST[[#This Row],[SIP_TOTAL CURRENT UNITS]]/INVESTORS_LIST[[#This Row],[TOTAL CURRENT UNITS]])</f>
        <v>0</v>
      </c>
      <c r="AG530" s="4" cm="1">
        <f t="array" ref="AG5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30" s="4" cm="1">
        <f t="array" ref="AH5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3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30" s="178">
        <f t="shared" si="13"/>
        <v>12.552</v>
      </c>
      <c r="AK530" s="118">
        <f>IF(INVESTORS_LIST[[#This Row],[TOTAL CURRENT UNITS]]=0,0,INVESTORS_LIST[[#This Row],[TOTAL CURRENT UNITS]]*INVESTORS_LIST[[#This Row],[NAV]])</f>
        <v>0</v>
      </c>
      <c r="AL530" s="4">
        <f>IF(INVESTORS_LIST[[#This Row],[LS_TOTAL CURRENT UNITS]]=0,0,INVESTORS_LIST[[#This Row],[LS_TOTAL CURRENT UNITS]]*INVESTORS_LIST[[#This Row],[NAV]])</f>
        <v>0</v>
      </c>
      <c r="AM530" s="6">
        <f>IF(INVESTORS_LIST[[#This Row],[SIP_TOTAL CURRENT UNITS]]=0,0,INVESTORS_LIST[[#This Row],[SIP_TOTAL CURRENT UNITS]]*INVESTORS_LIST[[#This Row],[NAV]])</f>
        <v>0</v>
      </c>
      <c r="AO530" s="6">
        <f>IF(INVESTORS_LIST[[#This Row],[TOTAL SELLABLE UNITS]]=0,0,INVESTORS_LIST[[#This Row],[TOTAL SELLABLE UNITS]]*INVESTORS_LIST[[#This Row],[NAV]])</f>
        <v>0</v>
      </c>
      <c r="AP530" s="6">
        <f>INVESTORS_LIST[[#This Row],[LS_TOTAL REALIZED GAIN]]+INVESTORS_LIST[[#This Row],[SIP_TOTAL REALIZED GAIN]]</f>
        <v>0</v>
      </c>
      <c r="AQ530" s="6">
        <f>INVESTORS_LIST[[#This Row],[TOTAL MARKET VALUE]]-INVESTORS_LIST[[#This Row],[TOTAL COST VALUE OF CURRENT INVESTMENT]]</f>
        <v>0</v>
      </c>
      <c r="AR530" s="6">
        <f>SUMIFS(DivAndTax[Tax Amount],DivAndTax[Investor ID],INVESTORS_LIST[[#This Row],[INVESTOR CODE]])</f>
        <v>0</v>
      </c>
      <c r="AS530" s="6">
        <f>SUMIFS(DivAndTax[Gross Dividend],DivAndTax[Investor ID],INVESTORS_LIST[[#This Row],[INVESTOR CODE]])</f>
        <v>0</v>
      </c>
      <c r="AT530" s="5">
        <f>IFERROR(INVESTORS_LIST[[#This Row],[TOTAL CURRENT UNITS]]/SUM(INVESTORS_LIST[TOTAL CURRENT UNITS]),0)</f>
        <v>0</v>
      </c>
    </row>
    <row r="531" spans="1:46" hidden="1">
      <c r="A531" t="s">
        <v>1251</v>
      </c>
      <c r="B531" t="s">
        <v>1252</v>
      </c>
      <c r="C531" t="s">
        <v>536</v>
      </c>
      <c r="D531" s="8" t="s">
        <v>2</v>
      </c>
      <c r="E531" s="2">
        <f>SUMIFS(LS[Unit],LS[Investor ID],INVESTORS_LIST[[#This Row],[INVESTOR CODE]],LS[B/S],"B")</f>
        <v>0</v>
      </c>
      <c r="F531" s="2">
        <f>-SUMIFS(LS[Unit],LS[Investor ID],INVESTORS_LIST[[#This Row],[INVESTOR CODE]],LS[B/S],"S")</f>
        <v>0</v>
      </c>
      <c r="G531" s="2">
        <f>IF(INVESTORS_LIST[[#This Row],[LS_TOTAL UNITS BUY]]=0,0,INVESTORS_LIST[[#This Row],[LS_TOTAL UNITS BUY]]-INVESTORS_LIST[[#This Row],[LS_TOTAL UNITS SOLD]])</f>
        <v>0</v>
      </c>
      <c r="H531" s="4">
        <f>IF(INVESTORS_LIST[[#This Row],[LS_TOTAL UNITS BUY]]=0,0,SUMIFS(LS[Amount],LS[Investor ID],INVESTORS_LIST[[#This Row],[INVESTOR CODE]],LS[B/S],"B"))</f>
        <v>0</v>
      </c>
      <c r="I531" s="6">
        <f>IF(INVESTORS_LIST[[#This Row],[LS_TOTAL UNITS SOLD]]=0,0,SUMIFS(LS[Cost of Units Sold],LS[Investor ID],INVESTORS_LIST[[#This Row],[INVESTOR CODE]],LS[B/S],"S"))</f>
        <v>0</v>
      </c>
      <c r="J531" s="6">
        <f>IF(INVESTORS_LIST[[#This Row],[LS_TOTAL CURRENT UNITS]]=0,0,INVESTORS_LIST[[#This Row],[LS_TOTAL CURRENT UNITS]]*INVESTORS_LIST[[#This Row],[LS_AVERAGE COST]])</f>
        <v>0</v>
      </c>
      <c r="K531" s="4">
        <f>IF(INVESTORS_LIST[[#This Row],[LS_TOTAL UNITS SOLD]]=0,0,SUMIFS(LS[Realized Gain],LS[Investor ID],INVESTORS_LIST[[#This Row],[INVESTOR CODE]],LS[B/S],"S"))</f>
        <v>0</v>
      </c>
      <c r="L531" s="2">
        <f>SUMIFS(SIP[Unit],SIP[Investor ID],INVESTORS_LIST[[#This Row],[INVESTOR CODE]],SIP[B/S],"B")</f>
        <v>0</v>
      </c>
      <c r="M531" s="2">
        <f>-SUMIFS(SIP[Unit],SIP[Investor ID],INVESTORS_LIST[[#This Row],[INVESTOR CODE]],SIP[B/S],"S")</f>
        <v>0</v>
      </c>
      <c r="N531" s="33">
        <f>IF(INVESTORS_LIST[[#This Row],[SIP_TOTAL UNITS BUY]]=0,0,INVESTORS_LIST[[#This Row],[SIP_TOTAL UNITS BUY]]-INVESTORS_LIST[[#This Row],[SIP_TOTAL UNITS SOLD]])</f>
        <v>0</v>
      </c>
      <c r="O531" s="4">
        <f>IF(INVESTORS_LIST[[#This Row],[SIP_TOTAL UNITS BUY]]=0,0,SUMIFS(SIP[Amount],SIP[Investor ID],INVESTORS_LIST[[#This Row],[INVESTOR CODE]],SIP[B/S],"B"))</f>
        <v>0</v>
      </c>
      <c r="P531" s="4">
        <f>IF(INVESTORS_LIST[[#This Row],[SIP_TOTAL UNITS SOLD]]=0,0,SUMIFS(SIP[Cost of Units Sold],SIP[Investor ID],INVESTORS_LIST[[#This Row],[INVESTOR CODE]],SIP[B/S],"S"))</f>
        <v>0</v>
      </c>
      <c r="Q531" s="6">
        <f>IF(INVESTORS_LIST[[#This Row],[SIP_TOTAL CURRENT UNITS]]=0,0,INVESTORS_LIST[[#This Row],[SIP_TOTAL CURRENT UNITS]]*INVESTORS_LIST[[#This Row],[SIP_AVERAGE COST]])</f>
        <v>0</v>
      </c>
      <c r="R531" s="6">
        <f>IF(INVESTORS_LIST[[#This Row],[SIP_TOTAL UNITS SOLD]]=0,0,SUMIFS(SIP[Realized Gain],SIP[Investor ID],INVESTORS_LIST[[#This Row],[INVESTOR CODE]],SIP[B/S],"S"))</f>
        <v>0</v>
      </c>
      <c r="S531" s="33">
        <f>INVESTORS_LIST[[#This Row],[LS_TOTAL UNITS BUY]]+INVESTORS_LIST[[#This Row],[SIP_TOTAL UNITS BUY]]</f>
        <v>0</v>
      </c>
      <c r="T531" s="33">
        <f>INVESTORS_LIST[[#This Row],[LS_TOTAL UNITS SOLD]]+INVESTORS_LIST[[#This Row],[SIP_TOTAL UNITS SOLD]]</f>
        <v>0</v>
      </c>
      <c r="U531" s="33">
        <v>0</v>
      </c>
      <c r="V531" s="33">
        <f>SUMIFS(LS[BO UNIT TRANSFER],LS[Investor ID],INVESTORS_LIST[[#This Row],[INVESTOR CODE]],LS[B/S],"B")</f>
        <v>0</v>
      </c>
      <c r="W531" s="33">
        <f>SUMIFS(LS[BO UNIT TRANSFER],LS[Investor ID],INVESTORS_LIST[[#This Row],[INVESTOR CODE]],LS[B/S],"S")</f>
        <v>0</v>
      </c>
      <c r="X531" s="33">
        <f>SUMIFS(SIP[BO UNIT TRANSFER],SIP[Investor ID],INVESTORS_LIST[[#This Row],[INVESTOR CODE]],SIP[B/S],"S")</f>
        <v>0</v>
      </c>
      <c r="Y531" s="33">
        <f>SUMIFS(SIP[BO UNIT TRANSFER],SIP[Investor ID],INVESTORS_LIST[[#This Row],[INVESTOR CODE]],SIP[B/S],"B")</f>
        <v>0</v>
      </c>
      <c r="Z53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31" s="119">
        <f>INVESTORS_LIST[[#This Row],[TOTAL UNITS BUY]]-INVESTORS_LIST[[#This Row],[TOTAL UNITS SOLD]]</f>
        <v>0</v>
      </c>
      <c r="AB531" s="119">
        <f>INVESTORS_LIST[[#This Row],[TOTAL CURRENT UNITS]]-INVESTORS_LIST[[#This Row],[BO UNITS HOLD]]</f>
        <v>0</v>
      </c>
      <c r="AC531" s="119" t="e">
        <f>INDEX([4]!Table_1[BO ID],MATCH(INVESTORS_LIST[[#This Row],[INVESTOR CODE]],[4]!Table_1[INVESTOR CODE],0))</f>
        <v>#REF!</v>
      </c>
      <c r="AD531" s="33">
        <f>INVESTORS_LIST[[#This Row],[LS_TOTAL COST VALUE OF CURRENT UNITS]]+INVESTORS_LIST[[#This Row],[SIP_TOTAL COST VALUE OF CURRENT UNITS]]</f>
        <v>0</v>
      </c>
      <c r="AE531" s="44">
        <f>IF(INVESTORS_LIST[[#This Row],[TOTAL CURRENT UNITS]]=0,0,INVESTORS_LIST[[#This Row],[LS_TOTAL CURRENT UNITS]]/INVESTORS_LIST[[#This Row],[TOTAL CURRENT UNITS]])</f>
        <v>0</v>
      </c>
      <c r="AF531" s="44">
        <f>IF(INVESTORS_LIST[[#This Row],[TOTAL CURRENT UNITS]]=0,0,INVESTORS_LIST[[#This Row],[SIP_TOTAL CURRENT UNITS]]/INVESTORS_LIST[[#This Row],[TOTAL CURRENT UNITS]])</f>
        <v>0</v>
      </c>
      <c r="AG531" s="4" cm="1">
        <f t="array" ref="AG53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31" s="4" cm="1">
        <f t="array" ref="AH5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3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31" s="178">
        <f t="shared" si="13"/>
        <v>12.552</v>
      </c>
      <c r="AK531" s="118">
        <f>IF(INVESTORS_LIST[[#This Row],[TOTAL CURRENT UNITS]]=0,0,INVESTORS_LIST[[#This Row],[TOTAL CURRENT UNITS]]*INVESTORS_LIST[[#This Row],[NAV]])</f>
        <v>0</v>
      </c>
      <c r="AL531" s="4">
        <f>IF(INVESTORS_LIST[[#This Row],[LS_TOTAL CURRENT UNITS]]=0,0,INVESTORS_LIST[[#This Row],[LS_TOTAL CURRENT UNITS]]*INVESTORS_LIST[[#This Row],[NAV]])</f>
        <v>0</v>
      </c>
      <c r="AM531" s="6">
        <f>IF(INVESTORS_LIST[[#This Row],[SIP_TOTAL CURRENT UNITS]]=0,0,INVESTORS_LIST[[#This Row],[SIP_TOTAL CURRENT UNITS]]*INVESTORS_LIST[[#This Row],[NAV]])</f>
        <v>0</v>
      </c>
      <c r="AO531" s="6">
        <f>IF(INVESTORS_LIST[[#This Row],[TOTAL SELLABLE UNITS]]=0,0,INVESTORS_LIST[[#This Row],[TOTAL SELLABLE UNITS]]*INVESTORS_LIST[[#This Row],[NAV]])</f>
        <v>0</v>
      </c>
      <c r="AP531" s="6">
        <f>INVESTORS_LIST[[#This Row],[LS_TOTAL REALIZED GAIN]]+INVESTORS_LIST[[#This Row],[SIP_TOTAL REALIZED GAIN]]</f>
        <v>0</v>
      </c>
      <c r="AQ531" s="6">
        <f>INVESTORS_LIST[[#This Row],[TOTAL MARKET VALUE]]-INVESTORS_LIST[[#This Row],[TOTAL COST VALUE OF CURRENT INVESTMENT]]</f>
        <v>0</v>
      </c>
      <c r="AR531" s="6">
        <f>SUMIFS(DivAndTax[Tax Amount],DivAndTax[Investor ID],INVESTORS_LIST[[#This Row],[INVESTOR CODE]])</f>
        <v>0</v>
      </c>
      <c r="AS531" s="6">
        <f>SUMIFS(DivAndTax[Gross Dividend],DivAndTax[Investor ID],INVESTORS_LIST[[#This Row],[INVESTOR CODE]])</f>
        <v>0</v>
      </c>
      <c r="AT531" s="5">
        <f>IFERROR(INVESTORS_LIST[[#This Row],[TOTAL CURRENT UNITS]]/SUM(INVESTORS_LIST[TOTAL CURRENT UNITS]),0)</f>
        <v>0</v>
      </c>
    </row>
    <row r="532" spans="1:46" hidden="1">
      <c r="A532" t="s">
        <v>1253</v>
      </c>
      <c r="B532" t="s">
        <v>1254</v>
      </c>
      <c r="C532" t="s">
        <v>539</v>
      </c>
      <c r="D532" s="8" t="s">
        <v>2</v>
      </c>
      <c r="E532" s="2">
        <f>SUMIFS(LS[Unit],LS[Investor ID],INVESTORS_LIST[[#This Row],[INVESTOR CODE]],LS[B/S],"B")</f>
        <v>0</v>
      </c>
      <c r="F532" s="2">
        <f>-SUMIFS(LS[Unit],LS[Investor ID],INVESTORS_LIST[[#This Row],[INVESTOR CODE]],LS[B/S],"S")</f>
        <v>0</v>
      </c>
      <c r="G532" s="2">
        <f>IF(INVESTORS_LIST[[#This Row],[LS_TOTAL UNITS BUY]]=0,0,INVESTORS_LIST[[#This Row],[LS_TOTAL UNITS BUY]]-INVESTORS_LIST[[#This Row],[LS_TOTAL UNITS SOLD]])</f>
        <v>0</v>
      </c>
      <c r="H532" s="4">
        <f>IF(INVESTORS_LIST[[#This Row],[LS_TOTAL UNITS BUY]]=0,0,SUMIFS(LS[Amount],LS[Investor ID],INVESTORS_LIST[[#This Row],[INVESTOR CODE]],LS[B/S],"B"))</f>
        <v>0</v>
      </c>
      <c r="I532" s="6">
        <f>IF(INVESTORS_LIST[[#This Row],[LS_TOTAL UNITS SOLD]]=0,0,SUMIFS(LS[Cost of Units Sold],LS[Investor ID],INVESTORS_LIST[[#This Row],[INVESTOR CODE]],LS[B/S],"S"))</f>
        <v>0</v>
      </c>
      <c r="J532" s="6">
        <f>IF(INVESTORS_LIST[[#This Row],[LS_TOTAL CURRENT UNITS]]=0,0,INVESTORS_LIST[[#This Row],[LS_TOTAL CURRENT UNITS]]*INVESTORS_LIST[[#This Row],[LS_AVERAGE COST]])</f>
        <v>0</v>
      </c>
      <c r="K532" s="4">
        <f>IF(INVESTORS_LIST[[#This Row],[LS_TOTAL UNITS SOLD]]=0,0,SUMIFS(LS[Realized Gain],LS[Investor ID],INVESTORS_LIST[[#This Row],[INVESTOR CODE]],LS[B/S],"S"))</f>
        <v>0</v>
      </c>
      <c r="L532" s="2">
        <f>SUMIFS(SIP[Unit],SIP[Investor ID],INVESTORS_LIST[[#This Row],[INVESTOR CODE]],SIP[B/S],"B")</f>
        <v>0</v>
      </c>
      <c r="M532" s="2">
        <f>-SUMIFS(SIP[Unit],SIP[Investor ID],INVESTORS_LIST[[#This Row],[INVESTOR CODE]],SIP[B/S],"S")</f>
        <v>0</v>
      </c>
      <c r="N532" s="33">
        <f>IF(INVESTORS_LIST[[#This Row],[SIP_TOTAL UNITS BUY]]=0,0,INVESTORS_LIST[[#This Row],[SIP_TOTAL UNITS BUY]]-INVESTORS_LIST[[#This Row],[SIP_TOTAL UNITS SOLD]])</f>
        <v>0</v>
      </c>
      <c r="O532" s="4">
        <f>IF(INVESTORS_LIST[[#This Row],[SIP_TOTAL UNITS BUY]]=0,0,SUMIFS(SIP[Amount],SIP[Investor ID],INVESTORS_LIST[[#This Row],[INVESTOR CODE]],SIP[B/S],"B"))</f>
        <v>0</v>
      </c>
      <c r="P532" s="4">
        <f>IF(INVESTORS_LIST[[#This Row],[SIP_TOTAL UNITS SOLD]]=0,0,SUMIFS(SIP[Cost of Units Sold],SIP[Investor ID],INVESTORS_LIST[[#This Row],[INVESTOR CODE]],SIP[B/S],"S"))</f>
        <v>0</v>
      </c>
      <c r="Q532" s="6">
        <f>IF(INVESTORS_LIST[[#This Row],[SIP_TOTAL CURRENT UNITS]]=0,0,INVESTORS_LIST[[#This Row],[SIP_TOTAL CURRENT UNITS]]*INVESTORS_LIST[[#This Row],[SIP_AVERAGE COST]])</f>
        <v>0</v>
      </c>
      <c r="R532" s="6">
        <f>IF(INVESTORS_LIST[[#This Row],[SIP_TOTAL UNITS SOLD]]=0,0,SUMIFS(SIP[Realized Gain],SIP[Investor ID],INVESTORS_LIST[[#This Row],[INVESTOR CODE]],SIP[B/S],"S"))</f>
        <v>0</v>
      </c>
      <c r="S532" s="33">
        <f>INVESTORS_LIST[[#This Row],[LS_TOTAL UNITS BUY]]+INVESTORS_LIST[[#This Row],[SIP_TOTAL UNITS BUY]]</f>
        <v>0</v>
      </c>
      <c r="T532" s="33">
        <f>INVESTORS_LIST[[#This Row],[LS_TOTAL UNITS SOLD]]+INVESTORS_LIST[[#This Row],[SIP_TOTAL UNITS SOLD]]</f>
        <v>0</v>
      </c>
      <c r="U532" s="33">
        <v>0</v>
      </c>
      <c r="V532" s="33">
        <f>SUMIFS(LS[BO UNIT TRANSFER],LS[Investor ID],INVESTORS_LIST[[#This Row],[INVESTOR CODE]],LS[B/S],"B")</f>
        <v>0</v>
      </c>
      <c r="W532" s="33">
        <f>SUMIFS(LS[BO UNIT TRANSFER],LS[Investor ID],INVESTORS_LIST[[#This Row],[INVESTOR CODE]],LS[B/S],"S")</f>
        <v>0</v>
      </c>
      <c r="X532" s="33">
        <f>SUMIFS(SIP[BO UNIT TRANSFER],SIP[Investor ID],INVESTORS_LIST[[#This Row],[INVESTOR CODE]],SIP[B/S],"S")</f>
        <v>0</v>
      </c>
      <c r="Y532" s="33">
        <f>SUMIFS(SIP[BO UNIT TRANSFER],SIP[Investor ID],INVESTORS_LIST[[#This Row],[INVESTOR CODE]],SIP[B/S],"B")</f>
        <v>0</v>
      </c>
      <c r="Z53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32" s="119">
        <f>INVESTORS_LIST[[#This Row],[TOTAL UNITS BUY]]-INVESTORS_LIST[[#This Row],[TOTAL UNITS SOLD]]</f>
        <v>0</v>
      </c>
      <c r="AB532" s="119">
        <f>INVESTORS_LIST[[#This Row],[TOTAL CURRENT UNITS]]-INVESTORS_LIST[[#This Row],[BO UNITS HOLD]]</f>
        <v>0</v>
      </c>
      <c r="AC532" s="119" t="e">
        <f>INDEX([4]!Table_1[BO ID],MATCH(INVESTORS_LIST[[#This Row],[INVESTOR CODE]],[4]!Table_1[INVESTOR CODE],0))</f>
        <v>#REF!</v>
      </c>
      <c r="AD532" s="33">
        <f>INVESTORS_LIST[[#This Row],[LS_TOTAL COST VALUE OF CURRENT UNITS]]+INVESTORS_LIST[[#This Row],[SIP_TOTAL COST VALUE OF CURRENT UNITS]]</f>
        <v>0</v>
      </c>
      <c r="AE532" s="44">
        <f>IF(INVESTORS_LIST[[#This Row],[TOTAL CURRENT UNITS]]=0,0,INVESTORS_LIST[[#This Row],[LS_TOTAL CURRENT UNITS]]/INVESTORS_LIST[[#This Row],[TOTAL CURRENT UNITS]])</f>
        <v>0</v>
      </c>
      <c r="AF532" s="44">
        <f>IF(INVESTORS_LIST[[#This Row],[TOTAL CURRENT UNITS]]=0,0,INVESTORS_LIST[[#This Row],[SIP_TOTAL CURRENT UNITS]]/INVESTORS_LIST[[#This Row],[TOTAL CURRENT UNITS]])</f>
        <v>0</v>
      </c>
      <c r="AG532" s="4" cm="1">
        <f t="array" ref="AG5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32" s="4" cm="1">
        <f t="array" ref="AH5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3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32" s="178">
        <f t="shared" si="13"/>
        <v>12.552</v>
      </c>
      <c r="AK532" s="118">
        <f>IF(INVESTORS_LIST[[#This Row],[TOTAL CURRENT UNITS]]=0,0,INVESTORS_LIST[[#This Row],[TOTAL CURRENT UNITS]]*INVESTORS_LIST[[#This Row],[NAV]])</f>
        <v>0</v>
      </c>
      <c r="AL532" s="4">
        <f>IF(INVESTORS_LIST[[#This Row],[LS_TOTAL CURRENT UNITS]]=0,0,INVESTORS_LIST[[#This Row],[LS_TOTAL CURRENT UNITS]]*INVESTORS_LIST[[#This Row],[NAV]])</f>
        <v>0</v>
      </c>
      <c r="AM532" s="6">
        <f>IF(INVESTORS_LIST[[#This Row],[SIP_TOTAL CURRENT UNITS]]=0,0,INVESTORS_LIST[[#This Row],[SIP_TOTAL CURRENT UNITS]]*INVESTORS_LIST[[#This Row],[NAV]])</f>
        <v>0</v>
      </c>
      <c r="AO532" s="6">
        <f>IF(INVESTORS_LIST[[#This Row],[TOTAL SELLABLE UNITS]]=0,0,INVESTORS_LIST[[#This Row],[TOTAL SELLABLE UNITS]]*INVESTORS_LIST[[#This Row],[NAV]])</f>
        <v>0</v>
      </c>
      <c r="AP532" s="6">
        <f>INVESTORS_LIST[[#This Row],[LS_TOTAL REALIZED GAIN]]+INVESTORS_LIST[[#This Row],[SIP_TOTAL REALIZED GAIN]]</f>
        <v>0</v>
      </c>
      <c r="AQ532" s="6">
        <f>INVESTORS_LIST[[#This Row],[TOTAL MARKET VALUE]]-INVESTORS_LIST[[#This Row],[TOTAL COST VALUE OF CURRENT INVESTMENT]]</f>
        <v>0</v>
      </c>
      <c r="AR532" s="6">
        <f>SUMIFS(DivAndTax[Tax Amount],DivAndTax[Investor ID],INVESTORS_LIST[[#This Row],[INVESTOR CODE]])</f>
        <v>0</v>
      </c>
      <c r="AS532" s="6">
        <f>SUMIFS(DivAndTax[Gross Dividend],DivAndTax[Investor ID],INVESTORS_LIST[[#This Row],[INVESTOR CODE]])</f>
        <v>0</v>
      </c>
      <c r="AT532" s="5">
        <f>IFERROR(INVESTORS_LIST[[#This Row],[TOTAL CURRENT UNITS]]/SUM(INVESTORS_LIST[TOTAL CURRENT UNITS]),0)</f>
        <v>0</v>
      </c>
    </row>
    <row r="533" spans="1:46" hidden="1">
      <c r="A533" t="s">
        <v>1255</v>
      </c>
      <c r="B533" t="s">
        <v>1256</v>
      </c>
      <c r="C533" t="s">
        <v>536</v>
      </c>
      <c r="D533" s="8" t="s">
        <v>2</v>
      </c>
      <c r="E533" s="2">
        <f>SUMIFS(LS[Unit],LS[Investor ID],INVESTORS_LIST[[#This Row],[INVESTOR CODE]],LS[B/S],"B")</f>
        <v>0</v>
      </c>
      <c r="F533" s="2">
        <f>-SUMIFS(LS[Unit],LS[Investor ID],INVESTORS_LIST[[#This Row],[INVESTOR CODE]],LS[B/S],"S")</f>
        <v>0</v>
      </c>
      <c r="G533" s="2">
        <f>IF(INVESTORS_LIST[[#This Row],[LS_TOTAL UNITS BUY]]=0,0,INVESTORS_LIST[[#This Row],[LS_TOTAL UNITS BUY]]-INVESTORS_LIST[[#This Row],[LS_TOTAL UNITS SOLD]])</f>
        <v>0</v>
      </c>
      <c r="H533" s="4">
        <f>IF(INVESTORS_LIST[[#This Row],[LS_TOTAL UNITS BUY]]=0,0,SUMIFS(LS[Amount],LS[Investor ID],INVESTORS_LIST[[#This Row],[INVESTOR CODE]],LS[B/S],"B"))</f>
        <v>0</v>
      </c>
      <c r="I533" s="6">
        <f>IF(INVESTORS_LIST[[#This Row],[LS_TOTAL UNITS SOLD]]=0,0,SUMIFS(LS[Cost of Units Sold],LS[Investor ID],INVESTORS_LIST[[#This Row],[INVESTOR CODE]],LS[B/S],"S"))</f>
        <v>0</v>
      </c>
      <c r="J533" s="6">
        <f>IF(INVESTORS_LIST[[#This Row],[LS_TOTAL CURRENT UNITS]]=0,0,INVESTORS_LIST[[#This Row],[LS_TOTAL CURRENT UNITS]]*INVESTORS_LIST[[#This Row],[LS_AVERAGE COST]])</f>
        <v>0</v>
      </c>
      <c r="K533" s="4">
        <f>IF(INVESTORS_LIST[[#This Row],[LS_TOTAL UNITS SOLD]]=0,0,SUMIFS(LS[Realized Gain],LS[Investor ID],INVESTORS_LIST[[#This Row],[INVESTOR CODE]],LS[B/S],"S"))</f>
        <v>0</v>
      </c>
      <c r="L533" s="2">
        <f>SUMIFS(SIP[Unit],SIP[Investor ID],INVESTORS_LIST[[#This Row],[INVESTOR CODE]],SIP[B/S],"B")</f>
        <v>0</v>
      </c>
      <c r="M533" s="2">
        <f>-SUMIFS(SIP[Unit],SIP[Investor ID],INVESTORS_LIST[[#This Row],[INVESTOR CODE]],SIP[B/S],"S")</f>
        <v>0</v>
      </c>
      <c r="N533" s="33">
        <f>IF(INVESTORS_LIST[[#This Row],[SIP_TOTAL UNITS BUY]]=0,0,INVESTORS_LIST[[#This Row],[SIP_TOTAL UNITS BUY]]-INVESTORS_LIST[[#This Row],[SIP_TOTAL UNITS SOLD]])</f>
        <v>0</v>
      </c>
      <c r="O533" s="4">
        <f>IF(INVESTORS_LIST[[#This Row],[SIP_TOTAL UNITS BUY]]=0,0,SUMIFS(SIP[Amount],SIP[Investor ID],INVESTORS_LIST[[#This Row],[INVESTOR CODE]],SIP[B/S],"B"))</f>
        <v>0</v>
      </c>
      <c r="P533" s="4">
        <f>IF(INVESTORS_LIST[[#This Row],[SIP_TOTAL UNITS SOLD]]=0,0,SUMIFS(SIP[Cost of Units Sold],SIP[Investor ID],INVESTORS_LIST[[#This Row],[INVESTOR CODE]],SIP[B/S],"S"))</f>
        <v>0</v>
      </c>
      <c r="Q533" s="6">
        <f>IF(INVESTORS_LIST[[#This Row],[SIP_TOTAL CURRENT UNITS]]=0,0,INVESTORS_LIST[[#This Row],[SIP_TOTAL CURRENT UNITS]]*INVESTORS_LIST[[#This Row],[SIP_AVERAGE COST]])</f>
        <v>0</v>
      </c>
      <c r="R533" s="6">
        <f>IF(INVESTORS_LIST[[#This Row],[SIP_TOTAL UNITS SOLD]]=0,0,SUMIFS(SIP[Realized Gain],SIP[Investor ID],INVESTORS_LIST[[#This Row],[INVESTOR CODE]],SIP[B/S],"S"))</f>
        <v>0</v>
      </c>
      <c r="S533" s="33">
        <f>INVESTORS_LIST[[#This Row],[LS_TOTAL UNITS BUY]]+INVESTORS_LIST[[#This Row],[SIP_TOTAL UNITS BUY]]</f>
        <v>0</v>
      </c>
      <c r="T533" s="33">
        <f>INVESTORS_LIST[[#This Row],[LS_TOTAL UNITS SOLD]]+INVESTORS_LIST[[#This Row],[SIP_TOTAL UNITS SOLD]]</f>
        <v>0</v>
      </c>
      <c r="U533" s="33">
        <v>0</v>
      </c>
      <c r="V533" s="33">
        <f>SUMIFS(LS[BO UNIT TRANSFER],LS[Investor ID],INVESTORS_LIST[[#This Row],[INVESTOR CODE]],LS[B/S],"B")</f>
        <v>0</v>
      </c>
      <c r="W533" s="33">
        <f>SUMIFS(LS[BO UNIT TRANSFER],LS[Investor ID],INVESTORS_LIST[[#This Row],[INVESTOR CODE]],LS[B/S],"S")</f>
        <v>0</v>
      </c>
      <c r="X533" s="33">
        <f>SUMIFS(SIP[BO UNIT TRANSFER],SIP[Investor ID],INVESTORS_LIST[[#This Row],[INVESTOR CODE]],SIP[B/S],"S")</f>
        <v>0</v>
      </c>
      <c r="Y533" s="33">
        <f>SUMIFS(SIP[BO UNIT TRANSFER],SIP[Investor ID],INVESTORS_LIST[[#This Row],[INVESTOR CODE]],SIP[B/S],"B")</f>
        <v>0</v>
      </c>
      <c r="Z53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33" s="119">
        <f>INVESTORS_LIST[[#This Row],[TOTAL UNITS BUY]]-INVESTORS_LIST[[#This Row],[TOTAL UNITS SOLD]]</f>
        <v>0</v>
      </c>
      <c r="AB533" s="119">
        <f>INVESTORS_LIST[[#This Row],[TOTAL CURRENT UNITS]]-INVESTORS_LIST[[#This Row],[BO UNITS HOLD]]</f>
        <v>0</v>
      </c>
      <c r="AC533" s="119" t="e">
        <f>INDEX([4]!Table_1[BO ID],MATCH(INVESTORS_LIST[[#This Row],[INVESTOR CODE]],[4]!Table_1[INVESTOR CODE],0))</f>
        <v>#REF!</v>
      </c>
      <c r="AD533" s="33">
        <f>INVESTORS_LIST[[#This Row],[LS_TOTAL COST VALUE OF CURRENT UNITS]]+INVESTORS_LIST[[#This Row],[SIP_TOTAL COST VALUE OF CURRENT UNITS]]</f>
        <v>0</v>
      </c>
      <c r="AE533" s="44">
        <f>IF(INVESTORS_LIST[[#This Row],[TOTAL CURRENT UNITS]]=0,0,INVESTORS_LIST[[#This Row],[LS_TOTAL CURRENT UNITS]]/INVESTORS_LIST[[#This Row],[TOTAL CURRENT UNITS]])</f>
        <v>0</v>
      </c>
      <c r="AF533" s="44">
        <f>IF(INVESTORS_LIST[[#This Row],[TOTAL CURRENT UNITS]]=0,0,INVESTORS_LIST[[#This Row],[SIP_TOTAL CURRENT UNITS]]/INVESTORS_LIST[[#This Row],[TOTAL CURRENT UNITS]])</f>
        <v>0</v>
      </c>
      <c r="AG533" s="4" cm="1">
        <f t="array" ref="AG5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33" s="4" cm="1">
        <f t="array" ref="AH5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3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33" s="178">
        <f t="shared" si="13"/>
        <v>12.552</v>
      </c>
      <c r="AK533" s="118">
        <f>IF(INVESTORS_LIST[[#This Row],[TOTAL CURRENT UNITS]]=0,0,INVESTORS_LIST[[#This Row],[TOTAL CURRENT UNITS]]*INVESTORS_LIST[[#This Row],[NAV]])</f>
        <v>0</v>
      </c>
      <c r="AL533" s="4">
        <f>IF(INVESTORS_LIST[[#This Row],[LS_TOTAL CURRENT UNITS]]=0,0,INVESTORS_LIST[[#This Row],[LS_TOTAL CURRENT UNITS]]*INVESTORS_LIST[[#This Row],[NAV]])</f>
        <v>0</v>
      </c>
      <c r="AM533" s="6">
        <f>IF(INVESTORS_LIST[[#This Row],[SIP_TOTAL CURRENT UNITS]]=0,0,INVESTORS_LIST[[#This Row],[SIP_TOTAL CURRENT UNITS]]*INVESTORS_LIST[[#This Row],[NAV]])</f>
        <v>0</v>
      </c>
      <c r="AO533" s="6">
        <f>IF(INVESTORS_LIST[[#This Row],[TOTAL SELLABLE UNITS]]=0,0,INVESTORS_LIST[[#This Row],[TOTAL SELLABLE UNITS]]*INVESTORS_LIST[[#This Row],[NAV]])</f>
        <v>0</v>
      </c>
      <c r="AP533" s="6">
        <f>INVESTORS_LIST[[#This Row],[LS_TOTAL REALIZED GAIN]]+INVESTORS_LIST[[#This Row],[SIP_TOTAL REALIZED GAIN]]</f>
        <v>0</v>
      </c>
      <c r="AQ533" s="6">
        <f>INVESTORS_LIST[[#This Row],[TOTAL MARKET VALUE]]-INVESTORS_LIST[[#This Row],[TOTAL COST VALUE OF CURRENT INVESTMENT]]</f>
        <v>0</v>
      </c>
      <c r="AR533" s="6">
        <f>SUMIFS(DivAndTax[Tax Amount],DivAndTax[Investor ID],INVESTORS_LIST[[#This Row],[INVESTOR CODE]])</f>
        <v>0</v>
      </c>
      <c r="AS533" s="6">
        <f>SUMIFS(DivAndTax[Gross Dividend],DivAndTax[Investor ID],INVESTORS_LIST[[#This Row],[INVESTOR CODE]])</f>
        <v>0</v>
      </c>
      <c r="AT533" s="5">
        <f>IFERROR(INVESTORS_LIST[[#This Row],[TOTAL CURRENT UNITS]]/SUM(INVESTORS_LIST[TOTAL CURRENT UNITS]),0)</f>
        <v>0</v>
      </c>
    </row>
    <row r="534" spans="1:46" hidden="1">
      <c r="A534" t="s">
        <v>1257</v>
      </c>
      <c r="B534" t="s">
        <v>1258</v>
      </c>
      <c r="C534" t="s">
        <v>537</v>
      </c>
      <c r="D534" s="8" t="s">
        <v>5</v>
      </c>
      <c r="E534" s="2">
        <f>SUMIFS(LS[Unit],LS[Investor ID],INVESTORS_LIST[[#This Row],[INVESTOR CODE]],LS[B/S],"B")</f>
        <v>0</v>
      </c>
      <c r="F534" s="2">
        <f>-SUMIFS(LS[Unit],LS[Investor ID],INVESTORS_LIST[[#This Row],[INVESTOR CODE]],LS[B/S],"S")</f>
        <v>0</v>
      </c>
      <c r="G534" s="2">
        <f>IF(INVESTORS_LIST[[#This Row],[LS_TOTAL UNITS BUY]]=0,0,INVESTORS_LIST[[#This Row],[LS_TOTAL UNITS BUY]]-INVESTORS_LIST[[#This Row],[LS_TOTAL UNITS SOLD]])</f>
        <v>0</v>
      </c>
      <c r="H534" s="4">
        <f>IF(INVESTORS_LIST[[#This Row],[LS_TOTAL UNITS BUY]]=0,0,SUMIFS(LS[Amount],LS[Investor ID],INVESTORS_LIST[[#This Row],[INVESTOR CODE]],LS[B/S],"B"))</f>
        <v>0</v>
      </c>
      <c r="I534" s="6">
        <f>IF(INVESTORS_LIST[[#This Row],[LS_TOTAL UNITS SOLD]]=0,0,SUMIFS(LS[Cost of Units Sold],LS[Investor ID],INVESTORS_LIST[[#This Row],[INVESTOR CODE]],LS[B/S],"S"))</f>
        <v>0</v>
      </c>
      <c r="J534" s="6">
        <f>IF(INVESTORS_LIST[[#This Row],[LS_TOTAL CURRENT UNITS]]=0,0,INVESTORS_LIST[[#This Row],[LS_TOTAL CURRENT UNITS]]*INVESTORS_LIST[[#This Row],[LS_AVERAGE COST]])</f>
        <v>0</v>
      </c>
      <c r="K534" s="4">
        <f>IF(INVESTORS_LIST[[#This Row],[LS_TOTAL UNITS SOLD]]=0,0,SUMIFS(LS[Realized Gain],LS[Investor ID],INVESTORS_LIST[[#This Row],[INVESTOR CODE]],LS[B/S],"S"))</f>
        <v>0</v>
      </c>
      <c r="L534" s="2">
        <f>SUMIFS(SIP[Unit],SIP[Investor ID],INVESTORS_LIST[[#This Row],[INVESTOR CODE]],SIP[B/S],"B")</f>
        <v>0</v>
      </c>
      <c r="M534" s="2">
        <f>-SUMIFS(SIP[Unit],SIP[Investor ID],INVESTORS_LIST[[#This Row],[INVESTOR CODE]],SIP[B/S],"S")</f>
        <v>0</v>
      </c>
      <c r="N534" s="33">
        <f>IF(INVESTORS_LIST[[#This Row],[SIP_TOTAL UNITS BUY]]=0,0,INVESTORS_LIST[[#This Row],[SIP_TOTAL UNITS BUY]]-INVESTORS_LIST[[#This Row],[SIP_TOTAL UNITS SOLD]])</f>
        <v>0</v>
      </c>
      <c r="O534" s="4">
        <f>IF(INVESTORS_LIST[[#This Row],[SIP_TOTAL UNITS BUY]]=0,0,SUMIFS(SIP[Amount],SIP[Investor ID],INVESTORS_LIST[[#This Row],[INVESTOR CODE]],SIP[B/S],"B"))</f>
        <v>0</v>
      </c>
      <c r="P534" s="4">
        <f>IF(INVESTORS_LIST[[#This Row],[SIP_TOTAL UNITS SOLD]]=0,0,SUMIFS(SIP[Cost of Units Sold],SIP[Investor ID],INVESTORS_LIST[[#This Row],[INVESTOR CODE]],SIP[B/S],"S"))</f>
        <v>0</v>
      </c>
      <c r="Q534" s="6">
        <f>IF(INVESTORS_LIST[[#This Row],[SIP_TOTAL CURRENT UNITS]]=0,0,INVESTORS_LIST[[#This Row],[SIP_TOTAL CURRENT UNITS]]*INVESTORS_LIST[[#This Row],[SIP_AVERAGE COST]])</f>
        <v>0</v>
      </c>
      <c r="R534" s="6">
        <f>IF(INVESTORS_LIST[[#This Row],[SIP_TOTAL UNITS SOLD]]=0,0,SUMIFS(SIP[Realized Gain],SIP[Investor ID],INVESTORS_LIST[[#This Row],[INVESTOR CODE]],SIP[B/S],"S"))</f>
        <v>0</v>
      </c>
      <c r="S534" s="33">
        <f>INVESTORS_LIST[[#This Row],[LS_TOTAL UNITS BUY]]+INVESTORS_LIST[[#This Row],[SIP_TOTAL UNITS BUY]]</f>
        <v>0</v>
      </c>
      <c r="T534" s="33">
        <f>INVESTORS_LIST[[#This Row],[LS_TOTAL UNITS SOLD]]+INVESTORS_LIST[[#This Row],[SIP_TOTAL UNITS SOLD]]</f>
        <v>0</v>
      </c>
      <c r="U534" s="33">
        <v>0</v>
      </c>
      <c r="V534" s="33">
        <f>SUMIFS(LS[BO UNIT TRANSFER],LS[Investor ID],INVESTORS_LIST[[#This Row],[INVESTOR CODE]],LS[B/S],"B")</f>
        <v>0</v>
      </c>
      <c r="W534" s="33">
        <f>SUMIFS(LS[BO UNIT TRANSFER],LS[Investor ID],INVESTORS_LIST[[#This Row],[INVESTOR CODE]],LS[B/S],"S")</f>
        <v>0</v>
      </c>
      <c r="X534" s="33">
        <f>SUMIFS(SIP[BO UNIT TRANSFER],SIP[Investor ID],INVESTORS_LIST[[#This Row],[INVESTOR CODE]],SIP[B/S],"S")</f>
        <v>0</v>
      </c>
      <c r="Y534" s="33">
        <f>SUMIFS(SIP[BO UNIT TRANSFER],SIP[Investor ID],INVESTORS_LIST[[#This Row],[INVESTOR CODE]],SIP[B/S],"B")</f>
        <v>0</v>
      </c>
      <c r="Z53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34" s="119">
        <f>INVESTORS_LIST[[#This Row],[TOTAL UNITS BUY]]-INVESTORS_LIST[[#This Row],[TOTAL UNITS SOLD]]</f>
        <v>0</v>
      </c>
      <c r="AB534" s="119">
        <f>INVESTORS_LIST[[#This Row],[TOTAL CURRENT UNITS]]-INVESTORS_LIST[[#This Row],[BO UNITS HOLD]]</f>
        <v>0</v>
      </c>
      <c r="AC534" s="119" t="e">
        <f>INDEX([4]!Table_1[BO ID],MATCH(INVESTORS_LIST[[#This Row],[INVESTOR CODE]],[4]!Table_1[INVESTOR CODE],0))</f>
        <v>#REF!</v>
      </c>
      <c r="AD534" s="33">
        <f>INVESTORS_LIST[[#This Row],[LS_TOTAL COST VALUE OF CURRENT UNITS]]+INVESTORS_LIST[[#This Row],[SIP_TOTAL COST VALUE OF CURRENT UNITS]]</f>
        <v>0</v>
      </c>
      <c r="AE534" s="44">
        <f>IF(INVESTORS_LIST[[#This Row],[TOTAL CURRENT UNITS]]=0,0,INVESTORS_LIST[[#This Row],[LS_TOTAL CURRENT UNITS]]/INVESTORS_LIST[[#This Row],[TOTAL CURRENT UNITS]])</f>
        <v>0</v>
      </c>
      <c r="AF534" s="44">
        <f>IF(INVESTORS_LIST[[#This Row],[TOTAL CURRENT UNITS]]=0,0,INVESTORS_LIST[[#This Row],[SIP_TOTAL CURRENT UNITS]]/INVESTORS_LIST[[#This Row],[TOTAL CURRENT UNITS]])</f>
        <v>0</v>
      </c>
      <c r="AG534" s="4" cm="1">
        <f t="array" ref="AG53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34" s="4" cm="1">
        <f t="array" ref="AH5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3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34" s="178">
        <f t="shared" si="13"/>
        <v>12.552</v>
      </c>
      <c r="AK534" s="118">
        <f>IF(INVESTORS_LIST[[#This Row],[TOTAL CURRENT UNITS]]=0,0,INVESTORS_LIST[[#This Row],[TOTAL CURRENT UNITS]]*INVESTORS_LIST[[#This Row],[NAV]])</f>
        <v>0</v>
      </c>
      <c r="AL534" s="4">
        <f>IF(INVESTORS_LIST[[#This Row],[LS_TOTAL CURRENT UNITS]]=0,0,INVESTORS_LIST[[#This Row],[LS_TOTAL CURRENT UNITS]]*INVESTORS_LIST[[#This Row],[NAV]])</f>
        <v>0</v>
      </c>
      <c r="AM534" s="6">
        <f>IF(INVESTORS_LIST[[#This Row],[SIP_TOTAL CURRENT UNITS]]=0,0,INVESTORS_LIST[[#This Row],[SIP_TOTAL CURRENT UNITS]]*INVESTORS_LIST[[#This Row],[NAV]])</f>
        <v>0</v>
      </c>
      <c r="AO534" s="6">
        <f>IF(INVESTORS_LIST[[#This Row],[TOTAL SELLABLE UNITS]]=0,0,INVESTORS_LIST[[#This Row],[TOTAL SELLABLE UNITS]]*INVESTORS_LIST[[#This Row],[NAV]])</f>
        <v>0</v>
      </c>
      <c r="AP534" s="6">
        <f>INVESTORS_LIST[[#This Row],[LS_TOTAL REALIZED GAIN]]+INVESTORS_LIST[[#This Row],[SIP_TOTAL REALIZED GAIN]]</f>
        <v>0</v>
      </c>
      <c r="AQ534" s="6">
        <f>INVESTORS_LIST[[#This Row],[TOTAL MARKET VALUE]]-INVESTORS_LIST[[#This Row],[TOTAL COST VALUE OF CURRENT INVESTMENT]]</f>
        <v>0</v>
      </c>
      <c r="AR534" s="6">
        <f>SUMIFS(DivAndTax[Tax Amount],DivAndTax[Investor ID],INVESTORS_LIST[[#This Row],[INVESTOR CODE]])</f>
        <v>0</v>
      </c>
      <c r="AS534" s="6">
        <f>SUMIFS(DivAndTax[Gross Dividend],DivAndTax[Investor ID],INVESTORS_LIST[[#This Row],[INVESTOR CODE]])</f>
        <v>0</v>
      </c>
      <c r="AT534" s="5">
        <f>IFERROR(INVESTORS_LIST[[#This Row],[TOTAL CURRENT UNITS]]/SUM(INVESTORS_LIST[TOTAL CURRENT UNITS]),0)</f>
        <v>0</v>
      </c>
    </row>
    <row r="535" spans="1:46" hidden="1">
      <c r="A535" t="s">
        <v>1255</v>
      </c>
      <c r="B535" t="s">
        <v>1259</v>
      </c>
      <c r="C535" t="s">
        <v>536</v>
      </c>
      <c r="D535" s="8" t="s">
        <v>2</v>
      </c>
      <c r="E535" s="2">
        <f>SUMIFS(LS[Unit],LS[Investor ID],INVESTORS_LIST[[#This Row],[INVESTOR CODE]],LS[B/S],"B")</f>
        <v>0</v>
      </c>
      <c r="F535" s="2">
        <f>-SUMIFS(LS[Unit],LS[Investor ID],INVESTORS_LIST[[#This Row],[INVESTOR CODE]],LS[B/S],"S")</f>
        <v>0</v>
      </c>
      <c r="G535" s="2">
        <f>IF(INVESTORS_LIST[[#This Row],[LS_TOTAL UNITS BUY]]=0,0,INVESTORS_LIST[[#This Row],[LS_TOTAL UNITS BUY]]-INVESTORS_LIST[[#This Row],[LS_TOTAL UNITS SOLD]])</f>
        <v>0</v>
      </c>
      <c r="H535" s="4">
        <f>IF(INVESTORS_LIST[[#This Row],[LS_TOTAL UNITS BUY]]=0,0,SUMIFS(LS[Amount],LS[Investor ID],INVESTORS_LIST[[#This Row],[INVESTOR CODE]],LS[B/S],"B"))</f>
        <v>0</v>
      </c>
      <c r="I535" s="6">
        <f>IF(INVESTORS_LIST[[#This Row],[LS_TOTAL UNITS SOLD]]=0,0,SUMIFS(LS[Cost of Units Sold],LS[Investor ID],INVESTORS_LIST[[#This Row],[INVESTOR CODE]],LS[B/S],"S"))</f>
        <v>0</v>
      </c>
      <c r="J535" s="6">
        <f>IF(INVESTORS_LIST[[#This Row],[LS_TOTAL CURRENT UNITS]]=0,0,INVESTORS_LIST[[#This Row],[LS_TOTAL CURRENT UNITS]]*INVESTORS_LIST[[#This Row],[LS_AVERAGE COST]])</f>
        <v>0</v>
      </c>
      <c r="K535" s="4">
        <f>IF(INVESTORS_LIST[[#This Row],[LS_TOTAL UNITS SOLD]]=0,0,SUMIFS(LS[Realized Gain],LS[Investor ID],INVESTORS_LIST[[#This Row],[INVESTOR CODE]],LS[B/S],"S"))</f>
        <v>0</v>
      </c>
      <c r="L535" s="2">
        <f>SUMIFS(SIP[Unit],SIP[Investor ID],INVESTORS_LIST[[#This Row],[INVESTOR CODE]],SIP[B/S],"B")</f>
        <v>0</v>
      </c>
      <c r="M535" s="2">
        <f>-SUMIFS(SIP[Unit],SIP[Investor ID],INVESTORS_LIST[[#This Row],[INVESTOR CODE]],SIP[B/S],"S")</f>
        <v>0</v>
      </c>
      <c r="N535" s="33">
        <f>IF(INVESTORS_LIST[[#This Row],[SIP_TOTAL UNITS BUY]]=0,0,INVESTORS_LIST[[#This Row],[SIP_TOTAL UNITS BUY]]-INVESTORS_LIST[[#This Row],[SIP_TOTAL UNITS SOLD]])</f>
        <v>0</v>
      </c>
      <c r="O535" s="4">
        <f>IF(INVESTORS_LIST[[#This Row],[SIP_TOTAL UNITS BUY]]=0,0,SUMIFS(SIP[Amount],SIP[Investor ID],INVESTORS_LIST[[#This Row],[INVESTOR CODE]],SIP[B/S],"B"))</f>
        <v>0</v>
      </c>
      <c r="P535" s="4">
        <f>IF(INVESTORS_LIST[[#This Row],[SIP_TOTAL UNITS SOLD]]=0,0,SUMIFS(SIP[Cost of Units Sold],SIP[Investor ID],INVESTORS_LIST[[#This Row],[INVESTOR CODE]],SIP[B/S],"S"))</f>
        <v>0</v>
      </c>
      <c r="Q535" s="6">
        <f>IF(INVESTORS_LIST[[#This Row],[SIP_TOTAL CURRENT UNITS]]=0,0,INVESTORS_LIST[[#This Row],[SIP_TOTAL CURRENT UNITS]]*INVESTORS_LIST[[#This Row],[SIP_AVERAGE COST]])</f>
        <v>0</v>
      </c>
      <c r="R535" s="6">
        <f>IF(INVESTORS_LIST[[#This Row],[SIP_TOTAL UNITS SOLD]]=0,0,SUMIFS(SIP[Realized Gain],SIP[Investor ID],INVESTORS_LIST[[#This Row],[INVESTOR CODE]],SIP[B/S],"S"))</f>
        <v>0</v>
      </c>
      <c r="S535" s="33">
        <f>INVESTORS_LIST[[#This Row],[LS_TOTAL UNITS BUY]]+INVESTORS_LIST[[#This Row],[SIP_TOTAL UNITS BUY]]</f>
        <v>0</v>
      </c>
      <c r="T535" s="33">
        <f>INVESTORS_LIST[[#This Row],[LS_TOTAL UNITS SOLD]]+INVESTORS_LIST[[#This Row],[SIP_TOTAL UNITS SOLD]]</f>
        <v>0</v>
      </c>
      <c r="U535" s="33">
        <v>0</v>
      </c>
      <c r="V535" s="33">
        <f>SUMIFS(LS[BO UNIT TRANSFER],LS[Investor ID],INVESTORS_LIST[[#This Row],[INVESTOR CODE]],LS[B/S],"B")</f>
        <v>0</v>
      </c>
      <c r="W535" s="33">
        <f>SUMIFS(LS[BO UNIT TRANSFER],LS[Investor ID],INVESTORS_LIST[[#This Row],[INVESTOR CODE]],LS[B/S],"S")</f>
        <v>0</v>
      </c>
      <c r="X535" s="33">
        <f>SUMIFS(SIP[BO UNIT TRANSFER],SIP[Investor ID],INVESTORS_LIST[[#This Row],[INVESTOR CODE]],SIP[B/S],"S")</f>
        <v>0</v>
      </c>
      <c r="Y535" s="33">
        <f>SUMIFS(SIP[BO UNIT TRANSFER],SIP[Investor ID],INVESTORS_LIST[[#This Row],[INVESTOR CODE]],SIP[B/S],"B")</f>
        <v>0</v>
      </c>
      <c r="Z53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35" s="119">
        <f>INVESTORS_LIST[[#This Row],[TOTAL UNITS BUY]]-INVESTORS_LIST[[#This Row],[TOTAL UNITS SOLD]]</f>
        <v>0</v>
      </c>
      <c r="AB535" s="119">
        <f>INVESTORS_LIST[[#This Row],[TOTAL CURRENT UNITS]]-INVESTORS_LIST[[#This Row],[BO UNITS HOLD]]</f>
        <v>0</v>
      </c>
      <c r="AC535" s="119" t="e">
        <f>INDEX([4]!Table_1[BO ID],MATCH(INVESTORS_LIST[[#This Row],[INVESTOR CODE]],[4]!Table_1[INVESTOR CODE],0))</f>
        <v>#REF!</v>
      </c>
      <c r="AD535" s="33">
        <f>INVESTORS_LIST[[#This Row],[LS_TOTAL COST VALUE OF CURRENT UNITS]]+INVESTORS_LIST[[#This Row],[SIP_TOTAL COST VALUE OF CURRENT UNITS]]</f>
        <v>0</v>
      </c>
      <c r="AE535" s="44">
        <f>IF(INVESTORS_LIST[[#This Row],[TOTAL CURRENT UNITS]]=0,0,INVESTORS_LIST[[#This Row],[LS_TOTAL CURRENT UNITS]]/INVESTORS_LIST[[#This Row],[TOTAL CURRENT UNITS]])</f>
        <v>0</v>
      </c>
      <c r="AF535" s="44">
        <f>IF(INVESTORS_LIST[[#This Row],[TOTAL CURRENT UNITS]]=0,0,INVESTORS_LIST[[#This Row],[SIP_TOTAL CURRENT UNITS]]/INVESTORS_LIST[[#This Row],[TOTAL CURRENT UNITS]])</f>
        <v>0</v>
      </c>
      <c r="AG535" s="4" cm="1">
        <f t="array" ref="AG5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35" s="4" cm="1">
        <f t="array" ref="AH5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3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35" s="178">
        <f t="shared" si="13"/>
        <v>12.552</v>
      </c>
      <c r="AK535" s="118">
        <f>IF(INVESTORS_LIST[[#This Row],[TOTAL CURRENT UNITS]]=0,0,INVESTORS_LIST[[#This Row],[TOTAL CURRENT UNITS]]*INVESTORS_LIST[[#This Row],[NAV]])</f>
        <v>0</v>
      </c>
      <c r="AL535" s="4">
        <f>IF(INVESTORS_LIST[[#This Row],[LS_TOTAL CURRENT UNITS]]=0,0,INVESTORS_LIST[[#This Row],[LS_TOTAL CURRENT UNITS]]*INVESTORS_LIST[[#This Row],[NAV]])</f>
        <v>0</v>
      </c>
      <c r="AM535" s="6">
        <f>IF(INVESTORS_LIST[[#This Row],[SIP_TOTAL CURRENT UNITS]]=0,0,INVESTORS_LIST[[#This Row],[SIP_TOTAL CURRENT UNITS]]*INVESTORS_LIST[[#This Row],[NAV]])</f>
        <v>0</v>
      </c>
      <c r="AO535" s="6">
        <f>IF(INVESTORS_LIST[[#This Row],[TOTAL SELLABLE UNITS]]=0,0,INVESTORS_LIST[[#This Row],[TOTAL SELLABLE UNITS]]*INVESTORS_LIST[[#This Row],[NAV]])</f>
        <v>0</v>
      </c>
      <c r="AP535" s="6">
        <f>INVESTORS_LIST[[#This Row],[LS_TOTAL REALIZED GAIN]]+INVESTORS_LIST[[#This Row],[SIP_TOTAL REALIZED GAIN]]</f>
        <v>0</v>
      </c>
      <c r="AQ535" s="6">
        <f>INVESTORS_LIST[[#This Row],[TOTAL MARKET VALUE]]-INVESTORS_LIST[[#This Row],[TOTAL COST VALUE OF CURRENT INVESTMENT]]</f>
        <v>0</v>
      </c>
      <c r="AR535" s="6">
        <f>SUMIFS(DivAndTax[Tax Amount],DivAndTax[Investor ID],INVESTORS_LIST[[#This Row],[INVESTOR CODE]])</f>
        <v>0</v>
      </c>
      <c r="AS535" s="6">
        <f>SUMIFS(DivAndTax[Gross Dividend],DivAndTax[Investor ID],INVESTORS_LIST[[#This Row],[INVESTOR CODE]])</f>
        <v>0</v>
      </c>
      <c r="AT535" s="5">
        <f>IFERROR(INVESTORS_LIST[[#This Row],[TOTAL CURRENT UNITS]]/SUM(INVESTORS_LIST[TOTAL CURRENT UNITS]),0)</f>
        <v>0</v>
      </c>
    </row>
    <row r="536" spans="1:46" hidden="1">
      <c r="A536" t="s">
        <v>1260</v>
      </c>
      <c r="B536" t="s">
        <v>1261</v>
      </c>
      <c r="C536" t="s">
        <v>536</v>
      </c>
      <c r="D536" s="8" t="s">
        <v>2</v>
      </c>
      <c r="E536" s="2">
        <f>SUMIFS(LS[Unit],LS[Investor ID],INVESTORS_LIST[[#This Row],[INVESTOR CODE]],LS[B/S],"B")</f>
        <v>0</v>
      </c>
      <c r="F536" s="2">
        <f>-SUMIFS(LS[Unit],LS[Investor ID],INVESTORS_LIST[[#This Row],[INVESTOR CODE]],LS[B/S],"S")</f>
        <v>0</v>
      </c>
      <c r="G536" s="2">
        <f>IF(INVESTORS_LIST[[#This Row],[LS_TOTAL UNITS BUY]]=0,0,INVESTORS_LIST[[#This Row],[LS_TOTAL UNITS BUY]]-INVESTORS_LIST[[#This Row],[LS_TOTAL UNITS SOLD]])</f>
        <v>0</v>
      </c>
      <c r="H536" s="4">
        <f>IF(INVESTORS_LIST[[#This Row],[LS_TOTAL UNITS BUY]]=0,0,SUMIFS(LS[Amount],LS[Investor ID],INVESTORS_LIST[[#This Row],[INVESTOR CODE]],LS[B/S],"B"))</f>
        <v>0</v>
      </c>
      <c r="I536" s="6">
        <f>IF(INVESTORS_LIST[[#This Row],[LS_TOTAL UNITS SOLD]]=0,0,SUMIFS(LS[Cost of Units Sold],LS[Investor ID],INVESTORS_LIST[[#This Row],[INVESTOR CODE]],LS[B/S],"S"))</f>
        <v>0</v>
      </c>
      <c r="J536" s="6">
        <f>IF(INVESTORS_LIST[[#This Row],[LS_TOTAL CURRENT UNITS]]=0,0,INVESTORS_LIST[[#This Row],[LS_TOTAL CURRENT UNITS]]*INVESTORS_LIST[[#This Row],[LS_AVERAGE COST]])</f>
        <v>0</v>
      </c>
      <c r="K536" s="4">
        <f>IF(INVESTORS_LIST[[#This Row],[LS_TOTAL UNITS SOLD]]=0,0,SUMIFS(LS[Realized Gain],LS[Investor ID],INVESTORS_LIST[[#This Row],[INVESTOR CODE]],LS[B/S],"S"))</f>
        <v>0</v>
      </c>
      <c r="L536" s="2">
        <f>SUMIFS(SIP[Unit],SIP[Investor ID],INVESTORS_LIST[[#This Row],[INVESTOR CODE]],SIP[B/S],"B")</f>
        <v>0</v>
      </c>
      <c r="M536" s="2">
        <f>-SUMIFS(SIP[Unit],SIP[Investor ID],INVESTORS_LIST[[#This Row],[INVESTOR CODE]],SIP[B/S],"S")</f>
        <v>0</v>
      </c>
      <c r="N536" s="33">
        <f>IF(INVESTORS_LIST[[#This Row],[SIP_TOTAL UNITS BUY]]=0,0,INVESTORS_LIST[[#This Row],[SIP_TOTAL UNITS BUY]]-INVESTORS_LIST[[#This Row],[SIP_TOTAL UNITS SOLD]])</f>
        <v>0</v>
      </c>
      <c r="O536" s="4">
        <f>IF(INVESTORS_LIST[[#This Row],[SIP_TOTAL UNITS BUY]]=0,0,SUMIFS(SIP[Amount],SIP[Investor ID],INVESTORS_LIST[[#This Row],[INVESTOR CODE]],SIP[B/S],"B"))</f>
        <v>0</v>
      </c>
      <c r="P536" s="4">
        <f>IF(INVESTORS_LIST[[#This Row],[SIP_TOTAL UNITS SOLD]]=0,0,SUMIFS(SIP[Cost of Units Sold],SIP[Investor ID],INVESTORS_LIST[[#This Row],[INVESTOR CODE]],SIP[B/S],"S"))</f>
        <v>0</v>
      </c>
      <c r="Q536" s="6">
        <f>IF(INVESTORS_LIST[[#This Row],[SIP_TOTAL CURRENT UNITS]]=0,0,INVESTORS_LIST[[#This Row],[SIP_TOTAL CURRENT UNITS]]*INVESTORS_LIST[[#This Row],[SIP_AVERAGE COST]])</f>
        <v>0</v>
      </c>
      <c r="R536" s="6">
        <f>IF(INVESTORS_LIST[[#This Row],[SIP_TOTAL UNITS SOLD]]=0,0,SUMIFS(SIP[Realized Gain],SIP[Investor ID],INVESTORS_LIST[[#This Row],[INVESTOR CODE]],SIP[B/S],"S"))</f>
        <v>0</v>
      </c>
      <c r="S536" s="33">
        <f>INVESTORS_LIST[[#This Row],[LS_TOTAL UNITS BUY]]+INVESTORS_LIST[[#This Row],[SIP_TOTAL UNITS BUY]]</f>
        <v>0</v>
      </c>
      <c r="T536" s="33">
        <f>INVESTORS_LIST[[#This Row],[LS_TOTAL UNITS SOLD]]+INVESTORS_LIST[[#This Row],[SIP_TOTAL UNITS SOLD]]</f>
        <v>0</v>
      </c>
      <c r="U536" s="33">
        <v>0</v>
      </c>
      <c r="V536" s="33">
        <f>SUMIFS(LS[BO UNIT TRANSFER],LS[Investor ID],INVESTORS_LIST[[#This Row],[INVESTOR CODE]],LS[B/S],"B")</f>
        <v>0</v>
      </c>
      <c r="W536" s="33">
        <f>SUMIFS(LS[BO UNIT TRANSFER],LS[Investor ID],INVESTORS_LIST[[#This Row],[INVESTOR CODE]],LS[B/S],"S")</f>
        <v>0</v>
      </c>
      <c r="X536" s="33">
        <f>SUMIFS(SIP[BO UNIT TRANSFER],SIP[Investor ID],INVESTORS_LIST[[#This Row],[INVESTOR CODE]],SIP[B/S],"S")</f>
        <v>0</v>
      </c>
      <c r="Y536" s="33">
        <f>SUMIFS(SIP[BO UNIT TRANSFER],SIP[Investor ID],INVESTORS_LIST[[#This Row],[INVESTOR CODE]],SIP[B/S],"B")</f>
        <v>0</v>
      </c>
      <c r="Z53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36" s="119">
        <f>INVESTORS_LIST[[#This Row],[TOTAL UNITS BUY]]-INVESTORS_LIST[[#This Row],[TOTAL UNITS SOLD]]</f>
        <v>0</v>
      </c>
      <c r="AB536" s="119">
        <f>INVESTORS_LIST[[#This Row],[TOTAL CURRENT UNITS]]-INVESTORS_LIST[[#This Row],[BO UNITS HOLD]]</f>
        <v>0</v>
      </c>
      <c r="AC536" s="119" t="e">
        <f>INDEX([4]!Table_1[BO ID],MATCH(INVESTORS_LIST[[#This Row],[INVESTOR CODE]],[4]!Table_1[INVESTOR CODE],0))</f>
        <v>#REF!</v>
      </c>
      <c r="AD536" s="33">
        <f>INVESTORS_LIST[[#This Row],[LS_TOTAL COST VALUE OF CURRENT UNITS]]+INVESTORS_LIST[[#This Row],[SIP_TOTAL COST VALUE OF CURRENT UNITS]]</f>
        <v>0</v>
      </c>
      <c r="AE536" s="44">
        <f>IF(INVESTORS_LIST[[#This Row],[TOTAL CURRENT UNITS]]=0,0,INVESTORS_LIST[[#This Row],[LS_TOTAL CURRENT UNITS]]/INVESTORS_LIST[[#This Row],[TOTAL CURRENT UNITS]])</f>
        <v>0</v>
      </c>
      <c r="AF536" s="44">
        <f>IF(INVESTORS_LIST[[#This Row],[TOTAL CURRENT UNITS]]=0,0,INVESTORS_LIST[[#This Row],[SIP_TOTAL CURRENT UNITS]]/INVESTORS_LIST[[#This Row],[TOTAL CURRENT UNITS]])</f>
        <v>0</v>
      </c>
      <c r="AG536" s="4" cm="1">
        <f t="array" ref="AG53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36" s="4" cm="1">
        <f t="array" ref="AH5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3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36" s="178">
        <f t="shared" si="13"/>
        <v>12.552</v>
      </c>
      <c r="AK536" s="118">
        <f>IF(INVESTORS_LIST[[#This Row],[TOTAL CURRENT UNITS]]=0,0,INVESTORS_LIST[[#This Row],[TOTAL CURRENT UNITS]]*INVESTORS_LIST[[#This Row],[NAV]])</f>
        <v>0</v>
      </c>
      <c r="AL536" s="4">
        <f>IF(INVESTORS_LIST[[#This Row],[LS_TOTAL CURRENT UNITS]]=0,0,INVESTORS_LIST[[#This Row],[LS_TOTAL CURRENT UNITS]]*INVESTORS_LIST[[#This Row],[NAV]])</f>
        <v>0</v>
      </c>
      <c r="AM536" s="6">
        <f>IF(INVESTORS_LIST[[#This Row],[SIP_TOTAL CURRENT UNITS]]=0,0,INVESTORS_LIST[[#This Row],[SIP_TOTAL CURRENT UNITS]]*INVESTORS_LIST[[#This Row],[NAV]])</f>
        <v>0</v>
      </c>
      <c r="AO536" s="6">
        <f>IF(INVESTORS_LIST[[#This Row],[TOTAL SELLABLE UNITS]]=0,0,INVESTORS_LIST[[#This Row],[TOTAL SELLABLE UNITS]]*INVESTORS_LIST[[#This Row],[NAV]])</f>
        <v>0</v>
      </c>
      <c r="AP536" s="6">
        <f>INVESTORS_LIST[[#This Row],[LS_TOTAL REALIZED GAIN]]+INVESTORS_LIST[[#This Row],[SIP_TOTAL REALIZED GAIN]]</f>
        <v>0</v>
      </c>
      <c r="AQ536" s="6">
        <f>INVESTORS_LIST[[#This Row],[TOTAL MARKET VALUE]]-INVESTORS_LIST[[#This Row],[TOTAL COST VALUE OF CURRENT INVESTMENT]]</f>
        <v>0</v>
      </c>
      <c r="AR536" s="6">
        <f>SUMIFS(DivAndTax[Tax Amount],DivAndTax[Investor ID],INVESTORS_LIST[[#This Row],[INVESTOR CODE]])</f>
        <v>0</v>
      </c>
      <c r="AS536" s="6">
        <f>SUMIFS(DivAndTax[Gross Dividend],DivAndTax[Investor ID],INVESTORS_LIST[[#This Row],[INVESTOR CODE]])</f>
        <v>0</v>
      </c>
      <c r="AT536" s="5">
        <f>IFERROR(INVESTORS_LIST[[#This Row],[TOTAL CURRENT UNITS]]/SUM(INVESTORS_LIST[TOTAL CURRENT UNITS]),0)</f>
        <v>0</v>
      </c>
    </row>
    <row r="537" spans="1:46" hidden="1">
      <c r="A537" t="s">
        <v>1262</v>
      </c>
      <c r="B537" t="s">
        <v>1263</v>
      </c>
      <c r="C537" t="s">
        <v>539</v>
      </c>
      <c r="D537" s="8" t="s">
        <v>2</v>
      </c>
      <c r="E537" s="2">
        <f>SUMIFS(LS[Unit],LS[Investor ID],INVESTORS_LIST[[#This Row],[INVESTOR CODE]],LS[B/S],"B")</f>
        <v>0</v>
      </c>
      <c r="F537" s="2">
        <f>-SUMIFS(LS[Unit],LS[Investor ID],INVESTORS_LIST[[#This Row],[INVESTOR CODE]],LS[B/S],"S")</f>
        <v>0</v>
      </c>
      <c r="G537" s="2">
        <f>IF(INVESTORS_LIST[[#This Row],[LS_TOTAL UNITS BUY]]=0,0,INVESTORS_LIST[[#This Row],[LS_TOTAL UNITS BUY]]-INVESTORS_LIST[[#This Row],[LS_TOTAL UNITS SOLD]])</f>
        <v>0</v>
      </c>
      <c r="H537" s="4">
        <f>IF(INVESTORS_LIST[[#This Row],[LS_TOTAL UNITS BUY]]=0,0,SUMIFS(LS[Amount],LS[Investor ID],INVESTORS_LIST[[#This Row],[INVESTOR CODE]],LS[B/S],"B"))</f>
        <v>0</v>
      </c>
      <c r="I537" s="6">
        <f>IF(INVESTORS_LIST[[#This Row],[LS_TOTAL UNITS SOLD]]=0,0,SUMIFS(LS[Cost of Units Sold],LS[Investor ID],INVESTORS_LIST[[#This Row],[INVESTOR CODE]],LS[B/S],"S"))</f>
        <v>0</v>
      </c>
      <c r="J537" s="6">
        <f>IF(INVESTORS_LIST[[#This Row],[LS_TOTAL CURRENT UNITS]]=0,0,INVESTORS_LIST[[#This Row],[LS_TOTAL CURRENT UNITS]]*INVESTORS_LIST[[#This Row],[LS_AVERAGE COST]])</f>
        <v>0</v>
      </c>
      <c r="K537" s="4">
        <f>IF(INVESTORS_LIST[[#This Row],[LS_TOTAL UNITS SOLD]]=0,0,SUMIFS(LS[Realized Gain],LS[Investor ID],INVESTORS_LIST[[#This Row],[INVESTOR CODE]],LS[B/S],"S"))</f>
        <v>0</v>
      </c>
      <c r="L537" s="2">
        <f>SUMIFS(SIP[Unit],SIP[Investor ID],INVESTORS_LIST[[#This Row],[INVESTOR CODE]],SIP[B/S],"B")</f>
        <v>0</v>
      </c>
      <c r="M537" s="2">
        <f>-SUMIFS(SIP[Unit],SIP[Investor ID],INVESTORS_LIST[[#This Row],[INVESTOR CODE]],SIP[B/S],"S")</f>
        <v>0</v>
      </c>
      <c r="N537" s="33">
        <f>IF(INVESTORS_LIST[[#This Row],[SIP_TOTAL UNITS BUY]]=0,0,INVESTORS_LIST[[#This Row],[SIP_TOTAL UNITS BUY]]-INVESTORS_LIST[[#This Row],[SIP_TOTAL UNITS SOLD]])</f>
        <v>0</v>
      </c>
      <c r="O537" s="4">
        <f>IF(INVESTORS_LIST[[#This Row],[SIP_TOTAL UNITS BUY]]=0,0,SUMIFS(SIP[Amount],SIP[Investor ID],INVESTORS_LIST[[#This Row],[INVESTOR CODE]],SIP[B/S],"B"))</f>
        <v>0</v>
      </c>
      <c r="P537" s="4">
        <f>IF(INVESTORS_LIST[[#This Row],[SIP_TOTAL UNITS SOLD]]=0,0,SUMIFS(SIP[Cost of Units Sold],SIP[Investor ID],INVESTORS_LIST[[#This Row],[INVESTOR CODE]],SIP[B/S],"S"))</f>
        <v>0</v>
      </c>
      <c r="Q537" s="6">
        <f>IF(INVESTORS_LIST[[#This Row],[SIP_TOTAL CURRENT UNITS]]=0,0,INVESTORS_LIST[[#This Row],[SIP_TOTAL CURRENT UNITS]]*INVESTORS_LIST[[#This Row],[SIP_AVERAGE COST]])</f>
        <v>0</v>
      </c>
      <c r="R537" s="6">
        <f>IF(INVESTORS_LIST[[#This Row],[SIP_TOTAL UNITS SOLD]]=0,0,SUMIFS(SIP[Realized Gain],SIP[Investor ID],INVESTORS_LIST[[#This Row],[INVESTOR CODE]],SIP[B/S],"S"))</f>
        <v>0</v>
      </c>
      <c r="S537" s="33">
        <f>INVESTORS_LIST[[#This Row],[LS_TOTAL UNITS BUY]]+INVESTORS_LIST[[#This Row],[SIP_TOTAL UNITS BUY]]</f>
        <v>0</v>
      </c>
      <c r="T537" s="33">
        <f>INVESTORS_LIST[[#This Row],[LS_TOTAL UNITS SOLD]]+INVESTORS_LIST[[#This Row],[SIP_TOTAL UNITS SOLD]]</f>
        <v>0</v>
      </c>
      <c r="U537" s="33">
        <v>0</v>
      </c>
      <c r="V537" s="33">
        <f>SUMIFS(LS[BO UNIT TRANSFER],LS[Investor ID],INVESTORS_LIST[[#This Row],[INVESTOR CODE]],LS[B/S],"B")</f>
        <v>0</v>
      </c>
      <c r="W537" s="33">
        <f>SUMIFS(LS[BO UNIT TRANSFER],LS[Investor ID],INVESTORS_LIST[[#This Row],[INVESTOR CODE]],LS[B/S],"S")</f>
        <v>0</v>
      </c>
      <c r="X537" s="33">
        <f>SUMIFS(SIP[BO UNIT TRANSFER],SIP[Investor ID],INVESTORS_LIST[[#This Row],[INVESTOR CODE]],SIP[B/S],"S")</f>
        <v>0</v>
      </c>
      <c r="Y537" s="33">
        <f>SUMIFS(SIP[BO UNIT TRANSFER],SIP[Investor ID],INVESTORS_LIST[[#This Row],[INVESTOR CODE]],SIP[B/S],"B")</f>
        <v>0</v>
      </c>
      <c r="Z53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37" s="119">
        <f>INVESTORS_LIST[[#This Row],[TOTAL UNITS BUY]]-INVESTORS_LIST[[#This Row],[TOTAL UNITS SOLD]]</f>
        <v>0</v>
      </c>
      <c r="AB537" s="119">
        <f>INVESTORS_LIST[[#This Row],[TOTAL CURRENT UNITS]]-INVESTORS_LIST[[#This Row],[BO UNITS HOLD]]</f>
        <v>0</v>
      </c>
      <c r="AC537" s="119" t="e">
        <f>INDEX([4]!Table_1[BO ID],MATCH(INVESTORS_LIST[[#This Row],[INVESTOR CODE]],[4]!Table_1[INVESTOR CODE],0))</f>
        <v>#REF!</v>
      </c>
      <c r="AD537" s="33">
        <f>INVESTORS_LIST[[#This Row],[LS_TOTAL COST VALUE OF CURRENT UNITS]]+INVESTORS_LIST[[#This Row],[SIP_TOTAL COST VALUE OF CURRENT UNITS]]</f>
        <v>0</v>
      </c>
      <c r="AE537" s="44">
        <f>IF(INVESTORS_LIST[[#This Row],[TOTAL CURRENT UNITS]]=0,0,INVESTORS_LIST[[#This Row],[LS_TOTAL CURRENT UNITS]]/INVESTORS_LIST[[#This Row],[TOTAL CURRENT UNITS]])</f>
        <v>0</v>
      </c>
      <c r="AF537" s="44">
        <f>IF(INVESTORS_LIST[[#This Row],[TOTAL CURRENT UNITS]]=0,0,INVESTORS_LIST[[#This Row],[SIP_TOTAL CURRENT UNITS]]/INVESTORS_LIST[[#This Row],[TOTAL CURRENT UNITS]])</f>
        <v>0</v>
      </c>
      <c r="AG537" s="4" cm="1">
        <f t="array" ref="AG5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37" s="4" cm="1">
        <f t="array" ref="AH5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3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37" s="178">
        <f t="shared" si="13"/>
        <v>12.552</v>
      </c>
      <c r="AK537" s="118">
        <f>IF(INVESTORS_LIST[[#This Row],[TOTAL CURRENT UNITS]]=0,0,INVESTORS_LIST[[#This Row],[TOTAL CURRENT UNITS]]*INVESTORS_LIST[[#This Row],[NAV]])</f>
        <v>0</v>
      </c>
      <c r="AL537" s="4">
        <f>IF(INVESTORS_LIST[[#This Row],[LS_TOTAL CURRENT UNITS]]=0,0,INVESTORS_LIST[[#This Row],[LS_TOTAL CURRENT UNITS]]*INVESTORS_LIST[[#This Row],[NAV]])</f>
        <v>0</v>
      </c>
      <c r="AM537" s="6">
        <f>IF(INVESTORS_LIST[[#This Row],[SIP_TOTAL CURRENT UNITS]]=0,0,INVESTORS_LIST[[#This Row],[SIP_TOTAL CURRENT UNITS]]*INVESTORS_LIST[[#This Row],[NAV]])</f>
        <v>0</v>
      </c>
      <c r="AO537" s="6">
        <f>IF(INVESTORS_LIST[[#This Row],[TOTAL SELLABLE UNITS]]=0,0,INVESTORS_LIST[[#This Row],[TOTAL SELLABLE UNITS]]*INVESTORS_LIST[[#This Row],[NAV]])</f>
        <v>0</v>
      </c>
      <c r="AP537" s="6">
        <f>INVESTORS_LIST[[#This Row],[LS_TOTAL REALIZED GAIN]]+INVESTORS_LIST[[#This Row],[SIP_TOTAL REALIZED GAIN]]</f>
        <v>0</v>
      </c>
      <c r="AQ537" s="6">
        <f>INVESTORS_LIST[[#This Row],[TOTAL MARKET VALUE]]-INVESTORS_LIST[[#This Row],[TOTAL COST VALUE OF CURRENT INVESTMENT]]</f>
        <v>0</v>
      </c>
      <c r="AR537" s="6">
        <f>SUMIFS(DivAndTax[Tax Amount],DivAndTax[Investor ID],INVESTORS_LIST[[#This Row],[INVESTOR CODE]])</f>
        <v>0</v>
      </c>
      <c r="AS537" s="6">
        <f>SUMIFS(DivAndTax[Gross Dividend],DivAndTax[Investor ID],INVESTORS_LIST[[#This Row],[INVESTOR CODE]])</f>
        <v>0</v>
      </c>
      <c r="AT537" s="5">
        <f>IFERROR(INVESTORS_LIST[[#This Row],[TOTAL CURRENT UNITS]]/SUM(INVESTORS_LIST[TOTAL CURRENT UNITS]),0)</f>
        <v>0</v>
      </c>
    </row>
    <row r="538" spans="1:46" hidden="1">
      <c r="A538" t="s">
        <v>1264</v>
      </c>
      <c r="B538" t="s">
        <v>1265</v>
      </c>
      <c r="C538" t="s">
        <v>536</v>
      </c>
      <c r="D538" s="8" t="s">
        <v>2</v>
      </c>
      <c r="E538" s="2">
        <f>SUMIFS(LS[Unit],LS[Investor ID],INVESTORS_LIST[[#This Row],[INVESTOR CODE]],LS[B/S],"B")</f>
        <v>0</v>
      </c>
      <c r="F538" s="2">
        <f>-SUMIFS(LS[Unit],LS[Investor ID],INVESTORS_LIST[[#This Row],[INVESTOR CODE]],LS[B/S],"S")</f>
        <v>0</v>
      </c>
      <c r="G538" s="2">
        <f>IF(INVESTORS_LIST[[#This Row],[LS_TOTAL UNITS BUY]]=0,0,INVESTORS_LIST[[#This Row],[LS_TOTAL UNITS BUY]]-INVESTORS_LIST[[#This Row],[LS_TOTAL UNITS SOLD]])</f>
        <v>0</v>
      </c>
      <c r="H538" s="4">
        <f>IF(INVESTORS_LIST[[#This Row],[LS_TOTAL UNITS BUY]]=0,0,SUMIFS(LS[Amount],LS[Investor ID],INVESTORS_LIST[[#This Row],[INVESTOR CODE]],LS[B/S],"B"))</f>
        <v>0</v>
      </c>
      <c r="I538" s="6">
        <f>IF(INVESTORS_LIST[[#This Row],[LS_TOTAL UNITS SOLD]]=0,0,SUMIFS(LS[Cost of Units Sold],LS[Investor ID],INVESTORS_LIST[[#This Row],[INVESTOR CODE]],LS[B/S],"S"))</f>
        <v>0</v>
      </c>
      <c r="J538" s="6">
        <f>IF(INVESTORS_LIST[[#This Row],[LS_TOTAL CURRENT UNITS]]=0,0,INVESTORS_LIST[[#This Row],[LS_TOTAL CURRENT UNITS]]*INVESTORS_LIST[[#This Row],[LS_AVERAGE COST]])</f>
        <v>0</v>
      </c>
      <c r="K538" s="4">
        <f>IF(INVESTORS_LIST[[#This Row],[LS_TOTAL UNITS SOLD]]=0,0,SUMIFS(LS[Realized Gain],LS[Investor ID],INVESTORS_LIST[[#This Row],[INVESTOR CODE]],LS[B/S],"S"))</f>
        <v>0</v>
      </c>
      <c r="L538" s="2">
        <f>SUMIFS(SIP[Unit],SIP[Investor ID],INVESTORS_LIST[[#This Row],[INVESTOR CODE]],SIP[B/S],"B")</f>
        <v>0</v>
      </c>
      <c r="M538" s="2">
        <f>-SUMIFS(SIP[Unit],SIP[Investor ID],INVESTORS_LIST[[#This Row],[INVESTOR CODE]],SIP[B/S],"S")</f>
        <v>0</v>
      </c>
      <c r="N538" s="33">
        <f>IF(INVESTORS_LIST[[#This Row],[SIP_TOTAL UNITS BUY]]=0,0,INVESTORS_LIST[[#This Row],[SIP_TOTAL UNITS BUY]]-INVESTORS_LIST[[#This Row],[SIP_TOTAL UNITS SOLD]])</f>
        <v>0</v>
      </c>
      <c r="O538" s="4">
        <f>IF(INVESTORS_LIST[[#This Row],[SIP_TOTAL UNITS BUY]]=0,0,SUMIFS(SIP[Amount],SIP[Investor ID],INVESTORS_LIST[[#This Row],[INVESTOR CODE]],SIP[B/S],"B"))</f>
        <v>0</v>
      </c>
      <c r="P538" s="4">
        <f>IF(INVESTORS_LIST[[#This Row],[SIP_TOTAL UNITS SOLD]]=0,0,SUMIFS(SIP[Cost of Units Sold],SIP[Investor ID],INVESTORS_LIST[[#This Row],[INVESTOR CODE]],SIP[B/S],"S"))</f>
        <v>0</v>
      </c>
      <c r="Q538" s="6">
        <f>IF(INVESTORS_LIST[[#This Row],[SIP_TOTAL CURRENT UNITS]]=0,0,INVESTORS_LIST[[#This Row],[SIP_TOTAL CURRENT UNITS]]*INVESTORS_LIST[[#This Row],[SIP_AVERAGE COST]])</f>
        <v>0</v>
      </c>
      <c r="R538" s="6">
        <f>IF(INVESTORS_LIST[[#This Row],[SIP_TOTAL UNITS SOLD]]=0,0,SUMIFS(SIP[Realized Gain],SIP[Investor ID],INVESTORS_LIST[[#This Row],[INVESTOR CODE]],SIP[B/S],"S"))</f>
        <v>0</v>
      </c>
      <c r="S538" s="33">
        <f>INVESTORS_LIST[[#This Row],[LS_TOTAL UNITS BUY]]+INVESTORS_LIST[[#This Row],[SIP_TOTAL UNITS BUY]]</f>
        <v>0</v>
      </c>
      <c r="T538" s="33">
        <f>INVESTORS_LIST[[#This Row],[LS_TOTAL UNITS SOLD]]+INVESTORS_LIST[[#This Row],[SIP_TOTAL UNITS SOLD]]</f>
        <v>0</v>
      </c>
      <c r="U538" s="33">
        <v>0</v>
      </c>
      <c r="V538" s="33">
        <f>SUMIFS(LS[BO UNIT TRANSFER],LS[Investor ID],INVESTORS_LIST[[#This Row],[INVESTOR CODE]],LS[B/S],"B")</f>
        <v>0</v>
      </c>
      <c r="W538" s="33">
        <f>SUMIFS(LS[BO UNIT TRANSFER],LS[Investor ID],INVESTORS_LIST[[#This Row],[INVESTOR CODE]],LS[B/S],"S")</f>
        <v>0</v>
      </c>
      <c r="X538" s="33">
        <f>SUMIFS(SIP[BO UNIT TRANSFER],SIP[Investor ID],INVESTORS_LIST[[#This Row],[INVESTOR CODE]],SIP[B/S],"S")</f>
        <v>0</v>
      </c>
      <c r="Y538" s="33">
        <f>SUMIFS(SIP[BO UNIT TRANSFER],SIP[Investor ID],INVESTORS_LIST[[#This Row],[INVESTOR CODE]],SIP[B/S],"B")</f>
        <v>0</v>
      </c>
      <c r="Z53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38" s="119">
        <f>INVESTORS_LIST[[#This Row],[TOTAL UNITS BUY]]-INVESTORS_LIST[[#This Row],[TOTAL UNITS SOLD]]</f>
        <v>0</v>
      </c>
      <c r="AB538" s="119">
        <f>INVESTORS_LIST[[#This Row],[TOTAL CURRENT UNITS]]-INVESTORS_LIST[[#This Row],[BO UNITS HOLD]]</f>
        <v>0</v>
      </c>
      <c r="AC538" s="119" t="e">
        <f>INDEX([4]!Table_1[BO ID],MATCH(INVESTORS_LIST[[#This Row],[INVESTOR CODE]],[4]!Table_1[INVESTOR CODE],0))</f>
        <v>#REF!</v>
      </c>
      <c r="AD538" s="33">
        <f>INVESTORS_LIST[[#This Row],[LS_TOTAL COST VALUE OF CURRENT UNITS]]+INVESTORS_LIST[[#This Row],[SIP_TOTAL COST VALUE OF CURRENT UNITS]]</f>
        <v>0</v>
      </c>
      <c r="AE538" s="44">
        <f>IF(INVESTORS_LIST[[#This Row],[TOTAL CURRENT UNITS]]=0,0,INVESTORS_LIST[[#This Row],[LS_TOTAL CURRENT UNITS]]/INVESTORS_LIST[[#This Row],[TOTAL CURRENT UNITS]])</f>
        <v>0</v>
      </c>
      <c r="AF538" s="44">
        <f>IF(INVESTORS_LIST[[#This Row],[TOTAL CURRENT UNITS]]=0,0,INVESTORS_LIST[[#This Row],[SIP_TOTAL CURRENT UNITS]]/INVESTORS_LIST[[#This Row],[TOTAL CURRENT UNITS]])</f>
        <v>0</v>
      </c>
      <c r="AG538" s="4" cm="1">
        <f t="array" ref="AG53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38" s="4" cm="1">
        <f t="array" ref="AH5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3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38" s="178">
        <f t="shared" si="13"/>
        <v>12.552</v>
      </c>
      <c r="AK538" s="118">
        <f>IF(INVESTORS_LIST[[#This Row],[TOTAL CURRENT UNITS]]=0,0,INVESTORS_LIST[[#This Row],[TOTAL CURRENT UNITS]]*INVESTORS_LIST[[#This Row],[NAV]])</f>
        <v>0</v>
      </c>
      <c r="AL538" s="4">
        <f>IF(INVESTORS_LIST[[#This Row],[LS_TOTAL CURRENT UNITS]]=0,0,INVESTORS_LIST[[#This Row],[LS_TOTAL CURRENT UNITS]]*INVESTORS_LIST[[#This Row],[NAV]])</f>
        <v>0</v>
      </c>
      <c r="AM538" s="6">
        <f>IF(INVESTORS_LIST[[#This Row],[SIP_TOTAL CURRENT UNITS]]=0,0,INVESTORS_LIST[[#This Row],[SIP_TOTAL CURRENT UNITS]]*INVESTORS_LIST[[#This Row],[NAV]])</f>
        <v>0</v>
      </c>
      <c r="AO538" s="6">
        <f>IF(INVESTORS_LIST[[#This Row],[TOTAL SELLABLE UNITS]]=0,0,INVESTORS_LIST[[#This Row],[TOTAL SELLABLE UNITS]]*INVESTORS_LIST[[#This Row],[NAV]])</f>
        <v>0</v>
      </c>
      <c r="AP538" s="6">
        <f>INVESTORS_LIST[[#This Row],[LS_TOTAL REALIZED GAIN]]+INVESTORS_LIST[[#This Row],[SIP_TOTAL REALIZED GAIN]]</f>
        <v>0</v>
      </c>
      <c r="AQ538" s="6">
        <f>INVESTORS_LIST[[#This Row],[TOTAL MARKET VALUE]]-INVESTORS_LIST[[#This Row],[TOTAL COST VALUE OF CURRENT INVESTMENT]]</f>
        <v>0</v>
      </c>
      <c r="AR538" s="6">
        <f>SUMIFS(DivAndTax[Tax Amount],DivAndTax[Investor ID],INVESTORS_LIST[[#This Row],[INVESTOR CODE]])</f>
        <v>0</v>
      </c>
      <c r="AS538" s="6">
        <f>SUMIFS(DivAndTax[Gross Dividend],DivAndTax[Investor ID],INVESTORS_LIST[[#This Row],[INVESTOR CODE]])</f>
        <v>0</v>
      </c>
      <c r="AT538" s="5">
        <f>IFERROR(INVESTORS_LIST[[#This Row],[TOTAL CURRENT UNITS]]/SUM(INVESTORS_LIST[TOTAL CURRENT UNITS]),0)</f>
        <v>0</v>
      </c>
    </row>
    <row r="539" spans="1:46" hidden="1">
      <c r="A539" t="s">
        <v>1266</v>
      </c>
      <c r="B539" t="s">
        <v>1267</v>
      </c>
      <c r="C539" t="s">
        <v>536</v>
      </c>
      <c r="D539" s="8" t="s">
        <v>2</v>
      </c>
      <c r="E539" s="2">
        <f>SUMIFS(LS[Unit],LS[Investor ID],INVESTORS_LIST[[#This Row],[INVESTOR CODE]],LS[B/S],"B")</f>
        <v>0</v>
      </c>
      <c r="F539" s="2">
        <f>-SUMIFS(LS[Unit],LS[Investor ID],INVESTORS_LIST[[#This Row],[INVESTOR CODE]],LS[B/S],"S")</f>
        <v>0</v>
      </c>
      <c r="G539" s="2">
        <f>IF(INVESTORS_LIST[[#This Row],[LS_TOTAL UNITS BUY]]=0,0,INVESTORS_LIST[[#This Row],[LS_TOTAL UNITS BUY]]-INVESTORS_LIST[[#This Row],[LS_TOTAL UNITS SOLD]])</f>
        <v>0</v>
      </c>
      <c r="H539" s="4">
        <f>IF(INVESTORS_LIST[[#This Row],[LS_TOTAL UNITS BUY]]=0,0,SUMIFS(LS[Amount],LS[Investor ID],INVESTORS_LIST[[#This Row],[INVESTOR CODE]],LS[B/S],"B"))</f>
        <v>0</v>
      </c>
      <c r="I539" s="6">
        <f>IF(INVESTORS_LIST[[#This Row],[LS_TOTAL UNITS SOLD]]=0,0,SUMIFS(LS[Cost of Units Sold],LS[Investor ID],INVESTORS_LIST[[#This Row],[INVESTOR CODE]],LS[B/S],"S"))</f>
        <v>0</v>
      </c>
      <c r="J539" s="6">
        <f>IF(INVESTORS_LIST[[#This Row],[LS_TOTAL CURRENT UNITS]]=0,0,INVESTORS_LIST[[#This Row],[LS_TOTAL CURRENT UNITS]]*INVESTORS_LIST[[#This Row],[LS_AVERAGE COST]])</f>
        <v>0</v>
      </c>
      <c r="K539" s="4">
        <f>IF(INVESTORS_LIST[[#This Row],[LS_TOTAL UNITS SOLD]]=0,0,SUMIFS(LS[Realized Gain],LS[Investor ID],INVESTORS_LIST[[#This Row],[INVESTOR CODE]],LS[B/S],"S"))</f>
        <v>0</v>
      </c>
      <c r="L539" s="2">
        <f>SUMIFS(SIP[Unit],SIP[Investor ID],INVESTORS_LIST[[#This Row],[INVESTOR CODE]],SIP[B/S],"B")</f>
        <v>0</v>
      </c>
      <c r="M539" s="2">
        <f>-SUMIFS(SIP[Unit],SIP[Investor ID],INVESTORS_LIST[[#This Row],[INVESTOR CODE]],SIP[B/S],"S")</f>
        <v>0</v>
      </c>
      <c r="N539" s="33">
        <f>IF(INVESTORS_LIST[[#This Row],[SIP_TOTAL UNITS BUY]]=0,0,INVESTORS_LIST[[#This Row],[SIP_TOTAL UNITS BUY]]-INVESTORS_LIST[[#This Row],[SIP_TOTAL UNITS SOLD]])</f>
        <v>0</v>
      </c>
      <c r="O539" s="4">
        <f>IF(INVESTORS_LIST[[#This Row],[SIP_TOTAL UNITS BUY]]=0,0,SUMIFS(SIP[Amount],SIP[Investor ID],INVESTORS_LIST[[#This Row],[INVESTOR CODE]],SIP[B/S],"B"))</f>
        <v>0</v>
      </c>
      <c r="P539" s="4">
        <f>IF(INVESTORS_LIST[[#This Row],[SIP_TOTAL UNITS SOLD]]=0,0,SUMIFS(SIP[Cost of Units Sold],SIP[Investor ID],INVESTORS_LIST[[#This Row],[INVESTOR CODE]],SIP[B/S],"S"))</f>
        <v>0</v>
      </c>
      <c r="Q539" s="6">
        <f>IF(INVESTORS_LIST[[#This Row],[SIP_TOTAL CURRENT UNITS]]=0,0,INVESTORS_LIST[[#This Row],[SIP_TOTAL CURRENT UNITS]]*INVESTORS_LIST[[#This Row],[SIP_AVERAGE COST]])</f>
        <v>0</v>
      </c>
      <c r="R539" s="6">
        <f>IF(INVESTORS_LIST[[#This Row],[SIP_TOTAL UNITS SOLD]]=0,0,SUMIFS(SIP[Realized Gain],SIP[Investor ID],INVESTORS_LIST[[#This Row],[INVESTOR CODE]],SIP[B/S],"S"))</f>
        <v>0</v>
      </c>
      <c r="S539" s="33">
        <f>INVESTORS_LIST[[#This Row],[LS_TOTAL UNITS BUY]]+INVESTORS_LIST[[#This Row],[SIP_TOTAL UNITS BUY]]</f>
        <v>0</v>
      </c>
      <c r="T539" s="33">
        <f>INVESTORS_LIST[[#This Row],[LS_TOTAL UNITS SOLD]]+INVESTORS_LIST[[#This Row],[SIP_TOTAL UNITS SOLD]]</f>
        <v>0</v>
      </c>
      <c r="U539" s="33">
        <v>0</v>
      </c>
      <c r="V539" s="33">
        <f>SUMIFS(LS[BO UNIT TRANSFER],LS[Investor ID],INVESTORS_LIST[[#This Row],[INVESTOR CODE]],LS[B/S],"B")</f>
        <v>0</v>
      </c>
      <c r="W539" s="33">
        <f>SUMIFS(LS[BO UNIT TRANSFER],LS[Investor ID],INVESTORS_LIST[[#This Row],[INVESTOR CODE]],LS[B/S],"S")</f>
        <v>0</v>
      </c>
      <c r="X539" s="33">
        <f>SUMIFS(SIP[BO UNIT TRANSFER],SIP[Investor ID],INVESTORS_LIST[[#This Row],[INVESTOR CODE]],SIP[B/S],"S")</f>
        <v>0</v>
      </c>
      <c r="Y539" s="33">
        <f>SUMIFS(SIP[BO UNIT TRANSFER],SIP[Investor ID],INVESTORS_LIST[[#This Row],[INVESTOR CODE]],SIP[B/S],"B")</f>
        <v>0</v>
      </c>
      <c r="Z53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39" s="119">
        <f>INVESTORS_LIST[[#This Row],[TOTAL UNITS BUY]]-INVESTORS_LIST[[#This Row],[TOTAL UNITS SOLD]]</f>
        <v>0</v>
      </c>
      <c r="AB539" s="119">
        <f>INVESTORS_LIST[[#This Row],[TOTAL CURRENT UNITS]]-INVESTORS_LIST[[#This Row],[BO UNITS HOLD]]</f>
        <v>0</v>
      </c>
      <c r="AC539" s="119" t="e">
        <f>INDEX([4]!Table_1[BO ID],MATCH(INVESTORS_LIST[[#This Row],[INVESTOR CODE]],[4]!Table_1[INVESTOR CODE],0))</f>
        <v>#REF!</v>
      </c>
      <c r="AD539" s="33">
        <f>INVESTORS_LIST[[#This Row],[LS_TOTAL COST VALUE OF CURRENT UNITS]]+INVESTORS_LIST[[#This Row],[SIP_TOTAL COST VALUE OF CURRENT UNITS]]</f>
        <v>0</v>
      </c>
      <c r="AE539" s="44">
        <f>IF(INVESTORS_LIST[[#This Row],[TOTAL CURRENT UNITS]]=0,0,INVESTORS_LIST[[#This Row],[LS_TOTAL CURRENT UNITS]]/INVESTORS_LIST[[#This Row],[TOTAL CURRENT UNITS]])</f>
        <v>0</v>
      </c>
      <c r="AF539" s="44">
        <f>IF(INVESTORS_LIST[[#This Row],[TOTAL CURRENT UNITS]]=0,0,INVESTORS_LIST[[#This Row],[SIP_TOTAL CURRENT UNITS]]/INVESTORS_LIST[[#This Row],[TOTAL CURRENT UNITS]])</f>
        <v>0</v>
      </c>
      <c r="AG539" s="4" cm="1">
        <f t="array" ref="AG5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39" s="4" cm="1">
        <f t="array" ref="AH5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3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39" s="178">
        <f t="shared" si="13"/>
        <v>12.552</v>
      </c>
      <c r="AK539" s="118">
        <f>IF(INVESTORS_LIST[[#This Row],[TOTAL CURRENT UNITS]]=0,0,INVESTORS_LIST[[#This Row],[TOTAL CURRENT UNITS]]*INVESTORS_LIST[[#This Row],[NAV]])</f>
        <v>0</v>
      </c>
      <c r="AL539" s="4">
        <f>IF(INVESTORS_LIST[[#This Row],[LS_TOTAL CURRENT UNITS]]=0,0,INVESTORS_LIST[[#This Row],[LS_TOTAL CURRENT UNITS]]*INVESTORS_LIST[[#This Row],[NAV]])</f>
        <v>0</v>
      </c>
      <c r="AM539" s="6">
        <f>IF(INVESTORS_LIST[[#This Row],[SIP_TOTAL CURRENT UNITS]]=0,0,INVESTORS_LIST[[#This Row],[SIP_TOTAL CURRENT UNITS]]*INVESTORS_LIST[[#This Row],[NAV]])</f>
        <v>0</v>
      </c>
      <c r="AO539" s="6">
        <f>IF(INVESTORS_LIST[[#This Row],[TOTAL SELLABLE UNITS]]=0,0,INVESTORS_LIST[[#This Row],[TOTAL SELLABLE UNITS]]*INVESTORS_LIST[[#This Row],[NAV]])</f>
        <v>0</v>
      </c>
      <c r="AP539" s="6">
        <f>INVESTORS_LIST[[#This Row],[LS_TOTAL REALIZED GAIN]]+INVESTORS_LIST[[#This Row],[SIP_TOTAL REALIZED GAIN]]</f>
        <v>0</v>
      </c>
      <c r="AQ539" s="6">
        <f>INVESTORS_LIST[[#This Row],[TOTAL MARKET VALUE]]-INVESTORS_LIST[[#This Row],[TOTAL COST VALUE OF CURRENT INVESTMENT]]</f>
        <v>0</v>
      </c>
      <c r="AR539" s="6">
        <f>SUMIFS(DivAndTax[Tax Amount],DivAndTax[Investor ID],INVESTORS_LIST[[#This Row],[INVESTOR CODE]])</f>
        <v>0</v>
      </c>
      <c r="AS539" s="6">
        <f>SUMIFS(DivAndTax[Gross Dividend],DivAndTax[Investor ID],INVESTORS_LIST[[#This Row],[INVESTOR CODE]])</f>
        <v>0</v>
      </c>
      <c r="AT539" s="5">
        <f>IFERROR(INVESTORS_LIST[[#This Row],[TOTAL CURRENT UNITS]]/SUM(INVESTORS_LIST[TOTAL CURRENT UNITS]),0)</f>
        <v>0</v>
      </c>
    </row>
    <row r="540" spans="1:46" hidden="1">
      <c r="A540" t="s">
        <v>1268</v>
      </c>
      <c r="B540" t="s">
        <v>1269</v>
      </c>
      <c r="C540" t="s">
        <v>537</v>
      </c>
      <c r="D540" s="8" t="s">
        <v>5</v>
      </c>
      <c r="E540" s="2">
        <f>SUMIFS(LS[Unit],LS[Investor ID],INVESTORS_LIST[[#This Row],[INVESTOR CODE]],LS[B/S],"B")</f>
        <v>0</v>
      </c>
      <c r="F540" s="2">
        <f>-SUMIFS(LS[Unit],LS[Investor ID],INVESTORS_LIST[[#This Row],[INVESTOR CODE]],LS[B/S],"S")</f>
        <v>0</v>
      </c>
      <c r="G540" s="2">
        <f>IF(INVESTORS_LIST[[#This Row],[LS_TOTAL UNITS BUY]]=0,0,INVESTORS_LIST[[#This Row],[LS_TOTAL UNITS BUY]]-INVESTORS_LIST[[#This Row],[LS_TOTAL UNITS SOLD]])</f>
        <v>0</v>
      </c>
      <c r="H540" s="4">
        <f>IF(INVESTORS_LIST[[#This Row],[LS_TOTAL UNITS BUY]]=0,0,SUMIFS(LS[Amount],LS[Investor ID],INVESTORS_LIST[[#This Row],[INVESTOR CODE]],LS[B/S],"B"))</f>
        <v>0</v>
      </c>
      <c r="I540" s="6">
        <f>IF(INVESTORS_LIST[[#This Row],[LS_TOTAL UNITS SOLD]]=0,0,SUMIFS(LS[Cost of Units Sold],LS[Investor ID],INVESTORS_LIST[[#This Row],[INVESTOR CODE]],LS[B/S],"S"))</f>
        <v>0</v>
      </c>
      <c r="J540" s="6">
        <f>IF(INVESTORS_LIST[[#This Row],[LS_TOTAL CURRENT UNITS]]=0,0,INVESTORS_LIST[[#This Row],[LS_TOTAL CURRENT UNITS]]*INVESTORS_LIST[[#This Row],[LS_AVERAGE COST]])</f>
        <v>0</v>
      </c>
      <c r="K540" s="4">
        <f>IF(INVESTORS_LIST[[#This Row],[LS_TOTAL UNITS SOLD]]=0,0,SUMIFS(LS[Realized Gain],LS[Investor ID],INVESTORS_LIST[[#This Row],[INVESTOR CODE]],LS[B/S],"S"))</f>
        <v>0</v>
      </c>
      <c r="L540" s="2">
        <f>SUMIFS(SIP[Unit],SIP[Investor ID],INVESTORS_LIST[[#This Row],[INVESTOR CODE]],SIP[B/S],"B")</f>
        <v>0</v>
      </c>
      <c r="M540" s="2">
        <f>-SUMIFS(SIP[Unit],SIP[Investor ID],INVESTORS_LIST[[#This Row],[INVESTOR CODE]],SIP[B/S],"S")</f>
        <v>0</v>
      </c>
      <c r="N540" s="33">
        <f>IF(INVESTORS_LIST[[#This Row],[SIP_TOTAL UNITS BUY]]=0,0,INVESTORS_LIST[[#This Row],[SIP_TOTAL UNITS BUY]]-INVESTORS_LIST[[#This Row],[SIP_TOTAL UNITS SOLD]])</f>
        <v>0</v>
      </c>
      <c r="O540" s="4">
        <f>IF(INVESTORS_LIST[[#This Row],[SIP_TOTAL UNITS BUY]]=0,0,SUMIFS(SIP[Amount],SIP[Investor ID],INVESTORS_LIST[[#This Row],[INVESTOR CODE]],SIP[B/S],"B"))</f>
        <v>0</v>
      </c>
      <c r="P540" s="4">
        <f>IF(INVESTORS_LIST[[#This Row],[SIP_TOTAL UNITS SOLD]]=0,0,SUMIFS(SIP[Cost of Units Sold],SIP[Investor ID],INVESTORS_LIST[[#This Row],[INVESTOR CODE]],SIP[B/S],"S"))</f>
        <v>0</v>
      </c>
      <c r="Q540" s="6">
        <f>IF(INVESTORS_LIST[[#This Row],[SIP_TOTAL CURRENT UNITS]]=0,0,INVESTORS_LIST[[#This Row],[SIP_TOTAL CURRENT UNITS]]*INVESTORS_LIST[[#This Row],[SIP_AVERAGE COST]])</f>
        <v>0</v>
      </c>
      <c r="R540" s="6">
        <f>IF(INVESTORS_LIST[[#This Row],[SIP_TOTAL UNITS SOLD]]=0,0,SUMIFS(SIP[Realized Gain],SIP[Investor ID],INVESTORS_LIST[[#This Row],[INVESTOR CODE]],SIP[B/S],"S"))</f>
        <v>0</v>
      </c>
      <c r="S540" s="33">
        <f>INVESTORS_LIST[[#This Row],[LS_TOTAL UNITS BUY]]+INVESTORS_LIST[[#This Row],[SIP_TOTAL UNITS BUY]]</f>
        <v>0</v>
      </c>
      <c r="T540" s="33">
        <f>INVESTORS_LIST[[#This Row],[LS_TOTAL UNITS SOLD]]+INVESTORS_LIST[[#This Row],[SIP_TOTAL UNITS SOLD]]</f>
        <v>0</v>
      </c>
      <c r="U540" s="33">
        <v>0</v>
      </c>
      <c r="V540" s="33">
        <f>SUMIFS(LS[BO UNIT TRANSFER],LS[Investor ID],INVESTORS_LIST[[#This Row],[INVESTOR CODE]],LS[B/S],"B")</f>
        <v>0</v>
      </c>
      <c r="W540" s="33">
        <f>SUMIFS(LS[BO UNIT TRANSFER],LS[Investor ID],INVESTORS_LIST[[#This Row],[INVESTOR CODE]],LS[B/S],"S")</f>
        <v>0</v>
      </c>
      <c r="X540" s="33">
        <f>SUMIFS(SIP[BO UNIT TRANSFER],SIP[Investor ID],INVESTORS_LIST[[#This Row],[INVESTOR CODE]],SIP[B/S],"S")</f>
        <v>0</v>
      </c>
      <c r="Y540" s="33">
        <f>SUMIFS(SIP[BO UNIT TRANSFER],SIP[Investor ID],INVESTORS_LIST[[#This Row],[INVESTOR CODE]],SIP[B/S],"B")</f>
        <v>0</v>
      </c>
      <c r="Z54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40" s="119">
        <f>INVESTORS_LIST[[#This Row],[TOTAL UNITS BUY]]-INVESTORS_LIST[[#This Row],[TOTAL UNITS SOLD]]</f>
        <v>0</v>
      </c>
      <c r="AB540" s="119">
        <f>INVESTORS_LIST[[#This Row],[TOTAL CURRENT UNITS]]-INVESTORS_LIST[[#This Row],[BO UNITS HOLD]]</f>
        <v>0</v>
      </c>
      <c r="AC540" s="119" t="e">
        <f>INDEX([4]!Table_1[BO ID],MATCH(INVESTORS_LIST[[#This Row],[INVESTOR CODE]],[4]!Table_1[INVESTOR CODE],0))</f>
        <v>#REF!</v>
      </c>
      <c r="AD540" s="33">
        <f>INVESTORS_LIST[[#This Row],[LS_TOTAL COST VALUE OF CURRENT UNITS]]+INVESTORS_LIST[[#This Row],[SIP_TOTAL COST VALUE OF CURRENT UNITS]]</f>
        <v>0</v>
      </c>
      <c r="AE540" s="44">
        <f>IF(INVESTORS_LIST[[#This Row],[TOTAL CURRENT UNITS]]=0,0,INVESTORS_LIST[[#This Row],[LS_TOTAL CURRENT UNITS]]/INVESTORS_LIST[[#This Row],[TOTAL CURRENT UNITS]])</f>
        <v>0</v>
      </c>
      <c r="AF540" s="44">
        <f>IF(INVESTORS_LIST[[#This Row],[TOTAL CURRENT UNITS]]=0,0,INVESTORS_LIST[[#This Row],[SIP_TOTAL CURRENT UNITS]]/INVESTORS_LIST[[#This Row],[TOTAL CURRENT UNITS]])</f>
        <v>0</v>
      </c>
      <c r="AG540" s="4" cm="1">
        <f t="array" ref="AG5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40" s="4" cm="1">
        <f t="array" ref="AH5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4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40" s="178">
        <f t="shared" si="13"/>
        <v>12.552</v>
      </c>
      <c r="AK540" s="118">
        <f>IF(INVESTORS_LIST[[#This Row],[TOTAL CURRENT UNITS]]=0,0,INVESTORS_LIST[[#This Row],[TOTAL CURRENT UNITS]]*INVESTORS_LIST[[#This Row],[NAV]])</f>
        <v>0</v>
      </c>
      <c r="AL540" s="4">
        <f>IF(INVESTORS_LIST[[#This Row],[LS_TOTAL CURRENT UNITS]]=0,0,INVESTORS_LIST[[#This Row],[LS_TOTAL CURRENT UNITS]]*INVESTORS_LIST[[#This Row],[NAV]])</f>
        <v>0</v>
      </c>
      <c r="AM540" s="6">
        <f>IF(INVESTORS_LIST[[#This Row],[SIP_TOTAL CURRENT UNITS]]=0,0,INVESTORS_LIST[[#This Row],[SIP_TOTAL CURRENT UNITS]]*INVESTORS_LIST[[#This Row],[NAV]])</f>
        <v>0</v>
      </c>
      <c r="AO540" s="6">
        <f>IF(INVESTORS_LIST[[#This Row],[TOTAL SELLABLE UNITS]]=0,0,INVESTORS_LIST[[#This Row],[TOTAL SELLABLE UNITS]]*INVESTORS_LIST[[#This Row],[NAV]])</f>
        <v>0</v>
      </c>
      <c r="AP540" s="6">
        <f>INVESTORS_LIST[[#This Row],[LS_TOTAL REALIZED GAIN]]+INVESTORS_LIST[[#This Row],[SIP_TOTAL REALIZED GAIN]]</f>
        <v>0</v>
      </c>
      <c r="AQ540" s="6">
        <f>INVESTORS_LIST[[#This Row],[TOTAL MARKET VALUE]]-INVESTORS_LIST[[#This Row],[TOTAL COST VALUE OF CURRENT INVESTMENT]]</f>
        <v>0</v>
      </c>
      <c r="AR540" s="6">
        <f>SUMIFS(DivAndTax[Tax Amount],DivAndTax[Investor ID],INVESTORS_LIST[[#This Row],[INVESTOR CODE]])</f>
        <v>0</v>
      </c>
      <c r="AS540" s="6">
        <f>SUMIFS(DivAndTax[Gross Dividend],DivAndTax[Investor ID],INVESTORS_LIST[[#This Row],[INVESTOR CODE]])</f>
        <v>0</v>
      </c>
      <c r="AT540" s="5">
        <f>IFERROR(INVESTORS_LIST[[#This Row],[TOTAL CURRENT UNITS]]/SUM(INVESTORS_LIST[TOTAL CURRENT UNITS]),0)</f>
        <v>0</v>
      </c>
    </row>
    <row r="541" spans="1:46" hidden="1">
      <c r="A541" t="s">
        <v>1270</v>
      </c>
      <c r="B541" t="s">
        <v>1271</v>
      </c>
      <c r="C541" t="s">
        <v>536</v>
      </c>
      <c r="D541" s="8" t="s">
        <v>2</v>
      </c>
      <c r="E541" s="2">
        <f>SUMIFS(LS[Unit],LS[Investor ID],INVESTORS_LIST[[#This Row],[INVESTOR CODE]],LS[B/S],"B")</f>
        <v>0</v>
      </c>
      <c r="F541" s="2">
        <f>-SUMIFS(LS[Unit],LS[Investor ID],INVESTORS_LIST[[#This Row],[INVESTOR CODE]],LS[B/S],"S")</f>
        <v>0</v>
      </c>
      <c r="G541" s="2">
        <f>IF(INVESTORS_LIST[[#This Row],[LS_TOTAL UNITS BUY]]=0,0,INVESTORS_LIST[[#This Row],[LS_TOTAL UNITS BUY]]-INVESTORS_LIST[[#This Row],[LS_TOTAL UNITS SOLD]])</f>
        <v>0</v>
      </c>
      <c r="H541" s="4">
        <f>IF(INVESTORS_LIST[[#This Row],[LS_TOTAL UNITS BUY]]=0,0,SUMIFS(LS[Amount],LS[Investor ID],INVESTORS_LIST[[#This Row],[INVESTOR CODE]],LS[B/S],"B"))</f>
        <v>0</v>
      </c>
      <c r="I541" s="6">
        <f>IF(INVESTORS_LIST[[#This Row],[LS_TOTAL UNITS SOLD]]=0,0,SUMIFS(LS[Cost of Units Sold],LS[Investor ID],INVESTORS_LIST[[#This Row],[INVESTOR CODE]],LS[B/S],"S"))</f>
        <v>0</v>
      </c>
      <c r="J541" s="6">
        <f>IF(INVESTORS_LIST[[#This Row],[LS_TOTAL CURRENT UNITS]]=0,0,INVESTORS_LIST[[#This Row],[LS_TOTAL CURRENT UNITS]]*INVESTORS_LIST[[#This Row],[LS_AVERAGE COST]])</f>
        <v>0</v>
      </c>
      <c r="K541" s="4">
        <f>IF(INVESTORS_LIST[[#This Row],[LS_TOTAL UNITS SOLD]]=0,0,SUMIFS(LS[Realized Gain],LS[Investor ID],INVESTORS_LIST[[#This Row],[INVESTOR CODE]],LS[B/S],"S"))</f>
        <v>0</v>
      </c>
      <c r="L541" s="2">
        <f>SUMIFS(SIP[Unit],SIP[Investor ID],INVESTORS_LIST[[#This Row],[INVESTOR CODE]],SIP[B/S],"B")</f>
        <v>0</v>
      </c>
      <c r="M541" s="2">
        <f>-SUMIFS(SIP[Unit],SIP[Investor ID],INVESTORS_LIST[[#This Row],[INVESTOR CODE]],SIP[B/S],"S")</f>
        <v>0</v>
      </c>
      <c r="N541" s="33">
        <f>IF(INVESTORS_LIST[[#This Row],[SIP_TOTAL UNITS BUY]]=0,0,INVESTORS_LIST[[#This Row],[SIP_TOTAL UNITS BUY]]-INVESTORS_LIST[[#This Row],[SIP_TOTAL UNITS SOLD]])</f>
        <v>0</v>
      </c>
      <c r="O541" s="4">
        <f>IF(INVESTORS_LIST[[#This Row],[SIP_TOTAL UNITS BUY]]=0,0,SUMIFS(SIP[Amount],SIP[Investor ID],INVESTORS_LIST[[#This Row],[INVESTOR CODE]],SIP[B/S],"B"))</f>
        <v>0</v>
      </c>
      <c r="P541" s="4">
        <f>IF(INVESTORS_LIST[[#This Row],[SIP_TOTAL UNITS SOLD]]=0,0,SUMIFS(SIP[Cost of Units Sold],SIP[Investor ID],INVESTORS_LIST[[#This Row],[INVESTOR CODE]],SIP[B/S],"S"))</f>
        <v>0</v>
      </c>
      <c r="Q541" s="6">
        <f>IF(INVESTORS_LIST[[#This Row],[SIP_TOTAL CURRENT UNITS]]=0,0,INVESTORS_LIST[[#This Row],[SIP_TOTAL CURRENT UNITS]]*INVESTORS_LIST[[#This Row],[SIP_AVERAGE COST]])</f>
        <v>0</v>
      </c>
      <c r="R541" s="6">
        <f>IF(INVESTORS_LIST[[#This Row],[SIP_TOTAL UNITS SOLD]]=0,0,SUMIFS(SIP[Realized Gain],SIP[Investor ID],INVESTORS_LIST[[#This Row],[INVESTOR CODE]],SIP[B/S],"S"))</f>
        <v>0</v>
      </c>
      <c r="S541" s="33">
        <f>INVESTORS_LIST[[#This Row],[LS_TOTAL UNITS BUY]]+INVESTORS_LIST[[#This Row],[SIP_TOTAL UNITS BUY]]</f>
        <v>0</v>
      </c>
      <c r="T541" s="33">
        <f>INVESTORS_LIST[[#This Row],[LS_TOTAL UNITS SOLD]]+INVESTORS_LIST[[#This Row],[SIP_TOTAL UNITS SOLD]]</f>
        <v>0</v>
      </c>
      <c r="U541" s="33">
        <v>0</v>
      </c>
      <c r="V541" s="33">
        <f>SUMIFS(LS[BO UNIT TRANSFER],LS[Investor ID],INVESTORS_LIST[[#This Row],[INVESTOR CODE]],LS[B/S],"B")</f>
        <v>0</v>
      </c>
      <c r="W541" s="33">
        <f>SUMIFS(LS[BO UNIT TRANSFER],LS[Investor ID],INVESTORS_LIST[[#This Row],[INVESTOR CODE]],LS[B/S],"S")</f>
        <v>0</v>
      </c>
      <c r="X541" s="33">
        <f>SUMIFS(SIP[BO UNIT TRANSFER],SIP[Investor ID],INVESTORS_LIST[[#This Row],[INVESTOR CODE]],SIP[B/S],"S")</f>
        <v>0</v>
      </c>
      <c r="Y541" s="33">
        <f>SUMIFS(SIP[BO UNIT TRANSFER],SIP[Investor ID],INVESTORS_LIST[[#This Row],[INVESTOR CODE]],SIP[B/S],"B")</f>
        <v>0</v>
      </c>
      <c r="Z54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41" s="119">
        <f>INVESTORS_LIST[[#This Row],[TOTAL UNITS BUY]]-INVESTORS_LIST[[#This Row],[TOTAL UNITS SOLD]]</f>
        <v>0</v>
      </c>
      <c r="AB541" s="119">
        <f>INVESTORS_LIST[[#This Row],[TOTAL CURRENT UNITS]]-INVESTORS_LIST[[#This Row],[BO UNITS HOLD]]</f>
        <v>0</v>
      </c>
      <c r="AC541" s="119" t="e">
        <f>INDEX([4]!Table_1[BO ID],MATCH(INVESTORS_LIST[[#This Row],[INVESTOR CODE]],[4]!Table_1[INVESTOR CODE],0))</f>
        <v>#REF!</v>
      </c>
      <c r="AD541" s="33">
        <f>INVESTORS_LIST[[#This Row],[LS_TOTAL COST VALUE OF CURRENT UNITS]]+INVESTORS_LIST[[#This Row],[SIP_TOTAL COST VALUE OF CURRENT UNITS]]</f>
        <v>0</v>
      </c>
      <c r="AE541" s="44">
        <f>IF(INVESTORS_LIST[[#This Row],[TOTAL CURRENT UNITS]]=0,0,INVESTORS_LIST[[#This Row],[LS_TOTAL CURRENT UNITS]]/INVESTORS_LIST[[#This Row],[TOTAL CURRENT UNITS]])</f>
        <v>0</v>
      </c>
      <c r="AF541" s="44">
        <f>IF(INVESTORS_LIST[[#This Row],[TOTAL CURRENT UNITS]]=0,0,INVESTORS_LIST[[#This Row],[SIP_TOTAL CURRENT UNITS]]/INVESTORS_LIST[[#This Row],[TOTAL CURRENT UNITS]])</f>
        <v>0</v>
      </c>
      <c r="AG541" s="4" cm="1">
        <f t="array" ref="AG5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41" s="4" cm="1">
        <f t="array" ref="AH5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4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41" s="178">
        <f t="shared" si="13"/>
        <v>12.552</v>
      </c>
      <c r="AK541" s="118">
        <f>IF(INVESTORS_LIST[[#This Row],[TOTAL CURRENT UNITS]]=0,0,INVESTORS_LIST[[#This Row],[TOTAL CURRENT UNITS]]*INVESTORS_LIST[[#This Row],[NAV]])</f>
        <v>0</v>
      </c>
      <c r="AL541" s="4">
        <f>IF(INVESTORS_LIST[[#This Row],[LS_TOTAL CURRENT UNITS]]=0,0,INVESTORS_LIST[[#This Row],[LS_TOTAL CURRENT UNITS]]*INVESTORS_LIST[[#This Row],[NAV]])</f>
        <v>0</v>
      </c>
      <c r="AM541" s="6">
        <f>IF(INVESTORS_LIST[[#This Row],[SIP_TOTAL CURRENT UNITS]]=0,0,INVESTORS_LIST[[#This Row],[SIP_TOTAL CURRENT UNITS]]*INVESTORS_LIST[[#This Row],[NAV]])</f>
        <v>0</v>
      </c>
      <c r="AO541" s="6">
        <f>IF(INVESTORS_LIST[[#This Row],[TOTAL SELLABLE UNITS]]=0,0,INVESTORS_LIST[[#This Row],[TOTAL SELLABLE UNITS]]*INVESTORS_LIST[[#This Row],[NAV]])</f>
        <v>0</v>
      </c>
      <c r="AP541" s="6">
        <f>INVESTORS_LIST[[#This Row],[LS_TOTAL REALIZED GAIN]]+INVESTORS_LIST[[#This Row],[SIP_TOTAL REALIZED GAIN]]</f>
        <v>0</v>
      </c>
      <c r="AQ541" s="6">
        <f>INVESTORS_LIST[[#This Row],[TOTAL MARKET VALUE]]-INVESTORS_LIST[[#This Row],[TOTAL COST VALUE OF CURRENT INVESTMENT]]</f>
        <v>0</v>
      </c>
      <c r="AR541" s="6">
        <f>SUMIFS(DivAndTax[Tax Amount],DivAndTax[Investor ID],INVESTORS_LIST[[#This Row],[INVESTOR CODE]])</f>
        <v>0</v>
      </c>
      <c r="AS541" s="6">
        <f>SUMIFS(DivAndTax[Gross Dividend],DivAndTax[Investor ID],INVESTORS_LIST[[#This Row],[INVESTOR CODE]])</f>
        <v>0</v>
      </c>
      <c r="AT541" s="5">
        <f>IFERROR(INVESTORS_LIST[[#This Row],[TOTAL CURRENT UNITS]]/SUM(INVESTORS_LIST[TOTAL CURRENT UNITS]),0)</f>
        <v>0</v>
      </c>
    </row>
    <row r="542" spans="1:46" hidden="1">
      <c r="A542" t="s">
        <v>1272</v>
      </c>
      <c r="B542" t="s">
        <v>1273</v>
      </c>
      <c r="C542" t="s">
        <v>536</v>
      </c>
      <c r="D542" s="8" t="s">
        <v>2</v>
      </c>
      <c r="E542" s="2">
        <f>SUMIFS(LS[Unit],LS[Investor ID],INVESTORS_LIST[[#This Row],[INVESTOR CODE]],LS[B/S],"B")</f>
        <v>0</v>
      </c>
      <c r="F542" s="2">
        <f>-SUMIFS(LS[Unit],LS[Investor ID],INVESTORS_LIST[[#This Row],[INVESTOR CODE]],LS[B/S],"S")</f>
        <v>0</v>
      </c>
      <c r="G542" s="2">
        <f>IF(INVESTORS_LIST[[#This Row],[LS_TOTAL UNITS BUY]]=0,0,INVESTORS_LIST[[#This Row],[LS_TOTAL UNITS BUY]]-INVESTORS_LIST[[#This Row],[LS_TOTAL UNITS SOLD]])</f>
        <v>0</v>
      </c>
      <c r="H542" s="4">
        <f>IF(INVESTORS_LIST[[#This Row],[LS_TOTAL UNITS BUY]]=0,0,SUMIFS(LS[Amount],LS[Investor ID],INVESTORS_LIST[[#This Row],[INVESTOR CODE]],LS[B/S],"B"))</f>
        <v>0</v>
      </c>
      <c r="I542" s="6">
        <f>IF(INVESTORS_LIST[[#This Row],[LS_TOTAL UNITS SOLD]]=0,0,SUMIFS(LS[Cost of Units Sold],LS[Investor ID],INVESTORS_LIST[[#This Row],[INVESTOR CODE]],LS[B/S],"S"))</f>
        <v>0</v>
      </c>
      <c r="J542" s="6">
        <f>IF(INVESTORS_LIST[[#This Row],[LS_TOTAL CURRENT UNITS]]=0,0,INVESTORS_LIST[[#This Row],[LS_TOTAL CURRENT UNITS]]*INVESTORS_LIST[[#This Row],[LS_AVERAGE COST]])</f>
        <v>0</v>
      </c>
      <c r="K542" s="4">
        <f>IF(INVESTORS_LIST[[#This Row],[LS_TOTAL UNITS SOLD]]=0,0,SUMIFS(LS[Realized Gain],LS[Investor ID],INVESTORS_LIST[[#This Row],[INVESTOR CODE]],LS[B/S],"S"))</f>
        <v>0</v>
      </c>
      <c r="L542" s="2">
        <f>SUMIFS(SIP[Unit],SIP[Investor ID],INVESTORS_LIST[[#This Row],[INVESTOR CODE]],SIP[B/S],"B")</f>
        <v>0</v>
      </c>
      <c r="M542" s="2">
        <f>-SUMIFS(SIP[Unit],SIP[Investor ID],INVESTORS_LIST[[#This Row],[INVESTOR CODE]],SIP[B/S],"S")</f>
        <v>0</v>
      </c>
      <c r="N542" s="33">
        <f>IF(INVESTORS_LIST[[#This Row],[SIP_TOTAL UNITS BUY]]=0,0,INVESTORS_LIST[[#This Row],[SIP_TOTAL UNITS BUY]]-INVESTORS_LIST[[#This Row],[SIP_TOTAL UNITS SOLD]])</f>
        <v>0</v>
      </c>
      <c r="O542" s="4">
        <f>IF(INVESTORS_LIST[[#This Row],[SIP_TOTAL UNITS BUY]]=0,0,SUMIFS(SIP[Amount],SIP[Investor ID],INVESTORS_LIST[[#This Row],[INVESTOR CODE]],SIP[B/S],"B"))</f>
        <v>0</v>
      </c>
      <c r="P542" s="4">
        <f>IF(INVESTORS_LIST[[#This Row],[SIP_TOTAL UNITS SOLD]]=0,0,SUMIFS(SIP[Cost of Units Sold],SIP[Investor ID],INVESTORS_LIST[[#This Row],[INVESTOR CODE]],SIP[B/S],"S"))</f>
        <v>0</v>
      </c>
      <c r="Q542" s="6">
        <f>IF(INVESTORS_LIST[[#This Row],[SIP_TOTAL CURRENT UNITS]]=0,0,INVESTORS_LIST[[#This Row],[SIP_TOTAL CURRENT UNITS]]*INVESTORS_LIST[[#This Row],[SIP_AVERAGE COST]])</f>
        <v>0</v>
      </c>
      <c r="R542" s="6">
        <f>IF(INVESTORS_LIST[[#This Row],[SIP_TOTAL UNITS SOLD]]=0,0,SUMIFS(SIP[Realized Gain],SIP[Investor ID],INVESTORS_LIST[[#This Row],[INVESTOR CODE]],SIP[B/S],"S"))</f>
        <v>0</v>
      </c>
      <c r="S542" s="33">
        <f>INVESTORS_LIST[[#This Row],[LS_TOTAL UNITS BUY]]+INVESTORS_LIST[[#This Row],[SIP_TOTAL UNITS BUY]]</f>
        <v>0</v>
      </c>
      <c r="T542" s="33">
        <f>INVESTORS_LIST[[#This Row],[LS_TOTAL UNITS SOLD]]+INVESTORS_LIST[[#This Row],[SIP_TOTAL UNITS SOLD]]</f>
        <v>0</v>
      </c>
      <c r="U542" s="33">
        <v>0</v>
      </c>
      <c r="V542" s="33">
        <f>SUMIFS(LS[BO UNIT TRANSFER],LS[Investor ID],INVESTORS_LIST[[#This Row],[INVESTOR CODE]],LS[B/S],"B")</f>
        <v>0</v>
      </c>
      <c r="W542" s="33">
        <f>SUMIFS(LS[BO UNIT TRANSFER],LS[Investor ID],INVESTORS_LIST[[#This Row],[INVESTOR CODE]],LS[B/S],"S")</f>
        <v>0</v>
      </c>
      <c r="X542" s="33">
        <f>SUMIFS(SIP[BO UNIT TRANSFER],SIP[Investor ID],INVESTORS_LIST[[#This Row],[INVESTOR CODE]],SIP[B/S],"S")</f>
        <v>0</v>
      </c>
      <c r="Y542" s="33">
        <f>SUMIFS(SIP[BO UNIT TRANSFER],SIP[Investor ID],INVESTORS_LIST[[#This Row],[INVESTOR CODE]],SIP[B/S],"B")</f>
        <v>0</v>
      </c>
      <c r="Z54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42" s="119">
        <f>INVESTORS_LIST[[#This Row],[TOTAL UNITS BUY]]-INVESTORS_LIST[[#This Row],[TOTAL UNITS SOLD]]</f>
        <v>0</v>
      </c>
      <c r="AB542" s="119">
        <f>INVESTORS_LIST[[#This Row],[TOTAL CURRENT UNITS]]-INVESTORS_LIST[[#This Row],[BO UNITS HOLD]]</f>
        <v>0</v>
      </c>
      <c r="AC542" s="119" t="e">
        <f>INDEX([4]!Table_1[BO ID],MATCH(INVESTORS_LIST[[#This Row],[INVESTOR CODE]],[4]!Table_1[INVESTOR CODE],0))</f>
        <v>#REF!</v>
      </c>
      <c r="AD542" s="33">
        <f>INVESTORS_LIST[[#This Row],[LS_TOTAL COST VALUE OF CURRENT UNITS]]+INVESTORS_LIST[[#This Row],[SIP_TOTAL COST VALUE OF CURRENT UNITS]]</f>
        <v>0</v>
      </c>
      <c r="AE542" s="44">
        <f>IF(INVESTORS_LIST[[#This Row],[TOTAL CURRENT UNITS]]=0,0,INVESTORS_LIST[[#This Row],[LS_TOTAL CURRENT UNITS]]/INVESTORS_LIST[[#This Row],[TOTAL CURRENT UNITS]])</f>
        <v>0</v>
      </c>
      <c r="AF542" s="44">
        <f>IF(INVESTORS_LIST[[#This Row],[TOTAL CURRENT UNITS]]=0,0,INVESTORS_LIST[[#This Row],[SIP_TOTAL CURRENT UNITS]]/INVESTORS_LIST[[#This Row],[TOTAL CURRENT UNITS]])</f>
        <v>0</v>
      </c>
      <c r="AG542" s="4" cm="1">
        <f t="array" ref="AG54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42" s="4" cm="1">
        <f t="array" ref="AH54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4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42" s="178">
        <f t="shared" ref="AJ542:AJ573" si="14">NAV_MKT</f>
        <v>12.552</v>
      </c>
      <c r="AK542" s="118">
        <f>IF(INVESTORS_LIST[[#This Row],[TOTAL CURRENT UNITS]]=0,0,INVESTORS_LIST[[#This Row],[TOTAL CURRENT UNITS]]*INVESTORS_LIST[[#This Row],[NAV]])</f>
        <v>0</v>
      </c>
      <c r="AL542" s="4">
        <f>IF(INVESTORS_LIST[[#This Row],[LS_TOTAL CURRENT UNITS]]=0,0,INVESTORS_LIST[[#This Row],[LS_TOTAL CURRENT UNITS]]*INVESTORS_LIST[[#This Row],[NAV]])</f>
        <v>0</v>
      </c>
      <c r="AM542" s="6">
        <f>IF(INVESTORS_LIST[[#This Row],[SIP_TOTAL CURRENT UNITS]]=0,0,INVESTORS_LIST[[#This Row],[SIP_TOTAL CURRENT UNITS]]*INVESTORS_LIST[[#This Row],[NAV]])</f>
        <v>0</v>
      </c>
      <c r="AO542" s="6">
        <f>IF(INVESTORS_LIST[[#This Row],[TOTAL SELLABLE UNITS]]=0,0,INVESTORS_LIST[[#This Row],[TOTAL SELLABLE UNITS]]*INVESTORS_LIST[[#This Row],[NAV]])</f>
        <v>0</v>
      </c>
      <c r="AP542" s="6">
        <f>INVESTORS_LIST[[#This Row],[LS_TOTAL REALIZED GAIN]]+INVESTORS_LIST[[#This Row],[SIP_TOTAL REALIZED GAIN]]</f>
        <v>0</v>
      </c>
      <c r="AQ542" s="6">
        <f>INVESTORS_LIST[[#This Row],[TOTAL MARKET VALUE]]-INVESTORS_LIST[[#This Row],[TOTAL COST VALUE OF CURRENT INVESTMENT]]</f>
        <v>0</v>
      </c>
      <c r="AR542" s="6">
        <f>SUMIFS(DivAndTax[Tax Amount],DivAndTax[Investor ID],INVESTORS_LIST[[#This Row],[INVESTOR CODE]])</f>
        <v>0</v>
      </c>
      <c r="AS542" s="6">
        <f>SUMIFS(DivAndTax[Gross Dividend],DivAndTax[Investor ID],INVESTORS_LIST[[#This Row],[INVESTOR CODE]])</f>
        <v>0</v>
      </c>
      <c r="AT542" s="5">
        <f>IFERROR(INVESTORS_LIST[[#This Row],[TOTAL CURRENT UNITS]]/SUM(INVESTORS_LIST[TOTAL CURRENT UNITS]),0)</f>
        <v>0</v>
      </c>
    </row>
    <row r="543" spans="1:46" hidden="1">
      <c r="A543" t="s">
        <v>1274</v>
      </c>
      <c r="B543" t="s">
        <v>1275</v>
      </c>
      <c r="C543" t="s">
        <v>536</v>
      </c>
      <c r="D543" s="8" t="s">
        <v>2</v>
      </c>
      <c r="E543" s="2">
        <f>SUMIFS(LS[Unit],LS[Investor ID],INVESTORS_LIST[[#This Row],[INVESTOR CODE]],LS[B/S],"B")</f>
        <v>0</v>
      </c>
      <c r="F543" s="2">
        <f>-SUMIFS(LS[Unit],LS[Investor ID],INVESTORS_LIST[[#This Row],[INVESTOR CODE]],LS[B/S],"S")</f>
        <v>0</v>
      </c>
      <c r="G543" s="2">
        <f>IF(INVESTORS_LIST[[#This Row],[LS_TOTAL UNITS BUY]]=0,0,INVESTORS_LIST[[#This Row],[LS_TOTAL UNITS BUY]]-INVESTORS_LIST[[#This Row],[LS_TOTAL UNITS SOLD]])</f>
        <v>0</v>
      </c>
      <c r="H543" s="4">
        <f>IF(INVESTORS_LIST[[#This Row],[LS_TOTAL UNITS BUY]]=0,0,SUMIFS(LS[Amount],LS[Investor ID],INVESTORS_LIST[[#This Row],[INVESTOR CODE]],LS[B/S],"B"))</f>
        <v>0</v>
      </c>
      <c r="I543" s="6">
        <f>IF(INVESTORS_LIST[[#This Row],[LS_TOTAL UNITS SOLD]]=0,0,SUMIFS(LS[Cost of Units Sold],LS[Investor ID],INVESTORS_LIST[[#This Row],[INVESTOR CODE]],LS[B/S],"S"))</f>
        <v>0</v>
      </c>
      <c r="J543" s="6">
        <f>IF(INVESTORS_LIST[[#This Row],[LS_TOTAL CURRENT UNITS]]=0,0,INVESTORS_LIST[[#This Row],[LS_TOTAL CURRENT UNITS]]*INVESTORS_LIST[[#This Row],[LS_AVERAGE COST]])</f>
        <v>0</v>
      </c>
      <c r="K543" s="4">
        <f>IF(INVESTORS_LIST[[#This Row],[LS_TOTAL UNITS SOLD]]=0,0,SUMIFS(LS[Realized Gain],LS[Investor ID],INVESTORS_LIST[[#This Row],[INVESTOR CODE]],LS[B/S],"S"))</f>
        <v>0</v>
      </c>
      <c r="L543" s="2">
        <f>SUMIFS(SIP[Unit],SIP[Investor ID],INVESTORS_LIST[[#This Row],[INVESTOR CODE]],SIP[B/S],"B")</f>
        <v>0</v>
      </c>
      <c r="M543" s="2">
        <f>-SUMIFS(SIP[Unit],SIP[Investor ID],INVESTORS_LIST[[#This Row],[INVESTOR CODE]],SIP[B/S],"S")</f>
        <v>0</v>
      </c>
      <c r="N543" s="33">
        <f>IF(INVESTORS_LIST[[#This Row],[SIP_TOTAL UNITS BUY]]=0,0,INVESTORS_LIST[[#This Row],[SIP_TOTAL UNITS BUY]]-INVESTORS_LIST[[#This Row],[SIP_TOTAL UNITS SOLD]])</f>
        <v>0</v>
      </c>
      <c r="O543" s="4">
        <f>IF(INVESTORS_LIST[[#This Row],[SIP_TOTAL UNITS BUY]]=0,0,SUMIFS(SIP[Amount],SIP[Investor ID],INVESTORS_LIST[[#This Row],[INVESTOR CODE]],SIP[B/S],"B"))</f>
        <v>0</v>
      </c>
      <c r="P543" s="4">
        <f>IF(INVESTORS_LIST[[#This Row],[SIP_TOTAL UNITS SOLD]]=0,0,SUMIFS(SIP[Cost of Units Sold],SIP[Investor ID],INVESTORS_LIST[[#This Row],[INVESTOR CODE]],SIP[B/S],"S"))</f>
        <v>0</v>
      </c>
      <c r="Q543" s="6">
        <f>IF(INVESTORS_LIST[[#This Row],[SIP_TOTAL CURRENT UNITS]]=0,0,INVESTORS_LIST[[#This Row],[SIP_TOTAL CURRENT UNITS]]*INVESTORS_LIST[[#This Row],[SIP_AVERAGE COST]])</f>
        <v>0</v>
      </c>
      <c r="R543" s="6">
        <f>IF(INVESTORS_LIST[[#This Row],[SIP_TOTAL UNITS SOLD]]=0,0,SUMIFS(SIP[Realized Gain],SIP[Investor ID],INVESTORS_LIST[[#This Row],[INVESTOR CODE]],SIP[B/S],"S"))</f>
        <v>0</v>
      </c>
      <c r="S543" s="33">
        <f>INVESTORS_LIST[[#This Row],[LS_TOTAL UNITS BUY]]+INVESTORS_LIST[[#This Row],[SIP_TOTAL UNITS BUY]]</f>
        <v>0</v>
      </c>
      <c r="T543" s="33">
        <f>INVESTORS_LIST[[#This Row],[LS_TOTAL UNITS SOLD]]+INVESTORS_LIST[[#This Row],[SIP_TOTAL UNITS SOLD]]</f>
        <v>0</v>
      </c>
      <c r="U543" s="33">
        <v>0</v>
      </c>
      <c r="V543" s="33">
        <f>SUMIFS(LS[BO UNIT TRANSFER],LS[Investor ID],INVESTORS_LIST[[#This Row],[INVESTOR CODE]],LS[B/S],"B")</f>
        <v>0</v>
      </c>
      <c r="W543" s="33">
        <f>SUMIFS(LS[BO UNIT TRANSFER],LS[Investor ID],INVESTORS_LIST[[#This Row],[INVESTOR CODE]],LS[B/S],"S")</f>
        <v>0</v>
      </c>
      <c r="X543" s="33">
        <f>SUMIFS(SIP[BO UNIT TRANSFER],SIP[Investor ID],INVESTORS_LIST[[#This Row],[INVESTOR CODE]],SIP[B/S],"S")</f>
        <v>0</v>
      </c>
      <c r="Y543" s="33">
        <f>SUMIFS(SIP[BO UNIT TRANSFER],SIP[Investor ID],INVESTORS_LIST[[#This Row],[INVESTOR CODE]],SIP[B/S],"B")</f>
        <v>0</v>
      </c>
      <c r="Z54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43" s="119">
        <f>INVESTORS_LIST[[#This Row],[TOTAL UNITS BUY]]-INVESTORS_LIST[[#This Row],[TOTAL UNITS SOLD]]</f>
        <v>0</v>
      </c>
      <c r="AB543" s="119">
        <f>INVESTORS_LIST[[#This Row],[TOTAL CURRENT UNITS]]-INVESTORS_LIST[[#This Row],[BO UNITS HOLD]]</f>
        <v>0</v>
      </c>
      <c r="AC543" s="119" t="e">
        <f>INDEX([4]!Table_1[BO ID],MATCH(INVESTORS_LIST[[#This Row],[INVESTOR CODE]],[4]!Table_1[INVESTOR CODE],0))</f>
        <v>#REF!</v>
      </c>
      <c r="AD543" s="33">
        <f>INVESTORS_LIST[[#This Row],[LS_TOTAL COST VALUE OF CURRENT UNITS]]+INVESTORS_LIST[[#This Row],[SIP_TOTAL COST VALUE OF CURRENT UNITS]]</f>
        <v>0</v>
      </c>
      <c r="AE543" s="44">
        <f>IF(INVESTORS_LIST[[#This Row],[TOTAL CURRENT UNITS]]=0,0,INVESTORS_LIST[[#This Row],[LS_TOTAL CURRENT UNITS]]/INVESTORS_LIST[[#This Row],[TOTAL CURRENT UNITS]])</f>
        <v>0</v>
      </c>
      <c r="AF543" s="44">
        <f>IF(INVESTORS_LIST[[#This Row],[TOTAL CURRENT UNITS]]=0,0,INVESTORS_LIST[[#This Row],[SIP_TOTAL CURRENT UNITS]]/INVESTORS_LIST[[#This Row],[TOTAL CURRENT UNITS]])</f>
        <v>0</v>
      </c>
      <c r="AG543" s="4" cm="1">
        <f t="array" ref="AG54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43" s="4" cm="1">
        <f t="array" ref="AH5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4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43" s="178">
        <f t="shared" si="14"/>
        <v>12.552</v>
      </c>
      <c r="AK543" s="118">
        <f>IF(INVESTORS_LIST[[#This Row],[TOTAL CURRENT UNITS]]=0,0,INVESTORS_LIST[[#This Row],[TOTAL CURRENT UNITS]]*INVESTORS_LIST[[#This Row],[NAV]])</f>
        <v>0</v>
      </c>
      <c r="AL543" s="4">
        <f>IF(INVESTORS_LIST[[#This Row],[LS_TOTAL CURRENT UNITS]]=0,0,INVESTORS_LIST[[#This Row],[LS_TOTAL CURRENT UNITS]]*INVESTORS_LIST[[#This Row],[NAV]])</f>
        <v>0</v>
      </c>
      <c r="AM543" s="6">
        <f>IF(INVESTORS_LIST[[#This Row],[SIP_TOTAL CURRENT UNITS]]=0,0,INVESTORS_LIST[[#This Row],[SIP_TOTAL CURRENT UNITS]]*INVESTORS_LIST[[#This Row],[NAV]])</f>
        <v>0</v>
      </c>
      <c r="AO543" s="6">
        <f>IF(INVESTORS_LIST[[#This Row],[TOTAL SELLABLE UNITS]]=0,0,INVESTORS_LIST[[#This Row],[TOTAL SELLABLE UNITS]]*INVESTORS_LIST[[#This Row],[NAV]])</f>
        <v>0</v>
      </c>
      <c r="AP543" s="6">
        <f>INVESTORS_LIST[[#This Row],[LS_TOTAL REALIZED GAIN]]+INVESTORS_LIST[[#This Row],[SIP_TOTAL REALIZED GAIN]]</f>
        <v>0</v>
      </c>
      <c r="AQ543" s="6">
        <f>INVESTORS_LIST[[#This Row],[TOTAL MARKET VALUE]]-INVESTORS_LIST[[#This Row],[TOTAL COST VALUE OF CURRENT INVESTMENT]]</f>
        <v>0</v>
      </c>
      <c r="AR543" s="6">
        <f>SUMIFS(DivAndTax[Tax Amount],DivAndTax[Investor ID],INVESTORS_LIST[[#This Row],[INVESTOR CODE]])</f>
        <v>0</v>
      </c>
      <c r="AS543" s="6">
        <f>SUMIFS(DivAndTax[Gross Dividend],DivAndTax[Investor ID],INVESTORS_LIST[[#This Row],[INVESTOR CODE]])</f>
        <v>0</v>
      </c>
      <c r="AT543" s="5">
        <f>IFERROR(INVESTORS_LIST[[#This Row],[TOTAL CURRENT UNITS]]/SUM(INVESTORS_LIST[TOTAL CURRENT UNITS]),0)</f>
        <v>0</v>
      </c>
    </row>
    <row r="544" spans="1:46" hidden="1">
      <c r="A544" t="s">
        <v>1268</v>
      </c>
      <c r="B544" t="s">
        <v>1276</v>
      </c>
      <c r="C544" t="s">
        <v>537</v>
      </c>
      <c r="D544" s="8" t="s">
        <v>5</v>
      </c>
      <c r="E544" s="2">
        <f>SUMIFS(LS[Unit],LS[Investor ID],INVESTORS_LIST[[#This Row],[INVESTOR CODE]],LS[B/S],"B")</f>
        <v>0</v>
      </c>
      <c r="F544" s="2">
        <f>-SUMIFS(LS[Unit],LS[Investor ID],INVESTORS_LIST[[#This Row],[INVESTOR CODE]],LS[B/S],"S")</f>
        <v>0</v>
      </c>
      <c r="G544" s="2">
        <f>IF(INVESTORS_LIST[[#This Row],[LS_TOTAL UNITS BUY]]=0,0,INVESTORS_LIST[[#This Row],[LS_TOTAL UNITS BUY]]-INVESTORS_LIST[[#This Row],[LS_TOTAL UNITS SOLD]])</f>
        <v>0</v>
      </c>
      <c r="H544" s="4">
        <f>IF(INVESTORS_LIST[[#This Row],[LS_TOTAL UNITS BUY]]=0,0,SUMIFS(LS[Amount],LS[Investor ID],INVESTORS_LIST[[#This Row],[INVESTOR CODE]],LS[B/S],"B"))</f>
        <v>0</v>
      </c>
      <c r="I544" s="6">
        <f>IF(INVESTORS_LIST[[#This Row],[LS_TOTAL UNITS SOLD]]=0,0,SUMIFS(LS[Cost of Units Sold],LS[Investor ID],INVESTORS_LIST[[#This Row],[INVESTOR CODE]],LS[B/S],"S"))</f>
        <v>0</v>
      </c>
      <c r="J544" s="6">
        <f>IF(INVESTORS_LIST[[#This Row],[LS_TOTAL CURRENT UNITS]]=0,0,INVESTORS_LIST[[#This Row],[LS_TOTAL CURRENT UNITS]]*INVESTORS_LIST[[#This Row],[LS_AVERAGE COST]])</f>
        <v>0</v>
      </c>
      <c r="K544" s="4">
        <f>IF(INVESTORS_LIST[[#This Row],[LS_TOTAL UNITS SOLD]]=0,0,SUMIFS(LS[Realized Gain],LS[Investor ID],INVESTORS_LIST[[#This Row],[INVESTOR CODE]],LS[B/S],"S"))</f>
        <v>0</v>
      </c>
      <c r="L544" s="2">
        <f>SUMIFS(SIP[Unit],SIP[Investor ID],INVESTORS_LIST[[#This Row],[INVESTOR CODE]],SIP[B/S],"B")</f>
        <v>0</v>
      </c>
      <c r="M544" s="2">
        <f>-SUMIFS(SIP[Unit],SIP[Investor ID],INVESTORS_LIST[[#This Row],[INVESTOR CODE]],SIP[B/S],"S")</f>
        <v>0</v>
      </c>
      <c r="N544" s="33">
        <f>IF(INVESTORS_LIST[[#This Row],[SIP_TOTAL UNITS BUY]]=0,0,INVESTORS_LIST[[#This Row],[SIP_TOTAL UNITS BUY]]-INVESTORS_LIST[[#This Row],[SIP_TOTAL UNITS SOLD]])</f>
        <v>0</v>
      </c>
      <c r="O544" s="4">
        <f>IF(INVESTORS_LIST[[#This Row],[SIP_TOTAL UNITS BUY]]=0,0,SUMIFS(SIP[Amount],SIP[Investor ID],INVESTORS_LIST[[#This Row],[INVESTOR CODE]],SIP[B/S],"B"))</f>
        <v>0</v>
      </c>
      <c r="P544" s="4">
        <f>IF(INVESTORS_LIST[[#This Row],[SIP_TOTAL UNITS SOLD]]=0,0,SUMIFS(SIP[Cost of Units Sold],SIP[Investor ID],INVESTORS_LIST[[#This Row],[INVESTOR CODE]],SIP[B/S],"S"))</f>
        <v>0</v>
      </c>
      <c r="Q544" s="6">
        <f>IF(INVESTORS_LIST[[#This Row],[SIP_TOTAL CURRENT UNITS]]=0,0,INVESTORS_LIST[[#This Row],[SIP_TOTAL CURRENT UNITS]]*INVESTORS_LIST[[#This Row],[SIP_AVERAGE COST]])</f>
        <v>0</v>
      </c>
      <c r="R544" s="6">
        <f>IF(INVESTORS_LIST[[#This Row],[SIP_TOTAL UNITS SOLD]]=0,0,SUMIFS(SIP[Realized Gain],SIP[Investor ID],INVESTORS_LIST[[#This Row],[INVESTOR CODE]],SIP[B/S],"S"))</f>
        <v>0</v>
      </c>
      <c r="S544" s="33">
        <f>INVESTORS_LIST[[#This Row],[LS_TOTAL UNITS BUY]]+INVESTORS_LIST[[#This Row],[SIP_TOTAL UNITS BUY]]</f>
        <v>0</v>
      </c>
      <c r="T544" s="33">
        <f>INVESTORS_LIST[[#This Row],[LS_TOTAL UNITS SOLD]]+INVESTORS_LIST[[#This Row],[SIP_TOTAL UNITS SOLD]]</f>
        <v>0</v>
      </c>
      <c r="U544" s="33">
        <v>0</v>
      </c>
      <c r="V544" s="33">
        <f>SUMIFS(LS[BO UNIT TRANSFER],LS[Investor ID],INVESTORS_LIST[[#This Row],[INVESTOR CODE]],LS[B/S],"B")</f>
        <v>0</v>
      </c>
      <c r="W544" s="33">
        <f>SUMIFS(LS[BO UNIT TRANSFER],LS[Investor ID],INVESTORS_LIST[[#This Row],[INVESTOR CODE]],LS[B/S],"S")</f>
        <v>0</v>
      </c>
      <c r="X544" s="33">
        <f>SUMIFS(SIP[BO UNIT TRANSFER],SIP[Investor ID],INVESTORS_LIST[[#This Row],[INVESTOR CODE]],SIP[B/S],"S")</f>
        <v>0</v>
      </c>
      <c r="Y544" s="33">
        <f>SUMIFS(SIP[BO UNIT TRANSFER],SIP[Investor ID],INVESTORS_LIST[[#This Row],[INVESTOR CODE]],SIP[B/S],"B")</f>
        <v>0</v>
      </c>
      <c r="Z54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44" s="119">
        <f>INVESTORS_LIST[[#This Row],[TOTAL UNITS BUY]]-INVESTORS_LIST[[#This Row],[TOTAL UNITS SOLD]]</f>
        <v>0</v>
      </c>
      <c r="AB544" s="119">
        <f>INVESTORS_LIST[[#This Row],[TOTAL CURRENT UNITS]]-INVESTORS_LIST[[#This Row],[BO UNITS HOLD]]</f>
        <v>0</v>
      </c>
      <c r="AC544" s="119" t="e">
        <f>INDEX([4]!Table_1[BO ID],MATCH(INVESTORS_LIST[[#This Row],[INVESTOR CODE]],[4]!Table_1[INVESTOR CODE],0))</f>
        <v>#REF!</v>
      </c>
      <c r="AD544" s="33">
        <f>INVESTORS_LIST[[#This Row],[LS_TOTAL COST VALUE OF CURRENT UNITS]]+INVESTORS_LIST[[#This Row],[SIP_TOTAL COST VALUE OF CURRENT UNITS]]</f>
        <v>0</v>
      </c>
      <c r="AE544" s="44">
        <f>IF(INVESTORS_LIST[[#This Row],[TOTAL CURRENT UNITS]]=0,0,INVESTORS_LIST[[#This Row],[LS_TOTAL CURRENT UNITS]]/INVESTORS_LIST[[#This Row],[TOTAL CURRENT UNITS]])</f>
        <v>0</v>
      </c>
      <c r="AF544" s="44">
        <f>IF(INVESTORS_LIST[[#This Row],[TOTAL CURRENT UNITS]]=0,0,INVESTORS_LIST[[#This Row],[SIP_TOTAL CURRENT UNITS]]/INVESTORS_LIST[[#This Row],[TOTAL CURRENT UNITS]])</f>
        <v>0</v>
      </c>
      <c r="AG544" s="4" cm="1">
        <f t="array" ref="AG54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44" s="4" cm="1">
        <f t="array" ref="AH54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4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44" s="178">
        <f t="shared" si="14"/>
        <v>12.552</v>
      </c>
      <c r="AK544" s="118">
        <f>IF(INVESTORS_LIST[[#This Row],[TOTAL CURRENT UNITS]]=0,0,INVESTORS_LIST[[#This Row],[TOTAL CURRENT UNITS]]*INVESTORS_LIST[[#This Row],[NAV]])</f>
        <v>0</v>
      </c>
      <c r="AL544" s="4">
        <f>IF(INVESTORS_LIST[[#This Row],[LS_TOTAL CURRENT UNITS]]=0,0,INVESTORS_LIST[[#This Row],[LS_TOTAL CURRENT UNITS]]*INVESTORS_LIST[[#This Row],[NAV]])</f>
        <v>0</v>
      </c>
      <c r="AM544" s="6">
        <f>IF(INVESTORS_LIST[[#This Row],[SIP_TOTAL CURRENT UNITS]]=0,0,INVESTORS_LIST[[#This Row],[SIP_TOTAL CURRENT UNITS]]*INVESTORS_LIST[[#This Row],[NAV]])</f>
        <v>0</v>
      </c>
      <c r="AO544" s="6">
        <f>IF(INVESTORS_LIST[[#This Row],[TOTAL SELLABLE UNITS]]=0,0,INVESTORS_LIST[[#This Row],[TOTAL SELLABLE UNITS]]*INVESTORS_LIST[[#This Row],[NAV]])</f>
        <v>0</v>
      </c>
      <c r="AP544" s="6">
        <f>INVESTORS_LIST[[#This Row],[LS_TOTAL REALIZED GAIN]]+INVESTORS_LIST[[#This Row],[SIP_TOTAL REALIZED GAIN]]</f>
        <v>0</v>
      </c>
      <c r="AQ544" s="6">
        <f>INVESTORS_LIST[[#This Row],[TOTAL MARKET VALUE]]-INVESTORS_LIST[[#This Row],[TOTAL COST VALUE OF CURRENT INVESTMENT]]</f>
        <v>0</v>
      </c>
      <c r="AR544" s="6">
        <f>SUMIFS(DivAndTax[Tax Amount],DivAndTax[Investor ID],INVESTORS_LIST[[#This Row],[INVESTOR CODE]])</f>
        <v>0</v>
      </c>
      <c r="AS544" s="6">
        <f>SUMIFS(DivAndTax[Gross Dividend],DivAndTax[Investor ID],INVESTORS_LIST[[#This Row],[INVESTOR CODE]])</f>
        <v>0</v>
      </c>
      <c r="AT544" s="5">
        <f>IFERROR(INVESTORS_LIST[[#This Row],[TOTAL CURRENT UNITS]]/SUM(INVESTORS_LIST[TOTAL CURRENT UNITS]),0)</f>
        <v>0</v>
      </c>
    </row>
    <row r="545" spans="1:46" hidden="1">
      <c r="A545" t="s">
        <v>1277</v>
      </c>
      <c r="B545" t="s">
        <v>1278</v>
      </c>
      <c r="C545" t="s">
        <v>539</v>
      </c>
      <c r="D545" s="8" t="s">
        <v>2</v>
      </c>
      <c r="E545" s="2">
        <f>SUMIFS(LS[Unit],LS[Investor ID],INVESTORS_LIST[[#This Row],[INVESTOR CODE]],LS[B/S],"B")</f>
        <v>0</v>
      </c>
      <c r="F545" s="2">
        <f>-SUMIFS(LS[Unit],LS[Investor ID],INVESTORS_LIST[[#This Row],[INVESTOR CODE]],LS[B/S],"S")</f>
        <v>0</v>
      </c>
      <c r="G545" s="2">
        <f>IF(INVESTORS_LIST[[#This Row],[LS_TOTAL UNITS BUY]]=0,0,INVESTORS_LIST[[#This Row],[LS_TOTAL UNITS BUY]]-INVESTORS_LIST[[#This Row],[LS_TOTAL UNITS SOLD]])</f>
        <v>0</v>
      </c>
      <c r="H545" s="4">
        <f>IF(INVESTORS_LIST[[#This Row],[LS_TOTAL UNITS BUY]]=0,0,SUMIFS(LS[Amount],LS[Investor ID],INVESTORS_LIST[[#This Row],[INVESTOR CODE]],LS[B/S],"B"))</f>
        <v>0</v>
      </c>
      <c r="I545" s="6">
        <f>IF(INVESTORS_LIST[[#This Row],[LS_TOTAL UNITS SOLD]]=0,0,SUMIFS(LS[Cost of Units Sold],LS[Investor ID],INVESTORS_LIST[[#This Row],[INVESTOR CODE]],LS[B/S],"S"))</f>
        <v>0</v>
      </c>
      <c r="J545" s="6">
        <f>IF(INVESTORS_LIST[[#This Row],[LS_TOTAL CURRENT UNITS]]=0,0,INVESTORS_LIST[[#This Row],[LS_TOTAL CURRENT UNITS]]*INVESTORS_LIST[[#This Row],[LS_AVERAGE COST]])</f>
        <v>0</v>
      </c>
      <c r="K545" s="4">
        <f>IF(INVESTORS_LIST[[#This Row],[LS_TOTAL UNITS SOLD]]=0,0,SUMIFS(LS[Realized Gain],LS[Investor ID],INVESTORS_LIST[[#This Row],[INVESTOR CODE]],LS[B/S],"S"))</f>
        <v>0</v>
      </c>
      <c r="L545" s="2">
        <f>SUMIFS(SIP[Unit],SIP[Investor ID],INVESTORS_LIST[[#This Row],[INVESTOR CODE]],SIP[B/S],"B")</f>
        <v>0</v>
      </c>
      <c r="M545" s="2">
        <f>-SUMIFS(SIP[Unit],SIP[Investor ID],INVESTORS_LIST[[#This Row],[INVESTOR CODE]],SIP[B/S],"S")</f>
        <v>0</v>
      </c>
      <c r="N545" s="33">
        <f>IF(INVESTORS_LIST[[#This Row],[SIP_TOTAL UNITS BUY]]=0,0,INVESTORS_LIST[[#This Row],[SIP_TOTAL UNITS BUY]]-INVESTORS_LIST[[#This Row],[SIP_TOTAL UNITS SOLD]])</f>
        <v>0</v>
      </c>
      <c r="O545" s="4">
        <f>IF(INVESTORS_LIST[[#This Row],[SIP_TOTAL UNITS BUY]]=0,0,SUMIFS(SIP[Amount],SIP[Investor ID],INVESTORS_LIST[[#This Row],[INVESTOR CODE]],SIP[B/S],"B"))</f>
        <v>0</v>
      </c>
      <c r="P545" s="4">
        <f>IF(INVESTORS_LIST[[#This Row],[SIP_TOTAL UNITS SOLD]]=0,0,SUMIFS(SIP[Cost of Units Sold],SIP[Investor ID],INVESTORS_LIST[[#This Row],[INVESTOR CODE]],SIP[B/S],"S"))</f>
        <v>0</v>
      </c>
      <c r="Q545" s="6">
        <f>IF(INVESTORS_LIST[[#This Row],[SIP_TOTAL CURRENT UNITS]]=0,0,INVESTORS_LIST[[#This Row],[SIP_TOTAL CURRENT UNITS]]*INVESTORS_LIST[[#This Row],[SIP_AVERAGE COST]])</f>
        <v>0</v>
      </c>
      <c r="R545" s="6">
        <f>IF(INVESTORS_LIST[[#This Row],[SIP_TOTAL UNITS SOLD]]=0,0,SUMIFS(SIP[Realized Gain],SIP[Investor ID],INVESTORS_LIST[[#This Row],[INVESTOR CODE]],SIP[B/S],"S"))</f>
        <v>0</v>
      </c>
      <c r="S545" s="33">
        <f>INVESTORS_LIST[[#This Row],[LS_TOTAL UNITS BUY]]+INVESTORS_LIST[[#This Row],[SIP_TOTAL UNITS BUY]]</f>
        <v>0</v>
      </c>
      <c r="T545" s="33">
        <f>INVESTORS_LIST[[#This Row],[LS_TOTAL UNITS SOLD]]+INVESTORS_LIST[[#This Row],[SIP_TOTAL UNITS SOLD]]</f>
        <v>0</v>
      </c>
      <c r="U545" s="33">
        <v>0</v>
      </c>
      <c r="V545" s="33">
        <f>SUMIFS(LS[BO UNIT TRANSFER],LS[Investor ID],INVESTORS_LIST[[#This Row],[INVESTOR CODE]],LS[B/S],"B")</f>
        <v>0</v>
      </c>
      <c r="W545" s="33">
        <f>SUMIFS(LS[BO UNIT TRANSFER],LS[Investor ID],INVESTORS_LIST[[#This Row],[INVESTOR CODE]],LS[B/S],"S")</f>
        <v>0</v>
      </c>
      <c r="X545" s="33">
        <f>SUMIFS(SIP[BO UNIT TRANSFER],SIP[Investor ID],INVESTORS_LIST[[#This Row],[INVESTOR CODE]],SIP[B/S],"S")</f>
        <v>0</v>
      </c>
      <c r="Y545" s="33">
        <f>SUMIFS(SIP[BO UNIT TRANSFER],SIP[Investor ID],INVESTORS_LIST[[#This Row],[INVESTOR CODE]],SIP[B/S],"B")</f>
        <v>0</v>
      </c>
      <c r="Z54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45" s="119">
        <f>INVESTORS_LIST[[#This Row],[TOTAL UNITS BUY]]-INVESTORS_LIST[[#This Row],[TOTAL UNITS SOLD]]</f>
        <v>0</v>
      </c>
      <c r="AB545" s="119">
        <f>INVESTORS_LIST[[#This Row],[TOTAL CURRENT UNITS]]-INVESTORS_LIST[[#This Row],[BO UNITS HOLD]]</f>
        <v>0</v>
      </c>
      <c r="AC545" s="119" t="e">
        <f>INDEX([4]!Table_1[BO ID],MATCH(INVESTORS_LIST[[#This Row],[INVESTOR CODE]],[4]!Table_1[INVESTOR CODE],0))</f>
        <v>#REF!</v>
      </c>
      <c r="AD545" s="33">
        <f>INVESTORS_LIST[[#This Row],[LS_TOTAL COST VALUE OF CURRENT UNITS]]+INVESTORS_LIST[[#This Row],[SIP_TOTAL COST VALUE OF CURRENT UNITS]]</f>
        <v>0</v>
      </c>
      <c r="AE545" s="44">
        <f>IF(INVESTORS_LIST[[#This Row],[TOTAL CURRENT UNITS]]=0,0,INVESTORS_LIST[[#This Row],[LS_TOTAL CURRENT UNITS]]/INVESTORS_LIST[[#This Row],[TOTAL CURRENT UNITS]])</f>
        <v>0</v>
      </c>
      <c r="AF545" s="44">
        <f>IF(INVESTORS_LIST[[#This Row],[TOTAL CURRENT UNITS]]=0,0,INVESTORS_LIST[[#This Row],[SIP_TOTAL CURRENT UNITS]]/INVESTORS_LIST[[#This Row],[TOTAL CURRENT UNITS]])</f>
        <v>0</v>
      </c>
      <c r="AG545" s="4" cm="1">
        <f t="array" ref="AG54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45" s="4" cm="1">
        <f t="array" ref="AH5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4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45" s="178">
        <f t="shared" si="14"/>
        <v>12.552</v>
      </c>
      <c r="AK545" s="118">
        <f>IF(INVESTORS_LIST[[#This Row],[TOTAL CURRENT UNITS]]=0,0,INVESTORS_LIST[[#This Row],[TOTAL CURRENT UNITS]]*INVESTORS_LIST[[#This Row],[NAV]])</f>
        <v>0</v>
      </c>
      <c r="AL545" s="4">
        <f>IF(INVESTORS_LIST[[#This Row],[LS_TOTAL CURRENT UNITS]]=0,0,INVESTORS_LIST[[#This Row],[LS_TOTAL CURRENT UNITS]]*INVESTORS_LIST[[#This Row],[NAV]])</f>
        <v>0</v>
      </c>
      <c r="AM545" s="6">
        <f>IF(INVESTORS_LIST[[#This Row],[SIP_TOTAL CURRENT UNITS]]=0,0,INVESTORS_LIST[[#This Row],[SIP_TOTAL CURRENT UNITS]]*INVESTORS_LIST[[#This Row],[NAV]])</f>
        <v>0</v>
      </c>
      <c r="AO545" s="6">
        <f>IF(INVESTORS_LIST[[#This Row],[TOTAL SELLABLE UNITS]]=0,0,INVESTORS_LIST[[#This Row],[TOTAL SELLABLE UNITS]]*INVESTORS_LIST[[#This Row],[NAV]])</f>
        <v>0</v>
      </c>
      <c r="AP545" s="6">
        <f>INVESTORS_LIST[[#This Row],[LS_TOTAL REALIZED GAIN]]+INVESTORS_LIST[[#This Row],[SIP_TOTAL REALIZED GAIN]]</f>
        <v>0</v>
      </c>
      <c r="AQ545" s="6">
        <f>INVESTORS_LIST[[#This Row],[TOTAL MARKET VALUE]]-INVESTORS_LIST[[#This Row],[TOTAL COST VALUE OF CURRENT INVESTMENT]]</f>
        <v>0</v>
      </c>
      <c r="AR545" s="6">
        <f>SUMIFS(DivAndTax[Tax Amount],DivAndTax[Investor ID],INVESTORS_LIST[[#This Row],[INVESTOR CODE]])</f>
        <v>0</v>
      </c>
      <c r="AS545" s="6">
        <f>SUMIFS(DivAndTax[Gross Dividend],DivAndTax[Investor ID],INVESTORS_LIST[[#This Row],[INVESTOR CODE]])</f>
        <v>0</v>
      </c>
      <c r="AT545" s="5">
        <f>IFERROR(INVESTORS_LIST[[#This Row],[TOTAL CURRENT UNITS]]/SUM(INVESTORS_LIST[TOTAL CURRENT UNITS]),0)</f>
        <v>0</v>
      </c>
    </row>
    <row r="546" spans="1:46" hidden="1">
      <c r="A546" t="s">
        <v>1279</v>
      </c>
      <c r="B546" t="s">
        <v>1280</v>
      </c>
      <c r="C546" t="s">
        <v>539</v>
      </c>
      <c r="D546" s="8" t="s">
        <v>2</v>
      </c>
      <c r="E546" s="2">
        <f>SUMIFS(LS[Unit],LS[Investor ID],INVESTORS_LIST[[#This Row],[INVESTOR CODE]],LS[B/S],"B")</f>
        <v>0</v>
      </c>
      <c r="F546" s="2">
        <f>-SUMIFS(LS[Unit],LS[Investor ID],INVESTORS_LIST[[#This Row],[INVESTOR CODE]],LS[B/S],"S")</f>
        <v>0</v>
      </c>
      <c r="G546" s="2">
        <f>IF(INVESTORS_LIST[[#This Row],[LS_TOTAL UNITS BUY]]=0,0,INVESTORS_LIST[[#This Row],[LS_TOTAL UNITS BUY]]-INVESTORS_LIST[[#This Row],[LS_TOTAL UNITS SOLD]])</f>
        <v>0</v>
      </c>
      <c r="H546" s="4">
        <f>IF(INVESTORS_LIST[[#This Row],[LS_TOTAL UNITS BUY]]=0,0,SUMIFS(LS[Amount],LS[Investor ID],INVESTORS_LIST[[#This Row],[INVESTOR CODE]],LS[B/S],"B"))</f>
        <v>0</v>
      </c>
      <c r="I546" s="6">
        <f>IF(INVESTORS_LIST[[#This Row],[LS_TOTAL UNITS SOLD]]=0,0,SUMIFS(LS[Cost of Units Sold],LS[Investor ID],INVESTORS_LIST[[#This Row],[INVESTOR CODE]],LS[B/S],"S"))</f>
        <v>0</v>
      </c>
      <c r="J546" s="6">
        <f>IF(INVESTORS_LIST[[#This Row],[LS_TOTAL CURRENT UNITS]]=0,0,INVESTORS_LIST[[#This Row],[LS_TOTAL CURRENT UNITS]]*INVESTORS_LIST[[#This Row],[LS_AVERAGE COST]])</f>
        <v>0</v>
      </c>
      <c r="K546" s="4">
        <f>IF(INVESTORS_LIST[[#This Row],[LS_TOTAL UNITS SOLD]]=0,0,SUMIFS(LS[Realized Gain],LS[Investor ID],INVESTORS_LIST[[#This Row],[INVESTOR CODE]],LS[B/S],"S"))</f>
        <v>0</v>
      </c>
      <c r="L546" s="2">
        <f>SUMIFS(SIP[Unit],SIP[Investor ID],INVESTORS_LIST[[#This Row],[INVESTOR CODE]],SIP[B/S],"B")</f>
        <v>0</v>
      </c>
      <c r="M546" s="2">
        <f>-SUMIFS(SIP[Unit],SIP[Investor ID],INVESTORS_LIST[[#This Row],[INVESTOR CODE]],SIP[B/S],"S")</f>
        <v>0</v>
      </c>
      <c r="N546" s="33">
        <f>IF(INVESTORS_LIST[[#This Row],[SIP_TOTAL UNITS BUY]]=0,0,INVESTORS_LIST[[#This Row],[SIP_TOTAL UNITS BUY]]-INVESTORS_LIST[[#This Row],[SIP_TOTAL UNITS SOLD]])</f>
        <v>0</v>
      </c>
      <c r="O546" s="4">
        <f>IF(INVESTORS_LIST[[#This Row],[SIP_TOTAL UNITS BUY]]=0,0,SUMIFS(SIP[Amount],SIP[Investor ID],INVESTORS_LIST[[#This Row],[INVESTOR CODE]],SIP[B/S],"B"))</f>
        <v>0</v>
      </c>
      <c r="P546" s="4">
        <f>IF(INVESTORS_LIST[[#This Row],[SIP_TOTAL UNITS SOLD]]=0,0,SUMIFS(SIP[Cost of Units Sold],SIP[Investor ID],INVESTORS_LIST[[#This Row],[INVESTOR CODE]],SIP[B/S],"S"))</f>
        <v>0</v>
      </c>
      <c r="Q546" s="6">
        <f>IF(INVESTORS_LIST[[#This Row],[SIP_TOTAL CURRENT UNITS]]=0,0,INVESTORS_LIST[[#This Row],[SIP_TOTAL CURRENT UNITS]]*INVESTORS_LIST[[#This Row],[SIP_AVERAGE COST]])</f>
        <v>0</v>
      </c>
      <c r="R546" s="6">
        <f>IF(INVESTORS_LIST[[#This Row],[SIP_TOTAL UNITS SOLD]]=0,0,SUMIFS(SIP[Realized Gain],SIP[Investor ID],INVESTORS_LIST[[#This Row],[INVESTOR CODE]],SIP[B/S],"S"))</f>
        <v>0</v>
      </c>
      <c r="S546" s="33">
        <f>INVESTORS_LIST[[#This Row],[LS_TOTAL UNITS BUY]]+INVESTORS_LIST[[#This Row],[SIP_TOTAL UNITS BUY]]</f>
        <v>0</v>
      </c>
      <c r="T546" s="33">
        <f>INVESTORS_LIST[[#This Row],[LS_TOTAL UNITS SOLD]]+INVESTORS_LIST[[#This Row],[SIP_TOTAL UNITS SOLD]]</f>
        <v>0</v>
      </c>
      <c r="U546" s="33">
        <v>0</v>
      </c>
      <c r="V546" s="33">
        <f>SUMIFS(LS[BO UNIT TRANSFER],LS[Investor ID],INVESTORS_LIST[[#This Row],[INVESTOR CODE]],LS[B/S],"B")</f>
        <v>0</v>
      </c>
      <c r="W546" s="33">
        <f>SUMIFS(LS[BO UNIT TRANSFER],LS[Investor ID],INVESTORS_LIST[[#This Row],[INVESTOR CODE]],LS[B/S],"S")</f>
        <v>0</v>
      </c>
      <c r="X546" s="33">
        <f>SUMIFS(SIP[BO UNIT TRANSFER],SIP[Investor ID],INVESTORS_LIST[[#This Row],[INVESTOR CODE]],SIP[B/S],"S")</f>
        <v>0</v>
      </c>
      <c r="Y546" s="33">
        <f>SUMIFS(SIP[BO UNIT TRANSFER],SIP[Investor ID],INVESTORS_LIST[[#This Row],[INVESTOR CODE]],SIP[B/S],"B")</f>
        <v>0</v>
      </c>
      <c r="Z54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46" s="119">
        <f>INVESTORS_LIST[[#This Row],[TOTAL UNITS BUY]]-INVESTORS_LIST[[#This Row],[TOTAL UNITS SOLD]]</f>
        <v>0</v>
      </c>
      <c r="AB546" s="119">
        <f>INVESTORS_LIST[[#This Row],[TOTAL CURRENT UNITS]]-INVESTORS_LIST[[#This Row],[BO UNITS HOLD]]</f>
        <v>0</v>
      </c>
      <c r="AC546" s="119" t="e">
        <f>INDEX([4]!Table_1[BO ID],MATCH(INVESTORS_LIST[[#This Row],[INVESTOR CODE]],[4]!Table_1[INVESTOR CODE],0))</f>
        <v>#REF!</v>
      </c>
      <c r="AD546" s="33">
        <f>INVESTORS_LIST[[#This Row],[LS_TOTAL COST VALUE OF CURRENT UNITS]]+INVESTORS_LIST[[#This Row],[SIP_TOTAL COST VALUE OF CURRENT UNITS]]</f>
        <v>0</v>
      </c>
      <c r="AE546" s="44">
        <f>IF(INVESTORS_LIST[[#This Row],[TOTAL CURRENT UNITS]]=0,0,INVESTORS_LIST[[#This Row],[LS_TOTAL CURRENT UNITS]]/INVESTORS_LIST[[#This Row],[TOTAL CURRENT UNITS]])</f>
        <v>0</v>
      </c>
      <c r="AF546" s="44">
        <f>IF(INVESTORS_LIST[[#This Row],[TOTAL CURRENT UNITS]]=0,0,INVESTORS_LIST[[#This Row],[SIP_TOTAL CURRENT UNITS]]/INVESTORS_LIST[[#This Row],[TOTAL CURRENT UNITS]])</f>
        <v>0</v>
      </c>
      <c r="AG546" s="4" cm="1">
        <f t="array" ref="AG54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46" s="4" cm="1">
        <f t="array" ref="AH5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4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46" s="178">
        <f t="shared" si="14"/>
        <v>12.552</v>
      </c>
      <c r="AK546" s="118">
        <f>IF(INVESTORS_LIST[[#This Row],[TOTAL CURRENT UNITS]]=0,0,INVESTORS_LIST[[#This Row],[TOTAL CURRENT UNITS]]*INVESTORS_LIST[[#This Row],[NAV]])</f>
        <v>0</v>
      </c>
      <c r="AL546" s="4">
        <f>IF(INVESTORS_LIST[[#This Row],[LS_TOTAL CURRENT UNITS]]=0,0,INVESTORS_LIST[[#This Row],[LS_TOTAL CURRENT UNITS]]*INVESTORS_LIST[[#This Row],[NAV]])</f>
        <v>0</v>
      </c>
      <c r="AM546" s="6">
        <f>IF(INVESTORS_LIST[[#This Row],[SIP_TOTAL CURRENT UNITS]]=0,0,INVESTORS_LIST[[#This Row],[SIP_TOTAL CURRENT UNITS]]*INVESTORS_LIST[[#This Row],[NAV]])</f>
        <v>0</v>
      </c>
      <c r="AO546" s="6">
        <f>IF(INVESTORS_LIST[[#This Row],[TOTAL SELLABLE UNITS]]=0,0,INVESTORS_LIST[[#This Row],[TOTAL SELLABLE UNITS]]*INVESTORS_LIST[[#This Row],[NAV]])</f>
        <v>0</v>
      </c>
      <c r="AP546" s="6">
        <f>INVESTORS_LIST[[#This Row],[LS_TOTAL REALIZED GAIN]]+INVESTORS_LIST[[#This Row],[SIP_TOTAL REALIZED GAIN]]</f>
        <v>0</v>
      </c>
      <c r="AQ546" s="6">
        <f>INVESTORS_LIST[[#This Row],[TOTAL MARKET VALUE]]-INVESTORS_LIST[[#This Row],[TOTAL COST VALUE OF CURRENT INVESTMENT]]</f>
        <v>0</v>
      </c>
      <c r="AR546" s="6">
        <f>SUMIFS(DivAndTax[Tax Amount],DivAndTax[Investor ID],INVESTORS_LIST[[#This Row],[INVESTOR CODE]])</f>
        <v>0</v>
      </c>
      <c r="AS546" s="6">
        <f>SUMIFS(DivAndTax[Gross Dividend],DivAndTax[Investor ID],INVESTORS_LIST[[#This Row],[INVESTOR CODE]])</f>
        <v>0</v>
      </c>
      <c r="AT546" s="5">
        <f>IFERROR(INVESTORS_LIST[[#This Row],[TOTAL CURRENT UNITS]]/SUM(INVESTORS_LIST[TOTAL CURRENT UNITS]),0)</f>
        <v>0</v>
      </c>
    </row>
    <row r="547" spans="1:46" hidden="1">
      <c r="A547" t="s">
        <v>1281</v>
      </c>
      <c r="B547" t="s">
        <v>1282</v>
      </c>
      <c r="C547" t="s">
        <v>536</v>
      </c>
      <c r="D547" s="8" t="s">
        <v>2</v>
      </c>
      <c r="E547" s="2">
        <f>SUMIFS(LS[Unit],LS[Investor ID],INVESTORS_LIST[[#This Row],[INVESTOR CODE]],LS[B/S],"B")</f>
        <v>0</v>
      </c>
      <c r="F547" s="2">
        <f>-SUMIFS(LS[Unit],LS[Investor ID],INVESTORS_LIST[[#This Row],[INVESTOR CODE]],LS[B/S],"S")</f>
        <v>0</v>
      </c>
      <c r="G547" s="2">
        <f>IF(INVESTORS_LIST[[#This Row],[LS_TOTAL UNITS BUY]]=0,0,INVESTORS_LIST[[#This Row],[LS_TOTAL UNITS BUY]]-INVESTORS_LIST[[#This Row],[LS_TOTAL UNITS SOLD]])</f>
        <v>0</v>
      </c>
      <c r="H547" s="4">
        <f>IF(INVESTORS_LIST[[#This Row],[LS_TOTAL UNITS BUY]]=0,0,SUMIFS(LS[Amount],LS[Investor ID],INVESTORS_LIST[[#This Row],[INVESTOR CODE]],LS[B/S],"B"))</f>
        <v>0</v>
      </c>
      <c r="I547" s="6">
        <f>IF(INVESTORS_LIST[[#This Row],[LS_TOTAL UNITS SOLD]]=0,0,SUMIFS(LS[Cost of Units Sold],LS[Investor ID],INVESTORS_LIST[[#This Row],[INVESTOR CODE]],LS[B/S],"S"))</f>
        <v>0</v>
      </c>
      <c r="J547" s="6">
        <f>IF(INVESTORS_LIST[[#This Row],[LS_TOTAL CURRENT UNITS]]=0,0,INVESTORS_LIST[[#This Row],[LS_TOTAL CURRENT UNITS]]*INVESTORS_LIST[[#This Row],[LS_AVERAGE COST]])</f>
        <v>0</v>
      </c>
      <c r="K547" s="4">
        <f>IF(INVESTORS_LIST[[#This Row],[LS_TOTAL UNITS SOLD]]=0,0,SUMIFS(LS[Realized Gain],LS[Investor ID],INVESTORS_LIST[[#This Row],[INVESTOR CODE]],LS[B/S],"S"))</f>
        <v>0</v>
      </c>
      <c r="L547" s="2">
        <f>SUMIFS(SIP[Unit],SIP[Investor ID],INVESTORS_LIST[[#This Row],[INVESTOR CODE]],SIP[B/S],"B")</f>
        <v>0</v>
      </c>
      <c r="M547" s="2">
        <f>-SUMIFS(SIP[Unit],SIP[Investor ID],INVESTORS_LIST[[#This Row],[INVESTOR CODE]],SIP[B/S],"S")</f>
        <v>0</v>
      </c>
      <c r="N547" s="33">
        <f>IF(INVESTORS_LIST[[#This Row],[SIP_TOTAL UNITS BUY]]=0,0,INVESTORS_LIST[[#This Row],[SIP_TOTAL UNITS BUY]]-INVESTORS_LIST[[#This Row],[SIP_TOTAL UNITS SOLD]])</f>
        <v>0</v>
      </c>
      <c r="O547" s="4">
        <f>IF(INVESTORS_LIST[[#This Row],[SIP_TOTAL UNITS BUY]]=0,0,SUMIFS(SIP[Amount],SIP[Investor ID],INVESTORS_LIST[[#This Row],[INVESTOR CODE]],SIP[B/S],"B"))</f>
        <v>0</v>
      </c>
      <c r="P547" s="4">
        <f>IF(INVESTORS_LIST[[#This Row],[SIP_TOTAL UNITS SOLD]]=0,0,SUMIFS(SIP[Cost of Units Sold],SIP[Investor ID],INVESTORS_LIST[[#This Row],[INVESTOR CODE]],SIP[B/S],"S"))</f>
        <v>0</v>
      </c>
      <c r="Q547" s="6">
        <f>IF(INVESTORS_LIST[[#This Row],[SIP_TOTAL CURRENT UNITS]]=0,0,INVESTORS_LIST[[#This Row],[SIP_TOTAL CURRENT UNITS]]*INVESTORS_LIST[[#This Row],[SIP_AVERAGE COST]])</f>
        <v>0</v>
      </c>
      <c r="R547" s="6">
        <f>IF(INVESTORS_LIST[[#This Row],[SIP_TOTAL UNITS SOLD]]=0,0,SUMIFS(SIP[Realized Gain],SIP[Investor ID],INVESTORS_LIST[[#This Row],[INVESTOR CODE]],SIP[B/S],"S"))</f>
        <v>0</v>
      </c>
      <c r="S547" s="33">
        <f>INVESTORS_LIST[[#This Row],[LS_TOTAL UNITS BUY]]+INVESTORS_LIST[[#This Row],[SIP_TOTAL UNITS BUY]]</f>
        <v>0</v>
      </c>
      <c r="T547" s="33">
        <f>INVESTORS_LIST[[#This Row],[LS_TOTAL UNITS SOLD]]+INVESTORS_LIST[[#This Row],[SIP_TOTAL UNITS SOLD]]</f>
        <v>0</v>
      </c>
      <c r="U547" s="33">
        <v>0</v>
      </c>
      <c r="V547" s="33">
        <f>SUMIFS(LS[BO UNIT TRANSFER],LS[Investor ID],INVESTORS_LIST[[#This Row],[INVESTOR CODE]],LS[B/S],"B")</f>
        <v>0</v>
      </c>
      <c r="W547" s="33">
        <f>SUMIFS(LS[BO UNIT TRANSFER],LS[Investor ID],INVESTORS_LIST[[#This Row],[INVESTOR CODE]],LS[B/S],"S")</f>
        <v>0</v>
      </c>
      <c r="X547" s="33">
        <f>SUMIFS(SIP[BO UNIT TRANSFER],SIP[Investor ID],INVESTORS_LIST[[#This Row],[INVESTOR CODE]],SIP[B/S],"S")</f>
        <v>0</v>
      </c>
      <c r="Y547" s="33">
        <f>SUMIFS(SIP[BO UNIT TRANSFER],SIP[Investor ID],INVESTORS_LIST[[#This Row],[INVESTOR CODE]],SIP[B/S],"B")</f>
        <v>0</v>
      </c>
      <c r="Z54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47" s="119">
        <f>INVESTORS_LIST[[#This Row],[TOTAL UNITS BUY]]-INVESTORS_LIST[[#This Row],[TOTAL UNITS SOLD]]</f>
        <v>0</v>
      </c>
      <c r="AB547" s="119">
        <f>INVESTORS_LIST[[#This Row],[TOTAL CURRENT UNITS]]-INVESTORS_LIST[[#This Row],[BO UNITS HOLD]]</f>
        <v>0</v>
      </c>
      <c r="AC547" s="119" t="e">
        <f>INDEX([4]!Table_1[BO ID],MATCH(INVESTORS_LIST[[#This Row],[INVESTOR CODE]],[4]!Table_1[INVESTOR CODE],0))</f>
        <v>#REF!</v>
      </c>
      <c r="AD547" s="33">
        <f>INVESTORS_LIST[[#This Row],[LS_TOTAL COST VALUE OF CURRENT UNITS]]+INVESTORS_LIST[[#This Row],[SIP_TOTAL COST VALUE OF CURRENT UNITS]]</f>
        <v>0</v>
      </c>
      <c r="AE547" s="44">
        <f>IF(INVESTORS_LIST[[#This Row],[TOTAL CURRENT UNITS]]=0,0,INVESTORS_LIST[[#This Row],[LS_TOTAL CURRENT UNITS]]/INVESTORS_LIST[[#This Row],[TOTAL CURRENT UNITS]])</f>
        <v>0</v>
      </c>
      <c r="AF547" s="44">
        <f>IF(INVESTORS_LIST[[#This Row],[TOTAL CURRENT UNITS]]=0,0,INVESTORS_LIST[[#This Row],[SIP_TOTAL CURRENT UNITS]]/INVESTORS_LIST[[#This Row],[TOTAL CURRENT UNITS]])</f>
        <v>0</v>
      </c>
      <c r="AG547" s="4" cm="1">
        <f t="array" ref="AG54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47" s="4" cm="1">
        <f t="array" ref="AH5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4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47" s="178">
        <f t="shared" si="14"/>
        <v>12.552</v>
      </c>
      <c r="AK547" s="118">
        <f>IF(INVESTORS_LIST[[#This Row],[TOTAL CURRENT UNITS]]=0,0,INVESTORS_LIST[[#This Row],[TOTAL CURRENT UNITS]]*INVESTORS_LIST[[#This Row],[NAV]])</f>
        <v>0</v>
      </c>
      <c r="AL547" s="4">
        <f>IF(INVESTORS_LIST[[#This Row],[LS_TOTAL CURRENT UNITS]]=0,0,INVESTORS_LIST[[#This Row],[LS_TOTAL CURRENT UNITS]]*INVESTORS_LIST[[#This Row],[NAV]])</f>
        <v>0</v>
      </c>
      <c r="AM547" s="6">
        <f>IF(INVESTORS_LIST[[#This Row],[SIP_TOTAL CURRENT UNITS]]=0,0,INVESTORS_LIST[[#This Row],[SIP_TOTAL CURRENT UNITS]]*INVESTORS_LIST[[#This Row],[NAV]])</f>
        <v>0</v>
      </c>
      <c r="AO547" s="6">
        <f>IF(INVESTORS_LIST[[#This Row],[TOTAL SELLABLE UNITS]]=0,0,INVESTORS_LIST[[#This Row],[TOTAL SELLABLE UNITS]]*INVESTORS_LIST[[#This Row],[NAV]])</f>
        <v>0</v>
      </c>
      <c r="AP547" s="6">
        <f>INVESTORS_LIST[[#This Row],[LS_TOTAL REALIZED GAIN]]+INVESTORS_LIST[[#This Row],[SIP_TOTAL REALIZED GAIN]]</f>
        <v>0</v>
      </c>
      <c r="AQ547" s="6">
        <f>INVESTORS_LIST[[#This Row],[TOTAL MARKET VALUE]]-INVESTORS_LIST[[#This Row],[TOTAL COST VALUE OF CURRENT INVESTMENT]]</f>
        <v>0</v>
      </c>
      <c r="AR547" s="6">
        <f>SUMIFS(DivAndTax[Tax Amount],DivAndTax[Investor ID],INVESTORS_LIST[[#This Row],[INVESTOR CODE]])</f>
        <v>0</v>
      </c>
      <c r="AS547" s="6">
        <f>SUMIFS(DivAndTax[Gross Dividend],DivAndTax[Investor ID],INVESTORS_LIST[[#This Row],[INVESTOR CODE]])</f>
        <v>0</v>
      </c>
      <c r="AT547" s="5">
        <f>IFERROR(INVESTORS_LIST[[#This Row],[TOTAL CURRENT UNITS]]/SUM(INVESTORS_LIST[TOTAL CURRENT UNITS]),0)</f>
        <v>0</v>
      </c>
    </row>
    <row r="548" spans="1:46" hidden="1">
      <c r="A548" t="s">
        <v>1283</v>
      </c>
      <c r="B548" t="s">
        <v>1284</v>
      </c>
      <c r="C548" t="s">
        <v>536</v>
      </c>
      <c r="D548" s="8" t="s">
        <v>2</v>
      </c>
      <c r="E548" s="2">
        <f>SUMIFS(LS[Unit],LS[Investor ID],INVESTORS_LIST[[#This Row],[INVESTOR CODE]],LS[B/S],"B")</f>
        <v>0</v>
      </c>
      <c r="F548" s="2">
        <f>-SUMIFS(LS[Unit],LS[Investor ID],INVESTORS_LIST[[#This Row],[INVESTOR CODE]],LS[B/S],"S")</f>
        <v>0</v>
      </c>
      <c r="G548" s="2">
        <f>IF(INVESTORS_LIST[[#This Row],[LS_TOTAL UNITS BUY]]=0,0,INVESTORS_LIST[[#This Row],[LS_TOTAL UNITS BUY]]-INVESTORS_LIST[[#This Row],[LS_TOTAL UNITS SOLD]])</f>
        <v>0</v>
      </c>
      <c r="H548" s="4">
        <f>IF(INVESTORS_LIST[[#This Row],[LS_TOTAL UNITS BUY]]=0,0,SUMIFS(LS[Amount],LS[Investor ID],INVESTORS_LIST[[#This Row],[INVESTOR CODE]],LS[B/S],"B"))</f>
        <v>0</v>
      </c>
      <c r="I548" s="6">
        <f>IF(INVESTORS_LIST[[#This Row],[LS_TOTAL UNITS SOLD]]=0,0,SUMIFS(LS[Cost of Units Sold],LS[Investor ID],INVESTORS_LIST[[#This Row],[INVESTOR CODE]],LS[B/S],"S"))</f>
        <v>0</v>
      </c>
      <c r="J548" s="6">
        <f>IF(INVESTORS_LIST[[#This Row],[LS_TOTAL CURRENT UNITS]]=0,0,INVESTORS_LIST[[#This Row],[LS_TOTAL CURRENT UNITS]]*INVESTORS_LIST[[#This Row],[LS_AVERAGE COST]])</f>
        <v>0</v>
      </c>
      <c r="K548" s="4">
        <f>IF(INVESTORS_LIST[[#This Row],[LS_TOTAL UNITS SOLD]]=0,0,SUMIFS(LS[Realized Gain],LS[Investor ID],INVESTORS_LIST[[#This Row],[INVESTOR CODE]],LS[B/S],"S"))</f>
        <v>0</v>
      </c>
      <c r="L548" s="2">
        <f>SUMIFS(SIP[Unit],SIP[Investor ID],INVESTORS_LIST[[#This Row],[INVESTOR CODE]],SIP[B/S],"B")</f>
        <v>0</v>
      </c>
      <c r="M548" s="2">
        <f>-SUMIFS(SIP[Unit],SIP[Investor ID],INVESTORS_LIST[[#This Row],[INVESTOR CODE]],SIP[B/S],"S")</f>
        <v>0</v>
      </c>
      <c r="N548" s="33">
        <f>IF(INVESTORS_LIST[[#This Row],[SIP_TOTAL UNITS BUY]]=0,0,INVESTORS_LIST[[#This Row],[SIP_TOTAL UNITS BUY]]-INVESTORS_LIST[[#This Row],[SIP_TOTAL UNITS SOLD]])</f>
        <v>0</v>
      </c>
      <c r="O548" s="4">
        <f>IF(INVESTORS_LIST[[#This Row],[SIP_TOTAL UNITS BUY]]=0,0,SUMIFS(SIP[Amount],SIP[Investor ID],INVESTORS_LIST[[#This Row],[INVESTOR CODE]],SIP[B/S],"B"))</f>
        <v>0</v>
      </c>
      <c r="P548" s="4">
        <f>IF(INVESTORS_LIST[[#This Row],[SIP_TOTAL UNITS SOLD]]=0,0,SUMIFS(SIP[Cost of Units Sold],SIP[Investor ID],INVESTORS_LIST[[#This Row],[INVESTOR CODE]],SIP[B/S],"S"))</f>
        <v>0</v>
      </c>
      <c r="Q548" s="6">
        <f>IF(INVESTORS_LIST[[#This Row],[SIP_TOTAL CURRENT UNITS]]=0,0,INVESTORS_LIST[[#This Row],[SIP_TOTAL CURRENT UNITS]]*INVESTORS_LIST[[#This Row],[SIP_AVERAGE COST]])</f>
        <v>0</v>
      </c>
      <c r="R548" s="6">
        <f>IF(INVESTORS_LIST[[#This Row],[SIP_TOTAL UNITS SOLD]]=0,0,SUMIFS(SIP[Realized Gain],SIP[Investor ID],INVESTORS_LIST[[#This Row],[INVESTOR CODE]],SIP[B/S],"S"))</f>
        <v>0</v>
      </c>
      <c r="S548" s="33">
        <f>INVESTORS_LIST[[#This Row],[LS_TOTAL UNITS BUY]]+INVESTORS_LIST[[#This Row],[SIP_TOTAL UNITS BUY]]</f>
        <v>0</v>
      </c>
      <c r="T548" s="33">
        <f>INVESTORS_LIST[[#This Row],[LS_TOTAL UNITS SOLD]]+INVESTORS_LIST[[#This Row],[SIP_TOTAL UNITS SOLD]]</f>
        <v>0</v>
      </c>
      <c r="U548" s="33">
        <v>0</v>
      </c>
      <c r="V548" s="33">
        <f>SUMIFS(LS[BO UNIT TRANSFER],LS[Investor ID],INVESTORS_LIST[[#This Row],[INVESTOR CODE]],LS[B/S],"B")</f>
        <v>0</v>
      </c>
      <c r="W548" s="33">
        <f>SUMIFS(LS[BO UNIT TRANSFER],LS[Investor ID],INVESTORS_LIST[[#This Row],[INVESTOR CODE]],LS[B/S],"S")</f>
        <v>0</v>
      </c>
      <c r="X548" s="33">
        <f>SUMIFS(SIP[BO UNIT TRANSFER],SIP[Investor ID],INVESTORS_LIST[[#This Row],[INVESTOR CODE]],SIP[B/S],"S")</f>
        <v>0</v>
      </c>
      <c r="Y548" s="33">
        <f>SUMIFS(SIP[BO UNIT TRANSFER],SIP[Investor ID],INVESTORS_LIST[[#This Row],[INVESTOR CODE]],SIP[B/S],"B")</f>
        <v>0</v>
      </c>
      <c r="Z54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48" s="119">
        <f>INVESTORS_LIST[[#This Row],[TOTAL UNITS BUY]]-INVESTORS_LIST[[#This Row],[TOTAL UNITS SOLD]]</f>
        <v>0</v>
      </c>
      <c r="AB548" s="119">
        <f>INVESTORS_LIST[[#This Row],[TOTAL CURRENT UNITS]]-INVESTORS_LIST[[#This Row],[BO UNITS HOLD]]</f>
        <v>0</v>
      </c>
      <c r="AC548" s="119" t="e">
        <f>INDEX([4]!Table_1[BO ID],MATCH(INVESTORS_LIST[[#This Row],[INVESTOR CODE]],[4]!Table_1[INVESTOR CODE],0))</f>
        <v>#REF!</v>
      </c>
      <c r="AD548" s="33">
        <f>INVESTORS_LIST[[#This Row],[LS_TOTAL COST VALUE OF CURRENT UNITS]]+INVESTORS_LIST[[#This Row],[SIP_TOTAL COST VALUE OF CURRENT UNITS]]</f>
        <v>0</v>
      </c>
      <c r="AE548" s="44">
        <f>IF(INVESTORS_LIST[[#This Row],[TOTAL CURRENT UNITS]]=0,0,INVESTORS_LIST[[#This Row],[LS_TOTAL CURRENT UNITS]]/INVESTORS_LIST[[#This Row],[TOTAL CURRENT UNITS]])</f>
        <v>0</v>
      </c>
      <c r="AF548" s="44">
        <f>IF(INVESTORS_LIST[[#This Row],[TOTAL CURRENT UNITS]]=0,0,INVESTORS_LIST[[#This Row],[SIP_TOTAL CURRENT UNITS]]/INVESTORS_LIST[[#This Row],[TOTAL CURRENT UNITS]])</f>
        <v>0</v>
      </c>
      <c r="AG548" s="4" cm="1">
        <f t="array" ref="AG54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48" s="4" cm="1">
        <f t="array" ref="AH5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4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48" s="178">
        <f t="shared" si="14"/>
        <v>12.552</v>
      </c>
      <c r="AK548" s="118">
        <f>IF(INVESTORS_LIST[[#This Row],[TOTAL CURRENT UNITS]]=0,0,INVESTORS_LIST[[#This Row],[TOTAL CURRENT UNITS]]*INVESTORS_LIST[[#This Row],[NAV]])</f>
        <v>0</v>
      </c>
      <c r="AL548" s="4">
        <f>IF(INVESTORS_LIST[[#This Row],[LS_TOTAL CURRENT UNITS]]=0,0,INVESTORS_LIST[[#This Row],[LS_TOTAL CURRENT UNITS]]*INVESTORS_LIST[[#This Row],[NAV]])</f>
        <v>0</v>
      </c>
      <c r="AM548" s="6">
        <f>IF(INVESTORS_LIST[[#This Row],[SIP_TOTAL CURRENT UNITS]]=0,0,INVESTORS_LIST[[#This Row],[SIP_TOTAL CURRENT UNITS]]*INVESTORS_LIST[[#This Row],[NAV]])</f>
        <v>0</v>
      </c>
      <c r="AO548" s="6">
        <f>IF(INVESTORS_LIST[[#This Row],[TOTAL SELLABLE UNITS]]=0,0,INVESTORS_LIST[[#This Row],[TOTAL SELLABLE UNITS]]*INVESTORS_LIST[[#This Row],[NAV]])</f>
        <v>0</v>
      </c>
      <c r="AP548" s="6">
        <f>INVESTORS_LIST[[#This Row],[LS_TOTAL REALIZED GAIN]]+INVESTORS_LIST[[#This Row],[SIP_TOTAL REALIZED GAIN]]</f>
        <v>0</v>
      </c>
      <c r="AQ548" s="6">
        <f>INVESTORS_LIST[[#This Row],[TOTAL MARKET VALUE]]-INVESTORS_LIST[[#This Row],[TOTAL COST VALUE OF CURRENT INVESTMENT]]</f>
        <v>0</v>
      </c>
      <c r="AR548" s="6">
        <f>SUMIFS(DivAndTax[Tax Amount],DivAndTax[Investor ID],INVESTORS_LIST[[#This Row],[INVESTOR CODE]])</f>
        <v>0</v>
      </c>
      <c r="AS548" s="6">
        <f>SUMIFS(DivAndTax[Gross Dividend],DivAndTax[Investor ID],INVESTORS_LIST[[#This Row],[INVESTOR CODE]])</f>
        <v>0</v>
      </c>
      <c r="AT548" s="5">
        <f>IFERROR(INVESTORS_LIST[[#This Row],[TOTAL CURRENT UNITS]]/SUM(INVESTORS_LIST[TOTAL CURRENT UNITS]),0)</f>
        <v>0</v>
      </c>
    </row>
    <row r="549" spans="1:46" hidden="1">
      <c r="A549" t="s">
        <v>1285</v>
      </c>
      <c r="B549" t="s">
        <v>1286</v>
      </c>
      <c r="C549" t="s">
        <v>539</v>
      </c>
      <c r="D549" s="8" t="s">
        <v>2</v>
      </c>
      <c r="E549" s="2">
        <f>SUMIFS(LS[Unit],LS[Investor ID],INVESTORS_LIST[[#This Row],[INVESTOR CODE]],LS[B/S],"B")</f>
        <v>0</v>
      </c>
      <c r="F549" s="2">
        <f>-SUMIFS(LS[Unit],LS[Investor ID],INVESTORS_LIST[[#This Row],[INVESTOR CODE]],LS[B/S],"S")</f>
        <v>0</v>
      </c>
      <c r="G549" s="2">
        <f>IF(INVESTORS_LIST[[#This Row],[LS_TOTAL UNITS BUY]]=0,0,INVESTORS_LIST[[#This Row],[LS_TOTAL UNITS BUY]]-INVESTORS_LIST[[#This Row],[LS_TOTAL UNITS SOLD]])</f>
        <v>0</v>
      </c>
      <c r="H549" s="4">
        <f>IF(INVESTORS_LIST[[#This Row],[LS_TOTAL UNITS BUY]]=0,0,SUMIFS(LS[Amount],LS[Investor ID],INVESTORS_LIST[[#This Row],[INVESTOR CODE]],LS[B/S],"B"))</f>
        <v>0</v>
      </c>
      <c r="I549" s="6">
        <f>IF(INVESTORS_LIST[[#This Row],[LS_TOTAL UNITS SOLD]]=0,0,SUMIFS(LS[Cost of Units Sold],LS[Investor ID],INVESTORS_LIST[[#This Row],[INVESTOR CODE]],LS[B/S],"S"))</f>
        <v>0</v>
      </c>
      <c r="J549" s="6">
        <f>IF(INVESTORS_LIST[[#This Row],[LS_TOTAL CURRENT UNITS]]=0,0,INVESTORS_LIST[[#This Row],[LS_TOTAL CURRENT UNITS]]*INVESTORS_LIST[[#This Row],[LS_AVERAGE COST]])</f>
        <v>0</v>
      </c>
      <c r="K549" s="4">
        <f>IF(INVESTORS_LIST[[#This Row],[LS_TOTAL UNITS SOLD]]=0,0,SUMIFS(LS[Realized Gain],LS[Investor ID],INVESTORS_LIST[[#This Row],[INVESTOR CODE]],LS[B/S],"S"))</f>
        <v>0</v>
      </c>
      <c r="L549" s="2">
        <f>SUMIFS(SIP[Unit],SIP[Investor ID],INVESTORS_LIST[[#This Row],[INVESTOR CODE]],SIP[B/S],"B")</f>
        <v>0</v>
      </c>
      <c r="M549" s="2">
        <f>-SUMIFS(SIP[Unit],SIP[Investor ID],INVESTORS_LIST[[#This Row],[INVESTOR CODE]],SIP[B/S],"S")</f>
        <v>0</v>
      </c>
      <c r="N549" s="33">
        <f>IF(INVESTORS_LIST[[#This Row],[SIP_TOTAL UNITS BUY]]=0,0,INVESTORS_LIST[[#This Row],[SIP_TOTAL UNITS BUY]]-INVESTORS_LIST[[#This Row],[SIP_TOTAL UNITS SOLD]])</f>
        <v>0</v>
      </c>
      <c r="O549" s="4">
        <f>IF(INVESTORS_LIST[[#This Row],[SIP_TOTAL UNITS BUY]]=0,0,SUMIFS(SIP[Amount],SIP[Investor ID],INVESTORS_LIST[[#This Row],[INVESTOR CODE]],SIP[B/S],"B"))</f>
        <v>0</v>
      </c>
      <c r="P549" s="4">
        <f>IF(INVESTORS_LIST[[#This Row],[SIP_TOTAL UNITS SOLD]]=0,0,SUMIFS(SIP[Cost of Units Sold],SIP[Investor ID],INVESTORS_LIST[[#This Row],[INVESTOR CODE]],SIP[B/S],"S"))</f>
        <v>0</v>
      </c>
      <c r="Q549" s="6">
        <f>IF(INVESTORS_LIST[[#This Row],[SIP_TOTAL CURRENT UNITS]]=0,0,INVESTORS_LIST[[#This Row],[SIP_TOTAL CURRENT UNITS]]*INVESTORS_LIST[[#This Row],[SIP_AVERAGE COST]])</f>
        <v>0</v>
      </c>
      <c r="R549" s="6">
        <f>IF(INVESTORS_LIST[[#This Row],[SIP_TOTAL UNITS SOLD]]=0,0,SUMIFS(SIP[Realized Gain],SIP[Investor ID],INVESTORS_LIST[[#This Row],[INVESTOR CODE]],SIP[B/S],"S"))</f>
        <v>0</v>
      </c>
      <c r="S549" s="33">
        <f>INVESTORS_LIST[[#This Row],[LS_TOTAL UNITS BUY]]+INVESTORS_LIST[[#This Row],[SIP_TOTAL UNITS BUY]]</f>
        <v>0</v>
      </c>
      <c r="T549" s="33">
        <f>INVESTORS_LIST[[#This Row],[LS_TOTAL UNITS SOLD]]+INVESTORS_LIST[[#This Row],[SIP_TOTAL UNITS SOLD]]</f>
        <v>0</v>
      </c>
      <c r="U549" s="33">
        <v>0</v>
      </c>
      <c r="V549" s="33">
        <f>SUMIFS(LS[BO UNIT TRANSFER],LS[Investor ID],INVESTORS_LIST[[#This Row],[INVESTOR CODE]],LS[B/S],"B")</f>
        <v>0</v>
      </c>
      <c r="W549" s="33">
        <f>SUMIFS(LS[BO UNIT TRANSFER],LS[Investor ID],INVESTORS_LIST[[#This Row],[INVESTOR CODE]],LS[B/S],"S")</f>
        <v>0</v>
      </c>
      <c r="X549" s="33">
        <f>SUMIFS(SIP[BO UNIT TRANSFER],SIP[Investor ID],INVESTORS_LIST[[#This Row],[INVESTOR CODE]],SIP[B/S],"S")</f>
        <v>0</v>
      </c>
      <c r="Y549" s="33">
        <f>SUMIFS(SIP[BO UNIT TRANSFER],SIP[Investor ID],INVESTORS_LIST[[#This Row],[INVESTOR CODE]],SIP[B/S],"B")</f>
        <v>0</v>
      </c>
      <c r="Z54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49" s="119">
        <f>INVESTORS_LIST[[#This Row],[TOTAL UNITS BUY]]-INVESTORS_LIST[[#This Row],[TOTAL UNITS SOLD]]</f>
        <v>0</v>
      </c>
      <c r="AB549" s="119">
        <f>INVESTORS_LIST[[#This Row],[TOTAL CURRENT UNITS]]-INVESTORS_LIST[[#This Row],[BO UNITS HOLD]]</f>
        <v>0</v>
      </c>
      <c r="AC549" s="119" t="e">
        <f>INDEX([4]!Table_1[BO ID],MATCH(INVESTORS_LIST[[#This Row],[INVESTOR CODE]],[4]!Table_1[INVESTOR CODE],0))</f>
        <v>#REF!</v>
      </c>
      <c r="AD549" s="33">
        <f>INVESTORS_LIST[[#This Row],[LS_TOTAL COST VALUE OF CURRENT UNITS]]+INVESTORS_LIST[[#This Row],[SIP_TOTAL COST VALUE OF CURRENT UNITS]]</f>
        <v>0</v>
      </c>
      <c r="AE549" s="44">
        <f>IF(INVESTORS_LIST[[#This Row],[TOTAL CURRENT UNITS]]=0,0,INVESTORS_LIST[[#This Row],[LS_TOTAL CURRENT UNITS]]/INVESTORS_LIST[[#This Row],[TOTAL CURRENT UNITS]])</f>
        <v>0</v>
      </c>
      <c r="AF549" s="44">
        <f>IF(INVESTORS_LIST[[#This Row],[TOTAL CURRENT UNITS]]=0,0,INVESTORS_LIST[[#This Row],[SIP_TOTAL CURRENT UNITS]]/INVESTORS_LIST[[#This Row],[TOTAL CURRENT UNITS]])</f>
        <v>0</v>
      </c>
      <c r="AG549" s="4" cm="1">
        <f t="array" ref="AG54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49" s="4" cm="1">
        <f t="array" ref="AH5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4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49" s="178">
        <f t="shared" si="14"/>
        <v>12.552</v>
      </c>
      <c r="AK549" s="118">
        <f>IF(INVESTORS_LIST[[#This Row],[TOTAL CURRENT UNITS]]=0,0,INVESTORS_LIST[[#This Row],[TOTAL CURRENT UNITS]]*INVESTORS_LIST[[#This Row],[NAV]])</f>
        <v>0</v>
      </c>
      <c r="AL549" s="4">
        <f>IF(INVESTORS_LIST[[#This Row],[LS_TOTAL CURRENT UNITS]]=0,0,INVESTORS_LIST[[#This Row],[LS_TOTAL CURRENT UNITS]]*INVESTORS_LIST[[#This Row],[NAV]])</f>
        <v>0</v>
      </c>
      <c r="AM549" s="6">
        <f>IF(INVESTORS_LIST[[#This Row],[SIP_TOTAL CURRENT UNITS]]=0,0,INVESTORS_LIST[[#This Row],[SIP_TOTAL CURRENT UNITS]]*INVESTORS_LIST[[#This Row],[NAV]])</f>
        <v>0</v>
      </c>
      <c r="AO549" s="6">
        <f>IF(INVESTORS_LIST[[#This Row],[TOTAL SELLABLE UNITS]]=0,0,INVESTORS_LIST[[#This Row],[TOTAL SELLABLE UNITS]]*INVESTORS_LIST[[#This Row],[NAV]])</f>
        <v>0</v>
      </c>
      <c r="AP549" s="6">
        <f>INVESTORS_LIST[[#This Row],[LS_TOTAL REALIZED GAIN]]+INVESTORS_LIST[[#This Row],[SIP_TOTAL REALIZED GAIN]]</f>
        <v>0</v>
      </c>
      <c r="AQ549" s="6">
        <f>INVESTORS_LIST[[#This Row],[TOTAL MARKET VALUE]]-INVESTORS_LIST[[#This Row],[TOTAL COST VALUE OF CURRENT INVESTMENT]]</f>
        <v>0</v>
      </c>
      <c r="AR549" s="6">
        <f>SUMIFS(DivAndTax[Tax Amount],DivAndTax[Investor ID],INVESTORS_LIST[[#This Row],[INVESTOR CODE]])</f>
        <v>0</v>
      </c>
      <c r="AS549" s="6">
        <f>SUMIFS(DivAndTax[Gross Dividend],DivAndTax[Investor ID],INVESTORS_LIST[[#This Row],[INVESTOR CODE]])</f>
        <v>0</v>
      </c>
      <c r="AT549" s="5">
        <f>IFERROR(INVESTORS_LIST[[#This Row],[TOTAL CURRENT UNITS]]/SUM(INVESTORS_LIST[TOTAL CURRENT UNITS]),0)</f>
        <v>0</v>
      </c>
    </row>
    <row r="550" spans="1:46" hidden="1">
      <c r="A550" t="s">
        <v>1287</v>
      </c>
      <c r="B550" t="s">
        <v>1288</v>
      </c>
      <c r="C550" t="s">
        <v>536</v>
      </c>
      <c r="D550" s="8" t="s">
        <v>2</v>
      </c>
      <c r="E550" s="2">
        <f>SUMIFS(LS[Unit],LS[Investor ID],INVESTORS_LIST[[#This Row],[INVESTOR CODE]],LS[B/S],"B")</f>
        <v>0</v>
      </c>
      <c r="F550" s="2">
        <f>-SUMIFS(LS[Unit],LS[Investor ID],INVESTORS_LIST[[#This Row],[INVESTOR CODE]],LS[B/S],"S")</f>
        <v>0</v>
      </c>
      <c r="G550" s="2">
        <f>IF(INVESTORS_LIST[[#This Row],[LS_TOTAL UNITS BUY]]=0,0,INVESTORS_LIST[[#This Row],[LS_TOTAL UNITS BUY]]-INVESTORS_LIST[[#This Row],[LS_TOTAL UNITS SOLD]])</f>
        <v>0</v>
      </c>
      <c r="H550" s="4">
        <f>IF(INVESTORS_LIST[[#This Row],[LS_TOTAL UNITS BUY]]=0,0,SUMIFS(LS[Amount],LS[Investor ID],INVESTORS_LIST[[#This Row],[INVESTOR CODE]],LS[B/S],"B"))</f>
        <v>0</v>
      </c>
      <c r="I550" s="6">
        <f>IF(INVESTORS_LIST[[#This Row],[LS_TOTAL UNITS SOLD]]=0,0,SUMIFS(LS[Cost of Units Sold],LS[Investor ID],INVESTORS_LIST[[#This Row],[INVESTOR CODE]],LS[B/S],"S"))</f>
        <v>0</v>
      </c>
      <c r="J550" s="6">
        <f>IF(INVESTORS_LIST[[#This Row],[LS_TOTAL CURRENT UNITS]]=0,0,INVESTORS_LIST[[#This Row],[LS_TOTAL CURRENT UNITS]]*INVESTORS_LIST[[#This Row],[LS_AVERAGE COST]])</f>
        <v>0</v>
      </c>
      <c r="K550" s="4">
        <f>IF(INVESTORS_LIST[[#This Row],[LS_TOTAL UNITS SOLD]]=0,0,SUMIFS(LS[Realized Gain],LS[Investor ID],INVESTORS_LIST[[#This Row],[INVESTOR CODE]],LS[B/S],"S"))</f>
        <v>0</v>
      </c>
      <c r="L550" s="2">
        <f>SUMIFS(SIP[Unit],SIP[Investor ID],INVESTORS_LIST[[#This Row],[INVESTOR CODE]],SIP[B/S],"B")</f>
        <v>0</v>
      </c>
      <c r="M550" s="2">
        <f>-SUMIFS(SIP[Unit],SIP[Investor ID],INVESTORS_LIST[[#This Row],[INVESTOR CODE]],SIP[B/S],"S")</f>
        <v>0</v>
      </c>
      <c r="N550" s="33">
        <f>IF(INVESTORS_LIST[[#This Row],[SIP_TOTAL UNITS BUY]]=0,0,INVESTORS_LIST[[#This Row],[SIP_TOTAL UNITS BUY]]-INVESTORS_LIST[[#This Row],[SIP_TOTAL UNITS SOLD]])</f>
        <v>0</v>
      </c>
      <c r="O550" s="4">
        <f>IF(INVESTORS_LIST[[#This Row],[SIP_TOTAL UNITS BUY]]=0,0,SUMIFS(SIP[Amount],SIP[Investor ID],INVESTORS_LIST[[#This Row],[INVESTOR CODE]],SIP[B/S],"B"))</f>
        <v>0</v>
      </c>
      <c r="P550" s="4">
        <f>IF(INVESTORS_LIST[[#This Row],[SIP_TOTAL UNITS SOLD]]=0,0,SUMIFS(SIP[Cost of Units Sold],SIP[Investor ID],INVESTORS_LIST[[#This Row],[INVESTOR CODE]],SIP[B/S],"S"))</f>
        <v>0</v>
      </c>
      <c r="Q550" s="6">
        <f>IF(INVESTORS_LIST[[#This Row],[SIP_TOTAL CURRENT UNITS]]=0,0,INVESTORS_LIST[[#This Row],[SIP_TOTAL CURRENT UNITS]]*INVESTORS_LIST[[#This Row],[SIP_AVERAGE COST]])</f>
        <v>0</v>
      </c>
      <c r="R550" s="6">
        <f>IF(INVESTORS_LIST[[#This Row],[SIP_TOTAL UNITS SOLD]]=0,0,SUMIFS(SIP[Realized Gain],SIP[Investor ID],INVESTORS_LIST[[#This Row],[INVESTOR CODE]],SIP[B/S],"S"))</f>
        <v>0</v>
      </c>
      <c r="S550" s="33">
        <f>INVESTORS_LIST[[#This Row],[LS_TOTAL UNITS BUY]]+INVESTORS_LIST[[#This Row],[SIP_TOTAL UNITS BUY]]</f>
        <v>0</v>
      </c>
      <c r="T550" s="33">
        <f>INVESTORS_LIST[[#This Row],[LS_TOTAL UNITS SOLD]]+INVESTORS_LIST[[#This Row],[SIP_TOTAL UNITS SOLD]]</f>
        <v>0</v>
      </c>
      <c r="U550" s="33">
        <v>0</v>
      </c>
      <c r="V550" s="33">
        <f>SUMIFS(LS[BO UNIT TRANSFER],LS[Investor ID],INVESTORS_LIST[[#This Row],[INVESTOR CODE]],LS[B/S],"B")</f>
        <v>0</v>
      </c>
      <c r="W550" s="33">
        <f>SUMIFS(LS[BO UNIT TRANSFER],LS[Investor ID],INVESTORS_LIST[[#This Row],[INVESTOR CODE]],LS[B/S],"S")</f>
        <v>0</v>
      </c>
      <c r="X550" s="33">
        <f>SUMIFS(SIP[BO UNIT TRANSFER],SIP[Investor ID],INVESTORS_LIST[[#This Row],[INVESTOR CODE]],SIP[B/S],"S")</f>
        <v>0</v>
      </c>
      <c r="Y550" s="33">
        <f>SUMIFS(SIP[BO UNIT TRANSFER],SIP[Investor ID],INVESTORS_LIST[[#This Row],[INVESTOR CODE]],SIP[B/S],"B")</f>
        <v>0</v>
      </c>
      <c r="Z55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50" s="119">
        <f>INVESTORS_LIST[[#This Row],[TOTAL UNITS BUY]]-INVESTORS_LIST[[#This Row],[TOTAL UNITS SOLD]]</f>
        <v>0</v>
      </c>
      <c r="AB550" s="119">
        <f>INVESTORS_LIST[[#This Row],[TOTAL CURRENT UNITS]]-INVESTORS_LIST[[#This Row],[BO UNITS HOLD]]</f>
        <v>0</v>
      </c>
      <c r="AC550" s="119" t="e">
        <f>INDEX([4]!Table_1[BO ID],MATCH(INVESTORS_LIST[[#This Row],[INVESTOR CODE]],[4]!Table_1[INVESTOR CODE],0))</f>
        <v>#REF!</v>
      </c>
      <c r="AD550" s="33">
        <f>INVESTORS_LIST[[#This Row],[LS_TOTAL COST VALUE OF CURRENT UNITS]]+INVESTORS_LIST[[#This Row],[SIP_TOTAL COST VALUE OF CURRENT UNITS]]</f>
        <v>0</v>
      </c>
      <c r="AE550" s="44">
        <f>IF(INVESTORS_LIST[[#This Row],[TOTAL CURRENT UNITS]]=0,0,INVESTORS_LIST[[#This Row],[LS_TOTAL CURRENT UNITS]]/INVESTORS_LIST[[#This Row],[TOTAL CURRENT UNITS]])</f>
        <v>0</v>
      </c>
      <c r="AF550" s="44">
        <f>IF(INVESTORS_LIST[[#This Row],[TOTAL CURRENT UNITS]]=0,0,INVESTORS_LIST[[#This Row],[SIP_TOTAL CURRENT UNITS]]/INVESTORS_LIST[[#This Row],[TOTAL CURRENT UNITS]])</f>
        <v>0</v>
      </c>
      <c r="AG550" s="4" cm="1">
        <f t="array" ref="AG55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50" s="4" cm="1">
        <f t="array" ref="AH5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5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50" s="178">
        <f t="shared" si="14"/>
        <v>12.552</v>
      </c>
      <c r="AK550" s="118">
        <f>IF(INVESTORS_LIST[[#This Row],[TOTAL CURRENT UNITS]]=0,0,INVESTORS_LIST[[#This Row],[TOTAL CURRENT UNITS]]*INVESTORS_LIST[[#This Row],[NAV]])</f>
        <v>0</v>
      </c>
      <c r="AL550" s="4">
        <f>IF(INVESTORS_LIST[[#This Row],[LS_TOTAL CURRENT UNITS]]=0,0,INVESTORS_LIST[[#This Row],[LS_TOTAL CURRENT UNITS]]*INVESTORS_LIST[[#This Row],[NAV]])</f>
        <v>0</v>
      </c>
      <c r="AM550" s="6">
        <f>IF(INVESTORS_LIST[[#This Row],[SIP_TOTAL CURRENT UNITS]]=0,0,INVESTORS_LIST[[#This Row],[SIP_TOTAL CURRENT UNITS]]*INVESTORS_LIST[[#This Row],[NAV]])</f>
        <v>0</v>
      </c>
      <c r="AO550" s="6">
        <f>IF(INVESTORS_LIST[[#This Row],[TOTAL SELLABLE UNITS]]=0,0,INVESTORS_LIST[[#This Row],[TOTAL SELLABLE UNITS]]*INVESTORS_LIST[[#This Row],[NAV]])</f>
        <v>0</v>
      </c>
      <c r="AP550" s="6">
        <f>INVESTORS_LIST[[#This Row],[LS_TOTAL REALIZED GAIN]]+INVESTORS_LIST[[#This Row],[SIP_TOTAL REALIZED GAIN]]</f>
        <v>0</v>
      </c>
      <c r="AQ550" s="6">
        <f>INVESTORS_LIST[[#This Row],[TOTAL MARKET VALUE]]-INVESTORS_LIST[[#This Row],[TOTAL COST VALUE OF CURRENT INVESTMENT]]</f>
        <v>0</v>
      </c>
      <c r="AR550" s="6">
        <f>SUMIFS(DivAndTax[Tax Amount],DivAndTax[Investor ID],INVESTORS_LIST[[#This Row],[INVESTOR CODE]])</f>
        <v>0</v>
      </c>
      <c r="AS550" s="6">
        <f>SUMIFS(DivAndTax[Gross Dividend],DivAndTax[Investor ID],INVESTORS_LIST[[#This Row],[INVESTOR CODE]])</f>
        <v>0</v>
      </c>
      <c r="AT550" s="5">
        <f>IFERROR(INVESTORS_LIST[[#This Row],[TOTAL CURRENT UNITS]]/SUM(INVESTORS_LIST[TOTAL CURRENT UNITS]),0)</f>
        <v>0</v>
      </c>
    </row>
    <row r="551" spans="1:46" hidden="1">
      <c r="A551" t="s">
        <v>1289</v>
      </c>
      <c r="B551" t="s">
        <v>1290</v>
      </c>
      <c r="C551" t="s">
        <v>539</v>
      </c>
      <c r="D551" s="8" t="s">
        <v>2</v>
      </c>
      <c r="E551" s="2">
        <f>SUMIFS(LS[Unit],LS[Investor ID],INVESTORS_LIST[[#This Row],[INVESTOR CODE]],LS[B/S],"B")</f>
        <v>0</v>
      </c>
      <c r="F551" s="2">
        <f>-SUMIFS(LS[Unit],LS[Investor ID],INVESTORS_LIST[[#This Row],[INVESTOR CODE]],LS[B/S],"S")</f>
        <v>0</v>
      </c>
      <c r="G551" s="2">
        <f>IF(INVESTORS_LIST[[#This Row],[LS_TOTAL UNITS BUY]]=0,0,INVESTORS_LIST[[#This Row],[LS_TOTAL UNITS BUY]]-INVESTORS_LIST[[#This Row],[LS_TOTAL UNITS SOLD]])</f>
        <v>0</v>
      </c>
      <c r="H551" s="4">
        <f>IF(INVESTORS_LIST[[#This Row],[LS_TOTAL UNITS BUY]]=0,0,SUMIFS(LS[Amount],LS[Investor ID],INVESTORS_LIST[[#This Row],[INVESTOR CODE]],LS[B/S],"B"))</f>
        <v>0</v>
      </c>
      <c r="I551" s="6">
        <f>IF(INVESTORS_LIST[[#This Row],[LS_TOTAL UNITS SOLD]]=0,0,SUMIFS(LS[Cost of Units Sold],LS[Investor ID],INVESTORS_LIST[[#This Row],[INVESTOR CODE]],LS[B/S],"S"))</f>
        <v>0</v>
      </c>
      <c r="J551" s="6">
        <f>IF(INVESTORS_LIST[[#This Row],[LS_TOTAL CURRENT UNITS]]=0,0,INVESTORS_LIST[[#This Row],[LS_TOTAL CURRENT UNITS]]*INVESTORS_LIST[[#This Row],[LS_AVERAGE COST]])</f>
        <v>0</v>
      </c>
      <c r="K551" s="4">
        <f>IF(INVESTORS_LIST[[#This Row],[LS_TOTAL UNITS SOLD]]=0,0,SUMIFS(LS[Realized Gain],LS[Investor ID],INVESTORS_LIST[[#This Row],[INVESTOR CODE]],LS[B/S],"S"))</f>
        <v>0</v>
      </c>
      <c r="L551" s="2">
        <f>SUMIFS(SIP[Unit],SIP[Investor ID],INVESTORS_LIST[[#This Row],[INVESTOR CODE]],SIP[B/S],"B")</f>
        <v>0</v>
      </c>
      <c r="M551" s="2">
        <f>-SUMIFS(SIP[Unit],SIP[Investor ID],INVESTORS_LIST[[#This Row],[INVESTOR CODE]],SIP[B/S],"S")</f>
        <v>0</v>
      </c>
      <c r="N551" s="33">
        <f>IF(INVESTORS_LIST[[#This Row],[SIP_TOTAL UNITS BUY]]=0,0,INVESTORS_LIST[[#This Row],[SIP_TOTAL UNITS BUY]]-INVESTORS_LIST[[#This Row],[SIP_TOTAL UNITS SOLD]])</f>
        <v>0</v>
      </c>
      <c r="O551" s="4">
        <f>IF(INVESTORS_LIST[[#This Row],[SIP_TOTAL UNITS BUY]]=0,0,SUMIFS(SIP[Amount],SIP[Investor ID],INVESTORS_LIST[[#This Row],[INVESTOR CODE]],SIP[B/S],"B"))</f>
        <v>0</v>
      </c>
      <c r="P551" s="4">
        <f>IF(INVESTORS_LIST[[#This Row],[SIP_TOTAL UNITS SOLD]]=0,0,SUMIFS(SIP[Cost of Units Sold],SIP[Investor ID],INVESTORS_LIST[[#This Row],[INVESTOR CODE]],SIP[B/S],"S"))</f>
        <v>0</v>
      </c>
      <c r="Q551" s="6">
        <f>IF(INVESTORS_LIST[[#This Row],[SIP_TOTAL CURRENT UNITS]]=0,0,INVESTORS_LIST[[#This Row],[SIP_TOTAL CURRENT UNITS]]*INVESTORS_LIST[[#This Row],[SIP_AVERAGE COST]])</f>
        <v>0</v>
      </c>
      <c r="R551" s="6">
        <f>IF(INVESTORS_LIST[[#This Row],[SIP_TOTAL UNITS SOLD]]=0,0,SUMIFS(SIP[Realized Gain],SIP[Investor ID],INVESTORS_LIST[[#This Row],[INVESTOR CODE]],SIP[B/S],"S"))</f>
        <v>0</v>
      </c>
      <c r="S551" s="33">
        <f>INVESTORS_LIST[[#This Row],[LS_TOTAL UNITS BUY]]+INVESTORS_LIST[[#This Row],[SIP_TOTAL UNITS BUY]]</f>
        <v>0</v>
      </c>
      <c r="T551" s="33">
        <f>INVESTORS_LIST[[#This Row],[LS_TOTAL UNITS SOLD]]+INVESTORS_LIST[[#This Row],[SIP_TOTAL UNITS SOLD]]</f>
        <v>0</v>
      </c>
      <c r="U551" s="33">
        <v>0</v>
      </c>
      <c r="V551" s="33">
        <f>SUMIFS(LS[BO UNIT TRANSFER],LS[Investor ID],INVESTORS_LIST[[#This Row],[INVESTOR CODE]],LS[B/S],"B")</f>
        <v>0</v>
      </c>
      <c r="W551" s="33">
        <f>SUMIFS(LS[BO UNIT TRANSFER],LS[Investor ID],INVESTORS_LIST[[#This Row],[INVESTOR CODE]],LS[B/S],"S")</f>
        <v>0</v>
      </c>
      <c r="X551" s="33">
        <f>SUMIFS(SIP[BO UNIT TRANSFER],SIP[Investor ID],INVESTORS_LIST[[#This Row],[INVESTOR CODE]],SIP[B/S],"S")</f>
        <v>0</v>
      </c>
      <c r="Y551" s="33">
        <f>SUMIFS(SIP[BO UNIT TRANSFER],SIP[Investor ID],INVESTORS_LIST[[#This Row],[INVESTOR CODE]],SIP[B/S],"B")</f>
        <v>0</v>
      </c>
      <c r="Z55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51" s="119">
        <f>INVESTORS_LIST[[#This Row],[TOTAL UNITS BUY]]-INVESTORS_LIST[[#This Row],[TOTAL UNITS SOLD]]</f>
        <v>0</v>
      </c>
      <c r="AB551" s="119">
        <f>INVESTORS_LIST[[#This Row],[TOTAL CURRENT UNITS]]-INVESTORS_LIST[[#This Row],[BO UNITS HOLD]]</f>
        <v>0</v>
      </c>
      <c r="AC551" s="119" t="e">
        <f>INDEX([4]!Table_1[BO ID],MATCH(INVESTORS_LIST[[#This Row],[INVESTOR CODE]],[4]!Table_1[INVESTOR CODE],0))</f>
        <v>#REF!</v>
      </c>
      <c r="AD551" s="33">
        <f>INVESTORS_LIST[[#This Row],[LS_TOTAL COST VALUE OF CURRENT UNITS]]+INVESTORS_LIST[[#This Row],[SIP_TOTAL COST VALUE OF CURRENT UNITS]]</f>
        <v>0</v>
      </c>
      <c r="AE551" s="44">
        <f>IF(INVESTORS_LIST[[#This Row],[TOTAL CURRENT UNITS]]=0,0,INVESTORS_LIST[[#This Row],[LS_TOTAL CURRENT UNITS]]/INVESTORS_LIST[[#This Row],[TOTAL CURRENT UNITS]])</f>
        <v>0</v>
      </c>
      <c r="AF551" s="44">
        <f>IF(INVESTORS_LIST[[#This Row],[TOTAL CURRENT UNITS]]=0,0,INVESTORS_LIST[[#This Row],[SIP_TOTAL CURRENT UNITS]]/INVESTORS_LIST[[#This Row],[TOTAL CURRENT UNITS]])</f>
        <v>0</v>
      </c>
      <c r="AG551" s="4" cm="1">
        <f t="array" ref="AG55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51" s="4" cm="1">
        <f t="array" ref="AH5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5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51" s="178">
        <f t="shared" si="14"/>
        <v>12.552</v>
      </c>
      <c r="AK551" s="118">
        <f>IF(INVESTORS_LIST[[#This Row],[TOTAL CURRENT UNITS]]=0,0,INVESTORS_LIST[[#This Row],[TOTAL CURRENT UNITS]]*INVESTORS_LIST[[#This Row],[NAV]])</f>
        <v>0</v>
      </c>
      <c r="AL551" s="4">
        <f>IF(INVESTORS_LIST[[#This Row],[LS_TOTAL CURRENT UNITS]]=0,0,INVESTORS_LIST[[#This Row],[LS_TOTAL CURRENT UNITS]]*INVESTORS_LIST[[#This Row],[NAV]])</f>
        <v>0</v>
      </c>
      <c r="AM551" s="6">
        <f>IF(INVESTORS_LIST[[#This Row],[SIP_TOTAL CURRENT UNITS]]=0,0,INVESTORS_LIST[[#This Row],[SIP_TOTAL CURRENT UNITS]]*INVESTORS_LIST[[#This Row],[NAV]])</f>
        <v>0</v>
      </c>
      <c r="AO551" s="6">
        <f>IF(INVESTORS_LIST[[#This Row],[TOTAL SELLABLE UNITS]]=0,0,INVESTORS_LIST[[#This Row],[TOTAL SELLABLE UNITS]]*INVESTORS_LIST[[#This Row],[NAV]])</f>
        <v>0</v>
      </c>
      <c r="AP551" s="6">
        <f>INVESTORS_LIST[[#This Row],[LS_TOTAL REALIZED GAIN]]+INVESTORS_LIST[[#This Row],[SIP_TOTAL REALIZED GAIN]]</f>
        <v>0</v>
      </c>
      <c r="AQ551" s="6">
        <f>INVESTORS_LIST[[#This Row],[TOTAL MARKET VALUE]]-INVESTORS_LIST[[#This Row],[TOTAL COST VALUE OF CURRENT INVESTMENT]]</f>
        <v>0</v>
      </c>
      <c r="AR551" s="6">
        <f>SUMIFS(DivAndTax[Tax Amount],DivAndTax[Investor ID],INVESTORS_LIST[[#This Row],[INVESTOR CODE]])</f>
        <v>0</v>
      </c>
      <c r="AS551" s="6">
        <f>SUMIFS(DivAndTax[Gross Dividend],DivAndTax[Investor ID],INVESTORS_LIST[[#This Row],[INVESTOR CODE]])</f>
        <v>0</v>
      </c>
      <c r="AT551" s="5">
        <f>IFERROR(INVESTORS_LIST[[#This Row],[TOTAL CURRENT UNITS]]/SUM(INVESTORS_LIST[TOTAL CURRENT UNITS]),0)</f>
        <v>0</v>
      </c>
    </row>
    <row r="552" spans="1:46" hidden="1">
      <c r="A552" t="s">
        <v>1291</v>
      </c>
      <c r="B552" t="s">
        <v>1292</v>
      </c>
      <c r="C552" t="s">
        <v>539</v>
      </c>
      <c r="D552" s="8" t="s">
        <v>2</v>
      </c>
      <c r="E552" s="2">
        <f>SUMIFS(LS[Unit],LS[Investor ID],INVESTORS_LIST[[#This Row],[INVESTOR CODE]],LS[B/S],"B")</f>
        <v>0</v>
      </c>
      <c r="F552" s="2">
        <f>-SUMIFS(LS[Unit],LS[Investor ID],INVESTORS_LIST[[#This Row],[INVESTOR CODE]],LS[B/S],"S")</f>
        <v>0</v>
      </c>
      <c r="G552" s="2">
        <f>IF(INVESTORS_LIST[[#This Row],[LS_TOTAL UNITS BUY]]=0,0,INVESTORS_LIST[[#This Row],[LS_TOTAL UNITS BUY]]-INVESTORS_LIST[[#This Row],[LS_TOTAL UNITS SOLD]])</f>
        <v>0</v>
      </c>
      <c r="H552" s="4">
        <f>IF(INVESTORS_LIST[[#This Row],[LS_TOTAL UNITS BUY]]=0,0,SUMIFS(LS[Amount],LS[Investor ID],INVESTORS_LIST[[#This Row],[INVESTOR CODE]],LS[B/S],"B"))</f>
        <v>0</v>
      </c>
      <c r="I552" s="6">
        <f>IF(INVESTORS_LIST[[#This Row],[LS_TOTAL UNITS SOLD]]=0,0,SUMIFS(LS[Cost of Units Sold],LS[Investor ID],INVESTORS_LIST[[#This Row],[INVESTOR CODE]],LS[B/S],"S"))</f>
        <v>0</v>
      </c>
      <c r="J552" s="6">
        <f>IF(INVESTORS_LIST[[#This Row],[LS_TOTAL CURRENT UNITS]]=0,0,INVESTORS_LIST[[#This Row],[LS_TOTAL CURRENT UNITS]]*INVESTORS_LIST[[#This Row],[LS_AVERAGE COST]])</f>
        <v>0</v>
      </c>
      <c r="K552" s="4">
        <f>IF(INVESTORS_LIST[[#This Row],[LS_TOTAL UNITS SOLD]]=0,0,SUMIFS(LS[Realized Gain],LS[Investor ID],INVESTORS_LIST[[#This Row],[INVESTOR CODE]],LS[B/S],"S"))</f>
        <v>0</v>
      </c>
      <c r="L552" s="2">
        <f>SUMIFS(SIP[Unit],SIP[Investor ID],INVESTORS_LIST[[#This Row],[INVESTOR CODE]],SIP[B/S],"B")</f>
        <v>0</v>
      </c>
      <c r="M552" s="2">
        <f>-SUMIFS(SIP[Unit],SIP[Investor ID],INVESTORS_LIST[[#This Row],[INVESTOR CODE]],SIP[B/S],"S")</f>
        <v>0</v>
      </c>
      <c r="N552" s="33">
        <f>IF(INVESTORS_LIST[[#This Row],[SIP_TOTAL UNITS BUY]]=0,0,INVESTORS_LIST[[#This Row],[SIP_TOTAL UNITS BUY]]-INVESTORS_LIST[[#This Row],[SIP_TOTAL UNITS SOLD]])</f>
        <v>0</v>
      </c>
      <c r="O552" s="4">
        <f>IF(INVESTORS_LIST[[#This Row],[SIP_TOTAL UNITS BUY]]=0,0,SUMIFS(SIP[Amount],SIP[Investor ID],INVESTORS_LIST[[#This Row],[INVESTOR CODE]],SIP[B/S],"B"))</f>
        <v>0</v>
      </c>
      <c r="P552" s="4">
        <f>IF(INVESTORS_LIST[[#This Row],[SIP_TOTAL UNITS SOLD]]=0,0,SUMIFS(SIP[Cost of Units Sold],SIP[Investor ID],INVESTORS_LIST[[#This Row],[INVESTOR CODE]],SIP[B/S],"S"))</f>
        <v>0</v>
      </c>
      <c r="Q552" s="6">
        <f>IF(INVESTORS_LIST[[#This Row],[SIP_TOTAL CURRENT UNITS]]=0,0,INVESTORS_LIST[[#This Row],[SIP_TOTAL CURRENT UNITS]]*INVESTORS_LIST[[#This Row],[SIP_AVERAGE COST]])</f>
        <v>0</v>
      </c>
      <c r="R552" s="6">
        <f>IF(INVESTORS_LIST[[#This Row],[SIP_TOTAL UNITS SOLD]]=0,0,SUMIFS(SIP[Realized Gain],SIP[Investor ID],INVESTORS_LIST[[#This Row],[INVESTOR CODE]],SIP[B/S],"S"))</f>
        <v>0</v>
      </c>
      <c r="S552" s="33">
        <f>INVESTORS_LIST[[#This Row],[LS_TOTAL UNITS BUY]]+INVESTORS_LIST[[#This Row],[SIP_TOTAL UNITS BUY]]</f>
        <v>0</v>
      </c>
      <c r="T552" s="33">
        <f>INVESTORS_LIST[[#This Row],[LS_TOTAL UNITS SOLD]]+INVESTORS_LIST[[#This Row],[SIP_TOTAL UNITS SOLD]]</f>
        <v>0</v>
      </c>
      <c r="U552" s="33">
        <v>0</v>
      </c>
      <c r="V552" s="33">
        <f>SUMIFS(LS[BO UNIT TRANSFER],LS[Investor ID],INVESTORS_LIST[[#This Row],[INVESTOR CODE]],LS[B/S],"B")</f>
        <v>0</v>
      </c>
      <c r="W552" s="33">
        <f>SUMIFS(LS[BO UNIT TRANSFER],LS[Investor ID],INVESTORS_LIST[[#This Row],[INVESTOR CODE]],LS[B/S],"S")</f>
        <v>0</v>
      </c>
      <c r="X552" s="33">
        <f>SUMIFS(SIP[BO UNIT TRANSFER],SIP[Investor ID],INVESTORS_LIST[[#This Row],[INVESTOR CODE]],SIP[B/S],"S")</f>
        <v>0</v>
      </c>
      <c r="Y552" s="33">
        <f>SUMIFS(SIP[BO UNIT TRANSFER],SIP[Investor ID],INVESTORS_LIST[[#This Row],[INVESTOR CODE]],SIP[B/S],"B")</f>
        <v>0</v>
      </c>
      <c r="Z55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52" s="119">
        <f>INVESTORS_LIST[[#This Row],[TOTAL UNITS BUY]]-INVESTORS_LIST[[#This Row],[TOTAL UNITS SOLD]]</f>
        <v>0</v>
      </c>
      <c r="AB552" s="119">
        <f>INVESTORS_LIST[[#This Row],[TOTAL CURRENT UNITS]]-INVESTORS_LIST[[#This Row],[BO UNITS HOLD]]</f>
        <v>0</v>
      </c>
      <c r="AC552" s="119" t="e">
        <f>INDEX([4]!Table_1[BO ID],MATCH(INVESTORS_LIST[[#This Row],[INVESTOR CODE]],[4]!Table_1[INVESTOR CODE],0))</f>
        <v>#REF!</v>
      </c>
      <c r="AD552" s="33">
        <f>INVESTORS_LIST[[#This Row],[LS_TOTAL COST VALUE OF CURRENT UNITS]]+INVESTORS_LIST[[#This Row],[SIP_TOTAL COST VALUE OF CURRENT UNITS]]</f>
        <v>0</v>
      </c>
      <c r="AE552" s="44">
        <f>IF(INVESTORS_LIST[[#This Row],[TOTAL CURRENT UNITS]]=0,0,INVESTORS_LIST[[#This Row],[LS_TOTAL CURRENT UNITS]]/INVESTORS_LIST[[#This Row],[TOTAL CURRENT UNITS]])</f>
        <v>0</v>
      </c>
      <c r="AF552" s="44">
        <f>IF(INVESTORS_LIST[[#This Row],[TOTAL CURRENT UNITS]]=0,0,INVESTORS_LIST[[#This Row],[SIP_TOTAL CURRENT UNITS]]/INVESTORS_LIST[[#This Row],[TOTAL CURRENT UNITS]])</f>
        <v>0</v>
      </c>
      <c r="AG552" s="4" cm="1">
        <f t="array" ref="AG55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52" s="4" cm="1">
        <f t="array" ref="AH5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5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52" s="178">
        <f t="shared" si="14"/>
        <v>12.552</v>
      </c>
      <c r="AK552" s="118">
        <f>IF(INVESTORS_LIST[[#This Row],[TOTAL CURRENT UNITS]]=0,0,INVESTORS_LIST[[#This Row],[TOTAL CURRENT UNITS]]*INVESTORS_LIST[[#This Row],[NAV]])</f>
        <v>0</v>
      </c>
      <c r="AL552" s="4">
        <f>IF(INVESTORS_LIST[[#This Row],[LS_TOTAL CURRENT UNITS]]=0,0,INVESTORS_LIST[[#This Row],[LS_TOTAL CURRENT UNITS]]*INVESTORS_LIST[[#This Row],[NAV]])</f>
        <v>0</v>
      </c>
      <c r="AM552" s="6">
        <f>IF(INVESTORS_LIST[[#This Row],[SIP_TOTAL CURRENT UNITS]]=0,0,INVESTORS_LIST[[#This Row],[SIP_TOTAL CURRENT UNITS]]*INVESTORS_LIST[[#This Row],[NAV]])</f>
        <v>0</v>
      </c>
      <c r="AO552" s="6">
        <f>IF(INVESTORS_LIST[[#This Row],[TOTAL SELLABLE UNITS]]=0,0,INVESTORS_LIST[[#This Row],[TOTAL SELLABLE UNITS]]*INVESTORS_LIST[[#This Row],[NAV]])</f>
        <v>0</v>
      </c>
      <c r="AP552" s="6">
        <f>INVESTORS_LIST[[#This Row],[LS_TOTAL REALIZED GAIN]]+INVESTORS_LIST[[#This Row],[SIP_TOTAL REALIZED GAIN]]</f>
        <v>0</v>
      </c>
      <c r="AQ552" s="6">
        <f>INVESTORS_LIST[[#This Row],[TOTAL MARKET VALUE]]-INVESTORS_LIST[[#This Row],[TOTAL COST VALUE OF CURRENT INVESTMENT]]</f>
        <v>0</v>
      </c>
      <c r="AR552" s="6">
        <f>SUMIFS(DivAndTax[Tax Amount],DivAndTax[Investor ID],INVESTORS_LIST[[#This Row],[INVESTOR CODE]])</f>
        <v>0</v>
      </c>
      <c r="AS552" s="6">
        <f>SUMIFS(DivAndTax[Gross Dividend],DivAndTax[Investor ID],INVESTORS_LIST[[#This Row],[INVESTOR CODE]])</f>
        <v>0</v>
      </c>
      <c r="AT552" s="5">
        <f>IFERROR(INVESTORS_LIST[[#This Row],[TOTAL CURRENT UNITS]]/SUM(INVESTORS_LIST[TOTAL CURRENT UNITS]),0)</f>
        <v>0</v>
      </c>
    </row>
    <row r="553" spans="1:46" hidden="1">
      <c r="A553" t="s">
        <v>1293</v>
      </c>
      <c r="B553" t="s">
        <v>1294</v>
      </c>
      <c r="C553" t="s">
        <v>536</v>
      </c>
      <c r="D553" s="8" t="s">
        <v>2</v>
      </c>
      <c r="E553" s="2">
        <f>SUMIFS(LS[Unit],LS[Investor ID],INVESTORS_LIST[[#This Row],[INVESTOR CODE]],LS[B/S],"B")</f>
        <v>0</v>
      </c>
      <c r="F553" s="2">
        <f>-SUMIFS(LS[Unit],LS[Investor ID],INVESTORS_LIST[[#This Row],[INVESTOR CODE]],LS[B/S],"S")</f>
        <v>0</v>
      </c>
      <c r="G553" s="2">
        <f>IF(INVESTORS_LIST[[#This Row],[LS_TOTAL UNITS BUY]]=0,0,INVESTORS_LIST[[#This Row],[LS_TOTAL UNITS BUY]]-INVESTORS_LIST[[#This Row],[LS_TOTAL UNITS SOLD]])</f>
        <v>0</v>
      </c>
      <c r="H553" s="4">
        <f>IF(INVESTORS_LIST[[#This Row],[LS_TOTAL UNITS BUY]]=0,0,SUMIFS(LS[Amount],LS[Investor ID],INVESTORS_LIST[[#This Row],[INVESTOR CODE]],LS[B/S],"B"))</f>
        <v>0</v>
      </c>
      <c r="I553" s="6">
        <f>IF(INVESTORS_LIST[[#This Row],[LS_TOTAL UNITS SOLD]]=0,0,SUMIFS(LS[Cost of Units Sold],LS[Investor ID],INVESTORS_LIST[[#This Row],[INVESTOR CODE]],LS[B/S],"S"))</f>
        <v>0</v>
      </c>
      <c r="J553" s="6">
        <f>IF(INVESTORS_LIST[[#This Row],[LS_TOTAL CURRENT UNITS]]=0,0,INVESTORS_LIST[[#This Row],[LS_TOTAL CURRENT UNITS]]*INVESTORS_LIST[[#This Row],[LS_AVERAGE COST]])</f>
        <v>0</v>
      </c>
      <c r="K553" s="4">
        <f>IF(INVESTORS_LIST[[#This Row],[LS_TOTAL UNITS SOLD]]=0,0,SUMIFS(LS[Realized Gain],LS[Investor ID],INVESTORS_LIST[[#This Row],[INVESTOR CODE]],LS[B/S],"S"))</f>
        <v>0</v>
      </c>
      <c r="L553" s="2">
        <f>SUMIFS(SIP[Unit],SIP[Investor ID],INVESTORS_LIST[[#This Row],[INVESTOR CODE]],SIP[B/S],"B")</f>
        <v>0</v>
      </c>
      <c r="M553" s="2">
        <f>-SUMIFS(SIP[Unit],SIP[Investor ID],INVESTORS_LIST[[#This Row],[INVESTOR CODE]],SIP[B/S],"S")</f>
        <v>0</v>
      </c>
      <c r="N553" s="33">
        <f>IF(INVESTORS_LIST[[#This Row],[SIP_TOTAL UNITS BUY]]=0,0,INVESTORS_LIST[[#This Row],[SIP_TOTAL UNITS BUY]]-INVESTORS_LIST[[#This Row],[SIP_TOTAL UNITS SOLD]])</f>
        <v>0</v>
      </c>
      <c r="O553" s="4">
        <f>IF(INVESTORS_LIST[[#This Row],[SIP_TOTAL UNITS BUY]]=0,0,SUMIFS(SIP[Amount],SIP[Investor ID],INVESTORS_LIST[[#This Row],[INVESTOR CODE]],SIP[B/S],"B"))</f>
        <v>0</v>
      </c>
      <c r="P553" s="4">
        <f>IF(INVESTORS_LIST[[#This Row],[SIP_TOTAL UNITS SOLD]]=0,0,SUMIFS(SIP[Cost of Units Sold],SIP[Investor ID],INVESTORS_LIST[[#This Row],[INVESTOR CODE]],SIP[B/S],"S"))</f>
        <v>0</v>
      </c>
      <c r="Q553" s="6">
        <f>IF(INVESTORS_LIST[[#This Row],[SIP_TOTAL CURRENT UNITS]]=0,0,INVESTORS_LIST[[#This Row],[SIP_TOTAL CURRENT UNITS]]*INVESTORS_LIST[[#This Row],[SIP_AVERAGE COST]])</f>
        <v>0</v>
      </c>
      <c r="R553" s="6">
        <f>IF(INVESTORS_LIST[[#This Row],[SIP_TOTAL UNITS SOLD]]=0,0,SUMIFS(SIP[Realized Gain],SIP[Investor ID],INVESTORS_LIST[[#This Row],[INVESTOR CODE]],SIP[B/S],"S"))</f>
        <v>0</v>
      </c>
      <c r="S553" s="33">
        <f>INVESTORS_LIST[[#This Row],[LS_TOTAL UNITS BUY]]+INVESTORS_LIST[[#This Row],[SIP_TOTAL UNITS BUY]]</f>
        <v>0</v>
      </c>
      <c r="T553" s="33">
        <f>INVESTORS_LIST[[#This Row],[LS_TOTAL UNITS SOLD]]+INVESTORS_LIST[[#This Row],[SIP_TOTAL UNITS SOLD]]</f>
        <v>0</v>
      </c>
      <c r="U553" s="33">
        <v>0</v>
      </c>
      <c r="V553" s="33">
        <f>SUMIFS(LS[BO UNIT TRANSFER],LS[Investor ID],INVESTORS_LIST[[#This Row],[INVESTOR CODE]],LS[B/S],"B")</f>
        <v>0</v>
      </c>
      <c r="W553" s="33">
        <f>SUMIFS(LS[BO UNIT TRANSFER],LS[Investor ID],INVESTORS_LIST[[#This Row],[INVESTOR CODE]],LS[B/S],"S")</f>
        <v>0</v>
      </c>
      <c r="X553" s="33">
        <f>SUMIFS(SIP[BO UNIT TRANSFER],SIP[Investor ID],INVESTORS_LIST[[#This Row],[INVESTOR CODE]],SIP[B/S],"S")</f>
        <v>0</v>
      </c>
      <c r="Y553" s="33">
        <f>SUMIFS(SIP[BO UNIT TRANSFER],SIP[Investor ID],INVESTORS_LIST[[#This Row],[INVESTOR CODE]],SIP[B/S],"B")</f>
        <v>0</v>
      </c>
      <c r="Z55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53" s="119">
        <f>INVESTORS_LIST[[#This Row],[TOTAL UNITS BUY]]-INVESTORS_LIST[[#This Row],[TOTAL UNITS SOLD]]</f>
        <v>0</v>
      </c>
      <c r="AB553" s="119">
        <f>INVESTORS_LIST[[#This Row],[TOTAL CURRENT UNITS]]-INVESTORS_LIST[[#This Row],[BO UNITS HOLD]]</f>
        <v>0</v>
      </c>
      <c r="AC553" s="119" t="e">
        <f>INDEX([4]!Table_1[BO ID],MATCH(INVESTORS_LIST[[#This Row],[INVESTOR CODE]],[4]!Table_1[INVESTOR CODE],0))</f>
        <v>#REF!</v>
      </c>
      <c r="AD553" s="33">
        <f>INVESTORS_LIST[[#This Row],[LS_TOTAL COST VALUE OF CURRENT UNITS]]+INVESTORS_LIST[[#This Row],[SIP_TOTAL COST VALUE OF CURRENT UNITS]]</f>
        <v>0</v>
      </c>
      <c r="AE553" s="44">
        <f>IF(INVESTORS_LIST[[#This Row],[TOTAL CURRENT UNITS]]=0,0,INVESTORS_LIST[[#This Row],[LS_TOTAL CURRENT UNITS]]/INVESTORS_LIST[[#This Row],[TOTAL CURRENT UNITS]])</f>
        <v>0</v>
      </c>
      <c r="AF553" s="44">
        <f>IF(INVESTORS_LIST[[#This Row],[TOTAL CURRENT UNITS]]=0,0,INVESTORS_LIST[[#This Row],[SIP_TOTAL CURRENT UNITS]]/INVESTORS_LIST[[#This Row],[TOTAL CURRENT UNITS]])</f>
        <v>0</v>
      </c>
      <c r="AG553" s="4" cm="1">
        <f t="array" ref="AG55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53" s="4" cm="1">
        <f t="array" ref="AH5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5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53" s="178">
        <f t="shared" si="14"/>
        <v>12.552</v>
      </c>
      <c r="AK553" s="118">
        <f>IF(INVESTORS_LIST[[#This Row],[TOTAL CURRENT UNITS]]=0,0,INVESTORS_LIST[[#This Row],[TOTAL CURRENT UNITS]]*INVESTORS_LIST[[#This Row],[NAV]])</f>
        <v>0</v>
      </c>
      <c r="AL553" s="4">
        <f>IF(INVESTORS_LIST[[#This Row],[LS_TOTAL CURRENT UNITS]]=0,0,INVESTORS_LIST[[#This Row],[LS_TOTAL CURRENT UNITS]]*INVESTORS_LIST[[#This Row],[NAV]])</f>
        <v>0</v>
      </c>
      <c r="AM553" s="6">
        <f>IF(INVESTORS_LIST[[#This Row],[SIP_TOTAL CURRENT UNITS]]=0,0,INVESTORS_LIST[[#This Row],[SIP_TOTAL CURRENT UNITS]]*INVESTORS_LIST[[#This Row],[NAV]])</f>
        <v>0</v>
      </c>
      <c r="AO553" s="6">
        <f>IF(INVESTORS_LIST[[#This Row],[TOTAL SELLABLE UNITS]]=0,0,INVESTORS_LIST[[#This Row],[TOTAL SELLABLE UNITS]]*INVESTORS_LIST[[#This Row],[NAV]])</f>
        <v>0</v>
      </c>
      <c r="AP553" s="6">
        <f>INVESTORS_LIST[[#This Row],[LS_TOTAL REALIZED GAIN]]+INVESTORS_LIST[[#This Row],[SIP_TOTAL REALIZED GAIN]]</f>
        <v>0</v>
      </c>
      <c r="AQ553" s="6">
        <f>INVESTORS_LIST[[#This Row],[TOTAL MARKET VALUE]]-INVESTORS_LIST[[#This Row],[TOTAL COST VALUE OF CURRENT INVESTMENT]]</f>
        <v>0</v>
      </c>
      <c r="AR553" s="6">
        <f>SUMIFS(DivAndTax[Tax Amount],DivAndTax[Investor ID],INVESTORS_LIST[[#This Row],[INVESTOR CODE]])</f>
        <v>0</v>
      </c>
      <c r="AS553" s="6">
        <f>SUMIFS(DivAndTax[Gross Dividend],DivAndTax[Investor ID],INVESTORS_LIST[[#This Row],[INVESTOR CODE]])</f>
        <v>0</v>
      </c>
      <c r="AT553" s="5">
        <f>IFERROR(INVESTORS_LIST[[#This Row],[TOTAL CURRENT UNITS]]/SUM(INVESTORS_LIST[TOTAL CURRENT UNITS]),0)</f>
        <v>0</v>
      </c>
    </row>
    <row r="554" spans="1:46" hidden="1">
      <c r="A554" t="s">
        <v>1295</v>
      </c>
      <c r="B554" t="s">
        <v>1296</v>
      </c>
      <c r="C554" t="s">
        <v>537</v>
      </c>
      <c r="D554" s="8" t="s">
        <v>5</v>
      </c>
      <c r="E554" s="2">
        <f>SUMIFS(LS[Unit],LS[Investor ID],INVESTORS_LIST[[#This Row],[INVESTOR CODE]],LS[B/S],"B")</f>
        <v>0</v>
      </c>
      <c r="F554" s="2">
        <f>-SUMIFS(LS[Unit],LS[Investor ID],INVESTORS_LIST[[#This Row],[INVESTOR CODE]],LS[B/S],"S")</f>
        <v>0</v>
      </c>
      <c r="G554" s="2">
        <f>IF(INVESTORS_LIST[[#This Row],[LS_TOTAL UNITS BUY]]=0,0,INVESTORS_LIST[[#This Row],[LS_TOTAL UNITS BUY]]-INVESTORS_LIST[[#This Row],[LS_TOTAL UNITS SOLD]])</f>
        <v>0</v>
      </c>
      <c r="H554" s="4">
        <f>IF(INVESTORS_LIST[[#This Row],[LS_TOTAL UNITS BUY]]=0,0,SUMIFS(LS[Amount],LS[Investor ID],INVESTORS_LIST[[#This Row],[INVESTOR CODE]],LS[B/S],"B"))</f>
        <v>0</v>
      </c>
      <c r="I554" s="6">
        <f>IF(INVESTORS_LIST[[#This Row],[LS_TOTAL UNITS SOLD]]=0,0,SUMIFS(LS[Cost of Units Sold],LS[Investor ID],INVESTORS_LIST[[#This Row],[INVESTOR CODE]],LS[B/S],"S"))</f>
        <v>0</v>
      </c>
      <c r="J554" s="6">
        <f>IF(INVESTORS_LIST[[#This Row],[LS_TOTAL CURRENT UNITS]]=0,0,INVESTORS_LIST[[#This Row],[LS_TOTAL CURRENT UNITS]]*INVESTORS_LIST[[#This Row],[LS_AVERAGE COST]])</f>
        <v>0</v>
      </c>
      <c r="K554" s="4">
        <f>IF(INVESTORS_LIST[[#This Row],[LS_TOTAL UNITS SOLD]]=0,0,SUMIFS(LS[Realized Gain],LS[Investor ID],INVESTORS_LIST[[#This Row],[INVESTOR CODE]],LS[B/S],"S"))</f>
        <v>0</v>
      </c>
      <c r="L554" s="2">
        <f>SUMIFS(SIP[Unit],SIP[Investor ID],INVESTORS_LIST[[#This Row],[INVESTOR CODE]],SIP[B/S],"B")</f>
        <v>0</v>
      </c>
      <c r="M554" s="2">
        <f>-SUMIFS(SIP[Unit],SIP[Investor ID],INVESTORS_LIST[[#This Row],[INVESTOR CODE]],SIP[B/S],"S")</f>
        <v>0</v>
      </c>
      <c r="N554" s="33">
        <f>IF(INVESTORS_LIST[[#This Row],[SIP_TOTAL UNITS BUY]]=0,0,INVESTORS_LIST[[#This Row],[SIP_TOTAL UNITS BUY]]-INVESTORS_LIST[[#This Row],[SIP_TOTAL UNITS SOLD]])</f>
        <v>0</v>
      </c>
      <c r="O554" s="4">
        <f>IF(INVESTORS_LIST[[#This Row],[SIP_TOTAL UNITS BUY]]=0,0,SUMIFS(SIP[Amount],SIP[Investor ID],INVESTORS_LIST[[#This Row],[INVESTOR CODE]],SIP[B/S],"B"))</f>
        <v>0</v>
      </c>
      <c r="P554" s="4">
        <f>IF(INVESTORS_LIST[[#This Row],[SIP_TOTAL UNITS SOLD]]=0,0,SUMIFS(SIP[Cost of Units Sold],SIP[Investor ID],INVESTORS_LIST[[#This Row],[INVESTOR CODE]],SIP[B/S],"S"))</f>
        <v>0</v>
      </c>
      <c r="Q554" s="6">
        <f>IF(INVESTORS_LIST[[#This Row],[SIP_TOTAL CURRENT UNITS]]=0,0,INVESTORS_LIST[[#This Row],[SIP_TOTAL CURRENT UNITS]]*INVESTORS_LIST[[#This Row],[SIP_AVERAGE COST]])</f>
        <v>0</v>
      </c>
      <c r="R554" s="6">
        <f>IF(INVESTORS_LIST[[#This Row],[SIP_TOTAL UNITS SOLD]]=0,0,SUMIFS(SIP[Realized Gain],SIP[Investor ID],INVESTORS_LIST[[#This Row],[INVESTOR CODE]],SIP[B/S],"S"))</f>
        <v>0</v>
      </c>
      <c r="S554" s="33">
        <f>INVESTORS_LIST[[#This Row],[LS_TOTAL UNITS BUY]]+INVESTORS_LIST[[#This Row],[SIP_TOTAL UNITS BUY]]</f>
        <v>0</v>
      </c>
      <c r="T554" s="33">
        <f>INVESTORS_LIST[[#This Row],[LS_TOTAL UNITS SOLD]]+INVESTORS_LIST[[#This Row],[SIP_TOTAL UNITS SOLD]]</f>
        <v>0</v>
      </c>
      <c r="U554" s="33">
        <v>0</v>
      </c>
      <c r="V554" s="33">
        <f>SUMIFS(LS[BO UNIT TRANSFER],LS[Investor ID],INVESTORS_LIST[[#This Row],[INVESTOR CODE]],LS[B/S],"B")</f>
        <v>0</v>
      </c>
      <c r="W554" s="33">
        <f>SUMIFS(LS[BO UNIT TRANSFER],LS[Investor ID],INVESTORS_LIST[[#This Row],[INVESTOR CODE]],LS[B/S],"S")</f>
        <v>0</v>
      </c>
      <c r="X554" s="33">
        <f>SUMIFS(SIP[BO UNIT TRANSFER],SIP[Investor ID],INVESTORS_LIST[[#This Row],[INVESTOR CODE]],SIP[B/S],"S")</f>
        <v>0</v>
      </c>
      <c r="Y554" s="33">
        <f>SUMIFS(SIP[BO UNIT TRANSFER],SIP[Investor ID],INVESTORS_LIST[[#This Row],[INVESTOR CODE]],SIP[B/S],"B")</f>
        <v>0</v>
      </c>
      <c r="Z55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54" s="119">
        <f>INVESTORS_LIST[[#This Row],[TOTAL UNITS BUY]]-INVESTORS_LIST[[#This Row],[TOTAL UNITS SOLD]]</f>
        <v>0</v>
      </c>
      <c r="AB554" s="119">
        <f>INVESTORS_LIST[[#This Row],[TOTAL CURRENT UNITS]]-INVESTORS_LIST[[#This Row],[BO UNITS HOLD]]</f>
        <v>0</v>
      </c>
      <c r="AC554" s="119" t="e">
        <f>INDEX([4]!Table_1[BO ID],MATCH(INVESTORS_LIST[[#This Row],[INVESTOR CODE]],[4]!Table_1[INVESTOR CODE],0))</f>
        <v>#REF!</v>
      </c>
      <c r="AD554" s="33">
        <f>INVESTORS_LIST[[#This Row],[LS_TOTAL COST VALUE OF CURRENT UNITS]]+INVESTORS_LIST[[#This Row],[SIP_TOTAL COST VALUE OF CURRENT UNITS]]</f>
        <v>0</v>
      </c>
      <c r="AE554" s="44">
        <f>IF(INVESTORS_LIST[[#This Row],[TOTAL CURRENT UNITS]]=0,0,INVESTORS_LIST[[#This Row],[LS_TOTAL CURRENT UNITS]]/INVESTORS_LIST[[#This Row],[TOTAL CURRENT UNITS]])</f>
        <v>0</v>
      </c>
      <c r="AF554" s="44">
        <f>IF(INVESTORS_LIST[[#This Row],[TOTAL CURRENT UNITS]]=0,0,INVESTORS_LIST[[#This Row],[SIP_TOTAL CURRENT UNITS]]/INVESTORS_LIST[[#This Row],[TOTAL CURRENT UNITS]])</f>
        <v>0</v>
      </c>
      <c r="AG554" s="4" cm="1">
        <f t="array" ref="AG55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54" s="4" cm="1">
        <f t="array" ref="AH5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5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54" s="178">
        <f t="shared" si="14"/>
        <v>12.552</v>
      </c>
      <c r="AK554" s="118">
        <f>IF(INVESTORS_LIST[[#This Row],[TOTAL CURRENT UNITS]]=0,0,INVESTORS_LIST[[#This Row],[TOTAL CURRENT UNITS]]*INVESTORS_LIST[[#This Row],[NAV]])</f>
        <v>0</v>
      </c>
      <c r="AL554" s="4">
        <f>IF(INVESTORS_LIST[[#This Row],[LS_TOTAL CURRENT UNITS]]=0,0,INVESTORS_LIST[[#This Row],[LS_TOTAL CURRENT UNITS]]*INVESTORS_LIST[[#This Row],[NAV]])</f>
        <v>0</v>
      </c>
      <c r="AM554" s="6">
        <f>IF(INVESTORS_LIST[[#This Row],[SIP_TOTAL CURRENT UNITS]]=0,0,INVESTORS_LIST[[#This Row],[SIP_TOTAL CURRENT UNITS]]*INVESTORS_LIST[[#This Row],[NAV]])</f>
        <v>0</v>
      </c>
      <c r="AO554" s="6">
        <f>IF(INVESTORS_LIST[[#This Row],[TOTAL SELLABLE UNITS]]=0,0,INVESTORS_LIST[[#This Row],[TOTAL SELLABLE UNITS]]*INVESTORS_LIST[[#This Row],[NAV]])</f>
        <v>0</v>
      </c>
      <c r="AP554" s="6">
        <f>INVESTORS_LIST[[#This Row],[LS_TOTAL REALIZED GAIN]]+INVESTORS_LIST[[#This Row],[SIP_TOTAL REALIZED GAIN]]</f>
        <v>0</v>
      </c>
      <c r="AQ554" s="6">
        <f>INVESTORS_LIST[[#This Row],[TOTAL MARKET VALUE]]-INVESTORS_LIST[[#This Row],[TOTAL COST VALUE OF CURRENT INVESTMENT]]</f>
        <v>0</v>
      </c>
      <c r="AR554" s="6">
        <f>SUMIFS(DivAndTax[Tax Amount],DivAndTax[Investor ID],INVESTORS_LIST[[#This Row],[INVESTOR CODE]])</f>
        <v>0</v>
      </c>
      <c r="AS554" s="6">
        <f>SUMIFS(DivAndTax[Gross Dividend],DivAndTax[Investor ID],INVESTORS_LIST[[#This Row],[INVESTOR CODE]])</f>
        <v>0</v>
      </c>
      <c r="AT554" s="5">
        <f>IFERROR(INVESTORS_LIST[[#This Row],[TOTAL CURRENT UNITS]]/SUM(INVESTORS_LIST[TOTAL CURRENT UNITS]),0)</f>
        <v>0</v>
      </c>
    </row>
    <row r="555" spans="1:46" hidden="1">
      <c r="A555" t="s">
        <v>1297</v>
      </c>
      <c r="B555" t="s">
        <v>1298</v>
      </c>
      <c r="C555" t="s">
        <v>539</v>
      </c>
      <c r="D555" s="8" t="s">
        <v>2</v>
      </c>
      <c r="E555" s="2">
        <f>SUMIFS(LS[Unit],LS[Investor ID],INVESTORS_LIST[[#This Row],[INVESTOR CODE]],LS[B/S],"B")</f>
        <v>0</v>
      </c>
      <c r="F555" s="2">
        <f>-SUMIFS(LS[Unit],LS[Investor ID],INVESTORS_LIST[[#This Row],[INVESTOR CODE]],LS[B/S],"S")</f>
        <v>0</v>
      </c>
      <c r="G555" s="2">
        <f>IF(INVESTORS_LIST[[#This Row],[LS_TOTAL UNITS BUY]]=0,0,INVESTORS_LIST[[#This Row],[LS_TOTAL UNITS BUY]]-INVESTORS_LIST[[#This Row],[LS_TOTAL UNITS SOLD]])</f>
        <v>0</v>
      </c>
      <c r="H555" s="4">
        <f>IF(INVESTORS_LIST[[#This Row],[LS_TOTAL UNITS BUY]]=0,0,SUMIFS(LS[Amount],LS[Investor ID],INVESTORS_LIST[[#This Row],[INVESTOR CODE]],LS[B/S],"B"))</f>
        <v>0</v>
      </c>
      <c r="I555" s="6">
        <f>IF(INVESTORS_LIST[[#This Row],[LS_TOTAL UNITS SOLD]]=0,0,SUMIFS(LS[Cost of Units Sold],LS[Investor ID],INVESTORS_LIST[[#This Row],[INVESTOR CODE]],LS[B/S],"S"))</f>
        <v>0</v>
      </c>
      <c r="J555" s="6">
        <f>IF(INVESTORS_LIST[[#This Row],[LS_TOTAL CURRENT UNITS]]=0,0,INVESTORS_LIST[[#This Row],[LS_TOTAL CURRENT UNITS]]*INVESTORS_LIST[[#This Row],[LS_AVERAGE COST]])</f>
        <v>0</v>
      </c>
      <c r="K555" s="4">
        <f>IF(INVESTORS_LIST[[#This Row],[LS_TOTAL UNITS SOLD]]=0,0,SUMIFS(LS[Realized Gain],LS[Investor ID],INVESTORS_LIST[[#This Row],[INVESTOR CODE]],LS[B/S],"S"))</f>
        <v>0</v>
      </c>
      <c r="L555" s="2">
        <f>SUMIFS(SIP[Unit],SIP[Investor ID],INVESTORS_LIST[[#This Row],[INVESTOR CODE]],SIP[B/S],"B")</f>
        <v>0</v>
      </c>
      <c r="M555" s="2">
        <f>-SUMIFS(SIP[Unit],SIP[Investor ID],INVESTORS_LIST[[#This Row],[INVESTOR CODE]],SIP[B/S],"S")</f>
        <v>0</v>
      </c>
      <c r="N555" s="33">
        <f>IF(INVESTORS_LIST[[#This Row],[SIP_TOTAL UNITS BUY]]=0,0,INVESTORS_LIST[[#This Row],[SIP_TOTAL UNITS BUY]]-INVESTORS_LIST[[#This Row],[SIP_TOTAL UNITS SOLD]])</f>
        <v>0</v>
      </c>
      <c r="O555" s="4">
        <f>IF(INVESTORS_LIST[[#This Row],[SIP_TOTAL UNITS BUY]]=0,0,SUMIFS(SIP[Amount],SIP[Investor ID],INVESTORS_LIST[[#This Row],[INVESTOR CODE]],SIP[B/S],"B"))</f>
        <v>0</v>
      </c>
      <c r="P555" s="4">
        <f>IF(INVESTORS_LIST[[#This Row],[SIP_TOTAL UNITS SOLD]]=0,0,SUMIFS(SIP[Cost of Units Sold],SIP[Investor ID],INVESTORS_LIST[[#This Row],[INVESTOR CODE]],SIP[B/S],"S"))</f>
        <v>0</v>
      </c>
      <c r="Q555" s="6">
        <f>IF(INVESTORS_LIST[[#This Row],[SIP_TOTAL CURRENT UNITS]]=0,0,INVESTORS_LIST[[#This Row],[SIP_TOTAL CURRENT UNITS]]*INVESTORS_LIST[[#This Row],[SIP_AVERAGE COST]])</f>
        <v>0</v>
      </c>
      <c r="R555" s="6">
        <f>IF(INVESTORS_LIST[[#This Row],[SIP_TOTAL UNITS SOLD]]=0,0,SUMIFS(SIP[Realized Gain],SIP[Investor ID],INVESTORS_LIST[[#This Row],[INVESTOR CODE]],SIP[B/S],"S"))</f>
        <v>0</v>
      </c>
      <c r="S555" s="33">
        <f>INVESTORS_LIST[[#This Row],[LS_TOTAL UNITS BUY]]+INVESTORS_LIST[[#This Row],[SIP_TOTAL UNITS BUY]]</f>
        <v>0</v>
      </c>
      <c r="T555" s="33">
        <f>INVESTORS_LIST[[#This Row],[LS_TOTAL UNITS SOLD]]+INVESTORS_LIST[[#This Row],[SIP_TOTAL UNITS SOLD]]</f>
        <v>0</v>
      </c>
      <c r="U555" s="33">
        <v>0</v>
      </c>
      <c r="V555" s="33">
        <f>SUMIFS(LS[BO UNIT TRANSFER],LS[Investor ID],INVESTORS_LIST[[#This Row],[INVESTOR CODE]],LS[B/S],"B")</f>
        <v>0</v>
      </c>
      <c r="W555" s="33">
        <f>SUMIFS(LS[BO UNIT TRANSFER],LS[Investor ID],INVESTORS_LIST[[#This Row],[INVESTOR CODE]],LS[B/S],"S")</f>
        <v>0</v>
      </c>
      <c r="X555" s="33">
        <f>SUMIFS(SIP[BO UNIT TRANSFER],SIP[Investor ID],INVESTORS_LIST[[#This Row],[INVESTOR CODE]],SIP[B/S],"S")</f>
        <v>0</v>
      </c>
      <c r="Y555" s="33">
        <f>SUMIFS(SIP[BO UNIT TRANSFER],SIP[Investor ID],INVESTORS_LIST[[#This Row],[INVESTOR CODE]],SIP[B/S],"B")</f>
        <v>0</v>
      </c>
      <c r="Z55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55" s="119">
        <f>INVESTORS_LIST[[#This Row],[TOTAL UNITS BUY]]-INVESTORS_LIST[[#This Row],[TOTAL UNITS SOLD]]</f>
        <v>0</v>
      </c>
      <c r="AB555" s="119">
        <f>INVESTORS_LIST[[#This Row],[TOTAL CURRENT UNITS]]-INVESTORS_LIST[[#This Row],[BO UNITS HOLD]]</f>
        <v>0</v>
      </c>
      <c r="AC555" s="119" t="e">
        <f>INDEX([4]!Table_1[BO ID],MATCH(INVESTORS_LIST[[#This Row],[INVESTOR CODE]],[4]!Table_1[INVESTOR CODE],0))</f>
        <v>#REF!</v>
      </c>
      <c r="AD555" s="33">
        <f>INVESTORS_LIST[[#This Row],[LS_TOTAL COST VALUE OF CURRENT UNITS]]+INVESTORS_LIST[[#This Row],[SIP_TOTAL COST VALUE OF CURRENT UNITS]]</f>
        <v>0</v>
      </c>
      <c r="AE555" s="44">
        <f>IF(INVESTORS_LIST[[#This Row],[TOTAL CURRENT UNITS]]=0,0,INVESTORS_LIST[[#This Row],[LS_TOTAL CURRENT UNITS]]/INVESTORS_LIST[[#This Row],[TOTAL CURRENT UNITS]])</f>
        <v>0</v>
      </c>
      <c r="AF555" s="44">
        <f>IF(INVESTORS_LIST[[#This Row],[TOTAL CURRENT UNITS]]=0,0,INVESTORS_LIST[[#This Row],[SIP_TOTAL CURRENT UNITS]]/INVESTORS_LIST[[#This Row],[TOTAL CURRENT UNITS]])</f>
        <v>0</v>
      </c>
      <c r="AG555" s="4" cm="1">
        <f t="array" ref="AG55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55" s="4" cm="1">
        <f t="array" ref="AH5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5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55" s="178">
        <f t="shared" si="14"/>
        <v>12.552</v>
      </c>
      <c r="AK555" s="118">
        <f>IF(INVESTORS_LIST[[#This Row],[TOTAL CURRENT UNITS]]=0,0,INVESTORS_LIST[[#This Row],[TOTAL CURRENT UNITS]]*INVESTORS_LIST[[#This Row],[NAV]])</f>
        <v>0</v>
      </c>
      <c r="AL555" s="4">
        <f>IF(INVESTORS_LIST[[#This Row],[LS_TOTAL CURRENT UNITS]]=0,0,INVESTORS_LIST[[#This Row],[LS_TOTAL CURRENT UNITS]]*INVESTORS_LIST[[#This Row],[NAV]])</f>
        <v>0</v>
      </c>
      <c r="AM555" s="6">
        <f>IF(INVESTORS_LIST[[#This Row],[SIP_TOTAL CURRENT UNITS]]=0,0,INVESTORS_LIST[[#This Row],[SIP_TOTAL CURRENT UNITS]]*INVESTORS_LIST[[#This Row],[NAV]])</f>
        <v>0</v>
      </c>
      <c r="AO555" s="6">
        <f>IF(INVESTORS_LIST[[#This Row],[TOTAL SELLABLE UNITS]]=0,0,INVESTORS_LIST[[#This Row],[TOTAL SELLABLE UNITS]]*INVESTORS_LIST[[#This Row],[NAV]])</f>
        <v>0</v>
      </c>
      <c r="AP555" s="6">
        <f>INVESTORS_LIST[[#This Row],[LS_TOTAL REALIZED GAIN]]+INVESTORS_LIST[[#This Row],[SIP_TOTAL REALIZED GAIN]]</f>
        <v>0</v>
      </c>
      <c r="AQ555" s="6">
        <f>INVESTORS_LIST[[#This Row],[TOTAL MARKET VALUE]]-INVESTORS_LIST[[#This Row],[TOTAL COST VALUE OF CURRENT INVESTMENT]]</f>
        <v>0</v>
      </c>
      <c r="AR555" s="6">
        <f>SUMIFS(DivAndTax[Tax Amount],DivAndTax[Investor ID],INVESTORS_LIST[[#This Row],[INVESTOR CODE]])</f>
        <v>0</v>
      </c>
      <c r="AS555" s="6">
        <f>SUMIFS(DivAndTax[Gross Dividend],DivAndTax[Investor ID],INVESTORS_LIST[[#This Row],[INVESTOR CODE]])</f>
        <v>0</v>
      </c>
      <c r="AT555" s="5">
        <f>IFERROR(INVESTORS_LIST[[#This Row],[TOTAL CURRENT UNITS]]/SUM(INVESTORS_LIST[TOTAL CURRENT UNITS]),0)</f>
        <v>0</v>
      </c>
    </row>
    <row r="556" spans="1:46" hidden="1">
      <c r="A556" t="s">
        <v>1299</v>
      </c>
      <c r="B556" t="s">
        <v>1300</v>
      </c>
      <c r="C556" t="s">
        <v>539</v>
      </c>
      <c r="D556" s="8" t="s">
        <v>2</v>
      </c>
      <c r="E556" s="2">
        <f>SUMIFS(LS[Unit],LS[Investor ID],INVESTORS_LIST[[#This Row],[INVESTOR CODE]],LS[B/S],"B")</f>
        <v>0</v>
      </c>
      <c r="F556" s="2">
        <f>-SUMIFS(LS[Unit],LS[Investor ID],INVESTORS_LIST[[#This Row],[INVESTOR CODE]],LS[B/S],"S")</f>
        <v>0</v>
      </c>
      <c r="G556" s="2">
        <f>IF(INVESTORS_LIST[[#This Row],[LS_TOTAL UNITS BUY]]=0,0,INVESTORS_LIST[[#This Row],[LS_TOTAL UNITS BUY]]-INVESTORS_LIST[[#This Row],[LS_TOTAL UNITS SOLD]])</f>
        <v>0</v>
      </c>
      <c r="H556" s="4">
        <f>IF(INVESTORS_LIST[[#This Row],[LS_TOTAL UNITS BUY]]=0,0,SUMIFS(LS[Amount],LS[Investor ID],INVESTORS_LIST[[#This Row],[INVESTOR CODE]],LS[B/S],"B"))</f>
        <v>0</v>
      </c>
      <c r="I556" s="6">
        <f>IF(INVESTORS_LIST[[#This Row],[LS_TOTAL UNITS SOLD]]=0,0,SUMIFS(LS[Cost of Units Sold],LS[Investor ID],INVESTORS_LIST[[#This Row],[INVESTOR CODE]],LS[B/S],"S"))</f>
        <v>0</v>
      </c>
      <c r="J556" s="6">
        <f>IF(INVESTORS_LIST[[#This Row],[LS_TOTAL CURRENT UNITS]]=0,0,INVESTORS_LIST[[#This Row],[LS_TOTAL CURRENT UNITS]]*INVESTORS_LIST[[#This Row],[LS_AVERAGE COST]])</f>
        <v>0</v>
      </c>
      <c r="K556" s="4">
        <f>IF(INVESTORS_LIST[[#This Row],[LS_TOTAL UNITS SOLD]]=0,0,SUMIFS(LS[Realized Gain],LS[Investor ID],INVESTORS_LIST[[#This Row],[INVESTOR CODE]],LS[B/S],"S"))</f>
        <v>0</v>
      </c>
      <c r="L556" s="2">
        <f>SUMIFS(SIP[Unit],SIP[Investor ID],INVESTORS_LIST[[#This Row],[INVESTOR CODE]],SIP[B/S],"B")</f>
        <v>0</v>
      </c>
      <c r="M556" s="2">
        <f>-SUMIFS(SIP[Unit],SIP[Investor ID],INVESTORS_LIST[[#This Row],[INVESTOR CODE]],SIP[B/S],"S")</f>
        <v>0</v>
      </c>
      <c r="N556" s="33">
        <f>IF(INVESTORS_LIST[[#This Row],[SIP_TOTAL UNITS BUY]]=0,0,INVESTORS_LIST[[#This Row],[SIP_TOTAL UNITS BUY]]-INVESTORS_LIST[[#This Row],[SIP_TOTAL UNITS SOLD]])</f>
        <v>0</v>
      </c>
      <c r="O556" s="4">
        <f>IF(INVESTORS_LIST[[#This Row],[SIP_TOTAL UNITS BUY]]=0,0,SUMIFS(SIP[Amount],SIP[Investor ID],INVESTORS_LIST[[#This Row],[INVESTOR CODE]],SIP[B/S],"B"))</f>
        <v>0</v>
      </c>
      <c r="P556" s="4">
        <f>IF(INVESTORS_LIST[[#This Row],[SIP_TOTAL UNITS SOLD]]=0,0,SUMIFS(SIP[Cost of Units Sold],SIP[Investor ID],INVESTORS_LIST[[#This Row],[INVESTOR CODE]],SIP[B/S],"S"))</f>
        <v>0</v>
      </c>
      <c r="Q556" s="6">
        <f>IF(INVESTORS_LIST[[#This Row],[SIP_TOTAL CURRENT UNITS]]=0,0,INVESTORS_LIST[[#This Row],[SIP_TOTAL CURRENT UNITS]]*INVESTORS_LIST[[#This Row],[SIP_AVERAGE COST]])</f>
        <v>0</v>
      </c>
      <c r="R556" s="6">
        <f>IF(INVESTORS_LIST[[#This Row],[SIP_TOTAL UNITS SOLD]]=0,0,SUMIFS(SIP[Realized Gain],SIP[Investor ID],INVESTORS_LIST[[#This Row],[INVESTOR CODE]],SIP[B/S],"S"))</f>
        <v>0</v>
      </c>
      <c r="S556" s="33">
        <f>INVESTORS_LIST[[#This Row],[LS_TOTAL UNITS BUY]]+INVESTORS_LIST[[#This Row],[SIP_TOTAL UNITS BUY]]</f>
        <v>0</v>
      </c>
      <c r="T556" s="33">
        <f>INVESTORS_LIST[[#This Row],[LS_TOTAL UNITS SOLD]]+INVESTORS_LIST[[#This Row],[SIP_TOTAL UNITS SOLD]]</f>
        <v>0</v>
      </c>
      <c r="U556" s="33">
        <v>0</v>
      </c>
      <c r="V556" s="33">
        <f>SUMIFS(LS[BO UNIT TRANSFER],LS[Investor ID],INVESTORS_LIST[[#This Row],[INVESTOR CODE]],LS[B/S],"B")</f>
        <v>0</v>
      </c>
      <c r="W556" s="33">
        <f>SUMIFS(LS[BO UNIT TRANSFER],LS[Investor ID],INVESTORS_LIST[[#This Row],[INVESTOR CODE]],LS[B/S],"S")</f>
        <v>0</v>
      </c>
      <c r="X556" s="33">
        <f>SUMIFS(SIP[BO UNIT TRANSFER],SIP[Investor ID],INVESTORS_LIST[[#This Row],[INVESTOR CODE]],SIP[B/S],"S")</f>
        <v>0</v>
      </c>
      <c r="Y556" s="33">
        <f>SUMIFS(SIP[BO UNIT TRANSFER],SIP[Investor ID],INVESTORS_LIST[[#This Row],[INVESTOR CODE]],SIP[B/S],"B")</f>
        <v>0</v>
      </c>
      <c r="Z55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56" s="119">
        <f>INVESTORS_LIST[[#This Row],[TOTAL UNITS BUY]]-INVESTORS_LIST[[#This Row],[TOTAL UNITS SOLD]]</f>
        <v>0</v>
      </c>
      <c r="AB556" s="119">
        <f>INVESTORS_LIST[[#This Row],[TOTAL CURRENT UNITS]]-INVESTORS_LIST[[#This Row],[BO UNITS HOLD]]</f>
        <v>0</v>
      </c>
      <c r="AC556" s="119" t="e">
        <f>INDEX([4]!Table_1[BO ID],MATCH(INVESTORS_LIST[[#This Row],[INVESTOR CODE]],[4]!Table_1[INVESTOR CODE],0))</f>
        <v>#REF!</v>
      </c>
      <c r="AD556" s="33">
        <f>INVESTORS_LIST[[#This Row],[LS_TOTAL COST VALUE OF CURRENT UNITS]]+INVESTORS_LIST[[#This Row],[SIP_TOTAL COST VALUE OF CURRENT UNITS]]</f>
        <v>0</v>
      </c>
      <c r="AE556" s="44">
        <f>IF(INVESTORS_LIST[[#This Row],[TOTAL CURRENT UNITS]]=0,0,INVESTORS_LIST[[#This Row],[LS_TOTAL CURRENT UNITS]]/INVESTORS_LIST[[#This Row],[TOTAL CURRENT UNITS]])</f>
        <v>0</v>
      </c>
      <c r="AF556" s="44">
        <f>IF(INVESTORS_LIST[[#This Row],[TOTAL CURRENT UNITS]]=0,0,INVESTORS_LIST[[#This Row],[SIP_TOTAL CURRENT UNITS]]/INVESTORS_LIST[[#This Row],[TOTAL CURRENT UNITS]])</f>
        <v>0</v>
      </c>
      <c r="AG556" s="4" cm="1">
        <f t="array" ref="AG55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56" s="4" cm="1">
        <f t="array" ref="AH55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5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56" s="178">
        <f t="shared" si="14"/>
        <v>12.552</v>
      </c>
      <c r="AK556" s="118">
        <f>IF(INVESTORS_LIST[[#This Row],[TOTAL CURRENT UNITS]]=0,0,INVESTORS_LIST[[#This Row],[TOTAL CURRENT UNITS]]*INVESTORS_LIST[[#This Row],[NAV]])</f>
        <v>0</v>
      </c>
      <c r="AL556" s="4">
        <f>IF(INVESTORS_LIST[[#This Row],[LS_TOTAL CURRENT UNITS]]=0,0,INVESTORS_LIST[[#This Row],[LS_TOTAL CURRENT UNITS]]*INVESTORS_LIST[[#This Row],[NAV]])</f>
        <v>0</v>
      </c>
      <c r="AM556" s="6">
        <f>IF(INVESTORS_LIST[[#This Row],[SIP_TOTAL CURRENT UNITS]]=0,0,INVESTORS_LIST[[#This Row],[SIP_TOTAL CURRENT UNITS]]*INVESTORS_LIST[[#This Row],[NAV]])</f>
        <v>0</v>
      </c>
      <c r="AO556" s="6">
        <f>IF(INVESTORS_LIST[[#This Row],[TOTAL SELLABLE UNITS]]=0,0,INVESTORS_LIST[[#This Row],[TOTAL SELLABLE UNITS]]*INVESTORS_LIST[[#This Row],[NAV]])</f>
        <v>0</v>
      </c>
      <c r="AP556" s="6">
        <f>INVESTORS_LIST[[#This Row],[LS_TOTAL REALIZED GAIN]]+INVESTORS_LIST[[#This Row],[SIP_TOTAL REALIZED GAIN]]</f>
        <v>0</v>
      </c>
      <c r="AQ556" s="6">
        <f>INVESTORS_LIST[[#This Row],[TOTAL MARKET VALUE]]-INVESTORS_LIST[[#This Row],[TOTAL COST VALUE OF CURRENT INVESTMENT]]</f>
        <v>0</v>
      </c>
      <c r="AR556" s="6">
        <f>SUMIFS(DivAndTax[Tax Amount],DivAndTax[Investor ID],INVESTORS_LIST[[#This Row],[INVESTOR CODE]])</f>
        <v>0</v>
      </c>
      <c r="AS556" s="6">
        <f>SUMIFS(DivAndTax[Gross Dividend],DivAndTax[Investor ID],INVESTORS_LIST[[#This Row],[INVESTOR CODE]])</f>
        <v>0</v>
      </c>
      <c r="AT556" s="5">
        <f>IFERROR(INVESTORS_LIST[[#This Row],[TOTAL CURRENT UNITS]]/SUM(INVESTORS_LIST[TOTAL CURRENT UNITS]),0)</f>
        <v>0</v>
      </c>
    </row>
    <row r="557" spans="1:46" hidden="1">
      <c r="A557" t="s">
        <v>1301</v>
      </c>
      <c r="B557" t="s">
        <v>1302</v>
      </c>
      <c r="C557" t="s">
        <v>539</v>
      </c>
      <c r="D557" s="8" t="s">
        <v>2</v>
      </c>
      <c r="E557" s="2">
        <f>SUMIFS(LS[Unit],LS[Investor ID],INVESTORS_LIST[[#This Row],[INVESTOR CODE]],LS[B/S],"B")</f>
        <v>0</v>
      </c>
      <c r="F557" s="2">
        <f>-SUMIFS(LS[Unit],LS[Investor ID],INVESTORS_LIST[[#This Row],[INVESTOR CODE]],LS[B/S],"S")</f>
        <v>0</v>
      </c>
      <c r="G557" s="2">
        <f>IF(INVESTORS_LIST[[#This Row],[LS_TOTAL UNITS BUY]]=0,0,INVESTORS_LIST[[#This Row],[LS_TOTAL UNITS BUY]]-INVESTORS_LIST[[#This Row],[LS_TOTAL UNITS SOLD]])</f>
        <v>0</v>
      </c>
      <c r="H557" s="4">
        <f>IF(INVESTORS_LIST[[#This Row],[LS_TOTAL UNITS BUY]]=0,0,SUMIFS(LS[Amount],LS[Investor ID],INVESTORS_LIST[[#This Row],[INVESTOR CODE]],LS[B/S],"B"))</f>
        <v>0</v>
      </c>
      <c r="I557" s="6">
        <f>IF(INVESTORS_LIST[[#This Row],[LS_TOTAL UNITS SOLD]]=0,0,SUMIFS(LS[Cost of Units Sold],LS[Investor ID],INVESTORS_LIST[[#This Row],[INVESTOR CODE]],LS[B/S],"S"))</f>
        <v>0</v>
      </c>
      <c r="J557" s="6">
        <f>IF(INVESTORS_LIST[[#This Row],[LS_TOTAL CURRENT UNITS]]=0,0,INVESTORS_LIST[[#This Row],[LS_TOTAL CURRENT UNITS]]*INVESTORS_LIST[[#This Row],[LS_AVERAGE COST]])</f>
        <v>0</v>
      </c>
      <c r="K557" s="4">
        <f>IF(INVESTORS_LIST[[#This Row],[LS_TOTAL UNITS SOLD]]=0,0,SUMIFS(LS[Realized Gain],LS[Investor ID],INVESTORS_LIST[[#This Row],[INVESTOR CODE]],LS[B/S],"S"))</f>
        <v>0</v>
      </c>
      <c r="L557" s="2">
        <f>SUMIFS(SIP[Unit],SIP[Investor ID],INVESTORS_LIST[[#This Row],[INVESTOR CODE]],SIP[B/S],"B")</f>
        <v>0</v>
      </c>
      <c r="M557" s="2">
        <f>-SUMIFS(SIP[Unit],SIP[Investor ID],INVESTORS_LIST[[#This Row],[INVESTOR CODE]],SIP[B/S],"S")</f>
        <v>0</v>
      </c>
      <c r="N557" s="33">
        <f>IF(INVESTORS_LIST[[#This Row],[SIP_TOTAL UNITS BUY]]=0,0,INVESTORS_LIST[[#This Row],[SIP_TOTAL UNITS BUY]]-INVESTORS_LIST[[#This Row],[SIP_TOTAL UNITS SOLD]])</f>
        <v>0</v>
      </c>
      <c r="O557" s="4">
        <f>IF(INVESTORS_LIST[[#This Row],[SIP_TOTAL UNITS BUY]]=0,0,SUMIFS(SIP[Amount],SIP[Investor ID],INVESTORS_LIST[[#This Row],[INVESTOR CODE]],SIP[B/S],"B"))</f>
        <v>0</v>
      </c>
      <c r="P557" s="4">
        <f>IF(INVESTORS_LIST[[#This Row],[SIP_TOTAL UNITS SOLD]]=0,0,SUMIFS(SIP[Cost of Units Sold],SIP[Investor ID],INVESTORS_LIST[[#This Row],[INVESTOR CODE]],SIP[B/S],"S"))</f>
        <v>0</v>
      </c>
      <c r="Q557" s="6">
        <f>IF(INVESTORS_LIST[[#This Row],[SIP_TOTAL CURRENT UNITS]]=0,0,INVESTORS_LIST[[#This Row],[SIP_TOTAL CURRENT UNITS]]*INVESTORS_LIST[[#This Row],[SIP_AVERAGE COST]])</f>
        <v>0</v>
      </c>
      <c r="R557" s="6">
        <f>IF(INVESTORS_LIST[[#This Row],[SIP_TOTAL UNITS SOLD]]=0,0,SUMIFS(SIP[Realized Gain],SIP[Investor ID],INVESTORS_LIST[[#This Row],[INVESTOR CODE]],SIP[B/S],"S"))</f>
        <v>0</v>
      </c>
      <c r="S557" s="33">
        <f>INVESTORS_LIST[[#This Row],[LS_TOTAL UNITS BUY]]+INVESTORS_LIST[[#This Row],[SIP_TOTAL UNITS BUY]]</f>
        <v>0</v>
      </c>
      <c r="T557" s="33">
        <f>INVESTORS_LIST[[#This Row],[LS_TOTAL UNITS SOLD]]+INVESTORS_LIST[[#This Row],[SIP_TOTAL UNITS SOLD]]</f>
        <v>0</v>
      </c>
      <c r="U557" s="33">
        <v>0</v>
      </c>
      <c r="V557" s="33">
        <f>SUMIFS(LS[BO UNIT TRANSFER],LS[Investor ID],INVESTORS_LIST[[#This Row],[INVESTOR CODE]],LS[B/S],"B")</f>
        <v>0</v>
      </c>
      <c r="W557" s="33">
        <f>SUMIFS(LS[BO UNIT TRANSFER],LS[Investor ID],INVESTORS_LIST[[#This Row],[INVESTOR CODE]],LS[B/S],"S")</f>
        <v>0</v>
      </c>
      <c r="X557" s="33">
        <f>SUMIFS(SIP[BO UNIT TRANSFER],SIP[Investor ID],INVESTORS_LIST[[#This Row],[INVESTOR CODE]],SIP[B/S],"S")</f>
        <v>0</v>
      </c>
      <c r="Y557" s="33">
        <f>SUMIFS(SIP[BO UNIT TRANSFER],SIP[Investor ID],INVESTORS_LIST[[#This Row],[INVESTOR CODE]],SIP[B/S],"B")</f>
        <v>0</v>
      </c>
      <c r="Z55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57" s="119">
        <f>INVESTORS_LIST[[#This Row],[TOTAL UNITS BUY]]-INVESTORS_LIST[[#This Row],[TOTAL UNITS SOLD]]</f>
        <v>0</v>
      </c>
      <c r="AB557" s="119">
        <f>INVESTORS_LIST[[#This Row],[TOTAL CURRENT UNITS]]-INVESTORS_LIST[[#This Row],[BO UNITS HOLD]]</f>
        <v>0</v>
      </c>
      <c r="AC557" s="119" t="e">
        <f>INDEX([4]!Table_1[BO ID],MATCH(INVESTORS_LIST[[#This Row],[INVESTOR CODE]],[4]!Table_1[INVESTOR CODE],0))</f>
        <v>#REF!</v>
      </c>
      <c r="AD557" s="33">
        <f>INVESTORS_LIST[[#This Row],[LS_TOTAL COST VALUE OF CURRENT UNITS]]+INVESTORS_LIST[[#This Row],[SIP_TOTAL COST VALUE OF CURRENT UNITS]]</f>
        <v>0</v>
      </c>
      <c r="AE557" s="44">
        <f>IF(INVESTORS_LIST[[#This Row],[TOTAL CURRENT UNITS]]=0,0,INVESTORS_LIST[[#This Row],[LS_TOTAL CURRENT UNITS]]/INVESTORS_LIST[[#This Row],[TOTAL CURRENT UNITS]])</f>
        <v>0</v>
      </c>
      <c r="AF557" s="44">
        <f>IF(INVESTORS_LIST[[#This Row],[TOTAL CURRENT UNITS]]=0,0,INVESTORS_LIST[[#This Row],[SIP_TOTAL CURRENT UNITS]]/INVESTORS_LIST[[#This Row],[TOTAL CURRENT UNITS]])</f>
        <v>0</v>
      </c>
      <c r="AG557" s="4" cm="1">
        <f t="array" ref="AG55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57" s="4" cm="1">
        <f t="array" ref="AH5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5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57" s="178">
        <f t="shared" si="14"/>
        <v>12.552</v>
      </c>
      <c r="AK557" s="118">
        <f>IF(INVESTORS_LIST[[#This Row],[TOTAL CURRENT UNITS]]=0,0,INVESTORS_LIST[[#This Row],[TOTAL CURRENT UNITS]]*INVESTORS_LIST[[#This Row],[NAV]])</f>
        <v>0</v>
      </c>
      <c r="AL557" s="4">
        <f>IF(INVESTORS_LIST[[#This Row],[LS_TOTAL CURRENT UNITS]]=0,0,INVESTORS_LIST[[#This Row],[LS_TOTAL CURRENT UNITS]]*INVESTORS_LIST[[#This Row],[NAV]])</f>
        <v>0</v>
      </c>
      <c r="AM557" s="6">
        <f>IF(INVESTORS_LIST[[#This Row],[SIP_TOTAL CURRENT UNITS]]=0,0,INVESTORS_LIST[[#This Row],[SIP_TOTAL CURRENT UNITS]]*INVESTORS_LIST[[#This Row],[NAV]])</f>
        <v>0</v>
      </c>
      <c r="AO557" s="6">
        <f>IF(INVESTORS_LIST[[#This Row],[TOTAL SELLABLE UNITS]]=0,0,INVESTORS_LIST[[#This Row],[TOTAL SELLABLE UNITS]]*INVESTORS_LIST[[#This Row],[NAV]])</f>
        <v>0</v>
      </c>
      <c r="AP557" s="6">
        <f>INVESTORS_LIST[[#This Row],[LS_TOTAL REALIZED GAIN]]+INVESTORS_LIST[[#This Row],[SIP_TOTAL REALIZED GAIN]]</f>
        <v>0</v>
      </c>
      <c r="AQ557" s="6">
        <f>INVESTORS_LIST[[#This Row],[TOTAL MARKET VALUE]]-INVESTORS_LIST[[#This Row],[TOTAL COST VALUE OF CURRENT INVESTMENT]]</f>
        <v>0</v>
      </c>
      <c r="AR557" s="6">
        <f>SUMIFS(DivAndTax[Tax Amount],DivAndTax[Investor ID],INVESTORS_LIST[[#This Row],[INVESTOR CODE]])</f>
        <v>0</v>
      </c>
      <c r="AS557" s="6">
        <f>SUMIFS(DivAndTax[Gross Dividend],DivAndTax[Investor ID],INVESTORS_LIST[[#This Row],[INVESTOR CODE]])</f>
        <v>0</v>
      </c>
      <c r="AT557" s="5">
        <f>IFERROR(INVESTORS_LIST[[#This Row],[TOTAL CURRENT UNITS]]/SUM(INVESTORS_LIST[TOTAL CURRENT UNITS]),0)</f>
        <v>0</v>
      </c>
    </row>
    <row r="558" spans="1:46" hidden="1">
      <c r="A558" t="s">
        <v>1303</v>
      </c>
      <c r="B558" t="s">
        <v>1304</v>
      </c>
      <c r="C558" t="s">
        <v>536</v>
      </c>
      <c r="D558" s="8" t="s">
        <v>2</v>
      </c>
      <c r="E558" s="2">
        <f>SUMIFS(LS[Unit],LS[Investor ID],INVESTORS_LIST[[#This Row],[INVESTOR CODE]],LS[B/S],"B")</f>
        <v>0</v>
      </c>
      <c r="F558" s="2">
        <f>-SUMIFS(LS[Unit],LS[Investor ID],INVESTORS_LIST[[#This Row],[INVESTOR CODE]],LS[B/S],"S")</f>
        <v>0</v>
      </c>
      <c r="G558" s="2">
        <f>IF(INVESTORS_LIST[[#This Row],[LS_TOTAL UNITS BUY]]=0,0,INVESTORS_LIST[[#This Row],[LS_TOTAL UNITS BUY]]-INVESTORS_LIST[[#This Row],[LS_TOTAL UNITS SOLD]])</f>
        <v>0</v>
      </c>
      <c r="H558" s="4">
        <f>IF(INVESTORS_LIST[[#This Row],[LS_TOTAL UNITS BUY]]=0,0,SUMIFS(LS[Amount],LS[Investor ID],INVESTORS_LIST[[#This Row],[INVESTOR CODE]],LS[B/S],"B"))</f>
        <v>0</v>
      </c>
      <c r="I558" s="6">
        <f>IF(INVESTORS_LIST[[#This Row],[LS_TOTAL UNITS SOLD]]=0,0,SUMIFS(LS[Cost of Units Sold],LS[Investor ID],INVESTORS_LIST[[#This Row],[INVESTOR CODE]],LS[B/S],"S"))</f>
        <v>0</v>
      </c>
      <c r="J558" s="6">
        <f>IF(INVESTORS_LIST[[#This Row],[LS_TOTAL CURRENT UNITS]]=0,0,INVESTORS_LIST[[#This Row],[LS_TOTAL CURRENT UNITS]]*INVESTORS_LIST[[#This Row],[LS_AVERAGE COST]])</f>
        <v>0</v>
      </c>
      <c r="K558" s="4">
        <f>IF(INVESTORS_LIST[[#This Row],[LS_TOTAL UNITS SOLD]]=0,0,SUMIFS(LS[Realized Gain],LS[Investor ID],INVESTORS_LIST[[#This Row],[INVESTOR CODE]],LS[B/S],"S"))</f>
        <v>0</v>
      </c>
      <c r="L558" s="2">
        <f>SUMIFS(SIP[Unit],SIP[Investor ID],INVESTORS_LIST[[#This Row],[INVESTOR CODE]],SIP[B/S],"B")</f>
        <v>0</v>
      </c>
      <c r="M558" s="2">
        <f>-SUMIFS(SIP[Unit],SIP[Investor ID],INVESTORS_LIST[[#This Row],[INVESTOR CODE]],SIP[B/S],"S")</f>
        <v>0</v>
      </c>
      <c r="N558" s="33">
        <f>IF(INVESTORS_LIST[[#This Row],[SIP_TOTAL UNITS BUY]]=0,0,INVESTORS_LIST[[#This Row],[SIP_TOTAL UNITS BUY]]-INVESTORS_LIST[[#This Row],[SIP_TOTAL UNITS SOLD]])</f>
        <v>0</v>
      </c>
      <c r="O558" s="4">
        <f>IF(INVESTORS_LIST[[#This Row],[SIP_TOTAL UNITS BUY]]=0,0,SUMIFS(SIP[Amount],SIP[Investor ID],INVESTORS_LIST[[#This Row],[INVESTOR CODE]],SIP[B/S],"B"))</f>
        <v>0</v>
      </c>
      <c r="P558" s="4">
        <f>IF(INVESTORS_LIST[[#This Row],[SIP_TOTAL UNITS SOLD]]=0,0,SUMIFS(SIP[Cost of Units Sold],SIP[Investor ID],INVESTORS_LIST[[#This Row],[INVESTOR CODE]],SIP[B/S],"S"))</f>
        <v>0</v>
      </c>
      <c r="Q558" s="6">
        <f>IF(INVESTORS_LIST[[#This Row],[SIP_TOTAL CURRENT UNITS]]=0,0,INVESTORS_LIST[[#This Row],[SIP_TOTAL CURRENT UNITS]]*INVESTORS_LIST[[#This Row],[SIP_AVERAGE COST]])</f>
        <v>0</v>
      </c>
      <c r="R558" s="6">
        <f>IF(INVESTORS_LIST[[#This Row],[SIP_TOTAL UNITS SOLD]]=0,0,SUMIFS(SIP[Realized Gain],SIP[Investor ID],INVESTORS_LIST[[#This Row],[INVESTOR CODE]],SIP[B/S],"S"))</f>
        <v>0</v>
      </c>
      <c r="S558" s="33">
        <f>INVESTORS_LIST[[#This Row],[LS_TOTAL UNITS BUY]]+INVESTORS_LIST[[#This Row],[SIP_TOTAL UNITS BUY]]</f>
        <v>0</v>
      </c>
      <c r="T558" s="33">
        <f>INVESTORS_LIST[[#This Row],[LS_TOTAL UNITS SOLD]]+INVESTORS_LIST[[#This Row],[SIP_TOTAL UNITS SOLD]]</f>
        <v>0</v>
      </c>
      <c r="U558" s="33">
        <v>0</v>
      </c>
      <c r="V558" s="33">
        <f>SUMIFS(LS[BO UNIT TRANSFER],LS[Investor ID],INVESTORS_LIST[[#This Row],[INVESTOR CODE]],LS[B/S],"B")</f>
        <v>0</v>
      </c>
      <c r="W558" s="33">
        <f>SUMIFS(LS[BO UNIT TRANSFER],LS[Investor ID],INVESTORS_LIST[[#This Row],[INVESTOR CODE]],LS[B/S],"S")</f>
        <v>0</v>
      </c>
      <c r="X558" s="33">
        <f>SUMIFS(SIP[BO UNIT TRANSFER],SIP[Investor ID],INVESTORS_LIST[[#This Row],[INVESTOR CODE]],SIP[B/S],"S")</f>
        <v>0</v>
      </c>
      <c r="Y558" s="33">
        <f>SUMIFS(SIP[BO UNIT TRANSFER],SIP[Investor ID],INVESTORS_LIST[[#This Row],[INVESTOR CODE]],SIP[B/S],"B")</f>
        <v>0</v>
      </c>
      <c r="Z55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58" s="119">
        <f>INVESTORS_LIST[[#This Row],[TOTAL UNITS BUY]]-INVESTORS_LIST[[#This Row],[TOTAL UNITS SOLD]]</f>
        <v>0</v>
      </c>
      <c r="AB558" s="119">
        <f>INVESTORS_LIST[[#This Row],[TOTAL CURRENT UNITS]]-INVESTORS_LIST[[#This Row],[BO UNITS HOLD]]</f>
        <v>0</v>
      </c>
      <c r="AC558" s="119" t="e">
        <f>INDEX([4]!Table_1[BO ID],MATCH(INVESTORS_LIST[[#This Row],[INVESTOR CODE]],[4]!Table_1[INVESTOR CODE],0))</f>
        <v>#REF!</v>
      </c>
      <c r="AD558" s="33">
        <f>INVESTORS_LIST[[#This Row],[LS_TOTAL COST VALUE OF CURRENT UNITS]]+INVESTORS_LIST[[#This Row],[SIP_TOTAL COST VALUE OF CURRENT UNITS]]</f>
        <v>0</v>
      </c>
      <c r="AE558" s="44">
        <f>IF(INVESTORS_LIST[[#This Row],[TOTAL CURRENT UNITS]]=0,0,INVESTORS_LIST[[#This Row],[LS_TOTAL CURRENT UNITS]]/INVESTORS_LIST[[#This Row],[TOTAL CURRENT UNITS]])</f>
        <v>0</v>
      </c>
      <c r="AF558" s="44">
        <f>IF(INVESTORS_LIST[[#This Row],[TOTAL CURRENT UNITS]]=0,0,INVESTORS_LIST[[#This Row],[SIP_TOTAL CURRENT UNITS]]/INVESTORS_LIST[[#This Row],[TOTAL CURRENT UNITS]])</f>
        <v>0</v>
      </c>
      <c r="AG558" s="4" cm="1">
        <f t="array" ref="AG55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58" s="4" cm="1">
        <f t="array" ref="AH5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5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58" s="178">
        <f t="shared" si="14"/>
        <v>12.552</v>
      </c>
      <c r="AK558" s="118">
        <f>IF(INVESTORS_LIST[[#This Row],[TOTAL CURRENT UNITS]]=0,0,INVESTORS_LIST[[#This Row],[TOTAL CURRENT UNITS]]*INVESTORS_LIST[[#This Row],[NAV]])</f>
        <v>0</v>
      </c>
      <c r="AL558" s="4">
        <f>IF(INVESTORS_LIST[[#This Row],[LS_TOTAL CURRENT UNITS]]=0,0,INVESTORS_LIST[[#This Row],[LS_TOTAL CURRENT UNITS]]*INVESTORS_LIST[[#This Row],[NAV]])</f>
        <v>0</v>
      </c>
      <c r="AM558" s="6">
        <f>IF(INVESTORS_LIST[[#This Row],[SIP_TOTAL CURRENT UNITS]]=0,0,INVESTORS_LIST[[#This Row],[SIP_TOTAL CURRENT UNITS]]*INVESTORS_LIST[[#This Row],[NAV]])</f>
        <v>0</v>
      </c>
      <c r="AO558" s="6">
        <f>IF(INVESTORS_LIST[[#This Row],[TOTAL SELLABLE UNITS]]=0,0,INVESTORS_LIST[[#This Row],[TOTAL SELLABLE UNITS]]*INVESTORS_LIST[[#This Row],[NAV]])</f>
        <v>0</v>
      </c>
      <c r="AP558" s="6">
        <f>INVESTORS_LIST[[#This Row],[LS_TOTAL REALIZED GAIN]]+INVESTORS_LIST[[#This Row],[SIP_TOTAL REALIZED GAIN]]</f>
        <v>0</v>
      </c>
      <c r="AQ558" s="6">
        <f>INVESTORS_LIST[[#This Row],[TOTAL MARKET VALUE]]-INVESTORS_LIST[[#This Row],[TOTAL COST VALUE OF CURRENT INVESTMENT]]</f>
        <v>0</v>
      </c>
      <c r="AR558" s="6">
        <f>SUMIFS(DivAndTax[Tax Amount],DivAndTax[Investor ID],INVESTORS_LIST[[#This Row],[INVESTOR CODE]])</f>
        <v>0</v>
      </c>
      <c r="AS558" s="6">
        <f>SUMIFS(DivAndTax[Gross Dividend],DivAndTax[Investor ID],INVESTORS_LIST[[#This Row],[INVESTOR CODE]])</f>
        <v>0</v>
      </c>
      <c r="AT558" s="5">
        <f>IFERROR(INVESTORS_LIST[[#This Row],[TOTAL CURRENT UNITS]]/SUM(INVESTORS_LIST[TOTAL CURRENT UNITS]),0)</f>
        <v>0</v>
      </c>
    </row>
    <row r="559" spans="1:46" hidden="1">
      <c r="A559" t="s">
        <v>1305</v>
      </c>
      <c r="B559" t="s">
        <v>1306</v>
      </c>
      <c r="C559" t="s">
        <v>539</v>
      </c>
      <c r="D559" s="8" t="s">
        <v>2</v>
      </c>
      <c r="E559" s="2">
        <f>SUMIFS(LS[Unit],LS[Investor ID],INVESTORS_LIST[[#This Row],[INVESTOR CODE]],LS[B/S],"B")</f>
        <v>0</v>
      </c>
      <c r="F559" s="2">
        <f>-SUMIFS(LS[Unit],LS[Investor ID],INVESTORS_LIST[[#This Row],[INVESTOR CODE]],LS[B/S],"S")</f>
        <v>0</v>
      </c>
      <c r="G559" s="2">
        <f>IF(INVESTORS_LIST[[#This Row],[LS_TOTAL UNITS BUY]]=0,0,INVESTORS_LIST[[#This Row],[LS_TOTAL UNITS BUY]]-INVESTORS_LIST[[#This Row],[LS_TOTAL UNITS SOLD]])</f>
        <v>0</v>
      </c>
      <c r="H559" s="4">
        <f>IF(INVESTORS_LIST[[#This Row],[LS_TOTAL UNITS BUY]]=0,0,SUMIFS(LS[Amount],LS[Investor ID],INVESTORS_LIST[[#This Row],[INVESTOR CODE]],LS[B/S],"B"))</f>
        <v>0</v>
      </c>
      <c r="I559" s="6">
        <f>IF(INVESTORS_LIST[[#This Row],[LS_TOTAL UNITS SOLD]]=0,0,SUMIFS(LS[Cost of Units Sold],LS[Investor ID],INVESTORS_LIST[[#This Row],[INVESTOR CODE]],LS[B/S],"S"))</f>
        <v>0</v>
      </c>
      <c r="J559" s="6">
        <f>IF(INVESTORS_LIST[[#This Row],[LS_TOTAL CURRENT UNITS]]=0,0,INVESTORS_LIST[[#This Row],[LS_TOTAL CURRENT UNITS]]*INVESTORS_LIST[[#This Row],[LS_AVERAGE COST]])</f>
        <v>0</v>
      </c>
      <c r="K559" s="4">
        <f>IF(INVESTORS_LIST[[#This Row],[LS_TOTAL UNITS SOLD]]=0,0,SUMIFS(LS[Realized Gain],LS[Investor ID],INVESTORS_LIST[[#This Row],[INVESTOR CODE]],LS[B/S],"S"))</f>
        <v>0</v>
      </c>
      <c r="L559" s="2">
        <f>SUMIFS(SIP[Unit],SIP[Investor ID],INVESTORS_LIST[[#This Row],[INVESTOR CODE]],SIP[B/S],"B")</f>
        <v>0</v>
      </c>
      <c r="M559" s="2">
        <f>-SUMIFS(SIP[Unit],SIP[Investor ID],INVESTORS_LIST[[#This Row],[INVESTOR CODE]],SIP[B/S],"S")</f>
        <v>0</v>
      </c>
      <c r="N559" s="33">
        <f>IF(INVESTORS_LIST[[#This Row],[SIP_TOTAL UNITS BUY]]=0,0,INVESTORS_LIST[[#This Row],[SIP_TOTAL UNITS BUY]]-INVESTORS_LIST[[#This Row],[SIP_TOTAL UNITS SOLD]])</f>
        <v>0</v>
      </c>
      <c r="O559" s="4">
        <f>IF(INVESTORS_LIST[[#This Row],[SIP_TOTAL UNITS BUY]]=0,0,SUMIFS(SIP[Amount],SIP[Investor ID],INVESTORS_LIST[[#This Row],[INVESTOR CODE]],SIP[B/S],"B"))</f>
        <v>0</v>
      </c>
      <c r="P559" s="4">
        <f>IF(INVESTORS_LIST[[#This Row],[SIP_TOTAL UNITS SOLD]]=0,0,SUMIFS(SIP[Cost of Units Sold],SIP[Investor ID],INVESTORS_LIST[[#This Row],[INVESTOR CODE]],SIP[B/S],"S"))</f>
        <v>0</v>
      </c>
      <c r="Q559" s="6">
        <f>IF(INVESTORS_LIST[[#This Row],[SIP_TOTAL CURRENT UNITS]]=0,0,INVESTORS_LIST[[#This Row],[SIP_TOTAL CURRENT UNITS]]*INVESTORS_LIST[[#This Row],[SIP_AVERAGE COST]])</f>
        <v>0</v>
      </c>
      <c r="R559" s="6">
        <f>IF(INVESTORS_LIST[[#This Row],[SIP_TOTAL UNITS SOLD]]=0,0,SUMIFS(SIP[Realized Gain],SIP[Investor ID],INVESTORS_LIST[[#This Row],[INVESTOR CODE]],SIP[B/S],"S"))</f>
        <v>0</v>
      </c>
      <c r="S559" s="33">
        <f>INVESTORS_LIST[[#This Row],[LS_TOTAL UNITS BUY]]+INVESTORS_LIST[[#This Row],[SIP_TOTAL UNITS BUY]]</f>
        <v>0</v>
      </c>
      <c r="T559" s="33">
        <f>INVESTORS_LIST[[#This Row],[LS_TOTAL UNITS SOLD]]+INVESTORS_LIST[[#This Row],[SIP_TOTAL UNITS SOLD]]</f>
        <v>0</v>
      </c>
      <c r="U559" s="33">
        <v>0</v>
      </c>
      <c r="V559" s="33">
        <f>SUMIFS(LS[BO UNIT TRANSFER],LS[Investor ID],INVESTORS_LIST[[#This Row],[INVESTOR CODE]],LS[B/S],"B")</f>
        <v>0</v>
      </c>
      <c r="W559" s="33">
        <f>SUMIFS(LS[BO UNIT TRANSFER],LS[Investor ID],INVESTORS_LIST[[#This Row],[INVESTOR CODE]],LS[B/S],"S")</f>
        <v>0</v>
      </c>
      <c r="X559" s="33">
        <f>SUMIFS(SIP[BO UNIT TRANSFER],SIP[Investor ID],INVESTORS_LIST[[#This Row],[INVESTOR CODE]],SIP[B/S],"S")</f>
        <v>0</v>
      </c>
      <c r="Y559" s="33">
        <f>SUMIFS(SIP[BO UNIT TRANSFER],SIP[Investor ID],INVESTORS_LIST[[#This Row],[INVESTOR CODE]],SIP[B/S],"B")</f>
        <v>0</v>
      </c>
      <c r="Z55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59" s="119">
        <f>INVESTORS_LIST[[#This Row],[TOTAL UNITS BUY]]-INVESTORS_LIST[[#This Row],[TOTAL UNITS SOLD]]</f>
        <v>0</v>
      </c>
      <c r="AB559" s="119">
        <f>INVESTORS_LIST[[#This Row],[TOTAL CURRENT UNITS]]-INVESTORS_LIST[[#This Row],[BO UNITS HOLD]]</f>
        <v>0</v>
      </c>
      <c r="AC559" s="119" t="e">
        <f>INDEX([4]!Table_1[BO ID],MATCH(INVESTORS_LIST[[#This Row],[INVESTOR CODE]],[4]!Table_1[INVESTOR CODE],0))</f>
        <v>#REF!</v>
      </c>
      <c r="AD559" s="33">
        <f>INVESTORS_LIST[[#This Row],[LS_TOTAL COST VALUE OF CURRENT UNITS]]+INVESTORS_LIST[[#This Row],[SIP_TOTAL COST VALUE OF CURRENT UNITS]]</f>
        <v>0</v>
      </c>
      <c r="AE559" s="44">
        <f>IF(INVESTORS_LIST[[#This Row],[TOTAL CURRENT UNITS]]=0,0,INVESTORS_LIST[[#This Row],[LS_TOTAL CURRENT UNITS]]/INVESTORS_LIST[[#This Row],[TOTAL CURRENT UNITS]])</f>
        <v>0</v>
      </c>
      <c r="AF559" s="44">
        <f>IF(INVESTORS_LIST[[#This Row],[TOTAL CURRENT UNITS]]=0,0,INVESTORS_LIST[[#This Row],[SIP_TOTAL CURRENT UNITS]]/INVESTORS_LIST[[#This Row],[TOTAL CURRENT UNITS]])</f>
        <v>0</v>
      </c>
      <c r="AG559" s="4" cm="1">
        <f t="array" ref="AG55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59" s="4" cm="1">
        <f t="array" ref="AH55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5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59" s="178">
        <f t="shared" si="14"/>
        <v>12.552</v>
      </c>
      <c r="AK559" s="118">
        <f>IF(INVESTORS_LIST[[#This Row],[TOTAL CURRENT UNITS]]=0,0,INVESTORS_LIST[[#This Row],[TOTAL CURRENT UNITS]]*INVESTORS_LIST[[#This Row],[NAV]])</f>
        <v>0</v>
      </c>
      <c r="AL559" s="4">
        <f>IF(INVESTORS_LIST[[#This Row],[LS_TOTAL CURRENT UNITS]]=0,0,INVESTORS_LIST[[#This Row],[LS_TOTAL CURRENT UNITS]]*INVESTORS_LIST[[#This Row],[NAV]])</f>
        <v>0</v>
      </c>
      <c r="AM559" s="6">
        <f>IF(INVESTORS_LIST[[#This Row],[SIP_TOTAL CURRENT UNITS]]=0,0,INVESTORS_LIST[[#This Row],[SIP_TOTAL CURRENT UNITS]]*INVESTORS_LIST[[#This Row],[NAV]])</f>
        <v>0</v>
      </c>
      <c r="AO559" s="6">
        <f>IF(INVESTORS_LIST[[#This Row],[TOTAL SELLABLE UNITS]]=0,0,INVESTORS_LIST[[#This Row],[TOTAL SELLABLE UNITS]]*INVESTORS_LIST[[#This Row],[NAV]])</f>
        <v>0</v>
      </c>
      <c r="AP559" s="6">
        <f>INVESTORS_LIST[[#This Row],[LS_TOTAL REALIZED GAIN]]+INVESTORS_LIST[[#This Row],[SIP_TOTAL REALIZED GAIN]]</f>
        <v>0</v>
      </c>
      <c r="AQ559" s="6">
        <f>INVESTORS_LIST[[#This Row],[TOTAL MARKET VALUE]]-INVESTORS_LIST[[#This Row],[TOTAL COST VALUE OF CURRENT INVESTMENT]]</f>
        <v>0</v>
      </c>
      <c r="AR559" s="6">
        <f>SUMIFS(DivAndTax[Tax Amount],DivAndTax[Investor ID],INVESTORS_LIST[[#This Row],[INVESTOR CODE]])</f>
        <v>0</v>
      </c>
      <c r="AS559" s="6">
        <f>SUMIFS(DivAndTax[Gross Dividend],DivAndTax[Investor ID],INVESTORS_LIST[[#This Row],[INVESTOR CODE]])</f>
        <v>0</v>
      </c>
      <c r="AT559" s="5">
        <f>IFERROR(INVESTORS_LIST[[#This Row],[TOTAL CURRENT UNITS]]/SUM(INVESTORS_LIST[TOTAL CURRENT UNITS]),0)</f>
        <v>0</v>
      </c>
    </row>
    <row r="560" spans="1:46">
      <c r="A560" t="s">
        <v>1307</v>
      </c>
      <c r="B560" t="s">
        <v>1308</v>
      </c>
      <c r="C560" t="s">
        <v>536</v>
      </c>
      <c r="D560" s="8" t="s">
        <v>2</v>
      </c>
      <c r="E560" s="2">
        <f>SUMIFS(LS[Unit],LS[Investor ID],INVESTORS_LIST[[#This Row],[INVESTOR CODE]],LS[B/S],"B")</f>
        <v>0</v>
      </c>
      <c r="F560" s="2">
        <f>-SUMIFS(LS[Unit],LS[Investor ID],INVESTORS_LIST[[#This Row],[INVESTOR CODE]],LS[B/S],"S")</f>
        <v>0</v>
      </c>
      <c r="G560" s="2">
        <f>IF(INVESTORS_LIST[[#This Row],[LS_TOTAL UNITS BUY]]=0,0,INVESTORS_LIST[[#This Row],[LS_TOTAL UNITS BUY]]-INVESTORS_LIST[[#This Row],[LS_TOTAL UNITS SOLD]])</f>
        <v>0</v>
      </c>
      <c r="H560" s="4">
        <f>IF(INVESTORS_LIST[[#This Row],[LS_TOTAL UNITS BUY]]=0,0,SUMIFS(LS[Amount],LS[Investor ID],INVESTORS_LIST[[#This Row],[INVESTOR CODE]],LS[B/S],"B"))</f>
        <v>0</v>
      </c>
      <c r="I560" s="6">
        <f>IF(INVESTORS_LIST[[#This Row],[LS_TOTAL UNITS SOLD]]=0,0,SUMIFS(LS[Cost of Units Sold],LS[Investor ID],INVESTORS_LIST[[#This Row],[INVESTOR CODE]],LS[B/S],"S"))</f>
        <v>0</v>
      </c>
      <c r="J560" s="6">
        <f>IF(INVESTORS_LIST[[#This Row],[LS_TOTAL CURRENT UNITS]]=0,0,INVESTORS_LIST[[#This Row],[LS_TOTAL CURRENT UNITS]]*INVESTORS_LIST[[#This Row],[LS_AVERAGE COST]])</f>
        <v>0</v>
      </c>
      <c r="K560" s="4">
        <f>IF(INVESTORS_LIST[[#This Row],[LS_TOTAL UNITS SOLD]]=0,0,SUMIFS(LS[Realized Gain],LS[Investor ID],INVESTORS_LIST[[#This Row],[INVESTOR CODE]],LS[B/S],"S"))</f>
        <v>0</v>
      </c>
      <c r="L560" s="2">
        <f>SUMIFS(SIP[Unit],SIP[Investor ID],INVESTORS_LIST[[#This Row],[INVESTOR CODE]],SIP[B/S],"B")</f>
        <v>379</v>
      </c>
      <c r="M560" s="2">
        <f>-SUMIFS(SIP[Unit],SIP[Investor ID],INVESTORS_LIST[[#This Row],[INVESTOR CODE]],SIP[B/S],"S")</f>
        <v>0</v>
      </c>
      <c r="N560" s="33">
        <f>IF(INVESTORS_LIST[[#This Row],[SIP_TOTAL UNITS BUY]]=0,0,INVESTORS_LIST[[#This Row],[SIP_TOTAL UNITS BUY]]-INVESTORS_LIST[[#This Row],[SIP_TOTAL UNITS SOLD]])</f>
        <v>379</v>
      </c>
      <c r="O560" s="4">
        <f>IF(INVESTORS_LIST[[#This Row],[SIP_TOTAL UNITS BUY]]=0,0,SUMIFS(SIP[Amount],SIP[Investor ID],INVESTORS_LIST[[#This Row],[INVESTOR CODE]],SIP[B/S],"B"))</f>
        <v>5000</v>
      </c>
      <c r="P560" s="4">
        <f>IF(INVESTORS_LIST[[#This Row],[SIP_TOTAL UNITS SOLD]]=0,0,SUMIFS(SIP[Cost of Units Sold],SIP[Investor ID],INVESTORS_LIST[[#This Row],[INVESTOR CODE]],SIP[B/S],"S"))</f>
        <v>0</v>
      </c>
      <c r="Q560" s="6">
        <f>IF(INVESTORS_LIST[[#This Row],[SIP_TOTAL CURRENT UNITS]]=0,0,INVESTORS_LIST[[#This Row],[SIP_TOTAL CURRENT UNITS]]*INVESTORS_LIST[[#This Row],[SIP_AVERAGE COST]])</f>
        <v>5000</v>
      </c>
      <c r="R560" s="6">
        <f>IF(INVESTORS_LIST[[#This Row],[SIP_TOTAL UNITS SOLD]]=0,0,SUMIFS(SIP[Realized Gain],SIP[Investor ID],INVESTORS_LIST[[#This Row],[INVESTOR CODE]],SIP[B/S],"S"))</f>
        <v>0</v>
      </c>
      <c r="S560" s="33">
        <f>INVESTORS_LIST[[#This Row],[LS_TOTAL UNITS BUY]]+INVESTORS_LIST[[#This Row],[SIP_TOTAL UNITS BUY]]</f>
        <v>379</v>
      </c>
      <c r="T560" s="33">
        <f>INVESTORS_LIST[[#This Row],[LS_TOTAL UNITS SOLD]]+INVESTORS_LIST[[#This Row],[SIP_TOTAL UNITS SOLD]]</f>
        <v>0</v>
      </c>
      <c r="U560" s="33">
        <v>0</v>
      </c>
      <c r="V560" s="33">
        <f>SUMIFS(LS[BO UNIT TRANSFER],LS[Investor ID],INVESTORS_LIST[[#This Row],[INVESTOR CODE]],LS[B/S],"B")</f>
        <v>0</v>
      </c>
      <c r="W560" s="33">
        <f>SUMIFS(LS[BO UNIT TRANSFER],LS[Investor ID],INVESTORS_LIST[[#This Row],[INVESTOR CODE]],LS[B/S],"S")</f>
        <v>0</v>
      </c>
      <c r="X560" s="33">
        <f>SUMIFS(SIP[BO UNIT TRANSFER],SIP[Investor ID],INVESTORS_LIST[[#This Row],[INVESTOR CODE]],SIP[B/S],"S")</f>
        <v>0</v>
      </c>
      <c r="Y560" s="33">
        <f>SUMIFS(SIP[BO UNIT TRANSFER],SIP[Investor ID],INVESTORS_LIST[[#This Row],[INVESTOR CODE]],SIP[B/S],"B")</f>
        <v>0</v>
      </c>
      <c r="Z56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60" s="119">
        <f>INVESTORS_LIST[[#This Row],[TOTAL UNITS BUY]]-INVESTORS_LIST[[#This Row],[TOTAL UNITS SOLD]]</f>
        <v>379</v>
      </c>
      <c r="AB560" s="119">
        <f>INVESTORS_LIST[[#This Row],[TOTAL CURRENT UNITS]]-INVESTORS_LIST[[#This Row],[BO UNITS HOLD]]</f>
        <v>379</v>
      </c>
      <c r="AC560" s="119" t="e">
        <f>INDEX([4]!Table_1[BO ID],MATCH(INVESTORS_LIST[[#This Row],[INVESTOR CODE]],[4]!Table_1[INVESTOR CODE],0))</f>
        <v>#REF!</v>
      </c>
      <c r="AD560" s="33">
        <f>INVESTORS_LIST[[#This Row],[LS_TOTAL COST VALUE OF CURRENT UNITS]]+INVESTORS_LIST[[#This Row],[SIP_TOTAL COST VALUE OF CURRENT UNITS]]</f>
        <v>5000</v>
      </c>
      <c r="AE560" s="44">
        <f>IF(INVESTORS_LIST[[#This Row],[TOTAL CURRENT UNITS]]=0,0,INVESTORS_LIST[[#This Row],[LS_TOTAL CURRENT UNITS]]/INVESTORS_LIST[[#This Row],[TOTAL CURRENT UNITS]])</f>
        <v>0</v>
      </c>
      <c r="AF560" s="44">
        <f>IF(INVESTORS_LIST[[#This Row],[TOTAL CURRENT UNITS]]=0,0,INVESTORS_LIST[[#This Row],[SIP_TOTAL CURRENT UNITS]]/INVESTORS_LIST[[#This Row],[TOTAL CURRENT UNITS]])</f>
        <v>1</v>
      </c>
      <c r="AG560" s="4" cm="1">
        <f t="array" ref="AG56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60" s="4" cm="1">
        <f t="array" ref="AH560">IF(INVESTORS_LIST[[#This Row],[SIP_TOTAL UNITS BUY]]&gt;0,INDEX(SIP[NAV at Cost (Average)],MATCH(CONCATENATE(COUNTIFS(SIP[Investor ID],INVESTORS_LIST[[#This Row],[INVESTOR CODE]]),INVESTORS_LIST[[#This Row],[INVESTOR CODE]]),SIP[Unique Code],0),),0)</f>
        <v>13.192612137203167</v>
      </c>
      <c r="AI560" s="178">
        <f>IF(INVESTORS_LIST[[#This Row],[TOTAL CURRENT UNITS]]=0,0,(INVESTORS_LIST[[#This Row],[LS_WEIGHT]]*INVESTORS_LIST[[#This Row],[LS_AVERAGE COST]])+(INVESTORS_LIST[[#This Row],[SIP_WEIGHT]]*INVESTORS_LIST[[#This Row],[SIP_AVERAGE COST]]))</f>
        <v>13.192612137203167</v>
      </c>
      <c r="AJ560" s="178">
        <f t="shared" si="14"/>
        <v>12.552</v>
      </c>
      <c r="AK560" s="118">
        <f>IF(INVESTORS_LIST[[#This Row],[TOTAL CURRENT UNITS]]=0,0,INVESTORS_LIST[[#This Row],[TOTAL CURRENT UNITS]]*INVESTORS_LIST[[#This Row],[NAV]])</f>
        <v>4757.2079999999996</v>
      </c>
      <c r="AL560" s="4">
        <f>IF(INVESTORS_LIST[[#This Row],[LS_TOTAL CURRENT UNITS]]=0,0,INVESTORS_LIST[[#This Row],[LS_TOTAL CURRENT UNITS]]*INVESTORS_LIST[[#This Row],[NAV]])</f>
        <v>0</v>
      </c>
      <c r="AM560" s="6">
        <f>IF(INVESTORS_LIST[[#This Row],[SIP_TOTAL CURRENT UNITS]]=0,0,INVESTORS_LIST[[#This Row],[SIP_TOTAL CURRENT UNITS]]*INVESTORS_LIST[[#This Row],[NAV]])</f>
        <v>4757.2079999999996</v>
      </c>
      <c r="AO560" s="6">
        <f>IF(INVESTORS_LIST[[#This Row],[TOTAL SELLABLE UNITS]]=0,0,INVESTORS_LIST[[#This Row],[TOTAL SELLABLE UNITS]]*INVESTORS_LIST[[#This Row],[NAV]])</f>
        <v>0</v>
      </c>
      <c r="AP560" s="6">
        <f>INVESTORS_LIST[[#This Row],[LS_TOTAL REALIZED GAIN]]+INVESTORS_LIST[[#This Row],[SIP_TOTAL REALIZED GAIN]]</f>
        <v>0</v>
      </c>
      <c r="AQ560" s="6">
        <f>INVESTORS_LIST[[#This Row],[TOTAL MARKET VALUE]]-INVESTORS_LIST[[#This Row],[TOTAL COST VALUE OF CURRENT INVESTMENT]]</f>
        <v>-242.79200000000037</v>
      </c>
      <c r="AR560" s="6">
        <f>SUMIFS(DivAndTax[Tax Amount],DivAndTax[Investor ID],INVESTORS_LIST[[#This Row],[INVESTOR CODE]])</f>
        <v>0</v>
      </c>
      <c r="AS560" s="6">
        <f>SUMIFS(DivAndTax[Gross Dividend],DivAndTax[Investor ID],INVESTORS_LIST[[#This Row],[INVESTOR CODE]])</f>
        <v>0</v>
      </c>
      <c r="AT560" s="5">
        <f>IFERROR(INVESTORS_LIST[[#This Row],[TOTAL CURRENT UNITS]]/SUM(INVESTORS_LIST[TOTAL CURRENT UNITS]),0)</f>
        <v>1.8171092486353942E-5</v>
      </c>
    </row>
    <row r="561" spans="1:46" hidden="1">
      <c r="A561" t="s">
        <v>1309</v>
      </c>
      <c r="B561" t="s">
        <v>1310</v>
      </c>
      <c r="C561" t="s">
        <v>536</v>
      </c>
      <c r="D561" s="8" t="s">
        <v>2</v>
      </c>
      <c r="E561" s="2">
        <f>SUMIFS(LS[Unit],LS[Investor ID],INVESTORS_LIST[[#This Row],[INVESTOR CODE]],LS[B/S],"B")</f>
        <v>0</v>
      </c>
      <c r="F561" s="2">
        <f>-SUMIFS(LS[Unit],LS[Investor ID],INVESTORS_LIST[[#This Row],[INVESTOR CODE]],LS[B/S],"S")</f>
        <v>0</v>
      </c>
      <c r="G561" s="2">
        <f>IF(INVESTORS_LIST[[#This Row],[LS_TOTAL UNITS BUY]]=0,0,INVESTORS_LIST[[#This Row],[LS_TOTAL UNITS BUY]]-INVESTORS_LIST[[#This Row],[LS_TOTAL UNITS SOLD]])</f>
        <v>0</v>
      </c>
      <c r="H561" s="4">
        <f>IF(INVESTORS_LIST[[#This Row],[LS_TOTAL UNITS BUY]]=0,0,SUMIFS(LS[Amount],LS[Investor ID],INVESTORS_LIST[[#This Row],[INVESTOR CODE]],LS[B/S],"B"))</f>
        <v>0</v>
      </c>
      <c r="I561" s="6">
        <f>IF(INVESTORS_LIST[[#This Row],[LS_TOTAL UNITS SOLD]]=0,0,SUMIFS(LS[Cost of Units Sold],LS[Investor ID],INVESTORS_LIST[[#This Row],[INVESTOR CODE]],LS[B/S],"S"))</f>
        <v>0</v>
      </c>
      <c r="J561" s="6">
        <f>IF(INVESTORS_LIST[[#This Row],[LS_TOTAL CURRENT UNITS]]=0,0,INVESTORS_LIST[[#This Row],[LS_TOTAL CURRENT UNITS]]*INVESTORS_LIST[[#This Row],[LS_AVERAGE COST]])</f>
        <v>0</v>
      </c>
      <c r="K561" s="4">
        <f>IF(INVESTORS_LIST[[#This Row],[LS_TOTAL UNITS SOLD]]=0,0,SUMIFS(LS[Realized Gain],LS[Investor ID],INVESTORS_LIST[[#This Row],[INVESTOR CODE]],LS[B/S],"S"))</f>
        <v>0</v>
      </c>
      <c r="L561" s="2">
        <f>SUMIFS(SIP[Unit],SIP[Investor ID],INVESTORS_LIST[[#This Row],[INVESTOR CODE]],SIP[B/S],"B")</f>
        <v>0</v>
      </c>
      <c r="M561" s="2">
        <f>-SUMIFS(SIP[Unit],SIP[Investor ID],INVESTORS_LIST[[#This Row],[INVESTOR CODE]],SIP[B/S],"S")</f>
        <v>0</v>
      </c>
      <c r="N561" s="33">
        <f>IF(INVESTORS_LIST[[#This Row],[SIP_TOTAL UNITS BUY]]=0,0,INVESTORS_LIST[[#This Row],[SIP_TOTAL UNITS BUY]]-INVESTORS_LIST[[#This Row],[SIP_TOTAL UNITS SOLD]])</f>
        <v>0</v>
      </c>
      <c r="O561" s="4">
        <f>IF(INVESTORS_LIST[[#This Row],[SIP_TOTAL UNITS BUY]]=0,0,SUMIFS(SIP[Amount],SIP[Investor ID],INVESTORS_LIST[[#This Row],[INVESTOR CODE]],SIP[B/S],"B"))</f>
        <v>0</v>
      </c>
      <c r="P561" s="4">
        <f>IF(INVESTORS_LIST[[#This Row],[SIP_TOTAL UNITS SOLD]]=0,0,SUMIFS(SIP[Cost of Units Sold],SIP[Investor ID],INVESTORS_LIST[[#This Row],[INVESTOR CODE]],SIP[B/S],"S"))</f>
        <v>0</v>
      </c>
      <c r="Q561" s="6">
        <f>IF(INVESTORS_LIST[[#This Row],[SIP_TOTAL CURRENT UNITS]]=0,0,INVESTORS_LIST[[#This Row],[SIP_TOTAL CURRENT UNITS]]*INVESTORS_LIST[[#This Row],[SIP_AVERAGE COST]])</f>
        <v>0</v>
      </c>
      <c r="R561" s="6">
        <f>IF(INVESTORS_LIST[[#This Row],[SIP_TOTAL UNITS SOLD]]=0,0,SUMIFS(SIP[Realized Gain],SIP[Investor ID],INVESTORS_LIST[[#This Row],[INVESTOR CODE]],SIP[B/S],"S"))</f>
        <v>0</v>
      </c>
      <c r="S561" s="33">
        <f>INVESTORS_LIST[[#This Row],[LS_TOTAL UNITS BUY]]+INVESTORS_LIST[[#This Row],[SIP_TOTAL UNITS BUY]]</f>
        <v>0</v>
      </c>
      <c r="T561" s="33">
        <f>INVESTORS_LIST[[#This Row],[LS_TOTAL UNITS SOLD]]+INVESTORS_LIST[[#This Row],[SIP_TOTAL UNITS SOLD]]</f>
        <v>0</v>
      </c>
      <c r="U561" s="33">
        <v>0</v>
      </c>
      <c r="V561" s="33">
        <f>SUMIFS(LS[BO UNIT TRANSFER],LS[Investor ID],INVESTORS_LIST[[#This Row],[INVESTOR CODE]],LS[B/S],"B")</f>
        <v>0</v>
      </c>
      <c r="W561" s="33">
        <f>SUMIFS(LS[BO UNIT TRANSFER],LS[Investor ID],INVESTORS_LIST[[#This Row],[INVESTOR CODE]],LS[B/S],"S")</f>
        <v>0</v>
      </c>
      <c r="X561" s="33">
        <f>SUMIFS(SIP[BO UNIT TRANSFER],SIP[Investor ID],INVESTORS_LIST[[#This Row],[INVESTOR CODE]],SIP[B/S],"S")</f>
        <v>0</v>
      </c>
      <c r="Y561" s="33">
        <f>SUMIFS(SIP[BO UNIT TRANSFER],SIP[Investor ID],INVESTORS_LIST[[#This Row],[INVESTOR CODE]],SIP[B/S],"B")</f>
        <v>0</v>
      </c>
      <c r="Z56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61" s="119">
        <f>INVESTORS_LIST[[#This Row],[TOTAL UNITS BUY]]-INVESTORS_LIST[[#This Row],[TOTAL UNITS SOLD]]</f>
        <v>0</v>
      </c>
      <c r="AB561" s="119">
        <f>INVESTORS_LIST[[#This Row],[TOTAL CURRENT UNITS]]-INVESTORS_LIST[[#This Row],[BO UNITS HOLD]]</f>
        <v>0</v>
      </c>
      <c r="AC561" s="119" t="e">
        <f>INDEX([4]!Table_1[BO ID],MATCH(INVESTORS_LIST[[#This Row],[INVESTOR CODE]],[4]!Table_1[INVESTOR CODE],0))</f>
        <v>#REF!</v>
      </c>
      <c r="AD561" s="33">
        <f>INVESTORS_LIST[[#This Row],[LS_TOTAL COST VALUE OF CURRENT UNITS]]+INVESTORS_LIST[[#This Row],[SIP_TOTAL COST VALUE OF CURRENT UNITS]]</f>
        <v>0</v>
      </c>
      <c r="AE561" s="44">
        <f>IF(INVESTORS_LIST[[#This Row],[TOTAL CURRENT UNITS]]=0,0,INVESTORS_LIST[[#This Row],[LS_TOTAL CURRENT UNITS]]/INVESTORS_LIST[[#This Row],[TOTAL CURRENT UNITS]])</f>
        <v>0</v>
      </c>
      <c r="AF561" s="44">
        <f>IF(INVESTORS_LIST[[#This Row],[TOTAL CURRENT UNITS]]=0,0,INVESTORS_LIST[[#This Row],[SIP_TOTAL CURRENT UNITS]]/INVESTORS_LIST[[#This Row],[TOTAL CURRENT UNITS]])</f>
        <v>0</v>
      </c>
      <c r="AG561" s="4" cm="1">
        <f t="array" ref="AG56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61" s="4" cm="1">
        <f t="array" ref="AH5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6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61" s="178">
        <f t="shared" si="14"/>
        <v>12.552</v>
      </c>
      <c r="AK561" s="118">
        <f>IF(INVESTORS_LIST[[#This Row],[TOTAL CURRENT UNITS]]=0,0,INVESTORS_LIST[[#This Row],[TOTAL CURRENT UNITS]]*INVESTORS_LIST[[#This Row],[NAV]])</f>
        <v>0</v>
      </c>
      <c r="AL561" s="4">
        <f>IF(INVESTORS_LIST[[#This Row],[LS_TOTAL CURRENT UNITS]]=0,0,INVESTORS_LIST[[#This Row],[LS_TOTAL CURRENT UNITS]]*INVESTORS_LIST[[#This Row],[NAV]])</f>
        <v>0</v>
      </c>
      <c r="AM561" s="6">
        <f>IF(INVESTORS_LIST[[#This Row],[SIP_TOTAL CURRENT UNITS]]=0,0,INVESTORS_LIST[[#This Row],[SIP_TOTAL CURRENT UNITS]]*INVESTORS_LIST[[#This Row],[NAV]])</f>
        <v>0</v>
      </c>
      <c r="AO561" s="6">
        <f>IF(INVESTORS_LIST[[#This Row],[TOTAL SELLABLE UNITS]]=0,0,INVESTORS_LIST[[#This Row],[TOTAL SELLABLE UNITS]]*INVESTORS_LIST[[#This Row],[NAV]])</f>
        <v>0</v>
      </c>
      <c r="AP561" s="6">
        <f>INVESTORS_LIST[[#This Row],[LS_TOTAL REALIZED GAIN]]+INVESTORS_LIST[[#This Row],[SIP_TOTAL REALIZED GAIN]]</f>
        <v>0</v>
      </c>
      <c r="AQ561" s="6">
        <f>INVESTORS_LIST[[#This Row],[TOTAL MARKET VALUE]]-INVESTORS_LIST[[#This Row],[TOTAL COST VALUE OF CURRENT INVESTMENT]]</f>
        <v>0</v>
      </c>
      <c r="AR561" s="6">
        <f>SUMIFS(DivAndTax[Tax Amount],DivAndTax[Investor ID],INVESTORS_LIST[[#This Row],[INVESTOR CODE]])</f>
        <v>0</v>
      </c>
      <c r="AS561" s="6">
        <f>SUMIFS(DivAndTax[Gross Dividend],DivAndTax[Investor ID],INVESTORS_LIST[[#This Row],[INVESTOR CODE]])</f>
        <v>0</v>
      </c>
      <c r="AT561" s="5">
        <f>IFERROR(INVESTORS_LIST[[#This Row],[TOTAL CURRENT UNITS]]/SUM(INVESTORS_LIST[TOTAL CURRENT UNITS]),0)</f>
        <v>0</v>
      </c>
    </row>
    <row r="562" spans="1:46" hidden="1">
      <c r="A562" t="s">
        <v>1311</v>
      </c>
      <c r="B562" t="s">
        <v>1312</v>
      </c>
      <c r="C562" t="s">
        <v>536</v>
      </c>
      <c r="D562" s="8" t="s">
        <v>2</v>
      </c>
      <c r="E562" s="2">
        <f>SUMIFS(LS[Unit],LS[Investor ID],INVESTORS_LIST[[#This Row],[INVESTOR CODE]],LS[B/S],"B")</f>
        <v>0</v>
      </c>
      <c r="F562" s="2">
        <f>-SUMIFS(LS[Unit],LS[Investor ID],INVESTORS_LIST[[#This Row],[INVESTOR CODE]],LS[B/S],"S")</f>
        <v>0</v>
      </c>
      <c r="G562" s="2">
        <f>IF(INVESTORS_LIST[[#This Row],[LS_TOTAL UNITS BUY]]=0,0,INVESTORS_LIST[[#This Row],[LS_TOTAL UNITS BUY]]-INVESTORS_LIST[[#This Row],[LS_TOTAL UNITS SOLD]])</f>
        <v>0</v>
      </c>
      <c r="H562" s="4">
        <f>IF(INVESTORS_LIST[[#This Row],[LS_TOTAL UNITS BUY]]=0,0,SUMIFS(LS[Amount],LS[Investor ID],INVESTORS_LIST[[#This Row],[INVESTOR CODE]],LS[B/S],"B"))</f>
        <v>0</v>
      </c>
      <c r="I562" s="6">
        <f>IF(INVESTORS_LIST[[#This Row],[LS_TOTAL UNITS SOLD]]=0,0,SUMIFS(LS[Cost of Units Sold],LS[Investor ID],INVESTORS_LIST[[#This Row],[INVESTOR CODE]],LS[B/S],"S"))</f>
        <v>0</v>
      </c>
      <c r="J562" s="6">
        <f>IF(INVESTORS_LIST[[#This Row],[LS_TOTAL CURRENT UNITS]]=0,0,INVESTORS_LIST[[#This Row],[LS_TOTAL CURRENT UNITS]]*INVESTORS_LIST[[#This Row],[LS_AVERAGE COST]])</f>
        <v>0</v>
      </c>
      <c r="K562" s="4">
        <f>IF(INVESTORS_LIST[[#This Row],[LS_TOTAL UNITS SOLD]]=0,0,SUMIFS(LS[Realized Gain],LS[Investor ID],INVESTORS_LIST[[#This Row],[INVESTOR CODE]],LS[B/S],"S"))</f>
        <v>0</v>
      </c>
      <c r="L562" s="2">
        <f>SUMIFS(SIP[Unit],SIP[Investor ID],INVESTORS_LIST[[#This Row],[INVESTOR CODE]],SIP[B/S],"B")</f>
        <v>0</v>
      </c>
      <c r="M562" s="2">
        <f>-SUMIFS(SIP[Unit],SIP[Investor ID],INVESTORS_LIST[[#This Row],[INVESTOR CODE]],SIP[B/S],"S")</f>
        <v>0</v>
      </c>
      <c r="N562" s="33">
        <f>IF(INVESTORS_LIST[[#This Row],[SIP_TOTAL UNITS BUY]]=0,0,INVESTORS_LIST[[#This Row],[SIP_TOTAL UNITS BUY]]-INVESTORS_LIST[[#This Row],[SIP_TOTAL UNITS SOLD]])</f>
        <v>0</v>
      </c>
      <c r="O562" s="4">
        <f>IF(INVESTORS_LIST[[#This Row],[SIP_TOTAL UNITS BUY]]=0,0,SUMIFS(SIP[Amount],SIP[Investor ID],INVESTORS_LIST[[#This Row],[INVESTOR CODE]],SIP[B/S],"B"))</f>
        <v>0</v>
      </c>
      <c r="P562" s="4">
        <f>IF(INVESTORS_LIST[[#This Row],[SIP_TOTAL UNITS SOLD]]=0,0,SUMIFS(SIP[Cost of Units Sold],SIP[Investor ID],INVESTORS_LIST[[#This Row],[INVESTOR CODE]],SIP[B/S],"S"))</f>
        <v>0</v>
      </c>
      <c r="Q562" s="6">
        <f>IF(INVESTORS_LIST[[#This Row],[SIP_TOTAL CURRENT UNITS]]=0,0,INVESTORS_LIST[[#This Row],[SIP_TOTAL CURRENT UNITS]]*INVESTORS_LIST[[#This Row],[SIP_AVERAGE COST]])</f>
        <v>0</v>
      </c>
      <c r="R562" s="6">
        <f>IF(INVESTORS_LIST[[#This Row],[SIP_TOTAL UNITS SOLD]]=0,0,SUMIFS(SIP[Realized Gain],SIP[Investor ID],INVESTORS_LIST[[#This Row],[INVESTOR CODE]],SIP[B/S],"S"))</f>
        <v>0</v>
      </c>
      <c r="S562" s="33">
        <f>INVESTORS_LIST[[#This Row],[LS_TOTAL UNITS BUY]]+INVESTORS_LIST[[#This Row],[SIP_TOTAL UNITS BUY]]</f>
        <v>0</v>
      </c>
      <c r="T562" s="33">
        <f>INVESTORS_LIST[[#This Row],[LS_TOTAL UNITS SOLD]]+INVESTORS_LIST[[#This Row],[SIP_TOTAL UNITS SOLD]]</f>
        <v>0</v>
      </c>
      <c r="U562" s="33">
        <v>0</v>
      </c>
      <c r="V562" s="33">
        <f>SUMIFS(LS[BO UNIT TRANSFER],LS[Investor ID],INVESTORS_LIST[[#This Row],[INVESTOR CODE]],LS[B/S],"B")</f>
        <v>0</v>
      </c>
      <c r="W562" s="33">
        <f>SUMIFS(LS[BO UNIT TRANSFER],LS[Investor ID],INVESTORS_LIST[[#This Row],[INVESTOR CODE]],LS[B/S],"S")</f>
        <v>0</v>
      </c>
      <c r="X562" s="33">
        <f>SUMIFS(SIP[BO UNIT TRANSFER],SIP[Investor ID],INVESTORS_LIST[[#This Row],[INVESTOR CODE]],SIP[B/S],"S")</f>
        <v>0</v>
      </c>
      <c r="Y562" s="33">
        <f>SUMIFS(SIP[BO UNIT TRANSFER],SIP[Investor ID],INVESTORS_LIST[[#This Row],[INVESTOR CODE]],SIP[B/S],"B")</f>
        <v>0</v>
      </c>
      <c r="Z56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62" s="119">
        <f>INVESTORS_LIST[[#This Row],[TOTAL UNITS BUY]]-INVESTORS_LIST[[#This Row],[TOTAL UNITS SOLD]]</f>
        <v>0</v>
      </c>
      <c r="AB562" s="119">
        <f>INVESTORS_LIST[[#This Row],[TOTAL CURRENT UNITS]]-INVESTORS_LIST[[#This Row],[BO UNITS HOLD]]</f>
        <v>0</v>
      </c>
      <c r="AC562" s="119" t="e">
        <f>INDEX([4]!Table_1[BO ID],MATCH(INVESTORS_LIST[[#This Row],[INVESTOR CODE]],[4]!Table_1[INVESTOR CODE],0))</f>
        <v>#REF!</v>
      </c>
      <c r="AD562" s="33">
        <f>INVESTORS_LIST[[#This Row],[LS_TOTAL COST VALUE OF CURRENT UNITS]]+INVESTORS_LIST[[#This Row],[SIP_TOTAL COST VALUE OF CURRENT UNITS]]</f>
        <v>0</v>
      </c>
      <c r="AE562" s="44">
        <f>IF(INVESTORS_LIST[[#This Row],[TOTAL CURRENT UNITS]]=0,0,INVESTORS_LIST[[#This Row],[LS_TOTAL CURRENT UNITS]]/INVESTORS_LIST[[#This Row],[TOTAL CURRENT UNITS]])</f>
        <v>0</v>
      </c>
      <c r="AF562" s="44">
        <f>IF(INVESTORS_LIST[[#This Row],[TOTAL CURRENT UNITS]]=0,0,INVESTORS_LIST[[#This Row],[SIP_TOTAL CURRENT UNITS]]/INVESTORS_LIST[[#This Row],[TOTAL CURRENT UNITS]])</f>
        <v>0</v>
      </c>
      <c r="AG562" s="4" cm="1">
        <f t="array" ref="AG56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62" s="4" cm="1">
        <f t="array" ref="AH5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6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62" s="178">
        <f t="shared" si="14"/>
        <v>12.552</v>
      </c>
      <c r="AK562" s="118">
        <f>IF(INVESTORS_LIST[[#This Row],[TOTAL CURRENT UNITS]]=0,0,INVESTORS_LIST[[#This Row],[TOTAL CURRENT UNITS]]*INVESTORS_LIST[[#This Row],[NAV]])</f>
        <v>0</v>
      </c>
      <c r="AL562" s="4">
        <f>IF(INVESTORS_LIST[[#This Row],[LS_TOTAL CURRENT UNITS]]=0,0,INVESTORS_LIST[[#This Row],[LS_TOTAL CURRENT UNITS]]*INVESTORS_LIST[[#This Row],[NAV]])</f>
        <v>0</v>
      </c>
      <c r="AM562" s="6">
        <f>IF(INVESTORS_LIST[[#This Row],[SIP_TOTAL CURRENT UNITS]]=0,0,INVESTORS_LIST[[#This Row],[SIP_TOTAL CURRENT UNITS]]*INVESTORS_LIST[[#This Row],[NAV]])</f>
        <v>0</v>
      </c>
      <c r="AO562" s="6">
        <f>IF(INVESTORS_LIST[[#This Row],[TOTAL SELLABLE UNITS]]=0,0,INVESTORS_LIST[[#This Row],[TOTAL SELLABLE UNITS]]*INVESTORS_LIST[[#This Row],[NAV]])</f>
        <v>0</v>
      </c>
      <c r="AP562" s="6">
        <f>INVESTORS_LIST[[#This Row],[LS_TOTAL REALIZED GAIN]]+INVESTORS_LIST[[#This Row],[SIP_TOTAL REALIZED GAIN]]</f>
        <v>0</v>
      </c>
      <c r="AQ562" s="6">
        <f>INVESTORS_LIST[[#This Row],[TOTAL MARKET VALUE]]-INVESTORS_LIST[[#This Row],[TOTAL COST VALUE OF CURRENT INVESTMENT]]</f>
        <v>0</v>
      </c>
      <c r="AR562" s="6">
        <f>SUMIFS(DivAndTax[Tax Amount],DivAndTax[Investor ID],INVESTORS_LIST[[#This Row],[INVESTOR CODE]])</f>
        <v>0</v>
      </c>
      <c r="AS562" s="6">
        <f>SUMIFS(DivAndTax[Gross Dividend],DivAndTax[Investor ID],INVESTORS_LIST[[#This Row],[INVESTOR CODE]])</f>
        <v>0</v>
      </c>
      <c r="AT562" s="5">
        <f>IFERROR(INVESTORS_LIST[[#This Row],[TOTAL CURRENT UNITS]]/SUM(INVESTORS_LIST[TOTAL CURRENT UNITS]),0)</f>
        <v>0</v>
      </c>
    </row>
    <row r="563" spans="1:46" hidden="1">
      <c r="A563" t="s">
        <v>1313</v>
      </c>
      <c r="B563" t="s">
        <v>1314</v>
      </c>
      <c r="C563" t="s">
        <v>536</v>
      </c>
      <c r="D563" s="8" t="s">
        <v>2</v>
      </c>
      <c r="E563" s="2">
        <f>SUMIFS(LS[Unit],LS[Investor ID],INVESTORS_LIST[[#This Row],[INVESTOR CODE]],LS[B/S],"B")</f>
        <v>0</v>
      </c>
      <c r="F563" s="2">
        <f>-SUMIFS(LS[Unit],LS[Investor ID],INVESTORS_LIST[[#This Row],[INVESTOR CODE]],LS[B/S],"S")</f>
        <v>0</v>
      </c>
      <c r="G563" s="2">
        <f>IF(INVESTORS_LIST[[#This Row],[LS_TOTAL UNITS BUY]]=0,0,INVESTORS_LIST[[#This Row],[LS_TOTAL UNITS BUY]]-INVESTORS_LIST[[#This Row],[LS_TOTAL UNITS SOLD]])</f>
        <v>0</v>
      </c>
      <c r="H563" s="4">
        <f>IF(INVESTORS_LIST[[#This Row],[LS_TOTAL UNITS BUY]]=0,0,SUMIFS(LS[Amount],LS[Investor ID],INVESTORS_LIST[[#This Row],[INVESTOR CODE]],LS[B/S],"B"))</f>
        <v>0</v>
      </c>
      <c r="I563" s="6">
        <f>IF(INVESTORS_LIST[[#This Row],[LS_TOTAL UNITS SOLD]]=0,0,SUMIFS(LS[Cost of Units Sold],LS[Investor ID],INVESTORS_LIST[[#This Row],[INVESTOR CODE]],LS[B/S],"S"))</f>
        <v>0</v>
      </c>
      <c r="J563" s="6">
        <f>IF(INVESTORS_LIST[[#This Row],[LS_TOTAL CURRENT UNITS]]=0,0,INVESTORS_LIST[[#This Row],[LS_TOTAL CURRENT UNITS]]*INVESTORS_LIST[[#This Row],[LS_AVERAGE COST]])</f>
        <v>0</v>
      </c>
      <c r="K563" s="4">
        <f>IF(INVESTORS_LIST[[#This Row],[LS_TOTAL UNITS SOLD]]=0,0,SUMIFS(LS[Realized Gain],LS[Investor ID],INVESTORS_LIST[[#This Row],[INVESTOR CODE]],LS[B/S],"S"))</f>
        <v>0</v>
      </c>
      <c r="L563" s="2">
        <f>SUMIFS(SIP[Unit],SIP[Investor ID],INVESTORS_LIST[[#This Row],[INVESTOR CODE]],SIP[B/S],"B")</f>
        <v>0</v>
      </c>
      <c r="M563" s="2">
        <f>-SUMIFS(SIP[Unit],SIP[Investor ID],INVESTORS_LIST[[#This Row],[INVESTOR CODE]],SIP[B/S],"S")</f>
        <v>0</v>
      </c>
      <c r="N563" s="33">
        <f>IF(INVESTORS_LIST[[#This Row],[SIP_TOTAL UNITS BUY]]=0,0,INVESTORS_LIST[[#This Row],[SIP_TOTAL UNITS BUY]]-INVESTORS_LIST[[#This Row],[SIP_TOTAL UNITS SOLD]])</f>
        <v>0</v>
      </c>
      <c r="O563" s="4">
        <f>IF(INVESTORS_LIST[[#This Row],[SIP_TOTAL UNITS BUY]]=0,0,SUMIFS(SIP[Amount],SIP[Investor ID],INVESTORS_LIST[[#This Row],[INVESTOR CODE]],SIP[B/S],"B"))</f>
        <v>0</v>
      </c>
      <c r="P563" s="4">
        <f>IF(INVESTORS_LIST[[#This Row],[SIP_TOTAL UNITS SOLD]]=0,0,SUMIFS(SIP[Cost of Units Sold],SIP[Investor ID],INVESTORS_LIST[[#This Row],[INVESTOR CODE]],SIP[B/S],"S"))</f>
        <v>0</v>
      </c>
      <c r="Q563" s="6">
        <f>IF(INVESTORS_LIST[[#This Row],[SIP_TOTAL CURRENT UNITS]]=0,0,INVESTORS_LIST[[#This Row],[SIP_TOTAL CURRENT UNITS]]*INVESTORS_LIST[[#This Row],[SIP_AVERAGE COST]])</f>
        <v>0</v>
      </c>
      <c r="R563" s="6">
        <f>IF(INVESTORS_LIST[[#This Row],[SIP_TOTAL UNITS SOLD]]=0,0,SUMIFS(SIP[Realized Gain],SIP[Investor ID],INVESTORS_LIST[[#This Row],[INVESTOR CODE]],SIP[B/S],"S"))</f>
        <v>0</v>
      </c>
      <c r="S563" s="33">
        <f>INVESTORS_LIST[[#This Row],[LS_TOTAL UNITS BUY]]+INVESTORS_LIST[[#This Row],[SIP_TOTAL UNITS BUY]]</f>
        <v>0</v>
      </c>
      <c r="T563" s="33">
        <f>INVESTORS_LIST[[#This Row],[LS_TOTAL UNITS SOLD]]+INVESTORS_LIST[[#This Row],[SIP_TOTAL UNITS SOLD]]</f>
        <v>0</v>
      </c>
      <c r="U563" s="33">
        <v>0</v>
      </c>
      <c r="V563" s="33">
        <f>SUMIFS(LS[BO UNIT TRANSFER],LS[Investor ID],INVESTORS_LIST[[#This Row],[INVESTOR CODE]],LS[B/S],"B")</f>
        <v>0</v>
      </c>
      <c r="W563" s="33">
        <f>SUMIFS(LS[BO UNIT TRANSFER],LS[Investor ID],INVESTORS_LIST[[#This Row],[INVESTOR CODE]],LS[B/S],"S")</f>
        <v>0</v>
      </c>
      <c r="X563" s="33">
        <f>SUMIFS(SIP[BO UNIT TRANSFER],SIP[Investor ID],INVESTORS_LIST[[#This Row],[INVESTOR CODE]],SIP[B/S],"S")</f>
        <v>0</v>
      </c>
      <c r="Y563" s="33">
        <f>SUMIFS(SIP[BO UNIT TRANSFER],SIP[Investor ID],INVESTORS_LIST[[#This Row],[INVESTOR CODE]],SIP[B/S],"B")</f>
        <v>0</v>
      </c>
      <c r="Z56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63" s="119">
        <f>INVESTORS_LIST[[#This Row],[TOTAL UNITS BUY]]-INVESTORS_LIST[[#This Row],[TOTAL UNITS SOLD]]</f>
        <v>0</v>
      </c>
      <c r="AB563" s="119">
        <f>INVESTORS_LIST[[#This Row],[TOTAL CURRENT UNITS]]-INVESTORS_LIST[[#This Row],[BO UNITS HOLD]]</f>
        <v>0</v>
      </c>
      <c r="AC563" s="119" t="e">
        <f>INDEX([4]!Table_1[BO ID],MATCH(INVESTORS_LIST[[#This Row],[INVESTOR CODE]],[4]!Table_1[INVESTOR CODE],0))</f>
        <v>#REF!</v>
      </c>
      <c r="AD563" s="33">
        <f>INVESTORS_LIST[[#This Row],[LS_TOTAL COST VALUE OF CURRENT UNITS]]+INVESTORS_LIST[[#This Row],[SIP_TOTAL COST VALUE OF CURRENT UNITS]]</f>
        <v>0</v>
      </c>
      <c r="AE563" s="44">
        <f>IF(INVESTORS_LIST[[#This Row],[TOTAL CURRENT UNITS]]=0,0,INVESTORS_LIST[[#This Row],[LS_TOTAL CURRENT UNITS]]/INVESTORS_LIST[[#This Row],[TOTAL CURRENT UNITS]])</f>
        <v>0</v>
      </c>
      <c r="AF563" s="44">
        <f>IF(INVESTORS_LIST[[#This Row],[TOTAL CURRENT UNITS]]=0,0,INVESTORS_LIST[[#This Row],[SIP_TOTAL CURRENT UNITS]]/INVESTORS_LIST[[#This Row],[TOTAL CURRENT UNITS]])</f>
        <v>0</v>
      </c>
      <c r="AG563" s="4" cm="1">
        <f t="array" ref="AG56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63" s="4" cm="1">
        <f t="array" ref="AH5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6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63" s="178">
        <f t="shared" si="14"/>
        <v>12.552</v>
      </c>
      <c r="AK563" s="118">
        <f>IF(INVESTORS_LIST[[#This Row],[TOTAL CURRENT UNITS]]=0,0,INVESTORS_LIST[[#This Row],[TOTAL CURRENT UNITS]]*INVESTORS_LIST[[#This Row],[NAV]])</f>
        <v>0</v>
      </c>
      <c r="AL563" s="4">
        <f>IF(INVESTORS_LIST[[#This Row],[LS_TOTAL CURRENT UNITS]]=0,0,INVESTORS_LIST[[#This Row],[LS_TOTAL CURRENT UNITS]]*INVESTORS_LIST[[#This Row],[NAV]])</f>
        <v>0</v>
      </c>
      <c r="AM563" s="6">
        <f>IF(INVESTORS_LIST[[#This Row],[SIP_TOTAL CURRENT UNITS]]=0,0,INVESTORS_LIST[[#This Row],[SIP_TOTAL CURRENT UNITS]]*INVESTORS_LIST[[#This Row],[NAV]])</f>
        <v>0</v>
      </c>
      <c r="AO563" s="6">
        <f>IF(INVESTORS_LIST[[#This Row],[TOTAL SELLABLE UNITS]]=0,0,INVESTORS_LIST[[#This Row],[TOTAL SELLABLE UNITS]]*INVESTORS_LIST[[#This Row],[NAV]])</f>
        <v>0</v>
      </c>
      <c r="AP563" s="6">
        <f>INVESTORS_LIST[[#This Row],[LS_TOTAL REALIZED GAIN]]+INVESTORS_LIST[[#This Row],[SIP_TOTAL REALIZED GAIN]]</f>
        <v>0</v>
      </c>
      <c r="AQ563" s="6">
        <f>INVESTORS_LIST[[#This Row],[TOTAL MARKET VALUE]]-INVESTORS_LIST[[#This Row],[TOTAL COST VALUE OF CURRENT INVESTMENT]]</f>
        <v>0</v>
      </c>
      <c r="AR563" s="6">
        <f>SUMIFS(DivAndTax[Tax Amount],DivAndTax[Investor ID],INVESTORS_LIST[[#This Row],[INVESTOR CODE]])</f>
        <v>0</v>
      </c>
      <c r="AS563" s="6">
        <f>SUMIFS(DivAndTax[Gross Dividend],DivAndTax[Investor ID],INVESTORS_LIST[[#This Row],[INVESTOR CODE]])</f>
        <v>0</v>
      </c>
      <c r="AT563" s="5">
        <f>IFERROR(INVESTORS_LIST[[#This Row],[TOTAL CURRENT UNITS]]/SUM(INVESTORS_LIST[TOTAL CURRENT UNITS]),0)</f>
        <v>0</v>
      </c>
    </row>
    <row r="564" spans="1:46" hidden="1">
      <c r="A564" t="s">
        <v>1315</v>
      </c>
      <c r="B564" t="s">
        <v>1316</v>
      </c>
      <c r="C564" t="s">
        <v>539</v>
      </c>
      <c r="D564" s="8" t="s">
        <v>2</v>
      </c>
      <c r="E564" s="2">
        <f>SUMIFS(LS[Unit],LS[Investor ID],INVESTORS_LIST[[#This Row],[INVESTOR CODE]],LS[B/S],"B")</f>
        <v>0</v>
      </c>
      <c r="F564" s="2">
        <f>-SUMIFS(LS[Unit],LS[Investor ID],INVESTORS_LIST[[#This Row],[INVESTOR CODE]],LS[B/S],"S")</f>
        <v>0</v>
      </c>
      <c r="G564" s="2">
        <f>IF(INVESTORS_LIST[[#This Row],[LS_TOTAL UNITS BUY]]=0,0,INVESTORS_LIST[[#This Row],[LS_TOTAL UNITS BUY]]-INVESTORS_LIST[[#This Row],[LS_TOTAL UNITS SOLD]])</f>
        <v>0</v>
      </c>
      <c r="H564" s="4">
        <f>IF(INVESTORS_LIST[[#This Row],[LS_TOTAL UNITS BUY]]=0,0,SUMIFS(LS[Amount],LS[Investor ID],INVESTORS_LIST[[#This Row],[INVESTOR CODE]],LS[B/S],"B"))</f>
        <v>0</v>
      </c>
      <c r="I564" s="6">
        <f>IF(INVESTORS_LIST[[#This Row],[LS_TOTAL UNITS SOLD]]=0,0,SUMIFS(LS[Cost of Units Sold],LS[Investor ID],INVESTORS_LIST[[#This Row],[INVESTOR CODE]],LS[B/S],"S"))</f>
        <v>0</v>
      </c>
      <c r="J564" s="6">
        <f>IF(INVESTORS_LIST[[#This Row],[LS_TOTAL CURRENT UNITS]]=0,0,INVESTORS_LIST[[#This Row],[LS_TOTAL CURRENT UNITS]]*INVESTORS_LIST[[#This Row],[LS_AVERAGE COST]])</f>
        <v>0</v>
      </c>
      <c r="K564" s="4">
        <f>IF(INVESTORS_LIST[[#This Row],[LS_TOTAL UNITS SOLD]]=0,0,SUMIFS(LS[Realized Gain],LS[Investor ID],INVESTORS_LIST[[#This Row],[INVESTOR CODE]],LS[B/S],"S"))</f>
        <v>0</v>
      </c>
      <c r="L564" s="2">
        <f>SUMIFS(SIP[Unit],SIP[Investor ID],INVESTORS_LIST[[#This Row],[INVESTOR CODE]],SIP[B/S],"B")</f>
        <v>0</v>
      </c>
      <c r="M564" s="2">
        <f>-SUMIFS(SIP[Unit],SIP[Investor ID],INVESTORS_LIST[[#This Row],[INVESTOR CODE]],SIP[B/S],"S")</f>
        <v>0</v>
      </c>
      <c r="N564" s="33">
        <f>IF(INVESTORS_LIST[[#This Row],[SIP_TOTAL UNITS BUY]]=0,0,INVESTORS_LIST[[#This Row],[SIP_TOTAL UNITS BUY]]-INVESTORS_LIST[[#This Row],[SIP_TOTAL UNITS SOLD]])</f>
        <v>0</v>
      </c>
      <c r="O564" s="4">
        <f>IF(INVESTORS_LIST[[#This Row],[SIP_TOTAL UNITS BUY]]=0,0,SUMIFS(SIP[Amount],SIP[Investor ID],INVESTORS_LIST[[#This Row],[INVESTOR CODE]],SIP[B/S],"B"))</f>
        <v>0</v>
      </c>
      <c r="P564" s="4">
        <f>IF(INVESTORS_LIST[[#This Row],[SIP_TOTAL UNITS SOLD]]=0,0,SUMIFS(SIP[Cost of Units Sold],SIP[Investor ID],INVESTORS_LIST[[#This Row],[INVESTOR CODE]],SIP[B/S],"S"))</f>
        <v>0</v>
      </c>
      <c r="Q564" s="6">
        <f>IF(INVESTORS_LIST[[#This Row],[SIP_TOTAL CURRENT UNITS]]=0,0,INVESTORS_LIST[[#This Row],[SIP_TOTAL CURRENT UNITS]]*INVESTORS_LIST[[#This Row],[SIP_AVERAGE COST]])</f>
        <v>0</v>
      </c>
      <c r="R564" s="6">
        <f>IF(INVESTORS_LIST[[#This Row],[SIP_TOTAL UNITS SOLD]]=0,0,SUMIFS(SIP[Realized Gain],SIP[Investor ID],INVESTORS_LIST[[#This Row],[INVESTOR CODE]],SIP[B/S],"S"))</f>
        <v>0</v>
      </c>
      <c r="S564" s="33">
        <f>INVESTORS_LIST[[#This Row],[LS_TOTAL UNITS BUY]]+INVESTORS_LIST[[#This Row],[SIP_TOTAL UNITS BUY]]</f>
        <v>0</v>
      </c>
      <c r="T564" s="33">
        <f>INVESTORS_LIST[[#This Row],[LS_TOTAL UNITS SOLD]]+INVESTORS_LIST[[#This Row],[SIP_TOTAL UNITS SOLD]]</f>
        <v>0</v>
      </c>
      <c r="U564" s="33">
        <v>0</v>
      </c>
      <c r="V564" s="33">
        <f>SUMIFS(LS[BO UNIT TRANSFER],LS[Investor ID],INVESTORS_LIST[[#This Row],[INVESTOR CODE]],LS[B/S],"B")</f>
        <v>0</v>
      </c>
      <c r="W564" s="33">
        <f>SUMIFS(LS[BO UNIT TRANSFER],LS[Investor ID],INVESTORS_LIST[[#This Row],[INVESTOR CODE]],LS[B/S],"S")</f>
        <v>0</v>
      </c>
      <c r="X564" s="33">
        <f>SUMIFS(SIP[BO UNIT TRANSFER],SIP[Investor ID],INVESTORS_LIST[[#This Row],[INVESTOR CODE]],SIP[B/S],"S")</f>
        <v>0</v>
      </c>
      <c r="Y564" s="33">
        <f>SUMIFS(SIP[BO UNIT TRANSFER],SIP[Investor ID],INVESTORS_LIST[[#This Row],[INVESTOR CODE]],SIP[B/S],"B")</f>
        <v>0</v>
      </c>
      <c r="Z56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64" s="119">
        <f>INVESTORS_LIST[[#This Row],[TOTAL UNITS BUY]]-INVESTORS_LIST[[#This Row],[TOTAL UNITS SOLD]]</f>
        <v>0</v>
      </c>
      <c r="AB564" s="119">
        <f>INVESTORS_LIST[[#This Row],[TOTAL CURRENT UNITS]]-INVESTORS_LIST[[#This Row],[BO UNITS HOLD]]</f>
        <v>0</v>
      </c>
      <c r="AC564" s="119" t="e">
        <f>INDEX([4]!Table_1[BO ID],MATCH(INVESTORS_LIST[[#This Row],[INVESTOR CODE]],[4]!Table_1[INVESTOR CODE],0))</f>
        <v>#REF!</v>
      </c>
      <c r="AD564" s="33">
        <f>INVESTORS_LIST[[#This Row],[LS_TOTAL COST VALUE OF CURRENT UNITS]]+INVESTORS_LIST[[#This Row],[SIP_TOTAL COST VALUE OF CURRENT UNITS]]</f>
        <v>0</v>
      </c>
      <c r="AE564" s="44">
        <f>IF(INVESTORS_LIST[[#This Row],[TOTAL CURRENT UNITS]]=0,0,INVESTORS_LIST[[#This Row],[LS_TOTAL CURRENT UNITS]]/INVESTORS_LIST[[#This Row],[TOTAL CURRENT UNITS]])</f>
        <v>0</v>
      </c>
      <c r="AF564" s="44">
        <f>IF(INVESTORS_LIST[[#This Row],[TOTAL CURRENT UNITS]]=0,0,INVESTORS_LIST[[#This Row],[SIP_TOTAL CURRENT UNITS]]/INVESTORS_LIST[[#This Row],[TOTAL CURRENT UNITS]])</f>
        <v>0</v>
      </c>
      <c r="AG564" s="4" cm="1">
        <f t="array" ref="AG56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64" s="4" cm="1">
        <f t="array" ref="AH56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6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64" s="178">
        <f t="shared" si="14"/>
        <v>12.552</v>
      </c>
      <c r="AK564" s="118">
        <f>IF(INVESTORS_LIST[[#This Row],[TOTAL CURRENT UNITS]]=0,0,INVESTORS_LIST[[#This Row],[TOTAL CURRENT UNITS]]*INVESTORS_LIST[[#This Row],[NAV]])</f>
        <v>0</v>
      </c>
      <c r="AL564" s="4">
        <f>IF(INVESTORS_LIST[[#This Row],[LS_TOTAL CURRENT UNITS]]=0,0,INVESTORS_LIST[[#This Row],[LS_TOTAL CURRENT UNITS]]*INVESTORS_LIST[[#This Row],[NAV]])</f>
        <v>0</v>
      </c>
      <c r="AM564" s="6">
        <f>IF(INVESTORS_LIST[[#This Row],[SIP_TOTAL CURRENT UNITS]]=0,0,INVESTORS_LIST[[#This Row],[SIP_TOTAL CURRENT UNITS]]*INVESTORS_LIST[[#This Row],[NAV]])</f>
        <v>0</v>
      </c>
      <c r="AO564" s="6">
        <f>IF(INVESTORS_LIST[[#This Row],[TOTAL SELLABLE UNITS]]=0,0,INVESTORS_LIST[[#This Row],[TOTAL SELLABLE UNITS]]*INVESTORS_LIST[[#This Row],[NAV]])</f>
        <v>0</v>
      </c>
      <c r="AP564" s="6">
        <f>INVESTORS_LIST[[#This Row],[LS_TOTAL REALIZED GAIN]]+INVESTORS_LIST[[#This Row],[SIP_TOTAL REALIZED GAIN]]</f>
        <v>0</v>
      </c>
      <c r="AQ564" s="6">
        <f>INVESTORS_LIST[[#This Row],[TOTAL MARKET VALUE]]-INVESTORS_LIST[[#This Row],[TOTAL COST VALUE OF CURRENT INVESTMENT]]</f>
        <v>0</v>
      </c>
      <c r="AR564" s="6">
        <f>SUMIFS(DivAndTax[Tax Amount],DivAndTax[Investor ID],INVESTORS_LIST[[#This Row],[INVESTOR CODE]])</f>
        <v>0</v>
      </c>
      <c r="AS564" s="6">
        <f>SUMIFS(DivAndTax[Gross Dividend],DivAndTax[Investor ID],INVESTORS_LIST[[#This Row],[INVESTOR CODE]])</f>
        <v>0</v>
      </c>
      <c r="AT564" s="5">
        <f>IFERROR(INVESTORS_LIST[[#This Row],[TOTAL CURRENT UNITS]]/SUM(INVESTORS_LIST[TOTAL CURRENT UNITS]),0)</f>
        <v>0</v>
      </c>
    </row>
    <row r="565" spans="1:46" hidden="1">
      <c r="A565" t="s">
        <v>1317</v>
      </c>
      <c r="B565" t="s">
        <v>1318</v>
      </c>
      <c r="C565" t="s">
        <v>536</v>
      </c>
      <c r="D565" s="8" t="s">
        <v>2</v>
      </c>
      <c r="E565" s="2">
        <f>SUMIFS(LS[Unit],LS[Investor ID],INVESTORS_LIST[[#This Row],[INVESTOR CODE]],LS[B/S],"B")</f>
        <v>0</v>
      </c>
      <c r="F565" s="2">
        <f>-SUMIFS(LS[Unit],LS[Investor ID],INVESTORS_LIST[[#This Row],[INVESTOR CODE]],LS[B/S],"S")</f>
        <v>0</v>
      </c>
      <c r="G565" s="2">
        <f>IF(INVESTORS_LIST[[#This Row],[LS_TOTAL UNITS BUY]]=0,0,INVESTORS_LIST[[#This Row],[LS_TOTAL UNITS BUY]]-INVESTORS_LIST[[#This Row],[LS_TOTAL UNITS SOLD]])</f>
        <v>0</v>
      </c>
      <c r="H565" s="4">
        <f>IF(INVESTORS_LIST[[#This Row],[LS_TOTAL UNITS BUY]]=0,0,SUMIFS(LS[Amount],LS[Investor ID],INVESTORS_LIST[[#This Row],[INVESTOR CODE]],LS[B/S],"B"))</f>
        <v>0</v>
      </c>
      <c r="I565" s="6">
        <f>IF(INVESTORS_LIST[[#This Row],[LS_TOTAL UNITS SOLD]]=0,0,SUMIFS(LS[Cost of Units Sold],LS[Investor ID],INVESTORS_LIST[[#This Row],[INVESTOR CODE]],LS[B/S],"S"))</f>
        <v>0</v>
      </c>
      <c r="J565" s="6">
        <f>IF(INVESTORS_LIST[[#This Row],[LS_TOTAL CURRENT UNITS]]=0,0,INVESTORS_LIST[[#This Row],[LS_TOTAL CURRENT UNITS]]*INVESTORS_LIST[[#This Row],[LS_AVERAGE COST]])</f>
        <v>0</v>
      </c>
      <c r="K565" s="4">
        <f>IF(INVESTORS_LIST[[#This Row],[LS_TOTAL UNITS SOLD]]=0,0,SUMIFS(LS[Realized Gain],LS[Investor ID],INVESTORS_LIST[[#This Row],[INVESTOR CODE]],LS[B/S],"S"))</f>
        <v>0</v>
      </c>
      <c r="L565" s="2">
        <f>SUMIFS(SIP[Unit],SIP[Investor ID],INVESTORS_LIST[[#This Row],[INVESTOR CODE]],SIP[B/S],"B")</f>
        <v>0</v>
      </c>
      <c r="M565" s="2">
        <f>-SUMIFS(SIP[Unit],SIP[Investor ID],INVESTORS_LIST[[#This Row],[INVESTOR CODE]],SIP[B/S],"S")</f>
        <v>0</v>
      </c>
      <c r="N565" s="33">
        <f>IF(INVESTORS_LIST[[#This Row],[SIP_TOTAL UNITS BUY]]=0,0,INVESTORS_LIST[[#This Row],[SIP_TOTAL UNITS BUY]]-INVESTORS_LIST[[#This Row],[SIP_TOTAL UNITS SOLD]])</f>
        <v>0</v>
      </c>
      <c r="O565" s="4">
        <f>IF(INVESTORS_LIST[[#This Row],[SIP_TOTAL UNITS BUY]]=0,0,SUMIFS(SIP[Amount],SIP[Investor ID],INVESTORS_LIST[[#This Row],[INVESTOR CODE]],SIP[B/S],"B"))</f>
        <v>0</v>
      </c>
      <c r="P565" s="4">
        <f>IF(INVESTORS_LIST[[#This Row],[SIP_TOTAL UNITS SOLD]]=0,0,SUMIFS(SIP[Cost of Units Sold],SIP[Investor ID],INVESTORS_LIST[[#This Row],[INVESTOR CODE]],SIP[B/S],"S"))</f>
        <v>0</v>
      </c>
      <c r="Q565" s="6">
        <f>IF(INVESTORS_LIST[[#This Row],[SIP_TOTAL CURRENT UNITS]]=0,0,INVESTORS_LIST[[#This Row],[SIP_TOTAL CURRENT UNITS]]*INVESTORS_LIST[[#This Row],[SIP_AVERAGE COST]])</f>
        <v>0</v>
      </c>
      <c r="R565" s="6">
        <f>IF(INVESTORS_LIST[[#This Row],[SIP_TOTAL UNITS SOLD]]=0,0,SUMIFS(SIP[Realized Gain],SIP[Investor ID],INVESTORS_LIST[[#This Row],[INVESTOR CODE]],SIP[B/S],"S"))</f>
        <v>0</v>
      </c>
      <c r="S565" s="33">
        <f>INVESTORS_LIST[[#This Row],[LS_TOTAL UNITS BUY]]+INVESTORS_LIST[[#This Row],[SIP_TOTAL UNITS BUY]]</f>
        <v>0</v>
      </c>
      <c r="T565" s="33">
        <f>INVESTORS_LIST[[#This Row],[LS_TOTAL UNITS SOLD]]+INVESTORS_LIST[[#This Row],[SIP_TOTAL UNITS SOLD]]</f>
        <v>0</v>
      </c>
      <c r="U565" s="33">
        <v>0</v>
      </c>
      <c r="V565" s="33">
        <f>SUMIFS(LS[BO UNIT TRANSFER],LS[Investor ID],INVESTORS_LIST[[#This Row],[INVESTOR CODE]],LS[B/S],"B")</f>
        <v>0</v>
      </c>
      <c r="W565" s="33">
        <f>SUMIFS(LS[BO UNIT TRANSFER],LS[Investor ID],INVESTORS_LIST[[#This Row],[INVESTOR CODE]],LS[B/S],"S")</f>
        <v>0</v>
      </c>
      <c r="X565" s="33">
        <f>SUMIFS(SIP[BO UNIT TRANSFER],SIP[Investor ID],INVESTORS_LIST[[#This Row],[INVESTOR CODE]],SIP[B/S],"S")</f>
        <v>0</v>
      </c>
      <c r="Y565" s="33">
        <f>SUMIFS(SIP[BO UNIT TRANSFER],SIP[Investor ID],INVESTORS_LIST[[#This Row],[INVESTOR CODE]],SIP[B/S],"B")</f>
        <v>0</v>
      </c>
      <c r="Z56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65" s="119">
        <f>INVESTORS_LIST[[#This Row],[TOTAL UNITS BUY]]-INVESTORS_LIST[[#This Row],[TOTAL UNITS SOLD]]</f>
        <v>0</v>
      </c>
      <c r="AB565" s="119">
        <f>INVESTORS_LIST[[#This Row],[TOTAL CURRENT UNITS]]-INVESTORS_LIST[[#This Row],[BO UNITS HOLD]]</f>
        <v>0</v>
      </c>
      <c r="AC565" s="119" t="e">
        <f>INDEX([4]!Table_1[BO ID],MATCH(INVESTORS_LIST[[#This Row],[INVESTOR CODE]],[4]!Table_1[INVESTOR CODE],0))</f>
        <v>#REF!</v>
      </c>
      <c r="AD565" s="33">
        <f>INVESTORS_LIST[[#This Row],[LS_TOTAL COST VALUE OF CURRENT UNITS]]+INVESTORS_LIST[[#This Row],[SIP_TOTAL COST VALUE OF CURRENT UNITS]]</f>
        <v>0</v>
      </c>
      <c r="AE565" s="44">
        <f>IF(INVESTORS_LIST[[#This Row],[TOTAL CURRENT UNITS]]=0,0,INVESTORS_LIST[[#This Row],[LS_TOTAL CURRENT UNITS]]/INVESTORS_LIST[[#This Row],[TOTAL CURRENT UNITS]])</f>
        <v>0</v>
      </c>
      <c r="AF565" s="44">
        <f>IF(INVESTORS_LIST[[#This Row],[TOTAL CURRENT UNITS]]=0,0,INVESTORS_LIST[[#This Row],[SIP_TOTAL CURRENT UNITS]]/INVESTORS_LIST[[#This Row],[TOTAL CURRENT UNITS]])</f>
        <v>0</v>
      </c>
      <c r="AG565" s="4" cm="1">
        <f t="array" ref="AG56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65" s="4" cm="1">
        <f t="array" ref="AH5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6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65" s="178">
        <f t="shared" si="14"/>
        <v>12.552</v>
      </c>
      <c r="AK565" s="118">
        <f>IF(INVESTORS_LIST[[#This Row],[TOTAL CURRENT UNITS]]=0,0,INVESTORS_LIST[[#This Row],[TOTAL CURRENT UNITS]]*INVESTORS_LIST[[#This Row],[NAV]])</f>
        <v>0</v>
      </c>
      <c r="AL565" s="4">
        <f>IF(INVESTORS_LIST[[#This Row],[LS_TOTAL CURRENT UNITS]]=0,0,INVESTORS_LIST[[#This Row],[LS_TOTAL CURRENT UNITS]]*INVESTORS_LIST[[#This Row],[NAV]])</f>
        <v>0</v>
      </c>
      <c r="AM565" s="6">
        <f>IF(INVESTORS_LIST[[#This Row],[SIP_TOTAL CURRENT UNITS]]=0,0,INVESTORS_LIST[[#This Row],[SIP_TOTAL CURRENT UNITS]]*INVESTORS_LIST[[#This Row],[NAV]])</f>
        <v>0</v>
      </c>
      <c r="AO565" s="6">
        <f>IF(INVESTORS_LIST[[#This Row],[TOTAL SELLABLE UNITS]]=0,0,INVESTORS_LIST[[#This Row],[TOTAL SELLABLE UNITS]]*INVESTORS_LIST[[#This Row],[NAV]])</f>
        <v>0</v>
      </c>
      <c r="AP565" s="6">
        <f>INVESTORS_LIST[[#This Row],[LS_TOTAL REALIZED GAIN]]+INVESTORS_LIST[[#This Row],[SIP_TOTAL REALIZED GAIN]]</f>
        <v>0</v>
      </c>
      <c r="AQ565" s="6">
        <f>INVESTORS_LIST[[#This Row],[TOTAL MARKET VALUE]]-INVESTORS_LIST[[#This Row],[TOTAL COST VALUE OF CURRENT INVESTMENT]]</f>
        <v>0</v>
      </c>
      <c r="AR565" s="6">
        <f>SUMIFS(DivAndTax[Tax Amount],DivAndTax[Investor ID],INVESTORS_LIST[[#This Row],[INVESTOR CODE]])</f>
        <v>0</v>
      </c>
      <c r="AS565" s="6">
        <f>SUMIFS(DivAndTax[Gross Dividend],DivAndTax[Investor ID],INVESTORS_LIST[[#This Row],[INVESTOR CODE]])</f>
        <v>0</v>
      </c>
      <c r="AT565" s="5">
        <f>IFERROR(INVESTORS_LIST[[#This Row],[TOTAL CURRENT UNITS]]/SUM(INVESTORS_LIST[TOTAL CURRENT UNITS]),0)</f>
        <v>0</v>
      </c>
    </row>
    <row r="566" spans="1:46" hidden="1">
      <c r="A566" t="s">
        <v>1319</v>
      </c>
      <c r="B566" t="s">
        <v>1208</v>
      </c>
      <c r="C566" t="s">
        <v>536</v>
      </c>
      <c r="D566" s="8" t="s">
        <v>2</v>
      </c>
      <c r="E566" s="2">
        <f>SUMIFS(LS[Unit],LS[Investor ID],INVESTORS_LIST[[#This Row],[INVESTOR CODE]],LS[B/S],"B")</f>
        <v>0</v>
      </c>
      <c r="F566" s="2">
        <f>-SUMIFS(LS[Unit],LS[Investor ID],INVESTORS_LIST[[#This Row],[INVESTOR CODE]],LS[B/S],"S")</f>
        <v>0</v>
      </c>
      <c r="G566" s="2">
        <f>IF(INVESTORS_LIST[[#This Row],[LS_TOTAL UNITS BUY]]=0,0,INVESTORS_LIST[[#This Row],[LS_TOTAL UNITS BUY]]-INVESTORS_LIST[[#This Row],[LS_TOTAL UNITS SOLD]])</f>
        <v>0</v>
      </c>
      <c r="H566" s="4">
        <f>IF(INVESTORS_LIST[[#This Row],[LS_TOTAL UNITS BUY]]=0,0,SUMIFS(LS[Amount],LS[Investor ID],INVESTORS_LIST[[#This Row],[INVESTOR CODE]],LS[B/S],"B"))</f>
        <v>0</v>
      </c>
      <c r="I566" s="6">
        <f>IF(INVESTORS_LIST[[#This Row],[LS_TOTAL UNITS SOLD]]=0,0,SUMIFS(LS[Cost of Units Sold],LS[Investor ID],INVESTORS_LIST[[#This Row],[INVESTOR CODE]],LS[B/S],"S"))</f>
        <v>0</v>
      </c>
      <c r="J566" s="6">
        <f>IF(INVESTORS_LIST[[#This Row],[LS_TOTAL CURRENT UNITS]]=0,0,INVESTORS_LIST[[#This Row],[LS_TOTAL CURRENT UNITS]]*INVESTORS_LIST[[#This Row],[LS_AVERAGE COST]])</f>
        <v>0</v>
      </c>
      <c r="K566" s="4">
        <f>IF(INVESTORS_LIST[[#This Row],[LS_TOTAL UNITS SOLD]]=0,0,SUMIFS(LS[Realized Gain],LS[Investor ID],INVESTORS_LIST[[#This Row],[INVESTOR CODE]],LS[B/S],"S"))</f>
        <v>0</v>
      </c>
      <c r="L566" s="2">
        <f>SUMIFS(SIP[Unit],SIP[Investor ID],INVESTORS_LIST[[#This Row],[INVESTOR CODE]],SIP[B/S],"B")</f>
        <v>0</v>
      </c>
      <c r="M566" s="2">
        <f>-SUMIFS(SIP[Unit],SIP[Investor ID],INVESTORS_LIST[[#This Row],[INVESTOR CODE]],SIP[B/S],"S")</f>
        <v>0</v>
      </c>
      <c r="N566" s="33">
        <f>IF(INVESTORS_LIST[[#This Row],[SIP_TOTAL UNITS BUY]]=0,0,INVESTORS_LIST[[#This Row],[SIP_TOTAL UNITS BUY]]-INVESTORS_LIST[[#This Row],[SIP_TOTAL UNITS SOLD]])</f>
        <v>0</v>
      </c>
      <c r="O566" s="4">
        <f>IF(INVESTORS_LIST[[#This Row],[SIP_TOTAL UNITS BUY]]=0,0,SUMIFS(SIP[Amount],SIP[Investor ID],INVESTORS_LIST[[#This Row],[INVESTOR CODE]],SIP[B/S],"B"))</f>
        <v>0</v>
      </c>
      <c r="P566" s="4">
        <f>IF(INVESTORS_LIST[[#This Row],[SIP_TOTAL UNITS SOLD]]=0,0,SUMIFS(SIP[Cost of Units Sold],SIP[Investor ID],INVESTORS_LIST[[#This Row],[INVESTOR CODE]],SIP[B/S],"S"))</f>
        <v>0</v>
      </c>
      <c r="Q566" s="6">
        <f>IF(INVESTORS_LIST[[#This Row],[SIP_TOTAL CURRENT UNITS]]=0,0,INVESTORS_LIST[[#This Row],[SIP_TOTAL CURRENT UNITS]]*INVESTORS_LIST[[#This Row],[SIP_AVERAGE COST]])</f>
        <v>0</v>
      </c>
      <c r="R566" s="6">
        <f>IF(INVESTORS_LIST[[#This Row],[SIP_TOTAL UNITS SOLD]]=0,0,SUMIFS(SIP[Realized Gain],SIP[Investor ID],INVESTORS_LIST[[#This Row],[INVESTOR CODE]],SIP[B/S],"S"))</f>
        <v>0</v>
      </c>
      <c r="S566" s="33">
        <f>INVESTORS_LIST[[#This Row],[LS_TOTAL UNITS BUY]]+INVESTORS_LIST[[#This Row],[SIP_TOTAL UNITS BUY]]</f>
        <v>0</v>
      </c>
      <c r="T566" s="33">
        <f>INVESTORS_LIST[[#This Row],[LS_TOTAL UNITS SOLD]]+INVESTORS_LIST[[#This Row],[SIP_TOTAL UNITS SOLD]]</f>
        <v>0</v>
      </c>
      <c r="U566" s="33">
        <v>0</v>
      </c>
      <c r="V566" s="33">
        <f>SUMIFS(LS[BO UNIT TRANSFER],LS[Investor ID],INVESTORS_LIST[[#This Row],[INVESTOR CODE]],LS[B/S],"B")</f>
        <v>0</v>
      </c>
      <c r="W566" s="33">
        <f>SUMIFS(LS[BO UNIT TRANSFER],LS[Investor ID],INVESTORS_LIST[[#This Row],[INVESTOR CODE]],LS[B/S],"S")</f>
        <v>0</v>
      </c>
      <c r="X566" s="33">
        <f>SUMIFS(SIP[BO UNIT TRANSFER],SIP[Investor ID],INVESTORS_LIST[[#This Row],[INVESTOR CODE]],SIP[B/S],"S")</f>
        <v>0</v>
      </c>
      <c r="Y566" s="33">
        <f>SUMIFS(SIP[BO UNIT TRANSFER],SIP[Investor ID],INVESTORS_LIST[[#This Row],[INVESTOR CODE]],SIP[B/S],"B")</f>
        <v>0</v>
      </c>
      <c r="Z56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66" s="119">
        <f>INVESTORS_LIST[[#This Row],[TOTAL UNITS BUY]]-INVESTORS_LIST[[#This Row],[TOTAL UNITS SOLD]]</f>
        <v>0</v>
      </c>
      <c r="AB566" s="119">
        <f>INVESTORS_LIST[[#This Row],[TOTAL CURRENT UNITS]]-INVESTORS_LIST[[#This Row],[BO UNITS HOLD]]</f>
        <v>0</v>
      </c>
      <c r="AC566" s="119" t="e">
        <f>INDEX([4]!Table_1[BO ID],MATCH(INVESTORS_LIST[[#This Row],[INVESTOR CODE]],[4]!Table_1[INVESTOR CODE],0))</f>
        <v>#REF!</v>
      </c>
      <c r="AD566" s="33">
        <f>INVESTORS_LIST[[#This Row],[LS_TOTAL COST VALUE OF CURRENT UNITS]]+INVESTORS_LIST[[#This Row],[SIP_TOTAL COST VALUE OF CURRENT UNITS]]</f>
        <v>0</v>
      </c>
      <c r="AE566" s="44">
        <f>IF(INVESTORS_LIST[[#This Row],[TOTAL CURRENT UNITS]]=0,0,INVESTORS_LIST[[#This Row],[LS_TOTAL CURRENT UNITS]]/INVESTORS_LIST[[#This Row],[TOTAL CURRENT UNITS]])</f>
        <v>0</v>
      </c>
      <c r="AF566" s="44">
        <f>IF(INVESTORS_LIST[[#This Row],[TOTAL CURRENT UNITS]]=0,0,INVESTORS_LIST[[#This Row],[SIP_TOTAL CURRENT UNITS]]/INVESTORS_LIST[[#This Row],[TOTAL CURRENT UNITS]])</f>
        <v>0</v>
      </c>
      <c r="AG566" s="4" cm="1">
        <f t="array" ref="AG56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66" s="4" cm="1">
        <f t="array" ref="AH5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6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66" s="178">
        <f t="shared" si="14"/>
        <v>12.552</v>
      </c>
      <c r="AK566" s="118">
        <f>IF(INVESTORS_LIST[[#This Row],[TOTAL CURRENT UNITS]]=0,0,INVESTORS_LIST[[#This Row],[TOTAL CURRENT UNITS]]*INVESTORS_LIST[[#This Row],[NAV]])</f>
        <v>0</v>
      </c>
      <c r="AL566" s="4">
        <f>IF(INVESTORS_LIST[[#This Row],[LS_TOTAL CURRENT UNITS]]=0,0,INVESTORS_LIST[[#This Row],[LS_TOTAL CURRENT UNITS]]*INVESTORS_LIST[[#This Row],[NAV]])</f>
        <v>0</v>
      </c>
      <c r="AM566" s="6">
        <f>IF(INVESTORS_LIST[[#This Row],[SIP_TOTAL CURRENT UNITS]]=0,0,INVESTORS_LIST[[#This Row],[SIP_TOTAL CURRENT UNITS]]*INVESTORS_LIST[[#This Row],[NAV]])</f>
        <v>0</v>
      </c>
      <c r="AO566" s="6">
        <f>IF(INVESTORS_LIST[[#This Row],[TOTAL SELLABLE UNITS]]=0,0,INVESTORS_LIST[[#This Row],[TOTAL SELLABLE UNITS]]*INVESTORS_LIST[[#This Row],[NAV]])</f>
        <v>0</v>
      </c>
      <c r="AP566" s="6">
        <f>INVESTORS_LIST[[#This Row],[LS_TOTAL REALIZED GAIN]]+INVESTORS_LIST[[#This Row],[SIP_TOTAL REALIZED GAIN]]</f>
        <v>0</v>
      </c>
      <c r="AQ566" s="6">
        <f>INVESTORS_LIST[[#This Row],[TOTAL MARKET VALUE]]-INVESTORS_LIST[[#This Row],[TOTAL COST VALUE OF CURRENT INVESTMENT]]</f>
        <v>0</v>
      </c>
      <c r="AR566" s="6">
        <f>SUMIFS(DivAndTax[Tax Amount],DivAndTax[Investor ID],INVESTORS_LIST[[#This Row],[INVESTOR CODE]])</f>
        <v>0</v>
      </c>
      <c r="AS566" s="6">
        <f>SUMIFS(DivAndTax[Gross Dividend],DivAndTax[Investor ID],INVESTORS_LIST[[#This Row],[INVESTOR CODE]])</f>
        <v>0</v>
      </c>
      <c r="AT566" s="5">
        <f>IFERROR(INVESTORS_LIST[[#This Row],[TOTAL CURRENT UNITS]]/SUM(INVESTORS_LIST[TOTAL CURRENT UNITS]),0)</f>
        <v>0</v>
      </c>
    </row>
    <row r="567" spans="1:46" hidden="1">
      <c r="A567" t="s">
        <v>1320</v>
      </c>
      <c r="B567" t="s">
        <v>1321</v>
      </c>
      <c r="C567" t="s">
        <v>536</v>
      </c>
      <c r="D567" s="8" t="s">
        <v>2</v>
      </c>
      <c r="E567" s="2">
        <f>SUMIFS(LS[Unit],LS[Investor ID],INVESTORS_LIST[[#This Row],[INVESTOR CODE]],LS[B/S],"B")</f>
        <v>0</v>
      </c>
      <c r="F567" s="2">
        <f>-SUMIFS(LS[Unit],LS[Investor ID],INVESTORS_LIST[[#This Row],[INVESTOR CODE]],LS[B/S],"S")</f>
        <v>0</v>
      </c>
      <c r="G567" s="2">
        <f>IF(INVESTORS_LIST[[#This Row],[LS_TOTAL UNITS BUY]]=0,0,INVESTORS_LIST[[#This Row],[LS_TOTAL UNITS BUY]]-INVESTORS_LIST[[#This Row],[LS_TOTAL UNITS SOLD]])</f>
        <v>0</v>
      </c>
      <c r="H567" s="4">
        <f>IF(INVESTORS_LIST[[#This Row],[LS_TOTAL UNITS BUY]]=0,0,SUMIFS(LS[Amount],LS[Investor ID],INVESTORS_LIST[[#This Row],[INVESTOR CODE]],LS[B/S],"B"))</f>
        <v>0</v>
      </c>
      <c r="I567" s="6">
        <f>IF(INVESTORS_LIST[[#This Row],[LS_TOTAL UNITS SOLD]]=0,0,SUMIFS(LS[Cost of Units Sold],LS[Investor ID],INVESTORS_LIST[[#This Row],[INVESTOR CODE]],LS[B/S],"S"))</f>
        <v>0</v>
      </c>
      <c r="J567" s="6">
        <f>IF(INVESTORS_LIST[[#This Row],[LS_TOTAL CURRENT UNITS]]=0,0,INVESTORS_LIST[[#This Row],[LS_TOTAL CURRENT UNITS]]*INVESTORS_LIST[[#This Row],[LS_AVERAGE COST]])</f>
        <v>0</v>
      </c>
      <c r="K567" s="4">
        <f>IF(INVESTORS_LIST[[#This Row],[LS_TOTAL UNITS SOLD]]=0,0,SUMIFS(LS[Realized Gain],LS[Investor ID],INVESTORS_LIST[[#This Row],[INVESTOR CODE]],LS[B/S],"S"))</f>
        <v>0</v>
      </c>
      <c r="L567" s="2">
        <f>SUMIFS(SIP[Unit],SIP[Investor ID],INVESTORS_LIST[[#This Row],[INVESTOR CODE]],SIP[B/S],"B")</f>
        <v>0</v>
      </c>
      <c r="M567" s="2">
        <f>-SUMIFS(SIP[Unit],SIP[Investor ID],INVESTORS_LIST[[#This Row],[INVESTOR CODE]],SIP[B/S],"S")</f>
        <v>0</v>
      </c>
      <c r="N567" s="33">
        <f>IF(INVESTORS_LIST[[#This Row],[SIP_TOTAL UNITS BUY]]=0,0,INVESTORS_LIST[[#This Row],[SIP_TOTAL UNITS BUY]]-INVESTORS_LIST[[#This Row],[SIP_TOTAL UNITS SOLD]])</f>
        <v>0</v>
      </c>
      <c r="O567" s="4">
        <f>IF(INVESTORS_LIST[[#This Row],[SIP_TOTAL UNITS BUY]]=0,0,SUMIFS(SIP[Amount],SIP[Investor ID],INVESTORS_LIST[[#This Row],[INVESTOR CODE]],SIP[B/S],"B"))</f>
        <v>0</v>
      </c>
      <c r="P567" s="4">
        <f>IF(INVESTORS_LIST[[#This Row],[SIP_TOTAL UNITS SOLD]]=0,0,SUMIFS(SIP[Cost of Units Sold],SIP[Investor ID],INVESTORS_LIST[[#This Row],[INVESTOR CODE]],SIP[B/S],"S"))</f>
        <v>0</v>
      </c>
      <c r="Q567" s="6">
        <f>IF(INVESTORS_LIST[[#This Row],[SIP_TOTAL CURRENT UNITS]]=0,0,INVESTORS_LIST[[#This Row],[SIP_TOTAL CURRENT UNITS]]*INVESTORS_LIST[[#This Row],[SIP_AVERAGE COST]])</f>
        <v>0</v>
      </c>
      <c r="R567" s="6">
        <f>IF(INVESTORS_LIST[[#This Row],[SIP_TOTAL UNITS SOLD]]=0,0,SUMIFS(SIP[Realized Gain],SIP[Investor ID],INVESTORS_LIST[[#This Row],[INVESTOR CODE]],SIP[B/S],"S"))</f>
        <v>0</v>
      </c>
      <c r="S567" s="33">
        <f>INVESTORS_LIST[[#This Row],[LS_TOTAL UNITS BUY]]+INVESTORS_LIST[[#This Row],[SIP_TOTAL UNITS BUY]]</f>
        <v>0</v>
      </c>
      <c r="T567" s="33">
        <f>INVESTORS_LIST[[#This Row],[LS_TOTAL UNITS SOLD]]+INVESTORS_LIST[[#This Row],[SIP_TOTAL UNITS SOLD]]</f>
        <v>0</v>
      </c>
      <c r="U567" s="33">
        <v>0</v>
      </c>
      <c r="V567" s="33">
        <f>SUMIFS(LS[BO UNIT TRANSFER],LS[Investor ID],INVESTORS_LIST[[#This Row],[INVESTOR CODE]],LS[B/S],"B")</f>
        <v>0</v>
      </c>
      <c r="W567" s="33">
        <f>SUMIFS(LS[BO UNIT TRANSFER],LS[Investor ID],INVESTORS_LIST[[#This Row],[INVESTOR CODE]],LS[B/S],"S")</f>
        <v>0</v>
      </c>
      <c r="X567" s="33">
        <f>SUMIFS(SIP[BO UNIT TRANSFER],SIP[Investor ID],INVESTORS_LIST[[#This Row],[INVESTOR CODE]],SIP[B/S],"S")</f>
        <v>0</v>
      </c>
      <c r="Y567" s="33">
        <f>SUMIFS(SIP[BO UNIT TRANSFER],SIP[Investor ID],INVESTORS_LIST[[#This Row],[INVESTOR CODE]],SIP[B/S],"B")</f>
        <v>0</v>
      </c>
      <c r="Z56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67" s="119">
        <f>INVESTORS_LIST[[#This Row],[TOTAL UNITS BUY]]-INVESTORS_LIST[[#This Row],[TOTAL UNITS SOLD]]</f>
        <v>0</v>
      </c>
      <c r="AB567" s="119">
        <f>INVESTORS_LIST[[#This Row],[TOTAL CURRENT UNITS]]-INVESTORS_LIST[[#This Row],[BO UNITS HOLD]]</f>
        <v>0</v>
      </c>
      <c r="AC567" s="119" t="e">
        <f>INDEX([4]!Table_1[BO ID],MATCH(INVESTORS_LIST[[#This Row],[INVESTOR CODE]],[4]!Table_1[INVESTOR CODE],0))</f>
        <v>#REF!</v>
      </c>
      <c r="AD567" s="33">
        <f>INVESTORS_LIST[[#This Row],[LS_TOTAL COST VALUE OF CURRENT UNITS]]+INVESTORS_LIST[[#This Row],[SIP_TOTAL COST VALUE OF CURRENT UNITS]]</f>
        <v>0</v>
      </c>
      <c r="AE567" s="44">
        <f>IF(INVESTORS_LIST[[#This Row],[TOTAL CURRENT UNITS]]=0,0,INVESTORS_LIST[[#This Row],[LS_TOTAL CURRENT UNITS]]/INVESTORS_LIST[[#This Row],[TOTAL CURRENT UNITS]])</f>
        <v>0</v>
      </c>
      <c r="AF567" s="44">
        <f>IF(INVESTORS_LIST[[#This Row],[TOTAL CURRENT UNITS]]=0,0,INVESTORS_LIST[[#This Row],[SIP_TOTAL CURRENT UNITS]]/INVESTORS_LIST[[#This Row],[TOTAL CURRENT UNITS]])</f>
        <v>0</v>
      </c>
      <c r="AG567" s="4" cm="1">
        <f t="array" ref="AG5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67" s="4" cm="1">
        <f t="array" ref="AH5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6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67" s="178">
        <f t="shared" si="14"/>
        <v>12.552</v>
      </c>
      <c r="AK567" s="118">
        <f>IF(INVESTORS_LIST[[#This Row],[TOTAL CURRENT UNITS]]=0,0,INVESTORS_LIST[[#This Row],[TOTAL CURRENT UNITS]]*INVESTORS_LIST[[#This Row],[NAV]])</f>
        <v>0</v>
      </c>
      <c r="AL567" s="4">
        <f>IF(INVESTORS_LIST[[#This Row],[LS_TOTAL CURRENT UNITS]]=0,0,INVESTORS_LIST[[#This Row],[LS_TOTAL CURRENT UNITS]]*INVESTORS_LIST[[#This Row],[NAV]])</f>
        <v>0</v>
      </c>
      <c r="AM567" s="6">
        <f>IF(INVESTORS_LIST[[#This Row],[SIP_TOTAL CURRENT UNITS]]=0,0,INVESTORS_LIST[[#This Row],[SIP_TOTAL CURRENT UNITS]]*INVESTORS_LIST[[#This Row],[NAV]])</f>
        <v>0</v>
      </c>
      <c r="AO567" s="6">
        <f>IF(INVESTORS_LIST[[#This Row],[TOTAL SELLABLE UNITS]]=0,0,INVESTORS_LIST[[#This Row],[TOTAL SELLABLE UNITS]]*INVESTORS_LIST[[#This Row],[NAV]])</f>
        <v>0</v>
      </c>
      <c r="AP567" s="6">
        <f>INVESTORS_LIST[[#This Row],[LS_TOTAL REALIZED GAIN]]+INVESTORS_LIST[[#This Row],[SIP_TOTAL REALIZED GAIN]]</f>
        <v>0</v>
      </c>
      <c r="AQ567" s="6">
        <f>INVESTORS_LIST[[#This Row],[TOTAL MARKET VALUE]]-INVESTORS_LIST[[#This Row],[TOTAL COST VALUE OF CURRENT INVESTMENT]]</f>
        <v>0</v>
      </c>
      <c r="AR567" s="6">
        <f>SUMIFS(DivAndTax[Tax Amount],DivAndTax[Investor ID],INVESTORS_LIST[[#This Row],[INVESTOR CODE]])</f>
        <v>0</v>
      </c>
      <c r="AS567" s="6">
        <f>SUMIFS(DivAndTax[Gross Dividend],DivAndTax[Investor ID],INVESTORS_LIST[[#This Row],[INVESTOR CODE]])</f>
        <v>0</v>
      </c>
      <c r="AT567" s="5">
        <f>IFERROR(INVESTORS_LIST[[#This Row],[TOTAL CURRENT UNITS]]/SUM(INVESTORS_LIST[TOTAL CURRENT UNITS]),0)</f>
        <v>0</v>
      </c>
    </row>
    <row r="568" spans="1:46" hidden="1">
      <c r="A568" t="s">
        <v>1322</v>
      </c>
      <c r="B568" t="s">
        <v>1323</v>
      </c>
      <c r="C568" t="s">
        <v>536</v>
      </c>
      <c r="D568" s="8" t="s">
        <v>2</v>
      </c>
      <c r="E568" s="2">
        <f>SUMIFS(LS[Unit],LS[Investor ID],INVESTORS_LIST[[#This Row],[INVESTOR CODE]],LS[B/S],"B")</f>
        <v>0</v>
      </c>
      <c r="F568" s="2">
        <f>-SUMIFS(LS[Unit],LS[Investor ID],INVESTORS_LIST[[#This Row],[INVESTOR CODE]],LS[B/S],"S")</f>
        <v>0</v>
      </c>
      <c r="G568" s="2">
        <f>IF(INVESTORS_LIST[[#This Row],[LS_TOTAL UNITS BUY]]=0,0,INVESTORS_LIST[[#This Row],[LS_TOTAL UNITS BUY]]-INVESTORS_LIST[[#This Row],[LS_TOTAL UNITS SOLD]])</f>
        <v>0</v>
      </c>
      <c r="H568" s="4">
        <f>IF(INVESTORS_LIST[[#This Row],[LS_TOTAL UNITS BUY]]=0,0,SUMIFS(LS[Amount],LS[Investor ID],INVESTORS_LIST[[#This Row],[INVESTOR CODE]],LS[B/S],"B"))</f>
        <v>0</v>
      </c>
      <c r="I568" s="6">
        <f>IF(INVESTORS_LIST[[#This Row],[LS_TOTAL UNITS SOLD]]=0,0,SUMIFS(LS[Cost of Units Sold],LS[Investor ID],INVESTORS_LIST[[#This Row],[INVESTOR CODE]],LS[B/S],"S"))</f>
        <v>0</v>
      </c>
      <c r="J568" s="6">
        <f>IF(INVESTORS_LIST[[#This Row],[LS_TOTAL CURRENT UNITS]]=0,0,INVESTORS_LIST[[#This Row],[LS_TOTAL CURRENT UNITS]]*INVESTORS_LIST[[#This Row],[LS_AVERAGE COST]])</f>
        <v>0</v>
      </c>
      <c r="K568" s="4">
        <f>IF(INVESTORS_LIST[[#This Row],[LS_TOTAL UNITS SOLD]]=0,0,SUMIFS(LS[Realized Gain],LS[Investor ID],INVESTORS_LIST[[#This Row],[INVESTOR CODE]],LS[B/S],"S"))</f>
        <v>0</v>
      </c>
      <c r="L568" s="2">
        <f>SUMIFS(SIP[Unit],SIP[Investor ID],INVESTORS_LIST[[#This Row],[INVESTOR CODE]],SIP[B/S],"B")</f>
        <v>0</v>
      </c>
      <c r="M568" s="2">
        <f>-SUMIFS(SIP[Unit],SIP[Investor ID],INVESTORS_LIST[[#This Row],[INVESTOR CODE]],SIP[B/S],"S")</f>
        <v>0</v>
      </c>
      <c r="N568" s="33">
        <f>IF(INVESTORS_LIST[[#This Row],[SIP_TOTAL UNITS BUY]]=0,0,INVESTORS_LIST[[#This Row],[SIP_TOTAL UNITS BUY]]-INVESTORS_LIST[[#This Row],[SIP_TOTAL UNITS SOLD]])</f>
        <v>0</v>
      </c>
      <c r="O568" s="4">
        <f>IF(INVESTORS_LIST[[#This Row],[SIP_TOTAL UNITS BUY]]=0,0,SUMIFS(SIP[Amount],SIP[Investor ID],INVESTORS_LIST[[#This Row],[INVESTOR CODE]],SIP[B/S],"B"))</f>
        <v>0</v>
      </c>
      <c r="P568" s="4">
        <f>IF(INVESTORS_LIST[[#This Row],[SIP_TOTAL UNITS SOLD]]=0,0,SUMIFS(SIP[Cost of Units Sold],SIP[Investor ID],INVESTORS_LIST[[#This Row],[INVESTOR CODE]],SIP[B/S],"S"))</f>
        <v>0</v>
      </c>
      <c r="Q568" s="6">
        <f>IF(INVESTORS_LIST[[#This Row],[SIP_TOTAL CURRENT UNITS]]=0,0,INVESTORS_LIST[[#This Row],[SIP_TOTAL CURRENT UNITS]]*INVESTORS_LIST[[#This Row],[SIP_AVERAGE COST]])</f>
        <v>0</v>
      </c>
      <c r="R568" s="6">
        <f>IF(INVESTORS_LIST[[#This Row],[SIP_TOTAL UNITS SOLD]]=0,0,SUMIFS(SIP[Realized Gain],SIP[Investor ID],INVESTORS_LIST[[#This Row],[INVESTOR CODE]],SIP[B/S],"S"))</f>
        <v>0</v>
      </c>
      <c r="S568" s="33">
        <f>INVESTORS_LIST[[#This Row],[LS_TOTAL UNITS BUY]]+INVESTORS_LIST[[#This Row],[SIP_TOTAL UNITS BUY]]</f>
        <v>0</v>
      </c>
      <c r="T568" s="33">
        <f>INVESTORS_LIST[[#This Row],[LS_TOTAL UNITS SOLD]]+INVESTORS_LIST[[#This Row],[SIP_TOTAL UNITS SOLD]]</f>
        <v>0</v>
      </c>
      <c r="U568" s="33">
        <v>0</v>
      </c>
      <c r="V568" s="33">
        <f>SUMIFS(LS[BO UNIT TRANSFER],LS[Investor ID],INVESTORS_LIST[[#This Row],[INVESTOR CODE]],LS[B/S],"B")</f>
        <v>0</v>
      </c>
      <c r="W568" s="33">
        <f>SUMIFS(LS[BO UNIT TRANSFER],LS[Investor ID],INVESTORS_LIST[[#This Row],[INVESTOR CODE]],LS[B/S],"S")</f>
        <v>0</v>
      </c>
      <c r="X568" s="33">
        <f>SUMIFS(SIP[BO UNIT TRANSFER],SIP[Investor ID],INVESTORS_LIST[[#This Row],[INVESTOR CODE]],SIP[B/S],"S")</f>
        <v>0</v>
      </c>
      <c r="Y568" s="33">
        <f>SUMIFS(SIP[BO UNIT TRANSFER],SIP[Investor ID],INVESTORS_LIST[[#This Row],[INVESTOR CODE]],SIP[B/S],"B")</f>
        <v>0</v>
      </c>
      <c r="Z56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68" s="119">
        <f>INVESTORS_LIST[[#This Row],[TOTAL UNITS BUY]]-INVESTORS_LIST[[#This Row],[TOTAL UNITS SOLD]]</f>
        <v>0</v>
      </c>
      <c r="AB568" s="119">
        <f>INVESTORS_LIST[[#This Row],[TOTAL CURRENT UNITS]]-INVESTORS_LIST[[#This Row],[BO UNITS HOLD]]</f>
        <v>0</v>
      </c>
      <c r="AC568" s="119" t="e">
        <f>INDEX([4]!Table_1[BO ID],MATCH(INVESTORS_LIST[[#This Row],[INVESTOR CODE]],[4]!Table_1[INVESTOR CODE],0))</f>
        <v>#REF!</v>
      </c>
      <c r="AD568" s="33">
        <f>INVESTORS_LIST[[#This Row],[LS_TOTAL COST VALUE OF CURRENT UNITS]]+INVESTORS_LIST[[#This Row],[SIP_TOTAL COST VALUE OF CURRENT UNITS]]</f>
        <v>0</v>
      </c>
      <c r="AE568" s="44">
        <f>IF(INVESTORS_LIST[[#This Row],[TOTAL CURRENT UNITS]]=0,0,INVESTORS_LIST[[#This Row],[LS_TOTAL CURRENT UNITS]]/INVESTORS_LIST[[#This Row],[TOTAL CURRENT UNITS]])</f>
        <v>0</v>
      </c>
      <c r="AF568" s="44">
        <f>IF(INVESTORS_LIST[[#This Row],[TOTAL CURRENT UNITS]]=0,0,INVESTORS_LIST[[#This Row],[SIP_TOTAL CURRENT UNITS]]/INVESTORS_LIST[[#This Row],[TOTAL CURRENT UNITS]])</f>
        <v>0</v>
      </c>
      <c r="AG568" s="4" cm="1">
        <f t="array" ref="AG56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68" s="4" cm="1">
        <f t="array" ref="AH5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6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68" s="178">
        <f t="shared" si="14"/>
        <v>12.552</v>
      </c>
      <c r="AK568" s="118">
        <f>IF(INVESTORS_LIST[[#This Row],[TOTAL CURRENT UNITS]]=0,0,INVESTORS_LIST[[#This Row],[TOTAL CURRENT UNITS]]*INVESTORS_LIST[[#This Row],[NAV]])</f>
        <v>0</v>
      </c>
      <c r="AL568" s="4">
        <f>IF(INVESTORS_LIST[[#This Row],[LS_TOTAL CURRENT UNITS]]=0,0,INVESTORS_LIST[[#This Row],[LS_TOTAL CURRENT UNITS]]*INVESTORS_LIST[[#This Row],[NAV]])</f>
        <v>0</v>
      </c>
      <c r="AM568" s="6">
        <f>IF(INVESTORS_LIST[[#This Row],[SIP_TOTAL CURRENT UNITS]]=0,0,INVESTORS_LIST[[#This Row],[SIP_TOTAL CURRENT UNITS]]*INVESTORS_LIST[[#This Row],[NAV]])</f>
        <v>0</v>
      </c>
      <c r="AO568" s="6">
        <f>IF(INVESTORS_LIST[[#This Row],[TOTAL SELLABLE UNITS]]=0,0,INVESTORS_LIST[[#This Row],[TOTAL SELLABLE UNITS]]*INVESTORS_LIST[[#This Row],[NAV]])</f>
        <v>0</v>
      </c>
      <c r="AP568" s="6">
        <f>INVESTORS_LIST[[#This Row],[LS_TOTAL REALIZED GAIN]]+INVESTORS_LIST[[#This Row],[SIP_TOTAL REALIZED GAIN]]</f>
        <v>0</v>
      </c>
      <c r="AQ568" s="6">
        <f>INVESTORS_LIST[[#This Row],[TOTAL MARKET VALUE]]-INVESTORS_LIST[[#This Row],[TOTAL COST VALUE OF CURRENT INVESTMENT]]</f>
        <v>0</v>
      </c>
      <c r="AR568" s="6">
        <f>SUMIFS(DivAndTax[Tax Amount],DivAndTax[Investor ID],INVESTORS_LIST[[#This Row],[INVESTOR CODE]])</f>
        <v>0</v>
      </c>
      <c r="AS568" s="6">
        <f>SUMIFS(DivAndTax[Gross Dividend],DivAndTax[Investor ID],INVESTORS_LIST[[#This Row],[INVESTOR CODE]])</f>
        <v>0</v>
      </c>
      <c r="AT568" s="5">
        <f>IFERROR(INVESTORS_LIST[[#This Row],[TOTAL CURRENT UNITS]]/SUM(INVESTORS_LIST[TOTAL CURRENT UNITS]),0)</f>
        <v>0</v>
      </c>
    </row>
    <row r="569" spans="1:46" hidden="1">
      <c r="A569" t="s">
        <v>1324</v>
      </c>
      <c r="B569" t="s">
        <v>1325</v>
      </c>
      <c r="C569" t="s">
        <v>539</v>
      </c>
      <c r="D569" s="8" t="s">
        <v>2</v>
      </c>
      <c r="E569" s="2">
        <f>SUMIFS(LS[Unit],LS[Investor ID],INVESTORS_LIST[[#This Row],[INVESTOR CODE]],LS[B/S],"B")</f>
        <v>0</v>
      </c>
      <c r="F569" s="2">
        <f>-SUMIFS(LS[Unit],LS[Investor ID],INVESTORS_LIST[[#This Row],[INVESTOR CODE]],LS[B/S],"S")</f>
        <v>0</v>
      </c>
      <c r="G569" s="2">
        <f>IF(INVESTORS_LIST[[#This Row],[LS_TOTAL UNITS BUY]]=0,0,INVESTORS_LIST[[#This Row],[LS_TOTAL UNITS BUY]]-INVESTORS_LIST[[#This Row],[LS_TOTAL UNITS SOLD]])</f>
        <v>0</v>
      </c>
      <c r="H569" s="4">
        <f>IF(INVESTORS_LIST[[#This Row],[LS_TOTAL UNITS BUY]]=0,0,SUMIFS(LS[Amount],LS[Investor ID],INVESTORS_LIST[[#This Row],[INVESTOR CODE]],LS[B/S],"B"))</f>
        <v>0</v>
      </c>
      <c r="I569" s="6">
        <f>IF(INVESTORS_LIST[[#This Row],[LS_TOTAL UNITS SOLD]]=0,0,SUMIFS(LS[Cost of Units Sold],LS[Investor ID],INVESTORS_LIST[[#This Row],[INVESTOR CODE]],LS[B/S],"S"))</f>
        <v>0</v>
      </c>
      <c r="J569" s="6">
        <f>IF(INVESTORS_LIST[[#This Row],[LS_TOTAL CURRENT UNITS]]=0,0,INVESTORS_LIST[[#This Row],[LS_TOTAL CURRENT UNITS]]*INVESTORS_LIST[[#This Row],[LS_AVERAGE COST]])</f>
        <v>0</v>
      </c>
      <c r="K569" s="4">
        <f>IF(INVESTORS_LIST[[#This Row],[LS_TOTAL UNITS SOLD]]=0,0,SUMIFS(LS[Realized Gain],LS[Investor ID],INVESTORS_LIST[[#This Row],[INVESTOR CODE]],LS[B/S],"S"))</f>
        <v>0</v>
      </c>
      <c r="L569" s="2">
        <f>SUMIFS(SIP[Unit],SIP[Investor ID],INVESTORS_LIST[[#This Row],[INVESTOR CODE]],SIP[B/S],"B")</f>
        <v>0</v>
      </c>
      <c r="M569" s="2">
        <f>-SUMIFS(SIP[Unit],SIP[Investor ID],INVESTORS_LIST[[#This Row],[INVESTOR CODE]],SIP[B/S],"S")</f>
        <v>0</v>
      </c>
      <c r="N569" s="33">
        <f>IF(INVESTORS_LIST[[#This Row],[SIP_TOTAL UNITS BUY]]=0,0,INVESTORS_LIST[[#This Row],[SIP_TOTAL UNITS BUY]]-INVESTORS_LIST[[#This Row],[SIP_TOTAL UNITS SOLD]])</f>
        <v>0</v>
      </c>
      <c r="O569" s="4">
        <f>IF(INVESTORS_LIST[[#This Row],[SIP_TOTAL UNITS BUY]]=0,0,SUMIFS(SIP[Amount],SIP[Investor ID],INVESTORS_LIST[[#This Row],[INVESTOR CODE]],SIP[B/S],"B"))</f>
        <v>0</v>
      </c>
      <c r="P569" s="4">
        <f>IF(INVESTORS_LIST[[#This Row],[SIP_TOTAL UNITS SOLD]]=0,0,SUMIFS(SIP[Cost of Units Sold],SIP[Investor ID],INVESTORS_LIST[[#This Row],[INVESTOR CODE]],SIP[B/S],"S"))</f>
        <v>0</v>
      </c>
      <c r="Q569" s="6">
        <f>IF(INVESTORS_LIST[[#This Row],[SIP_TOTAL CURRENT UNITS]]=0,0,INVESTORS_LIST[[#This Row],[SIP_TOTAL CURRENT UNITS]]*INVESTORS_LIST[[#This Row],[SIP_AVERAGE COST]])</f>
        <v>0</v>
      </c>
      <c r="R569" s="6">
        <f>IF(INVESTORS_LIST[[#This Row],[SIP_TOTAL UNITS SOLD]]=0,0,SUMIFS(SIP[Realized Gain],SIP[Investor ID],INVESTORS_LIST[[#This Row],[INVESTOR CODE]],SIP[B/S],"S"))</f>
        <v>0</v>
      </c>
      <c r="S569" s="33">
        <f>INVESTORS_LIST[[#This Row],[LS_TOTAL UNITS BUY]]+INVESTORS_LIST[[#This Row],[SIP_TOTAL UNITS BUY]]</f>
        <v>0</v>
      </c>
      <c r="T569" s="33">
        <f>INVESTORS_LIST[[#This Row],[LS_TOTAL UNITS SOLD]]+INVESTORS_LIST[[#This Row],[SIP_TOTAL UNITS SOLD]]</f>
        <v>0</v>
      </c>
      <c r="U569" s="33">
        <v>0</v>
      </c>
      <c r="V569" s="33">
        <f>SUMIFS(LS[BO UNIT TRANSFER],LS[Investor ID],INVESTORS_LIST[[#This Row],[INVESTOR CODE]],LS[B/S],"B")</f>
        <v>0</v>
      </c>
      <c r="W569" s="33">
        <f>SUMIFS(LS[BO UNIT TRANSFER],LS[Investor ID],INVESTORS_LIST[[#This Row],[INVESTOR CODE]],LS[B/S],"S")</f>
        <v>0</v>
      </c>
      <c r="X569" s="33">
        <f>SUMIFS(SIP[BO UNIT TRANSFER],SIP[Investor ID],INVESTORS_LIST[[#This Row],[INVESTOR CODE]],SIP[B/S],"S")</f>
        <v>0</v>
      </c>
      <c r="Y569" s="33">
        <f>SUMIFS(SIP[BO UNIT TRANSFER],SIP[Investor ID],INVESTORS_LIST[[#This Row],[INVESTOR CODE]],SIP[B/S],"B")</f>
        <v>0</v>
      </c>
      <c r="Z56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69" s="119">
        <f>INVESTORS_LIST[[#This Row],[TOTAL UNITS BUY]]-INVESTORS_LIST[[#This Row],[TOTAL UNITS SOLD]]</f>
        <v>0</v>
      </c>
      <c r="AB569" s="119">
        <f>INVESTORS_LIST[[#This Row],[TOTAL CURRENT UNITS]]-INVESTORS_LIST[[#This Row],[BO UNITS HOLD]]</f>
        <v>0</v>
      </c>
      <c r="AC569" s="119" t="e">
        <f>INDEX([4]!Table_1[BO ID],MATCH(INVESTORS_LIST[[#This Row],[INVESTOR CODE]],[4]!Table_1[INVESTOR CODE],0))</f>
        <v>#REF!</v>
      </c>
      <c r="AD569" s="33">
        <f>INVESTORS_LIST[[#This Row],[LS_TOTAL COST VALUE OF CURRENT UNITS]]+INVESTORS_LIST[[#This Row],[SIP_TOTAL COST VALUE OF CURRENT UNITS]]</f>
        <v>0</v>
      </c>
      <c r="AE569" s="44">
        <f>IF(INVESTORS_LIST[[#This Row],[TOTAL CURRENT UNITS]]=0,0,INVESTORS_LIST[[#This Row],[LS_TOTAL CURRENT UNITS]]/INVESTORS_LIST[[#This Row],[TOTAL CURRENT UNITS]])</f>
        <v>0</v>
      </c>
      <c r="AF569" s="44">
        <f>IF(INVESTORS_LIST[[#This Row],[TOTAL CURRENT UNITS]]=0,0,INVESTORS_LIST[[#This Row],[SIP_TOTAL CURRENT UNITS]]/INVESTORS_LIST[[#This Row],[TOTAL CURRENT UNITS]])</f>
        <v>0</v>
      </c>
      <c r="AG569" s="4" cm="1">
        <f t="array" ref="AG56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69" s="4" cm="1">
        <f t="array" ref="AH56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6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69" s="178">
        <f t="shared" si="14"/>
        <v>12.552</v>
      </c>
      <c r="AK569" s="118">
        <f>IF(INVESTORS_LIST[[#This Row],[TOTAL CURRENT UNITS]]=0,0,INVESTORS_LIST[[#This Row],[TOTAL CURRENT UNITS]]*INVESTORS_LIST[[#This Row],[NAV]])</f>
        <v>0</v>
      </c>
      <c r="AL569" s="4">
        <f>IF(INVESTORS_LIST[[#This Row],[LS_TOTAL CURRENT UNITS]]=0,0,INVESTORS_LIST[[#This Row],[LS_TOTAL CURRENT UNITS]]*INVESTORS_LIST[[#This Row],[NAV]])</f>
        <v>0</v>
      </c>
      <c r="AM569" s="6">
        <f>IF(INVESTORS_LIST[[#This Row],[SIP_TOTAL CURRENT UNITS]]=0,0,INVESTORS_LIST[[#This Row],[SIP_TOTAL CURRENT UNITS]]*INVESTORS_LIST[[#This Row],[NAV]])</f>
        <v>0</v>
      </c>
      <c r="AO569" s="6">
        <f>IF(INVESTORS_LIST[[#This Row],[TOTAL SELLABLE UNITS]]=0,0,INVESTORS_LIST[[#This Row],[TOTAL SELLABLE UNITS]]*INVESTORS_LIST[[#This Row],[NAV]])</f>
        <v>0</v>
      </c>
      <c r="AP569" s="6">
        <f>INVESTORS_LIST[[#This Row],[LS_TOTAL REALIZED GAIN]]+INVESTORS_LIST[[#This Row],[SIP_TOTAL REALIZED GAIN]]</f>
        <v>0</v>
      </c>
      <c r="AQ569" s="6">
        <f>INVESTORS_LIST[[#This Row],[TOTAL MARKET VALUE]]-INVESTORS_LIST[[#This Row],[TOTAL COST VALUE OF CURRENT INVESTMENT]]</f>
        <v>0</v>
      </c>
      <c r="AR569" s="6">
        <f>SUMIFS(DivAndTax[Tax Amount],DivAndTax[Investor ID],INVESTORS_LIST[[#This Row],[INVESTOR CODE]])</f>
        <v>0</v>
      </c>
      <c r="AS569" s="6">
        <f>SUMIFS(DivAndTax[Gross Dividend],DivAndTax[Investor ID],INVESTORS_LIST[[#This Row],[INVESTOR CODE]])</f>
        <v>0</v>
      </c>
      <c r="AT569" s="5">
        <f>IFERROR(INVESTORS_LIST[[#This Row],[TOTAL CURRENT UNITS]]/SUM(INVESTORS_LIST[TOTAL CURRENT UNITS]),0)</f>
        <v>0</v>
      </c>
    </row>
    <row r="570" spans="1:46">
      <c r="A570" t="s">
        <v>1326</v>
      </c>
      <c r="B570" t="s">
        <v>1327</v>
      </c>
      <c r="C570" t="s">
        <v>536</v>
      </c>
      <c r="D570" s="8" t="s">
        <v>2</v>
      </c>
      <c r="E570" s="2">
        <f>SUMIFS(LS[Unit],LS[Investor ID],INVESTORS_LIST[[#This Row],[INVESTOR CODE]],LS[B/S],"B")</f>
        <v>31804</v>
      </c>
      <c r="F570" s="2">
        <f>-SUMIFS(LS[Unit],LS[Investor ID],INVESTORS_LIST[[#This Row],[INVESTOR CODE]],LS[B/S],"S")</f>
        <v>7400</v>
      </c>
      <c r="G570" s="2">
        <f>IF(INVESTORS_LIST[[#This Row],[LS_TOTAL UNITS BUY]]=0,0,INVESTORS_LIST[[#This Row],[LS_TOTAL UNITS BUY]]-INVESTORS_LIST[[#This Row],[LS_TOTAL UNITS SOLD]])</f>
        <v>24404</v>
      </c>
      <c r="H570" s="4">
        <f>IF(INVESTORS_LIST[[#This Row],[LS_TOTAL UNITS BUY]]=0,0,SUMIFS(LS[Amount],LS[Investor ID],INVESTORS_LIST[[#This Row],[INVESTOR CODE]],LS[B/S],"B"))</f>
        <v>330339.34999999998</v>
      </c>
      <c r="I570" s="6">
        <f>IF(INVESTORS_LIST[[#This Row],[LS_TOTAL UNITS SOLD]]=0,0,SUMIFS(LS[Cost of Units Sold],LS[Investor ID],INVESTORS_LIST[[#This Row],[INVESTOR CODE]],LS[B/S],"S"))</f>
        <v>72867.747311013474</v>
      </c>
      <c r="J570" s="6">
        <f>IF(INVESTORS_LIST[[#This Row],[LS_TOTAL CURRENT UNITS]]=0,0,INVESTORS_LIST[[#This Row],[LS_TOTAL CURRENT UNITS]]*INVESTORS_LIST[[#This Row],[LS_AVERAGE COST]])</f>
        <v>257471.60268898649</v>
      </c>
      <c r="K570" s="4">
        <f>IF(INVESTORS_LIST[[#This Row],[LS_TOTAL UNITS SOLD]]=0,0,SUMIFS(LS[Realized Gain],LS[Investor ID],INVESTORS_LIST[[#This Row],[INVESTOR CODE]],LS[B/S],"S"))</f>
        <v>6290.0526889865278</v>
      </c>
      <c r="L570" s="2">
        <f>SUMIFS(SIP[Unit],SIP[Investor ID],INVESTORS_LIST[[#This Row],[INVESTOR CODE]],SIP[B/S],"B")</f>
        <v>7523</v>
      </c>
      <c r="M570" s="2">
        <f>-SUMIFS(SIP[Unit],SIP[Investor ID],INVESTORS_LIST[[#This Row],[INVESTOR CODE]],SIP[B/S],"S")</f>
        <v>0</v>
      </c>
      <c r="N570" s="33">
        <f>IF(INVESTORS_LIST[[#This Row],[SIP_TOTAL UNITS BUY]]=0,0,INVESTORS_LIST[[#This Row],[SIP_TOTAL UNITS BUY]]-INVESTORS_LIST[[#This Row],[SIP_TOTAL UNITS SOLD]])</f>
        <v>7523</v>
      </c>
      <c r="O570" s="4">
        <f>IF(INVESTORS_LIST[[#This Row],[SIP_TOTAL UNITS BUY]]=0,0,SUMIFS(SIP[Amount],SIP[Investor ID],INVESTORS_LIST[[#This Row],[INVESTOR CODE]],SIP[B/S],"B"))</f>
        <v>90000</v>
      </c>
      <c r="P570" s="4">
        <f>IF(INVESTORS_LIST[[#This Row],[SIP_TOTAL UNITS SOLD]]=0,0,SUMIFS(SIP[Cost of Units Sold],SIP[Investor ID],INVESTORS_LIST[[#This Row],[INVESTOR CODE]],SIP[B/S],"S"))</f>
        <v>0</v>
      </c>
      <c r="Q570" s="6">
        <f>IF(INVESTORS_LIST[[#This Row],[SIP_TOTAL CURRENT UNITS]]=0,0,INVESTORS_LIST[[#This Row],[SIP_TOTAL CURRENT UNITS]]*INVESTORS_LIST[[#This Row],[SIP_AVERAGE COST]])</f>
        <v>90000</v>
      </c>
      <c r="R570" s="6">
        <f>IF(INVESTORS_LIST[[#This Row],[SIP_TOTAL UNITS SOLD]]=0,0,SUMIFS(SIP[Realized Gain],SIP[Investor ID],INVESTORS_LIST[[#This Row],[INVESTOR CODE]],SIP[B/S],"S"))</f>
        <v>0</v>
      </c>
      <c r="S570" s="33">
        <f>INVESTORS_LIST[[#This Row],[LS_TOTAL UNITS BUY]]+INVESTORS_LIST[[#This Row],[SIP_TOTAL UNITS BUY]]</f>
        <v>39327</v>
      </c>
      <c r="T570" s="33">
        <f>INVESTORS_LIST[[#This Row],[LS_TOTAL UNITS SOLD]]+INVESTORS_LIST[[#This Row],[SIP_TOTAL UNITS SOLD]]</f>
        <v>7400</v>
      </c>
      <c r="U570" s="33">
        <v>24532</v>
      </c>
      <c r="V570" s="33">
        <f>SUMIFS(LS[BO UNIT TRANSFER],LS[Investor ID],INVESTORS_LIST[[#This Row],[INVESTOR CODE]],LS[B/S],"B")</f>
        <v>0</v>
      </c>
      <c r="W570" s="33">
        <f>SUMIFS(LS[BO UNIT TRANSFER],LS[Investor ID],INVESTORS_LIST[[#This Row],[INVESTOR CODE]],LS[B/S],"S")</f>
        <v>0</v>
      </c>
      <c r="X570" s="33">
        <f>SUMIFS(SIP[BO UNIT TRANSFER],SIP[Investor ID],INVESTORS_LIST[[#This Row],[INVESTOR CODE]],SIP[B/S],"S")</f>
        <v>0</v>
      </c>
      <c r="Y570" s="33">
        <f>SUMIFS(SIP[BO UNIT TRANSFER],SIP[Investor ID],INVESTORS_LIST[[#This Row],[INVESTOR CODE]],SIP[B/S],"B")</f>
        <v>5833</v>
      </c>
      <c r="Z57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30365</v>
      </c>
      <c r="AA570" s="119">
        <f>INVESTORS_LIST[[#This Row],[TOTAL UNITS BUY]]-INVESTORS_LIST[[#This Row],[TOTAL UNITS SOLD]]</f>
        <v>31927</v>
      </c>
      <c r="AB570" s="119">
        <f>INVESTORS_LIST[[#This Row],[TOTAL CURRENT UNITS]]-INVESTORS_LIST[[#This Row],[BO UNITS HOLD]]</f>
        <v>1562</v>
      </c>
      <c r="AC570" s="119" t="e">
        <f>INDEX([4]!Table_1[BO ID],MATCH(INVESTORS_LIST[[#This Row],[INVESTOR CODE]],[4]!Table_1[INVESTOR CODE],0))</f>
        <v>#REF!</v>
      </c>
      <c r="AD570" s="33">
        <f>INVESTORS_LIST[[#This Row],[LS_TOTAL COST VALUE OF CURRENT UNITS]]+INVESTORS_LIST[[#This Row],[SIP_TOTAL COST VALUE OF CURRENT UNITS]]</f>
        <v>347471.60268898646</v>
      </c>
      <c r="AE570" s="44">
        <f>IF(INVESTORS_LIST[[#This Row],[TOTAL CURRENT UNITS]]=0,0,INVESTORS_LIST[[#This Row],[LS_TOTAL CURRENT UNITS]]/INVESTORS_LIST[[#This Row],[TOTAL CURRENT UNITS]])</f>
        <v>0.76436871613367996</v>
      </c>
      <c r="AF570" s="44">
        <f>IF(INVESTORS_LIST[[#This Row],[TOTAL CURRENT UNITS]]=0,0,INVESTORS_LIST[[#This Row],[SIP_TOTAL CURRENT UNITS]]/INVESTORS_LIST[[#This Row],[TOTAL CURRENT UNITS]])</f>
        <v>0.23563128386632004</v>
      </c>
      <c r="AG570" s="4" cm="1">
        <f t="array" ref="AG570">IF(INVESTORS_LIST[[#This Row],[LS_TOTAL UNITS BUY]]&gt;0,INDEX(LS[NAV at Cost (Average)],MATCH(CONCATENATE(COUNTIFS(LS[Investor ID],INVESTORS_LIST[[#This Row],[INVESTOR CODE]]),INVESTORS_LIST[[#This Row],[INVESTOR CODE]]),LS[Unique Code],0),),0)</f>
        <v>10.550385292943226</v>
      </c>
      <c r="AH570" s="4" cm="1">
        <f t="array" ref="AH570">IF(INVESTORS_LIST[[#This Row],[SIP_TOTAL UNITS BUY]]&gt;0,INDEX(SIP[NAV at Cost (Average)],MATCH(CONCATENATE(COUNTIFS(SIP[Investor ID],INVESTORS_LIST[[#This Row],[INVESTOR CODE]]),INVESTORS_LIST[[#This Row],[INVESTOR CODE]]),SIP[Unique Code],0),),0)</f>
        <v>11.963312508307856</v>
      </c>
      <c r="AI570" s="178">
        <f>IF(INVESTORS_LIST[[#This Row],[TOTAL CURRENT UNITS]]=0,0,(INVESTORS_LIST[[#This Row],[LS_WEIGHT]]*INVESTORS_LIST[[#This Row],[LS_AVERAGE COST]])+(INVESTORS_LIST[[#This Row],[SIP_WEIGHT]]*INVESTORS_LIST[[#This Row],[SIP_AVERAGE COST]]))</f>
        <v>10.883315146709258</v>
      </c>
      <c r="AJ570" s="178">
        <f t="shared" si="14"/>
        <v>12.552</v>
      </c>
      <c r="AK570" s="118">
        <f>IF(INVESTORS_LIST[[#This Row],[TOTAL CURRENT UNITS]]=0,0,INVESTORS_LIST[[#This Row],[TOTAL CURRENT UNITS]]*INVESTORS_LIST[[#This Row],[NAV]])</f>
        <v>400747.70399999997</v>
      </c>
      <c r="AL570" s="4">
        <f>IF(INVESTORS_LIST[[#This Row],[LS_TOTAL CURRENT UNITS]]=0,0,INVESTORS_LIST[[#This Row],[LS_TOTAL CURRENT UNITS]]*INVESTORS_LIST[[#This Row],[NAV]])</f>
        <v>306319.00799999997</v>
      </c>
      <c r="AM570" s="6">
        <f>IF(INVESTORS_LIST[[#This Row],[SIP_TOTAL CURRENT UNITS]]=0,0,INVESTORS_LIST[[#This Row],[SIP_TOTAL CURRENT UNITS]]*INVESTORS_LIST[[#This Row],[NAV]])</f>
        <v>94428.695999999996</v>
      </c>
      <c r="AO570" s="6">
        <f>IF(INVESTORS_LIST[[#This Row],[TOTAL SELLABLE UNITS]]=0,0,INVESTORS_LIST[[#This Row],[TOTAL SELLABLE UNITS]]*INVESTORS_LIST[[#This Row],[NAV]])</f>
        <v>0</v>
      </c>
      <c r="AP570" s="6">
        <f>INVESTORS_LIST[[#This Row],[LS_TOTAL REALIZED GAIN]]+INVESTORS_LIST[[#This Row],[SIP_TOTAL REALIZED GAIN]]</f>
        <v>6290.0526889865278</v>
      </c>
      <c r="AQ570" s="6">
        <f>INVESTORS_LIST[[#This Row],[TOTAL MARKET VALUE]]-INVESTORS_LIST[[#This Row],[TOTAL COST VALUE OF CURRENT INVESTMENT]]</f>
        <v>53276.10131101351</v>
      </c>
      <c r="AR570" s="6">
        <f>SUMIFS(DivAndTax[Tax Amount],DivAndTax[Investor ID],INVESTORS_LIST[[#This Row],[INVESTOR CODE]])</f>
        <v>1324.04</v>
      </c>
      <c r="AS570" s="6">
        <f>SUMIFS(DivAndTax[Gross Dividend],DivAndTax[Investor ID],INVESTORS_LIST[[#This Row],[INVESTOR CODE]])</f>
        <v>13240.349999999999</v>
      </c>
      <c r="AT570" s="5">
        <f>IFERROR(INVESTORS_LIST[[#This Row],[TOTAL CURRENT UNITS]]/SUM(INVESTORS_LIST[TOTAL CURRENT UNITS]),0)</f>
        <v>1.5307347488438582E-3</v>
      </c>
    </row>
    <row r="571" spans="1:46" hidden="1">
      <c r="A571" t="s">
        <v>1328</v>
      </c>
      <c r="B571" t="s">
        <v>1329</v>
      </c>
      <c r="C571" t="s">
        <v>536</v>
      </c>
      <c r="D571" s="8" t="s">
        <v>2</v>
      </c>
      <c r="E571" s="2">
        <f>SUMIFS(LS[Unit],LS[Investor ID],INVESTORS_LIST[[#This Row],[INVESTOR CODE]],LS[B/S],"B")</f>
        <v>0</v>
      </c>
      <c r="F571" s="2">
        <f>-SUMIFS(LS[Unit],LS[Investor ID],INVESTORS_LIST[[#This Row],[INVESTOR CODE]],LS[B/S],"S")</f>
        <v>0</v>
      </c>
      <c r="G571" s="2">
        <f>IF(INVESTORS_LIST[[#This Row],[LS_TOTAL UNITS BUY]]=0,0,INVESTORS_LIST[[#This Row],[LS_TOTAL UNITS BUY]]-INVESTORS_LIST[[#This Row],[LS_TOTAL UNITS SOLD]])</f>
        <v>0</v>
      </c>
      <c r="H571" s="4">
        <f>IF(INVESTORS_LIST[[#This Row],[LS_TOTAL UNITS BUY]]=0,0,SUMIFS(LS[Amount],LS[Investor ID],INVESTORS_LIST[[#This Row],[INVESTOR CODE]],LS[B/S],"B"))</f>
        <v>0</v>
      </c>
      <c r="I571" s="6">
        <f>IF(INVESTORS_LIST[[#This Row],[LS_TOTAL UNITS SOLD]]=0,0,SUMIFS(LS[Cost of Units Sold],LS[Investor ID],INVESTORS_LIST[[#This Row],[INVESTOR CODE]],LS[B/S],"S"))</f>
        <v>0</v>
      </c>
      <c r="J571" s="6">
        <f>IF(INVESTORS_LIST[[#This Row],[LS_TOTAL CURRENT UNITS]]=0,0,INVESTORS_LIST[[#This Row],[LS_TOTAL CURRENT UNITS]]*INVESTORS_LIST[[#This Row],[LS_AVERAGE COST]])</f>
        <v>0</v>
      </c>
      <c r="K571" s="4">
        <f>IF(INVESTORS_LIST[[#This Row],[LS_TOTAL UNITS SOLD]]=0,0,SUMIFS(LS[Realized Gain],LS[Investor ID],INVESTORS_LIST[[#This Row],[INVESTOR CODE]],LS[B/S],"S"))</f>
        <v>0</v>
      </c>
      <c r="L571" s="2">
        <f>SUMIFS(SIP[Unit],SIP[Investor ID],INVESTORS_LIST[[#This Row],[INVESTOR CODE]],SIP[B/S],"B")</f>
        <v>0</v>
      </c>
      <c r="M571" s="2">
        <f>-SUMIFS(SIP[Unit],SIP[Investor ID],INVESTORS_LIST[[#This Row],[INVESTOR CODE]],SIP[B/S],"S")</f>
        <v>0</v>
      </c>
      <c r="N571" s="33">
        <f>IF(INVESTORS_LIST[[#This Row],[SIP_TOTAL UNITS BUY]]=0,0,INVESTORS_LIST[[#This Row],[SIP_TOTAL UNITS BUY]]-INVESTORS_LIST[[#This Row],[SIP_TOTAL UNITS SOLD]])</f>
        <v>0</v>
      </c>
      <c r="O571" s="4">
        <f>IF(INVESTORS_LIST[[#This Row],[SIP_TOTAL UNITS BUY]]=0,0,SUMIFS(SIP[Amount],SIP[Investor ID],INVESTORS_LIST[[#This Row],[INVESTOR CODE]],SIP[B/S],"B"))</f>
        <v>0</v>
      </c>
      <c r="P571" s="4">
        <f>IF(INVESTORS_LIST[[#This Row],[SIP_TOTAL UNITS SOLD]]=0,0,SUMIFS(SIP[Cost of Units Sold],SIP[Investor ID],INVESTORS_LIST[[#This Row],[INVESTOR CODE]],SIP[B/S],"S"))</f>
        <v>0</v>
      </c>
      <c r="Q571" s="6">
        <f>IF(INVESTORS_LIST[[#This Row],[SIP_TOTAL CURRENT UNITS]]=0,0,INVESTORS_LIST[[#This Row],[SIP_TOTAL CURRENT UNITS]]*INVESTORS_LIST[[#This Row],[SIP_AVERAGE COST]])</f>
        <v>0</v>
      </c>
      <c r="R571" s="6">
        <f>IF(INVESTORS_LIST[[#This Row],[SIP_TOTAL UNITS SOLD]]=0,0,SUMIFS(SIP[Realized Gain],SIP[Investor ID],INVESTORS_LIST[[#This Row],[INVESTOR CODE]],SIP[B/S],"S"))</f>
        <v>0</v>
      </c>
      <c r="S571" s="33">
        <f>INVESTORS_LIST[[#This Row],[LS_TOTAL UNITS BUY]]+INVESTORS_LIST[[#This Row],[SIP_TOTAL UNITS BUY]]</f>
        <v>0</v>
      </c>
      <c r="T571" s="33">
        <f>INVESTORS_LIST[[#This Row],[LS_TOTAL UNITS SOLD]]+INVESTORS_LIST[[#This Row],[SIP_TOTAL UNITS SOLD]]</f>
        <v>0</v>
      </c>
      <c r="U571" s="33">
        <v>0</v>
      </c>
      <c r="V571" s="33">
        <f>SUMIFS(LS[BO UNIT TRANSFER],LS[Investor ID],INVESTORS_LIST[[#This Row],[INVESTOR CODE]],LS[B/S],"B")</f>
        <v>0</v>
      </c>
      <c r="W571" s="33">
        <f>SUMIFS(LS[BO UNIT TRANSFER],LS[Investor ID],INVESTORS_LIST[[#This Row],[INVESTOR CODE]],LS[B/S],"S")</f>
        <v>0</v>
      </c>
      <c r="X571" s="33">
        <f>SUMIFS(SIP[BO UNIT TRANSFER],SIP[Investor ID],INVESTORS_LIST[[#This Row],[INVESTOR CODE]],SIP[B/S],"S")</f>
        <v>0</v>
      </c>
      <c r="Y571" s="33">
        <f>SUMIFS(SIP[BO UNIT TRANSFER],SIP[Investor ID],INVESTORS_LIST[[#This Row],[INVESTOR CODE]],SIP[B/S],"B")</f>
        <v>0</v>
      </c>
      <c r="Z57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71" s="119">
        <f>INVESTORS_LIST[[#This Row],[TOTAL UNITS BUY]]-INVESTORS_LIST[[#This Row],[TOTAL UNITS SOLD]]</f>
        <v>0</v>
      </c>
      <c r="AB571" s="119">
        <f>INVESTORS_LIST[[#This Row],[TOTAL CURRENT UNITS]]-INVESTORS_LIST[[#This Row],[BO UNITS HOLD]]</f>
        <v>0</v>
      </c>
      <c r="AC571" s="119" t="e">
        <f>INDEX([4]!Table_1[BO ID],MATCH(INVESTORS_LIST[[#This Row],[INVESTOR CODE]],[4]!Table_1[INVESTOR CODE],0))</f>
        <v>#REF!</v>
      </c>
      <c r="AD571" s="33">
        <f>INVESTORS_LIST[[#This Row],[LS_TOTAL COST VALUE OF CURRENT UNITS]]+INVESTORS_LIST[[#This Row],[SIP_TOTAL COST VALUE OF CURRENT UNITS]]</f>
        <v>0</v>
      </c>
      <c r="AE571" s="44">
        <f>IF(INVESTORS_LIST[[#This Row],[TOTAL CURRENT UNITS]]=0,0,INVESTORS_LIST[[#This Row],[LS_TOTAL CURRENT UNITS]]/INVESTORS_LIST[[#This Row],[TOTAL CURRENT UNITS]])</f>
        <v>0</v>
      </c>
      <c r="AF571" s="44">
        <f>IF(INVESTORS_LIST[[#This Row],[TOTAL CURRENT UNITS]]=0,0,INVESTORS_LIST[[#This Row],[SIP_TOTAL CURRENT UNITS]]/INVESTORS_LIST[[#This Row],[TOTAL CURRENT UNITS]])</f>
        <v>0</v>
      </c>
      <c r="AG571" s="4" cm="1">
        <f t="array" ref="AG57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71" s="4" cm="1">
        <f t="array" ref="AH57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7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71" s="178">
        <f t="shared" si="14"/>
        <v>12.552</v>
      </c>
      <c r="AK571" s="118">
        <f>IF(INVESTORS_LIST[[#This Row],[TOTAL CURRENT UNITS]]=0,0,INVESTORS_LIST[[#This Row],[TOTAL CURRENT UNITS]]*INVESTORS_LIST[[#This Row],[NAV]])</f>
        <v>0</v>
      </c>
      <c r="AL571" s="4">
        <f>IF(INVESTORS_LIST[[#This Row],[LS_TOTAL CURRENT UNITS]]=0,0,INVESTORS_LIST[[#This Row],[LS_TOTAL CURRENT UNITS]]*INVESTORS_LIST[[#This Row],[NAV]])</f>
        <v>0</v>
      </c>
      <c r="AM571" s="6">
        <f>IF(INVESTORS_LIST[[#This Row],[SIP_TOTAL CURRENT UNITS]]=0,0,INVESTORS_LIST[[#This Row],[SIP_TOTAL CURRENT UNITS]]*INVESTORS_LIST[[#This Row],[NAV]])</f>
        <v>0</v>
      </c>
      <c r="AO571" s="6">
        <f>IF(INVESTORS_LIST[[#This Row],[TOTAL SELLABLE UNITS]]=0,0,INVESTORS_LIST[[#This Row],[TOTAL SELLABLE UNITS]]*INVESTORS_LIST[[#This Row],[NAV]])</f>
        <v>0</v>
      </c>
      <c r="AP571" s="6">
        <f>INVESTORS_LIST[[#This Row],[LS_TOTAL REALIZED GAIN]]+INVESTORS_LIST[[#This Row],[SIP_TOTAL REALIZED GAIN]]</f>
        <v>0</v>
      </c>
      <c r="AQ571" s="6">
        <f>INVESTORS_LIST[[#This Row],[TOTAL MARKET VALUE]]-INVESTORS_LIST[[#This Row],[TOTAL COST VALUE OF CURRENT INVESTMENT]]</f>
        <v>0</v>
      </c>
      <c r="AR571" s="6">
        <f>SUMIFS(DivAndTax[Tax Amount],DivAndTax[Investor ID],INVESTORS_LIST[[#This Row],[INVESTOR CODE]])</f>
        <v>0</v>
      </c>
      <c r="AS571" s="6">
        <f>SUMIFS(DivAndTax[Gross Dividend],DivAndTax[Investor ID],INVESTORS_LIST[[#This Row],[INVESTOR CODE]])</f>
        <v>0</v>
      </c>
      <c r="AT571" s="5">
        <f>IFERROR(INVESTORS_LIST[[#This Row],[TOTAL CURRENT UNITS]]/SUM(INVESTORS_LIST[TOTAL CURRENT UNITS]),0)</f>
        <v>0</v>
      </c>
    </row>
    <row r="572" spans="1:46" hidden="1">
      <c r="A572" t="s">
        <v>1330</v>
      </c>
      <c r="B572" t="s">
        <v>1331</v>
      </c>
      <c r="C572" t="s">
        <v>536</v>
      </c>
      <c r="D572" s="8" t="s">
        <v>2</v>
      </c>
      <c r="E572" s="2">
        <f>SUMIFS(LS[Unit],LS[Investor ID],INVESTORS_LIST[[#This Row],[INVESTOR CODE]],LS[B/S],"B")</f>
        <v>0</v>
      </c>
      <c r="F572" s="2">
        <f>-SUMIFS(LS[Unit],LS[Investor ID],INVESTORS_LIST[[#This Row],[INVESTOR CODE]],LS[B/S],"S")</f>
        <v>0</v>
      </c>
      <c r="G572" s="2">
        <f>IF(INVESTORS_LIST[[#This Row],[LS_TOTAL UNITS BUY]]=0,0,INVESTORS_LIST[[#This Row],[LS_TOTAL UNITS BUY]]-INVESTORS_LIST[[#This Row],[LS_TOTAL UNITS SOLD]])</f>
        <v>0</v>
      </c>
      <c r="H572" s="4">
        <f>IF(INVESTORS_LIST[[#This Row],[LS_TOTAL UNITS BUY]]=0,0,SUMIFS(LS[Amount],LS[Investor ID],INVESTORS_LIST[[#This Row],[INVESTOR CODE]],LS[B/S],"B"))</f>
        <v>0</v>
      </c>
      <c r="I572" s="6">
        <f>IF(INVESTORS_LIST[[#This Row],[LS_TOTAL UNITS SOLD]]=0,0,SUMIFS(LS[Cost of Units Sold],LS[Investor ID],INVESTORS_LIST[[#This Row],[INVESTOR CODE]],LS[B/S],"S"))</f>
        <v>0</v>
      </c>
      <c r="J572" s="6">
        <f>IF(INVESTORS_LIST[[#This Row],[LS_TOTAL CURRENT UNITS]]=0,0,INVESTORS_LIST[[#This Row],[LS_TOTAL CURRENT UNITS]]*INVESTORS_LIST[[#This Row],[LS_AVERAGE COST]])</f>
        <v>0</v>
      </c>
      <c r="K572" s="4">
        <f>IF(INVESTORS_LIST[[#This Row],[LS_TOTAL UNITS SOLD]]=0,0,SUMIFS(LS[Realized Gain],LS[Investor ID],INVESTORS_LIST[[#This Row],[INVESTOR CODE]],LS[B/S],"S"))</f>
        <v>0</v>
      </c>
      <c r="L572" s="2">
        <f>SUMIFS(SIP[Unit],SIP[Investor ID],INVESTORS_LIST[[#This Row],[INVESTOR CODE]],SIP[B/S],"B")</f>
        <v>0</v>
      </c>
      <c r="M572" s="2">
        <f>-SUMIFS(SIP[Unit],SIP[Investor ID],INVESTORS_LIST[[#This Row],[INVESTOR CODE]],SIP[B/S],"S")</f>
        <v>0</v>
      </c>
      <c r="N572" s="33">
        <f>IF(INVESTORS_LIST[[#This Row],[SIP_TOTAL UNITS BUY]]=0,0,INVESTORS_LIST[[#This Row],[SIP_TOTAL UNITS BUY]]-INVESTORS_LIST[[#This Row],[SIP_TOTAL UNITS SOLD]])</f>
        <v>0</v>
      </c>
      <c r="O572" s="4">
        <f>IF(INVESTORS_LIST[[#This Row],[SIP_TOTAL UNITS BUY]]=0,0,SUMIFS(SIP[Amount],SIP[Investor ID],INVESTORS_LIST[[#This Row],[INVESTOR CODE]],SIP[B/S],"B"))</f>
        <v>0</v>
      </c>
      <c r="P572" s="4">
        <f>IF(INVESTORS_LIST[[#This Row],[SIP_TOTAL UNITS SOLD]]=0,0,SUMIFS(SIP[Cost of Units Sold],SIP[Investor ID],INVESTORS_LIST[[#This Row],[INVESTOR CODE]],SIP[B/S],"S"))</f>
        <v>0</v>
      </c>
      <c r="Q572" s="6">
        <f>IF(INVESTORS_LIST[[#This Row],[SIP_TOTAL CURRENT UNITS]]=0,0,INVESTORS_LIST[[#This Row],[SIP_TOTAL CURRENT UNITS]]*INVESTORS_LIST[[#This Row],[SIP_AVERAGE COST]])</f>
        <v>0</v>
      </c>
      <c r="R572" s="6">
        <f>IF(INVESTORS_LIST[[#This Row],[SIP_TOTAL UNITS SOLD]]=0,0,SUMIFS(SIP[Realized Gain],SIP[Investor ID],INVESTORS_LIST[[#This Row],[INVESTOR CODE]],SIP[B/S],"S"))</f>
        <v>0</v>
      </c>
      <c r="S572" s="33">
        <f>INVESTORS_LIST[[#This Row],[LS_TOTAL UNITS BUY]]+INVESTORS_LIST[[#This Row],[SIP_TOTAL UNITS BUY]]</f>
        <v>0</v>
      </c>
      <c r="T572" s="33">
        <f>INVESTORS_LIST[[#This Row],[LS_TOTAL UNITS SOLD]]+INVESTORS_LIST[[#This Row],[SIP_TOTAL UNITS SOLD]]</f>
        <v>0</v>
      </c>
      <c r="U572" s="33">
        <v>0</v>
      </c>
      <c r="V572" s="33">
        <f>SUMIFS(LS[BO UNIT TRANSFER],LS[Investor ID],INVESTORS_LIST[[#This Row],[INVESTOR CODE]],LS[B/S],"B")</f>
        <v>0</v>
      </c>
      <c r="W572" s="33">
        <f>SUMIFS(LS[BO UNIT TRANSFER],LS[Investor ID],INVESTORS_LIST[[#This Row],[INVESTOR CODE]],LS[B/S],"S")</f>
        <v>0</v>
      </c>
      <c r="X572" s="33">
        <f>SUMIFS(SIP[BO UNIT TRANSFER],SIP[Investor ID],INVESTORS_LIST[[#This Row],[INVESTOR CODE]],SIP[B/S],"S")</f>
        <v>0</v>
      </c>
      <c r="Y572" s="33">
        <f>SUMIFS(SIP[BO UNIT TRANSFER],SIP[Investor ID],INVESTORS_LIST[[#This Row],[INVESTOR CODE]],SIP[B/S],"B")</f>
        <v>0</v>
      </c>
      <c r="Z57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72" s="119">
        <f>INVESTORS_LIST[[#This Row],[TOTAL UNITS BUY]]-INVESTORS_LIST[[#This Row],[TOTAL UNITS SOLD]]</f>
        <v>0</v>
      </c>
      <c r="AB572" s="119">
        <f>INVESTORS_LIST[[#This Row],[TOTAL CURRENT UNITS]]-INVESTORS_LIST[[#This Row],[BO UNITS HOLD]]</f>
        <v>0</v>
      </c>
      <c r="AC572" s="119" t="e">
        <f>INDEX([4]!Table_1[BO ID],MATCH(INVESTORS_LIST[[#This Row],[INVESTOR CODE]],[4]!Table_1[INVESTOR CODE],0))</f>
        <v>#REF!</v>
      </c>
      <c r="AD572" s="33">
        <f>INVESTORS_LIST[[#This Row],[LS_TOTAL COST VALUE OF CURRENT UNITS]]+INVESTORS_LIST[[#This Row],[SIP_TOTAL COST VALUE OF CURRENT UNITS]]</f>
        <v>0</v>
      </c>
      <c r="AE572" s="44">
        <f>IF(INVESTORS_LIST[[#This Row],[TOTAL CURRENT UNITS]]=0,0,INVESTORS_LIST[[#This Row],[LS_TOTAL CURRENT UNITS]]/INVESTORS_LIST[[#This Row],[TOTAL CURRENT UNITS]])</f>
        <v>0</v>
      </c>
      <c r="AF572" s="44">
        <f>IF(INVESTORS_LIST[[#This Row],[TOTAL CURRENT UNITS]]=0,0,INVESTORS_LIST[[#This Row],[SIP_TOTAL CURRENT UNITS]]/INVESTORS_LIST[[#This Row],[TOTAL CURRENT UNITS]])</f>
        <v>0</v>
      </c>
      <c r="AG572" s="4" cm="1">
        <f t="array" ref="AG57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72" s="4" cm="1">
        <f t="array" ref="AH57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7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72" s="178">
        <f t="shared" si="14"/>
        <v>12.552</v>
      </c>
      <c r="AK572" s="118">
        <f>IF(INVESTORS_LIST[[#This Row],[TOTAL CURRENT UNITS]]=0,0,INVESTORS_LIST[[#This Row],[TOTAL CURRENT UNITS]]*INVESTORS_LIST[[#This Row],[NAV]])</f>
        <v>0</v>
      </c>
      <c r="AL572" s="4">
        <f>IF(INVESTORS_LIST[[#This Row],[LS_TOTAL CURRENT UNITS]]=0,0,INVESTORS_LIST[[#This Row],[LS_TOTAL CURRENT UNITS]]*INVESTORS_LIST[[#This Row],[NAV]])</f>
        <v>0</v>
      </c>
      <c r="AM572" s="6">
        <f>IF(INVESTORS_LIST[[#This Row],[SIP_TOTAL CURRENT UNITS]]=0,0,INVESTORS_LIST[[#This Row],[SIP_TOTAL CURRENT UNITS]]*INVESTORS_LIST[[#This Row],[NAV]])</f>
        <v>0</v>
      </c>
      <c r="AO572" s="6">
        <f>IF(INVESTORS_LIST[[#This Row],[TOTAL SELLABLE UNITS]]=0,0,INVESTORS_LIST[[#This Row],[TOTAL SELLABLE UNITS]]*INVESTORS_LIST[[#This Row],[NAV]])</f>
        <v>0</v>
      </c>
      <c r="AP572" s="6">
        <f>INVESTORS_LIST[[#This Row],[LS_TOTAL REALIZED GAIN]]+INVESTORS_LIST[[#This Row],[SIP_TOTAL REALIZED GAIN]]</f>
        <v>0</v>
      </c>
      <c r="AQ572" s="6">
        <f>INVESTORS_LIST[[#This Row],[TOTAL MARKET VALUE]]-INVESTORS_LIST[[#This Row],[TOTAL COST VALUE OF CURRENT INVESTMENT]]</f>
        <v>0</v>
      </c>
      <c r="AR572" s="6">
        <f>SUMIFS(DivAndTax[Tax Amount],DivAndTax[Investor ID],INVESTORS_LIST[[#This Row],[INVESTOR CODE]])</f>
        <v>0</v>
      </c>
      <c r="AS572" s="6">
        <f>SUMIFS(DivAndTax[Gross Dividend],DivAndTax[Investor ID],INVESTORS_LIST[[#This Row],[INVESTOR CODE]])</f>
        <v>0</v>
      </c>
      <c r="AT572" s="5">
        <f>IFERROR(INVESTORS_LIST[[#This Row],[TOTAL CURRENT UNITS]]/SUM(INVESTORS_LIST[TOTAL CURRENT UNITS]),0)</f>
        <v>0</v>
      </c>
    </row>
    <row r="573" spans="1:46" hidden="1">
      <c r="A573" t="s">
        <v>1332</v>
      </c>
      <c r="B573" t="s">
        <v>1333</v>
      </c>
      <c r="C573" t="s">
        <v>536</v>
      </c>
      <c r="D573" s="8" t="s">
        <v>2</v>
      </c>
      <c r="E573" s="2">
        <f>SUMIFS(LS[Unit],LS[Investor ID],INVESTORS_LIST[[#This Row],[INVESTOR CODE]],LS[B/S],"B")</f>
        <v>0</v>
      </c>
      <c r="F573" s="2">
        <f>-SUMIFS(LS[Unit],LS[Investor ID],INVESTORS_LIST[[#This Row],[INVESTOR CODE]],LS[B/S],"S")</f>
        <v>0</v>
      </c>
      <c r="G573" s="2">
        <f>IF(INVESTORS_LIST[[#This Row],[LS_TOTAL UNITS BUY]]=0,0,INVESTORS_LIST[[#This Row],[LS_TOTAL UNITS BUY]]-INVESTORS_LIST[[#This Row],[LS_TOTAL UNITS SOLD]])</f>
        <v>0</v>
      </c>
      <c r="H573" s="4">
        <f>IF(INVESTORS_LIST[[#This Row],[LS_TOTAL UNITS BUY]]=0,0,SUMIFS(LS[Amount],LS[Investor ID],INVESTORS_LIST[[#This Row],[INVESTOR CODE]],LS[B/S],"B"))</f>
        <v>0</v>
      </c>
      <c r="I573" s="6">
        <f>IF(INVESTORS_LIST[[#This Row],[LS_TOTAL UNITS SOLD]]=0,0,SUMIFS(LS[Cost of Units Sold],LS[Investor ID],INVESTORS_LIST[[#This Row],[INVESTOR CODE]],LS[B/S],"S"))</f>
        <v>0</v>
      </c>
      <c r="J573" s="6">
        <f>IF(INVESTORS_LIST[[#This Row],[LS_TOTAL CURRENT UNITS]]=0,0,INVESTORS_LIST[[#This Row],[LS_TOTAL CURRENT UNITS]]*INVESTORS_LIST[[#This Row],[LS_AVERAGE COST]])</f>
        <v>0</v>
      </c>
      <c r="K573" s="4">
        <f>IF(INVESTORS_LIST[[#This Row],[LS_TOTAL UNITS SOLD]]=0,0,SUMIFS(LS[Realized Gain],LS[Investor ID],INVESTORS_LIST[[#This Row],[INVESTOR CODE]],LS[B/S],"S"))</f>
        <v>0</v>
      </c>
      <c r="L573" s="2">
        <f>SUMIFS(SIP[Unit],SIP[Investor ID],INVESTORS_LIST[[#This Row],[INVESTOR CODE]],SIP[B/S],"B")</f>
        <v>0</v>
      </c>
      <c r="M573" s="2">
        <f>-SUMIFS(SIP[Unit],SIP[Investor ID],INVESTORS_LIST[[#This Row],[INVESTOR CODE]],SIP[B/S],"S")</f>
        <v>0</v>
      </c>
      <c r="N573" s="33">
        <f>IF(INVESTORS_LIST[[#This Row],[SIP_TOTAL UNITS BUY]]=0,0,INVESTORS_LIST[[#This Row],[SIP_TOTAL UNITS BUY]]-INVESTORS_LIST[[#This Row],[SIP_TOTAL UNITS SOLD]])</f>
        <v>0</v>
      </c>
      <c r="O573" s="4">
        <f>IF(INVESTORS_LIST[[#This Row],[SIP_TOTAL UNITS BUY]]=0,0,SUMIFS(SIP[Amount],SIP[Investor ID],INVESTORS_LIST[[#This Row],[INVESTOR CODE]],SIP[B/S],"B"))</f>
        <v>0</v>
      </c>
      <c r="P573" s="4">
        <f>IF(INVESTORS_LIST[[#This Row],[SIP_TOTAL UNITS SOLD]]=0,0,SUMIFS(SIP[Cost of Units Sold],SIP[Investor ID],INVESTORS_LIST[[#This Row],[INVESTOR CODE]],SIP[B/S],"S"))</f>
        <v>0</v>
      </c>
      <c r="Q573" s="6">
        <f>IF(INVESTORS_LIST[[#This Row],[SIP_TOTAL CURRENT UNITS]]=0,0,INVESTORS_LIST[[#This Row],[SIP_TOTAL CURRENT UNITS]]*INVESTORS_LIST[[#This Row],[SIP_AVERAGE COST]])</f>
        <v>0</v>
      </c>
      <c r="R573" s="6">
        <f>IF(INVESTORS_LIST[[#This Row],[SIP_TOTAL UNITS SOLD]]=0,0,SUMIFS(SIP[Realized Gain],SIP[Investor ID],INVESTORS_LIST[[#This Row],[INVESTOR CODE]],SIP[B/S],"S"))</f>
        <v>0</v>
      </c>
      <c r="S573" s="33">
        <f>INVESTORS_LIST[[#This Row],[LS_TOTAL UNITS BUY]]+INVESTORS_LIST[[#This Row],[SIP_TOTAL UNITS BUY]]</f>
        <v>0</v>
      </c>
      <c r="T573" s="33">
        <f>INVESTORS_LIST[[#This Row],[LS_TOTAL UNITS SOLD]]+INVESTORS_LIST[[#This Row],[SIP_TOTAL UNITS SOLD]]</f>
        <v>0</v>
      </c>
      <c r="U573" s="33">
        <v>0</v>
      </c>
      <c r="V573" s="33">
        <f>SUMIFS(LS[BO UNIT TRANSFER],LS[Investor ID],INVESTORS_LIST[[#This Row],[INVESTOR CODE]],LS[B/S],"B")</f>
        <v>0</v>
      </c>
      <c r="W573" s="33">
        <f>SUMIFS(LS[BO UNIT TRANSFER],LS[Investor ID],INVESTORS_LIST[[#This Row],[INVESTOR CODE]],LS[B/S],"S")</f>
        <v>0</v>
      </c>
      <c r="X573" s="33">
        <f>SUMIFS(SIP[BO UNIT TRANSFER],SIP[Investor ID],INVESTORS_LIST[[#This Row],[INVESTOR CODE]],SIP[B/S],"S")</f>
        <v>0</v>
      </c>
      <c r="Y573" s="33">
        <f>SUMIFS(SIP[BO UNIT TRANSFER],SIP[Investor ID],INVESTORS_LIST[[#This Row],[INVESTOR CODE]],SIP[B/S],"B")</f>
        <v>0</v>
      </c>
      <c r="Z57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73" s="119">
        <f>INVESTORS_LIST[[#This Row],[TOTAL UNITS BUY]]-INVESTORS_LIST[[#This Row],[TOTAL UNITS SOLD]]</f>
        <v>0</v>
      </c>
      <c r="AB573" s="119">
        <f>INVESTORS_LIST[[#This Row],[TOTAL CURRENT UNITS]]-INVESTORS_LIST[[#This Row],[BO UNITS HOLD]]</f>
        <v>0</v>
      </c>
      <c r="AC573" s="119" t="e">
        <f>INDEX([4]!Table_1[BO ID],MATCH(INVESTORS_LIST[[#This Row],[INVESTOR CODE]],[4]!Table_1[INVESTOR CODE],0))</f>
        <v>#REF!</v>
      </c>
      <c r="AD573" s="33">
        <f>INVESTORS_LIST[[#This Row],[LS_TOTAL COST VALUE OF CURRENT UNITS]]+INVESTORS_LIST[[#This Row],[SIP_TOTAL COST VALUE OF CURRENT UNITS]]</f>
        <v>0</v>
      </c>
      <c r="AE573" s="44">
        <f>IF(INVESTORS_LIST[[#This Row],[TOTAL CURRENT UNITS]]=0,0,INVESTORS_LIST[[#This Row],[LS_TOTAL CURRENT UNITS]]/INVESTORS_LIST[[#This Row],[TOTAL CURRENT UNITS]])</f>
        <v>0</v>
      </c>
      <c r="AF573" s="44">
        <f>IF(INVESTORS_LIST[[#This Row],[TOTAL CURRENT UNITS]]=0,0,INVESTORS_LIST[[#This Row],[SIP_TOTAL CURRENT UNITS]]/INVESTORS_LIST[[#This Row],[TOTAL CURRENT UNITS]])</f>
        <v>0</v>
      </c>
      <c r="AG573" s="4" cm="1">
        <f t="array" ref="AG57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73" s="4" cm="1">
        <f t="array" ref="AH5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7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73" s="178">
        <f t="shared" si="14"/>
        <v>12.552</v>
      </c>
      <c r="AK573" s="118">
        <f>IF(INVESTORS_LIST[[#This Row],[TOTAL CURRENT UNITS]]=0,0,INVESTORS_LIST[[#This Row],[TOTAL CURRENT UNITS]]*INVESTORS_LIST[[#This Row],[NAV]])</f>
        <v>0</v>
      </c>
      <c r="AL573" s="4">
        <f>IF(INVESTORS_LIST[[#This Row],[LS_TOTAL CURRENT UNITS]]=0,0,INVESTORS_LIST[[#This Row],[LS_TOTAL CURRENT UNITS]]*INVESTORS_LIST[[#This Row],[NAV]])</f>
        <v>0</v>
      </c>
      <c r="AM573" s="6">
        <f>IF(INVESTORS_LIST[[#This Row],[SIP_TOTAL CURRENT UNITS]]=0,0,INVESTORS_LIST[[#This Row],[SIP_TOTAL CURRENT UNITS]]*INVESTORS_LIST[[#This Row],[NAV]])</f>
        <v>0</v>
      </c>
      <c r="AO573" s="6">
        <f>IF(INVESTORS_LIST[[#This Row],[TOTAL SELLABLE UNITS]]=0,0,INVESTORS_LIST[[#This Row],[TOTAL SELLABLE UNITS]]*INVESTORS_LIST[[#This Row],[NAV]])</f>
        <v>0</v>
      </c>
      <c r="AP573" s="6">
        <f>INVESTORS_LIST[[#This Row],[LS_TOTAL REALIZED GAIN]]+INVESTORS_LIST[[#This Row],[SIP_TOTAL REALIZED GAIN]]</f>
        <v>0</v>
      </c>
      <c r="AQ573" s="6">
        <f>INVESTORS_LIST[[#This Row],[TOTAL MARKET VALUE]]-INVESTORS_LIST[[#This Row],[TOTAL COST VALUE OF CURRENT INVESTMENT]]</f>
        <v>0</v>
      </c>
      <c r="AR573" s="6">
        <f>SUMIFS(DivAndTax[Tax Amount],DivAndTax[Investor ID],INVESTORS_LIST[[#This Row],[INVESTOR CODE]])</f>
        <v>0</v>
      </c>
      <c r="AS573" s="6">
        <f>SUMIFS(DivAndTax[Gross Dividend],DivAndTax[Investor ID],INVESTORS_LIST[[#This Row],[INVESTOR CODE]])</f>
        <v>0</v>
      </c>
      <c r="AT573" s="5">
        <f>IFERROR(INVESTORS_LIST[[#This Row],[TOTAL CURRENT UNITS]]/SUM(INVESTORS_LIST[TOTAL CURRENT UNITS]),0)</f>
        <v>0</v>
      </c>
    </row>
    <row r="574" spans="1:46" hidden="1">
      <c r="A574" t="s">
        <v>1334</v>
      </c>
      <c r="B574" t="s">
        <v>1335</v>
      </c>
      <c r="C574" t="s">
        <v>539</v>
      </c>
      <c r="D574" s="8" t="s">
        <v>2</v>
      </c>
      <c r="E574" s="2">
        <f>SUMIFS(LS[Unit],LS[Investor ID],INVESTORS_LIST[[#This Row],[INVESTOR CODE]],LS[B/S],"B")</f>
        <v>0</v>
      </c>
      <c r="F574" s="2">
        <f>-SUMIFS(LS[Unit],LS[Investor ID],INVESTORS_LIST[[#This Row],[INVESTOR CODE]],LS[B/S],"S")</f>
        <v>0</v>
      </c>
      <c r="G574" s="2">
        <f>IF(INVESTORS_LIST[[#This Row],[LS_TOTAL UNITS BUY]]=0,0,INVESTORS_LIST[[#This Row],[LS_TOTAL UNITS BUY]]-INVESTORS_LIST[[#This Row],[LS_TOTAL UNITS SOLD]])</f>
        <v>0</v>
      </c>
      <c r="H574" s="4">
        <f>IF(INVESTORS_LIST[[#This Row],[LS_TOTAL UNITS BUY]]=0,0,SUMIFS(LS[Amount],LS[Investor ID],INVESTORS_LIST[[#This Row],[INVESTOR CODE]],LS[B/S],"B"))</f>
        <v>0</v>
      </c>
      <c r="I574" s="6">
        <f>IF(INVESTORS_LIST[[#This Row],[LS_TOTAL UNITS SOLD]]=0,0,SUMIFS(LS[Cost of Units Sold],LS[Investor ID],INVESTORS_LIST[[#This Row],[INVESTOR CODE]],LS[B/S],"S"))</f>
        <v>0</v>
      </c>
      <c r="J574" s="6">
        <f>IF(INVESTORS_LIST[[#This Row],[LS_TOTAL CURRENT UNITS]]=0,0,INVESTORS_LIST[[#This Row],[LS_TOTAL CURRENT UNITS]]*INVESTORS_LIST[[#This Row],[LS_AVERAGE COST]])</f>
        <v>0</v>
      </c>
      <c r="K574" s="4">
        <f>IF(INVESTORS_LIST[[#This Row],[LS_TOTAL UNITS SOLD]]=0,0,SUMIFS(LS[Realized Gain],LS[Investor ID],INVESTORS_LIST[[#This Row],[INVESTOR CODE]],LS[B/S],"S"))</f>
        <v>0</v>
      </c>
      <c r="L574" s="2">
        <f>SUMIFS(SIP[Unit],SIP[Investor ID],INVESTORS_LIST[[#This Row],[INVESTOR CODE]],SIP[B/S],"B")</f>
        <v>0</v>
      </c>
      <c r="M574" s="2">
        <f>-SUMIFS(SIP[Unit],SIP[Investor ID],INVESTORS_LIST[[#This Row],[INVESTOR CODE]],SIP[B/S],"S")</f>
        <v>0</v>
      </c>
      <c r="N574" s="33">
        <f>IF(INVESTORS_LIST[[#This Row],[SIP_TOTAL UNITS BUY]]=0,0,INVESTORS_LIST[[#This Row],[SIP_TOTAL UNITS BUY]]-INVESTORS_LIST[[#This Row],[SIP_TOTAL UNITS SOLD]])</f>
        <v>0</v>
      </c>
      <c r="O574" s="4">
        <f>IF(INVESTORS_LIST[[#This Row],[SIP_TOTAL UNITS BUY]]=0,0,SUMIFS(SIP[Amount],SIP[Investor ID],INVESTORS_LIST[[#This Row],[INVESTOR CODE]],SIP[B/S],"B"))</f>
        <v>0</v>
      </c>
      <c r="P574" s="4">
        <f>IF(INVESTORS_LIST[[#This Row],[SIP_TOTAL UNITS SOLD]]=0,0,SUMIFS(SIP[Cost of Units Sold],SIP[Investor ID],INVESTORS_LIST[[#This Row],[INVESTOR CODE]],SIP[B/S],"S"))</f>
        <v>0</v>
      </c>
      <c r="Q574" s="6">
        <f>IF(INVESTORS_LIST[[#This Row],[SIP_TOTAL CURRENT UNITS]]=0,0,INVESTORS_LIST[[#This Row],[SIP_TOTAL CURRENT UNITS]]*INVESTORS_LIST[[#This Row],[SIP_AVERAGE COST]])</f>
        <v>0</v>
      </c>
      <c r="R574" s="6">
        <f>IF(INVESTORS_LIST[[#This Row],[SIP_TOTAL UNITS SOLD]]=0,0,SUMIFS(SIP[Realized Gain],SIP[Investor ID],INVESTORS_LIST[[#This Row],[INVESTOR CODE]],SIP[B/S],"S"))</f>
        <v>0</v>
      </c>
      <c r="S574" s="33">
        <f>INVESTORS_LIST[[#This Row],[LS_TOTAL UNITS BUY]]+INVESTORS_LIST[[#This Row],[SIP_TOTAL UNITS BUY]]</f>
        <v>0</v>
      </c>
      <c r="T574" s="33">
        <f>INVESTORS_LIST[[#This Row],[LS_TOTAL UNITS SOLD]]+INVESTORS_LIST[[#This Row],[SIP_TOTAL UNITS SOLD]]</f>
        <v>0</v>
      </c>
      <c r="U574" s="33">
        <v>0</v>
      </c>
      <c r="V574" s="33">
        <f>SUMIFS(LS[BO UNIT TRANSFER],LS[Investor ID],INVESTORS_LIST[[#This Row],[INVESTOR CODE]],LS[B/S],"B")</f>
        <v>0</v>
      </c>
      <c r="W574" s="33">
        <f>SUMIFS(LS[BO UNIT TRANSFER],LS[Investor ID],INVESTORS_LIST[[#This Row],[INVESTOR CODE]],LS[B/S],"S")</f>
        <v>0</v>
      </c>
      <c r="X574" s="33">
        <f>SUMIFS(SIP[BO UNIT TRANSFER],SIP[Investor ID],INVESTORS_LIST[[#This Row],[INVESTOR CODE]],SIP[B/S],"S")</f>
        <v>0</v>
      </c>
      <c r="Y574" s="33">
        <f>SUMIFS(SIP[BO UNIT TRANSFER],SIP[Investor ID],INVESTORS_LIST[[#This Row],[INVESTOR CODE]],SIP[B/S],"B")</f>
        <v>0</v>
      </c>
      <c r="Z57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74" s="119">
        <f>INVESTORS_LIST[[#This Row],[TOTAL UNITS BUY]]-INVESTORS_LIST[[#This Row],[TOTAL UNITS SOLD]]</f>
        <v>0</v>
      </c>
      <c r="AB574" s="119">
        <f>INVESTORS_LIST[[#This Row],[TOTAL CURRENT UNITS]]-INVESTORS_LIST[[#This Row],[BO UNITS HOLD]]</f>
        <v>0</v>
      </c>
      <c r="AC574" s="119" t="e">
        <f>INDEX([4]!Table_1[BO ID],MATCH(INVESTORS_LIST[[#This Row],[INVESTOR CODE]],[4]!Table_1[INVESTOR CODE],0))</f>
        <v>#REF!</v>
      </c>
      <c r="AD574" s="33">
        <f>INVESTORS_LIST[[#This Row],[LS_TOTAL COST VALUE OF CURRENT UNITS]]+INVESTORS_LIST[[#This Row],[SIP_TOTAL COST VALUE OF CURRENT UNITS]]</f>
        <v>0</v>
      </c>
      <c r="AE574" s="44">
        <f>IF(INVESTORS_LIST[[#This Row],[TOTAL CURRENT UNITS]]=0,0,INVESTORS_LIST[[#This Row],[LS_TOTAL CURRENT UNITS]]/INVESTORS_LIST[[#This Row],[TOTAL CURRENT UNITS]])</f>
        <v>0</v>
      </c>
      <c r="AF574" s="44">
        <f>IF(INVESTORS_LIST[[#This Row],[TOTAL CURRENT UNITS]]=0,0,INVESTORS_LIST[[#This Row],[SIP_TOTAL CURRENT UNITS]]/INVESTORS_LIST[[#This Row],[TOTAL CURRENT UNITS]])</f>
        <v>0</v>
      </c>
      <c r="AG574" s="4" cm="1">
        <f t="array" ref="AG57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74" s="4" cm="1">
        <f t="array" ref="AH57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7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74" s="178">
        <f t="shared" ref="AJ574:AJ640" si="15">NAV_MKT</f>
        <v>12.552</v>
      </c>
      <c r="AK574" s="118">
        <f>IF(INVESTORS_LIST[[#This Row],[TOTAL CURRENT UNITS]]=0,0,INVESTORS_LIST[[#This Row],[TOTAL CURRENT UNITS]]*INVESTORS_LIST[[#This Row],[NAV]])</f>
        <v>0</v>
      </c>
      <c r="AL574" s="4">
        <f>IF(INVESTORS_LIST[[#This Row],[LS_TOTAL CURRENT UNITS]]=0,0,INVESTORS_LIST[[#This Row],[LS_TOTAL CURRENT UNITS]]*INVESTORS_LIST[[#This Row],[NAV]])</f>
        <v>0</v>
      </c>
      <c r="AM574" s="6">
        <f>IF(INVESTORS_LIST[[#This Row],[SIP_TOTAL CURRENT UNITS]]=0,0,INVESTORS_LIST[[#This Row],[SIP_TOTAL CURRENT UNITS]]*INVESTORS_LIST[[#This Row],[NAV]])</f>
        <v>0</v>
      </c>
      <c r="AO574" s="6">
        <f>IF(INVESTORS_LIST[[#This Row],[TOTAL SELLABLE UNITS]]=0,0,INVESTORS_LIST[[#This Row],[TOTAL SELLABLE UNITS]]*INVESTORS_LIST[[#This Row],[NAV]])</f>
        <v>0</v>
      </c>
      <c r="AP574" s="6">
        <f>INVESTORS_LIST[[#This Row],[LS_TOTAL REALIZED GAIN]]+INVESTORS_LIST[[#This Row],[SIP_TOTAL REALIZED GAIN]]</f>
        <v>0</v>
      </c>
      <c r="AQ574" s="6">
        <f>INVESTORS_LIST[[#This Row],[TOTAL MARKET VALUE]]-INVESTORS_LIST[[#This Row],[TOTAL COST VALUE OF CURRENT INVESTMENT]]</f>
        <v>0</v>
      </c>
      <c r="AR574" s="6">
        <f>SUMIFS(DivAndTax[Tax Amount],DivAndTax[Investor ID],INVESTORS_LIST[[#This Row],[INVESTOR CODE]])</f>
        <v>0</v>
      </c>
      <c r="AS574" s="6">
        <f>SUMIFS(DivAndTax[Gross Dividend],DivAndTax[Investor ID],INVESTORS_LIST[[#This Row],[INVESTOR CODE]])</f>
        <v>0</v>
      </c>
      <c r="AT574" s="5">
        <f>IFERROR(INVESTORS_LIST[[#This Row],[TOTAL CURRENT UNITS]]/SUM(INVESTORS_LIST[TOTAL CURRENT UNITS]),0)</f>
        <v>0</v>
      </c>
    </row>
    <row r="575" spans="1:46" hidden="1">
      <c r="A575" t="s">
        <v>1336</v>
      </c>
      <c r="B575" t="s">
        <v>1337</v>
      </c>
      <c r="C575" t="s">
        <v>539</v>
      </c>
      <c r="D575" s="8" t="s">
        <v>2</v>
      </c>
      <c r="E575" s="2">
        <f>SUMIFS(LS[Unit],LS[Investor ID],INVESTORS_LIST[[#This Row],[INVESTOR CODE]],LS[B/S],"B")</f>
        <v>0</v>
      </c>
      <c r="F575" s="2">
        <f>-SUMIFS(LS[Unit],LS[Investor ID],INVESTORS_LIST[[#This Row],[INVESTOR CODE]],LS[B/S],"S")</f>
        <v>0</v>
      </c>
      <c r="G575" s="2">
        <f>IF(INVESTORS_LIST[[#This Row],[LS_TOTAL UNITS BUY]]=0,0,INVESTORS_LIST[[#This Row],[LS_TOTAL UNITS BUY]]-INVESTORS_LIST[[#This Row],[LS_TOTAL UNITS SOLD]])</f>
        <v>0</v>
      </c>
      <c r="H575" s="4">
        <f>IF(INVESTORS_LIST[[#This Row],[LS_TOTAL UNITS BUY]]=0,0,SUMIFS(LS[Amount],LS[Investor ID],INVESTORS_LIST[[#This Row],[INVESTOR CODE]],LS[B/S],"B"))</f>
        <v>0</v>
      </c>
      <c r="I575" s="6">
        <f>IF(INVESTORS_LIST[[#This Row],[LS_TOTAL UNITS SOLD]]=0,0,SUMIFS(LS[Cost of Units Sold],LS[Investor ID],INVESTORS_LIST[[#This Row],[INVESTOR CODE]],LS[B/S],"S"))</f>
        <v>0</v>
      </c>
      <c r="J575" s="6">
        <f>IF(INVESTORS_LIST[[#This Row],[LS_TOTAL CURRENT UNITS]]=0,0,INVESTORS_LIST[[#This Row],[LS_TOTAL CURRENT UNITS]]*INVESTORS_LIST[[#This Row],[LS_AVERAGE COST]])</f>
        <v>0</v>
      </c>
      <c r="K575" s="4">
        <f>IF(INVESTORS_LIST[[#This Row],[LS_TOTAL UNITS SOLD]]=0,0,SUMIFS(LS[Realized Gain],LS[Investor ID],INVESTORS_LIST[[#This Row],[INVESTOR CODE]],LS[B/S],"S"))</f>
        <v>0</v>
      </c>
      <c r="L575" s="2">
        <f>SUMIFS(SIP[Unit],SIP[Investor ID],INVESTORS_LIST[[#This Row],[INVESTOR CODE]],SIP[B/S],"B")</f>
        <v>0</v>
      </c>
      <c r="M575" s="2">
        <f>-SUMIFS(SIP[Unit],SIP[Investor ID],INVESTORS_LIST[[#This Row],[INVESTOR CODE]],SIP[B/S],"S")</f>
        <v>0</v>
      </c>
      <c r="N575" s="33">
        <f>IF(INVESTORS_LIST[[#This Row],[SIP_TOTAL UNITS BUY]]=0,0,INVESTORS_LIST[[#This Row],[SIP_TOTAL UNITS BUY]]-INVESTORS_LIST[[#This Row],[SIP_TOTAL UNITS SOLD]])</f>
        <v>0</v>
      </c>
      <c r="O575" s="4">
        <f>IF(INVESTORS_LIST[[#This Row],[SIP_TOTAL UNITS BUY]]=0,0,SUMIFS(SIP[Amount],SIP[Investor ID],INVESTORS_LIST[[#This Row],[INVESTOR CODE]],SIP[B/S],"B"))</f>
        <v>0</v>
      </c>
      <c r="P575" s="4">
        <f>IF(INVESTORS_LIST[[#This Row],[SIP_TOTAL UNITS SOLD]]=0,0,SUMIFS(SIP[Cost of Units Sold],SIP[Investor ID],INVESTORS_LIST[[#This Row],[INVESTOR CODE]],SIP[B/S],"S"))</f>
        <v>0</v>
      </c>
      <c r="Q575" s="6">
        <f>IF(INVESTORS_LIST[[#This Row],[SIP_TOTAL CURRENT UNITS]]=0,0,INVESTORS_LIST[[#This Row],[SIP_TOTAL CURRENT UNITS]]*INVESTORS_LIST[[#This Row],[SIP_AVERAGE COST]])</f>
        <v>0</v>
      </c>
      <c r="R575" s="6">
        <f>IF(INVESTORS_LIST[[#This Row],[SIP_TOTAL UNITS SOLD]]=0,0,SUMIFS(SIP[Realized Gain],SIP[Investor ID],INVESTORS_LIST[[#This Row],[INVESTOR CODE]],SIP[B/S],"S"))</f>
        <v>0</v>
      </c>
      <c r="S575" s="33">
        <f>INVESTORS_LIST[[#This Row],[LS_TOTAL UNITS BUY]]+INVESTORS_LIST[[#This Row],[SIP_TOTAL UNITS BUY]]</f>
        <v>0</v>
      </c>
      <c r="T575" s="33">
        <f>INVESTORS_LIST[[#This Row],[LS_TOTAL UNITS SOLD]]+INVESTORS_LIST[[#This Row],[SIP_TOTAL UNITS SOLD]]</f>
        <v>0</v>
      </c>
      <c r="U575" s="33">
        <v>0</v>
      </c>
      <c r="V575" s="33">
        <f>SUMIFS(LS[BO UNIT TRANSFER],LS[Investor ID],INVESTORS_LIST[[#This Row],[INVESTOR CODE]],LS[B/S],"B")</f>
        <v>0</v>
      </c>
      <c r="W575" s="33">
        <f>SUMIFS(LS[BO UNIT TRANSFER],LS[Investor ID],INVESTORS_LIST[[#This Row],[INVESTOR CODE]],LS[B/S],"S")</f>
        <v>0</v>
      </c>
      <c r="X575" s="33">
        <f>SUMIFS(SIP[BO UNIT TRANSFER],SIP[Investor ID],INVESTORS_LIST[[#This Row],[INVESTOR CODE]],SIP[B/S],"S")</f>
        <v>0</v>
      </c>
      <c r="Y575" s="33">
        <f>SUMIFS(SIP[BO UNIT TRANSFER],SIP[Investor ID],INVESTORS_LIST[[#This Row],[INVESTOR CODE]],SIP[B/S],"B")</f>
        <v>0</v>
      </c>
      <c r="Z57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75" s="119">
        <f>INVESTORS_LIST[[#This Row],[TOTAL UNITS BUY]]-INVESTORS_LIST[[#This Row],[TOTAL UNITS SOLD]]</f>
        <v>0</v>
      </c>
      <c r="AB575" s="119">
        <f>INVESTORS_LIST[[#This Row],[TOTAL CURRENT UNITS]]-INVESTORS_LIST[[#This Row],[BO UNITS HOLD]]</f>
        <v>0</v>
      </c>
      <c r="AC575" s="119" t="e">
        <f>INDEX([4]!Table_1[BO ID],MATCH(INVESTORS_LIST[[#This Row],[INVESTOR CODE]],[4]!Table_1[INVESTOR CODE],0))</f>
        <v>#REF!</v>
      </c>
      <c r="AD575" s="33">
        <f>INVESTORS_LIST[[#This Row],[LS_TOTAL COST VALUE OF CURRENT UNITS]]+INVESTORS_LIST[[#This Row],[SIP_TOTAL COST VALUE OF CURRENT UNITS]]</f>
        <v>0</v>
      </c>
      <c r="AE575" s="44">
        <f>IF(INVESTORS_LIST[[#This Row],[TOTAL CURRENT UNITS]]=0,0,INVESTORS_LIST[[#This Row],[LS_TOTAL CURRENT UNITS]]/INVESTORS_LIST[[#This Row],[TOTAL CURRENT UNITS]])</f>
        <v>0</v>
      </c>
      <c r="AF575" s="44">
        <f>IF(INVESTORS_LIST[[#This Row],[TOTAL CURRENT UNITS]]=0,0,INVESTORS_LIST[[#This Row],[SIP_TOTAL CURRENT UNITS]]/INVESTORS_LIST[[#This Row],[TOTAL CURRENT UNITS]])</f>
        <v>0</v>
      </c>
      <c r="AG575" s="4" cm="1">
        <f t="array" ref="AG57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75" s="4" cm="1">
        <f t="array" ref="AH57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7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75" s="178">
        <f t="shared" si="15"/>
        <v>12.552</v>
      </c>
      <c r="AK575" s="118">
        <f>IF(INVESTORS_LIST[[#This Row],[TOTAL CURRENT UNITS]]=0,0,INVESTORS_LIST[[#This Row],[TOTAL CURRENT UNITS]]*INVESTORS_LIST[[#This Row],[NAV]])</f>
        <v>0</v>
      </c>
      <c r="AL575" s="4">
        <f>IF(INVESTORS_LIST[[#This Row],[LS_TOTAL CURRENT UNITS]]=0,0,INVESTORS_LIST[[#This Row],[LS_TOTAL CURRENT UNITS]]*INVESTORS_LIST[[#This Row],[NAV]])</f>
        <v>0</v>
      </c>
      <c r="AM575" s="6">
        <f>IF(INVESTORS_LIST[[#This Row],[SIP_TOTAL CURRENT UNITS]]=0,0,INVESTORS_LIST[[#This Row],[SIP_TOTAL CURRENT UNITS]]*INVESTORS_LIST[[#This Row],[NAV]])</f>
        <v>0</v>
      </c>
      <c r="AO575" s="6">
        <f>IF(INVESTORS_LIST[[#This Row],[TOTAL SELLABLE UNITS]]=0,0,INVESTORS_LIST[[#This Row],[TOTAL SELLABLE UNITS]]*INVESTORS_LIST[[#This Row],[NAV]])</f>
        <v>0</v>
      </c>
      <c r="AP575" s="6">
        <f>INVESTORS_LIST[[#This Row],[LS_TOTAL REALIZED GAIN]]+INVESTORS_LIST[[#This Row],[SIP_TOTAL REALIZED GAIN]]</f>
        <v>0</v>
      </c>
      <c r="AQ575" s="6">
        <f>INVESTORS_LIST[[#This Row],[TOTAL MARKET VALUE]]-INVESTORS_LIST[[#This Row],[TOTAL COST VALUE OF CURRENT INVESTMENT]]</f>
        <v>0</v>
      </c>
      <c r="AR575" s="6">
        <f>SUMIFS(DivAndTax[Tax Amount],DivAndTax[Investor ID],INVESTORS_LIST[[#This Row],[INVESTOR CODE]])</f>
        <v>0</v>
      </c>
      <c r="AS575" s="6">
        <f>SUMIFS(DivAndTax[Gross Dividend],DivAndTax[Investor ID],INVESTORS_LIST[[#This Row],[INVESTOR CODE]])</f>
        <v>0</v>
      </c>
      <c r="AT575" s="5">
        <f>IFERROR(INVESTORS_LIST[[#This Row],[TOTAL CURRENT UNITS]]/SUM(INVESTORS_LIST[TOTAL CURRENT UNITS]),0)</f>
        <v>0</v>
      </c>
    </row>
    <row r="576" spans="1:46" hidden="1">
      <c r="A576" t="s">
        <v>1338</v>
      </c>
      <c r="B576" t="s">
        <v>1339</v>
      </c>
      <c r="C576" t="s">
        <v>536</v>
      </c>
      <c r="D576" s="8" t="s">
        <v>2</v>
      </c>
      <c r="E576" s="2">
        <f>SUMIFS(LS[Unit],LS[Investor ID],INVESTORS_LIST[[#This Row],[INVESTOR CODE]],LS[B/S],"B")</f>
        <v>0</v>
      </c>
      <c r="F576" s="2">
        <f>-SUMIFS(LS[Unit],LS[Investor ID],INVESTORS_LIST[[#This Row],[INVESTOR CODE]],LS[B/S],"S")</f>
        <v>0</v>
      </c>
      <c r="G576" s="2">
        <f>IF(INVESTORS_LIST[[#This Row],[LS_TOTAL UNITS BUY]]=0,0,INVESTORS_LIST[[#This Row],[LS_TOTAL UNITS BUY]]-INVESTORS_LIST[[#This Row],[LS_TOTAL UNITS SOLD]])</f>
        <v>0</v>
      </c>
      <c r="H576" s="4">
        <f>IF(INVESTORS_LIST[[#This Row],[LS_TOTAL UNITS BUY]]=0,0,SUMIFS(LS[Amount],LS[Investor ID],INVESTORS_LIST[[#This Row],[INVESTOR CODE]],LS[B/S],"B"))</f>
        <v>0</v>
      </c>
      <c r="I576" s="6">
        <f>IF(INVESTORS_LIST[[#This Row],[LS_TOTAL UNITS SOLD]]=0,0,SUMIFS(LS[Cost of Units Sold],LS[Investor ID],INVESTORS_LIST[[#This Row],[INVESTOR CODE]],LS[B/S],"S"))</f>
        <v>0</v>
      </c>
      <c r="J576" s="6">
        <f>IF(INVESTORS_LIST[[#This Row],[LS_TOTAL CURRENT UNITS]]=0,0,INVESTORS_LIST[[#This Row],[LS_TOTAL CURRENT UNITS]]*INVESTORS_LIST[[#This Row],[LS_AVERAGE COST]])</f>
        <v>0</v>
      </c>
      <c r="K576" s="4">
        <f>IF(INVESTORS_LIST[[#This Row],[LS_TOTAL UNITS SOLD]]=0,0,SUMIFS(LS[Realized Gain],LS[Investor ID],INVESTORS_LIST[[#This Row],[INVESTOR CODE]],LS[B/S],"S"))</f>
        <v>0</v>
      </c>
      <c r="L576" s="2">
        <f>SUMIFS(SIP[Unit],SIP[Investor ID],INVESTORS_LIST[[#This Row],[INVESTOR CODE]],SIP[B/S],"B")</f>
        <v>0</v>
      </c>
      <c r="M576" s="2">
        <f>-SUMIFS(SIP[Unit],SIP[Investor ID],INVESTORS_LIST[[#This Row],[INVESTOR CODE]],SIP[B/S],"S")</f>
        <v>0</v>
      </c>
      <c r="N576" s="33">
        <f>IF(INVESTORS_LIST[[#This Row],[SIP_TOTAL UNITS BUY]]=0,0,INVESTORS_LIST[[#This Row],[SIP_TOTAL UNITS BUY]]-INVESTORS_LIST[[#This Row],[SIP_TOTAL UNITS SOLD]])</f>
        <v>0</v>
      </c>
      <c r="O576" s="4">
        <f>IF(INVESTORS_LIST[[#This Row],[SIP_TOTAL UNITS BUY]]=0,0,SUMIFS(SIP[Amount],SIP[Investor ID],INVESTORS_LIST[[#This Row],[INVESTOR CODE]],SIP[B/S],"B"))</f>
        <v>0</v>
      </c>
      <c r="P576" s="4">
        <f>IF(INVESTORS_LIST[[#This Row],[SIP_TOTAL UNITS SOLD]]=0,0,SUMIFS(SIP[Cost of Units Sold],SIP[Investor ID],INVESTORS_LIST[[#This Row],[INVESTOR CODE]],SIP[B/S],"S"))</f>
        <v>0</v>
      </c>
      <c r="Q576" s="6">
        <f>IF(INVESTORS_LIST[[#This Row],[SIP_TOTAL CURRENT UNITS]]=0,0,INVESTORS_LIST[[#This Row],[SIP_TOTAL CURRENT UNITS]]*INVESTORS_LIST[[#This Row],[SIP_AVERAGE COST]])</f>
        <v>0</v>
      </c>
      <c r="R576" s="6">
        <f>IF(INVESTORS_LIST[[#This Row],[SIP_TOTAL UNITS SOLD]]=0,0,SUMIFS(SIP[Realized Gain],SIP[Investor ID],INVESTORS_LIST[[#This Row],[INVESTOR CODE]],SIP[B/S],"S"))</f>
        <v>0</v>
      </c>
      <c r="S576" s="33">
        <f>INVESTORS_LIST[[#This Row],[LS_TOTAL UNITS BUY]]+INVESTORS_LIST[[#This Row],[SIP_TOTAL UNITS BUY]]</f>
        <v>0</v>
      </c>
      <c r="T576" s="33">
        <f>INVESTORS_LIST[[#This Row],[LS_TOTAL UNITS SOLD]]+INVESTORS_LIST[[#This Row],[SIP_TOTAL UNITS SOLD]]</f>
        <v>0</v>
      </c>
      <c r="U576" s="33">
        <v>0</v>
      </c>
      <c r="V576" s="33">
        <f>SUMIFS(LS[BO UNIT TRANSFER],LS[Investor ID],INVESTORS_LIST[[#This Row],[INVESTOR CODE]],LS[B/S],"B")</f>
        <v>0</v>
      </c>
      <c r="W576" s="33">
        <f>SUMIFS(LS[BO UNIT TRANSFER],LS[Investor ID],INVESTORS_LIST[[#This Row],[INVESTOR CODE]],LS[B/S],"S")</f>
        <v>0</v>
      </c>
      <c r="X576" s="33">
        <f>SUMIFS(SIP[BO UNIT TRANSFER],SIP[Investor ID],INVESTORS_LIST[[#This Row],[INVESTOR CODE]],SIP[B/S],"S")</f>
        <v>0</v>
      </c>
      <c r="Y576" s="33">
        <f>SUMIFS(SIP[BO UNIT TRANSFER],SIP[Investor ID],INVESTORS_LIST[[#This Row],[INVESTOR CODE]],SIP[B/S],"B")</f>
        <v>0</v>
      </c>
      <c r="Z57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76" s="119">
        <f>INVESTORS_LIST[[#This Row],[TOTAL UNITS BUY]]-INVESTORS_LIST[[#This Row],[TOTAL UNITS SOLD]]</f>
        <v>0</v>
      </c>
      <c r="AB576" s="119">
        <f>INVESTORS_LIST[[#This Row],[TOTAL CURRENT UNITS]]-INVESTORS_LIST[[#This Row],[BO UNITS HOLD]]</f>
        <v>0</v>
      </c>
      <c r="AC576" s="119" t="e">
        <f>INDEX([4]!Table_1[BO ID],MATCH(INVESTORS_LIST[[#This Row],[INVESTOR CODE]],[4]!Table_1[INVESTOR CODE],0))</f>
        <v>#REF!</v>
      </c>
      <c r="AD576" s="33">
        <f>INVESTORS_LIST[[#This Row],[LS_TOTAL COST VALUE OF CURRENT UNITS]]+INVESTORS_LIST[[#This Row],[SIP_TOTAL COST VALUE OF CURRENT UNITS]]</f>
        <v>0</v>
      </c>
      <c r="AE576" s="44">
        <f>IF(INVESTORS_LIST[[#This Row],[TOTAL CURRENT UNITS]]=0,0,INVESTORS_LIST[[#This Row],[LS_TOTAL CURRENT UNITS]]/INVESTORS_LIST[[#This Row],[TOTAL CURRENT UNITS]])</f>
        <v>0</v>
      </c>
      <c r="AF576" s="44">
        <f>IF(INVESTORS_LIST[[#This Row],[TOTAL CURRENT UNITS]]=0,0,INVESTORS_LIST[[#This Row],[SIP_TOTAL CURRENT UNITS]]/INVESTORS_LIST[[#This Row],[TOTAL CURRENT UNITS]])</f>
        <v>0</v>
      </c>
      <c r="AG576" s="4" cm="1">
        <f t="array" ref="AG57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76" s="4" cm="1">
        <f t="array" ref="AH5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7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76" s="178">
        <f t="shared" si="15"/>
        <v>12.552</v>
      </c>
      <c r="AK576" s="118">
        <f>IF(INVESTORS_LIST[[#This Row],[TOTAL CURRENT UNITS]]=0,0,INVESTORS_LIST[[#This Row],[TOTAL CURRENT UNITS]]*INVESTORS_LIST[[#This Row],[NAV]])</f>
        <v>0</v>
      </c>
      <c r="AL576" s="4">
        <f>IF(INVESTORS_LIST[[#This Row],[LS_TOTAL CURRENT UNITS]]=0,0,INVESTORS_LIST[[#This Row],[LS_TOTAL CURRENT UNITS]]*INVESTORS_LIST[[#This Row],[NAV]])</f>
        <v>0</v>
      </c>
      <c r="AM576" s="6">
        <f>IF(INVESTORS_LIST[[#This Row],[SIP_TOTAL CURRENT UNITS]]=0,0,INVESTORS_LIST[[#This Row],[SIP_TOTAL CURRENT UNITS]]*INVESTORS_LIST[[#This Row],[NAV]])</f>
        <v>0</v>
      </c>
      <c r="AO576" s="6">
        <f>IF(INVESTORS_LIST[[#This Row],[TOTAL SELLABLE UNITS]]=0,0,INVESTORS_LIST[[#This Row],[TOTAL SELLABLE UNITS]]*INVESTORS_LIST[[#This Row],[NAV]])</f>
        <v>0</v>
      </c>
      <c r="AP576" s="6">
        <f>INVESTORS_LIST[[#This Row],[LS_TOTAL REALIZED GAIN]]+INVESTORS_LIST[[#This Row],[SIP_TOTAL REALIZED GAIN]]</f>
        <v>0</v>
      </c>
      <c r="AQ576" s="6">
        <f>INVESTORS_LIST[[#This Row],[TOTAL MARKET VALUE]]-INVESTORS_LIST[[#This Row],[TOTAL COST VALUE OF CURRENT INVESTMENT]]</f>
        <v>0</v>
      </c>
      <c r="AR576" s="6">
        <f>SUMIFS(DivAndTax[Tax Amount],DivAndTax[Investor ID],INVESTORS_LIST[[#This Row],[INVESTOR CODE]])</f>
        <v>0</v>
      </c>
      <c r="AS576" s="6">
        <f>SUMIFS(DivAndTax[Gross Dividend],DivAndTax[Investor ID],INVESTORS_LIST[[#This Row],[INVESTOR CODE]])</f>
        <v>0</v>
      </c>
      <c r="AT576" s="5">
        <f>IFERROR(INVESTORS_LIST[[#This Row],[TOTAL CURRENT UNITS]]/SUM(INVESTORS_LIST[TOTAL CURRENT UNITS]),0)</f>
        <v>0</v>
      </c>
    </row>
    <row r="577" spans="1:46" hidden="1">
      <c r="A577" t="s">
        <v>1340</v>
      </c>
      <c r="B577" t="s">
        <v>1341</v>
      </c>
      <c r="C577" t="s">
        <v>536</v>
      </c>
      <c r="D577" s="8" t="s">
        <v>2</v>
      </c>
      <c r="E577" s="2">
        <f>SUMIFS(LS[Unit],LS[Investor ID],INVESTORS_LIST[[#This Row],[INVESTOR CODE]],LS[B/S],"B")</f>
        <v>0</v>
      </c>
      <c r="F577" s="2">
        <f>-SUMIFS(LS[Unit],LS[Investor ID],INVESTORS_LIST[[#This Row],[INVESTOR CODE]],LS[B/S],"S")</f>
        <v>0</v>
      </c>
      <c r="G577" s="2">
        <f>IF(INVESTORS_LIST[[#This Row],[LS_TOTAL UNITS BUY]]=0,0,INVESTORS_LIST[[#This Row],[LS_TOTAL UNITS BUY]]-INVESTORS_LIST[[#This Row],[LS_TOTAL UNITS SOLD]])</f>
        <v>0</v>
      </c>
      <c r="H577" s="4">
        <f>IF(INVESTORS_LIST[[#This Row],[LS_TOTAL UNITS BUY]]=0,0,SUMIFS(LS[Amount],LS[Investor ID],INVESTORS_LIST[[#This Row],[INVESTOR CODE]],LS[B/S],"B"))</f>
        <v>0</v>
      </c>
      <c r="I577" s="6">
        <f>IF(INVESTORS_LIST[[#This Row],[LS_TOTAL UNITS SOLD]]=0,0,SUMIFS(LS[Cost of Units Sold],LS[Investor ID],INVESTORS_LIST[[#This Row],[INVESTOR CODE]],LS[B/S],"S"))</f>
        <v>0</v>
      </c>
      <c r="J577" s="6">
        <f>IF(INVESTORS_LIST[[#This Row],[LS_TOTAL CURRENT UNITS]]=0,0,INVESTORS_LIST[[#This Row],[LS_TOTAL CURRENT UNITS]]*INVESTORS_LIST[[#This Row],[LS_AVERAGE COST]])</f>
        <v>0</v>
      </c>
      <c r="K577" s="4">
        <f>IF(INVESTORS_LIST[[#This Row],[LS_TOTAL UNITS SOLD]]=0,0,SUMIFS(LS[Realized Gain],LS[Investor ID],INVESTORS_LIST[[#This Row],[INVESTOR CODE]],LS[B/S],"S"))</f>
        <v>0</v>
      </c>
      <c r="L577" s="2">
        <f>SUMIFS(SIP[Unit],SIP[Investor ID],INVESTORS_LIST[[#This Row],[INVESTOR CODE]],SIP[B/S],"B")</f>
        <v>0</v>
      </c>
      <c r="M577" s="2">
        <f>-SUMIFS(SIP[Unit],SIP[Investor ID],INVESTORS_LIST[[#This Row],[INVESTOR CODE]],SIP[B/S],"S")</f>
        <v>0</v>
      </c>
      <c r="N577" s="33">
        <f>IF(INVESTORS_LIST[[#This Row],[SIP_TOTAL UNITS BUY]]=0,0,INVESTORS_LIST[[#This Row],[SIP_TOTAL UNITS BUY]]-INVESTORS_LIST[[#This Row],[SIP_TOTAL UNITS SOLD]])</f>
        <v>0</v>
      </c>
      <c r="O577" s="4">
        <f>IF(INVESTORS_LIST[[#This Row],[SIP_TOTAL UNITS BUY]]=0,0,SUMIFS(SIP[Amount],SIP[Investor ID],INVESTORS_LIST[[#This Row],[INVESTOR CODE]],SIP[B/S],"B"))</f>
        <v>0</v>
      </c>
      <c r="P577" s="4">
        <f>IF(INVESTORS_LIST[[#This Row],[SIP_TOTAL UNITS SOLD]]=0,0,SUMIFS(SIP[Cost of Units Sold],SIP[Investor ID],INVESTORS_LIST[[#This Row],[INVESTOR CODE]],SIP[B/S],"S"))</f>
        <v>0</v>
      </c>
      <c r="Q577" s="6">
        <f>IF(INVESTORS_LIST[[#This Row],[SIP_TOTAL CURRENT UNITS]]=0,0,INVESTORS_LIST[[#This Row],[SIP_TOTAL CURRENT UNITS]]*INVESTORS_LIST[[#This Row],[SIP_AVERAGE COST]])</f>
        <v>0</v>
      </c>
      <c r="R577" s="6">
        <f>IF(INVESTORS_LIST[[#This Row],[SIP_TOTAL UNITS SOLD]]=0,0,SUMIFS(SIP[Realized Gain],SIP[Investor ID],INVESTORS_LIST[[#This Row],[INVESTOR CODE]],SIP[B/S],"S"))</f>
        <v>0</v>
      </c>
      <c r="S577" s="33">
        <f>INVESTORS_LIST[[#This Row],[LS_TOTAL UNITS BUY]]+INVESTORS_LIST[[#This Row],[SIP_TOTAL UNITS BUY]]</f>
        <v>0</v>
      </c>
      <c r="T577" s="33">
        <f>INVESTORS_LIST[[#This Row],[LS_TOTAL UNITS SOLD]]+INVESTORS_LIST[[#This Row],[SIP_TOTAL UNITS SOLD]]</f>
        <v>0</v>
      </c>
      <c r="U577" s="33">
        <v>0</v>
      </c>
      <c r="V577" s="33">
        <f>SUMIFS(LS[BO UNIT TRANSFER],LS[Investor ID],INVESTORS_LIST[[#This Row],[INVESTOR CODE]],LS[B/S],"B")</f>
        <v>0</v>
      </c>
      <c r="W577" s="33">
        <f>SUMIFS(LS[BO UNIT TRANSFER],LS[Investor ID],INVESTORS_LIST[[#This Row],[INVESTOR CODE]],LS[B/S],"S")</f>
        <v>0</v>
      </c>
      <c r="X577" s="33">
        <f>SUMIFS(SIP[BO UNIT TRANSFER],SIP[Investor ID],INVESTORS_LIST[[#This Row],[INVESTOR CODE]],SIP[B/S],"S")</f>
        <v>0</v>
      </c>
      <c r="Y577" s="33">
        <f>SUMIFS(SIP[BO UNIT TRANSFER],SIP[Investor ID],INVESTORS_LIST[[#This Row],[INVESTOR CODE]],SIP[B/S],"B")</f>
        <v>0</v>
      </c>
      <c r="Z57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77" s="119">
        <f>INVESTORS_LIST[[#This Row],[TOTAL UNITS BUY]]-INVESTORS_LIST[[#This Row],[TOTAL UNITS SOLD]]</f>
        <v>0</v>
      </c>
      <c r="AB577" s="119">
        <f>INVESTORS_LIST[[#This Row],[TOTAL CURRENT UNITS]]-INVESTORS_LIST[[#This Row],[BO UNITS HOLD]]</f>
        <v>0</v>
      </c>
      <c r="AC577" s="119" t="e">
        <f>INDEX([4]!Table_1[BO ID],MATCH(INVESTORS_LIST[[#This Row],[INVESTOR CODE]],[4]!Table_1[INVESTOR CODE],0))</f>
        <v>#REF!</v>
      </c>
      <c r="AD577" s="33">
        <f>INVESTORS_LIST[[#This Row],[LS_TOTAL COST VALUE OF CURRENT UNITS]]+INVESTORS_LIST[[#This Row],[SIP_TOTAL COST VALUE OF CURRENT UNITS]]</f>
        <v>0</v>
      </c>
      <c r="AE577" s="44">
        <f>IF(INVESTORS_LIST[[#This Row],[TOTAL CURRENT UNITS]]=0,0,INVESTORS_LIST[[#This Row],[LS_TOTAL CURRENT UNITS]]/INVESTORS_LIST[[#This Row],[TOTAL CURRENT UNITS]])</f>
        <v>0</v>
      </c>
      <c r="AF577" s="44">
        <f>IF(INVESTORS_LIST[[#This Row],[TOTAL CURRENT UNITS]]=0,0,INVESTORS_LIST[[#This Row],[SIP_TOTAL CURRENT UNITS]]/INVESTORS_LIST[[#This Row],[TOTAL CURRENT UNITS]])</f>
        <v>0</v>
      </c>
      <c r="AG577" s="4" cm="1">
        <f t="array" ref="AG57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77" s="4" cm="1">
        <f t="array" ref="AH5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7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77" s="178">
        <f t="shared" si="15"/>
        <v>12.552</v>
      </c>
      <c r="AK577" s="118">
        <f>IF(INVESTORS_LIST[[#This Row],[TOTAL CURRENT UNITS]]=0,0,INVESTORS_LIST[[#This Row],[TOTAL CURRENT UNITS]]*INVESTORS_LIST[[#This Row],[NAV]])</f>
        <v>0</v>
      </c>
      <c r="AL577" s="4">
        <f>IF(INVESTORS_LIST[[#This Row],[LS_TOTAL CURRENT UNITS]]=0,0,INVESTORS_LIST[[#This Row],[LS_TOTAL CURRENT UNITS]]*INVESTORS_LIST[[#This Row],[NAV]])</f>
        <v>0</v>
      </c>
      <c r="AM577" s="6">
        <f>IF(INVESTORS_LIST[[#This Row],[SIP_TOTAL CURRENT UNITS]]=0,0,INVESTORS_LIST[[#This Row],[SIP_TOTAL CURRENT UNITS]]*INVESTORS_LIST[[#This Row],[NAV]])</f>
        <v>0</v>
      </c>
      <c r="AO577" s="6">
        <f>IF(INVESTORS_LIST[[#This Row],[TOTAL SELLABLE UNITS]]=0,0,INVESTORS_LIST[[#This Row],[TOTAL SELLABLE UNITS]]*INVESTORS_LIST[[#This Row],[NAV]])</f>
        <v>0</v>
      </c>
      <c r="AP577" s="6">
        <f>INVESTORS_LIST[[#This Row],[LS_TOTAL REALIZED GAIN]]+INVESTORS_LIST[[#This Row],[SIP_TOTAL REALIZED GAIN]]</f>
        <v>0</v>
      </c>
      <c r="AQ577" s="6">
        <f>INVESTORS_LIST[[#This Row],[TOTAL MARKET VALUE]]-INVESTORS_LIST[[#This Row],[TOTAL COST VALUE OF CURRENT INVESTMENT]]</f>
        <v>0</v>
      </c>
      <c r="AR577" s="6">
        <f>SUMIFS(DivAndTax[Tax Amount],DivAndTax[Investor ID],INVESTORS_LIST[[#This Row],[INVESTOR CODE]])</f>
        <v>0</v>
      </c>
      <c r="AS577" s="6">
        <f>SUMIFS(DivAndTax[Gross Dividend],DivAndTax[Investor ID],INVESTORS_LIST[[#This Row],[INVESTOR CODE]])</f>
        <v>0</v>
      </c>
      <c r="AT577" s="5">
        <f>IFERROR(INVESTORS_LIST[[#This Row],[TOTAL CURRENT UNITS]]/SUM(INVESTORS_LIST[TOTAL CURRENT UNITS]),0)</f>
        <v>0</v>
      </c>
    </row>
    <row r="578" spans="1:46" hidden="1">
      <c r="A578" t="s">
        <v>1342</v>
      </c>
      <c r="B578" t="s">
        <v>1343</v>
      </c>
      <c r="C578" t="s">
        <v>536</v>
      </c>
      <c r="D578" s="8" t="s">
        <v>2</v>
      </c>
      <c r="E578" s="2">
        <f>SUMIFS(LS[Unit],LS[Investor ID],INVESTORS_LIST[[#This Row],[INVESTOR CODE]],LS[B/S],"B")</f>
        <v>0</v>
      </c>
      <c r="F578" s="2">
        <f>-SUMIFS(LS[Unit],LS[Investor ID],INVESTORS_LIST[[#This Row],[INVESTOR CODE]],LS[B/S],"S")</f>
        <v>0</v>
      </c>
      <c r="G578" s="2">
        <f>IF(INVESTORS_LIST[[#This Row],[LS_TOTAL UNITS BUY]]=0,0,INVESTORS_LIST[[#This Row],[LS_TOTAL UNITS BUY]]-INVESTORS_LIST[[#This Row],[LS_TOTAL UNITS SOLD]])</f>
        <v>0</v>
      </c>
      <c r="H578" s="4">
        <f>IF(INVESTORS_LIST[[#This Row],[LS_TOTAL UNITS BUY]]=0,0,SUMIFS(LS[Amount],LS[Investor ID],INVESTORS_LIST[[#This Row],[INVESTOR CODE]],LS[B/S],"B"))</f>
        <v>0</v>
      </c>
      <c r="I578" s="6">
        <f>IF(INVESTORS_LIST[[#This Row],[LS_TOTAL UNITS SOLD]]=0,0,SUMIFS(LS[Cost of Units Sold],LS[Investor ID],INVESTORS_LIST[[#This Row],[INVESTOR CODE]],LS[B/S],"S"))</f>
        <v>0</v>
      </c>
      <c r="J578" s="6">
        <f>IF(INVESTORS_LIST[[#This Row],[LS_TOTAL CURRENT UNITS]]=0,0,INVESTORS_LIST[[#This Row],[LS_TOTAL CURRENT UNITS]]*INVESTORS_LIST[[#This Row],[LS_AVERAGE COST]])</f>
        <v>0</v>
      </c>
      <c r="K578" s="4">
        <f>IF(INVESTORS_LIST[[#This Row],[LS_TOTAL UNITS SOLD]]=0,0,SUMIFS(LS[Realized Gain],LS[Investor ID],INVESTORS_LIST[[#This Row],[INVESTOR CODE]],LS[B/S],"S"))</f>
        <v>0</v>
      </c>
      <c r="L578" s="2">
        <f>SUMIFS(SIP[Unit],SIP[Investor ID],INVESTORS_LIST[[#This Row],[INVESTOR CODE]],SIP[B/S],"B")</f>
        <v>0</v>
      </c>
      <c r="M578" s="2">
        <f>-SUMIFS(SIP[Unit],SIP[Investor ID],INVESTORS_LIST[[#This Row],[INVESTOR CODE]],SIP[B/S],"S")</f>
        <v>0</v>
      </c>
      <c r="N578" s="33">
        <f>IF(INVESTORS_LIST[[#This Row],[SIP_TOTAL UNITS BUY]]=0,0,INVESTORS_LIST[[#This Row],[SIP_TOTAL UNITS BUY]]-INVESTORS_LIST[[#This Row],[SIP_TOTAL UNITS SOLD]])</f>
        <v>0</v>
      </c>
      <c r="O578" s="4">
        <f>IF(INVESTORS_LIST[[#This Row],[SIP_TOTAL UNITS BUY]]=0,0,SUMIFS(SIP[Amount],SIP[Investor ID],INVESTORS_LIST[[#This Row],[INVESTOR CODE]],SIP[B/S],"B"))</f>
        <v>0</v>
      </c>
      <c r="P578" s="4">
        <f>IF(INVESTORS_LIST[[#This Row],[SIP_TOTAL UNITS SOLD]]=0,0,SUMIFS(SIP[Cost of Units Sold],SIP[Investor ID],INVESTORS_LIST[[#This Row],[INVESTOR CODE]],SIP[B/S],"S"))</f>
        <v>0</v>
      </c>
      <c r="Q578" s="6">
        <f>IF(INVESTORS_LIST[[#This Row],[SIP_TOTAL CURRENT UNITS]]=0,0,INVESTORS_LIST[[#This Row],[SIP_TOTAL CURRENT UNITS]]*INVESTORS_LIST[[#This Row],[SIP_AVERAGE COST]])</f>
        <v>0</v>
      </c>
      <c r="R578" s="6">
        <f>IF(INVESTORS_LIST[[#This Row],[SIP_TOTAL UNITS SOLD]]=0,0,SUMIFS(SIP[Realized Gain],SIP[Investor ID],INVESTORS_LIST[[#This Row],[INVESTOR CODE]],SIP[B/S],"S"))</f>
        <v>0</v>
      </c>
      <c r="S578" s="33">
        <f>INVESTORS_LIST[[#This Row],[LS_TOTAL UNITS BUY]]+INVESTORS_LIST[[#This Row],[SIP_TOTAL UNITS BUY]]</f>
        <v>0</v>
      </c>
      <c r="T578" s="33">
        <f>INVESTORS_LIST[[#This Row],[LS_TOTAL UNITS SOLD]]+INVESTORS_LIST[[#This Row],[SIP_TOTAL UNITS SOLD]]</f>
        <v>0</v>
      </c>
      <c r="U578" s="33">
        <v>0</v>
      </c>
      <c r="V578" s="33">
        <f>SUMIFS(LS[BO UNIT TRANSFER],LS[Investor ID],INVESTORS_LIST[[#This Row],[INVESTOR CODE]],LS[B/S],"B")</f>
        <v>0</v>
      </c>
      <c r="W578" s="33">
        <f>SUMIFS(LS[BO UNIT TRANSFER],LS[Investor ID],INVESTORS_LIST[[#This Row],[INVESTOR CODE]],LS[B/S],"S")</f>
        <v>0</v>
      </c>
      <c r="X578" s="33">
        <f>SUMIFS(SIP[BO UNIT TRANSFER],SIP[Investor ID],INVESTORS_LIST[[#This Row],[INVESTOR CODE]],SIP[B/S],"S")</f>
        <v>0</v>
      </c>
      <c r="Y578" s="33">
        <f>SUMIFS(SIP[BO UNIT TRANSFER],SIP[Investor ID],INVESTORS_LIST[[#This Row],[INVESTOR CODE]],SIP[B/S],"B")</f>
        <v>0</v>
      </c>
      <c r="Z57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78" s="119">
        <f>INVESTORS_LIST[[#This Row],[TOTAL UNITS BUY]]-INVESTORS_LIST[[#This Row],[TOTAL UNITS SOLD]]</f>
        <v>0</v>
      </c>
      <c r="AB578" s="119">
        <f>INVESTORS_LIST[[#This Row],[TOTAL CURRENT UNITS]]-INVESTORS_LIST[[#This Row],[BO UNITS HOLD]]</f>
        <v>0</v>
      </c>
      <c r="AC578" s="119" t="e">
        <f>INDEX([4]!Table_1[BO ID],MATCH(INVESTORS_LIST[[#This Row],[INVESTOR CODE]],[4]!Table_1[INVESTOR CODE],0))</f>
        <v>#REF!</v>
      </c>
      <c r="AD578" s="33">
        <f>INVESTORS_LIST[[#This Row],[LS_TOTAL COST VALUE OF CURRENT UNITS]]+INVESTORS_LIST[[#This Row],[SIP_TOTAL COST VALUE OF CURRENT UNITS]]</f>
        <v>0</v>
      </c>
      <c r="AE578" s="44">
        <f>IF(INVESTORS_LIST[[#This Row],[TOTAL CURRENT UNITS]]=0,0,INVESTORS_LIST[[#This Row],[LS_TOTAL CURRENT UNITS]]/INVESTORS_LIST[[#This Row],[TOTAL CURRENT UNITS]])</f>
        <v>0</v>
      </c>
      <c r="AF578" s="44">
        <f>IF(INVESTORS_LIST[[#This Row],[TOTAL CURRENT UNITS]]=0,0,INVESTORS_LIST[[#This Row],[SIP_TOTAL CURRENT UNITS]]/INVESTORS_LIST[[#This Row],[TOTAL CURRENT UNITS]])</f>
        <v>0</v>
      </c>
      <c r="AG578" s="4" cm="1">
        <f t="array" ref="AG57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78" s="4" cm="1">
        <f t="array" ref="AH5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7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78" s="178">
        <f t="shared" si="15"/>
        <v>12.552</v>
      </c>
      <c r="AK578" s="118">
        <f>IF(INVESTORS_LIST[[#This Row],[TOTAL CURRENT UNITS]]=0,0,INVESTORS_LIST[[#This Row],[TOTAL CURRENT UNITS]]*INVESTORS_LIST[[#This Row],[NAV]])</f>
        <v>0</v>
      </c>
      <c r="AL578" s="4">
        <f>IF(INVESTORS_LIST[[#This Row],[LS_TOTAL CURRENT UNITS]]=0,0,INVESTORS_LIST[[#This Row],[LS_TOTAL CURRENT UNITS]]*INVESTORS_LIST[[#This Row],[NAV]])</f>
        <v>0</v>
      </c>
      <c r="AM578" s="6">
        <f>IF(INVESTORS_LIST[[#This Row],[SIP_TOTAL CURRENT UNITS]]=0,0,INVESTORS_LIST[[#This Row],[SIP_TOTAL CURRENT UNITS]]*INVESTORS_LIST[[#This Row],[NAV]])</f>
        <v>0</v>
      </c>
      <c r="AO578" s="6">
        <f>IF(INVESTORS_LIST[[#This Row],[TOTAL SELLABLE UNITS]]=0,0,INVESTORS_LIST[[#This Row],[TOTAL SELLABLE UNITS]]*INVESTORS_LIST[[#This Row],[NAV]])</f>
        <v>0</v>
      </c>
      <c r="AP578" s="6">
        <f>INVESTORS_LIST[[#This Row],[LS_TOTAL REALIZED GAIN]]+INVESTORS_LIST[[#This Row],[SIP_TOTAL REALIZED GAIN]]</f>
        <v>0</v>
      </c>
      <c r="AQ578" s="6">
        <f>INVESTORS_LIST[[#This Row],[TOTAL MARKET VALUE]]-INVESTORS_LIST[[#This Row],[TOTAL COST VALUE OF CURRENT INVESTMENT]]</f>
        <v>0</v>
      </c>
      <c r="AR578" s="6">
        <f>SUMIFS(DivAndTax[Tax Amount],DivAndTax[Investor ID],INVESTORS_LIST[[#This Row],[INVESTOR CODE]])</f>
        <v>0</v>
      </c>
      <c r="AS578" s="6">
        <f>SUMIFS(DivAndTax[Gross Dividend],DivAndTax[Investor ID],INVESTORS_LIST[[#This Row],[INVESTOR CODE]])</f>
        <v>0</v>
      </c>
      <c r="AT578" s="5">
        <f>IFERROR(INVESTORS_LIST[[#This Row],[TOTAL CURRENT UNITS]]/SUM(INVESTORS_LIST[TOTAL CURRENT UNITS]),0)</f>
        <v>0</v>
      </c>
    </row>
    <row r="579" spans="1:46" hidden="1">
      <c r="A579" t="s">
        <v>1344</v>
      </c>
      <c r="B579" t="s">
        <v>1345</v>
      </c>
      <c r="C579" t="s">
        <v>539</v>
      </c>
      <c r="D579" s="8" t="s">
        <v>2</v>
      </c>
      <c r="E579" s="2">
        <f>SUMIFS(LS[Unit],LS[Investor ID],INVESTORS_LIST[[#This Row],[INVESTOR CODE]],LS[B/S],"B")</f>
        <v>0</v>
      </c>
      <c r="F579" s="2">
        <f>-SUMIFS(LS[Unit],LS[Investor ID],INVESTORS_LIST[[#This Row],[INVESTOR CODE]],LS[B/S],"S")</f>
        <v>0</v>
      </c>
      <c r="G579" s="2">
        <f>IF(INVESTORS_LIST[[#This Row],[LS_TOTAL UNITS BUY]]=0,0,INVESTORS_LIST[[#This Row],[LS_TOTAL UNITS BUY]]-INVESTORS_LIST[[#This Row],[LS_TOTAL UNITS SOLD]])</f>
        <v>0</v>
      </c>
      <c r="H579" s="4">
        <f>IF(INVESTORS_LIST[[#This Row],[LS_TOTAL UNITS BUY]]=0,0,SUMIFS(LS[Amount],LS[Investor ID],INVESTORS_LIST[[#This Row],[INVESTOR CODE]],LS[B/S],"B"))</f>
        <v>0</v>
      </c>
      <c r="I579" s="6">
        <f>IF(INVESTORS_LIST[[#This Row],[LS_TOTAL UNITS SOLD]]=0,0,SUMIFS(LS[Cost of Units Sold],LS[Investor ID],INVESTORS_LIST[[#This Row],[INVESTOR CODE]],LS[B/S],"S"))</f>
        <v>0</v>
      </c>
      <c r="J579" s="6">
        <f>IF(INVESTORS_LIST[[#This Row],[LS_TOTAL CURRENT UNITS]]=0,0,INVESTORS_LIST[[#This Row],[LS_TOTAL CURRENT UNITS]]*INVESTORS_LIST[[#This Row],[LS_AVERAGE COST]])</f>
        <v>0</v>
      </c>
      <c r="K579" s="4">
        <f>IF(INVESTORS_LIST[[#This Row],[LS_TOTAL UNITS SOLD]]=0,0,SUMIFS(LS[Realized Gain],LS[Investor ID],INVESTORS_LIST[[#This Row],[INVESTOR CODE]],LS[B/S],"S"))</f>
        <v>0</v>
      </c>
      <c r="L579" s="2">
        <f>SUMIFS(SIP[Unit],SIP[Investor ID],INVESTORS_LIST[[#This Row],[INVESTOR CODE]],SIP[B/S],"B")</f>
        <v>0</v>
      </c>
      <c r="M579" s="2">
        <f>-SUMIFS(SIP[Unit],SIP[Investor ID],INVESTORS_LIST[[#This Row],[INVESTOR CODE]],SIP[B/S],"S")</f>
        <v>0</v>
      </c>
      <c r="N579" s="33">
        <f>IF(INVESTORS_LIST[[#This Row],[SIP_TOTAL UNITS BUY]]=0,0,INVESTORS_LIST[[#This Row],[SIP_TOTAL UNITS BUY]]-INVESTORS_LIST[[#This Row],[SIP_TOTAL UNITS SOLD]])</f>
        <v>0</v>
      </c>
      <c r="O579" s="4">
        <f>IF(INVESTORS_LIST[[#This Row],[SIP_TOTAL UNITS BUY]]=0,0,SUMIFS(SIP[Amount],SIP[Investor ID],INVESTORS_LIST[[#This Row],[INVESTOR CODE]],SIP[B/S],"B"))</f>
        <v>0</v>
      </c>
      <c r="P579" s="4">
        <f>IF(INVESTORS_LIST[[#This Row],[SIP_TOTAL UNITS SOLD]]=0,0,SUMIFS(SIP[Cost of Units Sold],SIP[Investor ID],INVESTORS_LIST[[#This Row],[INVESTOR CODE]],SIP[B/S],"S"))</f>
        <v>0</v>
      </c>
      <c r="Q579" s="6">
        <f>IF(INVESTORS_LIST[[#This Row],[SIP_TOTAL CURRENT UNITS]]=0,0,INVESTORS_LIST[[#This Row],[SIP_TOTAL CURRENT UNITS]]*INVESTORS_LIST[[#This Row],[SIP_AVERAGE COST]])</f>
        <v>0</v>
      </c>
      <c r="R579" s="6">
        <f>IF(INVESTORS_LIST[[#This Row],[SIP_TOTAL UNITS SOLD]]=0,0,SUMIFS(SIP[Realized Gain],SIP[Investor ID],INVESTORS_LIST[[#This Row],[INVESTOR CODE]],SIP[B/S],"S"))</f>
        <v>0</v>
      </c>
      <c r="S579" s="33">
        <f>INVESTORS_LIST[[#This Row],[LS_TOTAL UNITS BUY]]+INVESTORS_LIST[[#This Row],[SIP_TOTAL UNITS BUY]]</f>
        <v>0</v>
      </c>
      <c r="T579" s="33">
        <f>INVESTORS_LIST[[#This Row],[LS_TOTAL UNITS SOLD]]+INVESTORS_LIST[[#This Row],[SIP_TOTAL UNITS SOLD]]</f>
        <v>0</v>
      </c>
      <c r="U579" s="33">
        <v>0</v>
      </c>
      <c r="V579" s="33">
        <f>SUMIFS(LS[BO UNIT TRANSFER],LS[Investor ID],INVESTORS_LIST[[#This Row],[INVESTOR CODE]],LS[B/S],"B")</f>
        <v>0</v>
      </c>
      <c r="W579" s="33">
        <f>SUMIFS(LS[BO UNIT TRANSFER],LS[Investor ID],INVESTORS_LIST[[#This Row],[INVESTOR CODE]],LS[B/S],"S")</f>
        <v>0</v>
      </c>
      <c r="X579" s="33">
        <f>SUMIFS(SIP[BO UNIT TRANSFER],SIP[Investor ID],INVESTORS_LIST[[#This Row],[INVESTOR CODE]],SIP[B/S],"S")</f>
        <v>0</v>
      </c>
      <c r="Y579" s="33">
        <f>SUMIFS(SIP[BO UNIT TRANSFER],SIP[Investor ID],INVESTORS_LIST[[#This Row],[INVESTOR CODE]],SIP[B/S],"B")</f>
        <v>0</v>
      </c>
      <c r="Z57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79" s="119">
        <f>INVESTORS_LIST[[#This Row],[TOTAL UNITS BUY]]-INVESTORS_LIST[[#This Row],[TOTAL UNITS SOLD]]</f>
        <v>0</v>
      </c>
      <c r="AB579" s="119">
        <f>INVESTORS_LIST[[#This Row],[TOTAL CURRENT UNITS]]-INVESTORS_LIST[[#This Row],[BO UNITS HOLD]]</f>
        <v>0</v>
      </c>
      <c r="AC579" s="119" t="e">
        <f>INDEX([4]!Table_1[BO ID],MATCH(INVESTORS_LIST[[#This Row],[INVESTOR CODE]],[4]!Table_1[INVESTOR CODE],0))</f>
        <v>#REF!</v>
      </c>
      <c r="AD579" s="33">
        <f>INVESTORS_LIST[[#This Row],[LS_TOTAL COST VALUE OF CURRENT UNITS]]+INVESTORS_LIST[[#This Row],[SIP_TOTAL COST VALUE OF CURRENT UNITS]]</f>
        <v>0</v>
      </c>
      <c r="AE579" s="44">
        <f>IF(INVESTORS_LIST[[#This Row],[TOTAL CURRENT UNITS]]=0,0,INVESTORS_LIST[[#This Row],[LS_TOTAL CURRENT UNITS]]/INVESTORS_LIST[[#This Row],[TOTAL CURRENT UNITS]])</f>
        <v>0</v>
      </c>
      <c r="AF579" s="44">
        <f>IF(INVESTORS_LIST[[#This Row],[TOTAL CURRENT UNITS]]=0,0,INVESTORS_LIST[[#This Row],[SIP_TOTAL CURRENT UNITS]]/INVESTORS_LIST[[#This Row],[TOTAL CURRENT UNITS]])</f>
        <v>0</v>
      </c>
      <c r="AG579" s="4" cm="1">
        <f t="array" ref="AG5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79" s="4" cm="1">
        <f t="array" ref="AH5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7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79" s="178">
        <f t="shared" si="15"/>
        <v>12.552</v>
      </c>
      <c r="AK579" s="118">
        <f>IF(INVESTORS_LIST[[#This Row],[TOTAL CURRENT UNITS]]=0,0,INVESTORS_LIST[[#This Row],[TOTAL CURRENT UNITS]]*INVESTORS_LIST[[#This Row],[NAV]])</f>
        <v>0</v>
      </c>
      <c r="AL579" s="4">
        <f>IF(INVESTORS_LIST[[#This Row],[LS_TOTAL CURRENT UNITS]]=0,0,INVESTORS_LIST[[#This Row],[LS_TOTAL CURRENT UNITS]]*INVESTORS_LIST[[#This Row],[NAV]])</f>
        <v>0</v>
      </c>
      <c r="AM579" s="6">
        <f>IF(INVESTORS_LIST[[#This Row],[SIP_TOTAL CURRENT UNITS]]=0,0,INVESTORS_LIST[[#This Row],[SIP_TOTAL CURRENT UNITS]]*INVESTORS_LIST[[#This Row],[NAV]])</f>
        <v>0</v>
      </c>
      <c r="AO579" s="6">
        <f>IF(INVESTORS_LIST[[#This Row],[TOTAL SELLABLE UNITS]]=0,0,INVESTORS_LIST[[#This Row],[TOTAL SELLABLE UNITS]]*INVESTORS_LIST[[#This Row],[NAV]])</f>
        <v>0</v>
      </c>
      <c r="AP579" s="6">
        <f>INVESTORS_LIST[[#This Row],[LS_TOTAL REALIZED GAIN]]+INVESTORS_LIST[[#This Row],[SIP_TOTAL REALIZED GAIN]]</f>
        <v>0</v>
      </c>
      <c r="AQ579" s="6">
        <f>INVESTORS_LIST[[#This Row],[TOTAL MARKET VALUE]]-INVESTORS_LIST[[#This Row],[TOTAL COST VALUE OF CURRENT INVESTMENT]]</f>
        <v>0</v>
      </c>
      <c r="AR579" s="6">
        <f>SUMIFS(DivAndTax[Tax Amount],DivAndTax[Investor ID],INVESTORS_LIST[[#This Row],[INVESTOR CODE]])</f>
        <v>0</v>
      </c>
      <c r="AS579" s="6">
        <f>SUMIFS(DivAndTax[Gross Dividend],DivAndTax[Investor ID],INVESTORS_LIST[[#This Row],[INVESTOR CODE]])</f>
        <v>0</v>
      </c>
      <c r="AT579" s="5">
        <f>IFERROR(INVESTORS_LIST[[#This Row],[TOTAL CURRENT UNITS]]/SUM(INVESTORS_LIST[TOTAL CURRENT UNITS]),0)</f>
        <v>0</v>
      </c>
    </row>
    <row r="580" spans="1:46" hidden="1">
      <c r="A580" t="s">
        <v>1346</v>
      </c>
      <c r="B580" t="s">
        <v>1347</v>
      </c>
      <c r="C580" t="s">
        <v>536</v>
      </c>
      <c r="D580" s="8" t="s">
        <v>2</v>
      </c>
      <c r="E580" s="2">
        <f>SUMIFS(LS[Unit],LS[Investor ID],INVESTORS_LIST[[#This Row],[INVESTOR CODE]],LS[B/S],"B")</f>
        <v>0</v>
      </c>
      <c r="F580" s="2">
        <f>-SUMIFS(LS[Unit],LS[Investor ID],INVESTORS_LIST[[#This Row],[INVESTOR CODE]],LS[B/S],"S")</f>
        <v>0</v>
      </c>
      <c r="G580" s="2">
        <f>IF(INVESTORS_LIST[[#This Row],[LS_TOTAL UNITS BUY]]=0,0,INVESTORS_LIST[[#This Row],[LS_TOTAL UNITS BUY]]-INVESTORS_LIST[[#This Row],[LS_TOTAL UNITS SOLD]])</f>
        <v>0</v>
      </c>
      <c r="H580" s="4">
        <f>IF(INVESTORS_LIST[[#This Row],[LS_TOTAL UNITS BUY]]=0,0,SUMIFS(LS[Amount],LS[Investor ID],INVESTORS_LIST[[#This Row],[INVESTOR CODE]],LS[B/S],"B"))</f>
        <v>0</v>
      </c>
      <c r="I580" s="6">
        <f>IF(INVESTORS_LIST[[#This Row],[LS_TOTAL UNITS SOLD]]=0,0,SUMIFS(LS[Cost of Units Sold],LS[Investor ID],INVESTORS_LIST[[#This Row],[INVESTOR CODE]],LS[B/S],"S"))</f>
        <v>0</v>
      </c>
      <c r="J580" s="6">
        <f>IF(INVESTORS_LIST[[#This Row],[LS_TOTAL CURRENT UNITS]]=0,0,INVESTORS_LIST[[#This Row],[LS_TOTAL CURRENT UNITS]]*INVESTORS_LIST[[#This Row],[LS_AVERAGE COST]])</f>
        <v>0</v>
      </c>
      <c r="K580" s="4">
        <f>IF(INVESTORS_LIST[[#This Row],[LS_TOTAL UNITS SOLD]]=0,0,SUMIFS(LS[Realized Gain],LS[Investor ID],INVESTORS_LIST[[#This Row],[INVESTOR CODE]],LS[B/S],"S"))</f>
        <v>0</v>
      </c>
      <c r="L580" s="2">
        <f>SUMIFS(SIP[Unit],SIP[Investor ID],INVESTORS_LIST[[#This Row],[INVESTOR CODE]],SIP[B/S],"B")</f>
        <v>0</v>
      </c>
      <c r="M580" s="2">
        <f>-SUMIFS(SIP[Unit],SIP[Investor ID],INVESTORS_LIST[[#This Row],[INVESTOR CODE]],SIP[B/S],"S")</f>
        <v>0</v>
      </c>
      <c r="N580" s="33">
        <f>IF(INVESTORS_LIST[[#This Row],[SIP_TOTAL UNITS BUY]]=0,0,INVESTORS_LIST[[#This Row],[SIP_TOTAL UNITS BUY]]-INVESTORS_LIST[[#This Row],[SIP_TOTAL UNITS SOLD]])</f>
        <v>0</v>
      </c>
      <c r="O580" s="4">
        <f>IF(INVESTORS_LIST[[#This Row],[SIP_TOTAL UNITS BUY]]=0,0,SUMIFS(SIP[Amount],SIP[Investor ID],INVESTORS_LIST[[#This Row],[INVESTOR CODE]],SIP[B/S],"B"))</f>
        <v>0</v>
      </c>
      <c r="P580" s="4">
        <f>IF(INVESTORS_LIST[[#This Row],[SIP_TOTAL UNITS SOLD]]=0,0,SUMIFS(SIP[Cost of Units Sold],SIP[Investor ID],INVESTORS_LIST[[#This Row],[INVESTOR CODE]],SIP[B/S],"S"))</f>
        <v>0</v>
      </c>
      <c r="Q580" s="6">
        <f>IF(INVESTORS_LIST[[#This Row],[SIP_TOTAL CURRENT UNITS]]=0,0,INVESTORS_LIST[[#This Row],[SIP_TOTAL CURRENT UNITS]]*INVESTORS_LIST[[#This Row],[SIP_AVERAGE COST]])</f>
        <v>0</v>
      </c>
      <c r="R580" s="6">
        <f>IF(INVESTORS_LIST[[#This Row],[SIP_TOTAL UNITS SOLD]]=0,0,SUMIFS(SIP[Realized Gain],SIP[Investor ID],INVESTORS_LIST[[#This Row],[INVESTOR CODE]],SIP[B/S],"S"))</f>
        <v>0</v>
      </c>
      <c r="S580" s="33">
        <f>INVESTORS_LIST[[#This Row],[LS_TOTAL UNITS BUY]]+INVESTORS_LIST[[#This Row],[SIP_TOTAL UNITS BUY]]</f>
        <v>0</v>
      </c>
      <c r="T580" s="33">
        <f>INVESTORS_LIST[[#This Row],[LS_TOTAL UNITS SOLD]]+INVESTORS_LIST[[#This Row],[SIP_TOTAL UNITS SOLD]]</f>
        <v>0</v>
      </c>
      <c r="U580" s="33">
        <v>0</v>
      </c>
      <c r="V580" s="33">
        <f>SUMIFS(LS[BO UNIT TRANSFER],LS[Investor ID],INVESTORS_LIST[[#This Row],[INVESTOR CODE]],LS[B/S],"B")</f>
        <v>0</v>
      </c>
      <c r="W580" s="33">
        <f>SUMIFS(LS[BO UNIT TRANSFER],LS[Investor ID],INVESTORS_LIST[[#This Row],[INVESTOR CODE]],LS[B/S],"S")</f>
        <v>0</v>
      </c>
      <c r="X580" s="33">
        <f>SUMIFS(SIP[BO UNIT TRANSFER],SIP[Investor ID],INVESTORS_LIST[[#This Row],[INVESTOR CODE]],SIP[B/S],"S")</f>
        <v>0</v>
      </c>
      <c r="Y580" s="33">
        <f>SUMIFS(SIP[BO UNIT TRANSFER],SIP[Investor ID],INVESTORS_LIST[[#This Row],[INVESTOR CODE]],SIP[B/S],"B")</f>
        <v>0</v>
      </c>
      <c r="Z58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80" s="119">
        <f>INVESTORS_LIST[[#This Row],[TOTAL UNITS BUY]]-INVESTORS_LIST[[#This Row],[TOTAL UNITS SOLD]]</f>
        <v>0</v>
      </c>
      <c r="AB580" s="119">
        <f>INVESTORS_LIST[[#This Row],[TOTAL CURRENT UNITS]]-INVESTORS_LIST[[#This Row],[BO UNITS HOLD]]</f>
        <v>0</v>
      </c>
      <c r="AC580" s="119" t="e">
        <f>INDEX([4]!Table_1[BO ID],MATCH(INVESTORS_LIST[[#This Row],[INVESTOR CODE]],[4]!Table_1[INVESTOR CODE],0))</f>
        <v>#REF!</v>
      </c>
      <c r="AD580" s="33">
        <f>INVESTORS_LIST[[#This Row],[LS_TOTAL COST VALUE OF CURRENT UNITS]]+INVESTORS_LIST[[#This Row],[SIP_TOTAL COST VALUE OF CURRENT UNITS]]</f>
        <v>0</v>
      </c>
      <c r="AE580" s="44">
        <f>IF(INVESTORS_LIST[[#This Row],[TOTAL CURRENT UNITS]]=0,0,INVESTORS_LIST[[#This Row],[LS_TOTAL CURRENT UNITS]]/INVESTORS_LIST[[#This Row],[TOTAL CURRENT UNITS]])</f>
        <v>0</v>
      </c>
      <c r="AF580" s="44">
        <f>IF(INVESTORS_LIST[[#This Row],[TOTAL CURRENT UNITS]]=0,0,INVESTORS_LIST[[#This Row],[SIP_TOTAL CURRENT UNITS]]/INVESTORS_LIST[[#This Row],[TOTAL CURRENT UNITS]])</f>
        <v>0</v>
      </c>
      <c r="AG580" s="4" cm="1">
        <f t="array" ref="AG5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80" s="4" cm="1">
        <f t="array" ref="AH5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8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80" s="178">
        <f t="shared" si="15"/>
        <v>12.552</v>
      </c>
      <c r="AK580" s="118">
        <f>IF(INVESTORS_LIST[[#This Row],[TOTAL CURRENT UNITS]]=0,0,INVESTORS_LIST[[#This Row],[TOTAL CURRENT UNITS]]*INVESTORS_LIST[[#This Row],[NAV]])</f>
        <v>0</v>
      </c>
      <c r="AL580" s="4">
        <f>IF(INVESTORS_LIST[[#This Row],[LS_TOTAL CURRENT UNITS]]=0,0,INVESTORS_LIST[[#This Row],[LS_TOTAL CURRENT UNITS]]*INVESTORS_LIST[[#This Row],[NAV]])</f>
        <v>0</v>
      </c>
      <c r="AM580" s="6">
        <f>IF(INVESTORS_LIST[[#This Row],[SIP_TOTAL CURRENT UNITS]]=0,0,INVESTORS_LIST[[#This Row],[SIP_TOTAL CURRENT UNITS]]*INVESTORS_LIST[[#This Row],[NAV]])</f>
        <v>0</v>
      </c>
      <c r="AO580" s="6">
        <f>IF(INVESTORS_LIST[[#This Row],[TOTAL SELLABLE UNITS]]=0,0,INVESTORS_LIST[[#This Row],[TOTAL SELLABLE UNITS]]*INVESTORS_LIST[[#This Row],[NAV]])</f>
        <v>0</v>
      </c>
      <c r="AP580" s="6">
        <f>INVESTORS_LIST[[#This Row],[LS_TOTAL REALIZED GAIN]]+INVESTORS_LIST[[#This Row],[SIP_TOTAL REALIZED GAIN]]</f>
        <v>0</v>
      </c>
      <c r="AQ580" s="6">
        <f>INVESTORS_LIST[[#This Row],[TOTAL MARKET VALUE]]-INVESTORS_LIST[[#This Row],[TOTAL COST VALUE OF CURRENT INVESTMENT]]</f>
        <v>0</v>
      </c>
      <c r="AR580" s="6">
        <f>SUMIFS(DivAndTax[Tax Amount],DivAndTax[Investor ID],INVESTORS_LIST[[#This Row],[INVESTOR CODE]])</f>
        <v>0</v>
      </c>
      <c r="AS580" s="6">
        <f>SUMIFS(DivAndTax[Gross Dividend],DivAndTax[Investor ID],INVESTORS_LIST[[#This Row],[INVESTOR CODE]])</f>
        <v>0</v>
      </c>
      <c r="AT580" s="5">
        <f>IFERROR(INVESTORS_LIST[[#This Row],[TOTAL CURRENT UNITS]]/SUM(INVESTORS_LIST[TOTAL CURRENT UNITS]),0)</f>
        <v>0</v>
      </c>
    </row>
    <row r="581" spans="1:46" hidden="1">
      <c r="A581" t="s">
        <v>1348</v>
      </c>
      <c r="B581" t="s">
        <v>1349</v>
      </c>
      <c r="C581" t="s">
        <v>536</v>
      </c>
      <c r="D581" s="8" t="s">
        <v>2</v>
      </c>
      <c r="E581" s="2">
        <f>SUMIFS(LS[Unit],LS[Investor ID],INVESTORS_LIST[[#This Row],[INVESTOR CODE]],LS[B/S],"B")</f>
        <v>0</v>
      </c>
      <c r="F581" s="2">
        <f>-SUMIFS(LS[Unit],LS[Investor ID],INVESTORS_LIST[[#This Row],[INVESTOR CODE]],LS[B/S],"S")</f>
        <v>0</v>
      </c>
      <c r="G581" s="2">
        <f>IF(INVESTORS_LIST[[#This Row],[LS_TOTAL UNITS BUY]]=0,0,INVESTORS_LIST[[#This Row],[LS_TOTAL UNITS BUY]]-INVESTORS_LIST[[#This Row],[LS_TOTAL UNITS SOLD]])</f>
        <v>0</v>
      </c>
      <c r="H581" s="4">
        <f>IF(INVESTORS_LIST[[#This Row],[LS_TOTAL UNITS BUY]]=0,0,SUMIFS(LS[Amount],LS[Investor ID],INVESTORS_LIST[[#This Row],[INVESTOR CODE]],LS[B/S],"B"))</f>
        <v>0</v>
      </c>
      <c r="I581" s="6">
        <f>IF(INVESTORS_LIST[[#This Row],[LS_TOTAL UNITS SOLD]]=0,0,SUMIFS(LS[Cost of Units Sold],LS[Investor ID],INVESTORS_LIST[[#This Row],[INVESTOR CODE]],LS[B/S],"S"))</f>
        <v>0</v>
      </c>
      <c r="J581" s="6">
        <f>IF(INVESTORS_LIST[[#This Row],[LS_TOTAL CURRENT UNITS]]=0,0,INVESTORS_LIST[[#This Row],[LS_TOTAL CURRENT UNITS]]*INVESTORS_LIST[[#This Row],[LS_AVERAGE COST]])</f>
        <v>0</v>
      </c>
      <c r="K581" s="4">
        <f>IF(INVESTORS_LIST[[#This Row],[LS_TOTAL UNITS SOLD]]=0,0,SUMIFS(LS[Realized Gain],LS[Investor ID],INVESTORS_LIST[[#This Row],[INVESTOR CODE]],LS[B/S],"S"))</f>
        <v>0</v>
      </c>
      <c r="L581" s="2">
        <f>SUMIFS(SIP[Unit],SIP[Investor ID],INVESTORS_LIST[[#This Row],[INVESTOR CODE]],SIP[B/S],"B")</f>
        <v>0</v>
      </c>
      <c r="M581" s="2">
        <f>-SUMIFS(SIP[Unit],SIP[Investor ID],INVESTORS_LIST[[#This Row],[INVESTOR CODE]],SIP[B/S],"S")</f>
        <v>0</v>
      </c>
      <c r="N581" s="33">
        <f>IF(INVESTORS_LIST[[#This Row],[SIP_TOTAL UNITS BUY]]=0,0,INVESTORS_LIST[[#This Row],[SIP_TOTAL UNITS BUY]]-INVESTORS_LIST[[#This Row],[SIP_TOTAL UNITS SOLD]])</f>
        <v>0</v>
      </c>
      <c r="O581" s="4">
        <f>IF(INVESTORS_LIST[[#This Row],[SIP_TOTAL UNITS BUY]]=0,0,SUMIFS(SIP[Amount],SIP[Investor ID],INVESTORS_LIST[[#This Row],[INVESTOR CODE]],SIP[B/S],"B"))</f>
        <v>0</v>
      </c>
      <c r="P581" s="4">
        <f>IF(INVESTORS_LIST[[#This Row],[SIP_TOTAL UNITS SOLD]]=0,0,SUMIFS(SIP[Cost of Units Sold],SIP[Investor ID],INVESTORS_LIST[[#This Row],[INVESTOR CODE]],SIP[B/S],"S"))</f>
        <v>0</v>
      </c>
      <c r="Q581" s="6">
        <f>IF(INVESTORS_LIST[[#This Row],[SIP_TOTAL CURRENT UNITS]]=0,0,INVESTORS_LIST[[#This Row],[SIP_TOTAL CURRENT UNITS]]*INVESTORS_LIST[[#This Row],[SIP_AVERAGE COST]])</f>
        <v>0</v>
      </c>
      <c r="R581" s="6">
        <f>IF(INVESTORS_LIST[[#This Row],[SIP_TOTAL UNITS SOLD]]=0,0,SUMIFS(SIP[Realized Gain],SIP[Investor ID],INVESTORS_LIST[[#This Row],[INVESTOR CODE]],SIP[B/S],"S"))</f>
        <v>0</v>
      </c>
      <c r="S581" s="33">
        <f>INVESTORS_LIST[[#This Row],[LS_TOTAL UNITS BUY]]+INVESTORS_LIST[[#This Row],[SIP_TOTAL UNITS BUY]]</f>
        <v>0</v>
      </c>
      <c r="T581" s="33">
        <f>INVESTORS_LIST[[#This Row],[LS_TOTAL UNITS SOLD]]+INVESTORS_LIST[[#This Row],[SIP_TOTAL UNITS SOLD]]</f>
        <v>0</v>
      </c>
      <c r="U581" s="33">
        <v>0</v>
      </c>
      <c r="V581" s="33">
        <f>SUMIFS(LS[BO UNIT TRANSFER],LS[Investor ID],INVESTORS_LIST[[#This Row],[INVESTOR CODE]],LS[B/S],"B")</f>
        <v>0</v>
      </c>
      <c r="W581" s="33">
        <f>SUMIFS(LS[BO UNIT TRANSFER],LS[Investor ID],INVESTORS_LIST[[#This Row],[INVESTOR CODE]],LS[B/S],"S")</f>
        <v>0</v>
      </c>
      <c r="X581" s="33">
        <f>SUMIFS(SIP[BO UNIT TRANSFER],SIP[Investor ID],INVESTORS_LIST[[#This Row],[INVESTOR CODE]],SIP[B/S],"S")</f>
        <v>0</v>
      </c>
      <c r="Y581" s="33">
        <f>SUMIFS(SIP[BO UNIT TRANSFER],SIP[Investor ID],INVESTORS_LIST[[#This Row],[INVESTOR CODE]],SIP[B/S],"B")</f>
        <v>0</v>
      </c>
      <c r="Z58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81" s="119">
        <f>INVESTORS_LIST[[#This Row],[TOTAL UNITS BUY]]-INVESTORS_LIST[[#This Row],[TOTAL UNITS SOLD]]</f>
        <v>0</v>
      </c>
      <c r="AB581" s="119">
        <f>INVESTORS_LIST[[#This Row],[TOTAL CURRENT UNITS]]-INVESTORS_LIST[[#This Row],[BO UNITS HOLD]]</f>
        <v>0</v>
      </c>
      <c r="AC581" s="119" t="e">
        <f>INDEX([4]!Table_1[BO ID],MATCH(INVESTORS_LIST[[#This Row],[INVESTOR CODE]],[4]!Table_1[INVESTOR CODE],0))</f>
        <v>#REF!</v>
      </c>
      <c r="AD581" s="33">
        <f>INVESTORS_LIST[[#This Row],[LS_TOTAL COST VALUE OF CURRENT UNITS]]+INVESTORS_LIST[[#This Row],[SIP_TOTAL COST VALUE OF CURRENT UNITS]]</f>
        <v>0</v>
      </c>
      <c r="AE581" s="44">
        <f>IF(INVESTORS_LIST[[#This Row],[TOTAL CURRENT UNITS]]=0,0,INVESTORS_LIST[[#This Row],[LS_TOTAL CURRENT UNITS]]/INVESTORS_LIST[[#This Row],[TOTAL CURRENT UNITS]])</f>
        <v>0</v>
      </c>
      <c r="AF581" s="44">
        <f>IF(INVESTORS_LIST[[#This Row],[TOTAL CURRENT UNITS]]=0,0,INVESTORS_LIST[[#This Row],[SIP_TOTAL CURRENT UNITS]]/INVESTORS_LIST[[#This Row],[TOTAL CURRENT UNITS]])</f>
        <v>0</v>
      </c>
      <c r="AG581" s="4" cm="1">
        <f t="array" ref="AG58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81" s="4" cm="1">
        <f t="array" ref="AH5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8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81" s="178">
        <f t="shared" si="15"/>
        <v>12.552</v>
      </c>
      <c r="AK581" s="118">
        <f>IF(INVESTORS_LIST[[#This Row],[TOTAL CURRENT UNITS]]=0,0,INVESTORS_LIST[[#This Row],[TOTAL CURRENT UNITS]]*INVESTORS_LIST[[#This Row],[NAV]])</f>
        <v>0</v>
      </c>
      <c r="AL581" s="4">
        <f>IF(INVESTORS_LIST[[#This Row],[LS_TOTAL CURRENT UNITS]]=0,0,INVESTORS_LIST[[#This Row],[LS_TOTAL CURRENT UNITS]]*INVESTORS_LIST[[#This Row],[NAV]])</f>
        <v>0</v>
      </c>
      <c r="AM581" s="6">
        <f>IF(INVESTORS_LIST[[#This Row],[SIP_TOTAL CURRENT UNITS]]=0,0,INVESTORS_LIST[[#This Row],[SIP_TOTAL CURRENT UNITS]]*INVESTORS_LIST[[#This Row],[NAV]])</f>
        <v>0</v>
      </c>
      <c r="AO581" s="6">
        <f>IF(INVESTORS_LIST[[#This Row],[TOTAL SELLABLE UNITS]]=0,0,INVESTORS_LIST[[#This Row],[TOTAL SELLABLE UNITS]]*INVESTORS_LIST[[#This Row],[NAV]])</f>
        <v>0</v>
      </c>
      <c r="AP581" s="6">
        <f>INVESTORS_LIST[[#This Row],[LS_TOTAL REALIZED GAIN]]+INVESTORS_LIST[[#This Row],[SIP_TOTAL REALIZED GAIN]]</f>
        <v>0</v>
      </c>
      <c r="AQ581" s="6">
        <f>INVESTORS_LIST[[#This Row],[TOTAL MARKET VALUE]]-INVESTORS_LIST[[#This Row],[TOTAL COST VALUE OF CURRENT INVESTMENT]]</f>
        <v>0</v>
      </c>
      <c r="AR581" s="6">
        <f>SUMIFS(DivAndTax[Tax Amount],DivAndTax[Investor ID],INVESTORS_LIST[[#This Row],[INVESTOR CODE]])</f>
        <v>0</v>
      </c>
      <c r="AS581" s="6">
        <f>SUMIFS(DivAndTax[Gross Dividend],DivAndTax[Investor ID],INVESTORS_LIST[[#This Row],[INVESTOR CODE]])</f>
        <v>0</v>
      </c>
      <c r="AT581" s="5">
        <f>IFERROR(INVESTORS_LIST[[#This Row],[TOTAL CURRENT UNITS]]/SUM(INVESTORS_LIST[TOTAL CURRENT UNITS]),0)</f>
        <v>0</v>
      </c>
    </row>
    <row r="582" spans="1:46" hidden="1">
      <c r="A582" t="s">
        <v>1350</v>
      </c>
      <c r="B582" t="s">
        <v>1351</v>
      </c>
      <c r="C582" t="s">
        <v>536</v>
      </c>
      <c r="D582" s="8" t="s">
        <v>2</v>
      </c>
      <c r="E582" s="2">
        <f>SUMIFS(LS[Unit],LS[Investor ID],INVESTORS_LIST[[#This Row],[INVESTOR CODE]],LS[B/S],"B")</f>
        <v>0</v>
      </c>
      <c r="F582" s="2">
        <f>-SUMIFS(LS[Unit],LS[Investor ID],INVESTORS_LIST[[#This Row],[INVESTOR CODE]],LS[B/S],"S")</f>
        <v>0</v>
      </c>
      <c r="G582" s="2">
        <f>IF(INVESTORS_LIST[[#This Row],[LS_TOTAL UNITS BUY]]=0,0,INVESTORS_LIST[[#This Row],[LS_TOTAL UNITS BUY]]-INVESTORS_LIST[[#This Row],[LS_TOTAL UNITS SOLD]])</f>
        <v>0</v>
      </c>
      <c r="H582" s="4">
        <f>IF(INVESTORS_LIST[[#This Row],[LS_TOTAL UNITS BUY]]=0,0,SUMIFS(LS[Amount],LS[Investor ID],INVESTORS_LIST[[#This Row],[INVESTOR CODE]],LS[B/S],"B"))</f>
        <v>0</v>
      </c>
      <c r="I582" s="6">
        <f>IF(INVESTORS_LIST[[#This Row],[LS_TOTAL UNITS SOLD]]=0,0,SUMIFS(LS[Cost of Units Sold],LS[Investor ID],INVESTORS_LIST[[#This Row],[INVESTOR CODE]],LS[B/S],"S"))</f>
        <v>0</v>
      </c>
      <c r="J582" s="6">
        <f>IF(INVESTORS_LIST[[#This Row],[LS_TOTAL CURRENT UNITS]]=0,0,INVESTORS_LIST[[#This Row],[LS_TOTAL CURRENT UNITS]]*INVESTORS_LIST[[#This Row],[LS_AVERAGE COST]])</f>
        <v>0</v>
      </c>
      <c r="K582" s="4">
        <f>IF(INVESTORS_LIST[[#This Row],[LS_TOTAL UNITS SOLD]]=0,0,SUMIFS(LS[Realized Gain],LS[Investor ID],INVESTORS_LIST[[#This Row],[INVESTOR CODE]],LS[B/S],"S"))</f>
        <v>0</v>
      </c>
      <c r="L582" s="2">
        <f>SUMIFS(SIP[Unit],SIP[Investor ID],INVESTORS_LIST[[#This Row],[INVESTOR CODE]],SIP[B/S],"B")</f>
        <v>0</v>
      </c>
      <c r="M582" s="2">
        <f>-SUMIFS(SIP[Unit],SIP[Investor ID],INVESTORS_LIST[[#This Row],[INVESTOR CODE]],SIP[B/S],"S")</f>
        <v>0</v>
      </c>
      <c r="N582" s="33">
        <f>IF(INVESTORS_LIST[[#This Row],[SIP_TOTAL UNITS BUY]]=0,0,INVESTORS_LIST[[#This Row],[SIP_TOTAL UNITS BUY]]-INVESTORS_LIST[[#This Row],[SIP_TOTAL UNITS SOLD]])</f>
        <v>0</v>
      </c>
      <c r="O582" s="4">
        <f>IF(INVESTORS_LIST[[#This Row],[SIP_TOTAL UNITS BUY]]=0,0,SUMIFS(SIP[Amount],SIP[Investor ID],INVESTORS_LIST[[#This Row],[INVESTOR CODE]],SIP[B/S],"B"))</f>
        <v>0</v>
      </c>
      <c r="P582" s="4">
        <f>IF(INVESTORS_LIST[[#This Row],[SIP_TOTAL UNITS SOLD]]=0,0,SUMIFS(SIP[Cost of Units Sold],SIP[Investor ID],INVESTORS_LIST[[#This Row],[INVESTOR CODE]],SIP[B/S],"S"))</f>
        <v>0</v>
      </c>
      <c r="Q582" s="6">
        <f>IF(INVESTORS_LIST[[#This Row],[SIP_TOTAL CURRENT UNITS]]=0,0,INVESTORS_LIST[[#This Row],[SIP_TOTAL CURRENT UNITS]]*INVESTORS_LIST[[#This Row],[SIP_AVERAGE COST]])</f>
        <v>0</v>
      </c>
      <c r="R582" s="6">
        <f>IF(INVESTORS_LIST[[#This Row],[SIP_TOTAL UNITS SOLD]]=0,0,SUMIFS(SIP[Realized Gain],SIP[Investor ID],INVESTORS_LIST[[#This Row],[INVESTOR CODE]],SIP[B/S],"S"))</f>
        <v>0</v>
      </c>
      <c r="S582" s="33">
        <f>INVESTORS_LIST[[#This Row],[LS_TOTAL UNITS BUY]]+INVESTORS_LIST[[#This Row],[SIP_TOTAL UNITS BUY]]</f>
        <v>0</v>
      </c>
      <c r="T582" s="33">
        <f>INVESTORS_LIST[[#This Row],[LS_TOTAL UNITS SOLD]]+INVESTORS_LIST[[#This Row],[SIP_TOTAL UNITS SOLD]]</f>
        <v>0</v>
      </c>
      <c r="U582" s="33">
        <v>0</v>
      </c>
      <c r="V582" s="33">
        <f>SUMIFS(LS[BO UNIT TRANSFER],LS[Investor ID],INVESTORS_LIST[[#This Row],[INVESTOR CODE]],LS[B/S],"B")</f>
        <v>0</v>
      </c>
      <c r="W582" s="33">
        <f>SUMIFS(LS[BO UNIT TRANSFER],LS[Investor ID],INVESTORS_LIST[[#This Row],[INVESTOR CODE]],LS[B/S],"S")</f>
        <v>0</v>
      </c>
      <c r="X582" s="33">
        <f>SUMIFS(SIP[BO UNIT TRANSFER],SIP[Investor ID],INVESTORS_LIST[[#This Row],[INVESTOR CODE]],SIP[B/S],"S")</f>
        <v>0</v>
      </c>
      <c r="Y582" s="33">
        <f>SUMIFS(SIP[BO UNIT TRANSFER],SIP[Investor ID],INVESTORS_LIST[[#This Row],[INVESTOR CODE]],SIP[B/S],"B")</f>
        <v>0</v>
      </c>
      <c r="Z58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82" s="119">
        <f>INVESTORS_LIST[[#This Row],[TOTAL UNITS BUY]]-INVESTORS_LIST[[#This Row],[TOTAL UNITS SOLD]]</f>
        <v>0</v>
      </c>
      <c r="AB582" s="119">
        <f>INVESTORS_LIST[[#This Row],[TOTAL CURRENT UNITS]]-INVESTORS_LIST[[#This Row],[BO UNITS HOLD]]</f>
        <v>0</v>
      </c>
      <c r="AC582" s="119" t="e">
        <f>INDEX([4]!Table_1[BO ID],MATCH(INVESTORS_LIST[[#This Row],[INVESTOR CODE]],[4]!Table_1[INVESTOR CODE],0))</f>
        <v>#REF!</v>
      </c>
      <c r="AD582" s="33">
        <f>INVESTORS_LIST[[#This Row],[LS_TOTAL COST VALUE OF CURRENT UNITS]]+INVESTORS_LIST[[#This Row],[SIP_TOTAL COST VALUE OF CURRENT UNITS]]</f>
        <v>0</v>
      </c>
      <c r="AE582" s="44">
        <f>IF(INVESTORS_LIST[[#This Row],[TOTAL CURRENT UNITS]]=0,0,INVESTORS_LIST[[#This Row],[LS_TOTAL CURRENT UNITS]]/INVESTORS_LIST[[#This Row],[TOTAL CURRENT UNITS]])</f>
        <v>0</v>
      </c>
      <c r="AF582" s="44">
        <f>IF(INVESTORS_LIST[[#This Row],[TOTAL CURRENT UNITS]]=0,0,INVESTORS_LIST[[#This Row],[SIP_TOTAL CURRENT UNITS]]/INVESTORS_LIST[[#This Row],[TOTAL CURRENT UNITS]])</f>
        <v>0</v>
      </c>
      <c r="AG582" s="4" cm="1">
        <f t="array" ref="AG58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82" s="4" cm="1">
        <f t="array" ref="AH58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8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82" s="178">
        <f t="shared" si="15"/>
        <v>12.552</v>
      </c>
      <c r="AK582" s="118">
        <f>IF(INVESTORS_LIST[[#This Row],[TOTAL CURRENT UNITS]]=0,0,INVESTORS_LIST[[#This Row],[TOTAL CURRENT UNITS]]*INVESTORS_LIST[[#This Row],[NAV]])</f>
        <v>0</v>
      </c>
      <c r="AL582" s="4">
        <f>IF(INVESTORS_LIST[[#This Row],[LS_TOTAL CURRENT UNITS]]=0,0,INVESTORS_LIST[[#This Row],[LS_TOTAL CURRENT UNITS]]*INVESTORS_LIST[[#This Row],[NAV]])</f>
        <v>0</v>
      </c>
      <c r="AM582" s="6">
        <f>IF(INVESTORS_LIST[[#This Row],[SIP_TOTAL CURRENT UNITS]]=0,0,INVESTORS_LIST[[#This Row],[SIP_TOTAL CURRENT UNITS]]*INVESTORS_LIST[[#This Row],[NAV]])</f>
        <v>0</v>
      </c>
      <c r="AO582" s="6">
        <f>IF(INVESTORS_LIST[[#This Row],[TOTAL SELLABLE UNITS]]=0,0,INVESTORS_LIST[[#This Row],[TOTAL SELLABLE UNITS]]*INVESTORS_LIST[[#This Row],[NAV]])</f>
        <v>0</v>
      </c>
      <c r="AP582" s="6">
        <f>INVESTORS_LIST[[#This Row],[LS_TOTAL REALIZED GAIN]]+INVESTORS_LIST[[#This Row],[SIP_TOTAL REALIZED GAIN]]</f>
        <v>0</v>
      </c>
      <c r="AQ582" s="6">
        <f>INVESTORS_LIST[[#This Row],[TOTAL MARKET VALUE]]-INVESTORS_LIST[[#This Row],[TOTAL COST VALUE OF CURRENT INVESTMENT]]</f>
        <v>0</v>
      </c>
      <c r="AR582" s="6">
        <f>SUMIFS(DivAndTax[Tax Amount],DivAndTax[Investor ID],INVESTORS_LIST[[#This Row],[INVESTOR CODE]])</f>
        <v>0</v>
      </c>
      <c r="AS582" s="6">
        <f>SUMIFS(DivAndTax[Gross Dividend],DivAndTax[Investor ID],INVESTORS_LIST[[#This Row],[INVESTOR CODE]])</f>
        <v>0</v>
      </c>
      <c r="AT582" s="5">
        <f>IFERROR(INVESTORS_LIST[[#This Row],[TOTAL CURRENT UNITS]]/SUM(INVESTORS_LIST[TOTAL CURRENT UNITS]),0)</f>
        <v>0</v>
      </c>
    </row>
    <row r="583" spans="1:46" hidden="1">
      <c r="A583" t="s">
        <v>1356</v>
      </c>
      <c r="B583" t="s">
        <v>1357</v>
      </c>
      <c r="C583" t="s">
        <v>536</v>
      </c>
      <c r="D583" s="8" t="s">
        <v>2</v>
      </c>
      <c r="E583" s="2">
        <f>SUMIFS(LS[Unit],LS[Investor ID],INVESTORS_LIST[[#This Row],[INVESTOR CODE]],LS[B/S],"B")</f>
        <v>0</v>
      </c>
      <c r="F583" s="2">
        <f>-SUMIFS(LS[Unit],LS[Investor ID],INVESTORS_LIST[[#This Row],[INVESTOR CODE]],LS[B/S],"S")</f>
        <v>0</v>
      </c>
      <c r="G583" s="2">
        <f>IF(INVESTORS_LIST[[#This Row],[LS_TOTAL UNITS BUY]]=0,0,INVESTORS_LIST[[#This Row],[LS_TOTAL UNITS BUY]]-INVESTORS_LIST[[#This Row],[LS_TOTAL UNITS SOLD]])</f>
        <v>0</v>
      </c>
      <c r="H583" s="4">
        <f>IF(INVESTORS_LIST[[#This Row],[LS_TOTAL UNITS BUY]]=0,0,SUMIFS(LS[Amount],LS[Investor ID],INVESTORS_LIST[[#This Row],[INVESTOR CODE]],LS[B/S],"B"))</f>
        <v>0</v>
      </c>
      <c r="I583" s="6">
        <f>IF(INVESTORS_LIST[[#This Row],[LS_TOTAL UNITS SOLD]]=0,0,SUMIFS(LS[Cost of Units Sold],LS[Investor ID],INVESTORS_LIST[[#This Row],[INVESTOR CODE]],LS[B/S],"S"))</f>
        <v>0</v>
      </c>
      <c r="J583" s="6">
        <f>IF(INVESTORS_LIST[[#This Row],[LS_TOTAL CURRENT UNITS]]=0,0,INVESTORS_LIST[[#This Row],[LS_TOTAL CURRENT UNITS]]*INVESTORS_LIST[[#This Row],[LS_AVERAGE COST]])</f>
        <v>0</v>
      </c>
      <c r="K583" s="4">
        <f>IF(INVESTORS_LIST[[#This Row],[LS_TOTAL UNITS SOLD]]=0,0,SUMIFS(LS[Realized Gain],LS[Investor ID],INVESTORS_LIST[[#This Row],[INVESTOR CODE]],LS[B/S],"S"))</f>
        <v>0</v>
      </c>
      <c r="L583" s="2">
        <f>SUMIFS(SIP[Unit],SIP[Investor ID],INVESTORS_LIST[[#This Row],[INVESTOR CODE]],SIP[B/S],"B")</f>
        <v>0</v>
      </c>
      <c r="M583" s="2">
        <f>-SUMIFS(SIP[Unit],SIP[Investor ID],INVESTORS_LIST[[#This Row],[INVESTOR CODE]],SIP[B/S],"S")</f>
        <v>0</v>
      </c>
      <c r="N583" s="33">
        <f>IF(INVESTORS_LIST[[#This Row],[SIP_TOTAL UNITS BUY]]=0,0,INVESTORS_LIST[[#This Row],[SIP_TOTAL UNITS BUY]]-INVESTORS_LIST[[#This Row],[SIP_TOTAL UNITS SOLD]])</f>
        <v>0</v>
      </c>
      <c r="O583" s="4">
        <f>IF(INVESTORS_LIST[[#This Row],[SIP_TOTAL UNITS BUY]]=0,0,SUMIFS(SIP[Amount],SIP[Investor ID],INVESTORS_LIST[[#This Row],[INVESTOR CODE]],SIP[B/S],"B"))</f>
        <v>0</v>
      </c>
      <c r="P583" s="4">
        <f>IF(INVESTORS_LIST[[#This Row],[SIP_TOTAL UNITS SOLD]]=0,0,SUMIFS(SIP[Cost of Units Sold],SIP[Investor ID],INVESTORS_LIST[[#This Row],[INVESTOR CODE]],SIP[B/S],"S"))</f>
        <v>0</v>
      </c>
      <c r="Q583" s="6">
        <f>IF(INVESTORS_LIST[[#This Row],[SIP_TOTAL CURRENT UNITS]]=0,0,INVESTORS_LIST[[#This Row],[SIP_TOTAL CURRENT UNITS]]*INVESTORS_LIST[[#This Row],[SIP_AVERAGE COST]])</f>
        <v>0</v>
      </c>
      <c r="R583" s="6">
        <f>IF(INVESTORS_LIST[[#This Row],[SIP_TOTAL UNITS SOLD]]=0,0,SUMIFS(SIP[Realized Gain],SIP[Investor ID],INVESTORS_LIST[[#This Row],[INVESTOR CODE]],SIP[B/S],"S"))</f>
        <v>0</v>
      </c>
      <c r="S583" s="33">
        <f>INVESTORS_LIST[[#This Row],[LS_TOTAL UNITS BUY]]+INVESTORS_LIST[[#This Row],[SIP_TOTAL UNITS BUY]]</f>
        <v>0</v>
      </c>
      <c r="T583" s="33">
        <f>INVESTORS_LIST[[#This Row],[LS_TOTAL UNITS SOLD]]+INVESTORS_LIST[[#This Row],[SIP_TOTAL UNITS SOLD]]</f>
        <v>0</v>
      </c>
      <c r="U583" s="33">
        <v>0</v>
      </c>
      <c r="V583" s="33">
        <f>SUMIFS(LS[BO UNIT TRANSFER],LS[Investor ID],INVESTORS_LIST[[#This Row],[INVESTOR CODE]],LS[B/S],"B")</f>
        <v>0</v>
      </c>
      <c r="W583" s="33">
        <f>SUMIFS(LS[BO UNIT TRANSFER],LS[Investor ID],INVESTORS_LIST[[#This Row],[INVESTOR CODE]],LS[B/S],"S")</f>
        <v>0</v>
      </c>
      <c r="X583" s="33">
        <f>SUMIFS(SIP[BO UNIT TRANSFER],SIP[Investor ID],INVESTORS_LIST[[#This Row],[INVESTOR CODE]],SIP[B/S],"S")</f>
        <v>0</v>
      </c>
      <c r="Y583" s="33">
        <f>SUMIFS(SIP[BO UNIT TRANSFER],SIP[Investor ID],INVESTORS_LIST[[#This Row],[INVESTOR CODE]],SIP[B/S],"B")</f>
        <v>0</v>
      </c>
      <c r="Z58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83" s="119">
        <f>INVESTORS_LIST[[#This Row],[TOTAL UNITS BUY]]-INVESTORS_LIST[[#This Row],[TOTAL UNITS SOLD]]</f>
        <v>0</v>
      </c>
      <c r="AB583" s="119">
        <f>INVESTORS_LIST[[#This Row],[TOTAL CURRENT UNITS]]-INVESTORS_LIST[[#This Row],[BO UNITS HOLD]]</f>
        <v>0</v>
      </c>
      <c r="AC583" s="119" t="e">
        <f>INDEX([4]!Table_1[BO ID],MATCH(INVESTORS_LIST[[#This Row],[INVESTOR CODE]],[4]!Table_1[INVESTOR CODE],0))</f>
        <v>#REF!</v>
      </c>
      <c r="AD583" s="33">
        <f>INVESTORS_LIST[[#This Row],[LS_TOTAL COST VALUE OF CURRENT UNITS]]+INVESTORS_LIST[[#This Row],[SIP_TOTAL COST VALUE OF CURRENT UNITS]]</f>
        <v>0</v>
      </c>
      <c r="AE583" s="44">
        <f>IF(INVESTORS_LIST[[#This Row],[TOTAL CURRENT UNITS]]=0,0,INVESTORS_LIST[[#This Row],[LS_TOTAL CURRENT UNITS]]/INVESTORS_LIST[[#This Row],[TOTAL CURRENT UNITS]])</f>
        <v>0</v>
      </c>
      <c r="AF583" s="44">
        <f>IF(INVESTORS_LIST[[#This Row],[TOTAL CURRENT UNITS]]=0,0,INVESTORS_LIST[[#This Row],[SIP_TOTAL CURRENT UNITS]]/INVESTORS_LIST[[#This Row],[TOTAL CURRENT UNITS]])</f>
        <v>0</v>
      </c>
      <c r="AG583" s="4" cm="1">
        <f t="array" ref="AG58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83" s="4" cm="1">
        <f t="array" ref="AH58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8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83" s="178">
        <f t="shared" si="15"/>
        <v>12.552</v>
      </c>
      <c r="AK583" s="118">
        <f>IF(INVESTORS_LIST[[#This Row],[TOTAL CURRENT UNITS]]=0,0,INVESTORS_LIST[[#This Row],[TOTAL CURRENT UNITS]]*INVESTORS_LIST[[#This Row],[NAV]])</f>
        <v>0</v>
      </c>
      <c r="AL583" s="4">
        <f>IF(INVESTORS_LIST[[#This Row],[LS_TOTAL CURRENT UNITS]]=0,0,INVESTORS_LIST[[#This Row],[LS_TOTAL CURRENT UNITS]]*INVESTORS_LIST[[#This Row],[NAV]])</f>
        <v>0</v>
      </c>
      <c r="AM583" s="6">
        <f>IF(INVESTORS_LIST[[#This Row],[SIP_TOTAL CURRENT UNITS]]=0,0,INVESTORS_LIST[[#This Row],[SIP_TOTAL CURRENT UNITS]]*INVESTORS_LIST[[#This Row],[NAV]])</f>
        <v>0</v>
      </c>
      <c r="AO583" s="6">
        <f>IF(INVESTORS_LIST[[#This Row],[TOTAL SELLABLE UNITS]]=0,0,INVESTORS_LIST[[#This Row],[TOTAL SELLABLE UNITS]]*INVESTORS_LIST[[#This Row],[NAV]])</f>
        <v>0</v>
      </c>
      <c r="AP583" s="6">
        <f>INVESTORS_LIST[[#This Row],[LS_TOTAL REALIZED GAIN]]+INVESTORS_LIST[[#This Row],[SIP_TOTAL REALIZED GAIN]]</f>
        <v>0</v>
      </c>
      <c r="AQ583" s="6">
        <f>INVESTORS_LIST[[#This Row],[TOTAL MARKET VALUE]]-INVESTORS_LIST[[#This Row],[TOTAL COST VALUE OF CURRENT INVESTMENT]]</f>
        <v>0</v>
      </c>
      <c r="AR583" s="6">
        <f>SUMIFS(DivAndTax[Tax Amount],DivAndTax[Investor ID],INVESTORS_LIST[[#This Row],[INVESTOR CODE]])</f>
        <v>0</v>
      </c>
      <c r="AS583" s="6">
        <f>SUMIFS(DivAndTax[Gross Dividend],DivAndTax[Investor ID],INVESTORS_LIST[[#This Row],[INVESTOR CODE]])</f>
        <v>0</v>
      </c>
      <c r="AT583" s="5">
        <f>IFERROR(INVESTORS_LIST[[#This Row],[TOTAL CURRENT UNITS]]/SUM(INVESTORS_LIST[TOTAL CURRENT UNITS]),0)</f>
        <v>0</v>
      </c>
    </row>
    <row r="584" spans="1:46" hidden="1">
      <c r="A584" t="s">
        <v>1358</v>
      </c>
      <c r="B584" t="s">
        <v>1359</v>
      </c>
      <c r="C584" t="s">
        <v>536</v>
      </c>
      <c r="D584" s="8" t="s">
        <v>2</v>
      </c>
      <c r="E584" s="2">
        <f>SUMIFS(LS[Unit],LS[Investor ID],INVESTORS_LIST[[#This Row],[INVESTOR CODE]],LS[B/S],"B")</f>
        <v>0</v>
      </c>
      <c r="F584" s="2">
        <f>-SUMIFS(LS[Unit],LS[Investor ID],INVESTORS_LIST[[#This Row],[INVESTOR CODE]],LS[B/S],"S")</f>
        <v>0</v>
      </c>
      <c r="G584" s="2">
        <f>IF(INVESTORS_LIST[[#This Row],[LS_TOTAL UNITS BUY]]=0,0,INVESTORS_LIST[[#This Row],[LS_TOTAL UNITS BUY]]-INVESTORS_LIST[[#This Row],[LS_TOTAL UNITS SOLD]])</f>
        <v>0</v>
      </c>
      <c r="H584" s="4">
        <f>IF(INVESTORS_LIST[[#This Row],[LS_TOTAL UNITS BUY]]=0,0,SUMIFS(LS[Amount],LS[Investor ID],INVESTORS_LIST[[#This Row],[INVESTOR CODE]],LS[B/S],"B"))</f>
        <v>0</v>
      </c>
      <c r="I584" s="6">
        <f>IF(INVESTORS_LIST[[#This Row],[LS_TOTAL UNITS SOLD]]=0,0,SUMIFS(LS[Cost of Units Sold],LS[Investor ID],INVESTORS_LIST[[#This Row],[INVESTOR CODE]],LS[B/S],"S"))</f>
        <v>0</v>
      </c>
      <c r="J584" s="6">
        <f>IF(INVESTORS_LIST[[#This Row],[LS_TOTAL CURRENT UNITS]]=0,0,INVESTORS_LIST[[#This Row],[LS_TOTAL CURRENT UNITS]]*INVESTORS_LIST[[#This Row],[LS_AVERAGE COST]])</f>
        <v>0</v>
      </c>
      <c r="K584" s="4">
        <f>IF(INVESTORS_LIST[[#This Row],[LS_TOTAL UNITS SOLD]]=0,0,SUMIFS(LS[Realized Gain],LS[Investor ID],INVESTORS_LIST[[#This Row],[INVESTOR CODE]],LS[B/S],"S"))</f>
        <v>0</v>
      </c>
      <c r="L584" s="2">
        <f>SUMIFS(SIP[Unit],SIP[Investor ID],INVESTORS_LIST[[#This Row],[INVESTOR CODE]],SIP[B/S],"B")</f>
        <v>0</v>
      </c>
      <c r="M584" s="2">
        <f>-SUMIFS(SIP[Unit],SIP[Investor ID],INVESTORS_LIST[[#This Row],[INVESTOR CODE]],SIP[B/S],"S")</f>
        <v>0</v>
      </c>
      <c r="N584" s="33">
        <f>IF(INVESTORS_LIST[[#This Row],[SIP_TOTAL UNITS BUY]]=0,0,INVESTORS_LIST[[#This Row],[SIP_TOTAL UNITS BUY]]-INVESTORS_LIST[[#This Row],[SIP_TOTAL UNITS SOLD]])</f>
        <v>0</v>
      </c>
      <c r="O584" s="4">
        <f>IF(INVESTORS_LIST[[#This Row],[SIP_TOTAL UNITS BUY]]=0,0,SUMIFS(SIP[Amount],SIP[Investor ID],INVESTORS_LIST[[#This Row],[INVESTOR CODE]],SIP[B/S],"B"))</f>
        <v>0</v>
      </c>
      <c r="P584" s="4">
        <f>IF(INVESTORS_LIST[[#This Row],[SIP_TOTAL UNITS SOLD]]=0,0,SUMIFS(SIP[Cost of Units Sold],SIP[Investor ID],INVESTORS_LIST[[#This Row],[INVESTOR CODE]],SIP[B/S],"S"))</f>
        <v>0</v>
      </c>
      <c r="Q584" s="6">
        <f>IF(INVESTORS_LIST[[#This Row],[SIP_TOTAL CURRENT UNITS]]=0,0,INVESTORS_LIST[[#This Row],[SIP_TOTAL CURRENT UNITS]]*INVESTORS_LIST[[#This Row],[SIP_AVERAGE COST]])</f>
        <v>0</v>
      </c>
      <c r="R584" s="6">
        <f>IF(INVESTORS_LIST[[#This Row],[SIP_TOTAL UNITS SOLD]]=0,0,SUMIFS(SIP[Realized Gain],SIP[Investor ID],INVESTORS_LIST[[#This Row],[INVESTOR CODE]],SIP[B/S],"S"))</f>
        <v>0</v>
      </c>
      <c r="S584" s="33">
        <f>INVESTORS_LIST[[#This Row],[LS_TOTAL UNITS BUY]]+INVESTORS_LIST[[#This Row],[SIP_TOTAL UNITS BUY]]</f>
        <v>0</v>
      </c>
      <c r="T584" s="33">
        <f>INVESTORS_LIST[[#This Row],[LS_TOTAL UNITS SOLD]]+INVESTORS_LIST[[#This Row],[SIP_TOTAL UNITS SOLD]]</f>
        <v>0</v>
      </c>
      <c r="U584" s="33">
        <v>0</v>
      </c>
      <c r="V584" s="33">
        <f>SUMIFS(LS[BO UNIT TRANSFER],LS[Investor ID],INVESTORS_LIST[[#This Row],[INVESTOR CODE]],LS[B/S],"B")</f>
        <v>0</v>
      </c>
      <c r="W584" s="33">
        <f>SUMIFS(LS[BO UNIT TRANSFER],LS[Investor ID],INVESTORS_LIST[[#This Row],[INVESTOR CODE]],LS[B/S],"S")</f>
        <v>0</v>
      </c>
      <c r="X584" s="33">
        <f>SUMIFS(SIP[BO UNIT TRANSFER],SIP[Investor ID],INVESTORS_LIST[[#This Row],[INVESTOR CODE]],SIP[B/S],"S")</f>
        <v>0</v>
      </c>
      <c r="Y584" s="33">
        <f>SUMIFS(SIP[BO UNIT TRANSFER],SIP[Investor ID],INVESTORS_LIST[[#This Row],[INVESTOR CODE]],SIP[B/S],"B")</f>
        <v>0</v>
      </c>
      <c r="Z58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84" s="119">
        <f>INVESTORS_LIST[[#This Row],[TOTAL UNITS BUY]]-INVESTORS_LIST[[#This Row],[TOTAL UNITS SOLD]]</f>
        <v>0</v>
      </c>
      <c r="AB584" s="119">
        <f>INVESTORS_LIST[[#This Row],[TOTAL CURRENT UNITS]]-INVESTORS_LIST[[#This Row],[BO UNITS HOLD]]</f>
        <v>0</v>
      </c>
      <c r="AC584" s="119" t="e">
        <f>INDEX([4]!Table_1[BO ID],MATCH(INVESTORS_LIST[[#This Row],[INVESTOR CODE]],[4]!Table_1[INVESTOR CODE],0))</f>
        <v>#REF!</v>
      </c>
      <c r="AD584" s="33">
        <f>INVESTORS_LIST[[#This Row],[LS_TOTAL COST VALUE OF CURRENT UNITS]]+INVESTORS_LIST[[#This Row],[SIP_TOTAL COST VALUE OF CURRENT UNITS]]</f>
        <v>0</v>
      </c>
      <c r="AE584" s="44">
        <f>IF(INVESTORS_LIST[[#This Row],[TOTAL CURRENT UNITS]]=0,0,INVESTORS_LIST[[#This Row],[LS_TOTAL CURRENT UNITS]]/INVESTORS_LIST[[#This Row],[TOTAL CURRENT UNITS]])</f>
        <v>0</v>
      </c>
      <c r="AF584" s="44">
        <f>IF(INVESTORS_LIST[[#This Row],[TOTAL CURRENT UNITS]]=0,0,INVESTORS_LIST[[#This Row],[SIP_TOTAL CURRENT UNITS]]/INVESTORS_LIST[[#This Row],[TOTAL CURRENT UNITS]])</f>
        <v>0</v>
      </c>
      <c r="AG584" s="4" cm="1">
        <f t="array" ref="AG58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84" s="4" cm="1">
        <f t="array" ref="AH5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8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84" s="178">
        <f t="shared" si="15"/>
        <v>12.552</v>
      </c>
      <c r="AK584" s="118">
        <f>IF(INVESTORS_LIST[[#This Row],[TOTAL CURRENT UNITS]]=0,0,INVESTORS_LIST[[#This Row],[TOTAL CURRENT UNITS]]*INVESTORS_LIST[[#This Row],[NAV]])</f>
        <v>0</v>
      </c>
      <c r="AL584" s="4">
        <f>IF(INVESTORS_LIST[[#This Row],[LS_TOTAL CURRENT UNITS]]=0,0,INVESTORS_LIST[[#This Row],[LS_TOTAL CURRENT UNITS]]*INVESTORS_LIST[[#This Row],[NAV]])</f>
        <v>0</v>
      </c>
      <c r="AM584" s="6">
        <f>IF(INVESTORS_LIST[[#This Row],[SIP_TOTAL CURRENT UNITS]]=0,0,INVESTORS_LIST[[#This Row],[SIP_TOTAL CURRENT UNITS]]*INVESTORS_LIST[[#This Row],[NAV]])</f>
        <v>0</v>
      </c>
      <c r="AO584" s="6">
        <f>IF(INVESTORS_LIST[[#This Row],[TOTAL SELLABLE UNITS]]=0,0,INVESTORS_LIST[[#This Row],[TOTAL SELLABLE UNITS]]*INVESTORS_LIST[[#This Row],[NAV]])</f>
        <v>0</v>
      </c>
      <c r="AP584" s="6">
        <f>INVESTORS_LIST[[#This Row],[LS_TOTAL REALIZED GAIN]]+INVESTORS_LIST[[#This Row],[SIP_TOTAL REALIZED GAIN]]</f>
        <v>0</v>
      </c>
      <c r="AQ584" s="6">
        <f>INVESTORS_LIST[[#This Row],[TOTAL MARKET VALUE]]-INVESTORS_LIST[[#This Row],[TOTAL COST VALUE OF CURRENT INVESTMENT]]</f>
        <v>0</v>
      </c>
      <c r="AR584" s="6">
        <f>SUMIFS(DivAndTax[Tax Amount],DivAndTax[Investor ID],INVESTORS_LIST[[#This Row],[INVESTOR CODE]])</f>
        <v>0</v>
      </c>
      <c r="AS584" s="6">
        <f>SUMIFS(DivAndTax[Gross Dividend],DivAndTax[Investor ID],INVESTORS_LIST[[#This Row],[INVESTOR CODE]])</f>
        <v>0</v>
      </c>
      <c r="AT584" s="5">
        <f>IFERROR(INVESTORS_LIST[[#This Row],[TOTAL CURRENT UNITS]]/SUM(INVESTORS_LIST[TOTAL CURRENT UNITS]),0)</f>
        <v>0</v>
      </c>
    </row>
    <row r="585" spans="1:46" hidden="1">
      <c r="A585" t="s">
        <v>1360</v>
      </c>
      <c r="B585" t="s">
        <v>1361</v>
      </c>
      <c r="C585" t="s">
        <v>539</v>
      </c>
      <c r="D585" s="8" t="s">
        <v>2</v>
      </c>
      <c r="E585" s="2">
        <f>SUMIFS(LS[Unit],LS[Investor ID],INVESTORS_LIST[[#This Row],[INVESTOR CODE]],LS[B/S],"B")</f>
        <v>0</v>
      </c>
      <c r="F585" s="2">
        <f>-SUMIFS(LS[Unit],LS[Investor ID],INVESTORS_LIST[[#This Row],[INVESTOR CODE]],LS[B/S],"S")</f>
        <v>0</v>
      </c>
      <c r="G585" s="2">
        <f>IF(INVESTORS_LIST[[#This Row],[LS_TOTAL UNITS BUY]]=0,0,INVESTORS_LIST[[#This Row],[LS_TOTAL UNITS BUY]]-INVESTORS_LIST[[#This Row],[LS_TOTAL UNITS SOLD]])</f>
        <v>0</v>
      </c>
      <c r="H585" s="4">
        <f>IF(INVESTORS_LIST[[#This Row],[LS_TOTAL UNITS BUY]]=0,0,SUMIFS(LS[Amount],LS[Investor ID],INVESTORS_LIST[[#This Row],[INVESTOR CODE]],LS[B/S],"B"))</f>
        <v>0</v>
      </c>
      <c r="I585" s="6">
        <f>IF(INVESTORS_LIST[[#This Row],[LS_TOTAL UNITS SOLD]]=0,0,SUMIFS(LS[Cost of Units Sold],LS[Investor ID],INVESTORS_LIST[[#This Row],[INVESTOR CODE]],LS[B/S],"S"))</f>
        <v>0</v>
      </c>
      <c r="J585" s="6">
        <f>IF(INVESTORS_LIST[[#This Row],[LS_TOTAL CURRENT UNITS]]=0,0,INVESTORS_LIST[[#This Row],[LS_TOTAL CURRENT UNITS]]*INVESTORS_LIST[[#This Row],[LS_AVERAGE COST]])</f>
        <v>0</v>
      </c>
      <c r="K585" s="4">
        <f>IF(INVESTORS_LIST[[#This Row],[LS_TOTAL UNITS SOLD]]=0,0,SUMIFS(LS[Realized Gain],LS[Investor ID],INVESTORS_LIST[[#This Row],[INVESTOR CODE]],LS[B/S],"S"))</f>
        <v>0</v>
      </c>
      <c r="L585" s="2">
        <f>SUMIFS(SIP[Unit],SIP[Investor ID],INVESTORS_LIST[[#This Row],[INVESTOR CODE]],SIP[B/S],"B")</f>
        <v>0</v>
      </c>
      <c r="M585" s="2">
        <f>-SUMIFS(SIP[Unit],SIP[Investor ID],INVESTORS_LIST[[#This Row],[INVESTOR CODE]],SIP[B/S],"S")</f>
        <v>0</v>
      </c>
      <c r="N585" s="33">
        <f>IF(INVESTORS_LIST[[#This Row],[SIP_TOTAL UNITS BUY]]=0,0,INVESTORS_LIST[[#This Row],[SIP_TOTAL UNITS BUY]]-INVESTORS_LIST[[#This Row],[SIP_TOTAL UNITS SOLD]])</f>
        <v>0</v>
      </c>
      <c r="O585" s="4">
        <f>IF(INVESTORS_LIST[[#This Row],[SIP_TOTAL UNITS BUY]]=0,0,SUMIFS(SIP[Amount],SIP[Investor ID],INVESTORS_LIST[[#This Row],[INVESTOR CODE]],SIP[B/S],"B"))</f>
        <v>0</v>
      </c>
      <c r="P585" s="4">
        <f>IF(INVESTORS_LIST[[#This Row],[SIP_TOTAL UNITS SOLD]]=0,0,SUMIFS(SIP[Cost of Units Sold],SIP[Investor ID],INVESTORS_LIST[[#This Row],[INVESTOR CODE]],SIP[B/S],"S"))</f>
        <v>0</v>
      </c>
      <c r="Q585" s="6">
        <f>IF(INVESTORS_LIST[[#This Row],[SIP_TOTAL CURRENT UNITS]]=0,0,INVESTORS_LIST[[#This Row],[SIP_TOTAL CURRENT UNITS]]*INVESTORS_LIST[[#This Row],[SIP_AVERAGE COST]])</f>
        <v>0</v>
      </c>
      <c r="R585" s="6">
        <f>IF(INVESTORS_LIST[[#This Row],[SIP_TOTAL UNITS SOLD]]=0,0,SUMIFS(SIP[Realized Gain],SIP[Investor ID],INVESTORS_LIST[[#This Row],[INVESTOR CODE]],SIP[B/S],"S"))</f>
        <v>0</v>
      </c>
      <c r="S585" s="33">
        <f>INVESTORS_LIST[[#This Row],[LS_TOTAL UNITS BUY]]+INVESTORS_LIST[[#This Row],[SIP_TOTAL UNITS BUY]]</f>
        <v>0</v>
      </c>
      <c r="T585" s="33">
        <f>INVESTORS_LIST[[#This Row],[LS_TOTAL UNITS SOLD]]+INVESTORS_LIST[[#This Row],[SIP_TOTAL UNITS SOLD]]</f>
        <v>0</v>
      </c>
      <c r="U585" s="33">
        <v>0</v>
      </c>
      <c r="V585" s="33">
        <f>SUMIFS(LS[BO UNIT TRANSFER],LS[Investor ID],INVESTORS_LIST[[#This Row],[INVESTOR CODE]],LS[B/S],"B")</f>
        <v>0</v>
      </c>
      <c r="W585" s="33">
        <f>SUMIFS(LS[BO UNIT TRANSFER],LS[Investor ID],INVESTORS_LIST[[#This Row],[INVESTOR CODE]],LS[B/S],"S")</f>
        <v>0</v>
      </c>
      <c r="X585" s="33">
        <f>SUMIFS(SIP[BO UNIT TRANSFER],SIP[Investor ID],INVESTORS_LIST[[#This Row],[INVESTOR CODE]],SIP[B/S],"S")</f>
        <v>0</v>
      </c>
      <c r="Y585" s="33">
        <f>SUMIFS(SIP[BO UNIT TRANSFER],SIP[Investor ID],INVESTORS_LIST[[#This Row],[INVESTOR CODE]],SIP[B/S],"B")</f>
        <v>0</v>
      </c>
      <c r="Z58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85" s="119">
        <f>INVESTORS_LIST[[#This Row],[TOTAL UNITS BUY]]-INVESTORS_LIST[[#This Row],[TOTAL UNITS SOLD]]</f>
        <v>0</v>
      </c>
      <c r="AB585" s="119">
        <f>INVESTORS_LIST[[#This Row],[TOTAL CURRENT UNITS]]-INVESTORS_LIST[[#This Row],[BO UNITS HOLD]]</f>
        <v>0</v>
      </c>
      <c r="AC585" s="119" t="e">
        <f>INDEX([4]!Table_1[BO ID],MATCH(INVESTORS_LIST[[#This Row],[INVESTOR CODE]],[4]!Table_1[INVESTOR CODE],0))</f>
        <v>#REF!</v>
      </c>
      <c r="AD585" s="33">
        <f>INVESTORS_LIST[[#This Row],[LS_TOTAL COST VALUE OF CURRENT UNITS]]+INVESTORS_LIST[[#This Row],[SIP_TOTAL COST VALUE OF CURRENT UNITS]]</f>
        <v>0</v>
      </c>
      <c r="AE585" s="44">
        <f>IF(INVESTORS_LIST[[#This Row],[TOTAL CURRENT UNITS]]=0,0,INVESTORS_LIST[[#This Row],[LS_TOTAL CURRENT UNITS]]/INVESTORS_LIST[[#This Row],[TOTAL CURRENT UNITS]])</f>
        <v>0</v>
      </c>
      <c r="AF585" s="44">
        <f>IF(INVESTORS_LIST[[#This Row],[TOTAL CURRENT UNITS]]=0,0,INVESTORS_LIST[[#This Row],[SIP_TOTAL CURRENT UNITS]]/INVESTORS_LIST[[#This Row],[TOTAL CURRENT UNITS]])</f>
        <v>0</v>
      </c>
      <c r="AG585" s="4" cm="1">
        <f t="array" ref="AG5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85" s="4" cm="1">
        <f t="array" ref="AH58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8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85" s="178">
        <f t="shared" si="15"/>
        <v>12.552</v>
      </c>
      <c r="AK585" s="118">
        <f>IF(INVESTORS_LIST[[#This Row],[TOTAL CURRENT UNITS]]=0,0,INVESTORS_LIST[[#This Row],[TOTAL CURRENT UNITS]]*INVESTORS_LIST[[#This Row],[NAV]])</f>
        <v>0</v>
      </c>
      <c r="AL585" s="4">
        <f>IF(INVESTORS_LIST[[#This Row],[LS_TOTAL CURRENT UNITS]]=0,0,INVESTORS_LIST[[#This Row],[LS_TOTAL CURRENT UNITS]]*INVESTORS_LIST[[#This Row],[NAV]])</f>
        <v>0</v>
      </c>
      <c r="AM585" s="6">
        <f>IF(INVESTORS_LIST[[#This Row],[SIP_TOTAL CURRENT UNITS]]=0,0,INVESTORS_LIST[[#This Row],[SIP_TOTAL CURRENT UNITS]]*INVESTORS_LIST[[#This Row],[NAV]])</f>
        <v>0</v>
      </c>
      <c r="AO585" s="6">
        <f>IF(INVESTORS_LIST[[#This Row],[TOTAL SELLABLE UNITS]]=0,0,INVESTORS_LIST[[#This Row],[TOTAL SELLABLE UNITS]]*INVESTORS_LIST[[#This Row],[NAV]])</f>
        <v>0</v>
      </c>
      <c r="AP585" s="6">
        <f>INVESTORS_LIST[[#This Row],[LS_TOTAL REALIZED GAIN]]+INVESTORS_LIST[[#This Row],[SIP_TOTAL REALIZED GAIN]]</f>
        <v>0</v>
      </c>
      <c r="AQ585" s="6">
        <f>INVESTORS_LIST[[#This Row],[TOTAL MARKET VALUE]]-INVESTORS_LIST[[#This Row],[TOTAL COST VALUE OF CURRENT INVESTMENT]]</f>
        <v>0</v>
      </c>
      <c r="AR585" s="6">
        <f>SUMIFS(DivAndTax[Tax Amount],DivAndTax[Investor ID],INVESTORS_LIST[[#This Row],[INVESTOR CODE]])</f>
        <v>0</v>
      </c>
      <c r="AS585" s="6">
        <f>SUMIFS(DivAndTax[Gross Dividend],DivAndTax[Investor ID],INVESTORS_LIST[[#This Row],[INVESTOR CODE]])</f>
        <v>0</v>
      </c>
      <c r="AT585" s="5">
        <f>IFERROR(INVESTORS_LIST[[#This Row],[TOTAL CURRENT UNITS]]/SUM(INVESTORS_LIST[TOTAL CURRENT UNITS]),0)</f>
        <v>0</v>
      </c>
    </row>
    <row r="586" spans="1:46" hidden="1">
      <c r="A586" t="s">
        <v>1039</v>
      </c>
      <c r="B586" t="s">
        <v>1362</v>
      </c>
      <c r="C586" t="s">
        <v>536</v>
      </c>
      <c r="D586" s="8" t="s">
        <v>2</v>
      </c>
      <c r="E586" s="2">
        <f>SUMIFS(LS[Unit],LS[Investor ID],INVESTORS_LIST[[#This Row],[INVESTOR CODE]],LS[B/S],"B")</f>
        <v>0</v>
      </c>
      <c r="F586" s="2">
        <f>-SUMIFS(LS[Unit],LS[Investor ID],INVESTORS_LIST[[#This Row],[INVESTOR CODE]],LS[B/S],"S")</f>
        <v>0</v>
      </c>
      <c r="G586" s="2">
        <f>IF(INVESTORS_LIST[[#This Row],[LS_TOTAL UNITS BUY]]=0,0,INVESTORS_LIST[[#This Row],[LS_TOTAL UNITS BUY]]-INVESTORS_LIST[[#This Row],[LS_TOTAL UNITS SOLD]])</f>
        <v>0</v>
      </c>
      <c r="H586" s="4">
        <f>IF(INVESTORS_LIST[[#This Row],[LS_TOTAL UNITS BUY]]=0,0,SUMIFS(LS[Amount],LS[Investor ID],INVESTORS_LIST[[#This Row],[INVESTOR CODE]],LS[B/S],"B"))</f>
        <v>0</v>
      </c>
      <c r="I586" s="6">
        <f>IF(INVESTORS_LIST[[#This Row],[LS_TOTAL UNITS SOLD]]=0,0,SUMIFS(LS[Cost of Units Sold],LS[Investor ID],INVESTORS_LIST[[#This Row],[INVESTOR CODE]],LS[B/S],"S"))</f>
        <v>0</v>
      </c>
      <c r="J586" s="6">
        <f>IF(INVESTORS_LIST[[#This Row],[LS_TOTAL CURRENT UNITS]]=0,0,INVESTORS_LIST[[#This Row],[LS_TOTAL CURRENT UNITS]]*INVESTORS_LIST[[#This Row],[LS_AVERAGE COST]])</f>
        <v>0</v>
      </c>
      <c r="K586" s="4">
        <f>IF(INVESTORS_LIST[[#This Row],[LS_TOTAL UNITS SOLD]]=0,0,SUMIFS(LS[Realized Gain],LS[Investor ID],INVESTORS_LIST[[#This Row],[INVESTOR CODE]],LS[B/S],"S"))</f>
        <v>0</v>
      </c>
      <c r="L586" s="2">
        <f>SUMIFS(SIP[Unit],SIP[Investor ID],INVESTORS_LIST[[#This Row],[INVESTOR CODE]],SIP[B/S],"B")</f>
        <v>0</v>
      </c>
      <c r="M586" s="2">
        <f>-SUMIFS(SIP[Unit],SIP[Investor ID],INVESTORS_LIST[[#This Row],[INVESTOR CODE]],SIP[B/S],"S")</f>
        <v>0</v>
      </c>
      <c r="N586" s="33">
        <f>IF(INVESTORS_LIST[[#This Row],[SIP_TOTAL UNITS BUY]]=0,0,INVESTORS_LIST[[#This Row],[SIP_TOTAL UNITS BUY]]-INVESTORS_LIST[[#This Row],[SIP_TOTAL UNITS SOLD]])</f>
        <v>0</v>
      </c>
      <c r="O586" s="4">
        <f>IF(INVESTORS_LIST[[#This Row],[SIP_TOTAL UNITS BUY]]=0,0,SUMIFS(SIP[Amount],SIP[Investor ID],INVESTORS_LIST[[#This Row],[INVESTOR CODE]],SIP[B/S],"B"))</f>
        <v>0</v>
      </c>
      <c r="P586" s="4">
        <f>IF(INVESTORS_LIST[[#This Row],[SIP_TOTAL UNITS SOLD]]=0,0,SUMIFS(SIP[Cost of Units Sold],SIP[Investor ID],INVESTORS_LIST[[#This Row],[INVESTOR CODE]],SIP[B/S],"S"))</f>
        <v>0</v>
      </c>
      <c r="Q586" s="6">
        <f>IF(INVESTORS_LIST[[#This Row],[SIP_TOTAL CURRENT UNITS]]=0,0,INVESTORS_LIST[[#This Row],[SIP_TOTAL CURRENT UNITS]]*INVESTORS_LIST[[#This Row],[SIP_AVERAGE COST]])</f>
        <v>0</v>
      </c>
      <c r="R586" s="6">
        <f>IF(INVESTORS_LIST[[#This Row],[SIP_TOTAL UNITS SOLD]]=0,0,SUMIFS(SIP[Realized Gain],SIP[Investor ID],INVESTORS_LIST[[#This Row],[INVESTOR CODE]],SIP[B/S],"S"))</f>
        <v>0</v>
      </c>
      <c r="S586" s="33">
        <f>INVESTORS_LIST[[#This Row],[LS_TOTAL UNITS BUY]]+INVESTORS_LIST[[#This Row],[SIP_TOTAL UNITS BUY]]</f>
        <v>0</v>
      </c>
      <c r="T586" s="33">
        <f>INVESTORS_LIST[[#This Row],[LS_TOTAL UNITS SOLD]]+INVESTORS_LIST[[#This Row],[SIP_TOTAL UNITS SOLD]]</f>
        <v>0</v>
      </c>
      <c r="U586" s="33">
        <v>0</v>
      </c>
      <c r="V586" s="33">
        <f>SUMIFS(LS[BO UNIT TRANSFER],LS[Investor ID],INVESTORS_LIST[[#This Row],[INVESTOR CODE]],LS[B/S],"B")</f>
        <v>0</v>
      </c>
      <c r="W586" s="33">
        <f>SUMIFS(LS[BO UNIT TRANSFER],LS[Investor ID],INVESTORS_LIST[[#This Row],[INVESTOR CODE]],LS[B/S],"S")</f>
        <v>0</v>
      </c>
      <c r="X586" s="33">
        <f>SUMIFS(SIP[BO UNIT TRANSFER],SIP[Investor ID],INVESTORS_LIST[[#This Row],[INVESTOR CODE]],SIP[B/S],"S")</f>
        <v>0</v>
      </c>
      <c r="Y586" s="33">
        <f>SUMIFS(SIP[BO UNIT TRANSFER],SIP[Investor ID],INVESTORS_LIST[[#This Row],[INVESTOR CODE]],SIP[B/S],"B")</f>
        <v>0</v>
      </c>
      <c r="Z58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86" s="119">
        <f>INVESTORS_LIST[[#This Row],[TOTAL UNITS BUY]]-INVESTORS_LIST[[#This Row],[TOTAL UNITS SOLD]]</f>
        <v>0</v>
      </c>
      <c r="AB586" s="119">
        <f>INVESTORS_LIST[[#This Row],[TOTAL CURRENT UNITS]]-INVESTORS_LIST[[#This Row],[BO UNITS HOLD]]</f>
        <v>0</v>
      </c>
      <c r="AC586" s="119" t="e">
        <f>INDEX([4]!Table_1[BO ID],MATCH(INVESTORS_LIST[[#This Row],[INVESTOR CODE]],[4]!Table_1[INVESTOR CODE],0))</f>
        <v>#REF!</v>
      </c>
      <c r="AD586" s="33">
        <f>INVESTORS_LIST[[#This Row],[LS_TOTAL COST VALUE OF CURRENT UNITS]]+INVESTORS_LIST[[#This Row],[SIP_TOTAL COST VALUE OF CURRENT UNITS]]</f>
        <v>0</v>
      </c>
      <c r="AE586" s="44">
        <f>IF(INVESTORS_LIST[[#This Row],[TOTAL CURRENT UNITS]]=0,0,INVESTORS_LIST[[#This Row],[LS_TOTAL CURRENT UNITS]]/INVESTORS_LIST[[#This Row],[TOTAL CURRENT UNITS]])</f>
        <v>0</v>
      </c>
      <c r="AF586" s="44">
        <f>IF(INVESTORS_LIST[[#This Row],[TOTAL CURRENT UNITS]]=0,0,INVESTORS_LIST[[#This Row],[SIP_TOTAL CURRENT UNITS]]/INVESTORS_LIST[[#This Row],[TOTAL CURRENT UNITS]])</f>
        <v>0</v>
      </c>
      <c r="AG586" s="4" cm="1">
        <f t="array" ref="AG5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86" s="4" cm="1">
        <f t="array" ref="AH58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8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86" s="178">
        <f t="shared" si="15"/>
        <v>12.552</v>
      </c>
      <c r="AK586" s="118">
        <f>IF(INVESTORS_LIST[[#This Row],[TOTAL CURRENT UNITS]]=0,0,INVESTORS_LIST[[#This Row],[TOTAL CURRENT UNITS]]*INVESTORS_LIST[[#This Row],[NAV]])</f>
        <v>0</v>
      </c>
      <c r="AL586" s="4">
        <f>IF(INVESTORS_LIST[[#This Row],[LS_TOTAL CURRENT UNITS]]=0,0,INVESTORS_LIST[[#This Row],[LS_TOTAL CURRENT UNITS]]*INVESTORS_LIST[[#This Row],[NAV]])</f>
        <v>0</v>
      </c>
      <c r="AM586" s="6">
        <f>IF(INVESTORS_LIST[[#This Row],[SIP_TOTAL CURRENT UNITS]]=0,0,INVESTORS_LIST[[#This Row],[SIP_TOTAL CURRENT UNITS]]*INVESTORS_LIST[[#This Row],[NAV]])</f>
        <v>0</v>
      </c>
      <c r="AO586" s="6">
        <f>IF(INVESTORS_LIST[[#This Row],[TOTAL SELLABLE UNITS]]=0,0,INVESTORS_LIST[[#This Row],[TOTAL SELLABLE UNITS]]*INVESTORS_LIST[[#This Row],[NAV]])</f>
        <v>0</v>
      </c>
      <c r="AP586" s="6">
        <f>INVESTORS_LIST[[#This Row],[LS_TOTAL REALIZED GAIN]]+INVESTORS_LIST[[#This Row],[SIP_TOTAL REALIZED GAIN]]</f>
        <v>0</v>
      </c>
      <c r="AQ586" s="6">
        <f>INVESTORS_LIST[[#This Row],[TOTAL MARKET VALUE]]-INVESTORS_LIST[[#This Row],[TOTAL COST VALUE OF CURRENT INVESTMENT]]</f>
        <v>0</v>
      </c>
      <c r="AR586" s="6">
        <f>SUMIFS(DivAndTax[Tax Amount],DivAndTax[Investor ID],INVESTORS_LIST[[#This Row],[INVESTOR CODE]])</f>
        <v>0</v>
      </c>
      <c r="AS586" s="6">
        <f>SUMIFS(DivAndTax[Gross Dividend],DivAndTax[Investor ID],INVESTORS_LIST[[#This Row],[INVESTOR CODE]])</f>
        <v>0</v>
      </c>
      <c r="AT586" s="5">
        <f>IFERROR(INVESTORS_LIST[[#This Row],[TOTAL CURRENT UNITS]]/SUM(INVESTORS_LIST[TOTAL CURRENT UNITS]),0)</f>
        <v>0</v>
      </c>
    </row>
    <row r="587" spans="1:46">
      <c r="A587" t="s">
        <v>1363</v>
      </c>
      <c r="B587" t="s">
        <v>1364</v>
      </c>
      <c r="C587" t="s">
        <v>536</v>
      </c>
      <c r="D587" s="8" t="s">
        <v>2</v>
      </c>
      <c r="E587" s="2">
        <f>SUMIFS(LS[Unit],LS[Investor ID],INVESTORS_LIST[[#This Row],[INVESTOR CODE]],LS[B/S],"B")</f>
        <v>0</v>
      </c>
      <c r="F587" s="2">
        <f>-SUMIFS(LS[Unit],LS[Investor ID],INVESTORS_LIST[[#This Row],[INVESTOR CODE]],LS[B/S],"S")</f>
        <v>0</v>
      </c>
      <c r="G587" s="2">
        <f>IF(INVESTORS_LIST[[#This Row],[LS_TOTAL UNITS BUY]]=0,0,INVESTORS_LIST[[#This Row],[LS_TOTAL UNITS BUY]]-INVESTORS_LIST[[#This Row],[LS_TOTAL UNITS SOLD]])</f>
        <v>0</v>
      </c>
      <c r="H587" s="4">
        <f>IF(INVESTORS_LIST[[#This Row],[LS_TOTAL UNITS BUY]]=0,0,SUMIFS(LS[Amount],LS[Investor ID],INVESTORS_LIST[[#This Row],[INVESTOR CODE]],LS[B/S],"B"))</f>
        <v>0</v>
      </c>
      <c r="I587" s="6">
        <f>IF(INVESTORS_LIST[[#This Row],[LS_TOTAL UNITS SOLD]]=0,0,SUMIFS(LS[Cost of Units Sold],LS[Investor ID],INVESTORS_LIST[[#This Row],[INVESTOR CODE]],LS[B/S],"S"))</f>
        <v>0</v>
      </c>
      <c r="J587" s="6">
        <f>IF(INVESTORS_LIST[[#This Row],[LS_TOTAL CURRENT UNITS]]=0,0,INVESTORS_LIST[[#This Row],[LS_TOTAL CURRENT UNITS]]*INVESTORS_LIST[[#This Row],[LS_AVERAGE COST]])</f>
        <v>0</v>
      </c>
      <c r="K587" s="4">
        <f>IF(INVESTORS_LIST[[#This Row],[LS_TOTAL UNITS SOLD]]=0,0,SUMIFS(LS[Realized Gain],LS[Investor ID],INVESTORS_LIST[[#This Row],[INVESTOR CODE]],LS[B/S],"S"))</f>
        <v>0</v>
      </c>
      <c r="L587" s="2">
        <f>SUMIFS(SIP[Unit],SIP[Investor ID],INVESTORS_LIST[[#This Row],[INVESTOR CODE]],SIP[B/S],"B")</f>
        <v>1482</v>
      </c>
      <c r="M587" s="2">
        <f>-SUMIFS(SIP[Unit],SIP[Investor ID],INVESTORS_LIST[[#This Row],[INVESTOR CODE]],SIP[B/S],"S")</f>
        <v>0</v>
      </c>
      <c r="N587" s="33">
        <f>IF(INVESTORS_LIST[[#This Row],[SIP_TOTAL UNITS BUY]]=0,0,INVESTORS_LIST[[#This Row],[SIP_TOTAL UNITS BUY]]-INVESTORS_LIST[[#This Row],[SIP_TOTAL UNITS SOLD]])</f>
        <v>1482</v>
      </c>
      <c r="O587" s="4">
        <f>IF(INVESTORS_LIST[[#This Row],[SIP_TOTAL UNITS BUY]]=0,0,SUMIFS(SIP[Amount],SIP[Investor ID],INVESTORS_LIST[[#This Row],[INVESTOR CODE]],SIP[B/S],"B"))</f>
        <v>20000</v>
      </c>
      <c r="P587" s="4">
        <f>IF(INVESTORS_LIST[[#This Row],[SIP_TOTAL UNITS SOLD]]=0,0,SUMIFS(SIP[Cost of Units Sold],SIP[Investor ID],INVESTORS_LIST[[#This Row],[INVESTOR CODE]],SIP[B/S],"S"))</f>
        <v>0</v>
      </c>
      <c r="Q587" s="6">
        <f>IF(INVESTORS_LIST[[#This Row],[SIP_TOTAL CURRENT UNITS]]=0,0,INVESTORS_LIST[[#This Row],[SIP_TOTAL CURRENT UNITS]]*INVESTORS_LIST[[#This Row],[SIP_AVERAGE COST]])</f>
        <v>20000</v>
      </c>
      <c r="R587" s="6">
        <f>IF(INVESTORS_LIST[[#This Row],[SIP_TOTAL UNITS SOLD]]=0,0,SUMIFS(SIP[Realized Gain],SIP[Investor ID],INVESTORS_LIST[[#This Row],[INVESTOR CODE]],SIP[B/S],"S"))</f>
        <v>0</v>
      </c>
      <c r="S587" s="33">
        <f>INVESTORS_LIST[[#This Row],[LS_TOTAL UNITS BUY]]+INVESTORS_LIST[[#This Row],[SIP_TOTAL UNITS BUY]]</f>
        <v>1482</v>
      </c>
      <c r="T587" s="33">
        <f>INVESTORS_LIST[[#This Row],[LS_TOTAL UNITS SOLD]]+INVESTORS_LIST[[#This Row],[SIP_TOTAL UNITS SOLD]]</f>
        <v>0</v>
      </c>
      <c r="U587" s="33">
        <v>0</v>
      </c>
      <c r="V587" s="33">
        <f>SUMIFS(LS[BO UNIT TRANSFER],LS[Investor ID],INVESTORS_LIST[[#This Row],[INVESTOR CODE]],LS[B/S],"B")</f>
        <v>0</v>
      </c>
      <c r="W587" s="33">
        <f>SUMIFS(LS[BO UNIT TRANSFER],LS[Investor ID],INVESTORS_LIST[[#This Row],[INVESTOR CODE]],LS[B/S],"S")</f>
        <v>0</v>
      </c>
      <c r="X587" s="33">
        <f>SUMIFS(SIP[BO UNIT TRANSFER],SIP[Investor ID],INVESTORS_LIST[[#This Row],[INVESTOR CODE]],SIP[B/S],"S")</f>
        <v>0</v>
      </c>
      <c r="Y587" s="33">
        <f>SUMIFS(SIP[BO UNIT TRANSFER],SIP[Investor ID],INVESTORS_LIST[[#This Row],[INVESTOR CODE]],SIP[B/S],"B")</f>
        <v>0</v>
      </c>
      <c r="Z58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87" s="119">
        <f>INVESTORS_LIST[[#This Row],[TOTAL UNITS BUY]]-INVESTORS_LIST[[#This Row],[TOTAL UNITS SOLD]]</f>
        <v>1482</v>
      </c>
      <c r="AB587" s="119">
        <f>INVESTORS_LIST[[#This Row],[TOTAL CURRENT UNITS]]-INVESTORS_LIST[[#This Row],[BO UNITS HOLD]]</f>
        <v>1482</v>
      </c>
      <c r="AC587" s="119" t="e">
        <f>INDEX([4]!Table_1[BO ID],MATCH(INVESTORS_LIST[[#This Row],[INVESTOR CODE]],[4]!Table_1[INVESTOR CODE],0))</f>
        <v>#REF!</v>
      </c>
      <c r="AD587" s="33">
        <f>INVESTORS_LIST[[#This Row],[LS_TOTAL COST VALUE OF CURRENT UNITS]]+INVESTORS_LIST[[#This Row],[SIP_TOTAL COST VALUE OF CURRENT UNITS]]</f>
        <v>20000</v>
      </c>
      <c r="AE587" s="44">
        <f>IF(INVESTORS_LIST[[#This Row],[TOTAL CURRENT UNITS]]=0,0,INVESTORS_LIST[[#This Row],[LS_TOTAL CURRENT UNITS]]/INVESTORS_LIST[[#This Row],[TOTAL CURRENT UNITS]])</f>
        <v>0</v>
      </c>
      <c r="AF587" s="44">
        <f>IF(INVESTORS_LIST[[#This Row],[TOTAL CURRENT UNITS]]=0,0,INVESTORS_LIST[[#This Row],[SIP_TOTAL CURRENT UNITS]]/INVESTORS_LIST[[#This Row],[TOTAL CURRENT UNITS]])</f>
        <v>1</v>
      </c>
      <c r="AG587" s="4" cm="1">
        <f t="array" ref="AG58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87" s="4" cm="1">
        <f t="array" ref="AH587">IF(INVESTORS_LIST[[#This Row],[SIP_TOTAL UNITS BUY]]&gt;0,INDEX(SIP[NAV at Cost (Average)],MATCH(CONCATENATE(COUNTIFS(SIP[Investor ID],INVESTORS_LIST[[#This Row],[INVESTOR CODE]]),INVESTORS_LIST[[#This Row],[INVESTOR CODE]]),SIP[Unique Code],0),),0)</f>
        <v>13.495276653171389</v>
      </c>
      <c r="AI587" s="178">
        <f>IF(INVESTORS_LIST[[#This Row],[TOTAL CURRENT UNITS]]=0,0,(INVESTORS_LIST[[#This Row],[LS_WEIGHT]]*INVESTORS_LIST[[#This Row],[LS_AVERAGE COST]])+(INVESTORS_LIST[[#This Row],[SIP_WEIGHT]]*INVESTORS_LIST[[#This Row],[SIP_AVERAGE COST]]))</f>
        <v>13.495276653171389</v>
      </c>
      <c r="AJ587" s="178">
        <f t="shared" si="15"/>
        <v>12.552</v>
      </c>
      <c r="AK587" s="118">
        <f>IF(INVESTORS_LIST[[#This Row],[TOTAL CURRENT UNITS]]=0,0,INVESTORS_LIST[[#This Row],[TOTAL CURRENT UNITS]]*INVESTORS_LIST[[#This Row],[NAV]])</f>
        <v>18602.063999999998</v>
      </c>
      <c r="AL587" s="4">
        <f>IF(INVESTORS_LIST[[#This Row],[LS_TOTAL CURRENT UNITS]]=0,0,INVESTORS_LIST[[#This Row],[LS_TOTAL CURRENT UNITS]]*INVESTORS_LIST[[#This Row],[NAV]])</f>
        <v>0</v>
      </c>
      <c r="AM587" s="6">
        <f>IF(INVESTORS_LIST[[#This Row],[SIP_TOTAL CURRENT UNITS]]=0,0,INVESTORS_LIST[[#This Row],[SIP_TOTAL CURRENT UNITS]]*INVESTORS_LIST[[#This Row],[NAV]])</f>
        <v>18602.063999999998</v>
      </c>
      <c r="AO587" s="6">
        <f>IF(INVESTORS_LIST[[#This Row],[TOTAL SELLABLE UNITS]]=0,0,INVESTORS_LIST[[#This Row],[TOTAL SELLABLE UNITS]]*INVESTORS_LIST[[#This Row],[NAV]])</f>
        <v>0</v>
      </c>
      <c r="AP587" s="6">
        <f>INVESTORS_LIST[[#This Row],[LS_TOTAL REALIZED GAIN]]+INVESTORS_LIST[[#This Row],[SIP_TOTAL REALIZED GAIN]]</f>
        <v>0</v>
      </c>
      <c r="AQ587" s="6">
        <f>INVESTORS_LIST[[#This Row],[TOTAL MARKET VALUE]]-INVESTORS_LIST[[#This Row],[TOTAL COST VALUE OF CURRENT INVESTMENT]]</f>
        <v>-1397.9360000000015</v>
      </c>
      <c r="AR587" s="6">
        <f>SUMIFS(DivAndTax[Tax Amount],DivAndTax[Investor ID],INVESTORS_LIST[[#This Row],[INVESTOR CODE]])</f>
        <v>0</v>
      </c>
      <c r="AS587" s="6">
        <f>SUMIFS(DivAndTax[Gross Dividend],DivAndTax[Investor ID],INVESTORS_LIST[[#This Row],[INVESTOR CODE]])</f>
        <v>0</v>
      </c>
      <c r="AT587" s="5">
        <f>IFERROR(INVESTORS_LIST[[#This Row],[TOTAL CURRENT UNITS]]/SUM(INVESTORS_LIST[TOTAL CURRENT UNITS]),0)</f>
        <v>7.1054245553500101E-5</v>
      </c>
    </row>
    <row r="588" spans="1:46" hidden="1">
      <c r="A588" t="s">
        <v>1365</v>
      </c>
      <c r="B588" t="s">
        <v>1366</v>
      </c>
      <c r="C588" t="s">
        <v>539</v>
      </c>
      <c r="D588" s="8" t="s">
        <v>2</v>
      </c>
      <c r="E588" s="2">
        <f>SUMIFS(LS[Unit],LS[Investor ID],INVESTORS_LIST[[#This Row],[INVESTOR CODE]],LS[B/S],"B")</f>
        <v>0</v>
      </c>
      <c r="F588" s="2">
        <f>-SUMIFS(LS[Unit],LS[Investor ID],INVESTORS_LIST[[#This Row],[INVESTOR CODE]],LS[B/S],"S")</f>
        <v>0</v>
      </c>
      <c r="G588" s="2">
        <f>IF(INVESTORS_LIST[[#This Row],[LS_TOTAL UNITS BUY]]=0,0,INVESTORS_LIST[[#This Row],[LS_TOTAL UNITS BUY]]-INVESTORS_LIST[[#This Row],[LS_TOTAL UNITS SOLD]])</f>
        <v>0</v>
      </c>
      <c r="H588" s="4">
        <f>IF(INVESTORS_LIST[[#This Row],[LS_TOTAL UNITS BUY]]=0,0,SUMIFS(LS[Amount],LS[Investor ID],INVESTORS_LIST[[#This Row],[INVESTOR CODE]],LS[B/S],"B"))</f>
        <v>0</v>
      </c>
      <c r="I588" s="6">
        <f>IF(INVESTORS_LIST[[#This Row],[LS_TOTAL UNITS SOLD]]=0,0,SUMIFS(LS[Cost of Units Sold],LS[Investor ID],INVESTORS_LIST[[#This Row],[INVESTOR CODE]],LS[B/S],"S"))</f>
        <v>0</v>
      </c>
      <c r="J588" s="6">
        <f>IF(INVESTORS_LIST[[#This Row],[LS_TOTAL CURRENT UNITS]]=0,0,INVESTORS_LIST[[#This Row],[LS_TOTAL CURRENT UNITS]]*INVESTORS_LIST[[#This Row],[LS_AVERAGE COST]])</f>
        <v>0</v>
      </c>
      <c r="K588" s="4">
        <f>IF(INVESTORS_LIST[[#This Row],[LS_TOTAL UNITS SOLD]]=0,0,SUMIFS(LS[Realized Gain],LS[Investor ID],INVESTORS_LIST[[#This Row],[INVESTOR CODE]],LS[B/S],"S"))</f>
        <v>0</v>
      </c>
      <c r="L588" s="2">
        <f>SUMIFS(SIP[Unit],SIP[Investor ID],INVESTORS_LIST[[#This Row],[INVESTOR CODE]],SIP[B/S],"B")</f>
        <v>0</v>
      </c>
      <c r="M588" s="2">
        <f>-SUMIFS(SIP[Unit],SIP[Investor ID],INVESTORS_LIST[[#This Row],[INVESTOR CODE]],SIP[B/S],"S")</f>
        <v>0</v>
      </c>
      <c r="N588" s="33">
        <f>IF(INVESTORS_LIST[[#This Row],[SIP_TOTAL UNITS BUY]]=0,0,INVESTORS_LIST[[#This Row],[SIP_TOTAL UNITS BUY]]-INVESTORS_LIST[[#This Row],[SIP_TOTAL UNITS SOLD]])</f>
        <v>0</v>
      </c>
      <c r="O588" s="4">
        <f>IF(INVESTORS_LIST[[#This Row],[SIP_TOTAL UNITS BUY]]=0,0,SUMIFS(SIP[Amount],SIP[Investor ID],INVESTORS_LIST[[#This Row],[INVESTOR CODE]],SIP[B/S],"B"))</f>
        <v>0</v>
      </c>
      <c r="P588" s="4">
        <f>IF(INVESTORS_LIST[[#This Row],[SIP_TOTAL UNITS SOLD]]=0,0,SUMIFS(SIP[Cost of Units Sold],SIP[Investor ID],INVESTORS_LIST[[#This Row],[INVESTOR CODE]],SIP[B/S],"S"))</f>
        <v>0</v>
      </c>
      <c r="Q588" s="6">
        <f>IF(INVESTORS_LIST[[#This Row],[SIP_TOTAL CURRENT UNITS]]=0,0,INVESTORS_LIST[[#This Row],[SIP_TOTAL CURRENT UNITS]]*INVESTORS_LIST[[#This Row],[SIP_AVERAGE COST]])</f>
        <v>0</v>
      </c>
      <c r="R588" s="6">
        <f>IF(INVESTORS_LIST[[#This Row],[SIP_TOTAL UNITS SOLD]]=0,0,SUMIFS(SIP[Realized Gain],SIP[Investor ID],INVESTORS_LIST[[#This Row],[INVESTOR CODE]],SIP[B/S],"S"))</f>
        <v>0</v>
      </c>
      <c r="S588" s="33">
        <f>INVESTORS_LIST[[#This Row],[LS_TOTAL UNITS BUY]]+INVESTORS_LIST[[#This Row],[SIP_TOTAL UNITS BUY]]</f>
        <v>0</v>
      </c>
      <c r="T588" s="33">
        <f>INVESTORS_LIST[[#This Row],[LS_TOTAL UNITS SOLD]]+INVESTORS_LIST[[#This Row],[SIP_TOTAL UNITS SOLD]]</f>
        <v>0</v>
      </c>
      <c r="U588" s="33">
        <v>0</v>
      </c>
      <c r="V588" s="33">
        <f>SUMIFS(LS[BO UNIT TRANSFER],LS[Investor ID],INVESTORS_LIST[[#This Row],[INVESTOR CODE]],LS[B/S],"B")</f>
        <v>0</v>
      </c>
      <c r="W588" s="33">
        <f>SUMIFS(LS[BO UNIT TRANSFER],LS[Investor ID],INVESTORS_LIST[[#This Row],[INVESTOR CODE]],LS[B/S],"S")</f>
        <v>0</v>
      </c>
      <c r="X588" s="33">
        <f>SUMIFS(SIP[BO UNIT TRANSFER],SIP[Investor ID],INVESTORS_LIST[[#This Row],[INVESTOR CODE]],SIP[B/S],"S")</f>
        <v>0</v>
      </c>
      <c r="Y588" s="33">
        <f>SUMIFS(SIP[BO UNIT TRANSFER],SIP[Investor ID],INVESTORS_LIST[[#This Row],[INVESTOR CODE]],SIP[B/S],"B")</f>
        <v>0</v>
      </c>
      <c r="Z58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88" s="119">
        <f>INVESTORS_LIST[[#This Row],[TOTAL UNITS BUY]]-INVESTORS_LIST[[#This Row],[TOTAL UNITS SOLD]]</f>
        <v>0</v>
      </c>
      <c r="AB588" s="119">
        <f>INVESTORS_LIST[[#This Row],[TOTAL CURRENT UNITS]]-INVESTORS_LIST[[#This Row],[BO UNITS HOLD]]</f>
        <v>0</v>
      </c>
      <c r="AC588" s="119" t="e">
        <f>INDEX([4]!Table_1[BO ID],MATCH(INVESTORS_LIST[[#This Row],[INVESTOR CODE]],[4]!Table_1[INVESTOR CODE],0))</f>
        <v>#REF!</v>
      </c>
      <c r="AD588" s="33">
        <f>INVESTORS_LIST[[#This Row],[LS_TOTAL COST VALUE OF CURRENT UNITS]]+INVESTORS_LIST[[#This Row],[SIP_TOTAL COST VALUE OF CURRENT UNITS]]</f>
        <v>0</v>
      </c>
      <c r="AE588" s="44">
        <f>IF(INVESTORS_LIST[[#This Row],[TOTAL CURRENT UNITS]]=0,0,INVESTORS_LIST[[#This Row],[LS_TOTAL CURRENT UNITS]]/INVESTORS_LIST[[#This Row],[TOTAL CURRENT UNITS]])</f>
        <v>0</v>
      </c>
      <c r="AF588" s="44">
        <f>IF(INVESTORS_LIST[[#This Row],[TOTAL CURRENT UNITS]]=0,0,INVESTORS_LIST[[#This Row],[SIP_TOTAL CURRENT UNITS]]/INVESTORS_LIST[[#This Row],[TOTAL CURRENT UNITS]])</f>
        <v>0</v>
      </c>
      <c r="AG588" s="4" cm="1">
        <f t="array" ref="AG58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88" s="4" cm="1">
        <f t="array" ref="AH58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8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88" s="178">
        <f t="shared" si="15"/>
        <v>12.552</v>
      </c>
      <c r="AK588" s="118">
        <f>IF(INVESTORS_LIST[[#This Row],[TOTAL CURRENT UNITS]]=0,0,INVESTORS_LIST[[#This Row],[TOTAL CURRENT UNITS]]*INVESTORS_LIST[[#This Row],[NAV]])</f>
        <v>0</v>
      </c>
      <c r="AL588" s="4">
        <f>IF(INVESTORS_LIST[[#This Row],[LS_TOTAL CURRENT UNITS]]=0,0,INVESTORS_LIST[[#This Row],[LS_TOTAL CURRENT UNITS]]*INVESTORS_LIST[[#This Row],[NAV]])</f>
        <v>0</v>
      </c>
      <c r="AM588" s="6">
        <f>IF(INVESTORS_LIST[[#This Row],[SIP_TOTAL CURRENT UNITS]]=0,0,INVESTORS_LIST[[#This Row],[SIP_TOTAL CURRENT UNITS]]*INVESTORS_LIST[[#This Row],[NAV]])</f>
        <v>0</v>
      </c>
      <c r="AO588" s="6">
        <f>IF(INVESTORS_LIST[[#This Row],[TOTAL SELLABLE UNITS]]=0,0,INVESTORS_LIST[[#This Row],[TOTAL SELLABLE UNITS]]*INVESTORS_LIST[[#This Row],[NAV]])</f>
        <v>0</v>
      </c>
      <c r="AP588" s="6">
        <f>INVESTORS_LIST[[#This Row],[LS_TOTAL REALIZED GAIN]]+INVESTORS_LIST[[#This Row],[SIP_TOTAL REALIZED GAIN]]</f>
        <v>0</v>
      </c>
      <c r="AQ588" s="6">
        <f>INVESTORS_LIST[[#This Row],[TOTAL MARKET VALUE]]-INVESTORS_LIST[[#This Row],[TOTAL COST VALUE OF CURRENT INVESTMENT]]</f>
        <v>0</v>
      </c>
      <c r="AR588" s="6">
        <f>SUMIFS(DivAndTax[Tax Amount],DivAndTax[Investor ID],INVESTORS_LIST[[#This Row],[INVESTOR CODE]])</f>
        <v>0</v>
      </c>
      <c r="AS588" s="6">
        <f>SUMIFS(DivAndTax[Gross Dividend],DivAndTax[Investor ID],INVESTORS_LIST[[#This Row],[INVESTOR CODE]])</f>
        <v>0</v>
      </c>
      <c r="AT588" s="5">
        <f>IFERROR(INVESTORS_LIST[[#This Row],[TOTAL CURRENT UNITS]]/SUM(INVESTORS_LIST[TOTAL CURRENT UNITS]),0)</f>
        <v>0</v>
      </c>
    </row>
    <row r="589" spans="1:46" hidden="1">
      <c r="A589" t="s">
        <v>1367</v>
      </c>
      <c r="B589" t="s">
        <v>1368</v>
      </c>
      <c r="C589" t="s">
        <v>537</v>
      </c>
      <c r="D589" s="8" t="s">
        <v>5</v>
      </c>
      <c r="E589" s="2">
        <f>SUMIFS(LS[Unit],LS[Investor ID],INVESTORS_LIST[[#This Row],[INVESTOR CODE]],LS[B/S],"B")</f>
        <v>0</v>
      </c>
      <c r="F589" s="2">
        <f>-SUMIFS(LS[Unit],LS[Investor ID],INVESTORS_LIST[[#This Row],[INVESTOR CODE]],LS[B/S],"S")</f>
        <v>0</v>
      </c>
      <c r="G589" s="2">
        <f>IF(INVESTORS_LIST[[#This Row],[LS_TOTAL UNITS BUY]]=0,0,INVESTORS_LIST[[#This Row],[LS_TOTAL UNITS BUY]]-INVESTORS_LIST[[#This Row],[LS_TOTAL UNITS SOLD]])</f>
        <v>0</v>
      </c>
      <c r="H589" s="4">
        <f>IF(INVESTORS_LIST[[#This Row],[LS_TOTAL UNITS BUY]]=0,0,SUMIFS(LS[Amount],LS[Investor ID],INVESTORS_LIST[[#This Row],[INVESTOR CODE]],LS[B/S],"B"))</f>
        <v>0</v>
      </c>
      <c r="I589" s="6">
        <f>IF(INVESTORS_LIST[[#This Row],[LS_TOTAL UNITS SOLD]]=0,0,SUMIFS(LS[Cost of Units Sold],LS[Investor ID],INVESTORS_LIST[[#This Row],[INVESTOR CODE]],LS[B/S],"S"))</f>
        <v>0</v>
      </c>
      <c r="J589" s="6">
        <f>IF(INVESTORS_LIST[[#This Row],[LS_TOTAL CURRENT UNITS]]=0,0,INVESTORS_LIST[[#This Row],[LS_TOTAL CURRENT UNITS]]*INVESTORS_LIST[[#This Row],[LS_AVERAGE COST]])</f>
        <v>0</v>
      </c>
      <c r="K589" s="4">
        <f>IF(INVESTORS_LIST[[#This Row],[LS_TOTAL UNITS SOLD]]=0,0,SUMIFS(LS[Realized Gain],LS[Investor ID],INVESTORS_LIST[[#This Row],[INVESTOR CODE]],LS[B/S],"S"))</f>
        <v>0</v>
      </c>
      <c r="L589" s="2">
        <f>SUMIFS(SIP[Unit],SIP[Investor ID],INVESTORS_LIST[[#This Row],[INVESTOR CODE]],SIP[B/S],"B")</f>
        <v>0</v>
      </c>
      <c r="M589" s="2">
        <f>-SUMIFS(SIP[Unit],SIP[Investor ID],INVESTORS_LIST[[#This Row],[INVESTOR CODE]],SIP[B/S],"S")</f>
        <v>0</v>
      </c>
      <c r="N589" s="33">
        <f>IF(INVESTORS_LIST[[#This Row],[SIP_TOTAL UNITS BUY]]=0,0,INVESTORS_LIST[[#This Row],[SIP_TOTAL UNITS BUY]]-INVESTORS_LIST[[#This Row],[SIP_TOTAL UNITS SOLD]])</f>
        <v>0</v>
      </c>
      <c r="O589" s="4">
        <f>IF(INVESTORS_LIST[[#This Row],[SIP_TOTAL UNITS BUY]]=0,0,SUMIFS(SIP[Amount],SIP[Investor ID],INVESTORS_LIST[[#This Row],[INVESTOR CODE]],SIP[B/S],"B"))</f>
        <v>0</v>
      </c>
      <c r="P589" s="4">
        <f>IF(INVESTORS_LIST[[#This Row],[SIP_TOTAL UNITS SOLD]]=0,0,SUMIFS(SIP[Cost of Units Sold],SIP[Investor ID],INVESTORS_LIST[[#This Row],[INVESTOR CODE]],SIP[B/S],"S"))</f>
        <v>0</v>
      </c>
      <c r="Q589" s="6">
        <f>IF(INVESTORS_LIST[[#This Row],[SIP_TOTAL CURRENT UNITS]]=0,0,INVESTORS_LIST[[#This Row],[SIP_TOTAL CURRENT UNITS]]*INVESTORS_LIST[[#This Row],[SIP_AVERAGE COST]])</f>
        <v>0</v>
      </c>
      <c r="R589" s="6">
        <f>IF(INVESTORS_LIST[[#This Row],[SIP_TOTAL UNITS SOLD]]=0,0,SUMIFS(SIP[Realized Gain],SIP[Investor ID],INVESTORS_LIST[[#This Row],[INVESTOR CODE]],SIP[B/S],"S"))</f>
        <v>0</v>
      </c>
      <c r="S589" s="33">
        <f>INVESTORS_LIST[[#This Row],[LS_TOTAL UNITS BUY]]+INVESTORS_LIST[[#This Row],[SIP_TOTAL UNITS BUY]]</f>
        <v>0</v>
      </c>
      <c r="T589" s="33">
        <f>INVESTORS_LIST[[#This Row],[LS_TOTAL UNITS SOLD]]+INVESTORS_LIST[[#This Row],[SIP_TOTAL UNITS SOLD]]</f>
        <v>0</v>
      </c>
      <c r="U589" s="33">
        <v>0</v>
      </c>
      <c r="V589" s="33">
        <f>SUMIFS(LS[BO UNIT TRANSFER],LS[Investor ID],INVESTORS_LIST[[#This Row],[INVESTOR CODE]],LS[B/S],"B")</f>
        <v>0</v>
      </c>
      <c r="W589" s="33">
        <f>SUMIFS(LS[BO UNIT TRANSFER],LS[Investor ID],INVESTORS_LIST[[#This Row],[INVESTOR CODE]],LS[B/S],"S")</f>
        <v>0</v>
      </c>
      <c r="X589" s="33">
        <f>SUMIFS(SIP[BO UNIT TRANSFER],SIP[Investor ID],INVESTORS_LIST[[#This Row],[INVESTOR CODE]],SIP[B/S],"S")</f>
        <v>0</v>
      </c>
      <c r="Y589" s="33">
        <f>SUMIFS(SIP[BO UNIT TRANSFER],SIP[Investor ID],INVESTORS_LIST[[#This Row],[INVESTOR CODE]],SIP[B/S],"B")</f>
        <v>0</v>
      </c>
      <c r="Z58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89" s="119">
        <f>INVESTORS_LIST[[#This Row],[TOTAL UNITS BUY]]-INVESTORS_LIST[[#This Row],[TOTAL UNITS SOLD]]</f>
        <v>0</v>
      </c>
      <c r="AB589" s="119">
        <f>INVESTORS_LIST[[#This Row],[TOTAL CURRENT UNITS]]-INVESTORS_LIST[[#This Row],[BO UNITS HOLD]]</f>
        <v>0</v>
      </c>
      <c r="AC589" s="119" t="e">
        <f>INDEX([4]!Table_1[BO ID],MATCH(INVESTORS_LIST[[#This Row],[INVESTOR CODE]],[4]!Table_1[INVESTOR CODE],0))</f>
        <v>#REF!</v>
      </c>
      <c r="AD589" s="33">
        <f>INVESTORS_LIST[[#This Row],[LS_TOTAL COST VALUE OF CURRENT UNITS]]+INVESTORS_LIST[[#This Row],[SIP_TOTAL COST VALUE OF CURRENT UNITS]]</f>
        <v>0</v>
      </c>
      <c r="AE589" s="44">
        <f>IF(INVESTORS_LIST[[#This Row],[TOTAL CURRENT UNITS]]=0,0,INVESTORS_LIST[[#This Row],[LS_TOTAL CURRENT UNITS]]/INVESTORS_LIST[[#This Row],[TOTAL CURRENT UNITS]])</f>
        <v>0</v>
      </c>
      <c r="AF589" s="44">
        <f>IF(INVESTORS_LIST[[#This Row],[TOTAL CURRENT UNITS]]=0,0,INVESTORS_LIST[[#This Row],[SIP_TOTAL CURRENT UNITS]]/INVESTORS_LIST[[#This Row],[TOTAL CURRENT UNITS]])</f>
        <v>0</v>
      </c>
      <c r="AG589" s="4" cm="1">
        <f t="array" ref="AG58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89" s="4" cm="1">
        <f t="array" ref="AH58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8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89" s="178">
        <f t="shared" si="15"/>
        <v>12.552</v>
      </c>
      <c r="AK589" s="118">
        <f>IF(INVESTORS_LIST[[#This Row],[TOTAL CURRENT UNITS]]=0,0,INVESTORS_LIST[[#This Row],[TOTAL CURRENT UNITS]]*INVESTORS_LIST[[#This Row],[NAV]])</f>
        <v>0</v>
      </c>
      <c r="AL589" s="4">
        <f>IF(INVESTORS_LIST[[#This Row],[LS_TOTAL CURRENT UNITS]]=0,0,INVESTORS_LIST[[#This Row],[LS_TOTAL CURRENT UNITS]]*INVESTORS_LIST[[#This Row],[NAV]])</f>
        <v>0</v>
      </c>
      <c r="AM589" s="6">
        <f>IF(INVESTORS_LIST[[#This Row],[SIP_TOTAL CURRENT UNITS]]=0,0,INVESTORS_LIST[[#This Row],[SIP_TOTAL CURRENT UNITS]]*INVESTORS_LIST[[#This Row],[NAV]])</f>
        <v>0</v>
      </c>
      <c r="AO589" s="6">
        <f>IF(INVESTORS_LIST[[#This Row],[TOTAL SELLABLE UNITS]]=0,0,INVESTORS_LIST[[#This Row],[TOTAL SELLABLE UNITS]]*INVESTORS_LIST[[#This Row],[NAV]])</f>
        <v>0</v>
      </c>
      <c r="AP589" s="6">
        <f>INVESTORS_LIST[[#This Row],[LS_TOTAL REALIZED GAIN]]+INVESTORS_LIST[[#This Row],[SIP_TOTAL REALIZED GAIN]]</f>
        <v>0</v>
      </c>
      <c r="AQ589" s="6">
        <f>INVESTORS_LIST[[#This Row],[TOTAL MARKET VALUE]]-INVESTORS_LIST[[#This Row],[TOTAL COST VALUE OF CURRENT INVESTMENT]]</f>
        <v>0</v>
      </c>
      <c r="AR589" s="6">
        <f>SUMIFS(DivAndTax[Tax Amount],DivAndTax[Investor ID],INVESTORS_LIST[[#This Row],[INVESTOR CODE]])</f>
        <v>0</v>
      </c>
      <c r="AS589" s="6">
        <f>SUMIFS(DivAndTax[Gross Dividend],DivAndTax[Investor ID],INVESTORS_LIST[[#This Row],[INVESTOR CODE]])</f>
        <v>0</v>
      </c>
      <c r="AT589" s="5">
        <f>IFERROR(INVESTORS_LIST[[#This Row],[TOTAL CURRENT UNITS]]/SUM(INVESTORS_LIST[TOTAL CURRENT UNITS]),0)</f>
        <v>0</v>
      </c>
    </row>
    <row r="590" spans="1:46" hidden="1">
      <c r="A590" t="s">
        <v>1369</v>
      </c>
      <c r="B590" t="s">
        <v>1370</v>
      </c>
      <c r="C590" t="s">
        <v>539</v>
      </c>
      <c r="D590" s="8" t="s">
        <v>2</v>
      </c>
      <c r="E590" s="2">
        <f>SUMIFS(LS[Unit],LS[Investor ID],INVESTORS_LIST[[#This Row],[INVESTOR CODE]],LS[B/S],"B")</f>
        <v>0</v>
      </c>
      <c r="F590" s="2">
        <f>-SUMIFS(LS[Unit],LS[Investor ID],INVESTORS_LIST[[#This Row],[INVESTOR CODE]],LS[B/S],"S")</f>
        <v>0</v>
      </c>
      <c r="G590" s="2">
        <f>IF(INVESTORS_LIST[[#This Row],[LS_TOTAL UNITS BUY]]=0,0,INVESTORS_LIST[[#This Row],[LS_TOTAL UNITS BUY]]-INVESTORS_LIST[[#This Row],[LS_TOTAL UNITS SOLD]])</f>
        <v>0</v>
      </c>
      <c r="H590" s="4">
        <f>IF(INVESTORS_LIST[[#This Row],[LS_TOTAL UNITS BUY]]=0,0,SUMIFS(LS[Amount],LS[Investor ID],INVESTORS_LIST[[#This Row],[INVESTOR CODE]],LS[B/S],"B"))</f>
        <v>0</v>
      </c>
      <c r="I590" s="6">
        <f>IF(INVESTORS_LIST[[#This Row],[LS_TOTAL UNITS SOLD]]=0,0,SUMIFS(LS[Cost of Units Sold],LS[Investor ID],INVESTORS_LIST[[#This Row],[INVESTOR CODE]],LS[B/S],"S"))</f>
        <v>0</v>
      </c>
      <c r="J590" s="6">
        <f>IF(INVESTORS_LIST[[#This Row],[LS_TOTAL CURRENT UNITS]]=0,0,INVESTORS_LIST[[#This Row],[LS_TOTAL CURRENT UNITS]]*INVESTORS_LIST[[#This Row],[LS_AVERAGE COST]])</f>
        <v>0</v>
      </c>
      <c r="K590" s="4">
        <f>IF(INVESTORS_LIST[[#This Row],[LS_TOTAL UNITS SOLD]]=0,0,SUMIFS(LS[Realized Gain],LS[Investor ID],INVESTORS_LIST[[#This Row],[INVESTOR CODE]],LS[B/S],"S"))</f>
        <v>0</v>
      </c>
      <c r="L590" s="2">
        <f>SUMIFS(SIP[Unit],SIP[Investor ID],INVESTORS_LIST[[#This Row],[INVESTOR CODE]],SIP[B/S],"B")</f>
        <v>0</v>
      </c>
      <c r="M590" s="2">
        <f>-SUMIFS(SIP[Unit],SIP[Investor ID],INVESTORS_LIST[[#This Row],[INVESTOR CODE]],SIP[B/S],"S")</f>
        <v>0</v>
      </c>
      <c r="N590" s="33">
        <f>IF(INVESTORS_LIST[[#This Row],[SIP_TOTAL UNITS BUY]]=0,0,INVESTORS_LIST[[#This Row],[SIP_TOTAL UNITS BUY]]-INVESTORS_LIST[[#This Row],[SIP_TOTAL UNITS SOLD]])</f>
        <v>0</v>
      </c>
      <c r="O590" s="4">
        <f>IF(INVESTORS_LIST[[#This Row],[SIP_TOTAL UNITS BUY]]=0,0,SUMIFS(SIP[Amount],SIP[Investor ID],INVESTORS_LIST[[#This Row],[INVESTOR CODE]],SIP[B/S],"B"))</f>
        <v>0</v>
      </c>
      <c r="P590" s="4">
        <f>IF(INVESTORS_LIST[[#This Row],[SIP_TOTAL UNITS SOLD]]=0,0,SUMIFS(SIP[Cost of Units Sold],SIP[Investor ID],INVESTORS_LIST[[#This Row],[INVESTOR CODE]],SIP[B/S],"S"))</f>
        <v>0</v>
      </c>
      <c r="Q590" s="6">
        <f>IF(INVESTORS_LIST[[#This Row],[SIP_TOTAL CURRENT UNITS]]=0,0,INVESTORS_LIST[[#This Row],[SIP_TOTAL CURRENT UNITS]]*INVESTORS_LIST[[#This Row],[SIP_AVERAGE COST]])</f>
        <v>0</v>
      </c>
      <c r="R590" s="6">
        <f>IF(INVESTORS_LIST[[#This Row],[SIP_TOTAL UNITS SOLD]]=0,0,SUMIFS(SIP[Realized Gain],SIP[Investor ID],INVESTORS_LIST[[#This Row],[INVESTOR CODE]],SIP[B/S],"S"))</f>
        <v>0</v>
      </c>
      <c r="S590" s="33">
        <f>INVESTORS_LIST[[#This Row],[LS_TOTAL UNITS BUY]]+INVESTORS_LIST[[#This Row],[SIP_TOTAL UNITS BUY]]</f>
        <v>0</v>
      </c>
      <c r="T590" s="33">
        <f>INVESTORS_LIST[[#This Row],[LS_TOTAL UNITS SOLD]]+INVESTORS_LIST[[#This Row],[SIP_TOTAL UNITS SOLD]]</f>
        <v>0</v>
      </c>
      <c r="U590" s="33">
        <v>0</v>
      </c>
      <c r="V590" s="33">
        <f>SUMIFS(LS[BO UNIT TRANSFER],LS[Investor ID],INVESTORS_LIST[[#This Row],[INVESTOR CODE]],LS[B/S],"B")</f>
        <v>0</v>
      </c>
      <c r="W590" s="33">
        <f>SUMIFS(LS[BO UNIT TRANSFER],LS[Investor ID],INVESTORS_LIST[[#This Row],[INVESTOR CODE]],LS[B/S],"S")</f>
        <v>0</v>
      </c>
      <c r="X590" s="33">
        <f>SUMIFS(SIP[BO UNIT TRANSFER],SIP[Investor ID],INVESTORS_LIST[[#This Row],[INVESTOR CODE]],SIP[B/S],"S")</f>
        <v>0</v>
      </c>
      <c r="Y590" s="33">
        <f>SUMIFS(SIP[BO UNIT TRANSFER],SIP[Investor ID],INVESTORS_LIST[[#This Row],[INVESTOR CODE]],SIP[B/S],"B")</f>
        <v>0</v>
      </c>
      <c r="Z59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90" s="119">
        <f>INVESTORS_LIST[[#This Row],[TOTAL UNITS BUY]]-INVESTORS_LIST[[#This Row],[TOTAL UNITS SOLD]]</f>
        <v>0</v>
      </c>
      <c r="AB590" s="119">
        <f>INVESTORS_LIST[[#This Row],[TOTAL CURRENT UNITS]]-INVESTORS_LIST[[#This Row],[BO UNITS HOLD]]</f>
        <v>0</v>
      </c>
      <c r="AC590" s="119" t="e">
        <f>INDEX([4]!Table_1[BO ID],MATCH(INVESTORS_LIST[[#This Row],[INVESTOR CODE]],[4]!Table_1[INVESTOR CODE],0))</f>
        <v>#REF!</v>
      </c>
      <c r="AD590" s="33">
        <f>INVESTORS_LIST[[#This Row],[LS_TOTAL COST VALUE OF CURRENT UNITS]]+INVESTORS_LIST[[#This Row],[SIP_TOTAL COST VALUE OF CURRENT UNITS]]</f>
        <v>0</v>
      </c>
      <c r="AE590" s="44">
        <f>IF(INVESTORS_LIST[[#This Row],[TOTAL CURRENT UNITS]]=0,0,INVESTORS_LIST[[#This Row],[LS_TOTAL CURRENT UNITS]]/INVESTORS_LIST[[#This Row],[TOTAL CURRENT UNITS]])</f>
        <v>0</v>
      </c>
      <c r="AF590" s="44">
        <f>IF(INVESTORS_LIST[[#This Row],[TOTAL CURRENT UNITS]]=0,0,INVESTORS_LIST[[#This Row],[SIP_TOTAL CURRENT UNITS]]/INVESTORS_LIST[[#This Row],[TOTAL CURRENT UNITS]])</f>
        <v>0</v>
      </c>
      <c r="AG590" s="4" cm="1">
        <f t="array" ref="AG59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90" s="4" cm="1">
        <f t="array" ref="AH5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9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90" s="178">
        <f t="shared" si="15"/>
        <v>12.552</v>
      </c>
      <c r="AK590" s="118">
        <f>IF(INVESTORS_LIST[[#This Row],[TOTAL CURRENT UNITS]]=0,0,INVESTORS_LIST[[#This Row],[TOTAL CURRENT UNITS]]*INVESTORS_LIST[[#This Row],[NAV]])</f>
        <v>0</v>
      </c>
      <c r="AL590" s="4">
        <f>IF(INVESTORS_LIST[[#This Row],[LS_TOTAL CURRENT UNITS]]=0,0,INVESTORS_LIST[[#This Row],[LS_TOTAL CURRENT UNITS]]*INVESTORS_LIST[[#This Row],[NAV]])</f>
        <v>0</v>
      </c>
      <c r="AM590" s="6">
        <f>IF(INVESTORS_LIST[[#This Row],[SIP_TOTAL CURRENT UNITS]]=0,0,INVESTORS_LIST[[#This Row],[SIP_TOTAL CURRENT UNITS]]*INVESTORS_LIST[[#This Row],[NAV]])</f>
        <v>0</v>
      </c>
      <c r="AO590" s="6">
        <f>IF(INVESTORS_LIST[[#This Row],[TOTAL SELLABLE UNITS]]=0,0,INVESTORS_LIST[[#This Row],[TOTAL SELLABLE UNITS]]*INVESTORS_LIST[[#This Row],[NAV]])</f>
        <v>0</v>
      </c>
      <c r="AP590" s="6">
        <f>INVESTORS_LIST[[#This Row],[LS_TOTAL REALIZED GAIN]]+INVESTORS_LIST[[#This Row],[SIP_TOTAL REALIZED GAIN]]</f>
        <v>0</v>
      </c>
      <c r="AQ590" s="6">
        <f>INVESTORS_LIST[[#This Row],[TOTAL MARKET VALUE]]-INVESTORS_LIST[[#This Row],[TOTAL COST VALUE OF CURRENT INVESTMENT]]</f>
        <v>0</v>
      </c>
      <c r="AR590" s="6">
        <f>SUMIFS(DivAndTax[Tax Amount],DivAndTax[Investor ID],INVESTORS_LIST[[#This Row],[INVESTOR CODE]])</f>
        <v>0</v>
      </c>
      <c r="AS590" s="6">
        <f>SUMIFS(DivAndTax[Gross Dividend],DivAndTax[Investor ID],INVESTORS_LIST[[#This Row],[INVESTOR CODE]])</f>
        <v>0</v>
      </c>
      <c r="AT590" s="5">
        <f>IFERROR(INVESTORS_LIST[[#This Row],[TOTAL CURRENT UNITS]]/SUM(INVESTORS_LIST[TOTAL CURRENT UNITS]),0)</f>
        <v>0</v>
      </c>
    </row>
    <row r="591" spans="1:46" hidden="1">
      <c r="A591" t="s">
        <v>1371</v>
      </c>
      <c r="B591" t="s">
        <v>1372</v>
      </c>
      <c r="C591" t="s">
        <v>537</v>
      </c>
      <c r="D591" s="8" t="s">
        <v>2</v>
      </c>
      <c r="E591" s="2">
        <f>SUMIFS(LS[Unit],LS[Investor ID],INVESTORS_LIST[[#This Row],[INVESTOR CODE]],LS[B/S],"B")</f>
        <v>0</v>
      </c>
      <c r="F591" s="2">
        <f>-SUMIFS(LS[Unit],LS[Investor ID],INVESTORS_LIST[[#This Row],[INVESTOR CODE]],LS[B/S],"S")</f>
        <v>0</v>
      </c>
      <c r="G591" s="2">
        <f>IF(INVESTORS_LIST[[#This Row],[LS_TOTAL UNITS BUY]]=0,0,INVESTORS_LIST[[#This Row],[LS_TOTAL UNITS BUY]]-INVESTORS_LIST[[#This Row],[LS_TOTAL UNITS SOLD]])</f>
        <v>0</v>
      </c>
      <c r="H591" s="4">
        <f>IF(INVESTORS_LIST[[#This Row],[LS_TOTAL UNITS BUY]]=0,0,SUMIFS(LS[Amount],LS[Investor ID],INVESTORS_LIST[[#This Row],[INVESTOR CODE]],LS[B/S],"B"))</f>
        <v>0</v>
      </c>
      <c r="I591" s="6">
        <f>IF(INVESTORS_LIST[[#This Row],[LS_TOTAL UNITS SOLD]]=0,0,SUMIFS(LS[Cost of Units Sold],LS[Investor ID],INVESTORS_LIST[[#This Row],[INVESTOR CODE]],LS[B/S],"S"))</f>
        <v>0</v>
      </c>
      <c r="J591" s="6">
        <f>IF(INVESTORS_LIST[[#This Row],[LS_TOTAL CURRENT UNITS]]=0,0,INVESTORS_LIST[[#This Row],[LS_TOTAL CURRENT UNITS]]*INVESTORS_LIST[[#This Row],[LS_AVERAGE COST]])</f>
        <v>0</v>
      </c>
      <c r="K591" s="4">
        <f>IF(INVESTORS_LIST[[#This Row],[LS_TOTAL UNITS SOLD]]=0,0,SUMIFS(LS[Realized Gain],LS[Investor ID],INVESTORS_LIST[[#This Row],[INVESTOR CODE]],LS[B/S],"S"))</f>
        <v>0</v>
      </c>
      <c r="L591" s="2">
        <f>SUMIFS(SIP[Unit],SIP[Investor ID],INVESTORS_LIST[[#This Row],[INVESTOR CODE]],SIP[B/S],"B")</f>
        <v>0</v>
      </c>
      <c r="M591" s="2">
        <f>-SUMIFS(SIP[Unit],SIP[Investor ID],INVESTORS_LIST[[#This Row],[INVESTOR CODE]],SIP[B/S],"S")</f>
        <v>0</v>
      </c>
      <c r="N591" s="33">
        <f>IF(INVESTORS_LIST[[#This Row],[SIP_TOTAL UNITS BUY]]=0,0,INVESTORS_LIST[[#This Row],[SIP_TOTAL UNITS BUY]]-INVESTORS_LIST[[#This Row],[SIP_TOTAL UNITS SOLD]])</f>
        <v>0</v>
      </c>
      <c r="O591" s="4">
        <f>IF(INVESTORS_LIST[[#This Row],[SIP_TOTAL UNITS BUY]]=0,0,SUMIFS(SIP[Amount],SIP[Investor ID],INVESTORS_LIST[[#This Row],[INVESTOR CODE]],SIP[B/S],"B"))</f>
        <v>0</v>
      </c>
      <c r="P591" s="4">
        <f>IF(INVESTORS_LIST[[#This Row],[SIP_TOTAL UNITS SOLD]]=0,0,SUMIFS(SIP[Cost of Units Sold],SIP[Investor ID],INVESTORS_LIST[[#This Row],[INVESTOR CODE]],SIP[B/S],"S"))</f>
        <v>0</v>
      </c>
      <c r="Q591" s="6">
        <f>IF(INVESTORS_LIST[[#This Row],[SIP_TOTAL CURRENT UNITS]]=0,0,INVESTORS_LIST[[#This Row],[SIP_TOTAL CURRENT UNITS]]*INVESTORS_LIST[[#This Row],[SIP_AVERAGE COST]])</f>
        <v>0</v>
      </c>
      <c r="R591" s="6">
        <f>IF(INVESTORS_LIST[[#This Row],[SIP_TOTAL UNITS SOLD]]=0,0,SUMIFS(SIP[Realized Gain],SIP[Investor ID],INVESTORS_LIST[[#This Row],[INVESTOR CODE]],SIP[B/S],"S"))</f>
        <v>0</v>
      </c>
      <c r="S591" s="33">
        <f>INVESTORS_LIST[[#This Row],[LS_TOTAL UNITS BUY]]+INVESTORS_LIST[[#This Row],[SIP_TOTAL UNITS BUY]]</f>
        <v>0</v>
      </c>
      <c r="T591" s="33">
        <f>INVESTORS_LIST[[#This Row],[LS_TOTAL UNITS SOLD]]+INVESTORS_LIST[[#This Row],[SIP_TOTAL UNITS SOLD]]</f>
        <v>0</v>
      </c>
      <c r="U591" s="33">
        <v>0</v>
      </c>
      <c r="V591" s="33">
        <f>SUMIFS(LS[BO UNIT TRANSFER],LS[Investor ID],INVESTORS_LIST[[#This Row],[INVESTOR CODE]],LS[B/S],"B")</f>
        <v>0</v>
      </c>
      <c r="W591" s="33">
        <f>SUMIFS(LS[BO UNIT TRANSFER],LS[Investor ID],INVESTORS_LIST[[#This Row],[INVESTOR CODE]],LS[B/S],"S")</f>
        <v>0</v>
      </c>
      <c r="X591" s="33">
        <f>SUMIFS(SIP[BO UNIT TRANSFER],SIP[Investor ID],INVESTORS_LIST[[#This Row],[INVESTOR CODE]],SIP[B/S],"S")</f>
        <v>0</v>
      </c>
      <c r="Y591" s="33">
        <f>SUMIFS(SIP[BO UNIT TRANSFER],SIP[Investor ID],INVESTORS_LIST[[#This Row],[INVESTOR CODE]],SIP[B/S],"B")</f>
        <v>0</v>
      </c>
      <c r="Z59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91" s="119">
        <f>INVESTORS_LIST[[#This Row],[TOTAL UNITS BUY]]-INVESTORS_LIST[[#This Row],[TOTAL UNITS SOLD]]</f>
        <v>0</v>
      </c>
      <c r="AB591" s="119">
        <f>INVESTORS_LIST[[#This Row],[TOTAL CURRENT UNITS]]-INVESTORS_LIST[[#This Row],[BO UNITS HOLD]]</f>
        <v>0</v>
      </c>
      <c r="AC591" s="119" t="e">
        <f>INDEX([4]!Table_1[BO ID],MATCH(INVESTORS_LIST[[#This Row],[INVESTOR CODE]],[4]!Table_1[INVESTOR CODE],0))</f>
        <v>#REF!</v>
      </c>
      <c r="AD591" s="33">
        <f>INVESTORS_LIST[[#This Row],[LS_TOTAL COST VALUE OF CURRENT UNITS]]+INVESTORS_LIST[[#This Row],[SIP_TOTAL COST VALUE OF CURRENT UNITS]]</f>
        <v>0</v>
      </c>
      <c r="AE591" s="44">
        <f>IF(INVESTORS_LIST[[#This Row],[TOTAL CURRENT UNITS]]=0,0,INVESTORS_LIST[[#This Row],[LS_TOTAL CURRENT UNITS]]/INVESTORS_LIST[[#This Row],[TOTAL CURRENT UNITS]])</f>
        <v>0</v>
      </c>
      <c r="AF591" s="44">
        <f>IF(INVESTORS_LIST[[#This Row],[TOTAL CURRENT UNITS]]=0,0,INVESTORS_LIST[[#This Row],[SIP_TOTAL CURRENT UNITS]]/INVESTORS_LIST[[#This Row],[TOTAL CURRENT UNITS]])</f>
        <v>0</v>
      </c>
      <c r="AG591" s="4" cm="1">
        <f t="array" ref="AG5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91" s="4" cm="1">
        <f t="array" ref="AH5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9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91" s="178">
        <f t="shared" si="15"/>
        <v>12.552</v>
      </c>
      <c r="AK591" s="118">
        <f>IF(INVESTORS_LIST[[#This Row],[TOTAL CURRENT UNITS]]=0,0,INVESTORS_LIST[[#This Row],[TOTAL CURRENT UNITS]]*INVESTORS_LIST[[#This Row],[NAV]])</f>
        <v>0</v>
      </c>
      <c r="AL591" s="4">
        <f>IF(INVESTORS_LIST[[#This Row],[LS_TOTAL CURRENT UNITS]]=0,0,INVESTORS_LIST[[#This Row],[LS_TOTAL CURRENT UNITS]]*INVESTORS_LIST[[#This Row],[NAV]])</f>
        <v>0</v>
      </c>
      <c r="AM591" s="6">
        <f>IF(INVESTORS_LIST[[#This Row],[SIP_TOTAL CURRENT UNITS]]=0,0,INVESTORS_LIST[[#This Row],[SIP_TOTAL CURRENT UNITS]]*INVESTORS_LIST[[#This Row],[NAV]])</f>
        <v>0</v>
      </c>
      <c r="AO591" s="6">
        <f>IF(INVESTORS_LIST[[#This Row],[TOTAL SELLABLE UNITS]]=0,0,INVESTORS_LIST[[#This Row],[TOTAL SELLABLE UNITS]]*INVESTORS_LIST[[#This Row],[NAV]])</f>
        <v>0</v>
      </c>
      <c r="AP591" s="6">
        <f>INVESTORS_LIST[[#This Row],[LS_TOTAL REALIZED GAIN]]+INVESTORS_LIST[[#This Row],[SIP_TOTAL REALIZED GAIN]]</f>
        <v>0</v>
      </c>
      <c r="AQ591" s="6">
        <f>INVESTORS_LIST[[#This Row],[TOTAL MARKET VALUE]]-INVESTORS_LIST[[#This Row],[TOTAL COST VALUE OF CURRENT INVESTMENT]]</f>
        <v>0</v>
      </c>
      <c r="AR591" s="6">
        <f>SUMIFS(DivAndTax[Tax Amount],DivAndTax[Investor ID],INVESTORS_LIST[[#This Row],[INVESTOR CODE]])</f>
        <v>0</v>
      </c>
      <c r="AS591" s="6">
        <f>SUMIFS(DivAndTax[Gross Dividend],DivAndTax[Investor ID],INVESTORS_LIST[[#This Row],[INVESTOR CODE]])</f>
        <v>0</v>
      </c>
      <c r="AT591" s="5">
        <f>IFERROR(INVESTORS_LIST[[#This Row],[TOTAL CURRENT UNITS]]/SUM(INVESTORS_LIST[TOTAL CURRENT UNITS]),0)</f>
        <v>0</v>
      </c>
    </row>
    <row r="592" spans="1:46" hidden="1">
      <c r="A592" t="s">
        <v>1373</v>
      </c>
      <c r="B592" t="s">
        <v>1374</v>
      </c>
      <c r="C592" t="s">
        <v>536</v>
      </c>
      <c r="D592" s="8" t="s">
        <v>2</v>
      </c>
      <c r="E592" s="2">
        <f>SUMIFS(LS[Unit],LS[Investor ID],INVESTORS_LIST[[#This Row],[INVESTOR CODE]],LS[B/S],"B")</f>
        <v>0</v>
      </c>
      <c r="F592" s="2">
        <f>-SUMIFS(LS[Unit],LS[Investor ID],INVESTORS_LIST[[#This Row],[INVESTOR CODE]],LS[B/S],"S")</f>
        <v>0</v>
      </c>
      <c r="G592" s="2">
        <f>IF(INVESTORS_LIST[[#This Row],[LS_TOTAL UNITS BUY]]=0,0,INVESTORS_LIST[[#This Row],[LS_TOTAL UNITS BUY]]-INVESTORS_LIST[[#This Row],[LS_TOTAL UNITS SOLD]])</f>
        <v>0</v>
      </c>
      <c r="H592" s="4">
        <f>IF(INVESTORS_LIST[[#This Row],[LS_TOTAL UNITS BUY]]=0,0,SUMIFS(LS[Amount],LS[Investor ID],INVESTORS_LIST[[#This Row],[INVESTOR CODE]],LS[B/S],"B"))</f>
        <v>0</v>
      </c>
      <c r="I592" s="6">
        <f>IF(INVESTORS_LIST[[#This Row],[LS_TOTAL UNITS SOLD]]=0,0,SUMIFS(LS[Cost of Units Sold],LS[Investor ID],INVESTORS_LIST[[#This Row],[INVESTOR CODE]],LS[B/S],"S"))</f>
        <v>0</v>
      </c>
      <c r="J592" s="6">
        <f>IF(INVESTORS_LIST[[#This Row],[LS_TOTAL CURRENT UNITS]]=0,0,INVESTORS_LIST[[#This Row],[LS_TOTAL CURRENT UNITS]]*INVESTORS_LIST[[#This Row],[LS_AVERAGE COST]])</f>
        <v>0</v>
      </c>
      <c r="K592" s="4">
        <f>IF(INVESTORS_LIST[[#This Row],[LS_TOTAL UNITS SOLD]]=0,0,SUMIFS(LS[Realized Gain],LS[Investor ID],INVESTORS_LIST[[#This Row],[INVESTOR CODE]],LS[B/S],"S"))</f>
        <v>0</v>
      </c>
      <c r="L592" s="2">
        <f>SUMIFS(SIP[Unit],SIP[Investor ID],INVESTORS_LIST[[#This Row],[INVESTOR CODE]],SIP[B/S],"B")</f>
        <v>0</v>
      </c>
      <c r="M592" s="2">
        <f>-SUMIFS(SIP[Unit],SIP[Investor ID],INVESTORS_LIST[[#This Row],[INVESTOR CODE]],SIP[B/S],"S")</f>
        <v>0</v>
      </c>
      <c r="N592" s="33">
        <f>IF(INVESTORS_LIST[[#This Row],[SIP_TOTAL UNITS BUY]]=0,0,INVESTORS_LIST[[#This Row],[SIP_TOTAL UNITS BUY]]-INVESTORS_LIST[[#This Row],[SIP_TOTAL UNITS SOLD]])</f>
        <v>0</v>
      </c>
      <c r="O592" s="4">
        <f>IF(INVESTORS_LIST[[#This Row],[SIP_TOTAL UNITS BUY]]=0,0,SUMIFS(SIP[Amount],SIP[Investor ID],INVESTORS_LIST[[#This Row],[INVESTOR CODE]],SIP[B/S],"B"))</f>
        <v>0</v>
      </c>
      <c r="P592" s="4">
        <f>IF(INVESTORS_LIST[[#This Row],[SIP_TOTAL UNITS SOLD]]=0,0,SUMIFS(SIP[Cost of Units Sold],SIP[Investor ID],INVESTORS_LIST[[#This Row],[INVESTOR CODE]],SIP[B/S],"S"))</f>
        <v>0</v>
      </c>
      <c r="Q592" s="6">
        <f>IF(INVESTORS_LIST[[#This Row],[SIP_TOTAL CURRENT UNITS]]=0,0,INVESTORS_LIST[[#This Row],[SIP_TOTAL CURRENT UNITS]]*INVESTORS_LIST[[#This Row],[SIP_AVERAGE COST]])</f>
        <v>0</v>
      </c>
      <c r="R592" s="6">
        <f>IF(INVESTORS_LIST[[#This Row],[SIP_TOTAL UNITS SOLD]]=0,0,SUMIFS(SIP[Realized Gain],SIP[Investor ID],INVESTORS_LIST[[#This Row],[INVESTOR CODE]],SIP[B/S],"S"))</f>
        <v>0</v>
      </c>
      <c r="S592" s="33">
        <f>INVESTORS_LIST[[#This Row],[LS_TOTAL UNITS BUY]]+INVESTORS_LIST[[#This Row],[SIP_TOTAL UNITS BUY]]</f>
        <v>0</v>
      </c>
      <c r="T592" s="33">
        <f>INVESTORS_LIST[[#This Row],[LS_TOTAL UNITS SOLD]]+INVESTORS_LIST[[#This Row],[SIP_TOTAL UNITS SOLD]]</f>
        <v>0</v>
      </c>
      <c r="U592" s="33">
        <v>0</v>
      </c>
      <c r="V592" s="33">
        <f>SUMIFS(LS[BO UNIT TRANSFER],LS[Investor ID],INVESTORS_LIST[[#This Row],[INVESTOR CODE]],LS[B/S],"B")</f>
        <v>0</v>
      </c>
      <c r="W592" s="33">
        <f>SUMIFS(LS[BO UNIT TRANSFER],LS[Investor ID],INVESTORS_LIST[[#This Row],[INVESTOR CODE]],LS[B/S],"S")</f>
        <v>0</v>
      </c>
      <c r="X592" s="33">
        <f>SUMIFS(SIP[BO UNIT TRANSFER],SIP[Investor ID],INVESTORS_LIST[[#This Row],[INVESTOR CODE]],SIP[B/S],"S")</f>
        <v>0</v>
      </c>
      <c r="Y592" s="33">
        <f>SUMIFS(SIP[BO UNIT TRANSFER],SIP[Investor ID],INVESTORS_LIST[[#This Row],[INVESTOR CODE]],SIP[B/S],"B")</f>
        <v>0</v>
      </c>
      <c r="Z59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92" s="119">
        <f>INVESTORS_LIST[[#This Row],[TOTAL UNITS BUY]]-INVESTORS_LIST[[#This Row],[TOTAL UNITS SOLD]]</f>
        <v>0</v>
      </c>
      <c r="AB592" s="119">
        <f>INVESTORS_LIST[[#This Row],[TOTAL CURRENT UNITS]]-INVESTORS_LIST[[#This Row],[BO UNITS HOLD]]</f>
        <v>0</v>
      </c>
      <c r="AC592" s="119" t="e">
        <f>INDEX([4]!Table_1[BO ID],MATCH(INVESTORS_LIST[[#This Row],[INVESTOR CODE]],[4]!Table_1[INVESTOR CODE],0))</f>
        <v>#REF!</v>
      </c>
      <c r="AD592" s="33">
        <f>INVESTORS_LIST[[#This Row],[LS_TOTAL COST VALUE OF CURRENT UNITS]]+INVESTORS_LIST[[#This Row],[SIP_TOTAL COST VALUE OF CURRENT UNITS]]</f>
        <v>0</v>
      </c>
      <c r="AE592" s="44">
        <f>IF(INVESTORS_LIST[[#This Row],[TOTAL CURRENT UNITS]]=0,0,INVESTORS_LIST[[#This Row],[LS_TOTAL CURRENT UNITS]]/INVESTORS_LIST[[#This Row],[TOTAL CURRENT UNITS]])</f>
        <v>0</v>
      </c>
      <c r="AF592" s="44">
        <f>IF(INVESTORS_LIST[[#This Row],[TOTAL CURRENT UNITS]]=0,0,INVESTORS_LIST[[#This Row],[SIP_TOTAL CURRENT UNITS]]/INVESTORS_LIST[[#This Row],[TOTAL CURRENT UNITS]])</f>
        <v>0</v>
      </c>
      <c r="AG592" s="4" cm="1">
        <f t="array" ref="AG59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92" s="4" cm="1">
        <f t="array" ref="AH59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9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92" s="178">
        <f t="shared" si="15"/>
        <v>12.552</v>
      </c>
      <c r="AK592" s="118">
        <f>IF(INVESTORS_LIST[[#This Row],[TOTAL CURRENT UNITS]]=0,0,INVESTORS_LIST[[#This Row],[TOTAL CURRENT UNITS]]*INVESTORS_LIST[[#This Row],[NAV]])</f>
        <v>0</v>
      </c>
      <c r="AL592" s="4">
        <f>IF(INVESTORS_LIST[[#This Row],[LS_TOTAL CURRENT UNITS]]=0,0,INVESTORS_LIST[[#This Row],[LS_TOTAL CURRENT UNITS]]*INVESTORS_LIST[[#This Row],[NAV]])</f>
        <v>0</v>
      </c>
      <c r="AM592" s="6">
        <f>IF(INVESTORS_LIST[[#This Row],[SIP_TOTAL CURRENT UNITS]]=0,0,INVESTORS_LIST[[#This Row],[SIP_TOTAL CURRENT UNITS]]*INVESTORS_LIST[[#This Row],[NAV]])</f>
        <v>0</v>
      </c>
      <c r="AO592" s="6">
        <f>IF(INVESTORS_LIST[[#This Row],[TOTAL SELLABLE UNITS]]=0,0,INVESTORS_LIST[[#This Row],[TOTAL SELLABLE UNITS]]*INVESTORS_LIST[[#This Row],[NAV]])</f>
        <v>0</v>
      </c>
      <c r="AP592" s="6">
        <f>INVESTORS_LIST[[#This Row],[LS_TOTAL REALIZED GAIN]]+INVESTORS_LIST[[#This Row],[SIP_TOTAL REALIZED GAIN]]</f>
        <v>0</v>
      </c>
      <c r="AQ592" s="6">
        <f>INVESTORS_LIST[[#This Row],[TOTAL MARKET VALUE]]-INVESTORS_LIST[[#This Row],[TOTAL COST VALUE OF CURRENT INVESTMENT]]</f>
        <v>0</v>
      </c>
      <c r="AR592" s="6">
        <f>SUMIFS(DivAndTax[Tax Amount],DivAndTax[Investor ID],INVESTORS_LIST[[#This Row],[INVESTOR CODE]])</f>
        <v>0</v>
      </c>
      <c r="AS592" s="6">
        <f>SUMIFS(DivAndTax[Gross Dividend],DivAndTax[Investor ID],INVESTORS_LIST[[#This Row],[INVESTOR CODE]])</f>
        <v>0</v>
      </c>
      <c r="AT592" s="5">
        <f>IFERROR(INVESTORS_LIST[[#This Row],[TOTAL CURRENT UNITS]]/SUM(INVESTORS_LIST[TOTAL CURRENT UNITS]),0)</f>
        <v>0</v>
      </c>
    </row>
    <row r="593" spans="1:46">
      <c r="A593" t="s">
        <v>1375</v>
      </c>
      <c r="B593" t="s">
        <v>1376</v>
      </c>
      <c r="C593" t="s">
        <v>539</v>
      </c>
      <c r="D593" s="8" t="s">
        <v>2</v>
      </c>
      <c r="E593" s="2">
        <f>SUMIFS(LS[Unit],LS[Investor ID],INVESTORS_LIST[[#This Row],[INVESTOR CODE]],LS[B/S],"B")</f>
        <v>24956</v>
      </c>
      <c r="F593" s="2">
        <f>-SUMIFS(LS[Unit],LS[Investor ID],INVESTORS_LIST[[#This Row],[INVESTOR CODE]],LS[B/S],"S")</f>
        <v>0</v>
      </c>
      <c r="G593" s="2">
        <f>IF(INVESTORS_LIST[[#This Row],[LS_TOTAL UNITS BUY]]=0,0,INVESTORS_LIST[[#This Row],[LS_TOTAL UNITS BUY]]-INVESTORS_LIST[[#This Row],[LS_TOTAL UNITS SOLD]])</f>
        <v>24956</v>
      </c>
      <c r="H593" s="4">
        <f>IF(INVESTORS_LIST[[#This Row],[LS_TOTAL UNITS BUY]]=0,0,SUMIFS(LS[Amount],LS[Investor ID],INVESTORS_LIST[[#This Row],[INVESTOR CODE]],LS[B/S],"B"))</f>
        <v>308508.84999999998</v>
      </c>
      <c r="I593" s="6">
        <f>IF(INVESTORS_LIST[[#This Row],[LS_TOTAL UNITS SOLD]]=0,0,SUMIFS(LS[Cost of Units Sold],LS[Investor ID],INVESTORS_LIST[[#This Row],[INVESTOR CODE]],LS[B/S],"S"))</f>
        <v>0</v>
      </c>
      <c r="J593" s="6">
        <f>IF(INVESTORS_LIST[[#This Row],[LS_TOTAL CURRENT UNITS]]=0,0,INVESTORS_LIST[[#This Row],[LS_TOTAL CURRENT UNITS]]*INVESTORS_LIST[[#This Row],[LS_AVERAGE COST]])</f>
        <v>308508.85000000003</v>
      </c>
      <c r="K593" s="4">
        <f>IF(INVESTORS_LIST[[#This Row],[LS_TOTAL UNITS SOLD]]=0,0,SUMIFS(LS[Realized Gain],LS[Investor ID],INVESTORS_LIST[[#This Row],[INVESTOR CODE]],LS[B/S],"S"))</f>
        <v>0</v>
      </c>
      <c r="L593" s="2">
        <f>SUMIFS(SIP[Unit],SIP[Investor ID],INVESTORS_LIST[[#This Row],[INVESTOR CODE]],SIP[B/S],"B")</f>
        <v>0</v>
      </c>
      <c r="M593" s="2">
        <f>-SUMIFS(SIP[Unit],SIP[Investor ID],INVESTORS_LIST[[#This Row],[INVESTOR CODE]],SIP[B/S],"S")</f>
        <v>0</v>
      </c>
      <c r="N593" s="33">
        <f>IF(INVESTORS_LIST[[#This Row],[SIP_TOTAL UNITS BUY]]=0,0,INVESTORS_LIST[[#This Row],[SIP_TOTAL UNITS BUY]]-INVESTORS_LIST[[#This Row],[SIP_TOTAL UNITS SOLD]])</f>
        <v>0</v>
      </c>
      <c r="O593" s="4">
        <f>IF(INVESTORS_LIST[[#This Row],[SIP_TOTAL UNITS BUY]]=0,0,SUMIFS(SIP[Amount],SIP[Investor ID],INVESTORS_LIST[[#This Row],[INVESTOR CODE]],SIP[B/S],"B"))</f>
        <v>0</v>
      </c>
      <c r="P593" s="4">
        <f>IF(INVESTORS_LIST[[#This Row],[SIP_TOTAL UNITS SOLD]]=0,0,SUMIFS(SIP[Cost of Units Sold],SIP[Investor ID],INVESTORS_LIST[[#This Row],[INVESTOR CODE]],SIP[B/S],"S"))</f>
        <v>0</v>
      </c>
      <c r="Q593" s="6">
        <f>IF(INVESTORS_LIST[[#This Row],[SIP_TOTAL CURRENT UNITS]]=0,0,INVESTORS_LIST[[#This Row],[SIP_TOTAL CURRENT UNITS]]*INVESTORS_LIST[[#This Row],[SIP_AVERAGE COST]])</f>
        <v>0</v>
      </c>
      <c r="R593" s="6">
        <f>IF(INVESTORS_LIST[[#This Row],[SIP_TOTAL UNITS SOLD]]=0,0,SUMIFS(SIP[Realized Gain],SIP[Investor ID],INVESTORS_LIST[[#This Row],[INVESTOR CODE]],SIP[B/S],"S"))</f>
        <v>0</v>
      </c>
      <c r="S593" s="33">
        <f>INVESTORS_LIST[[#This Row],[LS_TOTAL UNITS BUY]]+INVESTORS_LIST[[#This Row],[SIP_TOTAL UNITS BUY]]</f>
        <v>24956</v>
      </c>
      <c r="T593" s="33">
        <f>INVESTORS_LIST[[#This Row],[LS_TOTAL UNITS SOLD]]+INVESTORS_LIST[[#This Row],[SIP_TOTAL UNITS SOLD]]</f>
        <v>0</v>
      </c>
      <c r="U593" s="33">
        <v>0</v>
      </c>
      <c r="V593" s="33">
        <f>SUMIFS(LS[BO UNIT TRANSFER],LS[Investor ID],INVESTORS_LIST[[#This Row],[INVESTOR CODE]],LS[B/S],"B")</f>
        <v>24956</v>
      </c>
      <c r="W593" s="33">
        <f>SUMIFS(LS[BO UNIT TRANSFER],LS[Investor ID],INVESTORS_LIST[[#This Row],[INVESTOR CODE]],LS[B/S],"S")</f>
        <v>0</v>
      </c>
      <c r="X593" s="33">
        <f>SUMIFS(SIP[BO UNIT TRANSFER],SIP[Investor ID],INVESTORS_LIST[[#This Row],[INVESTOR CODE]],SIP[B/S],"S")</f>
        <v>0</v>
      </c>
      <c r="Y593" s="33">
        <f>SUMIFS(SIP[BO UNIT TRANSFER],SIP[Investor ID],INVESTORS_LIST[[#This Row],[INVESTOR CODE]],SIP[B/S],"B")</f>
        <v>0</v>
      </c>
      <c r="Z59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24956</v>
      </c>
      <c r="AA593" s="119">
        <f>INVESTORS_LIST[[#This Row],[TOTAL UNITS BUY]]-INVESTORS_LIST[[#This Row],[TOTAL UNITS SOLD]]</f>
        <v>24956</v>
      </c>
      <c r="AB593" s="119">
        <f>INVESTORS_LIST[[#This Row],[TOTAL CURRENT UNITS]]-INVESTORS_LIST[[#This Row],[BO UNITS HOLD]]</f>
        <v>0</v>
      </c>
      <c r="AC593" s="119" t="e">
        <f>INDEX([4]!Table_1[BO ID],MATCH(INVESTORS_LIST[[#This Row],[INVESTOR CODE]],[4]!Table_1[INVESTOR CODE],0))</f>
        <v>#REF!</v>
      </c>
      <c r="AD593" s="33">
        <f>INVESTORS_LIST[[#This Row],[LS_TOTAL COST VALUE OF CURRENT UNITS]]+INVESTORS_LIST[[#This Row],[SIP_TOTAL COST VALUE OF CURRENT UNITS]]</f>
        <v>308508.85000000003</v>
      </c>
      <c r="AE593" s="44">
        <f>IF(INVESTORS_LIST[[#This Row],[TOTAL CURRENT UNITS]]=0,0,INVESTORS_LIST[[#This Row],[LS_TOTAL CURRENT UNITS]]/INVESTORS_LIST[[#This Row],[TOTAL CURRENT UNITS]])</f>
        <v>1</v>
      </c>
      <c r="AF593" s="44">
        <f>IF(INVESTORS_LIST[[#This Row],[TOTAL CURRENT UNITS]]=0,0,INVESTORS_LIST[[#This Row],[SIP_TOTAL CURRENT UNITS]]/INVESTORS_LIST[[#This Row],[TOTAL CURRENT UNITS]])</f>
        <v>0</v>
      </c>
      <c r="AG593" s="4" cm="1">
        <f t="array" ref="AG593">IF(INVESTORS_LIST[[#This Row],[LS_TOTAL UNITS BUY]]&gt;0,INDEX(LS[NAV at Cost (Average)],MATCH(CONCATENATE(COUNTIFS(LS[Investor ID],INVESTORS_LIST[[#This Row],[INVESTOR CODE]]),INVESTORS_LIST[[#This Row],[INVESTOR CODE]]),LS[Unique Code],0),),0)</f>
        <v>12.362111315916014</v>
      </c>
      <c r="AH593" s="4" cm="1">
        <f t="array" ref="AH59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93" s="178">
        <f>IF(INVESTORS_LIST[[#This Row],[TOTAL CURRENT UNITS]]=0,0,(INVESTORS_LIST[[#This Row],[LS_WEIGHT]]*INVESTORS_LIST[[#This Row],[LS_AVERAGE COST]])+(INVESTORS_LIST[[#This Row],[SIP_WEIGHT]]*INVESTORS_LIST[[#This Row],[SIP_AVERAGE COST]]))</f>
        <v>12.362111315916014</v>
      </c>
      <c r="AJ593" s="178">
        <f t="shared" si="15"/>
        <v>12.552</v>
      </c>
      <c r="AK593" s="118">
        <f>IF(INVESTORS_LIST[[#This Row],[TOTAL CURRENT UNITS]]=0,0,INVESTORS_LIST[[#This Row],[TOTAL CURRENT UNITS]]*INVESTORS_LIST[[#This Row],[NAV]])</f>
        <v>313247.712</v>
      </c>
      <c r="AL593" s="4">
        <f>IF(INVESTORS_LIST[[#This Row],[LS_TOTAL CURRENT UNITS]]=0,0,INVESTORS_LIST[[#This Row],[LS_TOTAL CURRENT UNITS]]*INVESTORS_LIST[[#This Row],[NAV]])</f>
        <v>313247.712</v>
      </c>
      <c r="AM593" s="6">
        <f>IF(INVESTORS_LIST[[#This Row],[SIP_TOTAL CURRENT UNITS]]=0,0,INVESTORS_LIST[[#This Row],[SIP_TOTAL CURRENT UNITS]]*INVESTORS_LIST[[#This Row],[NAV]])</f>
        <v>0</v>
      </c>
      <c r="AO593" s="6">
        <f>IF(INVESTORS_LIST[[#This Row],[TOTAL SELLABLE UNITS]]=0,0,INVESTORS_LIST[[#This Row],[TOTAL SELLABLE UNITS]]*INVESTORS_LIST[[#This Row],[NAV]])</f>
        <v>0</v>
      </c>
      <c r="AP593" s="6">
        <f>INVESTORS_LIST[[#This Row],[LS_TOTAL REALIZED GAIN]]+INVESTORS_LIST[[#This Row],[SIP_TOTAL REALIZED GAIN]]</f>
        <v>0</v>
      </c>
      <c r="AQ593" s="6">
        <f>INVESTORS_LIST[[#This Row],[TOTAL MARKET VALUE]]-INVESTORS_LIST[[#This Row],[TOTAL COST VALUE OF CURRENT INVESTMENT]]</f>
        <v>4738.8619999999646</v>
      </c>
      <c r="AR593" s="6">
        <f>SUMIFS(DivAndTax[Tax Amount],DivAndTax[Investor ID],INVESTORS_LIST[[#This Row],[INVESTOR CODE]])</f>
        <v>850.89</v>
      </c>
      <c r="AS593" s="6">
        <f>SUMIFS(DivAndTax[Gross Dividend],DivAndTax[Investor ID],INVESTORS_LIST[[#This Row],[INVESTOR CODE]])</f>
        <v>8508.85</v>
      </c>
      <c r="AT593" s="5">
        <f>IFERROR(INVESTORS_LIST[[#This Row],[TOTAL CURRENT UNITS]]/SUM(INVESTORS_LIST[TOTAL CURRENT UNITS]),0)</f>
        <v>1.1965113036660922E-3</v>
      </c>
    </row>
    <row r="594" spans="1:46" hidden="1">
      <c r="A594" t="s">
        <v>1377</v>
      </c>
      <c r="B594" t="s">
        <v>1378</v>
      </c>
      <c r="C594" t="s">
        <v>536</v>
      </c>
      <c r="D594" s="8" t="s">
        <v>2</v>
      </c>
      <c r="E594" s="2">
        <f>SUMIFS(LS[Unit],LS[Investor ID],INVESTORS_LIST[[#This Row],[INVESTOR CODE]],LS[B/S],"B")</f>
        <v>0</v>
      </c>
      <c r="F594" s="2">
        <f>-SUMIFS(LS[Unit],LS[Investor ID],INVESTORS_LIST[[#This Row],[INVESTOR CODE]],LS[B/S],"S")</f>
        <v>0</v>
      </c>
      <c r="G594" s="2">
        <f>IF(INVESTORS_LIST[[#This Row],[LS_TOTAL UNITS BUY]]=0,0,INVESTORS_LIST[[#This Row],[LS_TOTAL UNITS BUY]]-INVESTORS_LIST[[#This Row],[LS_TOTAL UNITS SOLD]])</f>
        <v>0</v>
      </c>
      <c r="H594" s="4">
        <f>IF(INVESTORS_LIST[[#This Row],[LS_TOTAL UNITS BUY]]=0,0,SUMIFS(LS[Amount],LS[Investor ID],INVESTORS_LIST[[#This Row],[INVESTOR CODE]],LS[B/S],"B"))</f>
        <v>0</v>
      </c>
      <c r="I594" s="6">
        <f>IF(INVESTORS_LIST[[#This Row],[LS_TOTAL UNITS SOLD]]=0,0,SUMIFS(LS[Cost of Units Sold],LS[Investor ID],INVESTORS_LIST[[#This Row],[INVESTOR CODE]],LS[B/S],"S"))</f>
        <v>0</v>
      </c>
      <c r="J594" s="6">
        <f>IF(INVESTORS_LIST[[#This Row],[LS_TOTAL CURRENT UNITS]]=0,0,INVESTORS_LIST[[#This Row],[LS_TOTAL CURRENT UNITS]]*INVESTORS_LIST[[#This Row],[LS_AVERAGE COST]])</f>
        <v>0</v>
      </c>
      <c r="K594" s="4">
        <f>IF(INVESTORS_LIST[[#This Row],[LS_TOTAL UNITS SOLD]]=0,0,SUMIFS(LS[Realized Gain],LS[Investor ID],INVESTORS_LIST[[#This Row],[INVESTOR CODE]],LS[B/S],"S"))</f>
        <v>0</v>
      </c>
      <c r="L594" s="2">
        <f>SUMIFS(SIP[Unit],SIP[Investor ID],INVESTORS_LIST[[#This Row],[INVESTOR CODE]],SIP[B/S],"B")</f>
        <v>0</v>
      </c>
      <c r="M594" s="2">
        <f>-SUMIFS(SIP[Unit],SIP[Investor ID],INVESTORS_LIST[[#This Row],[INVESTOR CODE]],SIP[B/S],"S")</f>
        <v>0</v>
      </c>
      <c r="N594" s="33">
        <f>IF(INVESTORS_LIST[[#This Row],[SIP_TOTAL UNITS BUY]]=0,0,INVESTORS_LIST[[#This Row],[SIP_TOTAL UNITS BUY]]-INVESTORS_LIST[[#This Row],[SIP_TOTAL UNITS SOLD]])</f>
        <v>0</v>
      </c>
      <c r="O594" s="4">
        <f>IF(INVESTORS_LIST[[#This Row],[SIP_TOTAL UNITS BUY]]=0,0,SUMIFS(SIP[Amount],SIP[Investor ID],INVESTORS_LIST[[#This Row],[INVESTOR CODE]],SIP[B/S],"B"))</f>
        <v>0</v>
      </c>
      <c r="P594" s="4">
        <f>IF(INVESTORS_LIST[[#This Row],[SIP_TOTAL UNITS SOLD]]=0,0,SUMIFS(SIP[Cost of Units Sold],SIP[Investor ID],INVESTORS_LIST[[#This Row],[INVESTOR CODE]],SIP[B/S],"S"))</f>
        <v>0</v>
      </c>
      <c r="Q594" s="6">
        <f>IF(INVESTORS_LIST[[#This Row],[SIP_TOTAL CURRENT UNITS]]=0,0,INVESTORS_LIST[[#This Row],[SIP_TOTAL CURRENT UNITS]]*INVESTORS_LIST[[#This Row],[SIP_AVERAGE COST]])</f>
        <v>0</v>
      </c>
      <c r="R594" s="6">
        <f>IF(INVESTORS_LIST[[#This Row],[SIP_TOTAL UNITS SOLD]]=0,0,SUMIFS(SIP[Realized Gain],SIP[Investor ID],INVESTORS_LIST[[#This Row],[INVESTOR CODE]],SIP[B/S],"S"))</f>
        <v>0</v>
      </c>
      <c r="S594" s="33">
        <f>INVESTORS_LIST[[#This Row],[LS_TOTAL UNITS BUY]]+INVESTORS_LIST[[#This Row],[SIP_TOTAL UNITS BUY]]</f>
        <v>0</v>
      </c>
      <c r="T594" s="33">
        <f>INVESTORS_LIST[[#This Row],[LS_TOTAL UNITS SOLD]]+INVESTORS_LIST[[#This Row],[SIP_TOTAL UNITS SOLD]]</f>
        <v>0</v>
      </c>
      <c r="U594" s="33">
        <v>0</v>
      </c>
      <c r="V594" s="33">
        <f>SUMIFS(LS[BO UNIT TRANSFER],LS[Investor ID],INVESTORS_LIST[[#This Row],[INVESTOR CODE]],LS[B/S],"B")</f>
        <v>0</v>
      </c>
      <c r="W594" s="33">
        <f>SUMIFS(LS[BO UNIT TRANSFER],LS[Investor ID],INVESTORS_LIST[[#This Row],[INVESTOR CODE]],LS[B/S],"S")</f>
        <v>0</v>
      </c>
      <c r="X594" s="33">
        <f>SUMIFS(SIP[BO UNIT TRANSFER],SIP[Investor ID],INVESTORS_LIST[[#This Row],[INVESTOR CODE]],SIP[B/S],"S")</f>
        <v>0</v>
      </c>
      <c r="Y594" s="33">
        <f>SUMIFS(SIP[BO UNIT TRANSFER],SIP[Investor ID],INVESTORS_LIST[[#This Row],[INVESTOR CODE]],SIP[B/S],"B")</f>
        <v>0</v>
      </c>
      <c r="Z59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94" s="119">
        <f>INVESTORS_LIST[[#This Row],[TOTAL UNITS BUY]]-INVESTORS_LIST[[#This Row],[TOTAL UNITS SOLD]]</f>
        <v>0</v>
      </c>
      <c r="AB594" s="119">
        <f>INVESTORS_LIST[[#This Row],[TOTAL CURRENT UNITS]]-INVESTORS_LIST[[#This Row],[BO UNITS HOLD]]</f>
        <v>0</v>
      </c>
      <c r="AC594" s="119" t="e">
        <f>INDEX([4]!Table_1[BO ID],MATCH(INVESTORS_LIST[[#This Row],[INVESTOR CODE]],[4]!Table_1[INVESTOR CODE],0))</f>
        <v>#REF!</v>
      </c>
      <c r="AD594" s="33">
        <f>INVESTORS_LIST[[#This Row],[LS_TOTAL COST VALUE OF CURRENT UNITS]]+INVESTORS_LIST[[#This Row],[SIP_TOTAL COST VALUE OF CURRENT UNITS]]</f>
        <v>0</v>
      </c>
      <c r="AE594" s="44">
        <f>IF(INVESTORS_LIST[[#This Row],[TOTAL CURRENT UNITS]]=0,0,INVESTORS_LIST[[#This Row],[LS_TOTAL CURRENT UNITS]]/INVESTORS_LIST[[#This Row],[TOTAL CURRENT UNITS]])</f>
        <v>0</v>
      </c>
      <c r="AF594" s="44">
        <f>IF(INVESTORS_LIST[[#This Row],[TOTAL CURRENT UNITS]]=0,0,INVESTORS_LIST[[#This Row],[SIP_TOTAL CURRENT UNITS]]/INVESTORS_LIST[[#This Row],[TOTAL CURRENT UNITS]])</f>
        <v>0</v>
      </c>
      <c r="AG594" s="4" cm="1">
        <f t="array" ref="AG59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94" s="4" cm="1">
        <f t="array" ref="AH59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9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94" s="178">
        <f t="shared" si="15"/>
        <v>12.552</v>
      </c>
      <c r="AK594" s="118">
        <f>IF(INVESTORS_LIST[[#This Row],[TOTAL CURRENT UNITS]]=0,0,INVESTORS_LIST[[#This Row],[TOTAL CURRENT UNITS]]*INVESTORS_LIST[[#This Row],[NAV]])</f>
        <v>0</v>
      </c>
      <c r="AL594" s="4">
        <f>IF(INVESTORS_LIST[[#This Row],[LS_TOTAL CURRENT UNITS]]=0,0,INVESTORS_LIST[[#This Row],[LS_TOTAL CURRENT UNITS]]*INVESTORS_LIST[[#This Row],[NAV]])</f>
        <v>0</v>
      </c>
      <c r="AM594" s="6">
        <f>IF(INVESTORS_LIST[[#This Row],[SIP_TOTAL CURRENT UNITS]]=0,0,INVESTORS_LIST[[#This Row],[SIP_TOTAL CURRENT UNITS]]*INVESTORS_LIST[[#This Row],[NAV]])</f>
        <v>0</v>
      </c>
      <c r="AO594" s="6">
        <f>IF(INVESTORS_LIST[[#This Row],[TOTAL SELLABLE UNITS]]=0,0,INVESTORS_LIST[[#This Row],[TOTAL SELLABLE UNITS]]*INVESTORS_LIST[[#This Row],[NAV]])</f>
        <v>0</v>
      </c>
      <c r="AP594" s="6">
        <f>INVESTORS_LIST[[#This Row],[LS_TOTAL REALIZED GAIN]]+INVESTORS_LIST[[#This Row],[SIP_TOTAL REALIZED GAIN]]</f>
        <v>0</v>
      </c>
      <c r="AQ594" s="6">
        <f>INVESTORS_LIST[[#This Row],[TOTAL MARKET VALUE]]-INVESTORS_LIST[[#This Row],[TOTAL COST VALUE OF CURRENT INVESTMENT]]</f>
        <v>0</v>
      </c>
      <c r="AR594" s="6">
        <f>SUMIFS(DivAndTax[Tax Amount],DivAndTax[Investor ID],INVESTORS_LIST[[#This Row],[INVESTOR CODE]])</f>
        <v>0</v>
      </c>
      <c r="AS594" s="6">
        <f>SUMIFS(DivAndTax[Gross Dividend],DivAndTax[Investor ID],INVESTORS_LIST[[#This Row],[INVESTOR CODE]])</f>
        <v>0</v>
      </c>
      <c r="AT594" s="5">
        <f>IFERROR(INVESTORS_LIST[[#This Row],[TOTAL CURRENT UNITS]]/SUM(INVESTORS_LIST[TOTAL CURRENT UNITS]),0)</f>
        <v>0</v>
      </c>
    </row>
    <row r="595" spans="1:46" hidden="1">
      <c r="A595" t="s">
        <v>1379</v>
      </c>
      <c r="B595" t="s">
        <v>1380</v>
      </c>
      <c r="C595" t="s">
        <v>536</v>
      </c>
      <c r="D595" s="8" t="s">
        <v>2</v>
      </c>
      <c r="E595" s="2">
        <f>SUMIFS(LS[Unit],LS[Investor ID],INVESTORS_LIST[[#This Row],[INVESTOR CODE]],LS[B/S],"B")</f>
        <v>0</v>
      </c>
      <c r="F595" s="2">
        <f>-SUMIFS(LS[Unit],LS[Investor ID],INVESTORS_LIST[[#This Row],[INVESTOR CODE]],LS[B/S],"S")</f>
        <v>0</v>
      </c>
      <c r="G595" s="2">
        <f>IF(INVESTORS_LIST[[#This Row],[LS_TOTAL UNITS BUY]]=0,0,INVESTORS_LIST[[#This Row],[LS_TOTAL UNITS BUY]]-INVESTORS_LIST[[#This Row],[LS_TOTAL UNITS SOLD]])</f>
        <v>0</v>
      </c>
      <c r="H595" s="4">
        <f>IF(INVESTORS_LIST[[#This Row],[LS_TOTAL UNITS BUY]]=0,0,SUMIFS(LS[Amount],LS[Investor ID],INVESTORS_LIST[[#This Row],[INVESTOR CODE]],LS[B/S],"B"))</f>
        <v>0</v>
      </c>
      <c r="I595" s="6">
        <f>IF(INVESTORS_LIST[[#This Row],[LS_TOTAL UNITS SOLD]]=0,0,SUMIFS(LS[Cost of Units Sold],LS[Investor ID],INVESTORS_LIST[[#This Row],[INVESTOR CODE]],LS[B/S],"S"))</f>
        <v>0</v>
      </c>
      <c r="J595" s="6">
        <f>IF(INVESTORS_LIST[[#This Row],[LS_TOTAL CURRENT UNITS]]=0,0,INVESTORS_LIST[[#This Row],[LS_TOTAL CURRENT UNITS]]*INVESTORS_LIST[[#This Row],[LS_AVERAGE COST]])</f>
        <v>0</v>
      </c>
      <c r="K595" s="4">
        <f>IF(INVESTORS_LIST[[#This Row],[LS_TOTAL UNITS SOLD]]=0,0,SUMIFS(LS[Realized Gain],LS[Investor ID],INVESTORS_LIST[[#This Row],[INVESTOR CODE]],LS[B/S],"S"))</f>
        <v>0</v>
      </c>
      <c r="L595" s="2">
        <f>SUMIFS(SIP[Unit],SIP[Investor ID],INVESTORS_LIST[[#This Row],[INVESTOR CODE]],SIP[B/S],"B")</f>
        <v>0</v>
      </c>
      <c r="M595" s="2">
        <f>-SUMIFS(SIP[Unit],SIP[Investor ID],INVESTORS_LIST[[#This Row],[INVESTOR CODE]],SIP[B/S],"S")</f>
        <v>0</v>
      </c>
      <c r="N595" s="33">
        <f>IF(INVESTORS_LIST[[#This Row],[SIP_TOTAL UNITS BUY]]=0,0,INVESTORS_LIST[[#This Row],[SIP_TOTAL UNITS BUY]]-INVESTORS_LIST[[#This Row],[SIP_TOTAL UNITS SOLD]])</f>
        <v>0</v>
      </c>
      <c r="O595" s="4">
        <f>IF(INVESTORS_LIST[[#This Row],[SIP_TOTAL UNITS BUY]]=0,0,SUMIFS(SIP[Amount],SIP[Investor ID],INVESTORS_LIST[[#This Row],[INVESTOR CODE]],SIP[B/S],"B"))</f>
        <v>0</v>
      </c>
      <c r="P595" s="4">
        <f>IF(INVESTORS_LIST[[#This Row],[SIP_TOTAL UNITS SOLD]]=0,0,SUMIFS(SIP[Cost of Units Sold],SIP[Investor ID],INVESTORS_LIST[[#This Row],[INVESTOR CODE]],SIP[B/S],"S"))</f>
        <v>0</v>
      </c>
      <c r="Q595" s="6">
        <f>IF(INVESTORS_LIST[[#This Row],[SIP_TOTAL CURRENT UNITS]]=0,0,INVESTORS_LIST[[#This Row],[SIP_TOTAL CURRENT UNITS]]*INVESTORS_LIST[[#This Row],[SIP_AVERAGE COST]])</f>
        <v>0</v>
      </c>
      <c r="R595" s="6">
        <f>IF(INVESTORS_LIST[[#This Row],[SIP_TOTAL UNITS SOLD]]=0,0,SUMIFS(SIP[Realized Gain],SIP[Investor ID],INVESTORS_LIST[[#This Row],[INVESTOR CODE]],SIP[B/S],"S"))</f>
        <v>0</v>
      </c>
      <c r="S595" s="33">
        <f>INVESTORS_LIST[[#This Row],[LS_TOTAL UNITS BUY]]+INVESTORS_LIST[[#This Row],[SIP_TOTAL UNITS BUY]]</f>
        <v>0</v>
      </c>
      <c r="T595" s="33">
        <f>INVESTORS_LIST[[#This Row],[LS_TOTAL UNITS SOLD]]+INVESTORS_LIST[[#This Row],[SIP_TOTAL UNITS SOLD]]</f>
        <v>0</v>
      </c>
      <c r="U595" s="33">
        <v>0</v>
      </c>
      <c r="V595" s="33">
        <f>SUMIFS(LS[BO UNIT TRANSFER],LS[Investor ID],INVESTORS_LIST[[#This Row],[INVESTOR CODE]],LS[B/S],"B")</f>
        <v>0</v>
      </c>
      <c r="W595" s="33">
        <f>SUMIFS(LS[BO UNIT TRANSFER],LS[Investor ID],INVESTORS_LIST[[#This Row],[INVESTOR CODE]],LS[B/S],"S")</f>
        <v>0</v>
      </c>
      <c r="X595" s="33">
        <f>SUMIFS(SIP[BO UNIT TRANSFER],SIP[Investor ID],INVESTORS_LIST[[#This Row],[INVESTOR CODE]],SIP[B/S],"S")</f>
        <v>0</v>
      </c>
      <c r="Y595" s="33">
        <f>SUMIFS(SIP[BO UNIT TRANSFER],SIP[Investor ID],INVESTORS_LIST[[#This Row],[INVESTOR CODE]],SIP[B/S],"B")</f>
        <v>0</v>
      </c>
      <c r="Z59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95" s="119">
        <f>INVESTORS_LIST[[#This Row],[TOTAL UNITS BUY]]-INVESTORS_LIST[[#This Row],[TOTAL UNITS SOLD]]</f>
        <v>0</v>
      </c>
      <c r="AB595" s="119">
        <f>INVESTORS_LIST[[#This Row],[TOTAL CURRENT UNITS]]-INVESTORS_LIST[[#This Row],[BO UNITS HOLD]]</f>
        <v>0</v>
      </c>
      <c r="AC595" s="119" t="e">
        <f>INDEX([4]!Table_1[BO ID],MATCH(INVESTORS_LIST[[#This Row],[INVESTOR CODE]],[4]!Table_1[INVESTOR CODE],0))</f>
        <v>#REF!</v>
      </c>
      <c r="AD595" s="33">
        <f>INVESTORS_LIST[[#This Row],[LS_TOTAL COST VALUE OF CURRENT UNITS]]+INVESTORS_LIST[[#This Row],[SIP_TOTAL COST VALUE OF CURRENT UNITS]]</f>
        <v>0</v>
      </c>
      <c r="AE595" s="44">
        <f>IF(INVESTORS_LIST[[#This Row],[TOTAL CURRENT UNITS]]=0,0,INVESTORS_LIST[[#This Row],[LS_TOTAL CURRENT UNITS]]/INVESTORS_LIST[[#This Row],[TOTAL CURRENT UNITS]])</f>
        <v>0</v>
      </c>
      <c r="AF595" s="44">
        <f>IF(INVESTORS_LIST[[#This Row],[TOTAL CURRENT UNITS]]=0,0,INVESTORS_LIST[[#This Row],[SIP_TOTAL CURRENT UNITS]]/INVESTORS_LIST[[#This Row],[TOTAL CURRENT UNITS]])</f>
        <v>0</v>
      </c>
      <c r="AG595" s="4" cm="1">
        <f t="array" ref="AG59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95" s="4" cm="1">
        <f t="array" ref="AH5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9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95" s="178">
        <f t="shared" si="15"/>
        <v>12.552</v>
      </c>
      <c r="AK595" s="118">
        <f>IF(INVESTORS_LIST[[#This Row],[TOTAL CURRENT UNITS]]=0,0,INVESTORS_LIST[[#This Row],[TOTAL CURRENT UNITS]]*INVESTORS_LIST[[#This Row],[NAV]])</f>
        <v>0</v>
      </c>
      <c r="AL595" s="4">
        <f>IF(INVESTORS_LIST[[#This Row],[LS_TOTAL CURRENT UNITS]]=0,0,INVESTORS_LIST[[#This Row],[LS_TOTAL CURRENT UNITS]]*INVESTORS_LIST[[#This Row],[NAV]])</f>
        <v>0</v>
      </c>
      <c r="AM595" s="6">
        <f>IF(INVESTORS_LIST[[#This Row],[SIP_TOTAL CURRENT UNITS]]=0,0,INVESTORS_LIST[[#This Row],[SIP_TOTAL CURRENT UNITS]]*INVESTORS_LIST[[#This Row],[NAV]])</f>
        <v>0</v>
      </c>
      <c r="AO595" s="6">
        <f>IF(INVESTORS_LIST[[#This Row],[TOTAL SELLABLE UNITS]]=0,0,INVESTORS_LIST[[#This Row],[TOTAL SELLABLE UNITS]]*INVESTORS_LIST[[#This Row],[NAV]])</f>
        <v>0</v>
      </c>
      <c r="AP595" s="6">
        <f>INVESTORS_LIST[[#This Row],[LS_TOTAL REALIZED GAIN]]+INVESTORS_LIST[[#This Row],[SIP_TOTAL REALIZED GAIN]]</f>
        <v>0</v>
      </c>
      <c r="AQ595" s="6">
        <f>INVESTORS_LIST[[#This Row],[TOTAL MARKET VALUE]]-INVESTORS_LIST[[#This Row],[TOTAL COST VALUE OF CURRENT INVESTMENT]]</f>
        <v>0</v>
      </c>
      <c r="AR595" s="6">
        <f>SUMIFS(DivAndTax[Tax Amount],DivAndTax[Investor ID],INVESTORS_LIST[[#This Row],[INVESTOR CODE]])</f>
        <v>0</v>
      </c>
      <c r="AS595" s="6">
        <f>SUMIFS(DivAndTax[Gross Dividend],DivAndTax[Investor ID],INVESTORS_LIST[[#This Row],[INVESTOR CODE]])</f>
        <v>0</v>
      </c>
      <c r="AT595" s="5">
        <f>IFERROR(INVESTORS_LIST[[#This Row],[TOTAL CURRENT UNITS]]/SUM(INVESTORS_LIST[TOTAL CURRENT UNITS]),0)</f>
        <v>0</v>
      </c>
    </row>
    <row r="596" spans="1:46" hidden="1">
      <c r="A596" t="s">
        <v>1381</v>
      </c>
      <c r="B596" t="s">
        <v>1382</v>
      </c>
      <c r="C596" t="s">
        <v>539</v>
      </c>
      <c r="D596" s="8" t="s">
        <v>2</v>
      </c>
      <c r="E596" s="2">
        <f>SUMIFS(LS[Unit],LS[Investor ID],INVESTORS_LIST[[#This Row],[INVESTOR CODE]],LS[B/S],"B")</f>
        <v>0</v>
      </c>
      <c r="F596" s="2">
        <f>-SUMIFS(LS[Unit],LS[Investor ID],INVESTORS_LIST[[#This Row],[INVESTOR CODE]],LS[B/S],"S")</f>
        <v>0</v>
      </c>
      <c r="G596" s="2">
        <f>IF(INVESTORS_LIST[[#This Row],[LS_TOTAL UNITS BUY]]=0,0,INVESTORS_LIST[[#This Row],[LS_TOTAL UNITS BUY]]-INVESTORS_LIST[[#This Row],[LS_TOTAL UNITS SOLD]])</f>
        <v>0</v>
      </c>
      <c r="H596" s="4">
        <f>IF(INVESTORS_LIST[[#This Row],[LS_TOTAL UNITS BUY]]=0,0,SUMIFS(LS[Amount],LS[Investor ID],INVESTORS_LIST[[#This Row],[INVESTOR CODE]],LS[B/S],"B"))</f>
        <v>0</v>
      </c>
      <c r="I596" s="6">
        <f>IF(INVESTORS_LIST[[#This Row],[LS_TOTAL UNITS SOLD]]=0,0,SUMIFS(LS[Cost of Units Sold],LS[Investor ID],INVESTORS_LIST[[#This Row],[INVESTOR CODE]],LS[B/S],"S"))</f>
        <v>0</v>
      </c>
      <c r="J596" s="6">
        <f>IF(INVESTORS_LIST[[#This Row],[LS_TOTAL CURRENT UNITS]]=0,0,INVESTORS_LIST[[#This Row],[LS_TOTAL CURRENT UNITS]]*INVESTORS_LIST[[#This Row],[LS_AVERAGE COST]])</f>
        <v>0</v>
      </c>
      <c r="K596" s="4">
        <f>IF(INVESTORS_LIST[[#This Row],[LS_TOTAL UNITS SOLD]]=0,0,SUMIFS(LS[Realized Gain],LS[Investor ID],INVESTORS_LIST[[#This Row],[INVESTOR CODE]],LS[B/S],"S"))</f>
        <v>0</v>
      </c>
      <c r="L596" s="2">
        <f>SUMIFS(SIP[Unit],SIP[Investor ID],INVESTORS_LIST[[#This Row],[INVESTOR CODE]],SIP[B/S],"B")</f>
        <v>0</v>
      </c>
      <c r="M596" s="2">
        <f>-SUMIFS(SIP[Unit],SIP[Investor ID],INVESTORS_LIST[[#This Row],[INVESTOR CODE]],SIP[B/S],"S")</f>
        <v>0</v>
      </c>
      <c r="N596" s="33">
        <f>IF(INVESTORS_LIST[[#This Row],[SIP_TOTAL UNITS BUY]]=0,0,INVESTORS_LIST[[#This Row],[SIP_TOTAL UNITS BUY]]-INVESTORS_LIST[[#This Row],[SIP_TOTAL UNITS SOLD]])</f>
        <v>0</v>
      </c>
      <c r="O596" s="4">
        <f>IF(INVESTORS_LIST[[#This Row],[SIP_TOTAL UNITS BUY]]=0,0,SUMIFS(SIP[Amount],SIP[Investor ID],INVESTORS_LIST[[#This Row],[INVESTOR CODE]],SIP[B/S],"B"))</f>
        <v>0</v>
      </c>
      <c r="P596" s="4">
        <f>IF(INVESTORS_LIST[[#This Row],[SIP_TOTAL UNITS SOLD]]=0,0,SUMIFS(SIP[Cost of Units Sold],SIP[Investor ID],INVESTORS_LIST[[#This Row],[INVESTOR CODE]],SIP[B/S],"S"))</f>
        <v>0</v>
      </c>
      <c r="Q596" s="6">
        <f>IF(INVESTORS_LIST[[#This Row],[SIP_TOTAL CURRENT UNITS]]=0,0,INVESTORS_LIST[[#This Row],[SIP_TOTAL CURRENT UNITS]]*INVESTORS_LIST[[#This Row],[SIP_AVERAGE COST]])</f>
        <v>0</v>
      </c>
      <c r="R596" s="6">
        <f>IF(INVESTORS_LIST[[#This Row],[SIP_TOTAL UNITS SOLD]]=0,0,SUMIFS(SIP[Realized Gain],SIP[Investor ID],INVESTORS_LIST[[#This Row],[INVESTOR CODE]],SIP[B/S],"S"))</f>
        <v>0</v>
      </c>
      <c r="S596" s="33">
        <f>INVESTORS_LIST[[#This Row],[LS_TOTAL UNITS BUY]]+INVESTORS_LIST[[#This Row],[SIP_TOTAL UNITS BUY]]</f>
        <v>0</v>
      </c>
      <c r="T596" s="33">
        <f>INVESTORS_LIST[[#This Row],[LS_TOTAL UNITS SOLD]]+INVESTORS_LIST[[#This Row],[SIP_TOTAL UNITS SOLD]]</f>
        <v>0</v>
      </c>
      <c r="U596" s="33">
        <v>0</v>
      </c>
      <c r="V596" s="33">
        <f>SUMIFS(LS[BO UNIT TRANSFER],LS[Investor ID],INVESTORS_LIST[[#This Row],[INVESTOR CODE]],LS[B/S],"B")</f>
        <v>0</v>
      </c>
      <c r="W596" s="33">
        <f>SUMIFS(LS[BO UNIT TRANSFER],LS[Investor ID],INVESTORS_LIST[[#This Row],[INVESTOR CODE]],LS[B/S],"S")</f>
        <v>0</v>
      </c>
      <c r="X596" s="33">
        <f>SUMIFS(SIP[BO UNIT TRANSFER],SIP[Investor ID],INVESTORS_LIST[[#This Row],[INVESTOR CODE]],SIP[B/S],"S")</f>
        <v>0</v>
      </c>
      <c r="Y596" s="33">
        <f>SUMIFS(SIP[BO UNIT TRANSFER],SIP[Investor ID],INVESTORS_LIST[[#This Row],[INVESTOR CODE]],SIP[B/S],"B")</f>
        <v>0</v>
      </c>
      <c r="Z59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96" s="119">
        <f>INVESTORS_LIST[[#This Row],[TOTAL UNITS BUY]]-INVESTORS_LIST[[#This Row],[TOTAL UNITS SOLD]]</f>
        <v>0</v>
      </c>
      <c r="AB596" s="119">
        <f>INVESTORS_LIST[[#This Row],[TOTAL CURRENT UNITS]]-INVESTORS_LIST[[#This Row],[BO UNITS HOLD]]</f>
        <v>0</v>
      </c>
      <c r="AC596" s="119" t="e">
        <f>INDEX([4]!Table_1[BO ID],MATCH(INVESTORS_LIST[[#This Row],[INVESTOR CODE]],[4]!Table_1[INVESTOR CODE],0))</f>
        <v>#REF!</v>
      </c>
      <c r="AD596" s="33">
        <f>INVESTORS_LIST[[#This Row],[LS_TOTAL COST VALUE OF CURRENT UNITS]]+INVESTORS_LIST[[#This Row],[SIP_TOTAL COST VALUE OF CURRENT UNITS]]</f>
        <v>0</v>
      </c>
      <c r="AE596" s="44">
        <f>IF(INVESTORS_LIST[[#This Row],[TOTAL CURRENT UNITS]]=0,0,INVESTORS_LIST[[#This Row],[LS_TOTAL CURRENT UNITS]]/INVESTORS_LIST[[#This Row],[TOTAL CURRENT UNITS]])</f>
        <v>0</v>
      </c>
      <c r="AF596" s="44">
        <f>IF(INVESTORS_LIST[[#This Row],[TOTAL CURRENT UNITS]]=0,0,INVESTORS_LIST[[#This Row],[SIP_TOTAL CURRENT UNITS]]/INVESTORS_LIST[[#This Row],[TOTAL CURRENT UNITS]])</f>
        <v>0</v>
      </c>
      <c r="AG596" s="4" cm="1">
        <f t="array" ref="AG59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96" s="4" cm="1">
        <f t="array" ref="AH59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9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96" s="178">
        <f t="shared" si="15"/>
        <v>12.552</v>
      </c>
      <c r="AK596" s="118">
        <f>IF(INVESTORS_LIST[[#This Row],[TOTAL CURRENT UNITS]]=0,0,INVESTORS_LIST[[#This Row],[TOTAL CURRENT UNITS]]*INVESTORS_LIST[[#This Row],[NAV]])</f>
        <v>0</v>
      </c>
      <c r="AL596" s="4">
        <f>IF(INVESTORS_LIST[[#This Row],[LS_TOTAL CURRENT UNITS]]=0,0,INVESTORS_LIST[[#This Row],[LS_TOTAL CURRENT UNITS]]*INVESTORS_LIST[[#This Row],[NAV]])</f>
        <v>0</v>
      </c>
      <c r="AM596" s="6">
        <f>IF(INVESTORS_LIST[[#This Row],[SIP_TOTAL CURRENT UNITS]]=0,0,INVESTORS_LIST[[#This Row],[SIP_TOTAL CURRENT UNITS]]*INVESTORS_LIST[[#This Row],[NAV]])</f>
        <v>0</v>
      </c>
      <c r="AO596" s="6">
        <f>IF(INVESTORS_LIST[[#This Row],[TOTAL SELLABLE UNITS]]=0,0,INVESTORS_LIST[[#This Row],[TOTAL SELLABLE UNITS]]*INVESTORS_LIST[[#This Row],[NAV]])</f>
        <v>0</v>
      </c>
      <c r="AP596" s="6">
        <f>INVESTORS_LIST[[#This Row],[LS_TOTAL REALIZED GAIN]]+INVESTORS_LIST[[#This Row],[SIP_TOTAL REALIZED GAIN]]</f>
        <v>0</v>
      </c>
      <c r="AQ596" s="6">
        <f>INVESTORS_LIST[[#This Row],[TOTAL MARKET VALUE]]-INVESTORS_LIST[[#This Row],[TOTAL COST VALUE OF CURRENT INVESTMENT]]</f>
        <v>0</v>
      </c>
      <c r="AR596" s="6">
        <f>SUMIFS(DivAndTax[Tax Amount],DivAndTax[Investor ID],INVESTORS_LIST[[#This Row],[INVESTOR CODE]])</f>
        <v>0</v>
      </c>
      <c r="AS596" s="6">
        <f>SUMIFS(DivAndTax[Gross Dividend],DivAndTax[Investor ID],INVESTORS_LIST[[#This Row],[INVESTOR CODE]])</f>
        <v>0</v>
      </c>
      <c r="AT596" s="5">
        <f>IFERROR(INVESTORS_LIST[[#This Row],[TOTAL CURRENT UNITS]]/SUM(INVESTORS_LIST[TOTAL CURRENT UNITS]),0)</f>
        <v>0</v>
      </c>
    </row>
    <row r="597" spans="1:46" hidden="1">
      <c r="A597" t="s">
        <v>1383</v>
      </c>
      <c r="B597" t="s">
        <v>1384</v>
      </c>
      <c r="C597" t="s">
        <v>536</v>
      </c>
      <c r="D597" s="8" t="s">
        <v>2</v>
      </c>
      <c r="E597" s="2">
        <f>SUMIFS(LS[Unit],LS[Investor ID],INVESTORS_LIST[[#This Row],[INVESTOR CODE]],LS[B/S],"B")</f>
        <v>0</v>
      </c>
      <c r="F597" s="2">
        <f>-SUMIFS(LS[Unit],LS[Investor ID],INVESTORS_LIST[[#This Row],[INVESTOR CODE]],LS[B/S],"S")</f>
        <v>0</v>
      </c>
      <c r="G597" s="2">
        <f>IF(INVESTORS_LIST[[#This Row],[LS_TOTAL UNITS BUY]]=0,0,INVESTORS_LIST[[#This Row],[LS_TOTAL UNITS BUY]]-INVESTORS_LIST[[#This Row],[LS_TOTAL UNITS SOLD]])</f>
        <v>0</v>
      </c>
      <c r="H597" s="4">
        <f>IF(INVESTORS_LIST[[#This Row],[LS_TOTAL UNITS BUY]]=0,0,SUMIFS(LS[Amount],LS[Investor ID],INVESTORS_LIST[[#This Row],[INVESTOR CODE]],LS[B/S],"B"))</f>
        <v>0</v>
      </c>
      <c r="I597" s="6">
        <f>IF(INVESTORS_LIST[[#This Row],[LS_TOTAL UNITS SOLD]]=0,0,SUMIFS(LS[Cost of Units Sold],LS[Investor ID],INVESTORS_LIST[[#This Row],[INVESTOR CODE]],LS[B/S],"S"))</f>
        <v>0</v>
      </c>
      <c r="J597" s="6">
        <f>IF(INVESTORS_LIST[[#This Row],[LS_TOTAL CURRENT UNITS]]=0,0,INVESTORS_LIST[[#This Row],[LS_TOTAL CURRENT UNITS]]*INVESTORS_LIST[[#This Row],[LS_AVERAGE COST]])</f>
        <v>0</v>
      </c>
      <c r="K597" s="4">
        <f>IF(INVESTORS_LIST[[#This Row],[LS_TOTAL UNITS SOLD]]=0,0,SUMIFS(LS[Realized Gain],LS[Investor ID],INVESTORS_LIST[[#This Row],[INVESTOR CODE]],LS[B/S],"S"))</f>
        <v>0</v>
      </c>
      <c r="L597" s="2">
        <f>SUMIFS(SIP[Unit],SIP[Investor ID],INVESTORS_LIST[[#This Row],[INVESTOR CODE]],SIP[B/S],"B")</f>
        <v>0</v>
      </c>
      <c r="M597" s="2">
        <f>-SUMIFS(SIP[Unit],SIP[Investor ID],INVESTORS_LIST[[#This Row],[INVESTOR CODE]],SIP[B/S],"S")</f>
        <v>0</v>
      </c>
      <c r="N597" s="33">
        <f>IF(INVESTORS_LIST[[#This Row],[SIP_TOTAL UNITS BUY]]=0,0,INVESTORS_LIST[[#This Row],[SIP_TOTAL UNITS BUY]]-INVESTORS_LIST[[#This Row],[SIP_TOTAL UNITS SOLD]])</f>
        <v>0</v>
      </c>
      <c r="O597" s="4">
        <f>IF(INVESTORS_LIST[[#This Row],[SIP_TOTAL UNITS BUY]]=0,0,SUMIFS(SIP[Amount],SIP[Investor ID],INVESTORS_LIST[[#This Row],[INVESTOR CODE]],SIP[B/S],"B"))</f>
        <v>0</v>
      </c>
      <c r="P597" s="4">
        <f>IF(INVESTORS_LIST[[#This Row],[SIP_TOTAL UNITS SOLD]]=0,0,SUMIFS(SIP[Cost of Units Sold],SIP[Investor ID],INVESTORS_LIST[[#This Row],[INVESTOR CODE]],SIP[B/S],"S"))</f>
        <v>0</v>
      </c>
      <c r="Q597" s="6">
        <f>IF(INVESTORS_LIST[[#This Row],[SIP_TOTAL CURRENT UNITS]]=0,0,INVESTORS_LIST[[#This Row],[SIP_TOTAL CURRENT UNITS]]*INVESTORS_LIST[[#This Row],[SIP_AVERAGE COST]])</f>
        <v>0</v>
      </c>
      <c r="R597" s="6">
        <f>IF(INVESTORS_LIST[[#This Row],[SIP_TOTAL UNITS SOLD]]=0,0,SUMIFS(SIP[Realized Gain],SIP[Investor ID],INVESTORS_LIST[[#This Row],[INVESTOR CODE]],SIP[B/S],"S"))</f>
        <v>0</v>
      </c>
      <c r="S597" s="33">
        <f>INVESTORS_LIST[[#This Row],[LS_TOTAL UNITS BUY]]+INVESTORS_LIST[[#This Row],[SIP_TOTAL UNITS BUY]]</f>
        <v>0</v>
      </c>
      <c r="T597" s="33">
        <f>INVESTORS_LIST[[#This Row],[LS_TOTAL UNITS SOLD]]+INVESTORS_LIST[[#This Row],[SIP_TOTAL UNITS SOLD]]</f>
        <v>0</v>
      </c>
      <c r="U597" s="33">
        <v>0</v>
      </c>
      <c r="V597" s="33">
        <f>SUMIFS(LS[BO UNIT TRANSFER],LS[Investor ID],INVESTORS_LIST[[#This Row],[INVESTOR CODE]],LS[B/S],"B")</f>
        <v>0</v>
      </c>
      <c r="W597" s="33">
        <f>SUMIFS(LS[BO UNIT TRANSFER],LS[Investor ID],INVESTORS_LIST[[#This Row],[INVESTOR CODE]],LS[B/S],"S")</f>
        <v>0</v>
      </c>
      <c r="X597" s="33">
        <f>SUMIFS(SIP[BO UNIT TRANSFER],SIP[Investor ID],INVESTORS_LIST[[#This Row],[INVESTOR CODE]],SIP[B/S],"S")</f>
        <v>0</v>
      </c>
      <c r="Y597" s="33">
        <f>SUMIFS(SIP[BO UNIT TRANSFER],SIP[Investor ID],INVESTORS_LIST[[#This Row],[INVESTOR CODE]],SIP[B/S],"B")</f>
        <v>0</v>
      </c>
      <c r="Z59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97" s="119">
        <f>INVESTORS_LIST[[#This Row],[TOTAL UNITS BUY]]-INVESTORS_LIST[[#This Row],[TOTAL UNITS SOLD]]</f>
        <v>0</v>
      </c>
      <c r="AB597" s="119">
        <f>INVESTORS_LIST[[#This Row],[TOTAL CURRENT UNITS]]-INVESTORS_LIST[[#This Row],[BO UNITS HOLD]]</f>
        <v>0</v>
      </c>
      <c r="AC597" s="119" t="e">
        <f>INDEX([4]!Table_1[BO ID],MATCH(INVESTORS_LIST[[#This Row],[INVESTOR CODE]],[4]!Table_1[INVESTOR CODE],0))</f>
        <v>#REF!</v>
      </c>
      <c r="AD597" s="33">
        <f>INVESTORS_LIST[[#This Row],[LS_TOTAL COST VALUE OF CURRENT UNITS]]+INVESTORS_LIST[[#This Row],[SIP_TOTAL COST VALUE OF CURRENT UNITS]]</f>
        <v>0</v>
      </c>
      <c r="AE597" s="44">
        <f>IF(INVESTORS_LIST[[#This Row],[TOTAL CURRENT UNITS]]=0,0,INVESTORS_LIST[[#This Row],[LS_TOTAL CURRENT UNITS]]/INVESTORS_LIST[[#This Row],[TOTAL CURRENT UNITS]])</f>
        <v>0</v>
      </c>
      <c r="AF597" s="44">
        <f>IF(INVESTORS_LIST[[#This Row],[TOTAL CURRENT UNITS]]=0,0,INVESTORS_LIST[[#This Row],[SIP_TOTAL CURRENT UNITS]]/INVESTORS_LIST[[#This Row],[TOTAL CURRENT UNITS]])</f>
        <v>0</v>
      </c>
      <c r="AG597" s="4" cm="1">
        <f t="array" ref="AG59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97" s="4" cm="1">
        <f t="array" ref="AH59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9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97" s="178">
        <f t="shared" si="15"/>
        <v>12.552</v>
      </c>
      <c r="AK597" s="118">
        <f>IF(INVESTORS_LIST[[#This Row],[TOTAL CURRENT UNITS]]=0,0,INVESTORS_LIST[[#This Row],[TOTAL CURRENT UNITS]]*INVESTORS_LIST[[#This Row],[NAV]])</f>
        <v>0</v>
      </c>
      <c r="AL597" s="4">
        <f>IF(INVESTORS_LIST[[#This Row],[LS_TOTAL CURRENT UNITS]]=0,0,INVESTORS_LIST[[#This Row],[LS_TOTAL CURRENT UNITS]]*INVESTORS_LIST[[#This Row],[NAV]])</f>
        <v>0</v>
      </c>
      <c r="AM597" s="6">
        <f>IF(INVESTORS_LIST[[#This Row],[SIP_TOTAL CURRENT UNITS]]=0,0,INVESTORS_LIST[[#This Row],[SIP_TOTAL CURRENT UNITS]]*INVESTORS_LIST[[#This Row],[NAV]])</f>
        <v>0</v>
      </c>
      <c r="AO597" s="6">
        <f>IF(INVESTORS_LIST[[#This Row],[TOTAL SELLABLE UNITS]]=0,0,INVESTORS_LIST[[#This Row],[TOTAL SELLABLE UNITS]]*INVESTORS_LIST[[#This Row],[NAV]])</f>
        <v>0</v>
      </c>
      <c r="AP597" s="6">
        <f>INVESTORS_LIST[[#This Row],[LS_TOTAL REALIZED GAIN]]+INVESTORS_LIST[[#This Row],[SIP_TOTAL REALIZED GAIN]]</f>
        <v>0</v>
      </c>
      <c r="AQ597" s="6">
        <f>INVESTORS_LIST[[#This Row],[TOTAL MARKET VALUE]]-INVESTORS_LIST[[#This Row],[TOTAL COST VALUE OF CURRENT INVESTMENT]]</f>
        <v>0</v>
      </c>
      <c r="AR597" s="6">
        <f>SUMIFS(DivAndTax[Tax Amount],DivAndTax[Investor ID],INVESTORS_LIST[[#This Row],[INVESTOR CODE]])</f>
        <v>0</v>
      </c>
      <c r="AS597" s="6">
        <f>SUMIFS(DivAndTax[Gross Dividend],DivAndTax[Investor ID],INVESTORS_LIST[[#This Row],[INVESTOR CODE]])</f>
        <v>0</v>
      </c>
      <c r="AT597" s="5">
        <f>IFERROR(INVESTORS_LIST[[#This Row],[TOTAL CURRENT UNITS]]/SUM(INVESTORS_LIST[TOTAL CURRENT UNITS]),0)</f>
        <v>0</v>
      </c>
    </row>
    <row r="598" spans="1:46" hidden="1">
      <c r="A598" t="s">
        <v>1385</v>
      </c>
      <c r="B598" t="s">
        <v>1386</v>
      </c>
      <c r="C598" t="s">
        <v>539</v>
      </c>
      <c r="D598" s="8" t="s">
        <v>2</v>
      </c>
      <c r="E598" s="2">
        <f>SUMIFS(LS[Unit],LS[Investor ID],INVESTORS_LIST[[#This Row],[INVESTOR CODE]],LS[B/S],"B")</f>
        <v>0</v>
      </c>
      <c r="F598" s="2">
        <f>-SUMIFS(LS[Unit],LS[Investor ID],INVESTORS_LIST[[#This Row],[INVESTOR CODE]],LS[B/S],"S")</f>
        <v>0</v>
      </c>
      <c r="G598" s="2">
        <f>IF(INVESTORS_LIST[[#This Row],[LS_TOTAL UNITS BUY]]=0,0,INVESTORS_LIST[[#This Row],[LS_TOTAL UNITS BUY]]-INVESTORS_LIST[[#This Row],[LS_TOTAL UNITS SOLD]])</f>
        <v>0</v>
      </c>
      <c r="H598" s="4">
        <f>IF(INVESTORS_LIST[[#This Row],[LS_TOTAL UNITS BUY]]=0,0,SUMIFS(LS[Amount],LS[Investor ID],INVESTORS_LIST[[#This Row],[INVESTOR CODE]],LS[B/S],"B"))</f>
        <v>0</v>
      </c>
      <c r="I598" s="6">
        <f>IF(INVESTORS_LIST[[#This Row],[LS_TOTAL UNITS SOLD]]=0,0,SUMIFS(LS[Cost of Units Sold],LS[Investor ID],INVESTORS_LIST[[#This Row],[INVESTOR CODE]],LS[B/S],"S"))</f>
        <v>0</v>
      </c>
      <c r="J598" s="6">
        <f>IF(INVESTORS_LIST[[#This Row],[LS_TOTAL CURRENT UNITS]]=0,0,INVESTORS_LIST[[#This Row],[LS_TOTAL CURRENT UNITS]]*INVESTORS_LIST[[#This Row],[LS_AVERAGE COST]])</f>
        <v>0</v>
      </c>
      <c r="K598" s="4">
        <f>IF(INVESTORS_LIST[[#This Row],[LS_TOTAL UNITS SOLD]]=0,0,SUMIFS(LS[Realized Gain],LS[Investor ID],INVESTORS_LIST[[#This Row],[INVESTOR CODE]],LS[B/S],"S"))</f>
        <v>0</v>
      </c>
      <c r="L598" s="2">
        <f>SUMIFS(SIP[Unit],SIP[Investor ID],INVESTORS_LIST[[#This Row],[INVESTOR CODE]],SIP[B/S],"B")</f>
        <v>0</v>
      </c>
      <c r="M598" s="2">
        <f>-SUMIFS(SIP[Unit],SIP[Investor ID],INVESTORS_LIST[[#This Row],[INVESTOR CODE]],SIP[B/S],"S")</f>
        <v>0</v>
      </c>
      <c r="N598" s="33">
        <f>IF(INVESTORS_LIST[[#This Row],[SIP_TOTAL UNITS BUY]]=0,0,INVESTORS_LIST[[#This Row],[SIP_TOTAL UNITS BUY]]-INVESTORS_LIST[[#This Row],[SIP_TOTAL UNITS SOLD]])</f>
        <v>0</v>
      </c>
      <c r="O598" s="4">
        <f>IF(INVESTORS_LIST[[#This Row],[SIP_TOTAL UNITS BUY]]=0,0,SUMIFS(SIP[Amount],SIP[Investor ID],INVESTORS_LIST[[#This Row],[INVESTOR CODE]],SIP[B/S],"B"))</f>
        <v>0</v>
      </c>
      <c r="P598" s="4">
        <f>IF(INVESTORS_LIST[[#This Row],[SIP_TOTAL UNITS SOLD]]=0,0,SUMIFS(SIP[Cost of Units Sold],SIP[Investor ID],INVESTORS_LIST[[#This Row],[INVESTOR CODE]],SIP[B/S],"S"))</f>
        <v>0</v>
      </c>
      <c r="Q598" s="6">
        <f>IF(INVESTORS_LIST[[#This Row],[SIP_TOTAL CURRENT UNITS]]=0,0,INVESTORS_LIST[[#This Row],[SIP_TOTAL CURRENT UNITS]]*INVESTORS_LIST[[#This Row],[SIP_AVERAGE COST]])</f>
        <v>0</v>
      </c>
      <c r="R598" s="6">
        <f>IF(INVESTORS_LIST[[#This Row],[SIP_TOTAL UNITS SOLD]]=0,0,SUMIFS(SIP[Realized Gain],SIP[Investor ID],INVESTORS_LIST[[#This Row],[INVESTOR CODE]],SIP[B/S],"S"))</f>
        <v>0</v>
      </c>
      <c r="S598" s="33">
        <f>INVESTORS_LIST[[#This Row],[LS_TOTAL UNITS BUY]]+INVESTORS_LIST[[#This Row],[SIP_TOTAL UNITS BUY]]</f>
        <v>0</v>
      </c>
      <c r="T598" s="33">
        <f>INVESTORS_LIST[[#This Row],[LS_TOTAL UNITS SOLD]]+INVESTORS_LIST[[#This Row],[SIP_TOTAL UNITS SOLD]]</f>
        <v>0</v>
      </c>
      <c r="U598" s="33">
        <v>0</v>
      </c>
      <c r="V598" s="33">
        <f>SUMIFS(LS[BO UNIT TRANSFER],LS[Investor ID],INVESTORS_LIST[[#This Row],[INVESTOR CODE]],LS[B/S],"B")</f>
        <v>0</v>
      </c>
      <c r="W598" s="33">
        <f>SUMIFS(LS[BO UNIT TRANSFER],LS[Investor ID],INVESTORS_LIST[[#This Row],[INVESTOR CODE]],LS[B/S],"S")</f>
        <v>0</v>
      </c>
      <c r="X598" s="33">
        <f>SUMIFS(SIP[BO UNIT TRANSFER],SIP[Investor ID],INVESTORS_LIST[[#This Row],[INVESTOR CODE]],SIP[B/S],"S")</f>
        <v>0</v>
      </c>
      <c r="Y598" s="33">
        <f>SUMIFS(SIP[BO UNIT TRANSFER],SIP[Investor ID],INVESTORS_LIST[[#This Row],[INVESTOR CODE]],SIP[B/S],"B")</f>
        <v>0</v>
      </c>
      <c r="Z59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98" s="119">
        <f>INVESTORS_LIST[[#This Row],[TOTAL UNITS BUY]]-INVESTORS_LIST[[#This Row],[TOTAL UNITS SOLD]]</f>
        <v>0</v>
      </c>
      <c r="AB598" s="119">
        <f>INVESTORS_LIST[[#This Row],[TOTAL CURRENT UNITS]]-INVESTORS_LIST[[#This Row],[BO UNITS HOLD]]</f>
        <v>0</v>
      </c>
      <c r="AC598" s="119" t="e">
        <f>INDEX([4]!Table_1[BO ID],MATCH(INVESTORS_LIST[[#This Row],[INVESTOR CODE]],[4]!Table_1[INVESTOR CODE],0))</f>
        <v>#REF!</v>
      </c>
      <c r="AD598" s="33">
        <f>INVESTORS_LIST[[#This Row],[LS_TOTAL COST VALUE OF CURRENT UNITS]]+INVESTORS_LIST[[#This Row],[SIP_TOTAL COST VALUE OF CURRENT UNITS]]</f>
        <v>0</v>
      </c>
      <c r="AE598" s="44">
        <f>IF(INVESTORS_LIST[[#This Row],[TOTAL CURRENT UNITS]]=0,0,INVESTORS_LIST[[#This Row],[LS_TOTAL CURRENT UNITS]]/INVESTORS_LIST[[#This Row],[TOTAL CURRENT UNITS]])</f>
        <v>0</v>
      </c>
      <c r="AF598" s="44">
        <f>IF(INVESTORS_LIST[[#This Row],[TOTAL CURRENT UNITS]]=0,0,INVESTORS_LIST[[#This Row],[SIP_TOTAL CURRENT UNITS]]/INVESTORS_LIST[[#This Row],[TOTAL CURRENT UNITS]])</f>
        <v>0</v>
      </c>
      <c r="AG598" s="4" cm="1">
        <f t="array" ref="AG59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98" s="4" cm="1">
        <f t="array" ref="AH5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9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98" s="178">
        <f t="shared" si="15"/>
        <v>12.552</v>
      </c>
      <c r="AK598" s="118">
        <f>IF(INVESTORS_LIST[[#This Row],[TOTAL CURRENT UNITS]]=0,0,INVESTORS_LIST[[#This Row],[TOTAL CURRENT UNITS]]*INVESTORS_LIST[[#This Row],[NAV]])</f>
        <v>0</v>
      </c>
      <c r="AL598" s="4">
        <f>IF(INVESTORS_LIST[[#This Row],[LS_TOTAL CURRENT UNITS]]=0,0,INVESTORS_LIST[[#This Row],[LS_TOTAL CURRENT UNITS]]*INVESTORS_LIST[[#This Row],[NAV]])</f>
        <v>0</v>
      </c>
      <c r="AM598" s="6">
        <f>IF(INVESTORS_LIST[[#This Row],[SIP_TOTAL CURRENT UNITS]]=0,0,INVESTORS_LIST[[#This Row],[SIP_TOTAL CURRENT UNITS]]*INVESTORS_LIST[[#This Row],[NAV]])</f>
        <v>0</v>
      </c>
      <c r="AO598" s="6">
        <f>IF(INVESTORS_LIST[[#This Row],[TOTAL SELLABLE UNITS]]=0,0,INVESTORS_LIST[[#This Row],[TOTAL SELLABLE UNITS]]*INVESTORS_LIST[[#This Row],[NAV]])</f>
        <v>0</v>
      </c>
      <c r="AP598" s="6">
        <f>INVESTORS_LIST[[#This Row],[LS_TOTAL REALIZED GAIN]]+INVESTORS_LIST[[#This Row],[SIP_TOTAL REALIZED GAIN]]</f>
        <v>0</v>
      </c>
      <c r="AQ598" s="6">
        <f>INVESTORS_LIST[[#This Row],[TOTAL MARKET VALUE]]-INVESTORS_LIST[[#This Row],[TOTAL COST VALUE OF CURRENT INVESTMENT]]</f>
        <v>0</v>
      </c>
      <c r="AR598" s="6">
        <f>SUMIFS(DivAndTax[Tax Amount],DivAndTax[Investor ID],INVESTORS_LIST[[#This Row],[INVESTOR CODE]])</f>
        <v>0</v>
      </c>
      <c r="AS598" s="6">
        <f>SUMIFS(DivAndTax[Gross Dividend],DivAndTax[Investor ID],INVESTORS_LIST[[#This Row],[INVESTOR CODE]])</f>
        <v>0</v>
      </c>
      <c r="AT598" s="5">
        <f>IFERROR(INVESTORS_LIST[[#This Row],[TOTAL CURRENT UNITS]]/SUM(INVESTORS_LIST[TOTAL CURRENT UNITS]),0)</f>
        <v>0</v>
      </c>
    </row>
    <row r="599" spans="1:46" hidden="1">
      <c r="A599" t="s">
        <v>1387</v>
      </c>
      <c r="B599" t="s">
        <v>1388</v>
      </c>
      <c r="C599" t="s">
        <v>539</v>
      </c>
      <c r="D599" s="8" t="s">
        <v>2</v>
      </c>
      <c r="E599" s="2">
        <f>SUMIFS(LS[Unit],LS[Investor ID],INVESTORS_LIST[[#This Row],[INVESTOR CODE]],LS[B/S],"B")</f>
        <v>0</v>
      </c>
      <c r="F599" s="2">
        <f>-SUMIFS(LS[Unit],LS[Investor ID],INVESTORS_LIST[[#This Row],[INVESTOR CODE]],LS[B/S],"S")</f>
        <v>0</v>
      </c>
      <c r="G599" s="2">
        <f>IF(INVESTORS_LIST[[#This Row],[LS_TOTAL UNITS BUY]]=0,0,INVESTORS_LIST[[#This Row],[LS_TOTAL UNITS BUY]]-INVESTORS_LIST[[#This Row],[LS_TOTAL UNITS SOLD]])</f>
        <v>0</v>
      </c>
      <c r="H599" s="4">
        <f>IF(INVESTORS_LIST[[#This Row],[LS_TOTAL UNITS BUY]]=0,0,SUMIFS(LS[Amount],LS[Investor ID],INVESTORS_LIST[[#This Row],[INVESTOR CODE]],LS[B/S],"B"))</f>
        <v>0</v>
      </c>
      <c r="I599" s="6">
        <f>IF(INVESTORS_LIST[[#This Row],[LS_TOTAL UNITS SOLD]]=0,0,SUMIFS(LS[Cost of Units Sold],LS[Investor ID],INVESTORS_LIST[[#This Row],[INVESTOR CODE]],LS[B/S],"S"))</f>
        <v>0</v>
      </c>
      <c r="J599" s="6">
        <f>IF(INVESTORS_LIST[[#This Row],[LS_TOTAL CURRENT UNITS]]=0,0,INVESTORS_LIST[[#This Row],[LS_TOTAL CURRENT UNITS]]*INVESTORS_LIST[[#This Row],[LS_AVERAGE COST]])</f>
        <v>0</v>
      </c>
      <c r="K599" s="4">
        <f>IF(INVESTORS_LIST[[#This Row],[LS_TOTAL UNITS SOLD]]=0,0,SUMIFS(LS[Realized Gain],LS[Investor ID],INVESTORS_LIST[[#This Row],[INVESTOR CODE]],LS[B/S],"S"))</f>
        <v>0</v>
      </c>
      <c r="L599" s="2">
        <f>SUMIFS(SIP[Unit],SIP[Investor ID],INVESTORS_LIST[[#This Row],[INVESTOR CODE]],SIP[B/S],"B")</f>
        <v>0</v>
      </c>
      <c r="M599" s="2">
        <f>-SUMIFS(SIP[Unit],SIP[Investor ID],INVESTORS_LIST[[#This Row],[INVESTOR CODE]],SIP[B/S],"S")</f>
        <v>0</v>
      </c>
      <c r="N599" s="33">
        <f>IF(INVESTORS_LIST[[#This Row],[SIP_TOTAL UNITS BUY]]=0,0,INVESTORS_LIST[[#This Row],[SIP_TOTAL UNITS BUY]]-INVESTORS_LIST[[#This Row],[SIP_TOTAL UNITS SOLD]])</f>
        <v>0</v>
      </c>
      <c r="O599" s="4">
        <f>IF(INVESTORS_LIST[[#This Row],[SIP_TOTAL UNITS BUY]]=0,0,SUMIFS(SIP[Amount],SIP[Investor ID],INVESTORS_LIST[[#This Row],[INVESTOR CODE]],SIP[B/S],"B"))</f>
        <v>0</v>
      </c>
      <c r="P599" s="4">
        <f>IF(INVESTORS_LIST[[#This Row],[SIP_TOTAL UNITS SOLD]]=0,0,SUMIFS(SIP[Cost of Units Sold],SIP[Investor ID],INVESTORS_LIST[[#This Row],[INVESTOR CODE]],SIP[B/S],"S"))</f>
        <v>0</v>
      </c>
      <c r="Q599" s="6">
        <f>IF(INVESTORS_LIST[[#This Row],[SIP_TOTAL CURRENT UNITS]]=0,0,INVESTORS_LIST[[#This Row],[SIP_TOTAL CURRENT UNITS]]*INVESTORS_LIST[[#This Row],[SIP_AVERAGE COST]])</f>
        <v>0</v>
      </c>
      <c r="R599" s="6">
        <f>IF(INVESTORS_LIST[[#This Row],[SIP_TOTAL UNITS SOLD]]=0,0,SUMIFS(SIP[Realized Gain],SIP[Investor ID],INVESTORS_LIST[[#This Row],[INVESTOR CODE]],SIP[B/S],"S"))</f>
        <v>0</v>
      </c>
      <c r="S599" s="33">
        <f>INVESTORS_LIST[[#This Row],[LS_TOTAL UNITS BUY]]+INVESTORS_LIST[[#This Row],[SIP_TOTAL UNITS BUY]]</f>
        <v>0</v>
      </c>
      <c r="T599" s="33">
        <f>INVESTORS_LIST[[#This Row],[LS_TOTAL UNITS SOLD]]+INVESTORS_LIST[[#This Row],[SIP_TOTAL UNITS SOLD]]</f>
        <v>0</v>
      </c>
      <c r="U599" s="33">
        <v>0</v>
      </c>
      <c r="V599" s="33">
        <f>SUMIFS(LS[BO UNIT TRANSFER],LS[Investor ID],INVESTORS_LIST[[#This Row],[INVESTOR CODE]],LS[B/S],"B")</f>
        <v>0</v>
      </c>
      <c r="W599" s="33">
        <f>SUMIFS(LS[BO UNIT TRANSFER],LS[Investor ID],INVESTORS_LIST[[#This Row],[INVESTOR CODE]],LS[B/S],"S")</f>
        <v>0</v>
      </c>
      <c r="X599" s="33">
        <f>SUMIFS(SIP[BO UNIT TRANSFER],SIP[Investor ID],INVESTORS_LIST[[#This Row],[INVESTOR CODE]],SIP[B/S],"S")</f>
        <v>0</v>
      </c>
      <c r="Y599" s="33">
        <f>SUMIFS(SIP[BO UNIT TRANSFER],SIP[Investor ID],INVESTORS_LIST[[#This Row],[INVESTOR CODE]],SIP[B/S],"B")</f>
        <v>0</v>
      </c>
      <c r="Z59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599" s="119">
        <f>INVESTORS_LIST[[#This Row],[TOTAL UNITS BUY]]-INVESTORS_LIST[[#This Row],[TOTAL UNITS SOLD]]</f>
        <v>0</v>
      </c>
      <c r="AB599" s="119">
        <f>INVESTORS_LIST[[#This Row],[TOTAL CURRENT UNITS]]-INVESTORS_LIST[[#This Row],[BO UNITS HOLD]]</f>
        <v>0</v>
      </c>
      <c r="AC599" s="119" t="e">
        <f>INDEX([4]!Table_1[BO ID],MATCH(INVESTORS_LIST[[#This Row],[INVESTOR CODE]],[4]!Table_1[INVESTOR CODE],0))</f>
        <v>#REF!</v>
      </c>
      <c r="AD599" s="33">
        <f>INVESTORS_LIST[[#This Row],[LS_TOTAL COST VALUE OF CURRENT UNITS]]+INVESTORS_LIST[[#This Row],[SIP_TOTAL COST VALUE OF CURRENT UNITS]]</f>
        <v>0</v>
      </c>
      <c r="AE599" s="44">
        <f>IF(INVESTORS_LIST[[#This Row],[TOTAL CURRENT UNITS]]=0,0,INVESTORS_LIST[[#This Row],[LS_TOTAL CURRENT UNITS]]/INVESTORS_LIST[[#This Row],[TOTAL CURRENT UNITS]])</f>
        <v>0</v>
      </c>
      <c r="AF599" s="44">
        <f>IF(INVESTORS_LIST[[#This Row],[TOTAL CURRENT UNITS]]=0,0,INVESTORS_LIST[[#This Row],[SIP_TOTAL CURRENT UNITS]]/INVESTORS_LIST[[#This Row],[TOTAL CURRENT UNITS]])</f>
        <v>0</v>
      </c>
      <c r="AG599" s="4" cm="1">
        <f t="array" ref="AG5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599" s="4" cm="1">
        <f t="array" ref="AH5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59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599" s="178">
        <f t="shared" si="15"/>
        <v>12.552</v>
      </c>
      <c r="AK599" s="118">
        <f>IF(INVESTORS_LIST[[#This Row],[TOTAL CURRENT UNITS]]=0,0,INVESTORS_LIST[[#This Row],[TOTAL CURRENT UNITS]]*INVESTORS_LIST[[#This Row],[NAV]])</f>
        <v>0</v>
      </c>
      <c r="AL599" s="4">
        <f>IF(INVESTORS_LIST[[#This Row],[LS_TOTAL CURRENT UNITS]]=0,0,INVESTORS_LIST[[#This Row],[LS_TOTAL CURRENT UNITS]]*INVESTORS_LIST[[#This Row],[NAV]])</f>
        <v>0</v>
      </c>
      <c r="AM599" s="6">
        <f>IF(INVESTORS_LIST[[#This Row],[SIP_TOTAL CURRENT UNITS]]=0,0,INVESTORS_LIST[[#This Row],[SIP_TOTAL CURRENT UNITS]]*INVESTORS_LIST[[#This Row],[NAV]])</f>
        <v>0</v>
      </c>
      <c r="AO599" s="6">
        <f>IF(INVESTORS_LIST[[#This Row],[TOTAL SELLABLE UNITS]]=0,0,INVESTORS_LIST[[#This Row],[TOTAL SELLABLE UNITS]]*INVESTORS_LIST[[#This Row],[NAV]])</f>
        <v>0</v>
      </c>
      <c r="AP599" s="6">
        <f>INVESTORS_LIST[[#This Row],[LS_TOTAL REALIZED GAIN]]+INVESTORS_LIST[[#This Row],[SIP_TOTAL REALIZED GAIN]]</f>
        <v>0</v>
      </c>
      <c r="AQ599" s="6">
        <f>INVESTORS_LIST[[#This Row],[TOTAL MARKET VALUE]]-INVESTORS_LIST[[#This Row],[TOTAL COST VALUE OF CURRENT INVESTMENT]]</f>
        <v>0</v>
      </c>
      <c r="AR599" s="6">
        <f>SUMIFS(DivAndTax[Tax Amount],DivAndTax[Investor ID],INVESTORS_LIST[[#This Row],[INVESTOR CODE]])</f>
        <v>0</v>
      </c>
      <c r="AS599" s="6">
        <f>SUMIFS(DivAndTax[Gross Dividend],DivAndTax[Investor ID],INVESTORS_LIST[[#This Row],[INVESTOR CODE]])</f>
        <v>0</v>
      </c>
      <c r="AT599" s="5">
        <f>IFERROR(INVESTORS_LIST[[#This Row],[TOTAL CURRENT UNITS]]/SUM(INVESTORS_LIST[TOTAL CURRENT UNITS]),0)</f>
        <v>0</v>
      </c>
    </row>
    <row r="600" spans="1:46" hidden="1">
      <c r="A600" t="s">
        <v>1389</v>
      </c>
      <c r="B600" t="s">
        <v>1390</v>
      </c>
      <c r="C600" t="s">
        <v>536</v>
      </c>
      <c r="D600" s="8" t="s">
        <v>2</v>
      </c>
      <c r="E600" s="2">
        <f>SUMIFS(LS[Unit],LS[Investor ID],INVESTORS_LIST[[#This Row],[INVESTOR CODE]],LS[B/S],"B")</f>
        <v>111111</v>
      </c>
      <c r="F600" s="2">
        <f>-SUMIFS(LS[Unit],LS[Investor ID],INVESTORS_LIST[[#This Row],[INVESTOR CODE]],LS[B/S],"S")</f>
        <v>111111</v>
      </c>
      <c r="G600" s="2">
        <f>IF(INVESTORS_LIST[[#This Row],[LS_TOTAL UNITS BUY]]=0,0,INVESTORS_LIST[[#This Row],[LS_TOTAL UNITS BUY]]-INVESTORS_LIST[[#This Row],[LS_TOTAL UNITS SOLD]])</f>
        <v>0</v>
      </c>
      <c r="H600" s="4">
        <f>IF(INVESTORS_LIST[[#This Row],[LS_TOTAL UNITS BUY]]=0,0,SUMIFS(LS[Amount],LS[Investor ID],INVESTORS_LIST[[#This Row],[INVESTOR CODE]],LS[B/S],"B"))</f>
        <v>1315000</v>
      </c>
      <c r="I600" s="6">
        <f>IF(INVESTORS_LIST[[#This Row],[LS_TOTAL UNITS SOLD]]=0,0,SUMIFS(LS[Cost of Units Sold],LS[Investor ID],INVESTORS_LIST[[#This Row],[INVESTOR CODE]],LS[B/S],"S"))</f>
        <v>1315000</v>
      </c>
      <c r="J600" s="6">
        <f>IF(INVESTORS_LIST[[#This Row],[LS_TOTAL CURRENT UNITS]]=0,0,INVESTORS_LIST[[#This Row],[LS_TOTAL CURRENT UNITS]]*INVESTORS_LIST[[#This Row],[LS_AVERAGE COST]])</f>
        <v>0</v>
      </c>
      <c r="K600" s="4">
        <f>IF(INVESTORS_LIST[[#This Row],[LS_TOTAL UNITS SOLD]]=0,0,SUMIFS(LS[Realized Gain],LS[Investor ID],INVESTORS_LIST[[#This Row],[INVESTOR CODE]],LS[B/S],"S"))</f>
        <v>36571.240000000063</v>
      </c>
      <c r="L600" s="2">
        <f>SUMIFS(SIP[Unit],SIP[Investor ID],INVESTORS_LIST[[#This Row],[INVESTOR CODE]],SIP[B/S],"B")</f>
        <v>0</v>
      </c>
      <c r="M600" s="2">
        <f>-SUMIFS(SIP[Unit],SIP[Investor ID],INVESTORS_LIST[[#This Row],[INVESTOR CODE]],SIP[B/S],"S")</f>
        <v>0</v>
      </c>
      <c r="N600" s="33">
        <f>IF(INVESTORS_LIST[[#This Row],[SIP_TOTAL UNITS BUY]]=0,0,INVESTORS_LIST[[#This Row],[SIP_TOTAL UNITS BUY]]-INVESTORS_LIST[[#This Row],[SIP_TOTAL UNITS SOLD]])</f>
        <v>0</v>
      </c>
      <c r="O600" s="4">
        <f>IF(INVESTORS_LIST[[#This Row],[SIP_TOTAL UNITS BUY]]=0,0,SUMIFS(SIP[Amount],SIP[Investor ID],INVESTORS_LIST[[#This Row],[INVESTOR CODE]],SIP[B/S],"B"))</f>
        <v>0</v>
      </c>
      <c r="P600" s="4">
        <f>IF(INVESTORS_LIST[[#This Row],[SIP_TOTAL UNITS SOLD]]=0,0,SUMIFS(SIP[Cost of Units Sold],SIP[Investor ID],INVESTORS_LIST[[#This Row],[INVESTOR CODE]],SIP[B/S],"S"))</f>
        <v>0</v>
      </c>
      <c r="Q600" s="6">
        <f>IF(INVESTORS_LIST[[#This Row],[SIP_TOTAL CURRENT UNITS]]=0,0,INVESTORS_LIST[[#This Row],[SIP_TOTAL CURRENT UNITS]]*INVESTORS_LIST[[#This Row],[SIP_AVERAGE COST]])</f>
        <v>0</v>
      </c>
      <c r="R600" s="6">
        <f>IF(INVESTORS_LIST[[#This Row],[SIP_TOTAL UNITS SOLD]]=0,0,SUMIFS(SIP[Realized Gain],SIP[Investor ID],INVESTORS_LIST[[#This Row],[INVESTOR CODE]],SIP[B/S],"S"))</f>
        <v>0</v>
      </c>
      <c r="S600" s="33">
        <f>INVESTORS_LIST[[#This Row],[LS_TOTAL UNITS BUY]]+INVESTORS_LIST[[#This Row],[SIP_TOTAL UNITS BUY]]</f>
        <v>111111</v>
      </c>
      <c r="T600" s="33">
        <f>INVESTORS_LIST[[#This Row],[LS_TOTAL UNITS SOLD]]+INVESTORS_LIST[[#This Row],[SIP_TOTAL UNITS SOLD]]</f>
        <v>111111</v>
      </c>
      <c r="U600" s="33">
        <v>0</v>
      </c>
      <c r="V600" s="33">
        <f>SUMIFS(LS[BO UNIT TRANSFER],LS[Investor ID],INVESTORS_LIST[[#This Row],[INVESTOR CODE]],LS[B/S],"B")</f>
        <v>0</v>
      </c>
      <c r="W600" s="33">
        <f>SUMIFS(LS[BO UNIT TRANSFER],LS[Investor ID],INVESTORS_LIST[[#This Row],[INVESTOR CODE]],LS[B/S],"S")</f>
        <v>0</v>
      </c>
      <c r="X600" s="33">
        <f>SUMIFS(SIP[BO UNIT TRANSFER],SIP[Investor ID],INVESTORS_LIST[[#This Row],[INVESTOR CODE]],SIP[B/S],"S")</f>
        <v>0</v>
      </c>
      <c r="Y600" s="33">
        <f>SUMIFS(SIP[BO UNIT TRANSFER],SIP[Investor ID],INVESTORS_LIST[[#This Row],[INVESTOR CODE]],SIP[B/S],"B")</f>
        <v>0</v>
      </c>
      <c r="Z60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00" s="119">
        <f>INVESTORS_LIST[[#This Row],[TOTAL UNITS BUY]]-INVESTORS_LIST[[#This Row],[TOTAL UNITS SOLD]]</f>
        <v>0</v>
      </c>
      <c r="AB600" s="119">
        <f>INVESTORS_LIST[[#This Row],[TOTAL CURRENT UNITS]]-INVESTORS_LIST[[#This Row],[BO UNITS HOLD]]</f>
        <v>0</v>
      </c>
      <c r="AC600" s="119" t="e">
        <f>INDEX([4]!Table_1[BO ID],MATCH(INVESTORS_LIST[[#This Row],[INVESTOR CODE]],[4]!Table_1[INVESTOR CODE],0))</f>
        <v>#REF!</v>
      </c>
      <c r="AD600" s="33">
        <f>INVESTORS_LIST[[#This Row],[LS_TOTAL COST VALUE OF CURRENT UNITS]]+INVESTORS_LIST[[#This Row],[SIP_TOTAL COST VALUE OF CURRENT UNITS]]</f>
        <v>0</v>
      </c>
      <c r="AE600" s="44">
        <f>IF(INVESTORS_LIST[[#This Row],[TOTAL CURRENT UNITS]]=0,0,INVESTORS_LIST[[#This Row],[LS_TOTAL CURRENT UNITS]]/INVESTORS_LIST[[#This Row],[TOTAL CURRENT UNITS]])</f>
        <v>0</v>
      </c>
      <c r="AF600" s="44">
        <f>IF(INVESTORS_LIST[[#This Row],[TOTAL CURRENT UNITS]]=0,0,INVESTORS_LIST[[#This Row],[SIP_TOTAL CURRENT UNITS]]/INVESTORS_LIST[[#This Row],[TOTAL CURRENT UNITS]])</f>
        <v>0</v>
      </c>
      <c r="AG600" s="4" cm="1">
        <f t="array" ref="AG6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00" s="4" cm="1">
        <f t="array" ref="AH6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0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00" s="178">
        <f t="shared" si="15"/>
        <v>12.552</v>
      </c>
      <c r="AK600" s="118">
        <f>IF(INVESTORS_LIST[[#This Row],[TOTAL CURRENT UNITS]]=0,0,INVESTORS_LIST[[#This Row],[TOTAL CURRENT UNITS]]*INVESTORS_LIST[[#This Row],[NAV]])</f>
        <v>0</v>
      </c>
      <c r="AL600" s="4">
        <f>IF(INVESTORS_LIST[[#This Row],[LS_TOTAL CURRENT UNITS]]=0,0,INVESTORS_LIST[[#This Row],[LS_TOTAL CURRENT UNITS]]*INVESTORS_LIST[[#This Row],[NAV]])</f>
        <v>0</v>
      </c>
      <c r="AM600" s="6">
        <f>IF(INVESTORS_LIST[[#This Row],[SIP_TOTAL CURRENT UNITS]]=0,0,INVESTORS_LIST[[#This Row],[SIP_TOTAL CURRENT UNITS]]*INVESTORS_LIST[[#This Row],[NAV]])</f>
        <v>0</v>
      </c>
      <c r="AO600" s="6">
        <f>IF(INVESTORS_LIST[[#This Row],[TOTAL SELLABLE UNITS]]=0,0,INVESTORS_LIST[[#This Row],[TOTAL SELLABLE UNITS]]*INVESTORS_LIST[[#This Row],[NAV]])</f>
        <v>0</v>
      </c>
      <c r="AP600" s="6">
        <f>INVESTORS_LIST[[#This Row],[LS_TOTAL REALIZED GAIN]]+INVESTORS_LIST[[#This Row],[SIP_TOTAL REALIZED GAIN]]</f>
        <v>36571.240000000063</v>
      </c>
      <c r="AQ600" s="6">
        <f>INVESTORS_LIST[[#This Row],[TOTAL MARKET VALUE]]-INVESTORS_LIST[[#This Row],[TOTAL COST VALUE OF CURRENT INVESTMENT]]</f>
        <v>0</v>
      </c>
      <c r="AR600" s="6">
        <f>SUMIFS(DivAndTax[Tax Amount],DivAndTax[Investor ID],INVESTORS_LIST[[#This Row],[INVESTOR CODE]])</f>
        <v>0</v>
      </c>
      <c r="AS600" s="6">
        <f>SUMIFS(DivAndTax[Gross Dividend],DivAndTax[Investor ID],INVESTORS_LIST[[#This Row],[INVESTOR CODE]])</f>
        <v>0</v>
      </c>
      <c r="AT600" s="5">
        <f>IFERROR(INVESTORS_LIST[[#This Row],[TOTAL CURRENT UNITS]]/SUM(INVESTORS_LIST[TOTAL CURRENT UNITS]),0)</f>
        <v>0</v>
      </c>
    </row>
    <row r="601" spans="1:46" hidden="1">
      <c r="A601" t="s">
        <v>1391</v>
      </c>
      <c r="B601" t="s">
        <v>1392</v>
      </c>
      <c r="C601" t="s">
        <v>539</v>
      </c>
      <c r="D601" s="8" t="s">
        <v>2</v>
      </c>
      <c r="E601" s="2">
        <f>SUMIFS(LS[Unit],LS[Investor ID],INVESTORS_LIST[[#This Row],[INVESTOR CODE]],LS[B/S],"B")</f>
        <v>0</v>
      </c>
      <c r="F601" s="2">
        <f>-SUMIFS(LS[Unit],LS[Investor ID],INVESTORS_LIST[[#This Row],[INVESTOR CODE]],LS[B/S],"S")</f>
        <v>0</v>
      </c>
      <c r="G601" s="2">
        <f>IF(INVESTORS_LIST[[#This Row],[LS_TOTAL UNITS BUY]]=0,0,INVESTORS_LIST[[#This Row],[LS_TOTAL UNITS BUY]]-INVESTORS_LIST[[#This Row],[LS_TOTAL UNITS SOLD]])</f>
        <v>0</v>
      </c>
      <c r="H601" s="4">
        <f>IF(INVESTORS_LIST[[#This Row],[LS_TOTAL UNITS BUY]]=0,0,SUMIFS(LS[Amount],LS[Investor ID],INVESTORS_LIST[[#This Row],[INVESTOR CODE]],LS[B/S],"B"))</f>
        <v>0</v>
      </c>
      <c r="I601" s="6">
        <f>IF(INVESTORS_LIST[[#This Row],[LS_TOTAL UNITS SOLD]]=0,0,SUMIFS(LS[Cost of Units Sold],LS[Investor ID],INVESTORS_LIST[[#This Row],[INVESTOR CODE]],LS[B/S],"S"))</f>
        <v>0</v>
      </c>
      <c r="J601" s="6">
        <f>IF(INVESTORS_LIST[[#This Row],[LS_TOTAL CURRENT UNITS]]=0,0,INVESTORS_LIST[[#This Row],[LS_TOTAL CURRENT UNITS]]*INVESTORS_LIST[[#This Row],[LS_AVERAGE COST]])</f>
        <v>0</v>
      </c>
      <c r="K601" s="4">
        <f>IF(INVESTORS_LIST[[#This Row],[LS_TOTAL UNITS SOLD]]=0,0,SUMIFS(LS[Realized Gain],LS[Investor ID],INVESTORS_LIST[[#This Row],[INVESTOR CODE]],LS[B/S],"S"))</f>
        <v>0</v>
      </c>
      <c r="L601" s="2">
        <f>SUMIFS(SIP[Unit],SIP[Investor ID],INVESTORS_LIST[[#This Row],[INVESTOR CODE]],SIP[B/S],"B")</f>
        <v>0</v>
      </c>
      <c r="M601" s="2">
        <f>-SUMIFS(SIP[Unit],SIP[Investor ID],INVESTORS_LIST[[#This Row],[INVESTOR CODE]],SIP[B/S],"S")</f>
        <v>0</v>
      </c>
      <c r="N601" s="33">
        <f>IF(INVESTORS_LIST[[#This Row],[SIP_TOTAL UNITS BUY]]=0,0,INVESTORS_LIST[[#This Row],[SIP_TOTAL UNITS BUY]]-INVESTORS_LIST[[#This Row],[SIP_TOTAL UNITS SOLD]])</f>
        <v>0</v>
      </c>
      <c r="O601" s="4">
        <f>IF(INVESTORS_LIST[[#This Row],[SIP_TOTAL UNITS BUY]]=0,0,SUMIFS(SIP[Amount],SIP[Investor ID],INVESTORS_LIST[[#This Row],[INVESTOR CODE]],SIP[B/S],"B"))</f>
        <v>0</v>
      </c>
      <c r="P601" s="4">
        <f>IF(INVESTORS_LIST[[#This Row],[SIP_TOTAL UNITS SOLD]]=0,0,SUMIFS(SIP[Cost of Units Sold],SIP[Investor ID],INVESTORS_LIST[[#This Row],[INVESTOR CODE]],SIP[B/S],"S"))</f>
        <v>0</v>
      </c>
      <c r="Q601" s="6">
        <f>IF(INVESTORS_LIST[[#This Row],[SIP_TOTAL CURRENT UNITS]]=0,0,INVESTORS_LIST[[#This Row],[SIP_TOTAL CURRENT UNITS]]*INVESTORS_LIST[[#This Row],[SIP_AVERAGE COST]])</f>
        <v>0</v>
      </c>
      <c r="R601" s="6">
        <f>IF(INVESTORS_LIST[[#This Row],[SIP_TOTAL UNITS SOLD]]=0,0,SUMIFS(SIP[Realized Gain],SIP[Investor ID],INVESTORS_LIST[[#This Row],[INVESTOR CODE]],SIP[B/S],"S"))</f>
        <v>0</v>
      </c>
      <c r="S601" s="33">
        <f>INVESTORS_LIST[[#This Row],[LS_TOTAL UNITS BUY]]+INVESTORS_LIST[[#This Row],[SIP_TOTAL UNITS BUY]]</f>
        <v>0</v>
      </c>
      <c r="T601" s="33">
        <f>INVESTORS_LIST[[#This Row],[LS_TOTAL UNITS SOLD]]+INVESTORS_LIST[[#This Row],[SIP_TOTAL UNITS SOLD]]</f>
        <v>0</v>
      </c>
      <c r="U601" s="33">
        <v>0</v>
      </c>
      <c r="V601" s="33">
        <f>SUMIFS(LS[BO UNIT TRANSFER],LS[Investor ID],INVESTORS_LIST[[#This Row],[INVESTOR CODE]],LS[B/S],"B")</f>
        <v>0</v>
      </c>
      <c r="W601" s="33">
        <f>SUMIFS(LS[BO UNIT TRANSFER],LS[Investor ID],INVESTORS_LIST[[#This Row],[INVESTOR CODE]],LS[B/S],"S")</f>
        <v>0</v>
      </c>
      <c r="X601" s="33">
        <f>SUMIFS(SIP[BO UNIT TRANSFER],SIP[Investor ID],INVESTORS_LIST[[#This Row],[INVESTOR CODE]],SIP[B/S],"S")</f>
        <v>0</v>
      </c>
      <c r="Y601" s="33">
        <f>SUMIFS(SIP[BO UNIT TRANSFER],SIP[Investor ID],INVESTORS_LIST[[#This Row],[INVESTOR CODE]],SIP[B/S],"B")</f>
        <v>0</v>
      </c>
      <c r="Z60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01" s="119">
        <f>INVESTORS_LIST[[#This Row],[TOTAL UNITS BUY]]-INVESTORS_LIST[[#This Row],[TOTAL UNITS SOLD]]</f>
        <v>0</v>
      </c>
      <c r="AB601" s="119">
        <f>INVESTORS_LIST[[#This Row],[TOTAL CURRENT UNITS]]-INVESTORS_LIST[[#This Row],[BO UNITS HOLD]]</f>
        <v>0</v>
      </c>
      <c r="AC601" s="119" t="e">
        <f>INDEX([4]!Table_1[BO ID],MATCH(INVESTORS_LIST[[#This Row],[INVESTOR CODE]],[4]!Table_1[INVESTOR CODE],0))</f>
        <v>#REF!</v>
      </c>
      <c r="AD601" s="33">
        <f>INVESTORS_LIST[[#This Row],[LS_TOTAL COST VALUE OF CURRENT UNITS]]+INVESTORS_LIST[[#This Row],[SIP_TOTAL COST VALUE OF CURRENT UNITS]]</f>
        <v>0</v>
      </c>
      <c r="AE601" s="44">
        <f>IF(INVESTORS_LIST[[#This Row],[TOTAL CURRENT UNITS]]=0,0,INVESTORS_LIST[[#This Row],[LS_TOTAL CURRENT UNITS]]/INVESTORS_LIST[[#This Row],[TOTAL CURRENT UNITS]])</f>
        <v>0</v>
      </c>
      <c r="AF601" s="44">
        <f>IF(INVESTORS_LIST[[#This Row],[TOTAL CURRENT UNITS]]=0,0,INVESTORS_LIST[[#This Row],[SIP_TOTAL CURRENT UNITS]]/INVESTORS_LIST[[#This Row],[TOTAL CURRENT UNITS]])</f>
        <v>0</v>
      </c>
      <c r="AG601" s="4" cm="1">
        <f t="array" ref="AG60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01" s="4" cm="1">
        <f t="array" ref="AH6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0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01" s="178">
        <f t="shared" si="15"/>
        <v>12.552</v>
      </c>
      <c r="AK601" s="118">
        <f>IF(INVESTORS_LIST[[#This Row],[TOTAL CURRENT UNITS]]=0,0,INVESTORS_LIST[[#This Row],[TOTAL CURRENT UNITS]]*INVESTORS_LIST[[#This Row],[NAV]])</f>
        <v>0</v>
      </c>
      <c r="AL601" s="4">
        <f>IF(INVESTORS_LIST[[#This Row],[LS_TOTAL CURRENT UNITS]]=0,0,INVESTORS_LIST[[#This Row],[LS_TOTAL CURRENT UNITS]]*INVESTORS_LIST[[#This Row],[NAV]])</f>
        <v>0</v>
      </c>
      <c r="AM601" s="6">
        <f>IF(INVESTORS_LIST[[#This Row],[SIP_TOTAL CURRENT UNITS]]=0,0,INVESTORS_LIST[[#This Row],[SIP_TOTAL CURRENT UNITS]]*INVESTORS_LIST[[#This Row],[NAV]])</f>
        <v>0</v>
      </c>
      <c r="AO601" s="6">
        <f>IF(INVESTORS_LIST[[#This Row],[TOTAL SELLABLE UNITS]]=0,0,INVESTORS_LIST[[#This Row],[TOTAL SELLABLE UNITS]]*INVESTORS_LIST[[#This Row],[NAV]])</f>
        <v>0</v>
      </c>
      <c r="AP601" s="6">
        <f>INVESTORS_LIST[[#This Row],[LS_TOTAL REALIZED GAIN]]+INVESTORS_LIST[[#This Row],[SIP_TOTAL REALIZED GAIN]]</f>
        <v>0</v>
      </c>
      <c r="AQ601" s="6">
        <f>INVESTORS_LIST[[#This Row],[TOTAL MARKET VALUE]]-INVESTORS_LIST[[#This Row],[TOTAL COST VALUE OF CURRENT INVESTMENT]]</f>
        <v>0</v>
      </c>
      <c r="AR601" s="6">
        <f>SUMIFS(DivAndTax[Tax Amount],DivAndTax[Investor ID],INVESTORS_LIST[[#This Row],[INVESTOR CODE]])</f>
        <v>0</v>
      </c>
      <c r="AS601" s="6">
        <f>SUMIFS(DivAndTax[Gross Dividend],DivAndTax[Investor ID],INVESTORS_LIST[[#This Row],[INVESTOR CODE]])</f>
        <v>0</v>
      </c>
      <c r="AT601" s="5">
        <f>IFERROR(INVESTORS_LIST[[#This Row],[TOTAL CURRENT UNITS]]/SUM(INVESTORS_LIST[TOTAL CURRENT UNITS]),0)</f>
        <v>0</v>
      </c>
    </row>
    <row r="602" spans="1:46" hidden="1">
      <c r="A602" t="s">
        <v>631</v>
      </c>
      <c r="B602" t="s">
        <v>1393</v>
      </c>
      <c r="C602" t="s">
        <v>536</v>
      </c>
      <c r="D602" s="8" t="s">
        <v>2</v>
      </c>
      <c r="E602" s="2">
        <f>SUMIFS(LS[Unit],LS[Investor ID],INVESTORS_LIST[[#This Row],[INVESTOR CODE]],LS[B/S],"B")</f>
        <v>0</v>
      </c>
      <c r="F602" s="2">
        <f>-SUMIFS(LS[Unit],LS[Investor ID],INVESTORS_LIST[[#This Row],[INVESTOR CODE]],LS[B/S],"S")</f>
        <v>0</v>
      </c>
      <c r="G602" s="2">
        <f>IF(INVESTORS_LIST[[#This Row],[LS_TOTAL UNITS BUY]]=0,0,INVESTORS_LIST[[#This Row],[LS_TOTAL UNITS BUY]]-INVESTORS_LIST[[#This Row],[LS_TOTAL UNITS SOLD]])</f>
        <v>0</v>
      </c>
      <c r="H602" s="4">
        <f>IF(INVESTORS_LIST[[#This Row],[LS_TOTAL UNITS BUY]]=0,0,SUMIFS(LS[Amount],LS[Investor ID],INVESTORS_LIST[[#This Row],[INVESTOR CODE]],LS[B/S],"B"))</f>
        <v>0</v>
      </c>
      <c r="I602" s="6">
        <f>IF(INVESTORS_LIST[[#This Row],[LS_TOTAL UNITS SOLD]]=0,0,SUMIFS(LS[Cost of Units Sold],LS[Investor ID],INVESTORS_LIST[[#This Row],[INVESTOR CODE]],LS[B/S],"S"))</f>
        <v>0</v>
      </c>
      <c r="J602" s="6">
        <f>IF(INVESTORS_LIST[[#This Row],[LS_TOTAL CURRENT UNITS]]=0,0,INVESTORS_LIST[[#This Row],[LS_TOTAL CURRENT UNITS]]*INVESTORS_LIST[[#This Row],[LS_AVERAGE COST]])</f>
        <v>0</v>
      </c>
      <c r="K602" s="4">
        <f>IF(INVESTORS_LIST[[#This Row],[LS_TOTAL UNITS SOLD]]=0,0,SUMIFS(LS[Realized Gain],LS[Investor ID],INVESTORS_LIST[[#This Row],[INVESTOR CODE]],LS[B/S],"S"))</f>
        <v>0</v>
      </c>
      <c r="L602" s="2">
        <f>SUMIFS(SIP[Unit],SIP[Investor ID],INVESTORS_LIST[[#This Row],[INVESTOR CODE]],SIP[B/S],"B")</f>
        <v>0</v>
      </c>
      <c r="M602" s="2">
        <f>-SUMIFS(SIP[Unit],SIP[Investor ID],INVESTORS_LIST[[#This Row],[INVESTOR CODE]],SIP[B/S],"S")</f>
        <v>0</v>
      </c>
      <c r="N602" s="33">
        <f>IF(INVESTORS_LIST[[#This Row],[SIP_TOTAL UNITS BUY]]=0,0,INVESTORS_LIST[[#This Row],[SIP_TOTAL UNITS BUY]]-INVESTORS_LIST[[#This Row],[SIP_TOTAL UNITS SOLD]])</f>
        <v>0</v>
      </c>
      <c r="O602" s="4">
        <f>IF(INVESTORS_LIST[[#This Row],[SIP_TOTAL UNITS BUY]]=0,0,SUMIFS(SIP[Amount],SIP[Investor ID],INVESTORS_LIST[[#This Row],[INVESTOR CODE]],SIP[B/S],"B"))</f>
        <v>0</v>
      </c>
      <c r="P602" s="4">
        <f>IF(INVESTORS_LIST[[#This Row],[SIP_TOTAL UNITS SOLD]]=0,0,SUMIFS(SIP[Cost of Units Sold],SIP[Investor ID],INVESTORS_LIST[[#This Row],[INVESTOR CODE]],SIP[B/S],"S"))</f>
        <v>0</v>
      </c>
      <c r="Q602" s="6">
        <f>IF(INVESTORS_LIST[[#This Row],[SIP_TOTAL CURRENT UNITS]]=0,0,INVESTORS_LIST[[#This Row],[SIP_TOTAL CURRENT UNITS]]*INVESTORS_LIST[[#This Row],[SIP_AVERAGE COST]])</f>
        <v>0</v>
      </c>
      <c r="R602" s="6">
        <f>IF(INVESTORS_LIST[[#This Row],[SIP_TOTAL UNITS SOLD]]=0,0,SUMIFS(SIP[Realized Gain],SIP[Investor ID],INVESTORS_LIST[[#This Row],[INVESTOR CODE]],SIP[B/S],"S"))</f>
        <v>0</v>
      </c>
      <c r="S602" s="33">
        <f>INVESTORS_LIST[[#This Row],[LS_TOTAL UNITS BUY]]+INVESTORS_LIST[[#This Row],[SIP_TOTAL UNITS BUY]]</f>
        <v>0</v>
      </c>
      <c r="T602" s="33">
        <f>INVESTORS_LIST[[#This Row],[LS_TOTAL UNITS SOLD]]+INVESTORS_LIST[[#This Row],[SIP_TOTAL UNITS SOLD]]</f>
        <v>0</v>
      </c>
      <c r="U602" s="33">
        <v>0</v>
      </c>
      <c r="V602" s="33">
        <f>SUMIFS(LS[BO UNIT TRANSFER],LS[Investor ID],INVESTORS_LIST[[#This Row],[INVESTOR CODE]],LS[B/S],"B")</f>
        <v>0</v>
      </c>
      <c r="W602" s="33">
        <f>SUMIFS(LS[BO UNIT TRANSFER],LS[Investor ID],INVESTORS_LIST[[#This Row],[INVESTOR CODE]],LS[B/S],"S")</f>
        <v>0</v>
      </c>
      <c r="X602" s="33">
        <f>SUMIFS(SIP[BO UNIT TRANSFER],SIP[Investor ID],INVESTORS_LIST[[#This Row],[INVESTOR CODE]],SIP[B/S],"S")</f>
        <v>0</v>
      </c>
      <c r="Y602" s="33">
        <f>SUMIFS(SIP[BO UNIT TRANSFER],SIP[Investor ID],INVESTORS_LIST[[#This Row],[INVESTOR CODE]],SIP[B/S],"B")</f>
        <v>0</v>
      </c>
      <c r="Z60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02" s="119">
        <f>INVESTORS_LIST[[#This Row],[TOTAL UNITS BUY]]-INVESTORS_LIST[[#This Row],[TOTAL UNITS SOLD]]</f>
        <v>0</v>
      </c>
      <c r="AB602" s="119">
        <f>INVESTORS_LIST[[#This Row],[TOTAL CURRENT UNITS]]-INVESTORS_LIST[[#This Row],[BO UNITS HOLD]]</f>
        <v>0</v>
      </c>
      <c r="AC602" s="119" t="e">
        <f>INDEX([4]!Table_1[BO ID],MATCH(INVESTORS_LIST[[#This Row],[INVESTOR CODE]],[4]!Table_1[INVESTOR CODE],0))</f>
        <v>#REF!</v>
      </c>
      <c r="AD602" s="33">
        <f>INVESTORS_LIST[[#This Row],[LS_TOTAL COST VALUE OF CURRENT UNITS]]+INVESTORS_LIST[[#This Row],[SIP_TOTAL COST VALUE OF CURRENT UNITS]]</f>
        <v>0</v>
      </c>
      <c r="AE602" s="44">
        <f>IF(INVESTORS_LIST[[#This Row],[TOTAL CURRENT UNITS]]=0,0,INVESTORS_LIST[[#This Row],[LS_TOTAL CURRENT UNITS]]/INVESTORS_LIST[[#This Row],[TOTAL CURRENT UNITS]])</f>
        <v>0</v>
      </c>
      <c r="AF602" s="44">
        <f>IF(INVESTORS_LIST[[#This Row],[TOTAL CURRENT UNITS]]=0,0,INVESTORS_LIST[[#This Row],[SIP_TOTAL CURRENT UNITS]]/INVESTORS_LIST[[#This Row],[TOTAL CURRENT UNITS]])</f>
        <v>0</v>
      </c>
      <c r="AG602" s="4" cm="1">
        <f t="array" ref="AG60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02" s="4" cm="1">
        <f t="array" ref="AH6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0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02" s="178">
        <f t="shared" si="15"/>
        <v>12.552</v>
      </c>
      <c r="AK602" s="118">
        <f>IF(INVESTORS_LIST[[#This Row],[TOTAL CURRENT UNITS]]=0,0,INVESTORS_LIST[[#This Row],[TOTAL CURRENT UNITS]]*INVESTORS_LIST[[#This Row],[NAV]])</f>
        <v>0</v>
      </c>
      <c r="AL602" s="4">
        <f>IF(INVESTORS_LIST[[#This Row],[LS_TOTAL CURRENT UNITS]]=0,0,INVESTORS_LIST[[#This Row],[LS_TOTAL CURRENT UNITS]]*INVESTORS_LIST[[#This Row],[NAV]])</f>
        <v>0</v>
      </c>
      <c r="AM602" s="6">
        <f>IF(INVESTORS_LIST[[#This Row],[SIP_TOTAL CURRENT UNITS]]=0,0,INVESTORS_LIST[[#This Row],[SIP_TOTAL CURRENT UNITS]]*INVESTORS_LIST[[#This Row],[NAV]])</f>
        <v>0</v>
      </c>
      <c r="AO602" s="6">
        <f>IF(INVESTORS_LIST[[#This Row],[TOTAL SELLABLE UNITS]]=0,0,INVESTORS_LIST[[#This Row],[TOTAL SELLABLE UNITS]]*INVESTORS_LIST[[#This Row],[NAV]])</f>
        <v>0</v>
      </c>
      <c r="AP602" s="6">
        <f>INVESTORS_LIST[[#This Row],[LS_TOTAL REALIZED GAIN]]+INVESTORS_LIST[[#This Row],[SIP_TOTAL REALIZED GAIN]]</f>
        <v>0</v>
      </c>
      <c r="AQ602" s="6">
        <f>INVESTORS_LIST[[#This Row],[TOTAL MARKET VALUE]]-INVESTORS_LIST[[#This Row],[TOTAL COST VALUE OF CURRENT INVESTMENT]]</f>
        <v>0</v>
      </c>
      <c r="AR602" s="6">
        <f>SUMIFS(DivAndTax[Tax Amount],DivAndTax[Investor ID],INVESTORS_LIST[[#This Row],[INVESTOR CODE]])</f>
        <v>0</v>
      </c>
      <c r="AS602" s="6">
        <f>SUMIFS(DivAndTax[Gross Dividend],DivAndTax[Investor ID],INVESTORS_LIST[[#This Row],[INVESTOR CODE]])</f>
        <v>0</v>
      </c>
      <c r="AT602" s="5">
        <f>IFERROR(INVESTORS_LIST[[#This Row],[TOTAL CURRENT UNITS]]/SUM(INVESTORS_LIST[TOTAL CURRENT UNITS]),0)</f>
        <v>0</v>
      </c>
    </row>
    <row r="603" spans="1:46" hidden="1">
      <c r="A603" t="s">
        <v>1394</v>
      </c>
      <c r="B603" t="s">
        <v>1395</v>
      </c>
      <c r="C603" t="s">
        <v>536</v>
      </c>
      <c r="D603" s="8" t="s">
        <v>2</v>
      </c>
      <c r="E603" s="2">
        <f>SUMIFS(LS[Unit],LS[Investor ID],INVESTORS_LIST[[#This Row],[INVESTOR CODE]],LS[B/S],"B")</f>
        <v>0</v>
      </c>
      <c r="F603" s="2">
        <f>-SUMIFS(LS[Unit],LS[Investor ID],INVESTORS_LIST[[#This Row],[INVESTOR CODE]],LS[B/S],"S")</f>
        <v>0</v>
      </c>
      <c r="G603" s="2">
        <f>IF(INVESTORS_LIST[[#This Row],[LS_TOTAL UNITS BUY]]=0,0,INVESTORS_LIST[[#This Row],[LS_TOTAL UNITS BUY]]-INVESTORS_LIST[[#This Row],[LS_TOTAL UNITS SOLD]])</f>
        <v>0</v>
      </c>
      <c r="H603" s="4">
        <f>IF(INVESTORS_LIST[[#This Row],[LS_TOTAL UNITS BUY]]=0,0,SUMIFS(LS[Amount],LS[Investor ID],INVESTORS_LIST[[#This Row],[INVESTOR CODE]],LS[B/S],"B"))</f>
        <v>0</v>
      </c>
      <c r="I603" s="6">
        <f>IF(INVESTORS_LIST[[#This Row],[LS_TOTAL UNITS SOLD]]=0,0,SUMIFS(LS[Cost of Units Sold],LS[Investor ID],INVESTORS_LIST[[#This Row],[INVESTOR CODE]],LS[B/S],"S"))</f>
        <v>0</v>
      </c>
      <c r="J603" s="6">
        <f>IF(INVESTORS_LIST[[#This Row],[LS_TOTAL CURRENT UNITS]]=0,0,INVESTORS_LIST[[#This Row],[LS_TOTAL CURRENT UNITS]]*INVESTORS_LIST[[#This Row],[LS_AVERAGE COST]])</f>
        <v>0</v>
      </c>
      <c r="K603" s="4">
        <f>IF(INVESTORS_LIST[[#This Row],[LS_TOTAL UNITS SOLD]]=0,0,SUMIFS(LS[Realized Gain],LS[Investor ID],INVESTORS_LIST[[#This Row],[INVESTOR CODE]],LS[B/S],"S"))</f>
        <v>0</v>
      </c>
      <c r="L603" s="2">
        <f>SUMIFS(SIP[Unit],SIP[Investor ID],INVESTORS_LIST[[#This Row],[INVESTOR CODE]],SIP[B/S],"B")</f>
        <v>0</v>
      </c>
      <c r="M603" s="2">
        <f>-SUMIFS(SIP[Unit],SIP[Investor ID],INVESTORS_LIST[[#This Row],[INVESTOR CODE]],SIP[B/S],"S")</f>
        <v>0</v>
      </c>
      <c r="N603" s="33">
        <f>IF(INVESTORS_LIST[[#This Row],[SIP_TOTAL UNITS BUY]]=0,0,INVESTORS_LIST[[#This Row],[SIP_TOTAL UNITS BUY]]-INVESTORS_LIST[[#This Row],[SIP_TOTAL UNITS SOLD]])</f>
        <v>0</v>
      </c>
      <c r="O603" s="4">
        <f>IF(INVESTORS_LIST[[#This Row],[SIP_TOTAL UNITS BUY]]=0,0,SUMIFS(SIP[Amount],SIP[Investor ID],INVESTORS_LIST[[#This Row],[INVESTOR CODE]],SIP[B/S],"B"))</f>
        <v>0</v>
      </c>
      <c r="P603" s="4">
        <f>IF(INVESTORS_LIST[[#This Row],[SIP_TOTAL UNITS SOLD]]=0,0,SUMIFS(SIP[Cost of Units Sold],SIP[Investor ID],INVESTORS_LIST[[#This Row],[INVESTOR CODE]],SIP[B/S],"S"))</f>
        <v>0</v>
      </c>
      <c r="Q603" s="6">
        <f>IF(INVESTORS_LIST[[#This Row],[SIP_TOTAL CURRENT UNITS]]=0,0,INVESTORS_LIST[[#This Row],[SIP_TOTAL CURRENT UNITS]]*INVESTORS_LIST[[#This Row],[SIP_AVERAGE COST]])</f>
        <v>0</v>
      </c>
      <c r="R603" s="6">
        <f>IF(INVESTORS_LIST[[#This Row],[SIP_TOTAL UNITS SOLD]]=0,0,SUMIFS(SIP[Realized Gain],SIP[Investor ID],INVESTORS_LIST[[#This Row],[INVESTOR CODE]],SIP[B/S],"S"))</f>
        <v>0</v>
      </c>
      <c r="S603" s="33">
        <f>INVESTORS_LIST[[#This Row],[LS_TOTAL UNITS BUY]]+INVESTORS_LIST[[#This Row],[SIP_TOTAL UNITS BUY]]</f>
        <v>0</v>
      </c>
      <c r="T603" s="33">
        <f>INVESTORS_LIST[[#This Row],[LS_TOTAL UNITS SOLD]]+INVESTORS_LIST[[#This Row],[SIP_TOTAL UNITS SOLD]]</f>
        <v>0</v>
      </c>
      <c r="U603" s="33">
        <v>0</v>
      </c>
      <c r="V603" s="33">
        <f>SUMIFS(LS[BO UNIT TRANSFER],LS[Investor ID],INVESTORS_LIST[[#This Row],[INVESTOR CODE]],LS[B/S],"B")</f>
        <v>0</v>
      </c>
      <c r="W603" s="33">
        <f>SUMIFS(LS[BO UNIT TRANSFER],LS[Investor ID],INVESTORS_LIST[[#This Row],[INVESTOR CODE]],LS[B/S],"S")</f>
        <v>0</v>
      </c>
      <c r="X603" s="33">
        <f>SUMIFS(SIP[BO UNIT TRANSFER],SIP[Investor ID],INVESTORS_LIST[[#This Row],[INVESTOR CODE]],SIP[B/S],"S")</f>
        <v>0</v>
      </c>
      <c r="Y603" s="33">
        <f>SUMIFS(SIP[BO UNIT TRANSFER],SIP[Investor ID],INVESTORS_LIST[[#This Row],[INVESTOR CODE]],SIP[B/S],"B")</f>
        <v>0</v>
      </c>
      <c r="Z60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03" s="119">
        <f>INVESTORS_LIST[[#This Row],[TOTAL UNITS BUY]]-INVESTORS_LIST[[#This Row],[TOTAL UNITS SOLD]]</f>
        <v>0</v>
      </c>
      <c r="AB603" s="119">
        <f>INVESTORS_LIST[[#This Row],[TOTAL CURRENT UNITS]]-INVESTORS_LIST[[#This Row],[BO UNITS HOLD]]</f>
        <v>0</v>
      </c>
      <c r="AC603" s="119" t="e">
        <f>INDEX([4]!Table_1[BO ID],MATCH(INVESTORS_LIST[[#This Row],[INVESTOR CODE]],[4]!Table_1[INVESTOR CODE],0))</f>
        <v>#REF!</v>
      </c>
      <c r="AD603" s="33">
        <f>INVESTORS_LIST[[#This Row],[LS_TOTAL COST VALUE OF CURRENT UNITS]]+INVESTORS_LIST[[#This Row],[SIP_TOTAL COST VALUE OF CURRENT UNITS]]</f>
        <v>0</v>
      </c>
      <c r="AE603" s="44">
        <f>IF(INVESTORS_LIST[[#This Row],[TOTAL CURRENT UNITS]]=0,0,INVESTORS_LIST[[#This Row],[LS_TOTAL CURRENT UNITS]]/INVESTORS_LIST[[#This Row],[TOTAL CURRENT UNITS]])</f>
        <v>0</v>
      </c>
      <c r="AF603" s="44">
        <f>IF(INVESTORS_LIST[[#This Row],[TOTAL CURRENT UNITS]]=0,0,INVESTORS_LIST[[#This Row],[SIP_TOTAL CURRENT UNITS]]/INVESTORS_LIST[[#This Row],[TOTAL CURRENT UNITS]])</f>
        <v>0</v>
      </c>
      <c r="AG603" s="4" cm="1">
        <f t="array" ref="AG6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03" s="4" cm="1">
        <f t="array" ref="AH60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0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03" s="178">
        <f t="shared" si="15"/>
        <v>12.552</v>
      </c>
      <c r="AK603" s="118">
        <f>IF(INVESTORS_LIST[[#This Row],[TOTAL CURRENT UNITS]]=0,0,INVESTORS_LIST[[#This Row],[TOTAL CURRENT UNITS]]*INVESTORS_LIST[[#This Row],[NAV]])</f>
        <v>0</v>
      </c>
      <c r="AL603" s="4">
        <f>IF(INVESTORS_LIST[[#This Row],[LS_TOTAL CURRENT UNITS]]=0,0,INVESTORS_LIST[[#This Row],[LS_TOTAL CURRENT UNITS]]*INVESTORS_LIST[[#This Row],[NAV]])</f>
        <v>0</v>
      </c>
      <c r="AM603" s="6">
        <f>IF(INVESTORS_LIST[[#This Row],[SIP_TOTAL CURRENT UNITS]]=0,0,INVESTORS_LIST[[#This Row],[SIP_TOTAL CURRENT UNITS]]*INVESTORS_LIST[[#This Row],[NAV]])</f>
        <v>0</v>
      </c>
      <c r="AO603" s="6">
        <f>IF(INVESTORS_LIST[[#This Row],[TOTAL SELLABLE UNITS]]=0,0,INVESTORS_LIST[[#This Row],[TOTAL SELLABLE UNITS]]*INVESTORS_LIST[[#This Row],[NAV]])</f>
        <v>0</v>
      </c>
      <c r="AP603" s="6">
        <f>INVESTORS_LIST[[#This Row],[LS_TOTAL REALIZED GAIN]]+INVESTORS_LIST[[#This Row],[SIP_TOTAL REALIZED GAIN]]</f>
        <v>0</v>
      </c>
      <c r="AQ603" s="6">
        <f>INVESTORS_LIST[[#This Row],[TOTAL MARKET VALUE]]-INVESTORS_LIST[[#This Row],[TOTAL COST VALUE OF CURRENT INVESTMENT]]</f>
        <v>0</v>
      </c>
      <c r="AR603" s="6">
        <f>SUMIFS(DivAndTax[Tax Amount],DivAndTax[Investor ID],INVESTORS_LIST[[#This Row],[INVESTOR CODE]])</f>
        <v>0</v>
      </c>
      <c r="AS603" s="6">
        <f>SUMIFS(DivAndTax[Gross Dividend],DivAndTax[Investor ID],INVESTORS_LIST[[#This Row],[INVESTOR CODE]])</f>
        <v>0</v>
      </c>
      <c r="AT603" s="5">
        <f>IFERROR(INVESTORS_LIST[[#This Row],[TOTAL CURRENT UNITS]]/SUM(INVESTORS_LIST[TOTAL CURRENT UNITS]),0)</f>
        <v>0</v>
      </c>
    </row>
    <row r="604" spans="1:46">
      <c r="A604" t="s">
        <v>1367</v>
      </c>
      <c r="B604" t="s">
        <v>1396</v>
      </c>
      <c r="C604" t="s">
        <v>537</v>
      </c>
      <c r="D604" s="8" t="s">
        <v>5</v>
      </c>
      <c r="E604" s="2">
        <f>SUMIFS(LS[Unit],LS[Investor ID],INVESTORS_LIST[[#This Row],[INVESTOR CODE]],LS[B/S],"B")</f>
        <v>817060</v>
      </c>
      <c r="F604" s="2">
        <f>-SUMIFS(LS[Unit],LS[Investor ID],INVESTORS_LIST[[#This Row],[INVESTOR CODE]],LS[B/S],"S")</f>
        <v>0</v>
      </c>
      <c r="G604" s="2">
        <f>IF(INVESTORS_LIST[[#This Row],[LS_TOTAL UNITS BUY]]=0,0,INVESTORS_LIST[[#This Row],[LS_TOTAL UNITS BUY]]-INVESTORS_LIST[[#This Row],[LS_TOTAL UNITS SOLD]])</f>
        <v>817060</v>
      </c>
      <c r="H604" s="4">
        <f>IF(INVESTORS_LIST[[#This Row],[LS_TOTAL UNITS BUY]]=0,0,SUMIFS(LS[Amount],LS[Investor ID],INVESTORS_LIST[[#This Row],[INVESTOR CODE]],LS[B/S],"B"))</f>
        <v>10000000</v>
      </c>
      <c r="I604" s="6">
        <f>IF(INVESTORS_LIST[[#This Row],[LS_TOTAL UNITS SOLD]]=0,0,SUMIFS(LS[Cost of Units Sold],LS[Investor ID],INVESTORS_LIST[[#This Row],[INVESTOR CODE]],LS[B/S],"S"))</f>
        <v>0</v>
      </c>
      <c r="J604" s="6">
        <f>IF(INVESTORS_LIST[[#This Row],[LS_TOTAL CURRENT UNITS]]=0,0,INVESTORS_LIST[[#This Row],[LS_TOTAL CURRENT UNITS]]*INVESTORS_LIST[[#This Row],[LS_AVERAGE COST]])</f>
        <v>10000000</v>
      </c>
      <c r="K604" s="4">
        <f>IF(INVESTORS_LIST[[#This Row],[LS_TOTAL UNITS SOLD]]=0,0,SUMIFS(LS[Realized Gain],LS[Investor ID],INVESTORS_LIST[[#This Row],[INVESTOR CODE]],LS[B/S],"S"))</f>
        <v>0</v>
      </c>
      <c r="L604" s="2">
        <f>SUMIFS(SIP[Unit],SIP[Investor ID],INVESTORS_LIST[[#This Row],[INVESTOR CODE]],SIP[B/S],"B")</f>
        <v>0</v>
      </c>
      <c r="M604" s="2">
        <f>-SUMIFS(SIP[Unit],SIP[Investor ID],INVESTORS_LIST[[#This Row],[INVESTOR CODE]],SIP[B/S],"S")</f>
        <v>0</v>
      </c>
      <c r="N604" s="33">
        <f>IF(INVESTORS_LIST[[#This Row],[SIP_TOTAL UNITS BUY]]=0,0,INVESTORS_LIST[[#This Row],[SIP_TOTAL UNITS BUY]]-INVESTORS_LIST[[#This Row],[SIP_TOTAL UNITS SOLD]])</f>
        <v>0</v>
      </c>
      <c r="O604" s="4">
        <f>IF(INVESTORS_LIST[[#This Row],[SIP_TOTAL UNITS BUY]]=0,0,SUMIFS(SIP[Amount],SIP[Investor ID],INVESTORS_LIST[[#This Row],[INVESTOR CODE]],SIP[B/S],"B"))</f>
        <v>0</v>
      </c>
      <c r="P604" s="4">
        <f>IF(INVESTORS_LIST[[#This Row],[SIP_TOTAL UNITS SOLD]]=0,0,SUMIFS(SIP[Cost of Units Sold],SIP[Investor ID],INVESTORS_LIST[[#This Row],[INVESTOR CODE]],SIP[B/S],"S"))</f>
        <v>0</v>
      </c>
      <c r="Q604" s="6">
        <f>IF(INVESTORS_LIST[[#This Row],[SIP_TOTAL CURRENT UNITS]]=0,0,INVESTORS_LIST[[#This Row],[SIP_TOTAL CURRENT UNITS]]*INVESTORS_LIST[[#This Row],[SIP_AVERAGE COST]])</f>
        <v>0</v>
      </c>
      <c r="R604" s="6">
        <f>IF(INVESTORS_LIST[[#This Row],[SIP_TOTAL UNITS SOLD]]=0,0,SUMIFS(SIP[Realized Gain],SIP[Investor ID],INVESTORS_LIST[[#This Row],[INVESTOR CODE]],SIP[B/S],"S"))</f>
        <v>0</v>
      </c>
      <c r="S604" s="33">
        <f>INVESTORS_LIST[[#This Row],[LS_TOTAL UNITS BUY]]+INVESTORS_LIST[[#This Row],[SIP_TOTAL UNITS BUY]]</f>
        <v>817060</v>
      </c>
      <c r="T604" s="33">
        <f>INVESTORS_LIST[[#This Row],[LS_TOTAL UNITS SOLD]]+INVESTORS_LIST[[#This Row],[SIP_TOTAL UNITS SOLD]]</f>
        <v>0</v>
      </c>
      <c r="U604" s="33">
        <v>0</v>
      </c>
      <c r="V604" s="33">
        <f>SUMIFS(LS[BO UNIT TRANSFER],LS[Investor ID],INVESTORS_LIST[[#This Row],[INVESTOR CODE]],LS[B/S],"B")</f>
        <v>0</v>
      </c>
      <c r="W604" s="33">
        <f>SUMIFS(LS[BO UNIT TRANSFER],LS[Investor ID],INVESTORS_LIST[[#This Row],[INVESTOR CODE]],LS[B/S],"S")</f>
        <v>0</v>
      </c>
      <c r="X604" s="33">
        <f>SUMIFS(SIP[BO UNIT TRANSFER],SIP[Investor ID],INVESTORS_LIST[[#This Row],[INVESTOR CODE]],SIP[B/S],"S")</f>
        <v>0</v>
      </c>
      <c r="Y604" s="33">
        <f>SUMIFS(SIP[BO UNIT TRANSFER],SIP[Investor ID],INVESTORS_LIST[[#This Row],[INVESTOR CODE]],SIP[B/S],"B")</f>
        <v>0</v>
      </c>
      <c r="Z60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04" s="119">
        <f>INVESTORS_LIST[[#This Row],[TOTAL UNITS BUY]]-INVESTORS_LIST[[#This Row],[TOTAL UNITS SOLD]]</f>
        <v>817060</v>
      </c>
      <c r="AB604" s="119">
        <f>INVESTORS_LIST[[#This Row],[TOTAL CURRENT UNITS]]-INVESTORS_LIST[[#This Row],[BO UNITS HOLD]]</f>
        <v>817060</v>
      </c>
      <c r="AC604" s="119" t="e">
        <f>INDEX([4]!Table_1[BO ID],MATCH(INVESTORS_LIST[[#This Row],[INVESTOR CODE]],[4]!Table_1[INVESTOR CODE],0))</f>
        <v>#REF!</v>
      </c>
      <c r="AD604" s="33">
        <f>INVESTORS_LIST[[#This Row],[LS_TOTAL COST VALUE OF CURRENT UNITS]]+INVESTORS_LIST[[#This Row],[SIP_TOTAL COST VALUE OF CURRENT UNITS]]</f>
        <v>10000000</v>
      </c>
      <c r="AE604" s="44">
        <f>IF(INVESTORS_LIST[[#This Row],[TOTAL CURRENT UNITS]]=0,0,INVESTORS_LIST[[#This Row],[LS_TOTAL CURRENT UNITS]]/INVESTORS_LIST[[#This Row],[TOTAL CURRENT UNITS]])</f>
        <v>1</v>
      </c>
      <c r="AF604" s="44">
        <f>IF(INVESTORS_LIST[[#This Row],[TOTAL CURRENT UNITS]]=0,0,INVESTORS_LIST[[#This Row],[SIP_TOTAL CURRENT UNITS]]/INVESTORS_LIST[[#This Row],[TOTAL CURRENT UNITS]])</f>
        <v>0</v>
      </c>
      <c r="AG604" s="4" cm="1">
        <f t="array" ref="AG604">IF(INVESTORS_LIST[[#This Row],[LS_TOTAL UNITS BUY]]&gt;0,INDEX(LS[NAV at Cost (Average)],MATCH(CONCATENATE(COUNTIFS(LS[Investor ID],INVESTORS_LIST[[#This Row],[INVESTOR CODE]]),INVESTORS_LIST[[#This Row],[INVESTOR CODE]]),LS[Unique Code],0),),0)</f>
        <v>12.239003255574866</v>
      </c>
      <c r="AH604" s="4" cm="1">
        <f t="array" ref="AH6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04" s="178">
        <f>IF(INVESTORS_LIST[[#This Row],[TOTAL CURRENT UNITS]]=0,0,(INVESTORS_LIST[[#This Row],[LS_WEIGHT]]*INVESTORS_LIST[[#This Row],[LS_AVERAGE COST]])+(INVESTORS_LIST[[#This Row],[SIP_WEIGHT]]*INVESTORS_LIST[[#This Row],[SIP_AVERAGE COST]]))</f>
        <v>12.239003255574866</v>
      </c>
      <c r="AJ604" s="178">
        <f t="shared" si="15"/>
        <v>12.552</v>
      </c>
      <c r="AK604" s="118">
        <f>IF(INVESTORS_LIST[[#This Row],[TOTAL CURRENT UNITS]]=0,0,INVESTORS_LIST[[#This Row],[TOTAL CURRENT UNITS]]*INVESTORS_LIST[[#This Row],[NAV]])</f>
        <v>10255737.119999999</v>
      </c>
      <c r="AL604" s="4">
        <f>IF(INVESTORS_LIST[[#This Row],[LS_TOTAL CURRENT UNITS]]=0,0,INVESTORS_LIST[[#This Row],[LS_TOTAL CURRENT UNITS]]*INVESTORS_LIST[[#This Row],[NAV]])</f>
        <v>10255737.119999999</v>
      </c>
      <c r="AM604" s="6">
        <f>IF(INVESTORS_LIST[[#This Row],[SIP_TOTAL CURRENT UNITS]]=0,0,INVESTORS_LIST[[#This Row],[SIP_TOTAL CURRENT UNITS]]*INVESTORS_LIST[[#This Row],[NAV]])</f>
        <v>0</v>
      </c>
      <c r="AO604" s="6">
        <f>IF(INVESTORS_LIST[[#This Row],[TOTAL SELLABLE UNITS]]=0,0,INVESTORS_LIST[[#This Row],[TOTAL SELLABLE UNITS]]*INVESTORS_LIST[[#This Row],[NAV]])</f>
        <v>0</v>
      </c>
      <c r="AP604" s="6">
        <f>INVESTORS_LIST[[#This Row],[LS_TOTAL REALIZED GAIN]]+INVESTORS_LIST[[#This Row],[SIP_TOTAL REALIZED GAIN]]</f>
        <v>0</v>
      </c>
      <c r="AQ604" s="6">
        <f>INVESTORS_LIST[[#This Row],[TOTAL MARKET VALUE]]-INVESTORS_LIST[[#This Row],[TOTAL COST VALUE OF CURRENT INVESTMENT]]</f>
        <v>255737.11999999918</v>
      </c>
      <c r="AR604" s="6">
        <f>SUMIFS(DivAndTax[Tax Amount],DivAndTax[Investor ID],INVESTORS_LIST[[#This Row],[INVESTOR CODE]])</f>
        <v>0</v>
      </c>
      <c r="AS604" s="6">
        <f>SUMIFS(DivAndTax[Gross Dividend],DivAndTax[Investor ID],INVESTORS_LIST[[#This Row],[INVESTOR CODE]])</f>
        <v>0</v>
      </c>
      <c r="AT604" s="5">
        <f>IFERROR(INVESTORS_LIST[[#This Row],[TOTAL CURRENT UNITS]]/SUM(INVESTORS_LIST[TOTAL CURRENT UNITS]),0)</f>
        <v>3.9173806931135494E-2</v>
      </c>
    </row>
    <row r="605" spans="1:46" hidden="1">
      <c r="A605" t="s">
        <v>1397</v>
      </c>
      <c r="B605" t="s">
        <v>1398</v>
      </c>
      <c r="C605" t="s">
        <v>539</v>
      </c>
      <c r="D605" s="8" t="s">
        <v>2</v>
      </c>
      <c r="E605" s="2">
        <f>SUMIFS(LS[Unit],LS[Investor ID],INVESTORS_LIST[[#This Row],[INVESTOR CODE]],LS[B/S],"B")</f>
        <v>0</v>
      </c>
      <c r="F605" s="2">
        <f>-SUMIFS(LS[Unit],LS[Investor ID],INVESTORS_LIST[[#This Row],[INVESTOR CODE]],LS[B/S],"S")</f>
        <v>0</v>
      </c>
      <c r="G605" s="2">
        <f>IF(INVESTORS_LIST[[#This Row],[LS_TOTAL UNITS BUY]]=0,0,INVESTORS_LIST[[#This Row],[LS_TOTAL UNITS BUY]]-INVESTORS_LIST[[#This Row],[LS_TOTAL UNITS SOLD]])</f>
        <v>0</v>
      </c>
      <c r="H605" s="4">
        <f>IF(INVESTORS_LIST[[#This Row],[LS_TOTAL UNITS BUY]]=0,0,SUMIFS(LS[Amount],LS[Investor ID],INVESTORS_LIST[[#This Row],[INVESTOR CODE]],LS[B/S],"B"))</f>
        <v>0</v>
      </c>
      <c r="I605" s="6">
        <f>IF(INVESTORS_LIST[[#This Row],[LS_TOTAL UNITS SOLD]]=0,0,SUMIFS(LS[Cost of Units Sold],LS[Investor ID],INVESTORS_LIST[[#This Row],[INVESTOR CODE]],LS[B/S],"S"))</f>
        <v>0</v>
      </c>
      <c r="J605" s="6">
        <f>IF(INVESTORS_LIST[[#This Row],[LS_TOTAL CURRENT UNITS]]=0,0,INVESTORS_LIST[[#This Row],[LS_TOTAL CURRENT UNITS]]*INVESTORS_LIST[[#This Row],[LS_AVERAGE COST]])</f>
        <v>0</v>
      </c>
      <c r="K605" s="4">
        <f>IF(INVESTORS_LIST[[#This Row],[LS_TOTAL UNITS SOLD]]=0,0,SUMIFS(LS[Realized Gain],LS[Investor ID],INVESTORS_LIST[[#This Row],[INVESTOR CODE]],LS[B/S],"S"))</f>
        <v>0</v>
      </c>
      <c r="L605" s="2">
        <f>SUMIFS(SIP[Unit],SIP[Investor ID],INVESTORS_LIST[[#This Row],[INVESTOR CODE]],SIP[B/S],"B")</f>
        <v>0</v>
      </c>
      <c r="M605" s="2">
        <f>-SUMIFS(SIP[Unit],SIP[Investor ID],INVESTORS_LIST[[#This Row],[INVESTOR CODE]],SIP[B/S],"S")</f>
        <v>0</v>
      </c>
      <c r="N605" s="33">
        <f>IF(INVESTORS_LIST[[#This Row],[SIP_TOTAL UNITS BUY]]=0,0,INVESTORS_LIST[[#This Row],[SIP_TOTAL UNITS BUY]]-INVESTORS_LIST[[#This Row],[SIP_TOTAL UNITS SOLD]])</f>
        <v>0</v>
      </c>
      <c r="O605" s="4">
        <f>IF(INVESTORS_LIST[[#This Row],[SIP_TOTAL UNITS BUY]]=0,0,SUMIFS(SIP[Amount],SIP[Investor ID],INVESTORS_LIST[[#This Row],[INVESTOR CODE]],SIP[B/S],"B"))</f>
        <v>0</v>
      </c>
      <c r="P605" s="4">
        <f>IF(INVESTORS_LIST[[#This Row],[SIP_TOTAL UNITS SOLD]]=0,0,SUMIFS(SIP[Cost of Units Sold],SIP[Investor ID],INVESTORS_LIST[[#This Row],[INVESTOR CODE]],SIP[B/S],"S"))</f>
        <v>0</v>
      </c>
      <c r="Q605" s="6">
        <f>IF(INVESTORS_LIST[[#This Row],[SIP_TOTAL CURRENT UNITS]]=0,0,INVESTORS_LIST[[#This Row],[SIP_TOTAL CURRENT UNITS]]*INVESTORS_LIST[[#This Row],[SIP_AVERAGE COST]])</f>
        <v>0</v>
      </c>
      <c r="R605" s="6">
        <f>IF(INVESTORS_LIST[[#This Row],[SIP_TOTAL UNITS SOLD]]=0,0,SUMIFS(SIP[Realized Gain],SIP[Investor ID],INVESTORS_LIST[[#This Row],[INVESTOR CODE]],SIP[B/S],"S"))</f>
        <v>0</v>
      </c>
      <c r="S605" s="33">
        <f>INVESTORS_LIST[[#This Row],[LS_TOTAL UNITS BUY]]+INVESTORS_LIST[[#This Row],[SIP_TOTAL UNITS BUY]]</f>
        <v>0</v>
      </c>
      <c r="T605" s="33">
        <f>INVESTORS_LIST[[#This Row],[LS_TOTAL UNITS SOLD]]+INVESTORS_LIST[[#This Row],[SIP_TOTAL UNITS SOLD]]</f>
        <v>0</v>
      </c>
      <c r="U605" s="33">
        <v>0</v>
      </c>
      <c r="V605" s="33">
        <f>SUMIFS(LS[BO UNIT TRANSFER],LS[Investor ID],INVESTORS_LIST[[#This Row],[INVESTOR CODE]],LS[B/S],"B")</f>
        <v>0</v>
      </c>
      <c r="W605" s="33">
        <f>SUMIFS(LS[BO UNIT TRANSFER],LS[Investor ID],INVESTORS_LIST[[#This Row],[INVESTOR CODE]],LS[B/S],"S")</f>
        <v>0</v>
      </c>
      <c r="X605" s="33">
        <f>SUMIFS(SIP[BO UNIT TRANSFER],SIP[Investor ID],INVESTORS_LIST[[#This Row],[INVESTOR CODE]],SIP[B/S],"S")</f>
        <v>0</v>
      </c>
      <c r="Y605" s="33">
        <f>SUMIFS(SIP[BO UNIT TRANSFER],SIP[Investor ID],INVESTORS_LIST[[#This Row],[INVESTOR CODE]],SIP[B/S],"B")</f>
        <v>0</v>
      </c>
      <c r="Z60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05" s="119">
        <f>INVESTORS_LIST[[#This Row],[TOTAL UNITS BUY]]-INVESTORS_LIST[[#This Row],[TOTAL UNITS SOLD]]</f>
        <v>0</v>
      </c>
      <c r="AB605" s="119">
        <f>INVESTORS_LIST[[#This Row],[TOTAL CURRENT UNITS]]-INVESTORS_LIST[[#This Row],[BO UNITS HOLD]]</f>
        <v>0</v>
      </c>
      <c r="AC605" s="119" t="e">
        <f>INDEX([4]!Table_1[BO ID],MATCH(INVESTORS_LIST[[#This Row],[INVESTOR CODE]],[4]!Table_1[INVESTOR CODE],0))</f>
        <v>#REF!</v>
      </c>
      <c r="AD605" s="33">
        <f>INVESTORS_LIST[[#This Row],[LS_TOTAL COST VALUE OF CURRENT UNITS]]+INVESTORS_LIST[[#This Row],[SIP_TOTAL COST VALUE OF CURRENT UNITS]]</f>
        <v>0</v>
      </c>
      <c r="AE605" s="44">
        <f>IF(INVESTORS_LIST[[#This Row],[TOTAL CURRENT UNITS]]=0,0,INVESTORS_LIST[[#This Row],[LS_TOTAL CURRENT UNITS]]/INVESTORS_LIST[[#This Row],[TOTAL CURRENT UNITS]])</f>
        <v>0</v>
      </c>
      <c r="AF605" s="44">
        <f>IF(INVESTORS_LIST[[#This Row],[TOTAL CURRENT UNITS]]=0,0,INVESTORS_LIST[[#This Row],[SIP_TOTAL CURRENT UNITS]]/INVESTORS_LIST[[#This Row],[TOTAL CURRENT UNITS]])</f>
        <v>0</v>
      </c>
      <c r="AG605" s="4" cm="1">
        <f t="array" ref="AG60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05" s="4" cm="1">
        <f t="array" ref="AH60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0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05" s="178">
        <f t="shared" si="15"/>
        <v>12.552</v>
      </c>
      <c r="AK605" s="118">
        <f>IF(INVESTORS_LIST[[#This Row],[TOTAL CURRENT UNITS]]=0,0,INVESTORS_LIST[[#This Row],[TOTAL CURRENT UNITS]]*INVESTORS_LIST[[#This Row],[NAV]])</f>
        <v>0</v>
      </c>
      <c r="AL605" s="4">
        <f>IF(INVESTORS_LIST[[#This Row],[LS_TOTAL CURRENT UNITS]]=0,0,INVESTORS_LIST[[#This Row],[LS_TOTAL CURRENT UNITS]]*INVESTORS_LIST[[#This Row],[NAV]])</f>
        <v>0</v>
      </c>
      <c r="AM605" s="6">
        <f>IF(INVESTORS_LIST[[#This Row],[SIP_TOTAL CURRENT UNITS]]=0,0,INVESTORS_LIST[[#This Row],[SIP_TOTAL CURRENT UNITS]]*INVESTORS_LIST[[#This Row],[NAV]])</f>
        <v>0</v>
      </c>
      <c r="AO605" s="6">
        <f>IF(INVESTORS_LIST[[#This Row],[TOTAL SELLABLE UNITS]]=0,0,INVESTORS_LIST[[#This Row],[TOTAL SELLABLE UNITS]]*INVESTORS_LIST[[#This Row],[NAV]])</f>
        <v>0</v>
      </c>
      <c r="AP605" s="6">
        <f>INVESTORS_LIST[[#This Row],[LS_TOTAL REALIZED GAIN]]+INVESTORS_LIST[[#This Row],[SIP_TOTAL REALIZED GAIN]]</f>
        <v>0</v>
      </c>
      <c r="AQ605" s="6">
        <f>INVESTORS_LIST[[#This Row],[TOTAL MARKET VALUE]]-INVESTORS_LIST[[#This Row],[TOTAL COST VALUE OF CURRENT INVESTMENT]]</f>
        <v>0</v>
      </c>
      <c r="AR605" s="6">
        <f>SUMIFS(DivAndTax[Tax Amount],DivAndTax[Investor ID],INVESTORS_LIST[[#This Row],[INVESTOR CODE]])</f>
        <v>0</v>
      </c>
      <c r="AS605" s="6">
        <f>SUMIFS(DivAndTax[Gross Dividend],DivAndTax[Investor ID],INVESTORS_LIST[[#This Row],[INVESTOR CODE]])</f>
        <v>0</v>
      </c>
      <c r="AT605" s="5">
        <f>IFERROR(INVESTORS_LIST[[#This Row],[TOTAL CURRENT UNITS]]/SUM(INVESTORS_LIST[TOTAL CURRENT UNITS]),0)</f>
        <v>0</v>
      </c>
    </row>
    <row r="606" spans="1:46" hidden="1">
      <c r="A606" t="s">
        <v>1399</v>
      </c>
      <c r="B606" t="s">
        <v>1400</v>
      </c>
      <c r="C606" t="s">
        <v>536</v>
      </c>
      <c r="D606" s="8" t="s">
        <v>2</v>
      </c>
      <c r="E606" s="2">
        <f>SUMIFS(LS[Unit],LS[Investor ID],INVESTORS_LIST[[#This Row],[INVESTOR CODE]],LS[B/S],"B")</f>
        <v>0</v>
      </c>
      <c r="F606" s="2">
        <f>-SUMIFS(LS[Unit],LS[Investor ID],INVESTORS_LIST[[#This Row],[INVESTOR CODE]],LS[B/S],"S")</f>
        <v>0</v>
      </c>
      <c r="G606" s="2">
        <f>IF(INVESTORS_LIST[[#This Row],[LS_TOTAL UNITS BUY]]=0,0,INVESTORS_LIST[[#This Row],[LS_TOTAL UNITS BUY]]-INVESTORS_LIST[[#This Row],[LS_TOTAL UNITS SOLD]])</f>
        <v>0</v>
      </c>
      <c r="H606" s="4">
        <f>IF(INVESTORS_LIST[[#This Row],[LS_TOTAL UNITS BUY]]=0,0,SUMIFS(LS[Amount],LS[Investor ID],INVESTORS_LIST[[#This Row],[INVESTOR CODE]],LS[B/S],"B"))</f>
        <v>0</v>
      </c>
      <c r="I606" s="6">
        <f>IF(INVESTORS_LIST[[#This Row],[LS_TOTAL UNITS SOLD]]=0,0,SUMIFS(LS[Cost of Units Sold],LS[Investor ID],INVESTORS_LIST[[#This Row],[INVESTOR CODE]],LS[B/S],"S"))</f>
        <v>0</v>
      </c>
      <c r="J606" s="6">
        <f>IF(INVESTORS_LIST[[#This Row],[LS_TOTAL CURRENT UNITS]]=0,0,INVESTORS_LIST[[#This Row],[LS_TOTAL CURRENT UNITS]]*INVESTORS_LIST[[#This Row],[LS_AVERAGE COST]])</f>
        <v>0</v>
      </c>
      <c r="K606" s="4">
        <f>IF(INVESTORS_LIST[[#This Row],[LS_TOTAL UNITS SOLD]]=0,0,SUMIFS(LS[Realized Gain],LS[Investor ID],INVESTORS_LIST[[#This Row],[INVESTOR CODE]],LS[B/S],"S"))</f>
        <v>0</v>
      </c>
      <c r="L606" s="2">
        <f>SUMIFS(SIP[Unit],SIP[Investor ID],INVESTORS_LIST[[#This Row],[INVESTOR CODE]],SIP[B/S],"B")</f>
        <v>0</v>
      </c>
      <c r="M606" s="2">
        <f>-SUMIFS(SIP[Unit],SIP[Investor ID],INVESTORS_LIST[[#This Row],[INVESTOR CODE]],SIP[B/S],"S")</f>
        <v>0</v>
      </c>
      <c r="N606" s="33">
        <f>IF(INVESTORS_LIST[[#This Row],[SIP_TOTAL UNITS BUY]]=0,0,INVESTORS_LIST[[#This Row],[SIP_TOTAL UNITS BUY]]-INVESTORS_LIST[[#This Row],[SIP_TOTAL UNITS SOLD]])</f>
        <v>0</v>
      </c>
      <c r="O606" s="4">
        <f>IF(INVESTORS_LIST[[#This Row],[SIP_TOTAL UNITS BUY]]=0,0,SUMIFS(SIP[Amount],SIP[Investor ID],INVESTORS_LIST[[#This Row],[INVESTOR CODE]],SIP[B/S],"B"))</f>
        <v>0</v>
      </c>
      <c r="P606" s="4">
        <f>IF(INVESTORS_LIST[[#This Row],[SIP_TOTAL UNITS SOLD]]=0,0,SUMIFS(SIP[Cost of Units Sold],SIP[Investor ID],INVESTORS_LIST[[#This Row],[INVESTOR CODE]],SIP[B/S],"S"))</f>
        <v>0</v>
      </c>
      <c r="Q606" s="6">
        <f>IF(INVESTORS_LIST[[#This Row],[SIP_TOTAL CURRENT UNITS]]=0,0,INVESTORS_LIST[[#This Row],[SIP_TOTAL CURRENT UNITS]]*INVESTORS_LIST[[#This Row],[SIP_AVERAGE COST]])</f>
        <v>0</v>
      </c>
      <c r="R606" s="6">
        <f>IF(INVESTORS_LIST[[#This Row],[SIP_TOTAL UNITS SOLD]]=0,0,SUMIFS(SIP[Realized Gain],SIP[Investor ID],INVESTORS_LIST[[#This Row],[INVESTOR CODE]],SIP[B/S],"S"))</f>
        <v>0</v>
      </c>
      <c r="S606" s="33">
        <f>INVESTORS_LIST[[#This Row],[LS_TOTAL UNITS BUY]]+INVESTORS_LIST[[#This Row],[SIP_TOTAL UNITS BUY]]</f>
        <v>0</v>
      </c>
      <c r="T606" s="33">
        <f>INVESTORS_LIST[[#This Row],[LS_TOTAL UNITS SOLD]]+INVESTORS_LIST[[#This Row],[SIP_TOTAL UNITS SOLD]]</f>
        <v>0</v>
      </c>
      <c r="U606" s="33">
        <v>0</v>
      </c>
      <c r="V606" s="33">
        <f>SUMIFS(LS[BO UNIT TRANSFER],LS[Investor ID],INVESTORS_LIST[[#This Row],[INVESTOR CODE]],LS[B/S],"B")</f>
        <v>0</v>
      </c>
      <c r="W606" s="33">
        <f>SUMIFS(LS[BO UNIT TRANSFER],LS[Investor ID],INVESTORS_LIST[[#This Row],[INVESTOR CODE]],LS[B/S],"S")</f>
        <v>0</v>
      </c>
      <c r="X606" s="33">
        <f>SUMIFS(SIP[BO UNIT TRANSFER],SIP[Investor ID],INVESTORS_LIST[[#This Row],[INVESTOR CODE]],SIP[B/S],"S")</f>
        <v>0</v>
      </c>
      <c r="Y606" s="33">
        <f>SUMIFS(SIP[BO UNIT TRANSFER],SIP[Investor ID],INVESTORS_LIST[[#This Row],[INVESTOR CODE]],SIP[B/S],"B")</f>
        <v>0</v>
      </c>
      <c r="Z60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06" s="119">
        <f>INVESTORS_LIST[[#This Row],[TOTAL UNITS BUY]]-INVESTORS_LIST[[#This Row],[TOTAL UNITS SOLD]]</f>
        <v>0</v>
      </c>
      <c r="AB606" s="119">
        <f>INVESTORS_LIST[[#This Row],[TOTAL CURRENT UNITS]]-INVESTORS_LIST[[#This Row],[BO UNITS HOLD]]</f>
        <v>0</v>
      </c>
      <c r="AC606" s="119" t="e">
        <f>INDEX([4]!Table_1[BO ID],MATCH(INVESTORS_LIST[[#This Row],[INVESTOR CODE]],[4]!Table_1[INVESTOR CODE],0))</f>
        <v>#REF!</v>
      </c>
      <c r="AD606" s="33">
        <f>INVESTORS_LIST[[#This Row],[LS_TOTAL COST VALUE OF CURRENT UNITS]]+INVESTORS_LIST[[#This Row],[SIP_TOTAL COST VALUE OF CURRENT UNITS]]</f>
        <v>0</v>
      </c>
      <c r="AE606" s="44">
        <f>IF(INVESTORS_LIST[[#This Row],[TOTAL CURRENT UNITS]]=0,0,INVESTORS_LIST[[#This Row],[LS_TOTAL CURRENT UNITS]]/INVESTORS_LIST[[#This Row],[TOTAL CURRENT UNITS]])</f>
        <v>0</v>
      </c>
      <c r="AF606" s="44">
        <f>IF(INVESTORS_LIST[[#This Row],[TOTAL CURRENT UNITS]]=0,0,INVESTORS_LIST[[#This Row],[SIP_TOTAL CURRENT UNITS]]/INVESTORS_LIST[[#This Row],[TOTAL CURRENT UNITS]])</f>
        <v>0</v>
      </c>
      <c r="AG606" s="4" cm="1">
        <f t="array" ref="AG6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06" s="4" cm="1">
        <f t="array" ref="AH6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0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06" s="178">
        <f t="shared" si="15"/>
        <v>12.552</v>
      </c>
      <c r="AK606" s="118">
        <f>IF(INVESTORS_LIST[[#This Row],[TOTAL CURRENT UNITS]]=0,0,INVESTORS_LIST[[#This Row],[TOTAL CURRENT UNITS]]*INVESTORS_LIST[[#This Row],[NAV]])</f>
        <v>0</v>
      </c>
      <c r="AL606" s="4">
        <f>IF(INVESTORS_LIST[[#This Row],[LS_TOTAL CURRENT UNITS]]=0,0,INVESTORS_LIST[[#This Row],[LS_TOTAL CURRENT UNITS]]*INVESTORS_LIST[[#This Row],[NAV]])</f>
        <v>0</v>
      </c>
      <c r="AM606" s="6">
        <f>IF(INVESTORS_LIST[[#This Row],[SIP_TOTAL CURRENT UNITS]]=0,0,INVESTORS_LIST[[#This Row],[SIP_TOTAL CURRENT UNITS]]*INVESTORS_LIST[[#This Row],[NAV]])</f>
        <v>0</v>
      </c>
      <c r="AO606" s="6">
        <f>IF(INVESTORS_LIST[[#This Row],[TOTAL SELLABLE UNITS]]=0,0,INVESTORS_LIST[[#This Row],[TOTAL SELLABLE UNITS]]*INVESTORS_LIST[[#This Row],[NAV]])</f>
        <v>0</v>
      </c>
      <c r="AP606" s="6">
        <f>INVESTORS_LIST[[#This Row],[LS_TOTAL REALIZED GAIN]]+INVESTORS_LIST[[#This Row],[SIP_TOTAL REALIZED GAIN]]</f>
        <v>0</v>
      </c>
      <c r="AQ606" s="6">
        <f>INVESTORS_LIST[[#This Row],[TOTAL MARKET VALUE]]-INVESTORS_LIST[[#This Row],[TOTAL COST VALUE OF CURRENT INVESTMENT]]</f>
        <v>0</v>
      </c>
      <c r="AR606" s="6">
        <f>SUMIFS(DivAndTax[Tax Amount],DivAndTax[Investor ID],INVESTORS_LIST[[#This Row],[INVESTOR CODE]])</f>
        <v>0</v>
      </c>
      <c r="AS606" s="6">
        <f>SUMIFS(DivAndTax[Gross Dividend],DivAndTax[Investor ID],INVESTORS_LIST[[#This Row],[INVESTOR CODE]])</f>
        <v>0</v>
      </c>
      <c r="AT606" s="5">
        <f>IFERROR(INVESTORS_LIST[[#This Row],[TOTAL CURRENT UNITS]]/SUM(INVESTORS_LIST[TOTAL CURRENT UNITS]),0)</f>
        <v>0</v>
      </c>
    </row>
    <row r="607" spans="1:46" hidden="1">
      <c r="A607" t="s">
        <v>1401</v>
      </c>
      <c r="B607" t="s">
        <v>1402</v>
      </c>
      <c r="C607" t="s">
        <v>536</v>
      </c>
      <c r="D607" s="8" t="s">
        <v>2</v>
      </c>
      <c r="E607" s="2">
        <f>SUMIFS(LS[Unit],LS[Investor ID],INVESTORS_LIST[[#This Row],[INVESTOR CODE]],LS[B/S],"B")</f>
        <v>0</v>
      </c>
      <c r="F607" s="2">
        <f>-SUMIFS(LS[Unit],LS[Investor ID],INVESTORS_LIST[[#This Row],[INVESTOR CODE]],LS[B/S],"S")</f>
        <v>0</v>
      </c>
      <c r="G607" s="2">
        <f>IF(INVESTORS_LIST[[#This Row],[LS_TOTAL UNITS BUY]]=0,0,INVESTORS_LIST[[#This Row],[LS_TOTAL UNITS BUY]]-INVESTORS_LIST[[#This Row],[LS_TOTAL UNITS SOLD]])</f>
        <v>0</v>
      </c>
      <c r="H607" s="4">
        <f>IF(INVESTORS_LIST[[#This Row],[LS_TOTAL UNITS BUY]]=0,0,SUMIFS(LS[Amount],LS[Investor ID],INVESTORS_LIST[[#This Row],[INVESTOR CODE]],LS[B/S],"B"))</f>
        <v>0</v>
      </c>
      <c r="I607" s="6">
        <f>IF(INVESTORS_LIST[[#This Row],[LS_TOTAL UNITS SOLD]]=0,0,SUMIFS(LS[Cost of Units Sold],LS[Investor ID],INVESTORS_LIST[[#This Row],[INVESTOR CODE]],LS[B/S],"S"))</f>
        <v>0</v>
      </c>
      <c r="J607" s="6">
        <f>IF(INVESTORS_LIST[[#This Row],[LS_TOTAL CURRENT UNITS]]=0,0,INVESTORS_LIST[[#This Row],[LS_TOTAL CURRENT UNITS]]*INVESTORS_LIST[[#This Row],[LS_AVERAGE COST]])</f>
        <v>0</v>
      </c>
      <c r="K607" s="4">
        <f>IF(INVESTORS_LIST[[#This Row],[LS_TOTAL UNITS SOLD]]=0,0,SUMIFS(LS[Realized Gain],LS[Investor ID],INVESTORS_LIST[[#This Row],[INVESTOR CODE]],LS[B/S],"S"))</f>
        <v>0</v>
      </c>
      <c r="L607" s="2">
        <f>SUMIFS(SIP[Unit],SIP[Investor ID],INVESTORS_LIST[[#This Row],[INVESTOR CODE]],SIP[B/S],"B")</f>
        <v>0</v>
      </c>
      <c r="M607" s="2">
        <f>-SUMIFS(SIP[Unit],SIP[Investor ID],INVESTORS_LIST[[#This Row],[INVESTOR CODE]],SIP[B/S],"S")</f>
        <v>0</v>
      </c>
      <c r="N607" s="33">
        <f>IF(INVESTORS_LIST[[#This Row],[SIP_TOTAL UNITS BUY]]=0,0,INVESTORS_LIST[[#This Row],[SIP_TOTAL UNITS BUY]]-INVESTORS_LIST[[#This Row],[SIP_TOTAL UNITS SOLD]])</f>
        <v>0</v>
      </c>
      <c r="O607" s="4">
        <f>IF(INVESTORS_LIST[[#This Row],[SIP_TOTAL UNITS BUY]]=0,0,SUMIFS(SIP[Amount],SIP[Investor ID],INVESTORS_LIST[[#This Row],[INVESTOR CODE]],SIP[B/S],"B"))</f>
        <v>0</v>
      </c>
      <c r="P607" s="4">
        <f>IF(INVESTORS_LIST[[#This Row],[SIP_TOTAL UNITS SOLD]]=0,0,SUMIFS(SIP[Cost of Units Sold],SIP[Investor ID],INVESTORS_LIST[[#This Row],[INVESTOR CODE]],SIP[B/S],"S"))</f>
        <v>0</v>
      </c>
      <c r="Q607" s="6">
        <f>IF(INVESTORS_LIST[[#This Row],[SIP_TOTAL CURRENT UNITS]]=0,0,INVESTORS_LIST[[#This Row],[SIP_TOTAL CURRENT UNITS]]*INVESTORS_LIST[[#This Row],[SIP_AVERAGE COST]])</f>
        <v>0</v>
      </c>
      <c r="R607" s="6">
        <f>IF(INVESTORS_LIST[[#This Row],[SIP_TOTAL UNITS SOLD]]=0,0,SUMIFS(SIP[Realized Gain],SIP[Investor ID],INVESTORS_LIST[[#This Row],[INVESTOR CODE]],SIP[B/S],"S"))</f>
        <v>0</v>
      </c>
      <c r="S607" s="33">
        <f>INVESTORS_LIST[[#This Row],[LS_TOTAL UNITS BUY]]+INVESTORS_LIST[[#This Row],[SIP_TOTAL UNITS BUY]]</f>
        <v>0</v>
      </c>
      <c r="T607" s="33">
        <f>INVESTORS_LIST[[#This Row],[LS_TOTAL UNITS SOLD]]+INVESTORS_LIST[[#This Row],[SIP_TOTAL UNITS SOLD]]</f>
        <v>0</v>
      </c>
      <c r="U607" s="33">
        <v>0</v>
      </c>
      <c r="V607" s="33">
        <f>SUMIFS(LS[BO UNIT TRANSFER],LS[Investor ID],INVESTORS_LIST[[#This Row],[INVESTOR CODE]],LS[B/S],"B")</f>
        <v>0</v>
      </c>
      <c r="W607" s="33">
        <f>SUMIFS(LS[BO UNIT TRANSFER],LS[Investor ID],INVESTORS_LIST[[#This Row],[INVESTOR CODE]],LS[B/S],"S")</f>
        <v>0</v>
      </c>
      <c r="X607" s="33">
        <f>SUMIFS(SIP[BO UNIT TRANSFER],SIP[Investor ID],INVESTORS_LIST[[#This Row],[INVESTOR CODE]],SIP[B/S],"S")</f>
        <v>0</v>
      </c>
      <c r="Y607" s="33">
        <f>SUMIFS(SIP[BO UNIT TRANSFER],SIP[Investor ID],INVESTORS_LIST[[#This Row],[INVESTOR CODE]],SIP[B/S],"B")</f>
        <v>0</v>
      </c>
      <c r="Z60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07" s="119">
        <f>INVESTORS_LIST[[#This Row],[TOTAL UNITS BUY]]-INVESTORS_LIST[[#This Row],[TOTAL UNITS SOLD]]</f>
        <v>0</v>
      </c>
      <c r="AB607" s="119">
        <f>INVESTORS_LIST[[#This Row],[TOTAL CURRENT UNITS]]-INVESTORS_LIST[[#This Row],[BO UNITS HOLD]]</f>
        <v>0</v>
      </c>
      <c r="AC607" s="119" t="e">
        <f>INDEX([4]!Table_1[BO ID],MATCH(INVESTORS_LIST[[#This Row],[INVESTOR CODE]],[4]!Table_1[INVESTOR CODE],0))</f>
        <v>#REF!</v>
      </c>
      <c r="AD607" s="33">
        <f>INVESTORS_LIST[[#This Row],[LS_TOTAL COST VALUE OF CURRENT UNITS]]+INVESTORS_LIST[[#This Row],[SIP_TOTAL COST VALUE OF CURRENT UNITS]]</f>
        <v>0</v>
      </c>
      <c r="AE607" s="44">
        <f>IF(INVESTORS_LIST[[#This Row],[TOTAL CURRENT UNITS]]=0,0,INVESTORS_LIST[[#This Row],[LS_TOTAL CURRENT UNITS]]/INVESTORS_LIST[[#This Row],[TOTAL CURRENT UNITS]])</f>
        <v>0</v>
      </c>
      <c r="AF607" s="44">
        <f>IF(INVESTORS_LIST[[#This Row],[TOTAL CURRENT UNITS]]=0,0,INVESTORS_LIST[[#This Row],[SIP_TOTAL CURRENT UNITS]]/INVESTORS_LIST[[#This Row],[TOTAL CURRENT UNITS]])</f>
        <v>0</v>
      </c>
      <c r="AG607" s="4" cm="1">
        <f t="array" ref="AG60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07" s="4" cm="1">
        <f t="array" ref="AH60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0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07" s="178">
        <f t="shared" si="15"/>
        <v>12.552</v>
      </c>
      <c r="AK607" s="118">
        <f>IF(INVESTORS_LIST[[#This Row],[TOTAL CURRENT UNITS]]=0,0,INVESTORS_LIST[[#This Row],[TOTAL CURRENT UNITS]]*INVESTORS_LIST[[#This Row],[NAV]])</f>
        <v>0</v>
      </c>
      <c r="AL607" s="4">
        <f>IF(INVESTORS_LIST[[#This Row],[LS_TOTAL CURRENT UNITS]]=0,0,INVESTORS_LIST[[#This Row],[LS_TOTAL CURRENT UNITS]]*INVESTORS_LIST[[#This Row],[NAV]])</f>
        <v>0</v>
      </c>
      <c r="AM607" s="6">
        <f>IF(INVESTORS_LIST[[#This Row],[SIP_TOTAL CURRENT UNITS]]=0,0,INVESTORS_LIST[[#This Row],[SIP_TOTAL CURRENT UNITS]]*INVESTORS_LIST[[#This Row],[NAV]])</f>
        <v>0</v>
      </c>
      <c r="AO607" s="6">
        <f>IF(INVESTORS_LIST[[#This Row],[TOTAL SELLABLE UNITS]]=0,0,INVESTORS_LIST[[#This Row],[TOTAL SELLABLE UNITS]]*INVESTORS_LIST[[#This Row],[NAV]])</f>
        <v>0</v>
      </c>
      <c r="AP607" s="6">
        <f>INVESTORS_LIST[[#This Row],[LS_TOTAL REALIZED GAIN]]+INVESTORS_LIST[[#This Row],[SIP_TOTAL REALIZED GAIN]]</f>
        <v>0</v>
      </c>
      <c r="AQ607" s="6">
        <f>INVESTORS_LIST[[#This Row],[TOTAL MARKET VALUE]]-INVESTORS_LIST[[#This Row],[TOTAL COST VALUE OF CURRENT INVESTMENT]]</f>
        <v>0</v>
      </c>
      <c r="AR607" s="6">
        <f>SUMIFS(DivAndTax[Tax Amount],DivAndTax[Investor ID],INVESTORS_LIST[[#This Row],[INVESTOR CODE]])</f>
        <v>0</v>
      </c>
      <c r="AS607" s="6">
        <f>SUMIFS(DivAndTax[Gross Dividend],DivAndTax[Investor ID],INVESTORS_LIST[[#This Row],[INVESTOR CODE]])</f>
        <v>0</v>
      </c>
      <c r="AT607" s="5">
        <f>IFERROR(INVESTORS_LIST[[#This Row],[TOTAL CURRENT UNITS]]/SUM(INVESTORS_LIST[TOTAL CURRENT UNITS]),0)</f>
        <v>0</v>
      </c>
    </row>
    <row r="608" spans="1:46" hidden="1">
      <c r="A608" t="s">
        <v>1403</v>
      </c>
      <c r="B608" t="s">
        <v>1404</v>
      </c>
      <c r="C608" t="s">
        <v>536</v>
      </c>
      <c r="D608" s="8" t="s">
        <v>2</v>
      </c>
      <c r="E608" s="2">
        <f>SUMIFS(LS[Unit],LS[Investor ID],INVESTORS_LIST[[#This Row],[INVESTOR CODE]],LS[B/S],"B")</f>
        <v>0</v>
      </c>
      <c r="F608" s="2">
        <f>-SUMIFS(LS[Unit],LS[Investor ID],INVESTORS_LIST[[#This Row],[INVESTOR CODE]],LS[B/S],"S")</f>
        <v>0</v>
      </c>
      <c r="G608" s="2">
        <f>IF(INVESTORS_LIST[[#This Row],[LS_TOTAL UNITS BUY]]=0,0,INVESTORS_LIST[[#This Row],[LS_TOTAL UNITS BUY]]-INVESTORS_LIST[[#This Row],[LS_TOTAL UNITS SOLD]])</f>
        <v>0</v>
      </c>
      <c r="H608" s="4">
        <f>IF(INVESTORS_LIST[[#This Row],[LS_TOTAL UNITS BUY]]=0,0,SUMIFS(LS[Amount],LS[Investor ID],INVESTORS_LIST[[#This Row],[INVESTOR CODE]],LS[B/S],"B"))</f>
        <v>0</v>
      </c>
      <c r="I608" s="6">
        <f>IF(INVESTORS_LIST[[#This Row],[LS_TOTAL UNITS SOLD]]=0,0,SUMIFS(LS[Cost of Units Sold],LS[Investor ID],INVESTORS_LIST[[#This Row],[INVESTOR CODE]],LS[B/S],"S"))</f>
        <v>0</v>
      </c>
      <c r="J608" s="6">
        <f>IF(INVESTORS_LIST[[#This Row],[LS_TOTAL CURRENT UNITS]]=0,0,INVESTORS_LIST[[#This Row],[LS_TOTAL CURRENT UNITS]]*INVESTORS_LIST[[#This Row],[LS_AVERAGE COST]])</f>
        <v>0</v>
      </c>
      <c r="K608" s="4">
        <f>IF(INVESTORS_LIST[[#This Row],[LS_TOTAL UNITS SOLD]]=0,0,SUMIFS(LS[Realized Gain],LS[Investor ID],INVESTORS_LIST[[#This Row],[INVESTOR CODE]],LS[B/S],"S"))</f>
        <v>0</v>
      </c>
      <c r="L608" s="2">
        <f>SUMIFS(SIP[Unit],SIP[Investor ID],INVESTORS_LIST[[#This Row],[INVESTOR CODE]],SIP[B/S],"B")</f>
        <v>0</v>
      </c>
      <c r="M608" s="2">
        <f>-SUMIFS(SIP[Unit],SIP[Investor ID],INVESTORS_LIST[[#This Row],[INVESTOR CODE]],SIP[B/S],"S")</f>
        <v>0</v>
      </c>
      <c r="N608" s="33">
        <f>IF(INVESTORS_LIST[[#This Row],[SIP_TOTAL UNITS BUY]]=0,0,INVESTORS_LIST[[#This Row],[SIP_TOTAL UNITS BUY]]-INVESTORS_LIST[[#This Row],[SIP_TOTAL UNITS SOLD]])</f>
        <v>0</v>
      </c>
      <c r="O608" s="4">
        <f>IF(INVESTORS_LIST[[#This Row],[SIP_TOTAL UNITS BUY]]=0,0,SUMIFS(SIP[Amount],SIP[Investor ID],INVESTORS_LIST[[#This Row],[INVESTOR CODE]],SIP[B/S],"B"))</f>
        <v>0</v>
      </c>
      <c r="P608" s="4">
        <f>IF(INVESTORS_LIST[[#This Row],[SIP_TOTAL UNITS SOLD]]=0,0,SUMIFS(SIP[Cost of Units Sold],SIP[Investor ID],INVESTORS_LIST[[#This Row],[INVESTOR CODE]],SIP[B/S],"S"))</f>
        <v>0</v>
      </c>
      <c r="Q608" s="6">
        <f>IF(INVESTORS_LIST[[#This Row],[SIP_TOTAL CURRENT UNITS]]=0,0,INVESTORS_LIST[[#This Row],[SIP_TOTAL CURRENT UNITS]]*INVESTORS_LIST[[#This Row],[SIP_AVERAGE COST]])</f>
        <v>0</v>
      </c>
      <c r="R608" s="6">
        <f>IF(INVESTORS_LIST[[#This Row],[SIP_TOTAL UNITS SOLD]]=0,0,SUMIFS(SIP[Realized Gain],SIP[Investor ID],INVESTORS_LIST[[#This Row],[INVESTOR CODE]],SIP[B/S],"S"))</f>
        <v>0</v>
      </c>
      <c r="S608" s="33">
        <f>INVESTORS_LIST[[#This Row],[LS_TOTAL UNITS BUY]]+INVESTORS_LIST[[#This Row],[SIP_TOTAL UNITS BUY]]</f>
        <v>0</v>
      </c>
      <c r="T608" s="33">
        <f>INVESTORS_LIST[[#This Row],[LS_TOTAL UNITS SOLD]]+INVESTORS_LIST[[#This Row],[SIP_TOTAL UNITS SOLD]]</f>
        <v>0</v>
      </c>
      <c r="U608" s="33">
        <v>0</v>
      </c>
      <c r="V608" s="33">
        <f>SUMIFS(LS[BO UNIT TRANSFER],LS[Investor ID],INVESTORS_LIST[[#This Row],[INVESTOR CODE]],LS[B/S],"B")</f>
        <v>0</v>
      </c>
      <c r="W608" s="33">
        <f>SUMIFS(LS[BO UNIT TRANSFER],LS[Investor ID],INVESTORS_LIST[[#This Row],[INVESTOR CODE]],LS[B/S],"S")</f>
        <v>0</v>
      </c>
      <c r="X608" s="33">
        <f>SUMIFS(SIP[BO UNIT TRANSFER],SIP[Investor ID],INVESTORS_LIST[[#This Row],[INVESTOR CODE]],SIP[B/S],"S")</f>
        <v>0</v>
      </c>
      <c r="Y608" s="33">
        <f>SUMIFS(SIP[BO UNIT TRANSFER],SIP[Investor ID],INVESTORS_LIST[[#This Row],[INVESTOR CODE]],SIP[B/S],"B")</f>
        <v>0</v>
      </c>
      <c r="Z60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08" s="119">
        <f>INVESTORS_LIST[[#This Row],[TOTAL UNITS BUY]]-INVESTORS_LIST[[#This Row],[TOTAL UNITS SOLD]]</f>
        <v>0</v>
      </c>
      <c r="AB608" s="119">
        <f>INVESTORS_LIST[[#This Row],[TOTAL CURRENT UNITS]]-INVESTORS_LIST[[#This Row],[BO UNITS HOLD]]</f>
        <v>0</v>
      </c>
      <c r="AC608" s="119" t="e">
        <f>INDEX([4]!Table_1[BO ID],MATCH(INVESTORS_LIST[[#This Row],[INVESTOR CODE]],[4]!Table_1[INVESTOR CODE],0))</f>
        <v>#REF!</v>
      </c>
      <c r="AD608" s="33">
        <f>INVESTORS_LIST[[#This Row],[LS_TOTAL COST VALUE OF CURRENT UNITS]]+INVESTORS_LIST[[#This Row],[SIP_TOTAL COST VALUE OF CURRENT UNITS]]</f>
        <v>0</v>
      </c>
      <c r="AE608" s="44">
        <f>IF(INVESTORS_LIST[[#This Row],[TOTAL CURRENT UNITS]]=0,0,INVESTORS_LIST[[#This Row],[LS_TOTAL CURRENT UNITS]]/INVESTORS_LIST[[#This Row],[TOTAL CURRENT UNITS]])</f>
        <v>0</v>
      </c>
      <c r="AF608" s="44">
        <f>IF(INVESTORS_LIST[[#This Row],[TOTAL CURRENT UNITS]]=0,0,INVESTORS_LIST[[#This Row],[SIP_TOTAL CURRENT UNITS]]/INVESTORS_LIST[[#This Row],[TOTAL CURRENT UNITS]])</f>
        <v>0</v>
      </c>
      <c r="AG608" s="4" cm="1">
        <f t="array" ref="AG6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08" s="4" cm="1">
        <f t="array" ref="AH60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0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08" s="178">
        <f t="shared" si="15"/>
        <v>12.552</v>
      </c>
      <c r="AK608" s="118">
        <f>IF(INVESTORS_LIST[[#This Row],[TOTAL CURRENT UNITS]]=0,0,INVESTORS_LIST[[#This Row],[TOTAL CURRENT UNITS]]*INVESTORS_LIST[[#This Row],[NAV]])</f>
        <v>0</v>
      </c>
      <c r="AL608" s="4">
        <f>IF(INVESTORS_LIST[[#This Row],[LS_TOTAL CURRENT UNITS]]=0,0,INVESTORS_LIST[[#This Row],[LS_TOTAL CURRENT UNITS]]*INVESTORS_LIST[[#This Row],[NAV]])</f>
        <v>0</v>
      </c>
      <c r="AM608" s="6">
        <f>IF(INVESTORS_LIST[[#This Row],[SIP_TOTAL CURRENT UNITS]]=0,0,INVESTORS_LIST[[#This Row],[SIP_TOTAL CURRENT UNITS]]*INVESTORS_LIST[[#This Row],[NAV]])</f>
        <v>0</v>
      </c>
      <c r="AO608" s="6">
        <f>IF(INVESTORS_LIST[[#This Row],[TOTAL SELLABLE UNITS]]=0,0,INVESTORS_LIST[[#This Row],[TOTAL SELLABLE UNITS]]*INVESTORS_LIST[[#This Row],[NAV]])</f>
        <v>0</v>
      </c>
      <c r="AP608" s="6">
        <f>INVESTORS_LIST[[#This Row],[LS_TOTAL REALIZED GAIN]]+INVESTORS_LIST[[#This Row],[SIP_TOTAL REALIZED GAIN]]</f>
        <v>0</v>
      </c>
      <c r="AQ608" s="6">
        <f>INVESTORS_LIST[[#This Row],[TOTAL MARKET VALUE]]-INVESTORS_LIST[[#This Row],[TOTAL COST VALUE OF CURRENT INVESTMENT]]</f>
        <v>0</v>
      </c>
      <c r="AR608" s="6">
        <f>SUMIFS(DivAndTax[Tax Amount],DivAndTax[Investor ID],INVESTORS_LIST[[#This Row],[INVESTOR CODE]])</f>
        <v>0</v>
      </c>
      <c r="AS608" s="6">
        <f>SUMIFS(DivAndTax[Gross Dividend],DivAndTax[Investor ID],INVESTORS_LIST[[#This Row],[INVESTOR CODE]])</f>
        <v>0</v>
      </c>
      <c r="AT608" s="5">
        <f>IFERROR(INVESTORS_LIST[[#This Row],[TOTAL CURRENT UNITS]]/SUM(INVESTORS_LIST[TOTAL CURRENT UNITS]),0)</f>
        <v>0</v>
      </c>
    </row>
    <row r="609" spans="1:46" hidden="1">
      <c r="A609" t="s">
        <v>1405</v>
      </c>
      <c r="B609" t="s">
        <v>1406</v>
      </c>
      <c r="C609" t="s">
        <v>536</v>
      </c>
      <c r="D609" s="8" t="s">
        <v>2</v>
      </c>
      <c r="E609" s="2">
        <f>SUMIFS(LS[Unit],LS[Investor ID],INVESTORS_LIST[[#This Row],[INVESTOR CODE]],LS[B/S],"B")</f>
        <v>0</v>
      </c>
      <c r="F609" s="2">
        <f>-SUMIFS(LS[Unit],LS[Investor ID],INVESTORS_LIST[[#This Row],[INVESTOR CODE]],LS[B/S],"S")</f>
        <v>0</v>
      </c>
      <c r="G609" s="2">
        <f>IF(INVESTORS_LIST[[#This Row],[LS_TOTAL UNITS BUY]]=0,0,INVESTORS_LIST[[#This Row],[LS_TOTAL UNITS BUY]]-INVESTORS_LIST[[#This Row],[LS_TOTAL UNITS SOLD]])</f>
        <v>0</v>
      </c>
      <c r="H609" s="4">
        <f>IF(INVESTORS_LIST[[#This Row],[LS_TOTAL UNITS BUY]]=0,0,SUMIFS(LS[Amount],LS[Investor ID],INVESTORS_LIST[[#This Row],[INVESTOR CODE]],LS[B/S],"B"))</f>
        <v>0</v>
      </c>
      <c r="I609" s="6">
        <f>IF(INVESTORS_LIST[[#This Row],[LS_TOTAL UNITS SOLD]]=0,0,SUMIFS(LS[Cost of Units Sold],LS[Investor ID],INVESTORS_LIST[[#This Row],[INVESTOR CODE]],LS[B/S],"S"))</f>
        <v>0</v>
      </c>
      <c r="J609" s="6">
        <f>IF(INVESTORS_LIST[[#This Row],[LS_TOTAL CURRENT UNITS]]=0,0,INVESTORS_LIST[[#This Row],[LS_TOTAL CURRENT UNITS]]*INVESTORS_LIST[[#This Row],[LS_AVERAGE COST]])</f>
        <v>0</v>
      </c>
      <c r="K609" s="4">
        <f>IF(INVESTORS_LIST[[#This Row],[LS_TOTAL UNITS SOLD]]=0,0,SUMIFS(LS[Realized Gain],LS[Investor ID],INVESTORS_LIST[[#This Row],[INVESTOR CODE]],LS[B/S],"S"))</f>
        <v>0</v>
      </c>
      <c r="L609" s="2">
        <f>SUMIFS(SIP[Unit],SIP[Investor ID],INVESTORS_LIST[[#This Row],[INVESTOR CODE]],SIP[B/S],"B")</f>
        <v>0</v>
      </c>
      <c r="M609" s="2">
        <f>-SUMIFS(SIP[Unit],SIP[Investor ID],INVESTORS_LIST[[#This Row],[INVESTOR CODE]],SIP[B/S],"S")</f>
        <v>0</v>
      </c>
      <c r="N609" s="33">
        <f>IF(INVESTORS_LIST[[#This Row],[SIP_TOTAL UNITS BUY]]=0,0,INVESTORS_LIST[[#This Row],[SIP_TOTAL UNITS BUY]]-INVESTORS_LIST[[#This Row],[SIP_TOTAL UNITS SOLD]])</f>
        <v>0</v>
      </c>
      <c r="O609" s="4">
        <f>IF(INVESTORS_LIST[[#This Row],[SIP_TOTAL UNITS BUY]]=0,0,SUMIFS(SIP[Amount],SIP[Investor ID],INVESTORS_LIST[[#This Row],[INVESTOR CODE]],SIP[B/S],"B"))</f>
        <v>0</v>
      </c>
      <c r="P609" s="4">
        <f>IF(INVESTORS_LIST[[#This Row],[SIP_TOTAL UNITS SOLD]]=0,0,SUMIFS(SIP[Cost of Units Sold],SIP[Investor ID],INVESTORS_LIST[[#This Row],[INVESTOR CODE]],SIP[B/S],"S"))</f>
        <v>0</v>
      </c>
      <c r="Q609" s="6">
        <f>IF(INVESTORS_LIST[[#This Row],[SIP_TOTAL CURRENT UNITS]]=0,0,INVESTORS_LIST[[#This Row],[SIP_TOTAL CURRENT UNITS]]*INVESTORS_LIST[[#This Row],[SIP_AVERAGE COST]])</f>
        <v>0</v>
      </c>
      <c r="R609" s="6">
        <f>IF(INVESTORS_LIST[[#This Row],[SIP_TOTAL UNITS SOLD]]=0,0,SUMIFS(SIP[Realized Gain],SIP[Investor ID],INVESTORS_LIST[[#This Row],[INVESTOR CODE]],SIP[B/S],"S"))</f>
        <v>0</v>
      </c>
      <c r="S609" s="33">
        <f>INVESTORS_LIST[[#This Row],[LS_TOTAL UNITS BUY]]+INVESTORS_LIST[[#This Row],[SIP_TOTAL UNITS BUY]]</f>
        <v>0</v>
      </c>
      <c r="T609" s="33">
        <f>INVESTORS_LIST[[#This Row],[LS_TOTAL UNITS SOLD]]+INVESTORS_LIST[[#This Row],[SIP_TOTAL UNITS SOLD]]</f>
        <v>0</v>
      </c>
      <c r="U609" s="33">
        <v>0</v>
      </c>
      <c r="V609" s="33">
        <f>SUMIFS(LS[BO UNIT TRANSFER],LS[Investor ID],INVESTORS_LIST[[#This Row],[INVESTOR CODE]],LS[B/S],"B")</f>
        <v>0</v>
      </c>
      <c r="W609" s="33">
        <f>SUMIFS(LS[BO UNIT TRANSFER],LS[Investor ID],INVESTORS_LIST[[#This Row],[INVESTOR CODE]],LS[B/S],"S")</f>
        <v>0</v>
      </c>
      <c r="X609" s="33">
        <f>SUMIFS(SIP[BO UNIT TRANSFER],SIP[Investor ID],INVESTORS_LIST[[#This Row],[INVESTOR CODE]],SIP[B/S],"S")</f>
        <v>0</v>
      </c>
      <c r="Y609" s="33">
        <f>SUMIFS(SIP[BO UNIT TRANSFER],SIP[Investor ID],INVESTORS_LIST[[#This Row],[INVESTOR CODE]],SIP[B/S],"B")</f>
        <v>0</v>
      </c>
      <c r="Z60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09" s="119">
        <f>INVESTORS_LIST[[#This Row],[TOTAL UNITS BUY]]-INVESTORS_LIST[[#This Row],[TOTAL UNITS SOLD]]</f>
        <v>0</v>
      </c>
      <c r="AB609" s="119">
        <f>INVESTORS_LIST[[#This Row],[TOTAL CURRENT UNITS]]-INVESTORS_LIST[[#This Row],[BO UNITS HOLD]]</f>
        <v>0</v>
      </c>
      <c r="AC609" s="119" t="e">
        <f>INDEX([4]!Table_1[BO ID],MATCH(INVESTORS_LIST[[#This Row],[INVESTOR CODE]],[4]!Table_1[INVESTOR CODE],0))</f>
        <v>#REF!</v>
      </c>
      <c r="AD609" s="33">
        <f>INVESTORS_LIST[[#This Row],[LS_TOTAL COST VALUE OF CURRENT UNITS]]+INVESTORS_LIST[[#This Row],[SIP_TOTAL COST VALUE OF CURRENT UNITS]]</f>
        <v>0</v>
      </c>
      <c r="AE609" s="44">
        <f>IF(INVESTORS_LIST[[#This Row],[TOTAL CURRENT UNITS]]=0,0,INVESTORS_LIST[[#This Row],[LS_TOTAL CURRENT UNITS]]/INVESTORS_LIST[[#This Row],[TOTAL CURRENT UNITS]])</f>
        <v>0</v>
      </c>
      <c r="AF609" s="44">
        <f>IF(INVESTORS_LIST[[#This Row],[TOTAL CURRENT UNITS]]=0,0,INVESTORS_LIST[[#This Row],[SIP_TOTAL CURRENT UNITS]]/INVESTORS_LIST[[#This Row],[TOTAL CURRENT UNITS]])</f>
        <v>0</v>
      </c>
      <c r="AG609" s="4" cm="1">
        <f t="array" ref="AG60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09" s="4" cm="1">
        <f t="array" ref="AH60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0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09" s="178">
        <f t="shared" si="15"/>
        <v>12.552</v>
      </c>
      <c r="AK609" s="118">
        <f>IF(INVESTORS_LIST[[#This Row],[TOTAL CURRENT UNITS]]=0,0,INVESTORS_LIST[[#This Row],[TOTAL CURRENT UNITS]]*INVESTORS_LIST[[#This Row],[NAV]])</f>
        <v>0</v>
      </c>
      <c r="AL609" s="4">
        <f>IF(INVESTORS_LIST[[#This Row],[LS_TOTAL CURRENT UNITS]]=0,0,INVESTORS_LIST[[#This Row],[LS_TOTAL CURRENT UNITS]]*INVESTORS_LIST[[#This Row],[NAV]])</f>
        <v>0</v>
      </c>
      <c r="AM609" s="6">
        <f>IF(INVESTORS_LIST[[#This Row],[SIP_TOTAL CURRENT UNITS]]=0,0,INVESTORS_LIST[[#This Row],[SIP_TOTAL CURRENT UNITS]]*INVESTORS_LIST[[#This Row],[NAV]])</f>
        <v>0</v>
      </c>
      <c r="AO609" s="6">
        <f>IF(INVESTORS_LIST[[#This Row],[TOTAL SELLABLE UNITS]]=0,0,INVESTORS_LIST[[#This Row],[TOTAL SELLABLE UNITS]]*INVESTORS_LIST[[#This Row],[NAV]])</f>
        <v>0</v>
      </c>
      <c r="AP609" s="6">
        <f>INVESTORS_LIST[[#This Row],[LS_TOTAL REALIZED GAIN]]+INVESTORS_LIST[[#This Row],[SIP_TOTAL REALIZED GAIN]]</f>
        <v>0</v>
      </c>
      <c r="AQ609" s="6">
        <f>INVESTORS_LIST[[#This Row],[TOTAL MARKET VALUE]]-INVESTORS_LIST[[#This Row],[TOTAL COST VALUE OF CURRENT INVESTMENT]]</f>
        <v>0</v>
      </c>
      <c r="AR609" s="6">
        <f>SUMIFS(DivAndTax[Tax Amount],DivAndTax[Investor ID],INVESTORS_LIST[[#This Row],[INVESTOR CODE]])</f>
        <v>0</v>
      </c>
      <c r="AS609" s="6">
        <f>SUMIFS(DivAndTax[Gross Dividend],DivAndTax[Investor ID],INVESTORS_LIST[[#This Row],[INVESTOR CODE]])</f>
        <v>0</v>
      </c>
      <c r="AT609" s="5">
        <f>IFERROR(INVESTORS_LIST[[#This Row],[TOTAL CURRENT UNITS]]/SUM(INVESTORS_LIST[TOTAL CURRENT UNITS]),0)</f>
        <v>0</v>
      </c>
    </row>
    <row r="610" spans="1:46" hidden="1">
      <c r="A610" t="s">
        <v>1407</v>
      </c>
      <c r="B610" t="s">
        <v>1408</v>
      </c>
      <c r="C610" t="s">
        <v>536</v>
      </c>
      <c r="D610" s="8" t="s">
        <v>2</v>
      </c>
      <c r="E610" s="2">
        <f>SUMIFS(LS[Unit],LS[Investor ID],INVESTORS_LIST[[#This Row],[INVESTOR CODE]],LS[B/S],"B")</f>
        <v>0</v>
      </c>
      <c r="F610" s="2">
        <f>-SUMIFS(LS[Unit],LS[Investor ID],INVESTORS_LIST[[#This Row],[INVESTOR CODE]],LS[B/S],"S")</f>
        <v>0</v>
      </c>
      <c r="G610" s="2">
        <f>IF(INVESTORS_LIST[[#This Row],[LS_TOTAL UNITS BUY]]=0,0,INVESTORS_LIST[[#This Row],[LS_TOTAL UNITS BUY]]-INVESTORS_LIST[[#This Row],[LS_TOTAL UNITS SOLD]])</f>
        <v>0</v>
      </c>
      <c r="H610" s="4">
        <f>IF(INVESTORS_LIST[[#This Row],[LS_TOTAL UNITS BUY]]=0,0,SUMIFS(LS[Amount],LS[Investor ID],INVESTORS_LIST[[#This Row],[INVESTOR CODE]],LS[B/S],"B"))</f>
        <v>0</v>
      </c>
      <c r="I610" s="6">
        <f>IF(INVESTORS_LIST[[#This Row],[LS_TOTAL UNITS SOLD]]=0,0,SUMIFS(LS[Cost of Units Sold],LS[Investor ID],INVESTORS_LIST[[#This Row],[INVESTOR CODE]],LS[B/S],"S"))</f>
        <v>0</v>
      </c>
      <c r="J610" s="6">
        <f>IF(INVESTORS_LIST[[#This Row],[LS_TOTAL CURRENT UNITS]]=0,0,INVESTORS_LIST[[#This Row],[LS_TOTAL CURRENT UNITS]]*INVESTORS_LIST[[#This Row],[LS_AVERAGE COST]])</f>
        <v>0</v>
      </c>
      <c r="K610" s="4">
        <f>IF(INVESTORS_LIST[[#This Row],[LS_TOTAL UNITS SOLD]]=0,0,SUMIFS(LS[Realized Gain],LS[Investor ID],INVESTORS_LIST[[#This Row],[INVESTOR CODE]],LS[B/S],"S"))</f>
        <v>0</v>
      </c>
      <c r="L610" s="2">
        <f>SUMIFS(SIP[Unit],SIP[Investor ID],INVESTORS_LIST[[#This Row],[INVESTOR CODE]],SIP[B/S],"B")</f>
        <v>0</v>
      </c>
      <c r="M610" s="2">
        <f>-SUMIFS(SIP[Unit],SIP[Investor ID],INVESTORS_LIST[[#This Row],[INVESTOR CODE]],SIP[B/S],"S")</f>
        <v>0</v>
      </c>
      <c r="N610" s="33">
        <f>IF(INVESTORS_LIST[[#This Row],[SIP_TOTAL UNITS BUY]]=0,0,INVESTORS_LIST[[#This Row],[SIP_TOTAL UNITS BUY]]-INVESTORS_LIST[[#This Row],[SIP_TOTAL UNITS SOLD]])</f>
        <v>0</v>
      </c>
      <c r="O610" s="4">
        <f>IF(INVESTORS_LIST[[#This Row],[SIP_TOTAL UNITS BUY]]=0,0,SUMIFS(SIP[Amount],SIP[Investor ID],INVESTORS_LIST[[#This Row],[INVESTOR CODE]],SIP[B/S],"B"))</f>
        <v>0</v>
      </c>
      <c r="P610" s="4">
        <f>IF(INVESTORS_LIST[[#This Row],[SIP_TOTAL UNITS SOLD]]=0,0,SUMIFS(SIP[Cost of Units Sold],SIP[Investor ID],INVESTORS_LIST[[#This Row],[INVESTOR CODE]],SIP[B/S],"S"))</f>
        <v>0</v>
      </c>
      <c r="Q610" s="6">
        <f>IF(INVESTORS_LIST[[#This Row],[SIP_TOTAL CURRENT UNITS]]=0,0,INVESTORS_LIST[[#This Row],[SIP_TOTAL CURRENT UNITS]]*INVESTORS_LIST[[#This Row],[SIP_AVERAGE COST]])</f>
        <v>0</v>
      </c>
      <c r="R610" s="6">
        <f>IF(INVESTORS_LIST[[#This Row],[SIP_TOTAL UNITS SOLD]]=0,0,SUMIFS(SIP[Realized Gain],SIP[Investor ID],INVESTORS_LIST[[#This Row],[INVESTOR CODE]],SIP[B/S],"S"))</f>
        <v>0</v>
      </c>
      <c r="S610" s="33">
        <f>INVESTORS_LIST[[#This Row],[LS_TOTAL UNITS BUY]]+INVESTORS_LIST[[#This Row],[SIP_TOTAL UNITS BUY]]</f>
        <v>0</v>
      </c>
      <c r="T610" s="33">
        <f>INVESTORS_LIST[[#This Row],[LS_TOTAL UNITS SOLD]]+INVESTORS_LIST[[#This Row],[SIP_TOTAL UNITS SOLD]]</f>
        <v>0</v>
      </c>
      <c r="U610" s="33">
        <v>0</v>
      </c>
      <c r="V610" s="33">
        <f>SUMIFS(LS[BO UNIT TRANSFER],LS[Investor ID],INVESTORS_LIST[[#This Row],[INVESTOR CODE]],LS[B/S],"B")</f>
        <v>0</v>
      </c>
      <c r="W610" s="33">
        <f>SUMIFS(LS[BO UNIT TRANSFER],LS[Investor ID],INVESTORS_LIST[[#This Row],[INVESTOR CODE]],LS[B/S],"S")</f>
        <v>0</v>
      </c>
      <c r="X610" s="33">
        <f>SUMIFS(SIP[BO UNIT TRANSFER],SIP[Investor ID],INVESTORS_LIST[[#This Row],[INVESTOR CODE]],SIP[B/S],"S")</f>
        <v>0</v>
      </c>
      <c r="Y610" s="33">
        <f>SUMIFS(SIP[BO UNIT TRANSFER],SIP[Investor ID],INVESTORS_LIST[[#This Row],[INVESTOR CODE]],SIP[B/S],"B")</f>
        <v>0</v>
      </c>
      <c r="Z61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10" s="119">
        <f>INVESTORS_LIST[[#This Row],[TOTAL UNITS BUY]]-INVESTORS_LIST[[#This Row],[TOTAL UNITS SOLD]]</f>
        <v>0</v>
      </c>
      <c r="AB610" s="119">
        <f>INVESTORS_LIST[[#This Row],[TOTAL CURRENT UNITS]]-INVESTORS_LIST[[#This Row],[BO UNITS HOLD]]</f>
        <v>0</v>
      </c>
      <c r="AC610" s="119" t="e">
        <f>INDEX([4]!Table_1[BO ID],MATCH(INVESTORS_LIST[[#This Row],[INVESTOR CODE]],[4]!Table_1[INVESTOR CODE],0))</f>
        <v>#REF!</v>
      </c>
      <c r="AD610" s="33">
        <f>INVESTORS_LIST[[#This Row],[LS_TOTAL COST VALUE OF CURRENT UNITS]]+INVESTORS_LIST[[#This Row],[SIP_TOTAL COST VALUE OF CURRENT UNITS]]</f>
        <v>0</v>
      </c>
      <c r="AE610" s="44">
        <f>IF(INVESTORS_LIST[[#This Row],[TOTAL CURRENT UNITS]]=0,0,INVESTORS_LIST[[#This Row],[LS_TOTAL CURRENT UNITS]]/INVESTORS_LIST[[#This Row],[TOTAL CURRENT UNITS]])</f>
        <v>0</v>
      </c>
      <c r="AF610" s="44">
        <f>IF(INVESTORS_LIST[[#This Row],[TOTAL CURRENT UNITS]]=0,0,INVESTORS_LIST[[#This Row],[SIP_TOTAL CURRENT UNITS]]/INVESTORS_LIST[[#This Row],[TOTAL CURRENT UNITS]])</f>
        <v>0</v>
      </c>
      <c r="AG610" s="4" cm="1">
        <f t="array" ref="AG6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10" s="4" cm="1">
        <f t="array" ref="AH6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1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10" s="178">
        <f t="shared" si="15"/>
        <v>12.552</v>
      </c>
      <c r="AK610" s="118">
        <f>IF(INVESTORS_LIST[[#This Row],[TOTAL CURRENT UNITS]]=0,0,INVESTORS_LIST[[#This Row],[TOTAL CURRENT UNITS]]*INVESTORS_LIST[[#This Row],[NAV]])</f>
        <v>0</v>
      </c>
      <c r="AL610" s="4">
        <f>IF(INVESTORS_LIST[[#This Row],[LS_TOTAL CURRENT UNITS]]=0,0,INVESTORS_LIST[[#This Row],[LS_TOTAL CURRENT UNITS]]*INVESTORS_LIST[[#This Row],[NAV]])</f>
        <v>0</v>
      </c>
      <c r="AM610" s="6">
        <f>IF(INVESTORS_LIST[[#This Row],[SIP_TOTAL CURRENT UNITS]]=0,0,INVESTORS_LIST[[#This Row],[SIP_TOTAL CURRENT UNITS]]*INVESTORS_LIST[[#This Row],[NAV]])</f>
        <v>0</v>
      </c>
      <c r="AO610" s="6">
        <f>IF(INVESTORS_LIST[[#This Row],[TOTAL SELLABLE UNITS]]=0,0,INVESTORS_LIST[[#This Row],[TOTAL SELLABLE UNITS]]*INVESTORS_LIST[[#This Row],[NAV]])</f>
        <v>0</v>
      </c>
      <c r="AP610" s="6">
        <f>INVESTORS_LIST[[#This Row],[LS_TOTAL REALIZED GAIN]]+INVESTORS_LIST[[#This Row],[SIP_TOTAL REALIZED GAIN]]</f>
        <v>0</v>
      </c>
      <c r="AQ610" s="6">
        <f>INVESTORS_LIST[[#This Row],[TOTAL MARKET VALUE]]-INVESTORS_LIST[[#This Row],[TOTAL COST VALUE OF CURRENT INVESTMENT]]</f>
        <v>0</v>
      </c>
      <c r="AR610" s="6">
        <f>SUMIFS(DivAndTax[Tax Amount],DivAndTax[Investor ID],INVESTORS_LIST[[#This Row],[INVESTOR CODE]])</f>
        <v>0</v>
      </c>
      <c r="AS610" s="6">
        <f>SUMIFS(DivAndTax[Gross Dividend],DivAndTax[Investor ID],INVESTORS_LIST[[#This Row],[INVESTOR CODE]])</f>
        <v>0</v>
      </c>
      <c r="AT610" s="5">
        <f>IFERROR(INVESTORS_LIST[[#This Row],[TOTAL CURRENT UNITS]]/SUM(INVESTORS_LIST[TOTAL CURRENT UNITS]),0)</f>
        <v>0</v>
      </c>
    </row>
    <row r="611" spans="1:46" hidden="1">
      <c r="A611" t="s">
        <v>1409</v>
      </c>
      <c r="B611" t="s">
        <v>1410</v>
      </c>
      <c r="C611" t="s">
        <v>539</v>
      </c>
      <c r="D611" s="8" t="s">
        <v>2</v>
      </c>
      <c r="E611" s="2">
        <f>SUMIFS(LS[Unit],LS[Investor ID],INVESTORS_LIST[[#This Row],[INVESTOR CODE]],LS[B/S],"B")</f>
        <v>0</v>
      </c>
      <c r="F611" s="2">
        <f>-SUMIFS(LS[Unit],LS[Investor ID],INVESTORS_LIST[[#This Row],[INVESTOR CODE]],LS[B/S],"S")</f>
        <v>0</v>
      </c>
      <c r="G611" s="2">
        <f>IF(INVESTORS_LIST[[#This Row],[LS_TOTAL UNITS BUY]]=0,0,INVESTORS_LIST[[#This Row],[LS_TOTAL UNITS BUY]]-INVESTORS_LIST[[#This Row],[LS_TOTAL UNITS SOLD]])</f>
        <v>0</v>
      </c>
      <c r="H611" s="4">
        <f>IF(INVESTORS_LIST[[#This Row],[LS_TOTAL UNITS BUY]]=0,0,SUMIFS(LS[Amount],LS[Investor ID],INVESTORS_LIST[[#This Row],[INVESTOR CODE]],LS[B/S],"B"))</f>
        <v>0</v>
      </c>
      <c r="I611" s="6">
        <f>IF(INVESTORS_LIST[[#This Row],[LS_TOTAL UNITS SOLD]]=0,0,SUMIFS(LS[Cost of Units Sold],LS[Investor ID],INVESTORS_LIST[[#This Row],[INVESTOR CODE]],LS[B/S],"S"))</f>
        <v>0</v>
      </c>
      <c r="J611" s="6">
        <f>IF(INVESTORS_LIST[[#This Row],[LS_TOTAL CURRENT UNITS]]=0,0,INVESTORS_LIST[[#This Row],[LS_TOTAL CURRENT UNITS]]*INVESTORS_LIST[[#This Row],[LS_AVERAGE COST]])</f>
        <v>0</v>
      </c>
      <c r="K611" s="4">
        <f>IF(INVESTORS_LIST[[#This Row],[LS_TOTAL UNITS SOLD]]=0,0,SUMIFS(LS[Realized Gain],LS[Investor ID],INVESTORS_LIST[[#This Row],[INVESTOR CODE]],LS[B/S],"S"))</f>
        <v>0</v>
      </c>
      <c r="L611" s="2">
        <f>SUMIFS(SIP[Unit],SIP[Investor ID],INVESTORS_LIST[[#This Row],[INVESTOR CODE]],SIP[B/S],"B")</f>
        <v>0</v>
      </c>
      <c r="M611" s="2">
        <f>-SUMIFS(SIP[Unit],SIP[Investor ID],INVESTORS_LIST[[#This Row],[INVESTOR CODE]],SIP[B/S],"S")</f>
        <v>0</v>
      </c>
      <c r="N611" s="33">
        <f>IF(INVESTORS_LIST[[#This Row],[SIP_TOTAL UNITS BUY]]=0,0,INVESTORS_LIST[[#This Row],[SIP_TOTAL UNITS BUY]]-INVESTORS_LIST[[#This Row],[SIP_TOTAL UNITS SOLD]])</f>
        <v>0</v>
      </c>
      <c r="O611" s="4">
        <f>IF(INVESTORS_LIST[[#This Row],[SIP_TOTAL UNITS BUY]]=0,0,SUMIFS(SIP[Amount],SIP[Investor ID],INVESTORS_LIST[[#This Row],[INVESTOR CODE]],SIP[B/S],"B"))</f>
        <v>0</v>
      </c>
      <c r="P611" s="4">
        <f>IF(INVESTORS_LIST[[#This Row],[SIP_TOTAL UNITS SOLD]]=0,0,SUMIFS(SIP[Cost of Units Sold],SIP[Investor ID],INVESTORS_LIST[[#This Row],[INVESTOR CODE]],SIP[B/S],"S"))</f>
        <v>0</v>
      </c>
      <c r="Q611" s="6">
        <f>IF(INVESTORS_LIST[[#This Row],[SIP_TOTAL CURRENT UNITS]]=0,0,INVESTORS_LIST[[#This Row],[SIP_TOTAL CURRENT UNITS]]*INVESTORS_LIST[[#This Row],[SIP_AVERAGE COST]])</f>
        <v>0</v>
      </c>
      <c r="R611" s="6">
        <f>IF(INVESTORS_LIST[[#This Row],[SIP_TOTAL UNITS SOLD]]=0,0,SUMIFS(SIP[Realized Gain],SIP[Investor ID],INVESTORS_LIST[[#This Row],[INVESTOR CODE]],SIP[B/S],"S"))</f>
        <v>0</v>
      </c>
      <c r="S611" s="33">
        <f>INVESTORS_LIST[[#This Row],[LS_TOTAL UNITS BUY]]+INVESTORS_LIST[[#This Row],[SIP_TOTAL UNITS BUY]]</f>
        <v>0</v>
      </c>
      <c r="T611" s="33">
        <f>INVESTORS_LIST[[#This Row],[LS_TOTAL UNITS SOLD]]+INVESTORS_LIST[[#This Row],[SIP_TOTAL UNITS SOLD]]</f>
        <v>0</v>
      </c>
      <c r="U611" s="33">
        <v>0</v>
      </c>
      <c r="V611" s="33">
        <f>SUMIFS(LS[BO UNIT TRANSFER],LS[Investor ID],INVESTORS_LIST[[#This Row],[INVESTOR CODE]],LS[B/S],"B")</f>
        <v>0</v>
      </c>
      <c r="W611" s="33">
        <f>SUMIFS(LS[BO UNIT TRANSFER],LS[Investor ID],INVESTORS_LIST[[#This Row],[INVESTOR CODE]],LS[B/S],"S")</f>
        <v>0</v>
      </c>
      <c r="X611" s="33">
        <f>SUMIFS(SIP[BO UNIT TRANSFER],SIP[Investor ID],INVESTORS_LIST[[#This Row],[INVESTOR CODE]],SIP[B/S],"S")</f>
        <v>0</v>
      </c>
      <c r="Y611" s="33">
        <f>SUMIFS(SIP[BO UNIT TRANSFER],SIP[Investor ID],INVESTORS_LIST[[#This Row],[INVESTOR CODE]],SIP[B/S],"B")</f>
        <v>0</v>
      </c>
      <c r="Z61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11" s="119">
        <f>INVESTORS_LIST[[#This Row],[TOTAL UNITS BUY]]-INVESTORS_LIST[[#This Row],[TOTAL UNITS SOLD]]</f>
        <v>0</v>
      </c>
      <c r="AB611" s="119">
        <f>INVESTORS_LIST[[#This Row],[TOTAL CURRENT UNITS]]-INVESTORS_LIST[[#This Row],[BO UNITS HOLD]]</f>
        <v>0</v>
      </c>
      <c r="AC611" s="119" t="e">
        <f>INDEX([4]!Table_1[BO ID],MATCH(INVESTORS_LIST[[#This Row],[INVESTOR CODE]],[4]!Table_1[INVESTOR CODE],0))</f>
        <v>#REF!</v>
      </c>
      <c r="AD611" s="33">
        <f>INVESTORS_LIST[[#This Row],[LS_TOTAL COST VALUE OF CURRENT UNITS]]+INVESTORS_LIST[[#This Row],[SIP_TOTAL COST VALUE OF CURRENT UNITS]]</f>
        <v>0</v>
      </c>
      <c r="AE611" s="44">
        <f>IF(INVESTORS_LIST[[#This Row],[TOTAL CURRENT UNITS]]=0,0,INVESTORS_LIST[[#This Row],[LS_TOTAL CURRENT UNITS]]/INVESTORS_LIST[[#This Row],[TOTAL CURRENT UNITS]])</f>
        <v>0</v>
      </c>
      <c r="AF611" s="44">
        <f>IF(INVESTORS_LIST[[#This Row],[TOTAL CURRENT UNITS]]=0,0,INVESTORS_LIST[[#This Row],[SIP_TOTAL CURRENT UNITS]]/INVESTORS_LIST[[#This Row],[TOTAL CURRENT UNITS]])</f>
        <v>0</v>
      </c>
      <c r="AG611" s="4" cm="1">
        <f t="array" ref="AG61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11" s="4" cm="1">
        <f t="array" ref="AH6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1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11" s="178">
        <f t="shared" si="15"/>
        <v>12.552</v>
      </c>
      <c r="AK611" s="118">
        <f>IF(INVESTORS_LIST[[#This Row],[TOTAL CURRENT UNITS]]=0,0,INVESTORS_LIST[[#This Row],[TOTAL CURRENT UNITS]]*INVESTORS_LIST[[#This Row],[NAV]])</f>
        <v>0</v>
      </c>
      <c r="AL611" s="4">
        <f>IF(INVESTORS_LIST[[#This Row],[LS_TOTAL CURRENT UNITS]]=0,0,INVESTORS_LIST[[#This Row],[LS_TOTAL CURRENT UNITS]]*INVESTORS_LIST[[#This Row],[NAV]])</f>
        <v>0</v>
      </c>
      <c r="AM611" s="6">
        <f>IF(INVESTORS_LIST[[#This Row],[SIP_TOTAL CURRENT UNITS]]=0,0,INVESTORS_LIST[[#This Row],[SIP_TOTAL CURRENT UNITS]]*INVESTORS_LIST[[#This Row],[NAV]])</f>
        <v>0</v>
      </c>
      <c r="AO611" s="6">
        <f>IF(INVESTORS_LIST[[#This Row],[TOTAL SELLABLE UNITS]]=0,0,INVESTORS_LIST[[#This Row],[TOTAL SELLABLE UNITS]]*INVESTORS_LIST[[#This Row],[NAV]])</f>
        <v>0</v>
      </c>
      <c r="AP611" s="6">
        <f>INVESTORS_LIST[[#This Row],[LS_TOTAL REALIZED GAIN]]+INVESTORS_LIST[[#This Row],[SIP_TOTAL REALIZED GAIN]]</f>
        <v>0</v>
      </c>
      <c r="AQ611" s="6">
        <f>INVESTORS_LIST[[#This Row],[TOTAL MARKET VALUE]]-INVESTORS_LIST[[#This Row],[TOTAL COST VALUE OF CURRENT INVESTMENT]]</f>
        <v>0</v>
      </c>
      <c r="AR611" s="6">
        <f>SUMIFS(DivAndTax[Tax Amount],DivAndTax[Investor ID],INVESTORS_LIST[[#This Row],[INVESTOR CODE]])</f>
        <v>0</v>
      </c>
      <c r="AS611" s="6">
        <f>SUMIFS(DivAndTax[Gross Dividend],DivAndTax[Investor ID],INVESTORS_LIST[[#This Row],[INVESTOR CODE]])</f>
        <v>0</v>
      </c>
      <c r="AT611" s="5">
        <f>IFERROR(INVESTORS_LIST[[#This Row],[TOTAL CURRENT UNITS]]/SUM(INVESTORS_LIST[TOTAL CURRENT UNITS]),0)</f>
        <v>0</v>
      </c>
    </row>
    <row r="612" spans="1:46" hidden="1">
      <c r="A612" t="s">
        <v>1411</v>
      </c>
      <c r="B612" t="s">
        <v>1412</v>
      </c>
      <c r="C612" t="s">
        <v>536</v>
      </c>
      <c r="D612" s="8" t="s">
        <v>2</v>
      </c>
      <c r="E612" s="2">
        <f>SUMIFS(LS[Unit],LS[Investor ID],INVESTORS_LIST[[#This Row],[INVESTOR CODE]],LS[B/S],"B")</f>
        <v>0</v>
      </c>
      <c r="F612" s="2">
        <f>-SUMIFS(LS[Unit],LS[Investor ID],INVESTORS_LIST[[#This Row],[INVESTOR CODE]],LS[B/S],"S")</f>
        <v>0</v>
      </c>
      <c r="G612" s="2">
        <f>IF(INVESTORS_LIST[[#This Row],[LS_TOTAL UNITS BUY]]=0,0,INVESTORS_LIST[[#This Row],[LS_TOTAL UNITS BUY]]-INVESTORS_LIST[[#This Row],[LS_TOTAL UNITS SOLD]])</f>
        <v>0</v>
      </c>
      <c r="H612" s="4">
        <f>IF(INVESTORS_LIST[[#This Row],[LS_TOTAL UNITS BUY]]=0,0,SUMIFS(LS[Amount],LS[Investor ID],INVESTORS_LIST[[#This Row],[INVESTOR CODE]],LS[B/S],"B"))</f>
        <v>0</v>
      </c>
      <c r="I612" s="6">
        <f>IF(INVESTORS_LIST[[#This Row],[LS_TOTAL UNITS SOLD]]=0,0,SUMIFS(LS[Cost of Units Sold],LS[Investor ID],INVESTORS_LIST[[#This Row],[INVESTOR CODE]],LS[B/S],"S"))</f>
        <v>0</v>
      </c>
      <c r="J612" s="6">
        <f>IF(INVESTORS_LIST[[#This Row],[LS_TOTAL CURRENT UNITS]]=0,0,INVESTORS_LIST[[#This Row],[LS_TOTAL CURRENT UNITS]]*INVESTORS_LIST[[#This Row],[LS_AVERAGE COST]])</f>
        <v>0</v>
      </c>
      <c r="K612" s="4">
        <f>IF(INVESTORS_LIST[[#This Row],[LS_TOTAL UNITS SOLD]]=0,0,SUMIFS(LS[Realized Gain],LS[Investor ID],INVESTORS_LIST[[#This Row],[INVESTOR CODE]],LS[B/S],"S"))</f>
        <v>0</v>
      </c>
      <c r="L612" s="2">
        <f>SUMIFS(SIP[Unit],SIP[Investor ID],INVESTORS_LIST[[#This Row],[INVESTOR CODE]],SIP[B/S],"B")</f>
        <v>0</v>
      </c>
      <c r="M612" s="2">
        <f>-SUMIFS(SIP[Unit],SIP[Investor ID],INVESTORS_LIST[[#This Row],[INVESTOR CODE]],SIP[B/S],"S")</f>
        <v>0</v>
      </c>
      <c r="N612" s="33">
        <f>IF(INVESTORS_LIST[[#This Row],[SIP_TOTAL UNITS BUY]]=0,0,INVESTORS_LIST[[#This Row],[SIP_TOTAL UNITS BUY]]-INVESTORS_LIST[[#This Row],[SIP_TOTAL UNITS SOLD]])</f>
        <v>0</v>
      </c>
      <c r="O612" s="4">
        <f>IF(INVESTORS_LIST[[#This Row],[SIP_TOTAL UNITS BUY]]=0,0,SUMIFS(SIP[Amount],SIP[Investor ID],INVESTORS_LIST[[#This Row],[INVESTOR CODE]],SIP[B/S],"B"))</f>
        <v>0</v>
      </c>
      <c r="P612" s="4">
        <f>IF(INVESTORS_LIST[[#This Row],[SIP_TOTAL UNITS SOLD]]=0,0,SUMIFS(SIP[Cost of Units Sold],SIP[Investor ID],INVESTORS_LIST[[#This Row],[INVESTOR CODE]],SIP[B/S],"S"))</f>
        <v>0</v>
      </c>
      <c r="Q612" s="6">
        <f>IF(INVESTORS_LIST[[#This Row],[SIP_TOTAL CURRENT UNITS]]=0,0,INVESTORS_LIST[[#This Row],[SIP_TOTAL CURRENT UNITS]]*INVESTORS_LIST[[#This Row],[SIP_AVERAGE COST]])</f>
        <v>0</v>
      </c>
      <c r="R612" s="6">
        <f>IF(INVESTORS_LIST[[#This Row],[SIP_TOTAL UNITS SOLD]]=0,0,SUMIFS(SIP[Realized Gain],SIP[Investor ID],INVESTORS_LIST[[#This Row],[INVESTOR CODE]],SIP[B/S],"S"))</f>
        <v>0</v>
      </c>
      <c r="S612" s="33">
        <f>INVESTORS_LIST[[#This Row],[LS_TOTAL UNITS BUY]]+INVESTORS_LIST[[#This Row],[SIP_TOTAL UNITS BUY]]</f>
        <v>0</v>
      </c>
      <c r="T612" s="33">
        <f>INVESTORS_LIST[[#This Row],[LS_TOTAL UNITS SOLD]]+INVESTORS_LIST[[#This Row],[SIP_TOTAL UNITS SOLD]]</f>
        <v>0</v>
      </c>
      <c r="U612" s="33">
        <v>0</v>
      </c>
      <c r="V612" s="33">
        <f>SUMIFS(LS[BO UNIT TRANSFER],LS[Investor ID],INVESTORS_LIST[[#This Row],[INVESTOR CODE]],LS[B/S],"B")</f>
        <v>0</v>
      </c>
      <c r="W612" s="33">
        <f>SUMIFS(LS[BO UNIT TRANSFER],LS[Investor ID],INVESTORS_LIST[[#This Row],[INVESTOR CODE]],LS[B/S],"S")</f>
        <v>0</v>
      </c>
      <c r="X612" s="33">
        <f>SUMIFS(SIP[BO UNIT TRANSFER],SIP[Investor ID],INVESTORS_LIST[[#This Row],[INVESTOR CODE]],SIP[B/S],"S")</f>
        <v>0</v>
      </c>
      <c r="Y612" s="33">
        <f>SUMIFS(SIP[BO UNIT TRANSFER],SIP[Investor ID],INVESTORS_LIST[[#This Row],[INVESTOR CODE]],SIP[B/S],"B")</f>
        <v>0</v>
      </c>
      <c r="Z61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12" s="119">
        <f>INVESTORS_LIST[[#This Row],[TOTAL UNITS BUY]]-INVESTORS_LIST[[#This Row],[TOTAL UNITS SOLD]]</f>
        <v>0</v>
      </c>
      <c r="AB612" s="119">
        <f>INVESTORS_LIST[[#This Row],[TOTAL CURRENT UNITS]]-INVESTORS_LIST[[#This Row],[BO UNITS HOLD]]</f>
        <v>0</v>
      </c>
      <c r="AC612" s="119" t="e">
        <f>INDEX([4]!Table_1[BO ID],MATCH(INVESTORS_LIST[[#This Row],[INVESTOR CODE]],[4]!Table_1[INVESTOR CODE],0))</f>
        <v>#REF!</v>
      </c>
      <c r="AD612" s="33">
        <f>INVESTORS_LIST[[#This Row],[LS_TOTAL COST VALUE OF CURRENT UNITS]]+INVESTORS_LIST[[#This Row],[SIP_TOTAL COST VALUE OF CURRENT UNITS]]</f>
        <v>0</v>
      </c>
      <c r="AE612" s="44">
        <f>IF(INVESTORS_LIST[[#This Row],[TOTAL CURRENT UNITS]]=0,0,INVESTORS_LIST[[#This Row],[LS_TOTAL CURRENT UNITS]]/INVESTORS_LIST[[#This Row],[TOTAL CURRENT UNITS]])</f>
        <v>0</v>
      </c>
      <c r="AF612" s="44">
        <f>IF(INVESTORS_LIST[[#This Row],[TOTAL CURRENT UNITS]]=0,0,INVESTORS_LIST[[#This Row],[SIP_TOTAL CURRENT UNITS]]/INVESTORS_LIST[[#This Row],[TOTAL CURRENT UNITS]])</f>
        <v>0</v>
      </c>
      <c r="AG612" s="4" cm="1">
        <f t="array" ref="AG6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12" s="4" cm="1">
        <f t="array" ref="AH61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1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12" s="178">
        <f t="shared" si="15"/>
        <v>12.552</v>
      </c>
      <c r="AK612" s="118">
        <f>IF(INVESTORS_LIST[[#This Row],[TOTAL CURRENT UNITS]]=0,0,INVESTORS_LIST[[#This Row],[TOTAL CURRENT UNITS]]*INVESTORS_LIST[[#This Row],[NAV]])</f>
        <v>0</v>
      </c>
      <c r="AL612" s="4">
        <f>IF(INVESTORS_LIST[[#This Row],[LS_TOTAL CURRENT UNITS]]=0,0,INVESTORS_LIST[[#This Row],[LS_TOTAL CURRENT UNITS]]*INVESTORS_LIST[[#This Row],[NAV]])</f>
        <v>0</v>
      </c>
      <c r="AM612" s="6">
        <f>IF(INVESTORS_LIST[[#This Row],[SIP_TOTAL CURRENT UNITS]]=0,0,INVESTORS_LIST[[#This Row],[SIP_TOTAL CURRENT UNITS]]*INVESTORS_LIST[[#This Row],[NAV]])</f>
        <v>0</v>
      </c>
      <c r="AO612" s="6">
        <f>IF(INVESTORS_LIST[[#This Row],[TOTAL SELLABLE UNITS]]=0,0,INVESTORS_LIST[[#This Row],[TOTAL SELLABLE UNITS]]*INVESTORS_LIST[[#This Row],[NAV]])</f>
        <v>0</v>
      </c>
      <c r="AP612" s="6">
        <f>INVESTORS_LIST[[#This Row],[LS_TOTAL REALIZED GAIN]]+INVESTORS_LIST[[#This Row],[SIP_TOTAL REALIZED GAIN]]</f>
        <v>0</v>
      </c>
      <c r="AQ612" s="6">
        <f>INVESTORS_LIST[[#This Row],[TOTAL MARKET VALUE]]-INVESTORS_LIST[[#This Row],[TOTAL COST VALUE OF CURRENT INVESTMENT]]</f>
        <v>0</v>
      </c>
      <c r="AR612" s="6">
        <f>SUMIFS(DivAndTax[Tax Amount],DivAndTax[Investor ID],INVESTORS_LIST[[#This Row],[INVESTOR CODE]])</f>
        <v>0</v>
      </c>
      <c r="AS612" s="6">
        <f>SUMIFS(DivAndTax[Gross Dividend],DivAndTax[Investor ID],INVESTORS_LIST[[#This Row],[INVESTOR CODE]])</f>
        <v>0</v>
      </c>
      <c r="AT612" s="5">
        <f>IFERROR(INVESTORS_LIST[[#This Row],[TOTAL CURRENT UNITS]]/SUM(INVESTORS_LIST[TOTAL CURRENT UNITS]),0)</f>
        <v>0</v>
      </c>
    </row>
    <row r="613" spans="1:46" hidden="1">
      <c r="A613" t="s">
        <v>1413</v>
      </c>
      <c r="B613" t="s">
        <v>1414</v>
      </c>
      <c r="C613" t="s">
        <v>536</v>
      </c>
      <c r="D613" s="8" t="s">
        <v>2</v>
      </c>
      <c r="E613" s="2">
        <f>SUMIFS(LS[Unit],LS[Investor ID],INVESTORS_LIST[[#This Row],[INVESTOR CODE]],LS[B/S],"B")</f>
        <v>0</v>
      </c>
      <c r="F613" s="2">
        <f>-SUMIFS(LS[Unit],LS[Investor ID],INVESTORS_LIST[[#This Row],[INVESTOR CODE]],LS[B/S],"S")</f>
        <v>0</v>
      </c>
      <c r="G613" s="2">
        <f>IF(INVESTORS_LIST[[#This Row],[LS_TOTAL UNITS BUY]]=0,0,INVESTORS_LIST[[#This Row],[LS_TOTAL UNITS BUY]]-INVESTORS_LIST[[#This Row],[LS_TOTAL UNITS SOLD]])</f>
        <v>0</v>
      </c>
      <c r="H613" s="4">
        <f>IF(INVESTORS_LIST[[#This Row],[LS_TOTAL UNITS BUY]]=0,0,SUMIFS(LS[Amount],LS[Investor ID],INVESTORS_LIST[[#This Row],[INVESTOR CODE]],LS[B/S],"B"))</f>
        <v>0</v>
      </c>
      <c r="I613" s="6">
        <f>IF(INVESTORS_LIST[[#This Row],[LS_TOTAL UNITS SOLD]]=0,0,SUMIFS(LS[Cost of Units Sold],LS[Investor ID],INVESTORS_LIST[[#This Row],[INVESTOR CODE]],LS[B/S],"S"))</f>
        <v>0</v>
      </c>
      <c r="J613" s="6">
        <f>IF(INVESTORS_LIST[[#This Row],[LS_TOTAL CURRENT UNITS]]=0,0,INVESTORS_LIST[[#This Row],[LS_TOTAL CURRENT UNITS]]*INVESTORS_LIST[[#This Row],[LS_AVERAGE COST]])</f>
        <v>0</v>
      </c>
      <c r="K613" s="4">
        <f>IF(INVESTORS_LIST[[#This Row],[LS_TOTAL UNITS SOLD]]=0,0,SUMIFS(LS[Realized Gain],LS[Investor ID],INVESTORS_LIST[[#This Row],[INVESTOR CODE]],LS[B/S],"S"))</f>
        <v>0</v>
      </c>
      <c r="L613" s="2">
        <f>SUMIFS(SIP[Unit],SIP[Investor ID],INVESTORS_LIST[[#This Row],[INVESTOR CODE]],SIP[B/S],"B")</f>
        <v>0</v>
      </c>
      <c r="M613" s="2">
        <f>-SUMIFS(SIP[Unit],SIP[Investor ID],INVESTORS_LIST[[#This Row],[INVESTOR CODE]],SIP[B/S],"S")</f>
        <v>0</v>
      </c>
      <c r="N613" s="33">
        <f>IF(INVESTORS_LIST[[#This Row],[SIP_TOTAL UNITS BUY]]=0,0,INVESTORS_LIST[[#This Row],[SIP_TOTAL UNITS BUY]]-INVESTORS_LIST[[#This Row],[SIP_TOTAL UNITS SOLD]])</f>
        <v>0</v>
      </c>
      <c r="O613" s="4">
        <f>IF(INVESTORS_LIST[[#This Row],[SIP_TOTAL UNITS BUY]]=0,0,SUMIFS(SIP[Amount],SIP[Investor ID],INVESTORS_LIST[[#This Row],[INVESTOR CODE]],SIP[B/S],"B"))</f>
        <v>0</v>
      </c>
      <c r="P613" s="4">
        <f>IF(INVESTORS_LIST[[#This Row],[SIP_TOTAL UNITS SOLD]]=0,0,SUMIFS(SIP[Cost of Units Sold],SIP[Investor ID],INVESTORS_LIST[[#This Row],[INVESTOR CODE]],SIP[B/S],"S"))</f>
        <v>0</v>
      </c>
      <c r="Q613" s="6">
        <f>IF(INVESTORS_LIST[[#This Row],[SIP_TOTAL CURRENT UNITS]]=0,0,INVESTORS_LIST[[#This Row],[SIP_TOTAL CURRENT UNITS]]*INVESTORS_LIST[[#This Row],[SIP_AVERAGE COST]])</f>
        <v>0</v>
      </c>
      <c r="R613" s="6">
        <f>IF(INVESTORS_LIST[[#This Row],[SIP_TOTAL UNITS SOLD]]=0,0,SUMIFS(SIP[Realized Gain],SIP[Investor ID],INVESTORS_LIST[[#This Row],[INVESTOR CODE]],SIP[B/S],"S"))</f>
        <v>0</v>
      </c>
      <c r="S613" s="33">
        <f>INVESTORS_LIST[[#This Row],[LS_TOTAL UNITS BUY]]+INVESTORS_LIST[[#This Row],[SIP_TOTAL UNITS BUY]]</f>
        <v>0</v>
      </c>
      <c r="T613" s="33">
        <f>INVESTORS_LIST[[#This Row],[LS_TOTAL UNITS SOLD]]+INVESTORS_LIST[[#This Row],[SIP_TOTAL UNITS SOLD]]</f>
        <v>0</v>
      </c>
      <c r="U613" s="33">
        <v>0</v>
      </c>
      <c r="V613" s="33">
        <f>SUMIFS(LS[BO UNIT TRANSFER],LS[Investor ID],INVESTORS_LIST[[#This Row],[INVESTOR CODE]],LS[B/S],"B")</f>
        <v>0</v>
      </c>
      <c r="W613" s="33">
        <f>SUMIFS(LS[BO UNIT TRANSFER],LS[Investor ID],INVESTORS_LIST[[#This Row],[INVESTOR CODE]],LS[B/S],"S")</f>
        <v>0</v>
      </c>
      <c r="X613" s="33">
        <f>SUMIFS(SIP[BO UNIT TRANSFER],SIP[Investor ID],INVESTORS_LIST[[#This Row],[INVESTOR CODE]],SIP[B/S],"S")</f>
        <v>0</v>
      </c>
      <c r="Y613" s="33">
        <f>SUMIFS(SIP[BO UNIT TRANSFER],SIP[Investor ID],INVESTORS_LIST[[#This Row],[INVESTOR CODE]],SIP[B/S],"B")</f>
        <v>0</v>
      </c>
      <c r="Z61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13" s="119">
        <f>INVESTORS_LIST[[#This Row],[TOTAL UNITS BUY]]-INVESTORS_LIST[[#This Row],[TOTAL UNITS SOLD]]</f>
        <v>0</v>
      </c>
      <c r="AB613" s="119">
        <f>INVESTORS_LIST[[#This Row],[TOTAL CURRENT UNITS]]-INVESTORS_LIST[[#This Row],[BO UNITS HOLD]]</f>
        <v>0</v>
      </c>
      <c r="AC613" s="119" t="e">
        <f>INDEX([4]!Table_1[BO ID],MATCH(INVESTORS_LIST[[#This Row],[INVESTOR CODE]],[4]!Table_1[INVESTOR CODE],0))</f>
        <v>#REF!</v>
      </c>
      <c r="AD613" s="33">
        <f>INVESTORS_LIST[[#This Row],[LS_TOTAL COST VALUE OF CURRENT UNITS]]+INVESTORS_LIST[[#This Row],[SIP_TOTAL COST VALUE OF CURRENT UNITS]]</f>
        <v>0</v>
      </c>
      <c r="AE613" s="44">
        <f>IF(INVESTORS_LIST[[#This Row],[TOTAL CURRENT UNITS]]=0,0,INVESTORS_LIST[[#This Row],[LS_TOTAL CURRENT UNITS]]/INVESTORS_LIST[[#This Row],[TOTAL CURRENT UNITS]])</f>
        <v>0</v>
      </c>
      <c r="AF613" s="44">
        <f>IF(INVESTORS_LIST[[#This Row],[TOTAL CURRENT UNITS]]=0,0,INVESTORS_LIST[[#This Row],[SIP_TOTAL CURRENT UNITS]]/INVESTORS_LIST[[#This Row],[TOTAL CURRENT UNITS]])</f>
        <v>0</v>
      </c>
      <c r="AG613" s="4" cm="1">
        <f t="array" ref="AG61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13" s="4" cm="1">
        <f t="array" ref="AH6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1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13" s="178">
        <f t="shared" si="15"/>
        <v>12.552</v>
      </c>
      <c r="AK613" s="118">
        <f>IF(INVESTORS_LIST[[#This Row],[TOTAL CURRENT UNITS]]=0,0,INVESTORS_LIST[[#This Row],[TOTAL CURRENT UNITS]]*INVESTORS_LIST[[#This Row],[NAV]])</f>
        <v>0</v>
      </c>
      <c r="AL613" s="4">
        <f>IF(INVESTORS_LIST[[#This Row],[LS_TOTAL CURRENT UNITS]]=0,0,INVESTORS_LIST[[#This Row],[LS_TOTAL CURRENT UNITS]]*INVESTORS_LIST[[#This Row],[NAV]])</f>
        <v>0</v>
      </c>
      <c r="AM613" s="6">
        <f>IF(INVESTORS_LIST[[#This Row],[SIP_TOTAL CURRENT UNITS]]=0,0,INVESTORS_LIST[[#This Row],[SIP_TOTAL CURRENT UNITS]]*INVESTORS_LIST[[#This Row],[NAV]])</f>
        <v>0</v>
      </c>
      <c r="AO613" s="6">
        <f>IF(INVESTORS_LIST[[#This Row],[TOTAL SELLABLE UNITS]]=0,0,INVESTORS_LIST[[#This Row],[TOTAL SELLABLE UNITS]]*INVESTORS_LIST[[#This Row],[NAV]])</f>
        <v>0</v>
      </c>
      <c r="AP613" s="6">
        <f>INVESTORS_LIST[[#This Row],[LS_TOTAL REALIZED GAIN]]+INVESTORS_LIST[[#This Row],[SIP_TOTAL REALIZED GAIN]]</f>
        <v>0</v>
      </c>
      <c r="AQ613" s="6">
        <f>INVESTORS_LIST[[#This Row],[TOTAL MARKET VALUE]]-INVESTORS_LIST[[#This Row],[TOTAL COST VALUE OF CURRENT INVESTMENT]]</f>
        <v>0</v>
      </c>
      <c r="AR613" s="6">
        <f>SUMIFS(DivAndTax[Tax Amount],DivAndTax[Investor ID],INVESTORS_LIST[[#This Row],[INVESTOR CODE]])</f>
        <v>0</v>
      </c>
      <c r="AS613" s="6">
        <f>SUMIFS(DivAndTax[Gross Dividend],DivAndTax[Investor ID],INVESTORS_LIST[[#This Row],[INVESTOR CODE]])</f>
        <v>0</v>
      </c>
      <c r="AT613" s="5">
        <f>IFERROR(INVESTORS_LIST[[#This Row],[TOTAL CURRENT UNITS]]/SUM(INVESTORS_LIST[TOTAL CURRENT UNITS]),0)</f>
        <v>0</v>
      </c>
    </row>
    <row r="614" spans="1:46" hidden="1">
      <c r="A614" t="s">
        <v>1415</v>
      </c>
      <c r="B614" t="s">
        <v>1416</v>
      </c>
      <c r="C614" t="s">
        <v>539</v>
      </c>
      <c r="D614" s="8" t="s">
        <v>2</v>
      </c>
      <c r="E614" s="2">
        <f>SUMIFS(LS[Unit],LS[Investor ID],INVESTORS_LIST[[#This Row],[INVESTOR CODE]],LS[B/S],"B")</f>
        <v>0</v>
      </c>
      <c r="F614" s="2">
        <f>-SUMIFS(LS[Unit],LS[Investor ID],INVESTORS_LIST[[#This Row],[INVESTOR CODE]],LS[B/S],"S")</f>
        <v>0</v>
      </c>
      <c r="G614" s="2">
        <f>IF(INVESTORS_LIST[[#This Row],[LS_TOTAL UNITS BUY]]=0,0,INVESTORS_LIST[[#This Row],[LS_TOTAL UNITS BUY]]-INVESTORS_LIST[[#This Row],[LS_TOTAL UNITS SOLD]])</f>
        <v>0</v>
      </c>
      <c r="H614" s="4">
        <f>IF(INVESTORS_LIST[[#This Row],[LS_TOTAL UNITS BUY]]=0,0,SUMIFS(LS[Amount],LS[Investor ID],INVESTORS_LIST[[#This Row],[INVESTOR CODE]],LS[B/S],"B"))</f>
        <v>0</v>
      </c>
      <c r="I614" s="6">
        <f>IF(INVESTORS_LIST[[#This Row],[LS_TOTAL UNITS SOLD]]=0,0,SUMIFS(LS[Cost of Units Sold],LS[Investor ID],INVESTORS_LIST[[#This Row],[INVESTOR CODE]],LS[B/S],"S"))</f>
        <v>0</v>
      </c>
      <c r="J614" s="6">
        <f>IF(INVESTORS_LIST[[#This Row],[LS_TOTAL CURRENT UNITS]]=0,0,INVESTORS_LIST[[#This Row],[LS_TOTAL CURRENT UNITS]]*INVESTORS_LIST[[#This Row],[LS_AVERAGE COST]])</f>
        <v>0</v>
      </c>
      <c r="K614" s="4">
        <f>IF(INVESTORS_LIST[[#This Row],[LS_TOTAL UNITS SOLD]]=0,0,SUMIFS(LS[Realized Gain],LS[Investor ID],INVESTORS_LIST[[#This Row],[INVESTOR CODE]],LS[B/S],"S"))</f>
        <v>0</v>
      </c>
      <c r="L614" s="2">
        <f>SUMIFS(SIP[Unit],SIP[Investor ID],INVESTORS_LIST[[#This Row],[INVESTOR CODE]],SIP[B/S],"B")</f>
        <v>0</v>
      </c>
      <c r="M614" s="2">
        <f>-SUMIFS(SIP[Unit],SIP[Investor ID],INVESTORS_LIST[[#This Row],[INVESTOR CODE]],SIP[B/S],"S")</f>
        <v>0</v>
      </c>
      <c r="N614" s="33">
        <f>IF(INVESTORS_LIST[[#This Row],[SIP_TOTAL UNITS BUY]]=0,0,INVESTORS_LIST[[#This Row],[SIP_TOTAL UNITS BUY]]-INVESTORS_LIST[[#This Row],[SIP_TOTAL UNITS SOLD]])</f>
        <v>0</v>
      </c>
      <c r="O614" s="4">
        <f>IF(INVESTORS_LIST[[#This Row],[SIP_TOTAL UNITS BUY]]=0,0,SUMIFS(SIP[Amount],SIP[Investor ID],INVESTORS_LIST[[#This Row],[INVESTOR CODE]],SIP[B/S],"B"))</f>
        <v>0</v>
      </c>
      <c r="P614" s="4">
        <f>IF(INVESTORS_LIST[[#This Row],[SIP_TOTAL UNITS SOLD]]=0,0,SUMIFS(SIP[Cost of Units Sold],SIP[Investor ID],INVESTORS_LIST[[#This Row],[INVESTOR CODE]],SIP[B/S],"S"))</f>
        <v>0</v>
      </c>
      <c r="Q614" s="6">
        <f>IF(INVESTORS_LIST[[#This Row],[SIP_TOTAL CURRENT UNITS]]=0,0,INVESTORS_LIST[[#This Row],[SIP_TOTAL CURRENT UNITS]]*INVESTORS_LIST[[#This Row],[SIP_AVERAGE COST]])</f>
        <v>0</v>
      </c>
      <c r="R614" s="6">
        <f>IF(INVESTORS_LIST[[#This Row],[SIP_TOTAL UNITS SOLD]]=0,0,SUMIFS(SIP[Realized Gain],SIP[Investor ID],INVESTORS_LIST[[#This Row],[INVESTOR CODE]],SIP[B/S],"S"))</f>
        <v>0</v>
      </c>
      <c r="S614" s="33">
        <f>INVESTORS_LIST[[#This Row],[LS_TOTAL UNITS BUY]]+INVESTORS_LIST[[#This Row],[SIP_TOTAL UNITS BUY]]</f>
        <v>0</v>
      </c>
      <c r="T614" s="33">
        <f>INVESTORS_LIST[[#This Row],[LS_TOTAL UNITS SOLD]]+INVESTORS_LIST[[#This Row],[SIP_TOTAL UNITS SOLD]]</f>
        <v>0</v>
      </c>
      <c r="U614" s="33">
        <v>0</v>
      </c>
      <c r="V614" s="33">
        <f>SUMIFS(LS[BO UNIT TRANSFER],LS[Investor ID],INVESTORS_LIST[[#This Row],[INVESTOR CODE]],LS[B/S],"B")</f>
        <v>0</v>
      </c>
      <c r="W614" s="33">
        <f>SUMIFS(LS[BO UNIT TRANSFER],LS[Investor ID],INVESTORS_LIST[[#This Row],[INVESTOR CODE]],LS[B/S],"S")</f>
        <v>0</v>
      </c>
      <c r="X614" s="33">
        <f>SUMIFS(SIP[BO UNIT TRANSFER],SIP[Investor ID],INVESTORS_LIST[[#This Row],[INVESTOR CODE]],SIP[B/S],"S")</f>
        <v>0</v>
      </c>
      <c r="Y614" s="33">
        <f>SUMIFS(SIP[BO UNIT TRANSFER],SIP[Investor ID],INVESTORS_LIST[[#This Row],[INVESTOR CODE]],SIP[B/S],"B")</f>
        <v>0</v>
      </c>
      <c r="Z61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14" s="119">
        <f>INVESTORS_LIST[[#This Row],[TOTAL UNITS BUY]]-INVESTORS_LIST[[#This Row],[TOTAL UNITS SOLD]]</f>
        <v>0</v>
      </c>
      <c r="AB614" s="119">
        <f>INVESTORS_LIST[[#This Row],[TOTAL CURRENT UNITS]]-INVESTORS_LIST[[#This Row],[BO UNITS HOLD]]</f>
        <v>0</v>
      </c>
      <c r="AC614" s="119" t="e">
        <f>INDEX([4]!Table_1[BO ID],MATCH(INVESTORS_LIST[[#This Row],[INVESTOR CODE]],[4]!Table_1[INVESTOR CODE],0))</f>
        <v>#REF!</v>
      </c>
      <c r="AD614" s="33">
        <f>INVESTORS_LIST[[#This Row],[LS_TOTAL COST VALUE OF CURRENT UNITS]]+INVESTORS_LIST[[#This Row],[SIP_TOTAL COST VALUE OF CURRENT UNITS]]</f>
        <v>0</v>
      </c>
      <c r="AE614" s="44">
        <f>IF(INVESTORS_LIST[[#This Row],[TOTAL CURRENT UNITS]]=0,0,INVESTORS_LIST[[#This Row],[LS_TOTAL CURRENT UNITS]]/INVESTORS_LIST[[#This Row],[TOTAL CURRENT UNITS]])</f>
        <v>0</v>
      </c>
      <c r="AF614" s="44">
        <f>IF(INVESTORS_LIST[[#This Row],[TOTAL CURRENT UNITS]]=0,0,INVESTORS_LIST[[#This Row],[SIP_TOTAL CURRENT UNITS]]/INVESTORS_LIST[[#This Row],[TOTAL CURRENT UNITS]])</f>
        <v>0</v>
      </c>
      <c r="AG614" s="4" cm="1">
        <f t="array" ref="AG6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14" s="4" cm="1">
        <f t="array" ref="AH6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1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14" s="178">
        <f t="shared" si="15"/>
        <v>12.552</v>
      </c>
      <c r="AK614" s="118">
        <f>IF(INVESTORS_LIST[[#This Row],[TOTAL CURRENT UNITS]]=0,0,INVESTORS_LIST[[#This Row],[TOTAL CURRENT UNITS]]*INVESTORS_LIST[[#This Row],[NAV]])</f>
        <v>0</v>
      </c>
      <c r="AL614" s="4">
        <f>IF(INVESTORS_LIST[[#This Row],[LS_TOTAL CURRENT UNITS]]=0,0,INVESTORS_LIST[[#This Row],[LS_TOTAL CURRENT UNITS]]*INVESTORS_LIST[[#This Row],[NAV]])</f>
        <v>0</v>
      </c>
      <c r="AM614" s="6">
        <f>IF(INVESTORS_LIST[[#This Row],[SIP_TOTAL CURRENT UNITS]]=0,0,INVESTORS_LIST[[#This Row],[SIP_TOTAL CURRENT UNITS]]*INVESTORS_LIST[[#This Row],[NAV]])</f>
        <v>0</v>
      </c>
      <c r="AO614" s="6">
        <f>IF(INVESTORS_LIST[[#This Row],[TOTAL SELLABLE UNITS]]=0,0,INVESTORS_LIST[[#This Row],[TOTAL SELLABLE UNITS]]*INVESTORS_LIST[[#This Row],[NAV]])</f>
        <v>0</v>
      </c>
      <c r="AP614" s="6">
        <f>INVESTORS_LIST[[#This Row],[LS_TOTAL REALIZED GAIN]]+INVESTORS_LIST[[#This Row],[SIP_TOTAL REALIZED GAIN]]</f>
        <v>0</v>
      </c>
      <c r="AQ614" s="6">
        <f>INVESTORS_LIST[[#This Row],[TOTAL MARKET VALUE]]-INVESTORS_LIST[[#This Row],[TOTAL COST VALUE OF CURRENT INVESTMENT]]</f>
        <v>0</v>
      </c>
      <c r="AR614" s="6">
        <f>SUMIFS(DivAndTax[Tax Amount],DivAndTax[Investor ID],INVESTORS_LIST[[#This Row],[INVESTOR CODE]])</f>
        <v>0</v>
      </c>
      <c r="AS614" s="6">
        <f>SUMIFS(DivAndTax[Gross Dividend],DivAndTax[Investor ID],INVESTORS_LIST[[#This Row],[INVESTOR CODE]])</f>
        <v>0</v>
      </c>
      <c r="AT614" s="5">
        <f>IFERROR(INVESTORS_LIST[[#This Row],[TOTAL CURRENT UNITS]]/SUM(INVESTORS_LIST[TOTAL CURRENT UNITS]),0)</f>
        <v>0</v>
      </c>
    </row>
    <row r="615" spans="1:46" hidden="1">
      <c r="A615" t="s">
        <v>1417</v>
      </c>
      <c r="B615" t="s">
        <v>1418</v>
      </c>
      <c r="C615" t="s">
        <v>536</v>
      </c>
      <c r="D615" s="8" t="s">
        <v>2</v>
      </c>
      <c r="E615" s="2">
        <f>SUMIFS(LS[Unit],LS[Investor ID],INVESTORS_LIST[[#This Row],[INVESTOR CODE]],LS[B/S],"B")</f>
        <v>0</v>
      </c>
      <c r="F615" s="2">
        <f>-SUMIFS(LS[Unit],LS[Investor ID],INVESTORS_LIST[[#This Row],[INVESTOR CODE]],LS[B/S],"S")</f>
        <v>0</v>
      </c>
      <c r="G615" s="2">
        <f>IF(INVESTORS_LIST[[#This Row],[LS_TOTAL UNITS BUY]]=0,0,INVESTORS_LIST[[#This Row],[LS_TOTAL UNITS BUY]]-INVESTORS_LIST[[#This Row],[LS_TOTAL UNITS SOLD]])</f>
        <v>0</v>
      </c>
      <c r="H615" s="4">
        <f>IF(INVESTORS_LIST[[#This Row],[LS_TOTAL UNITS BUY]]=0,0,SUMIFS(LS[Amount],LS[Investor ID],INVESTORS_LIST[[#This Row],[INVESTOR CODE]],LS[B/S],"B"))</f>
        <v>0</v>
      </c>
      <c r="I615" s="6">
        <f>IF(INVESTORS_LIST[[#This Row],[LS_TOTAL UNITS SOLD]]=0,0,SUMIFS(LS[Cost of Units Sold],LS[Investor ID],INVESTORS_LIST[[#This Row],[INVESTOR CODE]],LS[B/S],"S"))</f>
        <v>0</v>
      </c>
      <c r="J615" s="6">
        <f>IF(INVESTORS_LIST[[#This Row],[LS_TOTAL CURRENT UNITS]]=0,0,INVESTORS_LIST[[#This Row],[LS_TOTAL CURRENT UNITS]]*INVESTORS_LIST[[#This Row],[LS_AVERAGE COST]])</f>
        <v>0</v>
      </c>
      <c r="K615" s="4">
        <f>IF(INVESTORS_LIST[[#This Row],[LS_TOTAL UNITS SOLD]]=0,0,SUMIFS(LS[Realized Gain],LS[Investor ID],INVESTORS_LIST[[#This Row],[INVESTOR CODE]],LS[B/S],"S"))</f>
        <v>0</v>
      </c>
      <c r="L615" s="2">
        <f>SUMIFS(SIP[Unit],SIP[Investor ID],INVESTORS_LIST[[#This Row],[INVESTOR CODE]],SIP[B/S],"B")</f>
        <v>0</v>
      </c>
      <c r="M615" s="2">
        <f>-SUMIFS(SIP[Unit],SIP[Investor ID],INVESTORS_LIST[[#This Row],[INVESTOR CODE]],SIP[B/S],"S")</f>
        <v>0</v>
      </c>
      <c r="N615" s="33">
        <f>IF(INVESTORS_LIST[[#This Row],[SIP_TOTAL UNITS BUY]]=0,0,INVESTORS_LIST[[#This Row],[SIP_TOTAL UNITS BUY]]-INVESTORS_LIST[[#This Row],[SIP_TOTAL UNITS SOLD]])</f>
        <v>0</v>
      </c>
      <c r="O615" s="4">
        <f>IF(INVESTORS_LIST[[#This Row],[SIP_TOTAL UNITS BUY]]=0,0,SUMIFS(SIP[Amount],SIP[Investor ID],INVESTORS_LIST[[#This Row],[INVESTOR CODE]],SIP[B/S],"B"))</f>
        <v>0</v>
      </c>
      <c r="P615" s="4">
        <f>IF(INVESTORS_LIST[[#This Row],[SIP_TOTAL UNITS SOLD]]=0,0,SUMIFS(SIP[Cost of Units Sold],SIP[Investor ID],INVESTORS_LIST[[#This Row],[INVESTOR CODE]],SIP[B/S],"S"))</f>
        <v>0</v>
      </c>
      <c r="Q615" s="6">
        <f>IF(INVESTORS_LIST[[#This Row],[SIP_TOTAL CURRENT UNITS]]=0,0,INVESTORS_LIST[[#This Row],[SIP_TOTAL CURRENT UNITS]]*INVESTORS_LIST[[#This Row],[SIP_AVERAGE COST]])</f>
        <v>0</v>
      </c>
      <c r="R615" s="6">
        <f>IF(INVESTORS_LIST[[#This Row],[SIP_TOTAL UNITS SOLD]]=0,0,SUMIFS(SIP[Realized Gain],SIP[Investor ID],INVESTORS_LIST[[#This Row],[INVESTOR CODE]],SIP[B/S],"S"))</f>
        <v>0</v>
      </c>
      <c r="S615" s="33">
        <f>INVESTORS_LIST[[#This Row],[LS_TOTAL UNITS BUY]]+INVESTORS_LIST[[#This Row],[SIP_TOTAL UNITS BUY]]</f>
        <v>0</v>
      </c>
      <c r="T615" s="33">
        <f>INVESTORS_LIST[[#This Row],[LS_TOTAL UNITS SOLD]]+INVESTORS_LIST[[#This Row],[SIP_TOTAL UNITS SOLD]]</f>
        <v>0</v>
      </c>
      <c r="U615" s="33">
        <v>0</v>
      </c>
      <c r="V615" s="33">
        <f>SUMIFS(LS[BO UNIT TRANSFER],LS[Investor ID],INVESTORS_LIST[[#This Row],[INVESTOR CODE]],LS[B/S],"B")</f>
        <v>0</v>
      </c>
      <c r="W615" s="33">
        <f>SUMIFS(LS[BO UNIT TRANSFER],LS[Investor ID],INVESTORS_LIST[[#This Row],[INVESTOR CODE]],LS[B/S],"S")</f>
        <v>0</v>
      </c>
      <c r="X615" s="33">
        <f>SUMIFS(SIP[BO UNIT TRANSFER],SIP[Investor ID],INVESTORS_LIST[[#This Row],[INVESTOR CODE]],SIP[B/S],"S")</f>
        <v>0</v>
      </c>
      <c r="Y615" s="33">
        <f>SUMIFS(SIP[BO UNIT TRANSFER],SIP[Investor ID],INVESTORS_LIST[[#This Row],[INVESTOR CODE]],SIP[B/S],"B")</f>
        <v>0</v>
      </c>
      <c r="Z61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15" s="119">
        <f>INVESTORS_LIST[[#This Row],[TOTAL UNITS BUY]]-INVESTORS_LIST[[#This Row],[TOTAL UNITS SOLD]]</f>
        <v>0</v>
      </c>
      <c r="AB615" s="119">
        <f>INVESTORS_LIST[[#This Row],[TOTAL CURRENT UNITS]]-INVESTORS_LIST[[#This Row],[BO UNITS HOLD]]</f>
        <v>0</v>
      </c>
      <c r="AC615" s="119" t="e">
        <f>INDEX([4]!Table_1[BO ID],MATCH(INVESTORS_LIST[[#This Row],[INVESTOR CODE]],[4]!Table_1[INVESTOR CODE],0))</f>
        <v>#REF!</v>
      </c>
      <c r="AD615" s="33">
        <f>INVESTORS_LIST[[#This Row],[LS_TOTAL COST VALUE OF CURRENT UNITS]]+INVESTORS_LIST[[#This Row],[SIP_TOTAL COST VALUE OF CURRENT UNITS]]</f>
        <v>0</v>
      </c>
      <c r="AE615" s="44">
        <f>IF(INVESTORS_LIST[[#This Row],[TOTAL CURRENT UNITS]]=0,0,INVESTORS_LIST[[#This Row],[LS_TOTAL CURRENT UNITS]]/INVESTORS_LIST[[#This Row],[TOTAL CURRENT UNITS]])</f>
        <v>0</v>
      </c>
      <c r="AF615" s="44">
        <f>IF(INVESTORS_LIST[[#This Row],[TOTAL CURRENT UNITS]]=0,0,INVESTORS_LIST[[#This Row],[SIP_TOTAL CURRENT UNITS]]/INVESTORS_LIST[[#This Row],[TOTAL CURRENT UNITS]])</f>
        <v>0</v>
      </c>
      <c r="AG615" s="4" cm="1">
        <f t="array" ref="AG61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15" s="4" cm="1">
        <f t="array" ref="AH6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1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15" s="178">
        <f t="shared" si="15"/>
        <v>12.552</v>
      </c>
      <c r="AK615" s="118">
        <f>IF(INVESTORS_LIST[[#This Row],[TOTAL CURRENT UNITS]]=0,0,INVESTORS_LIST[[#This Row],[TOTAL CURRENT UNITS]]*INVESTORS_LIST[[#This Row],[NAV]])</f>
        <v>0</v>
      </c>
      <c r="AL615" s="4">
        <f>IF(INVESTORS_LIST[[#This Row],[LS_TOTAL CURRENT UNITS]]=0,0,INVESTORS_LIST[[#This Row],[LS_TOTAL CURRENT UNITS]]*INVESTORS_LIST[[#This Row],[NAV]])</f>
        <v>0</v>
      </c>
      <c r="AM615" s="6">
        <f>IF(INVESTORS_LIST[[#This Row],[SIP_TOTAL CURRENT UNITS]]=0,0,INVESTORS_LIST[[#This Row],[SIP_TOTAL CURRENT UNITS]]*INVESTORS_LIST[[#This Row],[NAV]])</f>
        <v>0</v>
      </c>
      <c r="AO615" s="6">
        <f>IF(INVESTORS_LIST[[#This Row],[TOTAL SELLABLE UNITS]]=0,0,INVESTORS_LIST[[#This Row],[TOTAL SELLABLE UNITS]]*INVESTORS_LIST[[#This Row],[NAV]])</f>
        <v>0</v>
      </c>
      <c r="AP615" s="6">
        <f>INVESTORS_LIST[[#This Row],[LS_TOTAL REALIZED GAIN]]+INVESTORS_LIST[[#This Row],[SIP_TOTAL REALIZED GAIN]]</f>
        <v>0</v>
      </c>
      <c r="AQ615" s="6">
        <f>INVESTORS_LIST[[#This Row],[TOTAL MARKET VALUE]]-INVESTORS_LIST[[#This Row],[TOTAL COST VALUE OF CURRENT INVESTMENT]]</f>
        <v>0</v>
      </c>
      <c r="AR615" s="6">
        <f>SUMIFS(DivAndTax[Tax Amount],DivAndTax[Investor ID],INVESTORS_LIST[[#This Row],[INVESTOR CODE]])</f>
        <v>0</v>
      </c>
      <c r="AS615" s="6">
        <f>SUMIFS(DivAndTax[Gross Dividend],DivAndTax[Investor ID],INVESTORS_LIST[[#This Row],[INVESTOR CODE]])</f>
        <v>0</v>
      </c>
      <c r="AT615" s="5">
        <f>IFERROR(INVESTORS_LIST[[#This Row],[TOTAL CURRENT UNITS]]/SUM(INVESTORS_LIST[TOTAL CURRENT UNITS]),0)</f>
        <v>0</v>
      </c>
    </row>
    <row r="616" spans="1:46" hidden="1">
      <c r="A616" t="s">
        <v>1419</v>
      </c>
      <c r="B616" t="s">
        <v>1420</v>
      </c>
      <c r="C616" t="s">
        <v>536</v>
      </c>
      <c r="D616" s="8" t="s">
        <v>2</v>
      </c>
      <c r="E616" s="2">
        <f>SUMIFS(LS[Unit],LS[Investor ID],INVESTORS_LIST[[#This Row],[INVESTOR CODE]],LS[B/S],"B")</f>
        <v>0</v>
      </c>
      <c r="F616" s="2">
        <f>-SUMIFS(LS[Unit],LS[Investor ID],INVESTORS_LIST[[#This Row],[INVESTOR CODE]],LS[B/S],"S")</f>
        <v>0</v>
      </c>
      <c r="G616" s="2">
        <f>IF(INVESTORS_LIST[[#This Row],[LS_TOTAL UNITS BUY]]=0,0,INVESTORS_LIST[[#This Row],[LS_TOTAL UNITS BUY]]-INVESTORS_LIST[[#This Row],[LS_TOTAL UNITS SOLD]])</f>
        <v>0</v>
      </c>
      <c r="H616" s="4">
        <f>IF(INVESTORS_LIST[[#This Row],[LS_TOTAL UNITS BUY]]=0,0,SUMIFS(LS[Amount],LS[Investor ID],INVESTORS_LIST[[#This Row],[INVESTOR CODE]],LS[B/S],"B"))</f>
        <v>0</v>
      </c>
      <c r="I616" s="6">
        <f>IF(INVESTORS_LIST[[#This Row],[LS_TOTAL UNITS SOLD]]=0,0,SUMIFS(LS[Cost of Units Sold],LS[Investor ID],INVESTORS_LIST[[#This Row],[INVESTOR CODE]],LS[B/S],"S"))</f>
        <v>0</v>
      </c>
      <c r="J616" s="6">
        <f>IF(INVESTORS_LIST[[#This Row],[LS_TOTAL CURRENT UNITS]]=0,0,INVESTORS_LIST[[#This Row],[LS_TOTAL CURRENT UNITS]]*INVESTORS_LIST[[#This Row],[LS_AVERAGE COST]])</f>
        <v>0</v>
      </c>
      <c r="K616" s="4">
        <f>IF(INVESTORS_LIST[[#This Row],[LS_TOTAL UNITS SOLD]]=0,0,SUMIFS(LS[Realized Gain],LS[Investor ID],INVESTORS_LIST[[#This Row],[INVESTOR CODE]],LS[B/S],"S"))</f>
        <v>0</v>
      </c>
      <c r="L616" s="2">
        <f>SUMIFS(SIP[Unit],SIP[Investor ID],INVESTORS_LIST[[#This Row],[INVESTOR CODE]],SIP[B/S],"B")</f>
        <v>0</v>
      </c>
      <c r="M616" s="2">
        <f>-SUMIFS(SIP[Unit],SIP[Investor ID],INVESTORS_LIST[[#This Row],[INVESTOR CODE]],SIP[B/S],"S")</f>
        <v>0</v>
      </c>
      <c r="N616" s="33">
        <f>IF(INVESTORS_LIST[[#This Row],[SIP_TOTAL UNITS BUY]]=0,0,INVESTORS_LIST[[#This Row],[SIP_TOTAL UNITS BUY]]-INVESTORS_LIST[[#This Row],[SIP_TOTAL UNITS SOLD]])</f>
        <v>0</v>
      </c>
      <c r="O616" s="4">
        <f>IF(INVESTORS_LIST[[#This Row],[SIP_TOTAL UNITS BUY]]=0,0,SUMIFS(SIP[Amount],SIP[Investor ID],INVESTORS_LIST[[#This Row],[INVESTOR CODE]],SIP[B/S],"B"))</f>
        <v>0</v>
      </c>
      <c r="P616" s="4">
        <f>IF(INVESTORS_LIST[[#This Row],[SIP_TOTAL UNITS SOLD]]=0,0,SUMIFS(SIP[Cost of Units Sold],SIP[Investor ID],INVESTORS_LIST[[#This Row],[INVESTOR CODE]],SIP[B/S],"S"))</f>
        <v>0</v>
      </c>
      <c r="Q616" s="6">
        <f>IF(INVESTORS_LIST[[#This Row],[SIP_TOTAL CURRENT UNITS]]=0,0,INVESTORS_LIST[[#This Row],[SIP_TOTAL CURRENT UNITS]]*INVESTORS_LIST[[#This Row],[SIP_AVERAGE COST]])</f>
        <v>0</v>
      </c>
      <c r="R616" s="6">
        <f>IF(INVESTORS_LIST[[#This Row],[SIP_TOTAL UNITS SOLD]]=0,0,SUMIFS(SIP[Realized Gain],SIP[Investor ID],INVESTORS_LIST[[#This Row],[INVESTOR CODE]],SIP[B/S],"S"))</f>
        <v>0</v>
      </c>
      <c r="S616" s="33">
        <f>INVESTORS_LIST[[#This Row],[LS_TOTAL UNITS BUY]]+INVESTORS_LIST[[#This Row],[SIP_TOTAL UNITS BUY]]</f>
        <v>0</v>
      </c>
      <c r="T616" s="33">
        <f>INVESTORS_LIST[[#This Row],[LS_TOTAL UNITS SOLD]]+INVESTORS_LIST[[#This Row],[SIP_TOTAL UNITS SOLD]]</f>
        <v>0</v>
      </c>
      <c r="U616" s="33">
        <v>0</v>
      </c>
      <c r="V616" s="33">
        <f>SUMIFS(LS[BO UNIT TRANSFER],LS[Investor ID],INVESTORS_LIST[[#This Row],[INVESTOR CODE]],LS[B/S],"B")</f>
        <v>0</v>
      </c>
      <c r="W616" s="33">
        <f>SUMIFS(LS[BO UNIT TRANSFER],LS[Investor ID],INVESTORS_LIST[[#This Row],[INVESTOR CODE]],LS[B/S],"S")</f>
        <v>0</v>
      </c>
      <c r="X616" s="33">
        <f>SUMIFS(SIP[BO UNIT TRANSFER],SIP[Investor ID],INVESTORS_LIST[[#This Row],[INVESTOR CODE]],SIP[B/S],"S")</f>
        <v>0</v>
      </c>
      <c r="Y616" s="33">
        <f>SUMIFS(SIP[BO UNIT TRANSFER],SIP[Investor ID],INVESTORS_LIST[[#This Row],[INVESTOR CODE]],SIP[B/S],"B")</f>
        <v>0</v>
      </c>
      <c r="Z61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16" s="119">
        <f>INVESTORS_LIST[[#This Row],[TOTAL UNITS BUY]]-INVESTORS_LIST[[#This Row],[TOTAL UNITS SOLD]]</f>
        <v>0</v>
      </c>
      <c r="AB616" s="119">
        <f>INVESTORS_LIST[[#This Row],[TOTAL CURRENT UNITS]]-INVESTORS_LIST[[#This Row],[BO UNITS HOLD]]</f>
        <v>0</v>
      </c>
      <c r="AC616" s="119" t="e">
        <f>INDEX([4]!Table_1[BO ID],MATCH(INVESTORS_LIST[[#This Row],[INVESTOR CODE]],[4]!Table_1[INVESTOR CODE],0))</f>
        <v>#REF!</v>
      </c>
      <c r="AD616" s="33">
        <f>INVESTORS_LIST[[#This Row],[LS_TOTAL COST VALUE OF CURRENT UNITS]]+INVESTORS_LIST[[#This Row],[SIP_TOTAL COST VALUE OF CURRENT UNITS]]</f>
        <v>0</v>
      </c>
      <c r="AE616" s="44">
        <f>IF(INVESTORS_LIST[[#This Row],[TOTAL CURRENT UNITS]]=0,0,INVESTORS_LIST[[#This Row],[LS_TOTAL CURRENT UNITS]]/INVESTORS_LIST[[#This Row],[TOTAL CURRENT UNITS]])</f>
        <v>0</v>
      </c>
      <c r="AF616" s="44">
        <f>IF(INVESTORS_LIST[[#This Row],[TOTAL CURRENT UNITS]]=0,0,INVESTORS_LIST[[#This Row],[SIP_TOTAL CURRENT UNITS]]/INVESTORS_LIST[[#This Row],[TOTAL CURRENT UNITS]])</f>
        <v>0</v>
      </c>
      <c r="AG616" s="4" cm="1">
        <f t="array" ref="AG6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16" s="4" cm="1">
        <f t="array" ref="AH6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1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16" s="178">
        <f t="shared" si="15"/>
        <v>12.552</v>
      </c>
      <c r="AK616" s="118">
        <f>IF(INVESTORS_LIST[[#This Row],[TOTAL CURRENT UNITS]]=0,0,INVESTORS_LIST[[#This Row],[TOTAL CURRENT UNITS]]*INVESTORS_LIST[[#This Row],[NAV]])</f>
        <v>0</v>
      </c>
      <c r="AL616" s="4">
        <f>IF(INVESTORS_LIST[[#This Row],[LS_TOTAL CURRENT UNITS]]=0,0,INVESTORS_LIST[[#This Row],[LS_TOTAL CURRENT UNITS]]*INVESTORS_LIST[[#This Row],[NAV]])</f>
        <v>0</v>
      </c>
      <c r="AM616" s="6">
        <f>IF(INVESTORS_LIST[[#This Row],[SIP_TOTAL CURRENT UNITS]]=0,0,INVESTORS_LIST[[#This Row],[SIP_TOTAL CURRENT UNITS]]*INVESTORS_LIST[[#This Row],[NAV]])</f>
        <v>0</v>
      </c>
      <c r="AO616" s="6">
        <f>IF(INVESTORS_LIST[[#This Row],[TOTAL SELLABLE UNITS]]=0,0,INVESTORS_LIST[[#This Row],[TOTAL SELLABLE UNITS]]*INVESTORS_LIST[[#This Row],[NAV]])</f>
        <v>0</v>
      </c>
      <c r="AP616" s="6">
        <f>INVESTORS_LIST[[#This Row],[LS_TOTAL REALIZED GAIN]]+INVESTORS_LIST[[#This Row],[SIP_TOTAL REALIZED GAIN]]</f>
        <v>0</v>
      </c>
      <c r="AQ616" s="6">
        <f>INVESTORS_LIST[[#This Row],[TOTAL MARKET VALUE]]-INVESTORS_LIST[[#This Row],[TOTAL COST VALUE OF CURRENT INVESTMENT]]</f>
        <v>0</v>
      </c>
      <c r="AR616" s="6">
        <f>SUMIFS(DivAndTax[Tax Amount],DivAndTax[Investor ID],INVESTORS_LIST[[#This Row],[INVESTOR CODE]])</f>
        <v>0</v>
      </c>
      <c r="AS616" s="6">
        <f>SUMIFS(DivAndTax[Gross Dividend],DivAndTax[Investor ID],INVESTORS_LIST[[#This Row],[INVESTOR CODE]])</f>
        <v>0</v>
      </c>
      <c r="AT616" s="5">
        <f>IFERROR(INVESTORS_LIST[[#This Row],[TOTAL CURRENT UNITS]]/SUM(INVESTORS_LIST[TOTAL CURRENT UNITS]),0)</f>
        <v>0</v>
      </c>
    </row>
    <row r="617" spans="1:46" hidden="1">
      <c r="A617" t="s">
        <v>1421</v>
      </c>
      <c r="B617" t="s">
        <v>1422</v>
      </c>
      <c r="C617" t="s">
        <v>536</v>
      </c>
      <c r="D617" s="8" t="s">
        <v>2</v>
      </c>
      <c r="E617" s="2">
        <f>SUMIFS(LS[Unit],LS[Investor ID],INVESTORS_LIST[[#This Row],[INVESTOR CODE]],LS[B/S],"B")</f>
        <v>0</v>
      </c>
      <c r="F617" s="2">
        <f>-SUMIFS(LS[Unit],LS[Investor ID],INVESTORS_LIST[[#This Row],[INVESTOR CODE]],LS[B/S],"S")</f>
        <v>0</v>
      </c>
      <c r="G617" s="2">
        <f>IF(INVESTORS_LIST[[#This Row],[LS_TOTAL UNITS BUY]]=0,0,INVESTORS_LIST[[#This Row],[LS_TOTAL UNITS BUY]]-INVESTORS_LIST[[#This Row],[LS_TOTAL UNITS SOLD]])</f>
        <v>0</v>
      </c>
      <c r="H617" s="4">
        <f>IF(INVESTORS_LIST[[#This Row],[LS_TOTAL UNITS BUY]]=0,0,SUMIFS(LS[Amount],LS[Investor ID],INVESTORS_LIST[[#This Row],[INVESTOR CODE]],LS[B/S],"B"))</f>
        <v>0</v>
      </c>
      <c r="I617" s="6">
        <f>IF(INVESTORS_LIST[[#This Row],[LS_TOTAL UNITS SOLD]]=0,0,SUMIFS(LS[Cost of Units Sold],LS[Investor ID],INVESTORS_LIST[[#This Row],[INVESTOR CODE]],LS[B/S],"S"))</f>
        <v>0</v>
      </c>
      <c r="J617" s="6">
        <f>IF(INVESTORS_LIST[[#This Row],[LS_TOTAL CURRENT UNITS]]=0,0,INVESTORS_LIST[[#This Row],[LS_TOTAL CURRENT UNITS]]*INVESTORS_LIST[[#This Row],[LS_AVERAGE COST]])</f>
        <v>0</v>
      </c>
      <c r="K617" s="4">
        <f>IF(INVESTORS_LIST[[#This Row],[LS_TOTAL UNITS SOLD]]=0,0,SUMIFS(LS[Realized Gain],LS[Investor ID],INVESTORS_LIST[[#This Row],[INVESTOR CODE]],LS[B/S],"S"))</f>
        <v>0</v>
      </c>
      <c r="L617" s="2">
        <f>SUMIFS(SIP[Unit],SIP[Investor ID],INVESTORS_LIST[[#This Row],[INVESTOR CODE]],SIP[B/S],"B")</f>
        <v>0</v>
      </c>
      <c r="M617" s="2">
        <f>-SUMIFS(SIP[Unit],SIP[Investor ID],INVESTORS_LIST[[#This Row],[INVESTOR CODE]],SIP[B/S],"S")</f>
        <v>0</v>
      </c>
      <c r="N617" s="33">
        <f>IF(INVESTORS_LIST[[#This Row],[SIP_TOTAL UNITS BUY]]=0,0,INVESTORS_LIST[[#This Row],[SIP_TOTAL UNITS BUY]]-INVESTORS_LIST[[#This Row],[SIP_TOTAL UNITS SOLD]])</f>
        <v>0</v>
      </c>
      <c r="O617" s="4">
        <f>IF(INVESTORS_LIST[[#This Row],[SIP_TOTAL UNITS BUY]]=0,0,SUMIFS(SIP[Amount],SIP[Investor ID],INVESTORS_LIST[[#This Row],[INVESTOR CODE]],SIP[B/S],"B"))</f>
        <v>0</v>
      </c>
      <c r="P617" s="4">
        <f>IF(INVESTORS_LIST[[#This Row],[SIP_TOTAL UNITS SOLD]]=0,0,SUMIFS(SIP[Cost of Units Sold],SIP[Investor ID],INVESTORS_LIST[[#This Row],[INVESTOR CODE]],SIP[B/S],"S"))</f>
        <v>0</v>
      </c>
      <c r="Q617" s="6">
        <f>IF(INVESTORS_LIST[[#This Row],[SIP_TOTAL CURRENT UNITS]]=0,0,INVESTORS_LIST[[#This Row],[SIP_TOTAL CURRENT UNITS]]*INVESTORS_LIST[[#This Row],[SIP_AVERAGE COST]])</f>
        <v>0</v>
      </c>
      <c r="R617" s="6">
        <f>IF(INVESTORS_LIST[[#This Row],[SIP_TOTAL UNITS SOLD]]=0,0,SUMIFS(SIP[Realized Gain],SIP[Investor ID],INVESTORS_LIST[[#This Row],[INVESTOR CODE]],SIP[B/S],"S"))</f>
        <v>0</v>
      </c>
      <c r="S617" s="33">
        <f>INVESTORS_LIST[[#This Row],[LS_TOTAL UNITS BUY]]+INVESTORS_LIST[[#This Row],[SIP_TOTAL UNITS BUY]]</f>
        <v>0</v>
      </c>
      <c r="T617" s="33">
        <f>INVESTORS_LIST[[#This Row],[LS_TOTAL UNITS SOLD]]+INVESTORS_LIST[[#This Row],[SIP_TOTAL UNITS SOLD]]</f>
        <v>0</v>
      </c>
      <c r="U617" s="33">
        <v>0</v>
      </c>
      <c r="V617" s="33">
        <f>SUMIFS(LS[BO UNIT TRANSFER],LS[Investor ID],INVESTORS_LIST[[#This Row],[INVESTOR CODE]],LS[B/S],"B")</f>
        <v>0</v>
      </c>
      <c r="W617" s="33">
        <f>SUMIFS(LS[BO UNIT TRANSFER],LS[Investor ID],INVESTORS_LIST[[#This Row],[INVESTOR CODE]],LS[B/S],"S")</f>
        <v>0</v>
      </c>
      <c r="X617" s="33">
        <f>SUMIFS(SIP[BO UNIT TRANSFER],SIP[Investor ID],INVESTORS_LIST[[#This Row],[INVESTOR CODE]],SIP[B/S],"S")</f>
        <v>0</v>
      </c>
      <c r="Y617" s="33">
        <f>SUMIFS(SIP[BO UNIT TRANSFER],SIP[Investor ID],INVESTORS_LIST[[#This Row],[INVESTOR CODE]],SIP[B/S],"B")</f>
        <v>0</v>
      </c>
      <c r="Z61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17" s="119">
        <f>INVESTORS_LIST[[#This Row],[TOTAL UNITS BUY]]-INVESTORS_LIST[[#This Row],[TOTAL UNITS SOLD]]</f>
        <v>0</v>
      </c>
      <c r="AB617" s="119">
        <f>INVESTORS_LIST[[#This Row],[TOTAL CURRENT UNITS]]-INVESTORS_LIST[[#This Row],[BO UNITS HOLD]]</f>
        <v>0</v>
      </c>
      <c r="AC617" s="119" t="e">
        <f>INDEX([4]!Table_1[BO ID],MATCH(INVESTORS_LIST[[#This Row],[INVESTOR CODE]],[4]!Table_1[INVESTOR CODE],0))</f>
        <v>#REF!</v>
      </c>
      <c r="AD617" s="33">
        <f>INVESTORS_LIST[[#This Row],[LS_TOTAL COST VALUE OF CURRENT UNITS]]+INVESTORS_LIST[[#This Row],[SIP_TOTAL COST VALUE OF CURRENT UNITS]]</f>
        <v>0</v>
      </c>
      <c r="AE617" s="44">
        <f>IF(INVESTORS_LIST[[#This Row],[TOTAL CURRENT UNITS]]=0,0,INVESTORS_LIST[[#This Row],[LS_TOTAL CURRENT UNITS]]/INVESTORS_LIST[[#This Row],[TOTAL CURRENT UNITS]])</f>
        <v>0</v>
      </c>
      <c r="AF617" s="44">
        <f>IF(INVESTORS_LIST[[#This Row],[TOTAL CURRENT UNITS]]=0,0,INVESTORS_LIST[[#This Row],[SIP_TOTAL CURRENT UNITS]]/INVESTORS_LIST[[#This Row],[TOTAL CURRENT UNITS]])</f>
        <v>0</v>
      </c>
      <c r="AG617" s="4" cm="1">
        <f t="array" ref="AG6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17" s="4" cm="1">
        <f t="array" ref="AH6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1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17" s="178">
        <f t="shared" si="15"/>
        <v>12.552</v>
      </c>
      <c r="AK617" s="118">
        <f>IF(INVESTORS_LIST[[#This Row],[TOTAL CURRENT UNITS]]=0,0,INVESTORS_LIST[[#This Row],[TOTAL CURRENT UNITS]]*INVESTORS_LIST[[#This Row],[NAV]])</f>
        <v>0</v>
      </c>
      <c r="AL617" s="4">
        <f>IF(INVESTORS_LIST[[#This Row],[LS_TOTAL CURRENT UNITS]]=0,0,INVESTORS_LIST[[#This Row],[LS_TOTAL CURRENT UNITS]]*INVESTORS_LIST[[#This Row],[NAV]])</f>
        <v>0</v>
      </c>
      <c r="AM617" s="6">
        <f>IF(INVESTORS_LIST[[#This Row],[SIP_TOTAL CURRENT UNITS]]=0,0,INVESTORS_LIST[[#This Row],[SIP_TOTAL CURRENT UNITS]]*INVESTORS_LIST[[#This Row],[NAV]])</f>
        <v>0</v>
      </c>
      <c r="AO617" s="6">
        <f>IF(INVESTORS_LIST[[#This Row],[TOTAL SELLABLE UNITS]]=0,0,INVESTORS_LIST[[#This Row],[TOTAL SELLABLE UNITS]]*INVESTORS_LIST[[#This Row],[NAV]])</f>
        <v>0</v>
      </c>
      <c r="AP617" s="6">
        <f>INVESTORS_LIST[[#This Row],[LS_TOTAL REALIZED GAIN]]+INVESTORS_LIST[[#This Row],[SIP_TOTAL REALIZED GAIN]]</f>
        <v>0</v>
      </c>
      <c r="AQ617" s="6">
        <f>INVESTORS_LIST[[#This Row],[TOTAL MARKET VALUE]]-INVESTORS_LIST[[#This Row],[TOTAL COST VALUE OF CURRENT INVESTMENT]]</f>
        <v>0</v>
      </c>
      <c r="AR617" s="6">
        <f>SUMIFS(DivAndTax[Tax Amount],DivAndTax[Investor ID],INVESTORS_LIST[[#This Row],[INVESTOR CODE]])</f>
        <v>0</v>
      </c>
      <c r="AS617" s="6">
        <f>SUMIFS(DivAndTax[Gross Dividend],DivAndTax[Investor ID],INVESTORS_LIST[[#This Row],[INVESTOR CODE]])</f>
        <v>0</v>
      </c>
      <c r="AT617" s="5">
        <f>IFERROR(INVESTORS_LIST[[#This Row],[TOTAL CURRENT UNITS]]/SUM(INVESTORS_LIST[TOTAL CURRENT UNITS]),0)</f>
        <v>0</v>
      </c>
    </row>
    <row r="618" spans="1:46" hidden="1">
      <c r="A618" t="s">
        <v>1423</v>
      </c>
      <c r="B618" t="s">
        <v>1424</v>
      </c>
      <c r="C618" t="s">
        <v>537</v>
      </c>
      <c r="D618" s="8" t="s">
        <v>8</v>
      </c>
      <c r="E618" s="2">
        <f>SUMIFS(LS[Unit],LS[Investor ID],INVESTORS_LIST[[#This Row],[INVESTOR CODE]],LS[B/S],"B")</f>
        <v>0</v>
      </c>
      <c r="F618" s="2">
        <f>-SUMIFS(LS[Unit],LS[Investor ID],INVESTORS_LIST[[#This Row],[INVESTOR CODE]],LS[B/S],"S")</f>
        <v>0</v>
      </c>
      <c r="G618" s="2">
        <f>IF(INVESTORS_LIST[[#This Row],[LS_TOTAL UNITS BUY]]=0,0,INVESTORS_LIST[[#This Row],[LS_TOTAL UNITS BUY]]-INVESTORS_LIST[[#This Row],[LS_TOTAL UNITS SOLD]])</f>
        <v>0</v>
      </c>
      <c r="H618" s="4">
        <f>IF(INVESTORS_LIST[[#This Row],[LS_TOTAL UNITS BUY]]=0,0,SUMIFS(LS[Amount],LS[Investor ID],INVESTORS_LIST[[#This Row],[INVESTOR CODE]],LS[B/S],"B"))</f>
        <v>0</v>
      </c>
      <c r="I618" s="6">
        <f>IF(INVESTORS_LIST[[#This Row],[LS_TOTAL UNITS SOLD]]=0,0,SUMIFS(LS[Cost of Units Sold],LS[Investor ID],INVESTORS_LIST[[#This Row],[INVESTOR CODE]],LS[B/S],"S"))</f>
        <v>0</v>
      </c>
      <c r="J618" s="6">
        <f>IF(INVESTORS_LIST[[#This Row],[LS_TOTAL CURRENT UNITS]]=0,0,INVESTORS_LIST[[#This Row],[LS_TOTAL CURRENT UNITS]]*INVESTORS_LIST[[#This Row],[LS_AVERAGE COST]])</f>
        <v>0</v>
      </c>
      <c r="K618" s="4">
        <f>IF(INVESTORS_LIST[[#This Row],[LS_TOTAL UNITS SOLD]]=0,0,SUMIFS(LS[Realized Gain],LS[Investor ID],INVESTORS_LIST[[#This Row],[INVESTOR CODE]],LS[B/S],"S"))</f>
        <v>0</v>
      </c>
      <c r="L618" s="2">
        <f>SUMIFS(SIP[Unit],SIP[Investor ID],INVESTORS_LIST[[#This Row],[INVESTOR CODE]],SIP[B/S],"B")</f>
        <v>0</v>
      </c>
      <c r="M618" s="2">
        <f>-SUMIFS(SIP[Unit],SIP[Investor ID],INVESTORS_LIST[[#This Row],[INVESTOR CODE]],SIP[B/S],"S")</f>
        <v>0</v>
      </c>
      <c r="N618" s="33">
        <f>IF(INVESTORS_LIST[[#This Row],[SIP_TOTAL UNITS BUY]]=0,0,INVESTORS_LIST[[#This Row],[SIP_TOTAL UNITS BUY]]-INVESTORS_LIST[[#This Row],[SIP_TOTAL UNITS SOLD]])</f>
        <v>0</v>
      </c>
      <c r="O618" s="4">
        <f>IF(INVESTORS_LIST[[#This Row],[SIP_TOTAL UNITS BUY]]=0,0,SUMIFS(SIP[Amount],SIP[Investor ID],INVESTORS_LIST[[#This Row],[INVESTOR CODE]],SIP[B/S],"B"))</f>
        <v>0</v>
      </c>
      <c r="P618" s="4">
        <f>IF(INVESTORS_LIST[[#This Row],[SIP_TOTAL UNITS SOLD]]=0,0,SUMIFS(SIP[Cost of Units Sold],SIP[Investor ID],INVESTORS_LIST[[#This Row],[INVESTOR CODE]],SIP[B/S],"S"))</f>
        <v>0</v>
      </c>
      <c r="Q618" s="6">
        <f>IF(INVESTORS_LIST[[#This Row],[SIP_TOTAL CURRENT UNITS]]=0,0,INVESTORS_LIST[[#This Row],[SIP_TOTAL CURRENT UNITS]]*INVESTORS_LIST[[#This Row],[SIP_AVERAGE COST]])</f>
        <v>0</v>
      </c>
      <c r="R618" s="6">
        <f>IF(INVESTORS_LIST[[#This Row],[SIP_TOTAL UNITS SOLD]]=0,0,SUMIFS(SIP[Realized Gain],SIP[Investor ID],INVESTORS_LIST[[#This Row],[INVESTOR CODE]],SIP[B/S],"S"))</f>
        <v>0</v>
      </c>
      <c r="S618" s="33">
        <f>INVESTORS_LIST[[#This Row],[LS_TOTAL UNITS BUY]]+INVESTORS_LIST[[#This Row],[SIP_TOTAL UNITS BUY]]</f>
        <v>0</v>
      </c>
      <c r="T618" s="33">
        <f>INVESTORS_LIST[[#This Row],[LS_TOTAL UNITS SOLD]]+INVESTORS_LIST[[#This Row],[SIP_TOTAL UNITS SOLD]]</f>
        <v>0</v>
      </c>
      <c r="U618" s="33">
        <v>0</v>
      </c>
      <c r="V618" s="33">
        <f>SUMIFS(LS[BO UNIT TRANSFER],LS[Investor ID],INVESTORS_LIST[[#This Row],[INVESTOR CODE]],LS[B/S],"B")</f>
        <v>0</v>
      </c>
      <c r="W618" s="33">
        <f>SUMIFS(LS[BO UNIT TRANSFER],LS[Investor ID],INVESTORS_LIST[[#This Row],[INVESTOR CODE]],LS[B/S],"S")</f>
        <v>0</v>
      </c>
      <c r="X618" s="33">
        <f>SUMIFS(SIP[BO UNIT TRANSFER],SIP[Investor ID],INVESTORS_LIST[[#This Row],[INVESTOR CODE]],SIP[B/S],"S")</f>
        <v>0</v>
      </c>
      <c r="Y618" s="33">
        <f>SUMIFS(SIP[BO UNIT TRANSFER],SIP[Investor ID],INVESTORS_LIST[[#This Row],[INVESTOR CODE]],SIP[B/S],"B")</f>
        <v>0</v>
      </c>
      <c r="Z61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18" s="119">
        <f>INVESTORS_LIST[[#This Row],[TOTAL UNITS BUY]]-INVESTORS_LIST[[#This Row],[TOTAL UNITS SOLD]]</f>
        <v>0</v>
      </c>
      <c r="AB618" s="119">
        <f>INVESTORS_LIST[[#This Row],[TOTAL CURRENT UNITS]]-INVESTORS_LIST[[#This Row],[BO UNITS HOLD]]</f>
        <v>0</v>
      </c>
      <c r="AC618" s="119" t="e">
        <f>INDEX([4]!Table_1[BO ID],MATCH(INVESTORS_LIST[[#This Row],[INVESTOR CODE]],[4]!Table_1[INVESTOR CODE],0))</f>
        <v>#REF!</v>
      </c>
      <c r="AD618" s="33">
        <f>INVESTORS_LIST[[#This Row],[LS_TOTAL COST VALUE OF CURRENT UNITS]]+INVESTORS_LIST[[#This Row],[SIP_TOTAL COST VALUE OF CURRENT UNITS]]</f>
        <v>0</v>
      </c>
      <c r="AE618" s="44">
        <f>IF(INVESTORS_LIST[[#This Row],[TOTAL CURRENT UNITS]]=0,0,INVESTORS_LIST[[#This Row],[LS_TOTAL CURRENT UNITS]]/INVESTORS_LIST[[#This Row],[TOTAL CURRENT UNITS]])</f>
        <v>0</v>
      </c>
      <c r="AF618" s="44">
        <f>IF(INVESTORS_LIST[[#This Row],[TOTAL CURRENT UNITS]]=0,0,INVESTORS_LIST[[#This Row],[SIP_TOTAL CURRENT UNITS]]/INVESTORS_LIST[[#This Row],[TOTAL CURRENT UNITS]])</f>
        <v>0</v>
      </c>
      <c r="AG618" s="4" cm="1">
        <f t="array" ref="AG6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18" s="4" cm="1">
        <f t="array" ref="AH6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1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18" s="178">
        <f t="shared" si="15"/>
        <v>12.552</v>
      </c>
      <c r="AK618" s="118">
        <f>IF(INVESTORS_LIST[[#This Row],[TOTAL CURRENT UNITS]]=0,0,INVESTORS_LIST[[#This Row],[TOTAL CURRENT UNITS]]*INVESTORS_LIST[[#This Row],[NAV]])</f>
        <v>0</v>
      </c>
      <c r="AL618" s="4">
        <f>IF(INVESTORS_LIST[[#This Row],[LS_TOTAL CURRENT UNITS]]=0,0,INVESTORS_LIST[[#This Row],[LS_TOTAL CURRENT UNITS]]*INVESTORS_LIST[[#This Row],[NAV]])</f>
        <v>0</v>
      </c>
      <c r="AM618" s="6">
        <f>IF(INVESTORS_LIST[[#This Row],[SIP_TOTAL CURRENT UNITS]]=0,0,INVESTORS_LIST[[#This Row],[SIP_TOTAL CURRENT UNITS]]*INVESTORS_LIST[[#This Row],[NAV]])</f>
        <v>0</v>
      </c>
      <c r="AO618" s="6">
        <f>IF(INVESTORS_LIST[[#This Row],[TOTAL SELLABLE UNITS]]=0,0,INVESTORS_LIST[[#This Row],[TOTAL SELLABLE UNITS]]*INVESTORS_LIST[[#This Row],[NAV]])</f>
        <v>0</v>
      </c>
      <c r="AP618" s="6">
        <f>INVESTORS_LIST[[#This Row],[LS_TOTAL REALIZED GAIN]]+INVESTORS_LIST[[#This Row],[SIP_TOTAL REALIZED GAIN]]</f>
        <v>0</v>
      </c>
      <c r="AQ618" s="6">
        <f>INVESTORS_LIST[[#This Row],[TOTAL MARKET VALUE]]-INVESTORS_LIST[[#This Row],[TOTAL COST VALUE OF CURRENT INVESTMENT]]</f>
        <v>0</v>
      </c>
      <c r="AR618" s="6">
        <f>SUMIFS(DivAndTax[Tax Amount],DivAndTax[Investor ID],INVESTORS_LIST[[#This Row],[INVESTOR CODE]])</f>
        <v>0</v>
      </c>
      <c r="AS618" s="6">
        <f>SUMIFS(DivAndTax[Gross Dividend],DivAndTax[Investor ID],INVESTORS_LIST[[#This Row],[INVESTOR CODE]])</f>
        <v>0</v>
      </c>
      <c r="AT618" s="5">
        <f>IFERROR(INVESTORS_LIST[[#This Row],[TOTAL CURRENT UNITS]]/SUM(INVESTORS_LIST[TOTAL CURRENT UNITS]),0)</f>
        <v>0</v>
      </c>
    </row>
    <row r="619" spans="1:46" hidden="1">
      <c r="A619" t="s">
        <v>1425</v>
      </c>
      <c r="B619" t="s">
        <v>1426</v>
      </c>
      <c r="C619" t="s">
        <v>539</v>
      </c>
      <c r="D619" s="8" t="s">
        <v>2</v>
      </c>
      <c r="E619" s="2">
        <f>SUMIFS(LS[Unit],LS[Investor ID],INVESTORS_LIST[[#This Row],[INVESTOR CODE]],LS[B/S],"B")</f>
        <v>0</v>
      </c>
      <c r="F619" s="2">
        <f>-SUMIFS(LS[Unit],LS[Investor ID],INVESTORS_LIST[[#This Row],[INVESTOR CODE]],LS[B/S],"S")</f>
        <v>0</v>
      </c>
      <c r="G619" s="2">
        <f>IF(INVESTORS_LIST[[#This Row],[LS_TOTAL UNITS BUY]]=0,0,INVESTORS_LIST[[#This Row],[LS_TOTAL UNITS BUY]]-INVESTORS_LIST[[#This Row],[LS_TOTAL UNITS SOLD]])</f>
        <v>0</v>
      </c>
      <c r="H619" s="4">
        <f>IF(INVESTORS_LIST[[#This Row],[LS_TOTAL UNITS BUY]]=0,0,SUMIFS(LS[Amount],LS[Investor ID],INVESTORS_LIST[[#This Row],[INVESTOR CODE]],LS[B/S],"B"))</f>
        <v>0</v>
      </c>
      <c r="I619" s="6">
        <f>IF(INVESTORS_LIST[[#This Row],[LS_TOTAL UNITS SOLD]]=0,0,SUMIFS(LS[Cost of Units Sold],LS[Investor ID],INVESTORS_LIST[[#This Row],[INVESTOR CODE]],LS[B/S],"S"))</f>
        <v>0</v>
      </c>
      <c r="J619" s="6">
        <f>IF(INVESTORS_LIST[[#This Row],[LS_TOTAL CURRENT UNITS]]=0,0,INVESTORS_LIST[[#This Row],[LS_TOTAL CURRENT UNITS]]*INVESTORS_LIST[[#This Row],[LS_AVERAGE COST]])</f>
        <v>0</v>
      </c>
      <c r="K619" s="4">
        <f>IF(INVESTORS_LIST[[#This Row],[LS_TOTAL UNITS SOLD]]=0,0,SUMIFS(LS[Realized Gain],LS[Investor ID],INVESTORS_LIST[[#This Row],[INVESTOR CODE]],LS[B/S],"S"))</f>
        <v>0</v>
      </c>
      <c r="L619" s="2">
        <f>SUMIFS(SIP[Unit],SIP[Investor ID],INVESTORS_LIST[[#This Row],[INVESTOR CODE]],SIP[B/S],"B")</f>
        <v>0</v>
      </c>
      <c r="M619" s="2">
        <f>-SUMIFS(SIP[Unit],SIP[Investor ID],INVESTORS_LIST[[#This Row],[INVESTOR CODE]],SIP[B/S],"S")</f>
        <v>0</v>
      </c>
      <c r="N619" s="33">
        <f>IF(INVESTORS_LIST[[#This Row],[SIP_TOTAL UNITS BUY]]=0,0,INVESTORS_LIST[[#This Row],[SIP_TOTAL UNITS BUY]]-INVESTORS_LIST[[#This Row],[SIP_TOTAL UNITS SOLD]])</f>
        <v>0</v>
      </c>
      <c r="O619" s="4">
        <f>IF(INVESTORS_LIST[[#This Row],[SIP_TOTAL UNITS BUY]]=0,0,SUMIFS(SIP[Amount],SIP[Investor ID],INVESTORS_LIST[[#This Row],[INVESTOR CODE]],SIP[B/S],"B"))</f>
        <v>0</v>
      </c>
      <c r="P619" s="4">
        <f>IF(INVESTORS_LIST[[#This Row],[SIP_TOTAL UNITS SOLD]]=0,0,SUMIFS(SIP[Cost of Units Sold],SIP[Investor ID],INVESTORS_LIST[[#This Row],[INVESTOR CODE]],SIP[B/S],"S"))</f>
        <v>0</v>
      </c>
      <c r="Q619" s="6">
        <f>IF(INVESTORS_LIST[[#This Row],[SIP_TOTAL CURRENT UNITS]]=0,0,INVESTORS_LIST[[#This Row],[SIP_TOTAL CURRENT UNITS]]*INVESTORS_LIST[[#This Row],[SIP_AVERAGE COST]])</f>
        <v>0</v>
      </c>
      <c r="R619" s="6">
        <f>IF(INVESTORS_LIST[[#This Row],[SIP_TOTAL UNITS SOLD]]=0,0,SUMIFS(SIP[Realized Gain],SIP[Investor ID],INVESTORS_LIST[[#This Row],[INVESTOR CODE]],SIP[B/S],"S"))</f>
        <v>0</v>
      </c>
      <c r="S619" s="33">
        <f>INVESTORS_LIST[[#This Row],[LS_TOTAL UNITS BUY]]+INVESTORS_LIST[[#This Row],[SIP_TOTAL UNITS BUY]]</f>
        <v>0</v>
      </c>
      <c r="T619" s="33">
        <f>INVESTORS_LIST[[#This Row],[LS_TOTAL UNITS SOLD]]+INVESTORS_LIST[[#This Row],[SIP_TOTAL UNITS SOLD]]</f>
        <v>0</v>
      </c>
      <c r="U619" s="33">
        <v>0</v>
      </c>
      <c r="V619" s="33">
        <f>SUMIFS(LS[BO UNIT TRANSFER],LS[Investor ID],INVESTORS_LIST[[#This Row],[INVESTOR CODE]],LS[B/S],"B")</f>
        <v>0</v>
      </c>
      <c r="W619" s="33">
        <f>SUMIFS(LS[BO UNIT TRANSFER],LS[Investor ID],INVESTORS_LIST[[#This Row],[INVESTOR CODE]],LS[B/S],"S")</f>
        <v>0</v>
      </c>
      <c r="X619" s="33">
        <f>SUMIFS(SIP[BO UNIT TRANSFER],SIP[Investor ID],INVESTORS_LIST[[#This Row],[INVESTOR CODE]],SIP[B/S],"S")</f>
        <v>0</v>
      </c>
      <c r="Y619" s="33">
        <f>SUMIFS(SIP[BO UNIT TRANSFER],SIP[Investor ID],INVESTORS_LIST[[#This Row],[INVESTOR CODE]],SIP[B/S],"B")</f>
        <v>0</v>
      </c>
      <c r="Z61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19" s="119">
        <f>INVESTORS_LIST[[#This Row],[TOTAL UNITS BUY]]-INVESTORS_LIST[[#This Row],[TOTAL UNITS SOLD]]</f>
        <v>0</v>
      </c>
      <c r="AB619" s="119">
        <f>INVESTORS_LIST[[#This Row],[TOTAL CURRENT UNITS]]-INVESTORS_LIST[[#This Row],[BO UNITS HOLD]]</f>
        <v>0</v>
      </c>
      <c r="AC619" s="119" t="e">
        <f>INDEX([4]!Table_1[BO ID],MATCH(INVESTORS_LIST[[#This Row],[INVESTOR CODE]],[4]!Table_1[INVESTOR CODE],0))</f>
        <v>#REF!</v>
      </c>
      <c r="AD619" s="33">
        <f>INVESTORS_LIST[[#This Row],[LS_TOTAL COST VALUE OF CURRENT UNITS]]+INVESTORS_LIST[[#This Row],[SIP_TOTAL COST VALUE OF CURRENT UNITS]]</f>
        <v>0</v>
      </c>
      <c r="AE619" s="44">
        <f>IF(INVESTORS_LIST[[#This Row],[TOTAL CURRENT UNITS]]=0,0,INVESTORS_LIST[[#This Row],[LS_TOTAL CURRENT UNITS]]/INVESTORS_LIST[[#This Row],[TOTAL CURRENT UNITS]])</f>
        <v>0</v>
      </c>
      <c r="AF619" s="44">
        <f>IF(INVESTORS_LIST[[#This Row],[TOTAL CURRENT UNITS]]=0,0,INVESTORS_LIST[[#This Row],[SIP_TOTAL CURRENT UNITS]]/INVESTORS_LIST[[#This Row],[TOTAL CURRENT UNITS]])</f>
        <v>0</v>
      </c>
      <c r="AG619" s="4" cm="1">
        <f t="array" ref="AG61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19" s="4" cm="1">
        <f t="array" ref="AH6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1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19" s="178">
        <f t="shared" si="15"/>
        <v>12.552</v>
      </c>
      <c r="AK619" s="118">
        <f>IF(INVESTORS_LIST[[#This Row],[TOTAL CURRENT UNITS]]=0,0,INVESTORS_LIST[[#This Row],[TOTAL CURRENT UNITS]]*INVESTORS_LIST[[#This Row],[NAV]])</f>
        <v>0</v>
      </c>
      <c r="AL619" s="4">
        <f>IF(INVESTORS_LIST[[#This Row],[LS_TOTAL CURRENT UNITS]]=0,0,INVESTORS_LIST[[#This Row],[LS_TOTAL CURRENT UNITS]]*INVESTORS_LIST[[#This Row],[NAV]])</f>
        <v>0</v>
      </c>
      <c r="AM619" s="6">
        <f>IF(INVESTORS_LIST[[#This Row],[SIP_TOTAL CURRENT UNITS]]=0,0,INVESTORS_LIST[[#This Row],[SIP_TOTAL CURRENT UNITS]]*INVESTORS_LIST[[#This Row],[NAV]])</f>
        <v>0</v>
      </c>
      <c r="AO619" s="6">
        <f>IF(INVESTORS_LIST[[#This Row],[TOTAL SELLABLE UNITS]]=0,0,INVESTORS_LIST[[#This Row],[TOTAL SELLABLE UNITS]]*INVESTORS_LIST[[#This Row],[NAV]])</f>
        <v>0</v>
      </c>
      <c r="AP619" s="6">
        <f>INVESTORS_LIST[[#This Row],[LS_TOTAL REALIZED GAIN]]+INVESTORS_LIST[[#This Row],[SIP_TOTAL REALIZED GAIN]]</f>
        <v>0</v>
      </c>
      <c r="AQ619" s="6">
        <f>INVESTORS_LIST[[#This Row],[TOTAL MARKET VALUE]]-INVESTORS_LIST[[#This Row],[TOTAL COST VALUE OF CURRENT INVESTMENT]]</f>
        <v>0</v>
      </c>
      <c r="AR619" s="6">
        <f>SUMIFS(DivAndTax[Tax Amount],DivAndTax[Investor ID],INVESTORS_LIST[[#This Row],[INVESTOR CODE]])</f>
        <v>0</v>
      </c>
      <c r="AS619" s="6">
        <f>SUMIFS(DivAndTax[Gross Dividend],DivAndTax[Investor ID],INVESTORS_LIST[[#This Row],[INVESTOR CODE]])</f>
        <v>0</v>
      </c>
      <c r="AT619" s="5">
        <f>IFERROR(INVESTORS_LIST[[#This Row],[TOTAL CURRENT UNITS]]/SUM(INVESTORS_LIST[TOTAL CURRENT UNITS]),0)</f>
        <v>0</v>
      </c>
    </row>
    <row r="620" spans="1:46" hidden="1">
      <c r="A620" t="s">
        <v>1427</v>
      </c>
      <c r="B620" t="s">
        <v>1428</v>
      </c>
      <c r="C620" t="s">
        <v>539</v>
      </c>
      <c r="D620" s="8" t="s">
        <v>2</v>
      </c>
      <c r="E620" s="2">
        <f>SUMIFS(LS[Unit],LS[Investor ID],INVESTORS_LIST[[#This Row],[INVESTOR CODE]],LS[B/S],"B")</f>
        <v>57404</v>
      </c>
      <c r="F620" s="2">
        <f>-SUMIFS(LS[Unit],LS[Investor ID],INVESTORS_LIST[[#This Row],[INVESTOR CODE]],LS[B/S],"S")</f>
        <v>57404</v>
      </c>
      <c r="G620" s="2">
        <f>IF(INVESTORS_LIST[[#This Row],[LS_TOTAL UNITS BUY]]=0,0,INVESTORS_LIST[[#This Row],[LS_TOTAL UNITS BUY]]-INVESTORS_LIST[[#This Row],[LS_TOTAL UNITS SOLD]])</f>
        <v>0</v>
      </c>
      <c r="H620" s="4">
        <f>IF(INVESTORS_LIST[[#This Row],[LS_TOTAL UNITS BUY]]=0,0,SUMIFS(LS[Amount],LS[Investor ID],INVESTORS_LIST[[#This Row],[INVESTOR CODE]],LS[B/S],"B"))</f>
        <v>700000</v>
      </c>
      <c r="I620" s="6">
        <f>IF(INVESTORS_LIST[[#This Row],[LS_TOTAL UNITS SOLD]]=0,0,SUMIFS(LS[Cost of Units Sold],LS[Investor ID],INVESTORS_LIST[[#This Row],[INVESTOR CODE]],LS[B/S],"S"))</f>
        <v>700000</v>
      </c>
      <c r="J620" s="6">
        <f>IF(INVESTORS_LIST[[#This Row],[LS_TOTAL CURRENT UNITS]]=0,0,INVESTORS_LIST[[#This Row],[LS_TOTAL CURRENT UNITS]]*INVESTORS_LIST[[#This Row],[LS_AVERAGE COST]])</f>
        <v>0</v>
      </c>
      <c r="K620" s="4">
        <f>IF(INVESTORS_LIST[[#This Row],[LS_TOTAL UNITS SOLD]]=0,0,SUMIFS(LS[Realized Gain],LS[Investor ID],INVESTORS_LIST[[#This Row],[INVESTOR CODE]],LS[B/S],"S"))</f>
        <v>6003.7499999999363</v>
      </c>
      <c r="L620" s="2">
        <f>SUMIFS(SIP[Unit],SIP[Investor ID],INVESTORS_LIST[[#This Row],[INVESTOR CODE]],SIP[B/S],"B")</f>
        <v>0</v>
      </c>
      <c r="M620" s="2">
        <f>-SUMIFS(SIP[Unit],SIP[Investor ID],INVESTORS_LIST[[#This Row],[INVESTOR CODE]],SIP[B/S],"S")</f>
        <v>0</v>
      </c>
      <c r="N620" s="33">
        <f>IF(INVESTORS_LIST[[#This Row],[SIP_TOTAL UNITS BUY]]=0,0,INVESTORS_LIST[[#This Row],[SIP_TOTAL UNITS BUY]]-INVESTORS_LIST[[#This Row],[SIP_TOTAL UNITS SOLD]])</f>
        <v>0</v>
      </c>
      <c r="O620" s="4">
        <f>IF(INVESTORS_LIST[[#This Row],[SIP_TOTAL UNITS BUY]]=0,0,SUMIFS(SIP[Amount],SIP[Investor ID],INVESTORS_LIST[[#This Row],[INVESTOR CODE]],SIP[B/S],"B"))</f>
        <v>0</v>
      </c>
      <c r="P620" s="4">
        <f>IF(INVESTORS_LIST[[#This Row],[SIP_TOTAL UNITS SOLD]]=0,0,SUMIFS(SIP[Cost of Units Sold],SIP[Investor ID],INVESTORS_LIST[[#This Row],[INVESTOR CODE]],SIP[B/S],"S"))</f>
        <v>0</v>
      </c>
      <c r="Q620" s="6">
        <f>IF(INVESTORS_LIST[[#This Row],[SIP_TOTAL CURRENT UNITS]]=0,0,INVESTORS_LIST[[#This Row],[SIP_TOTAL CURRENT UNITS]]*INVESTORS_LIST[[#This Row],[SIP_AVERAGE COST]])</f>
        <v>0</v>
      </c>
      <c r="R620" s="6">
        <f>IF(INVESTORS_LIST[[#This Row],[SIP_TOTAL UNITS SOLD]]=0,0,SUMIFS(SIP[Realized Gain],SIP[Investor ID],INVESTORS_LIST[[#This Row],[INVESTOR CODE]],SIP[B/S],"S"))</f>
        <v>0</v>
      </c>
      <c r="S620" s="33">
        <f>INVESTORS_LIST[[#This Row],[LS_TOTAL UNITS BUY]]+INVESTORS_LIST[[#This Row],[SIP_TOTAL UNITS BUY]]</f>
        <v>57404</v>
      </c>
      <c r="T620" s="33">
        <f>INVESTORS_LIST[[#This Row],[LS_TOTAL UNITS SOLD]]+INVESTORS_LIST[[#This Row],[SIP_TOTAL UNITS SOLD]]</f>
        <v>57404</v>
      </c>
      <c r="U620" s="33">
        <v>0</v>
      </c>
      <c r="V620" s="33">
        <f>SUMIFS(LS[BO UNIT TRANSFER],LS[Investor ID],INVESTORS_LIST[[#This Row],[INVESTOR CODE]],LS[B/S],"B")</f>
        <v>0</v>
      </c>
      <c r="W620" s="33">
        <f>SUMIFS(LS[BO UNIT TRANSFER],LS[Investor ID],INVESTORS_LIST[[#This Row],[INVESTOR CODE]],LS[B/S],"S")</f>
        <v>0</v>
      </c>
      <c r="X620" s="33">
        <f>SUMIFS(SIP[BO UNIT TRANSFER],SIP[Investor ID],INVESTORS_LIST[[#This Row],[INVESTOR CODE]],SIP[B/S],"S")</f>
        <v>0</v>
      </c>
      <c r="Y620" s="33">
        <f>SUMIFS(SIP[BO UNIT TRANSFER],SIP[Investor ID],INVESTORS_LIST[[#This Row],[INVESTOR CODE]],SIP[B/S],"B")</f>
        <v>0</v>
      </c>
      <c r="Z62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20" s="119">
        <f>INVESTORS_LIST[[#This Row],[TOTAL UNITS BUY]]-INVESTORS_LIST[[#This Row],[TOTAL UNITS SOLD]]</f>
        <v>0</v>
      </c>
      <c r="AB620" s="119">
        <f>INVESTORS_LIST[[#This Row],[TOTAL CURRENT UNITS]]-INVESTORS_LIST[[#This Row],[BO UNITS HOLD]]</f>
        <v>0</v>
      </c>
      <c r="AC620" s="119" t="e">
        <f>INDEX([4]!Table_1[BO ID],MATCH(INVESTORS_LIST[[#This Row],[INVESTOR CODE]],[4]!Table_1[INVESTOR CODE],0))</f>
        <v>#REF!</v>
      </c>
      <c r="AD620" s="33">
        <f>INVESTORS_LIST[[#This Row],[LS_TOTAL COST VALUE OF CURRENT UNITS]]+INVESTORS_LIST[[#This Row],[SIP_TOTAL COST VALUE OF CURRENT UNITS]]</f>
        <v>0</v>
      </c>
      <c r="AE620" s="44">
        <f>IF(INVESTORS_LIST[[#This Row],[TOTAL CURRENT UNITS]]=0,0,INVESTORS_LIST[[#This Row],[LS_TOTAL CURRENT UNITS]]/INVESTORS_LIST[[#This Row],[TOTAL CURRENT UNITS]])</f>
        <v>0</v>
      </c>
      <c r="AF620" s="44">
        <f>IF(INVESTORS_LIST[[#This Row],[TOTAL CURRENT UNITS]]=0,0,INVESTORS_LIST[[#This Row],[SIP_TOTAL CURRENT UNITS]]/INVESTORS_LIST[[#This Row],[TOTAL CURRENT UNITS]])</f>
        <v>0</v>
      </c>
      <c r="AG620" s="4" cm="1">
        <f t="array" ref="AG62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20" s="4" cm="1">
        <f t="array" ref="AH6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2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20" s="178">
        <f t="shared" si="15"/>
        <v>12.552</v>
      </c>
      <c r="AK620" s="118">
        <f>IF(INVESTORS_LIST[[#This Row],[TOTAL CURRENT UNITS]]=0,0,INVESTORS_LIST[[#This Row],[TOTAL CURRENT UNITS]]*INVESTORS_LIST[[#This Row],[NAV]])</f>
        <v>0</v>
      </c>
      <c r="AL620" s="4">
        <f>IF(INVESTORS_LIST[[#This Row],[LS_TOTAL CURRENT UNITS]]=0,0,INVESTORS_LIST[[#This Row],[LS_TOTAL CURRENT UNITS]]*INVESTORS_LIST[[#This Row],[NAV]])</f>
        <v>0</v>
      </c>
      <c r="AM620" s="6">
        <f>IF(INVESTORS_LIST[[#This Row],[SIP_TOTAL CURRENT UNITS]]=0,0,INVESTORS_LIST[[#This Row],[SIP_TOTAL CURRENT UNITS]]*INVESTORS_LIST[[#This Row],[NAV]])</f>
        <v>0</v>
      </c>
      <c r="AO620" s="6">
        <f>IF(INVESTORS_LIST[[#This Row],[TOTAL SELLABLE UNITS]]=0,0,INVESTORS_LIST[[#This Row],[TOTAL SELLABLE UNITS]]*INVESTORS_LIST[[#This Row],[NAV]])</f>
        <v>0</v>
      </c>
      <c r="AP620" s="6">
        <f>INVESTORS_LIST[[#This Row],[LS_TOTAL REALIZED GAIN]]+INVESTORS_LIST[[#This Row],[SIP_TOTAL REALIZED GAIN]]</f>
        <v>6003.7499999999363</v>
      </c>
      <c r="AQ620" s="6">
        <f>INVESTORS_LIST[[#This Row],[TOTAL MARKET VALUE]]-INVESTORS_LIST[[#This Row],[TOTAL COST VALUE OF CURRENT INVESTMENT]]</f>
        <v>0</v>
      </c>
      <c r="AR620" s="6">
        <f>SUMIFS(DivAndTax[Tax Amount],DivAndTax[Investor ID],INVESTORS_LIST[[#This Row],[INVESTOR CODE]])</f>
        <v>0</v>
      </c>
      <c r="AS620" s="6">
        <f>SUMIFS(DivAndTax[Gross Dividend],DivAndTax[Investor ID],INVESTORS_LIST[[#This Row],[INVESTOR CODE]])</f>
        <v>0</v>
      </c>
      <c r="AT620" s="5">
        <f>IFERROR(INVESTORS_LIST[[#This Row],[TOTAL CURRENT UNITS]]/SUM(INVESTORS_LIST[TOTAL CURRENT UNITS]),0)</f>
        <v>0</v>
      </c>
    </row>
    <row r="621" spans="1:46" hidden="1">
      <c r="A621" t="s">
        <v>1429</v>
      </c>
      <c r="B621" t="s">
        <v>1430</v>
      </c>
      <c r="C621" t="s">
        <v>536</v>
      </c>
      <c r="D621" s="8" t="s">
        <v>2</v>
      </c>
      <c r="E621" s="2">
        <f>SUMIFS(LS[Unit],LS[Investor ID],INVESTORS_LIST[[#This Row],[INVESTOR CODE]],LS[B/S],"B")</f>
        <v>0</v>
      </c>
      <c r="F621" s="2">
        <f>-SUMIFS(LS[Unit],LS[Investor ID],INVESTORS_LIST[[#This Row],[INVESTOR CODE]],LS[B/S],"S")</f>
        <v>0</v>
      </c>
      <c r="G621" s="2">
        <f>IF(INVESTORS_LIST[[#This Row],[LS_TOTAL UNITS BUY]]=0,0,INVESTORS_LIST[[#This Row],[LS_TOTAL UNITS BUY]]-INVESTORS_LIST[[#This Row],[LS_TOTAL UNITS SOLD]])</f>
        <v>0</v>
      </c>
      <c r="H621" s="4">
        <f>IF(INVESTORS_LIST[[#This Row],[LS_TOTAL UNITS BUY]]=0,0,SUMIFS(LS[Amount],LS[Investor ID],INVESTORS_LIST[[#This Row],[INVESTOR CODE]],LS[B/S],"B"))</f>
        <v>0</v>
      </c>
      <c r="I621" s="6">
        <f>IF(INVESTORS_LIST[[#This Row],[LS_TOTAL UNITS SOLD]]=0,0,SUMIFS(LS[Cost of Units Sold],LS[Investor ID],INVESTORS_LIST[[#This Row],[INVESTOR CODE]],LS[B/S],"S"))</f>
        <v>0</v>
      </c>
      <c r="J621" s="6">
        <f>IF(INVESTORS_LIST[[#This Row],[LS_TOTAL CURRENT UNITS]]=0,0,INVESTORS_LIST[[#This Row],[LS_TOTAL CURRENT UNITS]]*INVESTORS_LIST[[#This Row],[LS_AVERAGE COST]])</f>
        <v>0</v>
      </c>
      <c r="K621" s="4">
        <f>IF(INVESTORS_LIST[[#This Row],[LS_TOTAL UNITS SOLD]]=0,0,SUMIFS(LS[Realized Gain],LS[Investor ID],INVESTORS_LIST[[#This Row],[INVESTOR CODE]],LS[B/S],"S"))</f>
        <v>0</v>
      </c>
      <c r="L621" s="2">
        <f>SUMIFS(SIP[Unit],SIP[Investor ID],INVESTORS_LIST[[#This Row],[INVESTOR CODE]],SIP[B/S],"B")</f>
        <v>0</v>
      </c>
      <c r="M621" s="2">
        <f>-SUMIFS(SIP[Unit],SIP[Investor ID],INVESTORS_LIST[[#This Row],[INVESTOR CODE]],SIP[B/S],"S")</f>
        <v>0</v>
      </c>
      <c r="N621" s="33">
        <f>IF(INVESTORS_LIST[[#This Row],[SIP_TOTAL UNITS BUY]]=0,0,INVESTORS_LIST[[#This Row],[SIP_TOTAL UNITS BUY]]-INVESTORS_LIST[[#This Row],[SIP_TOTAL UNITS SOLD]])</f>
        <v>0</v>
      </c>
      <c r="O621" s="4">
        <f>IF(INVESTORS_LIST[[#This Row],[SIP_TOTAL UNITS BUY]]=0,0,SUMIFS(SIP[Amount],SIP[Investor ID],INVESTORS_LIST[[#This Row],[INVESTOR CODE]],SIP[B/S],"B"))</f>
        <v>0</v>
      </c>
      <c r="P621" s="4">
        <f>IF(INVESTORS_LIST[[#This Row],[SIP_TOTAL UNITS SOLD]]=0,0,SUMIFS(SIP[Cost of Units Sold],SIP[Investor ID],INVESTORS_LIST[[#This Row],[INVESTOR CODE]],SIP[B/S],"S"))</f>
        <v>0</v>
      </c>
      <c r="Q621" s="6">
        <f>IF(INVESTORS_LIST[[#This Row],[SIP_TOTAL CURRENT UNITS]]=0,0,INVESTORS_LIST[[#This Row],[SIP_TOTAL CURRENT UNITS]]*INVESTORS_LIST[[#This Row],[SIP_AVERAGE COST]])</f>
        <v>0</v>
      </c>
      <c r="R621" s="6">
        <f>IF(INVESTORS_LIST[[#This Row],[SIP_TOTAL UNITS SOLD]]=0,0,SUMIFS(SIP[Realized Gain],SIP[Investor ID],INVESTORS_LIST[[#This Row],[INVESTOR CODE]],SIP[B/S],"S"))</f>
        <v>0</v>
      </c>
      <c r="S621" s="33">
        <f>INVESTORS_LIST[[#This Row],[LS_TOTAL UNITS BUY]]+INVESTORS_LIST[[#This Row],[SIP_TOTAL UNITS BUY]]</f>
        <v>0</v>
      </c>
      <c r="T621" s="33">
        <f>INVESTORS_LIST[[#This Row],[LS_TOTAL UNITS SOLD]]+INVESTORS_LIST[[#This Row],[SIP_TOTAL UNITS SOLD]]</f>
        <v>0</v>
      </c>
      <c r="U621" s="33">
        <v>0</v>
      </c>
      <c r="V621" s="33">
        <f>SUMIFS(LS[BO UNIT TRANSFER],LS[Investor ID],INVESTORS_LIST[[#This Row],[INVESTOR CODE]],LS[B/S],"B")</f>
        <v>0</v>
      </c>
      <c r="W621" s="33">
        <f>SUMIFS(LS[BO UNIT TRANSFER],LS[Investor ID],INVESTORS_LIST[[#This Row],[INVESTOR CODE]],LS[B/S],"S")</f>
        <v>0</v>
      </c>
      <c r="X621" s="33">
        <f>SUMIFS(SIP[BO UNIT TRANSFER],SIP[Investor ID],INVESTORS_LIST[[#This Row],[INVESTOR CODE]],SIP[B/S],"S")</f>
        <v>0</v>
      </c>
      <c r="Y621" s="33">
        <f>SUMIFS(SIP[BO UNIT TRANSFER],SIP[Investor ID],INVESTORS_LIST[[#This Row],[INVESTOR CODE]],SIP[B/S],"B")</f>
        <v>0</v>
      </c>
      <c r="Z62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21" s="119">
        <f>INVESTORS_LIST[[#This Row],[TOTAL UNITS BUY]]-INVESTORS_LIST[[#This Row],[TOTAL UNITS SOLD]]</f>
        <v>0</v>
      </c>
      <c r="AB621" s="119">
        <f>INVESTORS_LIST[[#This Row],[TOTAL CURRENT UNITS]]-INVESTORS_LIST[[#This Row],[BO UNITS HOLD]]</f>
        <v>0</v>
      </c>
      <c r="AC621" s="119" t="e">
        <f>INDEX([4]!Table_1[BO ID],MATCH(INVESTORS_LIST[[#This Row],[INVESTOR CODE]],[4]!Table_1[INVESTOR CODE],0))</f>
        <v>#REF!</v>
      </c>
      <c r="AD621" s="33">
        <f>INVESTORS_LIST[[#This Row],[LS_TOTAL COST VALUE OF CURRENT UNITS]]+INVESTORS_LIST[[#This Row],[SIP_TOTAL COST VALUE OF CURRENT UNITS]]</f>
        <v>0</v>
      </c>
      <c r="AE621" s="44">
        <f>IF(INVESTORS_LIST[[#This Row],[TOTAL CURRENT UNITS]]=0,0,INVESTORS_LIST[[#This Row],[LS_TOTAL CURRENT UNITS]]/INVESTORS_LIST[[#This Row],[TOTAL CURRENT UNITS]])</f>
        <v>0</v>
      </c>
      <c r="AF621" s="44">
        <f>IF(INVESTORS_LIST[[#This Row],[TOTAL CURRENT UNITS]]=0,0,INVESTORS_LIST[[#This Row],[SIP_TOTAL CURRENT UNITS]]/INVESTORS_LIST[[#This Row],[TOTAL CURRENT UNITS]])</f>
        <v>0</v>
      </c>
      <c r="AG621" s="4" cm="1">
        <f t="array" ref="AG6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21" s="4" cm="1">
        <f t="array" ref="AH6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2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21" s="178">
        <f t="shared" si="15"/>
        <v>12.552</v>
      </c>
      <c r="AK621" s="118">
        <f>IF(INVESTORS_LIST[[#This Row],[TOTAL CURRENT UNITS]]=0,0,INVESTORS_LIST[[#This Row],[TOTAL CURRENT UNITS]]*INVESTORS_LIST[[#This Row],[NAV]])</f>
        <v>0</v>
      </c>
      <c r="AL621" s="4">
        <f>IF(INVESTORS_LIST[[#This Row],[LS_TOTAL CURRENT UNITS]]=0,0,INVESTORS_LIST[[#This Row],[LS_TOTAL CURRENT UNITS]]*INVESTORS_LIST[[#This Row],[NAV]])</f>
        <v>0</v>
      </c>
      <c r="AM621" s="6">
        <f>IF(INVESTORS_LIST[[#This Row],[SIP_TOTAL CURRENT UNITS]]=0,0,INVESTORS_LIST[[#This Row],[SIP_TOTAL CURRENT UNITS]]*INVESTORS_LIST[[#This Row],[NAV]])</f>
        <v>0</v>
      </c>
      <c r="AO621" s="6">
        <f>IF(INVESTORS_LIST[[#This Row],[TOTAL SELLABLE UNITS]]=0,0,INVESTORS_LIST[[#This Row],[TOTAL SELLABLE UNITS]]*INVESTORS_LIST[[#This Row],[NAV]])</f>
        <v>0</v>
      </c>
      <c r="AP621" s="6">
        <f>INVESTORS_LIST[[#This Row],[LS_TOTAL REALIZED GAIN]]+INVESTORS_LIST[[#This Row],[SIP_TOTAL REALIZED GAIN]]</f>
        <v>0</v>
      </c>
      <c r="AQ621" s="6">
        <f>INVESTORS_LIST[[#This Row],[TOTAL MARKET VALUE]]-INVESTORS_LIST[[#This Row],[TOTAL COST VALUE OF CURRENT INVESTMENT]]</f>
        <v>0</v>
      </c>
      <c r="AR621" s="6">
        <f>SUMIFS(DivAndTax[Tax Amount],DivAndTax[Investor ID],INVESTORS_LIST[[#This Row],[INVESTOR CODE]])</f>
        <v>0</v>
      </c>
      <c r="AS621" s="6">
        <f>SUMIFS(DivAndTax[Gross Dividend],DivAndTax[Investor ID],INVESTORS_LIST[[#This Row],[INVESTOR CODE]])</f>
        <v>0</v>
      </c>
      <c r="AT621" s="5">
        <f>IFERROR(INVESTORS_LIST[[#This Row],[TOTAL CURRENT UNITS]]/SUM(INVESTORS_LIST[TOTAL CURRENT UNITS]),0)</f>
        <v>0</v>
      </c>
    </row>
    <row r="622" spans="1:46" hidden="1">
      <c r="A622" t="s">
        <v>1431</v>
      </c>
      <c r="B622" t="s">
        <v>1432</v>
      </c>
      <c r="C622" t="s">
        <v>536</v>
      </c>
      <c r="D622" s="8" t="s">
        <v>2</v>
      </c>
      <c r="E622" s="2">
        <f>SUMIFS(LS[Unit],LS[Investor ID],INVESTORS_LIST[[#This Row],[INVESTOR CODE]],LS[B/S],"B")</f>
        <v>0</v>
      </c>
      <c r="F622" s="2">
        <f>-SUMIFS(LS[Unit],LS[Investor ID],INVESTORS_LIST[[#This Row],[INVESTOR CODE]],LS[B/S],"S")</f>
        <v>0</v>
      </c>
      <c r="G622" s="2">
        <f>IF(INVESTORS_LIST[[#This Row],[LS_TOTAL UNITS BUY]]=0,0,INVESTORS_LIST[[#This Row],[LS_TOTAL UNITS BUY]]-INVESTORS_LIST[[#This Row],[LS_TOTAL UNITS SOLD]])</f>
        <v>0</v>
      </c>
      <c r="H622" s="4">
        <f>IF(INVESTORS_LIST[[#This Row],[LS_TOTAL UNITS BUY]]=0,0,SUMIFS(LS[Amount],LS[Investor ID],INVESTORS_LIST[[#This Row],[INVESTOR CODE]],LS[B/S],"B"))</f>
        <v>0</v>
      </c>
      <c r="I622" s="6">
        <f>IF(INVESTORS_LIST[[#This Row],[LS_TOTAL UNITS SOLD]]=0,0,SUMIFS(LS[Cost of Units Sold],LS[Investor ID],INVESTORS_LIST[[#This Row],[INVESTOR CODE]],LS[B/S],"S"))</f>
        <v>0</v>
      </c>
      <c r="J622" s="6">
        <f>IF(INVESTORS_LIST[[#This Row],[LS_TOTAL CURRENT UNITS]]=0,0,INVESTORS_LIST[[#This Row],[LS_TOTAL CURRENT UNITS]]*INVESTORS_LIST[[#This Row],[LS_AVERAGE COST]])</f>
        <v>0</v>
      </c>
      <c r="K622" s="4">
        <f>IF(INVESTORS_LIST[[#This Row],[LS_TOTAL UNITS SOLD]]=0,0,SUMIFS(LS[Realized Gain],LS[Investor ID],INVESTORS_LIST[[#This Row],[INVESTOR CODE]],LS[B/S],"S"))</f>
        <v>0</v>
      </c>
      <c r="L622" s="2">
        <f>SUMIFS(SIP[Unit],SIP[Investor ID],INVESTORS_LIST[[#This Row],[INVESTOR CODE]],SIP[B/S],"B")</f>
        <v>0</v>
      </c>
      <c r="M622" s="2">
        <f>-SUMIFS(SIP[Unit],SIP[Investor ID],INVESTORS_LIST[[#This Row],[INVESTOR CODE]],SIP[B/S],"S")</f>
        <v>0</v>
      </c>
      <c r="N622" s="33">
        <f>IF(INVESTORS_LIST[[#This Row],[SIP_TOTAL UNITS BUY]]=0,0,INVESTORS_LIST[[#This Row],[SIP_TOTAL UNITS BUY]]-INVESTORS_LIST[[#This Row],[SIP_TOTAL UNITS SOLD]])</f>
        <v>0</v>
      </c>
      <c r="O622" s="4">
        <f>IF(INVESTORS_LIST[[#This Row],[SIP_TOTAL UNITS BUY]]=0,0,SUMIFS(SIP[Amount],SIP[Investor ID],INVESTORS_LIST[[#This Row],[INVESTOR CODE]],SIP[B/S],"B"))</f>
        <v>0</v>
      </c>
      <c r="P622" s="4">
        <f>IF(INVESTORS_LIST[[#This Row],[SIP_TOTAL UNITS SOLD]]=0,0,SUMIFS(SIP[Cost of Units Sold],SIP[Investor ID],INVESTORS_LIST[[#This Row],[INVESTOR CODE]],SIP[B/S],"S"))</f>
        <v>0</v>
      </c>
      <c r="Q622" s="6">
        <f>IF(INVESTORS_LIST[[#This Row],[SIP_TOTAL CURRENT UNITS]]=0,0,INVESTORS_LIST[[#This Row],[SIP_TOTAL CURRENT UNITS]]*INVESTORS_LIST[[#This Row],[SIP_AVERAGE COST]])</f>
        <v>0</v>
      </c>
      <c r="R622" s="6">
        <f>IF(INVESTORS_LIST[[#This Row],[SIP_TOTAL UNITS SOLD]]=0,0,SUMIFS(SIP[Realized Gain],SIP[Investor ID],INVESTORS_LIST[[#This Row],[INVESTOR CODE]],SIP[B/S],"S"))</f>
        <v>0</v>
      </c>
      <c r="S622" s="33">
        <f>INVESTORS_LIST[[#This Row],[LS_TOTAL UNITS BUY]]+INVESTORS_LIST[[#This Row],[SIP_TOTAL UNITS BUY]]</f>
        <v>0</v>
      </c>
      <c r="T622" s="33">
        <f>INVESTORS_LIST[[#This Row],[LS_TOTAL UNITS SOLD]]+INVESTORS_LIST[[#This Row],[SIP_TOTAL UNITS SOLD]]</f>
        <v>0</v>
      </c>
      <c r="U622" s="33">
        <v>0</v>
      </c>
      <c r="V622" s="33">
        <f>SUMIFS(LS[BO UNIT TRANSFER],LS[Investor ID],INVESTORS_LIST[[#This Row],[INVESTOR CODE]],LS[B/S],"B")</f>
        <v>0</v>
      </c>
      <c r="W622" s="33">
        <f>SUMIFS(LS[BO UNIT TRANSFER],LS[Investor ID],INVESTORS_LIST[[#This Row],[INVESTOR CODE]],LS[B/S],"S")</f>
        <v>0</v>
      </c>
      <c r="X622" s="33">
        <f>SUMIFS(SIP[BO UNIT TRANSFER],SIP[Investor ID],INVESTORS_LIST[[#This Row],[INVESTOR CODE]],SIP[B/S],"S")</f>
        <v>0</v>
      </c>
      <c r="Y622" s="33">
        <f>SUMIFS(SIP[BO UNIT TRANSFER],SIP[Investor ID],INVESTORS_LIST[[#This Row],[INVESTOR CODE]],SIP[B/S],"B")</f>
        <v>0</v>
      </c>
      <c r="Z62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22" s="119">
        <f>INVESTORS_LIST[[#This Row],[TOTAL UNITS BUY]]-INVESTORS_LIST[[#This Row],[TOTAL UNITS SOLD]]</f>
        <v>0</v>
      </c>
      <c r="AB622" s="119">
        <f>INVESTORS_LIST[[#This Row],[TOTAL CURRENT UNITS]]-INVESTORS_LIST[[#This Row],[BO UNITS HOLD]]</f>
        <v>0</v>
      </c>
      <c r="AC622" s="119" t="e">
        <f>INDEX([4]!Table_1[BO ID],MATCH(INVESTORS_LIST[[#This Row],[INVESTOR CODE]],[4]!Table_1[INVESTOR CODE],0))</f>
        <v>#REF!</v>
      </c>
      <c r="AD622" s="33">
        <f>INVESTORS_LIST[[#This Row],[LS_TOTAL COST VALUE OF CURRENT UNITS]]+INVESTORS_LIST[[#This Row],[SIP_TOTAL COST VALUE OF CURRENT UNITS]]</f>
        <v>0</v>
      </c>
      <c r="AE622" s="44">
        <f>IF(INVESTORS_LIST[[#This Row],[TOTAL CURRENT UNITS]]=0,0,INVESTORS_LIST[[#This Row],[LS_TOTAL CURRENT UNITS]]/INVESTORS_LIST[[#This Row],[TOTAL CURRENT UNITS]])</f>
        <v>0</v>
      </c>
      <c r="AF622" s="44">
        <f>IF(INVESTORS_LIST[[#This Row],[TOTAL CURRENT UNITS]]=0,0,INVESTORS_LIST[[#This Row],[SIP_TOTAL CURRENT UNITS]]/INVESTORS_LIST[[#This Row],[TOTAL CURRENT UNITS]])</f>
        <v>0</v>
      </c>
      <c r="AG622" s="4" cm="1">
        <f t="array" ref="AG6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22" s="4" cm="1">
        <f t="array" ref="AH6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2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22" s="178">
        <f t="shared" si="15"/>
        <v>12.552</v>
      </c>
      <c r="AK622" s="118">
        <f>IF(INVESTORS_LIST[[#This Row],[TOTAL CURRENT UNITS]]=0,0,INVESTORS_LIST[[#This Row],[TOTAL CURRENT UNITS]]*INVESTORS_LIST[[#This Row],[NAV]])</f>
        <v>0</v>
      </c>
      <c r="AL622" s="4">
        <f>IF(INVESTORS_LIST[[#This Row],[LS_TOTAL CURRENT UNITS]]=0,0,INVESTORS_LIST[[#This Row],[LS_TOTAL CURRENT UNITS]]*INVESTORS_LIST[[#This Row],[NAV]])</f>
        <v>0</v>
      </c>
      <c r="AM622" s="6">
        <f>IF(INVESTORS_LIST[[#This Row],[SIP_TOTAL CURRENT UNITS]]=0,0,INVESTORS_LIST[[#This Row],[SIP_TOTAL CURRENT UNITS]]*INVESTORS_LIST[[#This Row],[NAV]])</f>
        <v>0</v>
      </c>
      <c r="AO622" s="6">
        <f>IF(INVESTORS_LIST[[#This Row],[TOTAL SELLABLE UNITS]]=0,0,INVESTORS_LIST[[#This Row],[TOTAL SELLABLE UNITS]]*INVESTORS_LIST[[#This Row],[NAV]])</f>
        <v>0</v>
      </c>
      <c r="AP622" s="6">
        <f>INVESTORS_LIST[[#This Row],[LS_TOTAL REALIZED GAIN]]+INVESTORS_LIST[[#This Row],[SIP_TOTAL REALIZED GAIN]]</f>
        <v>0</v>
      </c>
      <c r="AQ622" s="6">
        <f>INVESTORS_LIST[[#This Row],[TOTAL MARKET VALUE]]-INVESTORS_LIST[[#This Row],[TOTAL COST VALUE OF CURRENT INVESTMENT]]</f>
        <v>0</v>
      </c>
      <c r="AR622" s="6">
        <f>SUMIFS(DivAndTax[Tax Amount],DivAndTax[Investor ID],INVESTORS_LIST[[#This Row],[INVESTOR CODE]])</f>
        <v>0</v>
      </c>
      <c r="AS622" s="6">
        <f>SUMIFS(DivAndTax[Gross Dividend],DivAndTax[Investor ID],INVESTORS_LIST[[#This Row],[INVESTOR CODE]])</f>
        <v>0</v>
      </c>
      <c r="AT622" s="5">
        <f>IFERROR(INVESTORS_LIST[[#This Row],[TOTAL CURRENT UNITS]]/SUM(INVESTORS_LIST[TOTAL CURRENT UNITS]),0)</f>
        <v>0</v>
      </c>
    </row>
    <row r="623" spans="1:46" hidden="1">
      <c r="A623" t="s">
        <v>1433</v>
      </c>
      <c r="B623" t="s">
        <v>1434</v>
      </c>
      <c r="C623" t="s">
        <v>536</v>
      </c>
      <c r="D623" s="8" t="s">
        <v>2</v>
      </c>
      <c r="E623" s="2">
        <f>SUMIFS(LS[Unit],LS[Investor ID],INVESTORS_LIST[[#This Row],[INVESTOR CODE]],LS[B/S],"B")</f>
        <v>0</v>
      </c>
      <c r="F623" s="2">
        <f>-SUMIFS(LS[Unit],LS[Investor ID],INVESTORS_LIST[[#This Row],[INVESTOR CODE]],LS[B/S],"S")</f>
        <v>0</v>
      </c>
      <c r="G623" s="2">
        <f>IF(INVESTORS_LIST[[#This Row],[LS_TOTAL UNITS BUY]]=0,0,INVESTORS_LIST[[#This Row],[LS_TOTAL UNITS BUY]]-INVESTORS_LIST[[#This Row],[LS_TOTAL UNITS SOLD]])</f>
        <v>0</v>
      </c>
      <c r="H623" s="4">
        <f>IF(INVESTORS_LIST[[#This Row],[LS_TOTAL UNITS BUY]]=0,0,SUMIFS(LS[Amount],LS[Investor ID],INVESTORS_LIST[[#This Row],[INVESTOR CODE]],LS[B/S],"B"))</f>
        <v>0</v>
      </c>
      <c r="I623" s="6">
        <f>IF(INVESTORS_LIST[[#This Row],[LS_TOTAL UNITS SOLD]]=0,0,SUMIFS(LS[Cost of Units Sold],LS[Investor ID],INVESTORS_LIST[[#This Row],[INVESTOR CODE]],LS[B/S],"S"))</f>
        <v>0</v>
      </c>
      <c r="J623" s="6">
        <f>IF(INVESTORS_LIST[[#This Row],[LS_TOTAL CURRENT UNITS]]=0,0,INVESTORS_LIST[[#This Row],[LS_TOTAL CURRENT UNITS]]*INVESTORS_LIST[[#This Row],[LS_AVERAGE COST]])</f>
        <v>0</v>
      </c>
      <c r="K623" s="4">
        <f>IF(INVESTORS_LIST[[#This Row],[LS_TOTAL UNITS SOLD]]=0,0,SUMIFS(LS[Realized Gain],LS[Investor ID],INVESTORS_LIST[[#This Row],[INVESTOR CODE]],LS[B/S],"S"))</f>
        <v>0</v>
      </c>
      <c r="L623" s="2">
        <f>SUMIFS(SIP[Unit],SIP[Investor ID],INVESTORS_LIST[[#This Row],[INVESTOR CODE]],SIP[B/S],"B")</f>
        <v>0</v>
      </c>
      <c r="M623" s="2">
        <f>-SUMIFS(SIP[Unit],SIP[Investor ID],INVESTORS_LIST[[#This Row],[INVESTOR CODE]],SIP[B/S],"S")</f>
        <v>0</v>
      </c>
      <c r="N623" s="33">
        <f>IF(INVESTORS_LIST[[#This Row],[SIP_TOTAL UNITS BUY]]=0,0,INVESTORS_LIST[[#This Row],[SIP_TOTAL UNITS BUY]]-INVESTORS_LIST[[#This Row],[SIP_TOTAL UNITS SOLD]])</f>
        <v>0</v>
      </c>
      <c r="O623" s="4">
        <f>IF(INVESTORS_LIST[[#This Row],[SIP_TOTAL UNITS BUY]]=0,0,SUMIFS(SIP[Amount],SIP[Investor ID],INVESTORS_LIST[[#This Row],[INVESTOR CODE]],SIP[B/S],"B"))</f>
        <v>0</v>
      </c>
      <c r="P623" s="4">
        <f>IF(INVESTORS_LIST[[#This Row],[SIP_TOTAL UNITS SOLD]]=0,0,SUMIFS(SIP[Cost of Units Sold],SIP[Investor ID],INVESTORS_LIST[[#This Row],[INVESTOR CODE]],SIP[B/S],"S"))</f>
        <v>0</v>
      </c>
      <c r="Q623" s="6">
        <f>IF(INVESTORS_LIST[[#This Row],[SIP_TOTAL CURRENT UNITS]]=0,0,INVESTORS_LIST[[#This Row],[SIP_TOTAL CURRENT UNITS]]*INVESTORS_LIST[[#This Row],[SIP_AVERAGE COST]])</f>
        <v>0</v>
      </c>
      <c r="R623" s="6">
        <f>IF(INVESTORS_LIST[[#This Row],[SIP_TOTAL UNITS SOLD]]=0,0,SUMIFS(SIP[Realized Gain],SIP[Investor ID],INVESTORS_LIST[[#This Row],[INVESTOR CODE]],SIP[B/S],"S"))</f>
        <v>0</v>
      </c>
      <c r="S623" s="33">
        <f>INVESTORS_LIST[[#This Row],[LS_TOTAL UNITS BUY]]+INVESTORS_LIST[[#This Row],[SIP_TOTAL UNITS BUY]]</f>
        <v>0</v>
      </c>
      <c r="T623" s="33">
        <f>INVESTORS_LIST[[#This Row],[LS_TOTAL UNITS SOLD]]+INVESTORS_LIST[[#This Row],[SIP_TOTAL UNITS SOLD]]</f>
        <v>0</v>
      </c>
      <c r="U623" s="33">
        <v>0</v>
      </c>
      <c r="V623" s="33">
        <f>SUMIFS(LS[BO UNIT TRANSFER],LS[Investor ID],INVESTORS_LIST[[#This Row],[INVESTOR CODE]],LS[B/S],"B")</f>
        <v>0</v>
      </c>
      <c r="W623" s="33">
        <f>SUMIFS(LS[BO UNIT TRANSFER],LS[Investor ID],INVESTORS_LIST[[#This Row],[INVESTOR CODE]],LS[B/S],"S")</f>
        <v>0</v>
      </c>
      <c r="X623" s="33">
        <f>SUMIFS(SIP[BO UNIT TRANSFER],SIP[Investor ID],INVESTORS_LIST[[#This Row],[INVESTOR CODE]],SIP[B/S],"S")</f>
        <v>0</v>
      </c>
      <c r="Y623" s="33">
        <f>SUMIFS(SIP[BO UNIT TRANSFER],SIP[Investor ID],INVESTORS_LIST[[#This Row],[INVESTOR CODE]],SIP[B/S],"B")</f>
        <v>0</v>
      </c>
      <c r="Z62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23" s="119">
        <f>INVESTORS_LIST[[#This Row],[TOTAL UNITS BUY]]-INVESTORS_LIST[[#This Row],[TOTAL UNITS SOLD]]</f>
        <v>0</v>
      </c>
      <c r="AB623" s="119">
        <f>INVESTORS_LIST[[#This Row],[TOTAL CURRENT UNITS]]-INVESTORS_LIST[[#This Row],[BO UNITS HOLD]]</f>
        <v>0</v>
      </c>
      <c r="AC623" s="119" t="e">
        <f>INDEX([4]!Table_1[BO ID],MATCH(INVESTORS_LIST[[#This Row],[INVESTOR CODE]],[4]!Table_1[INVESTOR CODE],0))</f>
        <v>#REF!</v>
      </c>
      <c r="AD623" s="33">
        <f>INVESTORS_LIST[[#This Row],[LS_TOTAL COST VALUE OF CURRENT UNITS]]+INVESTORS_LIST[[#This Row],[SIP_TOTAL COST VALUE OF CURRENT UNITS]]</f>
        <v>0</v>
      </c>
      <c r="AE623" s="44">
        <f>IF(INVESTORS_LIST[[#This Row],[TOTAL CURRENT UNITS]]=0,0,INVESTORS_LIST[[#This Row],[LS_TOTAL CURRENT UNITS]]/INVESTORS_LIST[[#This Row],[TOTAL CURRENT UNITS]])</f>
        <v>0</v>
      </c>
      <c r="AF623" s="44">
        <f>IF(INVESTORS_LIST[[#This Row],[TOTAL CURRENT UNITS]]=0,0,INVESTORS_LIST[[#This Row],[SIP_TOTAL CURRENT UNITS]]/INVESTORS_LIST[[#This Row],[TOTAL CURRENT UNITS]])</f>
        <v>0</v>
      </c>
      <c r="AG623" s="4" cm="1">
        <f t="array" ref="AG6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23" s="4" cm="1">
        <f t="array" ref="AH6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2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23" s="178">
        <f t="shared" si="15"/>
        <v>12.552</v>
      </c>
      <c r="AK623" s="118">
        <f>IF(INVESTORS_LIST[[#This Row],[TOTAL CURRENT UNITS]]=0,0,INVESTORS_LIST[[#This Row],[TOTAL CURRENT UNITS]]*INVESTORS_LIST[[#This Row],[NAV]])</f>
        <v>0</v>
      </c>
      <c r="AL623" s="4">
        <f>IF(INVESTORS_LIST[[#This Row],[LS_TOTAL CURRENT UNITS]]=0,0,INVESTORS_LIST[[#This Row],[LS_TOTAL CURRENT UNITS]]*INVESTORS_LIST[[#This Row],[NAV]])</f>
        <v>0</v>
      </c>
      <c r="AM623" s="6">
        <f>IF(INVESTORS_LIST[[#This Row],[SIP_TOTAL CURRENT UNITS]]=0,0,INVESTORS_LIST[[#This Row],[SIP_TOTAL CURRENT UNITS]]*INVESTORS_LIST[[#This Row],[NAV]])</f>
        <v>0</v>
      </c>
      <c r="AO623" s="6">
        <f>IF(INVESTORS_LIST[[#This Row],[TOTAL SELLABLE UNITS]]=0,0,INVESTORS_LIST[[#This Row],[TOTAL SELLABLE UNITS]]*INVESTORS_LIST[[#This Row],[NAV]])</f>
        <v>0</v>
      </c>
      <c r="AP623" s="6">
        <f>INVESTORS_LIST[[#This Row],[LS_TOTAL REALIZED GAIN]]+INVESTORS_LIST[[#This Row],[SIP_TOTAL REALIZED GAIN]]</f>
        <v>0</v>
      </c>
      <c r="AQ623" s="6">
        <f>INVESTORS_LIST[[#This Row],[TOTAL MARKET VALUE]]-INVESTORS_LIST[[#This Row],[TOTAL COST VALUE OF CURRENT INVESTMENT]]</f>
        <v>0</v>
      </c>
      <c r="AR623" s="6">
        <f>SUMIFS(DivAndTax[Tax Amount],DivAndTax[Investor ID],INVESTORS_LIST[[#This Row],[INVESTOR CODE]])</f>
        <v>0</v>
      </c>
      <c r="AS623" s="6">
        <f>SUMIFS(DivAndTax[Gross Dividend],DivAndTax[Investor ID],INVESTORS_LIST[[#This Row],[INVESTOR CODE]])</f>
        <v>0</v>
      </c>
      <c r="AT623" s="5">
        <f>IFERROR(INVESTORS_LIST[[#This Row],[TOTAL CURRENT UNITS]]/SUM(INVESTORS_LIST[TOTAL CURRENT UNITS]),0)</f>
        <v>0</v>
      </c>
    </row>
    <row r="624" spans="1:46">
      <c r="A624" t="s">
        <v>1435</v>
      </c>
      <c r="B624" t="s">
        <v>1436</v>
      </c>
      <c r="C624" t="s">
        <v>536</v>
      </c>
      <c r="D624" s="8" t="s">
        <v>2</v>
      </c>
      <c r="E624" s="2">
        <f>SUMIFS(LS[Unit],LS[Investor ID],INVESTORS_LIST[[#This Row],[INVESTOR CODE]],LS[B/S],"B")</f>
        <v>16916</v>
      </c>
      <c r="F624" s="2">
        <f>-SUMIFS(LS[Unit],LS[Investor ID],INVESTORS_LIST[[#This Row],[INVESTOR CODE]],LS[B/S],"S")</f>
        <v>0</v>
      </c>
      <c r="G624" s="2">
        <f>IF(INVESTORS_LIST[[#This Row],[LS_TOTAL UNITS BUY]]=0,0,INVESTORS_LIST[[#This Row],[LS_TOTAL UNITS BUY]]-INVESTORS_LIST[[#This Row],[LS_TOTAL UNITS SOLD]])</f>
        <v>16916</v>
      </c>
      <c r="H624" s="4">
        <f>IF(INVESTORS_LIST[[#This Row],[LS_TOTAL UNITS BUY]]=0,0,SUMIFS(LS[Amount],LS[Investor ID],INVESTORS_LIST[[#This Row],[INVESTOR CODE]],LS[B/S],"B"))</f>
        <v>205767.65</v>
      </c>
      <c r="I624" s="6">
        <f>IF(INVESTORS_LIST[[#This Row],[LS_TOTAL UNITS SOLD]]=0,0,SUMIFS(LS[Cost of Units Sold],LS[Investor ID],INVESTORS_LIST[[#This Row],[INVESTOR CODE]],LS[B/S],"S"))</f>
        <v>0</v>
      </c>
      <c r="J624" s="6">
        <f>IF(INVESTORS_LIST[[#This Row],[LS_TOTAL CURRENT UNITS]]=0,0,INVESTORS_LIST[[#This Row],[LS_TOTAL CURRENT UNITS]]*INVESTORS_LIST[[#This Row],[LS_AVERAGE COST]])</f>
        <v>205767.64999999997</v>
      </c>
      <c r="K624" s="4">
        <f>IF(INVESTORS_LIST[[#This Row],[LS_TOTAL UNITS SOLD]]=0,0,SUMIFS(LS[Realized Gain],LS[Investor ID],INVESTORS_LIST[[#This Row],[INVESTOR CODE]],LS[B/S],"S"))</f>
        <v>0</v>
      </c>
      <c r="L624" s="2">
        <f>SUMIFS(SIP[Unit],SIP[Investor ID],INVESTORS_LIST[[#This Row],[INVESTOR CODE]],SIP[B/S],"B")</f>
        <v>0</v>
      </c>
      <c r="M624" s="2">
        <f>-SUMIFS(SIP[Unit],SIP[Investor ID],INVESTORS_LIST[[#This Row],[INVESTOR CODE]],SIP[B/S],"S")</f>
        <v>0</v>
      </c>
      <c r="N624" s="33">
        <f>IF(INVESTORS_LIST[[#This Row],[SIP_TOTAL UNITS BUY]]=0,0,INVESTORS_LIST[[#This Row],[SIP_TOTAL UNITS BUY]]-INVESTORS_LIST[[#This Row],[SIP_TOTAL UNITS SOLD]])</f>
        <v>0</v>
      </c>
      <c r="O624" s="4">
        <f>IF(INVESTORS_LIST[[#This Row],[SIP_TOTAL UNITS BUY]]=0,0,SUMIFS(SIP[Amount],SIP[Investor ID],INVESTORS_LIST[[#This Row],[INVESTOR CODE]],SIP[B/S],"B"))</f>
        <v>0</v>
      </c>
      <c r="P624" s="4">
        <f>IF(INVESTORS_LIST[[#This Row],[SIP_TOTAL UNITS SOLD]]=0,0,SUMIFS(SIP[Cost of Units Sold],SIP[Investor ID],INVESTORS_LIST[[#This Row],[INVESTOR CODE]],SIP[B/S],"S"))</f>
        <v>0</v>
      </c>
      <c r="Q624" s="6">
        <f>IF(INVESTORS_LIST[[#This Row],[SIP_TOTAL CURRENT UNITS]]=0,0,INVESTORS_LIST[[#This Row],[SIP_TOTAL CURRENT UNITS]]*INVESTORS_LIST[[#This Row],[SIP_AVERAGE COST]])</f>
        <v>0</v>
      </c>
      <c r="R624" s="6">
        <f>IF(INVESTORS_LIST[[#This Row],[SIP_TOTAL UNITS SOLD]]=0,0,SUMIFS(SIP[Realized Gain],SIP[Investor ID],INVESTORS_LIST[[#This Row],[INVESTOR CODE]],SIP[B/S],"S"))</f>
        <v>0</v>
      </c>
      <c r="S624" s="33">
        <f>INVESTORS_LIST[[#This Row],[LS_TOTAL UNITS BUY]]+INVESTORS_LIST[[#This Row],[SIP_TOTAL UNITS BUY]]</f>
        <v>16916</v>
      </c>
      <c r="T624" s="33">
        <f>INVESTORS_LIST[[#This Row],[LS_TOTAL UNITS SOLD]]+INVESTORS_LIST[[#This Row],[SIP_TOTAL UNITS SOLD]]</f>
        <v>0</v>
      </c>
      <c r="U624" s="33">
        <v>16479</v>
      </c>
      <c r="V624" s="33">
        <f>SUMIFS(LS[BO UNIT TRANSFER],LS[Investor ID],INVESTORS_LIST[[#This Row],[INVESTOR CODE]],LS[B/S],"B")</f>
        <v>437</v>
      </c>
      <c r="W624" s="33">
        <f>SUMIFS(LS[BO UNIT TRANSFER],LS[Investor ID],INVESTORS_LIST[[#This Row],[INVESTOR CODE]],LS[B/S],"S")</f>
        <v>0</v>
      </c>
      <c r="X624" s="33">
        <f>SUMIFS(SIP[BO UNIT TRANSFER],SIP[Investor ID],INVESTORS_LIST[[#This Row],[INVESTOR CODE]],SIP[B/S],"S")</f>
        <v>0</v>
      </c>
      <c r="Y624" s="33">
        <f>SUMIFS(SIP[BO UNIT TRANSFER],SIP[Investor ID],INVESTORS_LIST[[#This Row],[INVESTOR CODE]],SIP[B/S],"B")</f>
        <v>0</v>
      </c>
      <c r="Z62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16916</v>
      </c>
      <c r="AA624" s="119">
        <f>INVESTORS_LIST[[#This Row],[TOTAL UNITS BUY]]-INVESTORS_LIST[[#This Row],[TOTAL UNITS SOLD]]</f>
        <v>16916</v>
      </c>
      <c r="AB624" s="119">
        <f>INVESTORS_LIST[[#This Row],[TOTAL CURRENT UNITS]]-INVESTORS_LIST[[#This Row],[BO UNITS HOLD]]</f>
        <v>0</v>
      </c>
      <c r="AC624" s="119" t="e">
        <f>INDEX([4]!Table_1[BO ID],MATCH(INVESTORS_LIST[[#This Row],[INVESTOR CODE]],[4]!Table_1[INVESTOR CODE],0))</f>
        <v>#REF!</v>
      </c>
      <c r="AD624" s="33">
        <f>INVESTORS_LIST[[#This Row],[LS_TOTAL COST VALUE OF CURRENT UNITS]]+INVESTORS_LIST[[#This Row],[SIP_TOTAL COST VALUE OF CURRENT UNITS]]</f>
        <v>205767.64999999997</v>
      </c>
      <c r="AE624" s="44">
        <f>IF(INVESTORS_LIST[[#This Row],[TOTAL CURRENT UNITS]]=0,0,INVESTORS_LIST[[#This Row],[LS_TOTAL CURRENT UNITS]]/INVESTORS_LIST[[#This Row],[TOTAL CURRENT UNITS]])</f>
        <v>1</v>
      </c>
      <c r="AF624" s="44">
        <f>IF(INVESTORS_LIST[[#This Row],[TOTAL CURRENT UNITS]]=0,0,INVESTORS_LIST[[#This Row],[SIP_TOTAL CURRENT UNITS]]/INVESTORS_LIST[[#This Row],[TOTAL CURRENT UNITS]])</f>
        <v>0</v>
      </c>
      <c r="AG624" s="4" cm="1">
        <f t="array" ref="AG624">IF(INVESTORS_LIST[[#This Row],[LS_TOTAL UNITS BUY]]&gt;0,INDEX(LS[NAV at Cost (Average)],MATCH(CONCATENATE(COUNTIFS(LS[Investor ID],INVESTORS_LIST[[#This Row],[INVESTOR CODE]]),INVESTORS_LIST[[#This Row],[INVESTOR CODE]]),LS[Unique Code],0),),0)</f>
        <v>12.164084298888625</v>
      </c>
      <c r="AH624" s="4" cm="1">
        <f t="array" ref="AH62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24" s="178">
        <f>IF(INVESTORS_LIST[[#This Row],[TOTAL CURRENT UNITS]]=0,0,(INVESTORS_LIST[[#This Row],[LS_WEIGHT]]*INVESTORS_LIST[[#This Row],[LS_AVERAGE COST]])+(INVESTORS_LIST[[#This Row],[SIP_WEIGHT]]*INVESTORS_LIST[[#This Row],[SIP_AVERAGE COST]]))</f>
        <v>12.164084298888625</v>
      </c>
      <c r="AJ624" s="178">
        <f t="shared" si="15"/>
        <v>12.552</v>
      </c>
      <c r="AK624" s="118">
        <f>IF(INVESTORS_LIST[[#This Row],[TOTAL CURRENT UNITS]]=0,0,INVESTORS_LIST[[#This Row],[TOTAL CURRENT UNITS]]*INVESTORS_LIST[[#This Row],[NAV]])</f>
        <v>212329.63199999998</v>
      </c>
      <c r="AL624" s="4">
        <f>IF(INVESTORS_LIST[[#This Row],[LS_TOTAL CURRENT UNITS]]=0,0,INVESTORS_LIST[[#This Row],[LS_TOTAL CURRENT UNITS]]*INVESTORS_LIST[[#This Row],[NAV]])</f>
        <v>212329.63199999998</v>
      </c>
      <c r="AM624" s="6">
        <f>IF(INVESTORS_LIST[[#This Row],[SIP_TOTAL CURRENT UNITS]]=0,0,INVESTORS_LIST[[#This Row],[SIP_TOTAL CURRENT UNITS]]*INVESTORS_LIST[[#This Row],[NAV]])</f>
        <v>0</v>
      </c>
      <c r="AO624" s="6">
        <f>IF(INVESTORS_LIST[[#This Row],[TOTAL SELLABLE UNITS]]=0,0,INVESTORS_LIST[[#This Row],[TOTAL SELLABLE UNITS]]*INVESTORS_LIST[[#This Row],[NAV]])</f>
        <v>0</v>
      </c>
      <c r="AP624" s="6">
        <f>INVESTORS_LIST[[#This Row],[LS_TOTAL REALIZED GAIN]]+INVESTORS_LIST[[#This Row],[SIP_TOTAL REALIZED GAIN]]</f>
        <v>0</v>
      </c>
      <c r="AQ624" s="6">
        <f>INVESTORS_LIST[[#This Row],[TOTAL MARKET VALUE]]-INVESTORS_LIST[[#This Row],[TOTAL COST VALUE OF CURRENT INVESTMENT]]</f>
        <v>6561.9820000000182</v>
      </c>
      <c r="AR624" s="6">
        <f>SUMIFS(DivAndTax[Tax Amount],DivAndTax[Investor ID],INVESTORS_LIST[[#This Row],[INVESTOR CODE]])</f>
        <v>576.77</v>
      </c>
      <c r="AS624" s="6">
        <f>SUMIFS(DivAndTax[Gross Dividend],DivAndTax[Investor ID],INVESTORS_LIST[[#This Row],[INVESTOR CODE]])</f>
        <v>5767.65</v>
      </c>
      <c r="AT624" s="5">
        <f>IFERROR(INVESTORS_LIST[[#This Row],[TOTAL CURRENT UNITS]]/SUM(INVESTORS_LIST[TOTAL CURRENT UNITS]),0)</f>
        <v>8.1103482981309571E-4</v>
      </c>
    </row>
    <row r="625" spans="1:46" hidden="1">
      <c r="A625" t="s">
        <v>1437</v>
      </c>
      <c r="B625" t="s">
        <v>1438</v>
      </c>
      <c r="C625" t="s">
        <v>539</v>
      </c>
      <c r="D625" s="8" t="s">
        <v>2</v>
      </c>
      <c r="E625" s="2">
        <f>SUMIFS(LS[Unit],LS[Investor ID],INVESTORS_LIST[[#This Row],[INVESTOR CODE]],LS[B/S],"B")</f>
        <v>0</v>
      </c>
      <c r="F625" s="2">
        <f>-SUMIFS(LS[Unit],LS[Investor ID],INVESTORS_LIST[[#This Row],[INVESTOR CODE]],LS[B/S],"S")</f>
        <v>0</v>
      </c>
      <c r="G625" s="2">
        <f>IF(INVESTORS_LIST[[#This Row],[LS_TOTAL UNITS BUY]]=0,0,INVESTORS_LIST[[#This Row],[LS_TOTAL UNITS BUY]]-INVESTORS_LIST[[#This Row],[LS_TOTAL UNITS SOLD]])</f>
        <v>0</v>
      </c>
      <c r="H625" s="4">
        <f>IF(INVESTORS_LIST[[#This Row],[LS_TOTAL UNITS BUY]]=0,0,SUMIFS(LS[Amount],LS[Investor ID],INVESTORS_LIST[[#This Row],[INVESTOR CODE]],LS[B/S],"B"))</f>
        <v>0</v>
      </c>
      <c r="I625" s="6">
        <f>IF(INVESTORS_LIST[[#This Row],[LS_TOTAL UNITS SOLD]]=0,0,SUMIFS(LS[Cost of Units Sold],LS[Investor ID],INVESTORS_LIST[[#This Row],[INVESTOR CODE]],LS[B/S],"S"))</f>
        <v>0</v>
      </c>
      <c r="J625" s="6">
        <f>IF(INVESTORS_LIST[[#This Row],[LS_TOTAL CURRENT UNITS]]=0,0,INVESTORS_LIST[[#This Row],[LS_TOTAL CURRENT UNITS]]*INVESTORS_LIST[[#This Row],[LS_AVERAGE COST]])</f>
        <v>0</v>
      </c>
      <c r="K625" s="4">
        <f>IF(INVESTORS_LIST[[#This Row],[LS_TOTAL UNITS SOLD]]=0,0,SUMIFS(LS[Realized Gain],LS[Investor ID],INVESTORS_LIST[[#This Row],[INVESTOR CODE]],LS[B/S],"S"))</f>
        <v>0</v>
      </c>
      <c r="L625" s="2">
        <f>SUMIFS(SIP[Unit],SIP[Investor ID],INVESTORS_LIST[[#This Row],[INVESTOR CODE]],SIP[B/S],"B")</f>
        <v>0</v>
      </c>
      <c r="M625" s="2">
        <f>-SUMIFS(SIP[Unit],SIP[Investor ID],INVESTORS_LIST[[#This Row],[INVESTOR CODE]],SIP[B/S],"S")</f>
        <v>0</v>
      </c>
      <c r="N625" s="33">
        <f>IF(INVESTORS_LIST[[#This Row],[SIP_TOTAL UNITS BUY]]=0,0,INVESTORS_LIST[[#This Row],[SIP_TOTAL UNITS BUY]]-INVESTORS_LIST[[#This Row],[SIP_TOTAL UNITS SOLD]])</f>
        <v>0</v>
      </c>
      <c r="O625" s="4">
        <f>IF(INVESTORS_LIST[[#This Row],[SIP_TOTAL UNITS BUY]]=0,0,SUMIFS(SIP[Amount],SIP[Investor ID],INVESTORS_LIST[[#This Row],[INVESTOR CODE]],SIP[B/S],"B"))</f>
        <v>0</v>
      </c>
      <c r="P625" s="4">
        <f>IF(INVESTORS_LIST[[#This Row],[SIP_TOTAL UNITS SOLD]]=0,0,SUMIFS(SIP[Cost of Units Sold],SIP[Investor ID],INVESTORS_LIST[[#This Row],[INVESTOR CODE]],SIP[B/S],"S"))</f>
        <v>0</v>
      </c>
      <c r="Q625" s="6">
        <f>IF(INVESTORS_LIST[[#This Row],[SIP_TOTAL CURRENT UNITS]]=0,0,INVESTORS_LIST[[#This Row],[SIP_TOTAL CURRENT UNITS]]*INVESTORS_LIST[[#This Row],[SIP_AVERAGE COST]])</f>
        <v>0</v>
      </c>
      <c r="R625" s="6">
        <f>IF(INVESTORS_LIST[[#This Row],[SIP_TOTAL UNITS SOLD]]=0,0,SUMIFS(SIP[Realized Gain],SIP[Investor ID],INVESTORS_LIST[[#This Row],[INVESTOR CODE]],SIP[B/S],"S"))</f>
        <v>0</v>
      </c>
      <c r="S625" s="33">
        <f>INVESTORS_LIST[[#This Row],[LS_TOTAL UNITS BUY]]+INVESTORS_LIST[[#This Row],[SIP_TOTAL UNITS BUY]]</f>
        <v>0</v>
      </c>
      <c r="T625" s="33">
        <f>INVESTORS_LIST[[#This Row],[LS_TOTAL UNITS SOLD]]+INVESTORS_LIST[[#This Row],[SIP_TOTAL UNITS SOLD]]</f>
        <v>0</v>
      </c>
      <c r="U625" s="33">
        <v>0</v>
      </c>
      <c r="V625" s="33">
        <f>SUMIFS(LS[BO UNIT TRANSFER],LS[Investor ID],INVESTORS_LIST[[#This Row],[INVESTOR CODE]],LS[B/S],"B")</f>
        <v>0</v>
      </c>
      <c r="W625" s="33">
        <f>SUMIFS(LS[BO UNIT TRANSFER],LS[Investor ID],INVESTORS_LIST[[#This Row],[INVESTOR CODE]],LS[B/S],"S")</f>
        <v>0</v>
      </c>
      <c r="X625" s="33">
        <f>SUMIFS(SIP[BO UNIT TRANSFER],SIP[Investor ID],INVESTORS_LIST[[#This Row],[INVESTOR CODE]],SIP[B/S],"S")</f>
        <v>0</v>
      </c>
      <c r="Y625" s="33">
        <f>SUMIFS(SIP[BO UNIT TRANSFER],SIP[Investor ID],INVESTORS_LIST[[#This Row],[INVESTOR CODE]],SIP[B/S],"B")</f>
        <v>0</v>
      </c>
      <c r="Z62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25" s="119">
        <f>INVESTORS_LIST[[#This Row],[TOTAL UNITS BUY]]-INVESTORS_LIST[[#This Row],[TOTAL UNITS SOLD]]</f>
        <v>0</v>
      </c>
      <c r="AB625" s="119">
        <f>INVESTORS_LIST[[#This Row],[TOTAL CURRENT UNITS]]-INVESTORS_LIST[[#This Row],[BO UNITS HOLD]]</f>
        <v>0</v>
      </c>
      <c r="AC625" s="119" t="e">
        <f>INDEX([4]!Table_1[BO ID],MATCH(INVESTORS_LIST[[#This Row],[INVESTOR CODE]],[4]!Table_1[INVESTOR CODE],0))</f>
        <v>#REF!</v>
      </c>
      <c r="AD625" s="33">
        <f>INVESTORS_LIST[[#This Row],[LS_TOTAL COST VALUE OF CURRENT UNITS]]+INVESTORS_LIST[[#This Row],[SIP_TOTAL COST VALUE OF CURRENT UNITS]]</f>
        <v>0</v>
      </c>
      <c r="AE625" s="44">
        <f>IF(INVESTORS_LIST[[#This Row],[TOTAL CURRENT UNITS]]=0,0,INVESTORS_LIST[[#This Row],[LS_TOTAL CURRENT UNITS]]/INVESTORS_LIST[[#This Row],[TOTAL CURRENT UNITS]])</f>
        <v>0</v>
      </c>
      <c r="AF625" s="44">
        <f>IF(INVESTORS_LIST[[#This Row],[TOTAL CURRENT UNITS]]=0,0,INVESTORS_LIST[[#This Row],[SIP_TOTAL CURRENT UNITS]]/INVESTORS_LIST[[#This Row],[TOTAL CURRENT UNITS]])</f>
        <v>0</v>
      </c>
      <c r="AG625" s="4" cm="1">
        <f t="array" ref="AG62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25" s="4" cm="1">
        <f t="array" ref="AH62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2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25" s="178">
        <f t="shared" si="15"/>
        <v>12.552</v>
      </c>
      <c r="AK625" s="118">
        <f>IF(INVESTORS_LIST[[#This Row],[TOTAL CURRENT UNITS]]=0,0,INVESTORS_LIST[[#This Row],[TOTAL CURRENT UNITS]]*INVESTORS_LIST[[#This Row],[NAV]])</f>
        <v>0</v>
      </c>
      <c r="AL625" s="4">
        <f>IF(INVESTORS_LIST[[#This Row],[LS_TOTAL CURRENT UNITS]]=0,0,INVESTORS_LIST[[#This Row],[LS_TOTAL CURRENT UNITS]]*INVESTORS_LIST[[#This Row],[NAV]])</f>
        <v>0</v>
      </c>
      <c r="AM625" s="6">
        <f>IF(INVESTORS_LIST[[#This Row],[SIP_TOTAL CURRENT UNITS]]=0,0,INVESTORS_LIST[[#This Row],[SIP_TOTAL CURRENT UNITS]]*INVESTORS_LIST[[#This Row],[NAV]])</f>
        <v>0</v>
      </c>
      <c r="AO625" s="6">
        <f>IF(INVESTORS_LIST[[#This Row],[TOTAL SELLABLE UNITS]]=0,0,INVESTORS_LIST[[#This Row],[TOTAL SELLABLE UNITS]]*INVESTORS_LIST[[#This Row],[NAV]])</f>
        <v>0</v>
      </c>
      <c r="AP625" s="6">
        <f>INVESTORS_LIST[[#This Row],[LS_TOTAL REALIZED GAIN]]+INVESTORS_LIST[[#This Row],[SIP_TOTAL REALIZED GAIN]]</f>
        <v>0</v>
      </c>
      <c r="AQ625" s="6">
        <f>INVESTORS_LIST[[#This Row],[TOTAL MARKET VALUE]]-INVESTORS_LIST[[#This Row],[TOTAL COST VALUE OF CURRENT INVESTMENT]]</f>
        <v>0</v>
      </c>
      <c r="AR625" s="6">
        <f>SUMIFS(DivAndTax[Tax Amount],DivAndTax[Investor ID],INVESTORS_LIST[[#This Row],[INVESTOR CODE]])</f>
        <v>0</v>
      </c>
      <c r="AS625" s="6">
        <f>SUMIFS(DivAndTax[Gross Dividend],DivAndTax[Investor ID],INVESTORS_LIST[[#This Row],[INVESTOR CODE]])</f>
        <v>0</v>
      </c>
      <c r="AT625" s="5">
        <f>IFERROR(INVESTORS_LIST[[#This Row],[TOTAL CURRENT UNITS]]/SUM(INVESTORS_LIST[TOTAL CURRENT UNITS]),0)</f>
        <v>0</v>
      </c>
    </row>
    <row r="626" spans="1:46" hidden="1">
      <c r="A626" t="s">
        <v>1439</v>
      </c>
      <c r="B626" t="s">
        <v>1440</v>
      </c>
      <c r="C626" t="s">
        <v>536</v>
      </c>
      <c r="D626" s="8" t="s">
        <v>2</v>
      </c>
      <c r="E626" s="2">
        <f>SUMIFS(LS[Unit],LS[Investor ID],INVESTORS_LIST[[#This Row],[INVESTOR CODE]],LS[B/S],"B")</f>
        <v>0</v>
      </c>
      <c r="F626" s="2">
        <f>-SUMIFS(LS[Unit],LS[Investor ID],INVESTORS_LIST[[#This Row],[INVESTOR CODE]],LS[B/S],"S")</f>
        <v>0</v>
      </c>
      <c r="G626" s="2">
        <f>IF(INVESTORS_LIST[[#This Row],[LS_TOTAL UNITS BUY]]=0,0,INVESTORS_LIST[[#This Row],[LS_TOTAL UNITS BUY]]-INVESTORS_LIST[[#This Row],[LS_TOTAL UNITS SOLD]])</f>
        <v>0</v>
      </c>
      <c r="H626" s="4">
        <f>IF(INVESTORS_LIST[[#This Row],[LS_TOTAL UNITS BUY]]=0,0,SUMIFS(LS[Amount],LS[Investor ID],INVESTORS_LIST[[#This Row],[INVESTOR CODE]],LS[B/S],"B"))</f>
        <v>0</v>
      </c>
      <c r="I626" s="6">
        <f>IF(INVESTORS_LIST[[#This Row],[LS_TOTAL UNITS SOLD]]=0,0,SUMIFS(LS[Cost of Units Sold],LS[Investor ID],INVESTORS_LIST[[#This Row],[INVESTOR CODE]],LS[B/S],"S"))</f>
        <v>0</v>
      </c>
      <c r="J626" s="6">
        <f>IF(INVESTORS_LIST[[#This Row],[LS_TOTAL CURRENT UNITS]]=0,0,INVESTORS_LIST[[#This Row],[LS_TOTAL CURRENT UNITS]]*INVESTORS_LIST[[#This Row],[LS_AVERAGE COST]])</f>
        <v>0</v>
      </c>
      <c r="K626" s="4">
        <f>IF(INVESTORS_LIST[[#This Row],[LS_TOTAL UNITS SOLD]]=0,0,SUMIFS(LS[Realized Gain],LS[Investor ID],INVESTORS_LIST[[#This Row],[INVESTOR CODE]],LS[B/S],"S"))</f>
        <v>0</v>
      </c>
      <c r="L626" s="2">
        <f>SUMIFS(SIP[Unit],SIP[Investor ID],INVESTORS_LIST[[#This Row],[INVESTOR CODE]],SIP[B/S],"B")</f>
        <v>0</v>
      </c>
      <c r="M626" s="2">
        <f>-SUMIFS(SIP[Unit],SIP[Investor ID],INVESTORS_LIST[[#This Row],[INVESTOR CODE]],SIP[B/S],"S")</f>
        <v>0</v>
      </c>
      <c r="N626" s="33">
        <f>IF(INVESTORS_LIST[[#This Row],[SIP_TOTAL UNITS BUY]]=0,0,INVESTORS_LIST[[#This Row],[SIP_TOTAL UNITS BUY]]-INVESTORS_LIST[[#This Row],[SIP_TOTAL UNITS SOLD]])</f>
        <v>0</v>
      </c>
      <c r="O626" s="4">
        <f>IF(INVESTORS_LIST[[#This Row],[SIP_TOTAL UNITS BUY]]=0,0,SUMIFS(SIP[Amount],SIP[Investor ID],INVESTORS_LIST[[#This Row],[INVESTOR CODE]],SIP[B/S],"B"))</f>
        <v>0</v>
      </c>
      <c r="P626" s="4">
        <f>IF(INVESTORS_LIST[[#This Row],[SIP_TOTAL UNITS SOLD]]=0,0,SUMIFS(SIP[Cost of Units Sold],SIP[Investor ID],INVESTORS_LIST[[#This Row],[INVESTOR CODE]],SIP[B/S],"S"))</f>
        <v>0</v>
      </c>
      <c r="Q626" s="6">
        <f>IF(INVESTORS_LIST[[#This Row],[SIP_TOTAL CURRENT UNITS]]=0,0,INVESTORS_LIST[[#This Row],[SIP_TOTAL CURRENT UNITS]]*INVESTORS_LIST[[#This Row],[SIP_AVERAGE COST]])</f>
        <v>0</v>
      </c>
      <c r="R626" s="6">
        <f>IF(INVESTORS_LIST[[#This Row],[SIP_TOTAL UNITS SOLD]]=0,0,SUMIFS(SIP[Realized Gain],SIP[Investor ID],INVESTORS_LIST[[#This Row],[INVESTOR CODE]],SIP[B/S],"S"))</f>
        <v>0</v>
      </c>
      <c r="S626" s="33">
        <f>INVESTORS_LIST[[#This Row],[LS_TOTAL UNITS BUY]]+INVESTORS_LIST[[#This Row],[SIP_TOTAL UNITS BUY]]</f>
        <v>0</v>
      </c>
      <c r="T626" s="33">
        <f>INVESTORS_LIST[[#This Row],[LS_TOTAL UNITS SOLD]]+INVESTORS_LIST[[#This Row],[SIP_TOTAL UNITS SOLD]]</f>
        <v>0</v>
      </c>
      <c r="U626" s="33">
        <v>0</v>
      </c>
      <c r="V626" s="33">
        <f>SUMIFS(LS[BO UNIT TRANSFER],LS[Investor ID],INVESTORS_LIST[[#This Row],[INVESTOR CODE]],LS[B/S],"B")</f>
        <v>0</v>
      </c>
      <c r="W626" s="33">
        <f>SUMIFS(LS[BO UNIT TRANSFER],LS[Investor ID],INVESTORS_LIST[[#This Row],[INVESTOR CODE]],LS[B/S],"S")</f>
        <v>0</v>
      </c>
      <c r="X626" s="33">
        <f>SUMIFS(SIP[BO UNIT TRANSFER],SIP[Investor ID],INVESTORS_LIST[[#This Row],[INVESTOR CODE]],SIP[B/S],"S")</f>
        <v>0</v>
      </c>
      <c r="Y626" s="33">
        <f>SUMIFS(SIP[BO UNIT TRANSFER],SIP[Investor ID],INVESTORS_LIST[[#This Row],[INVESTOR CODE]],SIP[B/S],"B")</f>
        <v>0</v>
      </c>
      <c r="Z62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26" s="119">
        <f>INVESTORS_LIST[[#This Row],[TOTAL UNITS BUY]]-INVESTORS_LIST[[#This Row],[TOTAL UNITS SOLD]]</f>
        <v>0</v>
      </c>
      <c r="AB626" s="119">
        <f>INVESTORS_LIST[[#This Row],[TOTAL CURRENT UNITS]]-INVESTORS_LIST[[#This Row],[BO UNITS HOLD]]</f>
        <v>0</v>
      </c>
      <c r="AC626" s="119" t="e">
        <f>INDEX([4]!Table_1[BO ID],MATCH(INVESTORS_LIST[[#This Row],[INVESTOR CODE]],[4]!Table_1[INVESTOR CODE],0))</f>
        <v>#REF!</v>
      </c>
      <c r="AD626" s="33">
        <f>INVESTORS_LIST[[#This Row],[LS_TOTAL COST VALUE OF CURRENT UNITS]]+INVESTORS_LIST[[#This Row],[SIP_TOTAL COST VALUE OF CURRENT UNITS]]</f>
        <v>0</v>
      </c>
      <c r="AE626" s="44">
        <f>IF(INVESTORS_LIST[[#This Row],[TOTAL CURRENT UNITS]]=0,0,INVESTORS_LIST[[#This Row],[LS_TOTAL CURRENT UNITS]]/INVESTORS_LIST[[#This Row],[TOTAL CURRENT UNITS]])</f>
        <v>0</v>
      </c>
      <c r="AF626" s="44">
        <f>IF(INVESTORS_LIST[[#This Row],[TOTAL CURRENT UNITS]]=0,0,INVESTORS_LIST[[#This Row],[SIP_TOTAL CURRENT UNITS]]/INVESTORS_LIST[[#This Row],[TOTAL CURRENT UNITS]])</f>
        <v>0</v>
      </c>
      <c r="AG626" s="4" cm="1">
        <f t="array" ref="AG62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26" s="4" cm="1">
        <f t="array" ref="AH62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2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26" s="178">
        <f t="shared" si="15"/>
        <v>12.552</v>
      </c>
      <c r="AK626" s="118">
        <f>IF(INVESTORS_LIST[[#This Row],[TOTAL CURRENT UNITS]]=0,0,INVESTORS_LIST[[#This Row],[TOTAL CURRENT UNITS]]*INVESTORS_LIST[[#This Row],[NAV]])</f>
        <v>0</v>
      </c>
      <c r="AL626" s="4">
        <f>IF(INVESTORS_LIST[[#This Row],[LS_TOTAL CURRENT UNITS]]=0,0,INVESTORS_LIST[[#This Row],[LS_TOTAL CURRENT UNITS]]*INVESTORS_LIST[[#This Row],[NAV]])</f>
        <v>0</v>
      </c>
      <c r="AM626" s="6">
        <f>IF(INVESTORS_LIST[[#This Row],[SIP_TOTAL CURRENT UNITS]]=0,0,INVESTORS_LIST[[#This Row],[SIP_TOTAL CURRENT UNITS]]*INVESTORS_LIST[[#This Row],[NAV]])</f>
        <v>0</v>
      </c>
      <c r="AO626" s="6">
        <f>IF(INVESTORS_LIST[[#This Row],[TOTAL SELLABLE UNITS]]=0,0,INVESTORS_LIST[[#This Row],[TOTAL SELLABLE UNITS]]*INVESTORS_LIST[[#This Row],[NAV]])</f>
        <v>0</v>
      </c>
      <c r="AP626" s="6">
        <f>INVESTORS_LIST[[#This Row],[LS_TOTAL REALIZED GAIN]]+INVESTORS_LIST[[#This Row],[SIP_TOTAL REALIZED GAIN]]</f>
        <v>0</v>
      </c>
      <c r="AQ626" s="6">
        <f>INVESTORS_LIST[[#This Row],[TOTAL MARKET VALUE]]-INVESTORS_LIST[[#This Row],[TOTAL COST VALUE OF CURRENT INVESTMENT]]</f>
        <v>0</v>
      </c>
      <c r="AR626" s="6">
        <f>SUMIFS(DivAndTax[Tax Amount],DivAndTax[Investor ID],INVESTORS_LIST[[#This Row],[INVESTOR CODE]])</f>
        <v>0</v>
      </c>
      <c r="AS626" s="6">
        <f>SUMIFS(DivAndTax[Gross Dividend],DivAndTax[Investor ID],INVESTORS_LIST[[#This Row],[INVESTOR CODE]])</f>
        <v>0</v>
      </c>
      <c r="AT626" s="5">
        <f>IFERROR(INVESTORS_LIST[[#This Row],[TOTAL CURRENT UNITS]]/SUM(INVESTORS_LIST[TOTAL CURRENT UNITS]),0)</f>
        <v>0</v>
      </c>
    </row>
    <row r="627" spans="1:46" hidden="1">
      <c r="A627" t="s">
        <v>1441</v>
      </c>
      <c r="B627" t="s">
        <v>1442</v>
      </c>
      <c r="C627" t="s">
        <v>536</v>
      </c>
      <c r="D627" s="8" t="s">
        <v>2</v>
      </c>
      <c r="E627" s="2">
        <f>SUMIFS(LS[Unit],LS[Investor ID],INVESTORS_LIST[[#This Row],[INVESTOR CODE]],LS[B/S],"B")</f>
        <v>0</v>
      </c>
      <c r="F627" s="2">
        <f>-SUMIFS(LS[Unit],LS[Investor ID],INVESTORS_LIST[[#This Row],[INVESTOR CODE]],LS[B/S],"S")</f>
        <v>0</v>
      </c>
      <c r="G627" s="2">
        <f>IF(INVESTORS_LIST[[#This Row],[LS_TOTAL UNITS BUY]]=0,0,INVESTORS_LIST[[#This Row],[LS_TOTAL UNITS BUY]]-INVESTORS_LIST[[#This Row],[LS_TOTAL UNITS SOLD]])</f>
        <v>0</v>
      </c>
      <c r="H627" s="4">
        <f>IF(INVESTORS_LIST[[#This Row],[LS_TOTAL UNITS BUY]]=0,0,SUMIFS(LS[Amount],LS[Investor ID],INVESTORS_LIST[[#This Row],[INVESTOR CODE]],LS[B/S],"B"))</f>
        <v>0</v>
      </c>
      <c r="I627" s="6">
        <f>IF(INVESTORS_LIST[[#This Row],[LS_TOTAL UNITS SOLD]]=0,0,SUMIFS(LS[Cost of Units Sold],LS[Investor ID],INVESTORS_LIST[[#This Row],[INVESTOR CODE]],LS[B/S],"S"))</f>
        <v>0</v>
      </c>
      <c r="J627" s="6">
        <f>IF(INVESTORS_LIST[[#This Row],[LS_TOTAL CURRENT UNITS]]=0,0,INVESTORS_LIST[[#This Row],[LS_TOTAL CURRENT UNITS]]*INVESTORS_LIST[[#This Row],[LS_AVERAGE COST]])</f>
        <v>0</v>
      </c>
      <c r="K627" s="4">
        <f>IF(INVESTORS_LIST[[#This Row],[LS_TOTAL UNITS SOLD]]=0,0,SUMIFS(LS[Realized Gain],LS[Investor ID],INVESTORS_LIST[[#This Row],[INVESTOR CODE]],LS[B/S],"S"))</f>
        <v>0</v>
      </c>
      <c r="L627" s="2">
        <f>SUMIFS(SIP[Unit],SIP[Investor ID],INVESTORS_LIST[[#This Row],[INVESTOR CODE]],SIP[B/S],"B")</f>
        <v>0</v>
      </c>
      <c r="M627" s="2">
        <f>-SUMIFS(SIP[Unit],SIP[Investor ID],INVESTORS_LIST[[#This Row],[INVESTOR CODE]],SIP[B/S],"S")</f>
        <v>0</v>
      </c>
      <c r="N627" s="33">
        <f>IF(INVESTORS_LIST[[#This Row],[SIP_TOTAL UNITS BUY]]=0,0,INVESTORS_LIST[[#This Row],[SIP_TOTAL UNITS BUY]]-INVESTORS_LIST[[#This Row],[SIP_TOTAL UNITS SOLD]])</f>
        <v>0</v>
      </c>
      <c r="O627" s="4">
        <f>IF(INVESTORS_LIST[[#This Row],[SIP_TOTAL UNITS BUY]]=0,0,SUMIFS(SIP[Amount],SIP[Investor ID],INVESTORS_LIST[[#This Row],[INVESTOR CODE]],SIP[B/S],"B"))</f>
        <v>0</v>
      </c>
      <c r="P627" s="4">
        <f>IF(INVESTORS_LIST[[#This Row],[SIP_TOTAL UNITS SOLD]]=0,0,SUMIFS(SIP[Cost of Units Sold],SIP[Investor ID],INVESTORS_LIST[[#This Row],[INVESTOR CODE]],SIP[B/S],"S"))</f>
        <v>0</v>
      </c>
      <c r="Q627" s="6">
        <f>IF(INVESTORS_LIST[[#This Row],[SIP_TOTAL CURRENT UNITS]]=0,0,INVESTORS_LIST[[#This Row],[SIP_TOTAL CURRENT UNITS]]*INVESTORS_LIST[[#This Row],[SIP_AVERAGE COST]])</f>
        <v>0</v>
      </c>
      <c r="R627" s="6">
        <f>IF(INVESTORS_LIST[[#This Row],[SIP_TOTAL UNITS SOLD]]=0,0,SUMIFS(SIP[Realized Gain],SIP[Investor ID],INVESTORS_LIST[[#This Row],[INVESTOR CODE]],SIP[B/S],"S"))</f>
        <v>0</v>
      </c>
      <c r="S627" s="33">
        <f>INVESTORS_LIST[[#This Row],[LS_TOTAL UNITS BUY]]+INVESTORS_LIST[[#This Row],[SIP_TOTAL UNITS BUY]]</f>
        <v>0</v>
      </c>
      <c r="T627" s="33">
        <f>INVESTORS_LIST[[#This Row],[LS_TOTAL UNITS SOLD]]+INVESTORS_LIST[[#This Row],[SIP_TOTAL UNITS SOLD]]</f>
        <v>0</v>
      </c>
      <c r="U627" s="33">
        <v>0</v>
      </c>
      <c r="V627" s="33">
        <f>SUMIFS(LS[BO UNIT TRANSFER],LS[Investor ID],INVESTORS_LIST[[#This Row],[INVESTOR CODE]],LS[B/S],"B")</f>
        <v>0</v>
      </c>
      <c r="W627" s="33">
        <f>SUMIFS(LS[BO UNIT TRANSFER],LS[Investor ID],INVESTORS_LIST[[#This Row],[INVESTOR CODE]],LS[B/S],"S")</f>
        <v>0</v>
      </c>
      <c r="X627" s="33">
        <f>SUMIFS(SIP[BO UNIT TRANSFER],SIP[Investor ID],INVESTORS_LIST[[#This Row],[INVESTOR CODE]],SIP[B/S],"S")</f>
        <v>0</v>
      </c>
      <c r="Y627" s="33">
        <f>SUMIFS(SIP[BO UNIT TRANSFER],SIP[Investor ID],INVESTORS_LIST[[#This Row],[INVESTOR CODE]],SIP[B/S],"B")</f>
        <v>0</v>
      </c>
      <c r="Z62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27" s="119">
        <f>INVESTORS_LIST[[#This Row],[TOTAL UNITS BUY]]-INVESTORS_LIST[[#This Row],[TOTAL UNITS SOLD]]</f>
        <v>0</v>
      </c>
      <c r="AB627" s="119">
        <f>INVESTORS_LIST[[#This Row],[TOTAL CURRENT UNITS]]-INVESTORS_LIST[[#This Row],[BO UNITS HOLD]]</f>
        <v>0</v>
      </c>
      <c r="AC627" s="119" t="e">
        <f>INDEX([4]!Table_1[BO ID],MATCH(INVESTORS_LIST[[#This Row],[INVESTOR CODE]],[4]!Table_1[INVESTOR CODE],0))</f>
        <v>#REF!</v>
      </c>
      <c r="AD627" s="33">
        <f>INVESTORS_LIST[[#This Row],[LS_TOTAL COST VALUE OF CURRENT UNITS]]+INVESTORS_LIST[[#This Row],[SIP_TOTAL COST VALUE OF CURRENT UNITS]]</f>
        <v>0</v>
      </c>
      <c r="AE627" s="44">
        <f>IF(INVESTORS_LIST[[#This Row],[TOTAL CURRENT UNITS]]=0,0,INVESTORS_LIST[[#This Row],[LS_TOTAL CURRENT UNITS]]/INVESTORS_LIST[[#This Row],[TOTAL CURRENT UNITS]])</f>
        <v>0</v>
      </c>
      <c r="AF627" s="44">
        <f>IF(INVESTORS_LIST[[#This Row],[TOTAL CURRENT UNITS]]=0,0,INVESTORS_LIST[[#This Row],[SIP_TOTAL CURRENT UNITS]]/INVESTORS_LIST[[#This Row],[TOTAL CURRENT UNITS]])</f>
        <v>0</v>
      </c>
      <c r="AG627" s="4" cm="1">
        <f t="array" ref="AG62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27" s="4" cm="1">
        <f t="array" ref="AH62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2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27" s="178">
        <f t="shared" si="15"/>
        <v>12.552</v>
      </c>
      <c r="AK627" s="118">
        <f>IF(INVESTORS_LIST[[#This Row],[TOTAL CURRENT UNITS]]=0,0,INVESTORS_LIST[[#This Row],[TOTAL CURRENT UNITS]]*INVESTORS_LIST[[#This Row],[NAV]])</f>
        <v>0</v>
      </c>
      <c r="AL627" s="4">
        <f>IF(INVESTORS_LIST[[#This Row],[LS_TOTAL CURRENT UNITS]]=0,0,INVESTORS_LIST[[#This Row],[LS_TOTAL CURRENT UNITS]]*INVESTORS_LIST[[#This Row],[NAV]])</f>
        <v>0</v>
      </c>
      <c r="AM627" s="6">
        <f>IF(INVESTORS_LIST[[#This Row],[SIP_TOTAL CURRENT UNITS]]=0,0,INVESTORS_LIST[[#This Row],[SIP_TOTAL CURRENT UNITS]]*INVESTORS_LIST[[#This Row],[NAV]])</f>
        <v>0</v>
      </c>
      <c r="AO627" s="6">
        <f>IF(INVESTORS_LIST[[#This Row],[TOTAL SELLABLE UNITS]]=0,0,INVESTORS_LIST[[#This Row],[TOTAL SELLABLE UNITS]]*INVESTORS_LIST[[#This Row],[NAV]])</f>
        <v>0</v>
      </c>
      <c r="AP627" s="6">
        <f>INVESTORS_LIST[[#This Row],[LS_TOTAL REALIZED GAIN]]+INVESTORS_LIST[[#This Row],[SIP_TOTAL REALIZED GAIN]]</f>
        <v>0</v>
      </c>
      <c r="AQ627" s="6">
        <f>INVESTORS_LIST[[#This Row],[TOTAL MARKET VALUE]]-INVESTORS_LIST[[#This Row],[TOTAL COST VALUE OF CURRENT INVESTMENT]]</f>
        <v>0</v>
      </c>
      <c r="AR627" s="6">
        <f>SUMIFS(DivAndTax[Tax Amount],DivAndTax[Investor ID],INVESTORS_LIST[[#This Row],[INVESTOR CODE]])</f>
        <v>0</v>
      </c>
      <c r="AS627" s="6">
        <f>SUMIFS(DivAndTax[Gross Dividend],DivAndTax[Investor ID],INVESTORS_LIST[[#This Row],[INVESTOR CODE]])</f>
        <v>0</v>
      </c>
      <c r="AT627" s="5">
        <f>IFERROR(INVESTORS_LIST[[#This Row],[TOTAL CURRENT UNITS]]/SUM(INVESTORS_LIST[TOTAL CURRENT UNITS]),0)</f>
        <v>0</v>
      </c>
    </row>
    <row r="628" spans="1:46" hidden="1">
      <c r="A628" t="s">
        <v>1443</v>
      </c>
      <c r="B628" t="s">
        <v>1444</v>
      </c>
      <c r="C628" t="s">
        <v>536</v>
      </c>
      <c r="D628" s="8" t="s">
        <v>2</v>
      </c>
      <c r="E628" s="2">
        <f>SUMIFS(LS[Unit],LS[Investor ID],INVESTORS_LIST[[#This Row],[INVESTOR CODE]],LS[B/S],"B")</f>
        <v>0</v>
      </c>
      <c r="F628" s="2">
        <f>-SUMIFS(LS[Unit],LS[Investor ID],INVESTORS_LIST[[#This Row],[INVESTOR CODE]],LS[B/S],"S")</f>
        <v>0</v>
      </c>
      <c r="G628" s="2">
        <f>IF(INVESTORS_LIST[[#This Row],[LS_TOTAL UNITS BUY]]=0,0,INVESTORS_LIST[[#This Row],[LS_TOTAL UNITS BUY]]-INVESTORS_LIST[[#This Row],[LS_TOTAL UNITS SOLD]])</f>
        <v>0</v>
      </c>
      <c r="H628" s="4">
        <f>IF(INVESTORS_LIST[[#This Row],[LS_TOTAL UNITS BUY]]=0,0,SUMIFS(LS[Amount],LS[Investor ID],INVESTORS_LIST[[#This Row],[INVESTOR CODE]],LS[B/S],"B"))</f>
        <v>0</v>
      </c>
      <c r="I628" s="6">
        <f>IF(INVESTORS_LIST[[#This Row],[LS_TOTAL UNITS SOLD]]=0,0,SUMIFS(LS[Cost of Units Sold],LS[Investor ID],INVESTORS_LIST[[#This Row],[INVESTOR CODE]],LS[B/S],"S"))</f>
        <v>0</v>
      </c>
      <c r="J628" s="6">
        <f>IF(INVESTORS_LIST[[#This Row],[LS_TOTAL CURRENT UNITS]]=0,0,INVESTORS_LIST[[#This Row],[LS_TOTAL CURRENT UNITS]]*INVESTORS_LIST[[#This Row],[LS_AVERAGE COST]])</f>
        <v>0</v>
      </c>
      <c r="K628" s="4">
        <f>IF(INVESTORS_LIST[[#This Row],[LS_TOTAL UNITS SOLD]]=0,0,SUMIFS(LS[Realized Gain],LS[Investor ID],INVESTORS_LIST[[#This Row],[INVESTOR CODE]],LS[B/S],"S"))</f>
        <v>0</v>
      </c>
      <c r="L628" s="2">
        <f>SUMIFS(SIP[Unit],SIP[Investor ID],INVESTORS_LIST[[#This Row],[INVESTOR CODE]],SIP[B/S],"B")</f>
        <v>0</v>
      </c>
      <c r="M628" s="2">
        <f>-SUMIFS(SIP[Unit],SIP[Investor ID],INVESTORS_LIST[[#This Row],[INVESTOR CODE]],SIP[B/S],"S")</f>
        <v>0</v>
      </c>
      <c r="N628" s="33">
        <f>IF(INVESTORS_LIST[[#This Row],[SIP_TOTAL UNITS BUY]]=0,0,INVESTORS_LIST[[#This Row],[SIP_TOTAL UNITS BUY]]-INVESTORS_LIST[[#This Row],[SIP_TOTAL UNITS SOLD]])</f>
        <v>0</v>
      </c>
      <c r="O628" s="4">
        <f>IF(INVESTORS_LIST[[#This Row],[SIP_TOTAL UNITS BUY]]=0,0,SUMIFS(SIP[Amount],SIP[Investor ID],INVESTORS_LIST[[#This Row],[INVESTOR CODE]],SIP[B/S],"B"))</f>
        <v>0</v>
      </c>
      <c r="P628" s="4">
        <f>IF(INVESTORS_LIST[[#This Row],[SIP_TOTAL UNITS SOLD]]=0,0,SUMIFS(SIP[Cost of Units Sold],SIP[Investor ID],INVESTORS_LIST[[#This Row],[INVESTOR CODE]],SIP[B/S],"S"))</f>
        <v>0</v>
      </c>
      <c r="Q628" s="6">
        <f>IF(INVESTORS_LIST[[#This Row],[SIP_TOTAL CURRENT UNITS]]=0,0,INVESTORS_LIST[[#This Row],[SIP_TOTAL CURRENT UNITS]]*INVESTORS_LIST[[#This Row],[SIP_AVERAGE COST]])</f>
        <v>0</v>
      </c>
      <c r="R628" s="6">
        <f>IF(INVESTORS_LIST[[#This Row],[SIP_TOTAL UNITS SOLD]]=0,0,SUMIFS(SIP[Realized Gain],SIP[Investor ID],INVESTORS_LIST[[#This Row],[INVESTOR CODE]],SIP[B/S],"S"))</f>
        <v>0</v>
      </c>
      <c r="S628" s="33">
        <f>INVESTORS_LIST[[#This Row],[LS_TOTAL UNITS BUY]]+INVESTORS_LIST[[#This Row],[SIP_TOTAL UNITS BUY]]</f>
        <v>0</v>
      </c>
      <c r="T628" s="33">
        <f>INVESTORS_LIST[[#This Row],[LS_TOTAL UNITS SOLD]]+INVESTORS_LIST[[#This Row],[SIP_TOTAL UNITS SOLD]]</f>
        <v>0</v>
      </c>
      <c r="U628" s="33">
        <v>0</v>
      </c>
      <c r="V628" s="33">
        <f>SUMIFS(LS[BO UNIT TRANSFER],LS[Investor ID],INVESTORS_LIST[[#This Row],[INVESTOR CODE]],LS[B/S],"B")</f>
        <v>0</v>
      </c>
      <c r="W628" s="33">
        <f>SUMIFS(LS[BO UNIT TRANSFER],LS[Investor ID],INVESTORS_LIST[[#This Row],[INVESTOR CODE]],LS[B/S],"S")</f>
        <v>0</v>
      </c>
      <c r="X628" s="33">
        <f>SUMIFS(SIP[BO UNIT TRANSFER],SIP[Investor ID],INVESTORS_LIST[[#This Row],[INVESTOR CODE]],SIP[B/S],"S")</f>
        <v>0</v>
      </c>
      <c r="Y628" s="33">
        <f>SUMIFS(SIP[BO UNIT TRANSFER],SIP[Investor ID],INVESTORS_LIST[[#This Row],[INVESTOR CODE]],SIP[B/S],"B")</f>
        <v>0</v>
      </c>
      <c r="Z62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28" s="119">
        <f>INVESTORS_LIST[[#This Row],[TOTAL UNITS BUY]]-INVESTORS_LIST[[#This Row],[TOTAL UNITS SOLD]]</f>
        <v>0</v>
      </c>
      <c r="AB628" s="119">
        <f>INVESTORS_LIST[[#This Row],[TOTAL CURRENT UNITS]]-INVESTORS_LIST[[#This Row],[BO UNITS HOLD]]</f>
        <v>0</v>
      </c>
      <c r="AC628" s="119" t="e">
        <f>INDEX([4]!Table_1[BO ID],MATCH(INVESTORS_LIST[[#This Row],[INVESTOR CODE]],[4]!Table_1[INVESTOR CODE],0))</f>
        <v>#REF!</v>
      </c>
      <c r="AD628" s="33">
        <f>INVESTORS_LIST[[#This Row],[LS_TOTAL COST VALUE OF CURRENT UNITS]]+INVESTORS_LIST[[#This Row],[SIP_TOTAL COST VALUE OF CURRENT UNITS]]</f>
        <v>0</v>
      </c>
      <c r="AE628" s="44">
        <f>IF(INVESTORS_LIST[[#This Row],[TOTAL CURRENT UNITS]]=0,0,INVESTORS_LIST[[#This Row],[LS_TOTAL CURRENT UNITS]]/INVESTORS_LIST[[#This Row],[TOTAL CURRENT UNITS]])</f>
        <v>0</v>
      </c>
      <c r="AF628" s="44">
        <f>IF(INVESTORS_LIST[[#This Row],[TOTAL CURRENT UNITS]]=0,0,INVESTORS_LIST[[#This Row],[SIP_TOTAL CURRENT UNITS]]/INVESTORS_LIST[[#This Row],[TOTAL CURRENT UNITS]])</f>
        <v>0</v>
      </c>
      <c r="AG628" s="4" cm="1">
        <f t="array" ref="AG62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28" s="4" cm="1">
        <f t="array" ref="AH62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2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28" s="178">
        <f t="shared" si="15"/>
        <v>12.552</v>
      </c>
      <c r="AK628" s="118">
        <f>IF(INVESTORS_LIST[[#This Row],[TOTAL CURRENT UNITS]]=0,0,INVESTORS_LIST[[#This Row],[TOTAL CURRENT UNITS]]*INVESTORS_LIST[[#This Row],[NAV]])</f>
        <v>0</v>
      </c>
      <c r="AL628" s="4">
        <f>IF(INVESTORS_LIST[[#This Row],[LS_TOTAL CURRENT UNITS]]=0,0,INVESTORS_LIST[[#This Row],[LS_TOTAL CURRENT UNITS]]*INVESTORS_LIST[[#This Row],[NAV]])</f>
        <v>0</v>
      </c>
      <c r="AM628" s="6">
        <f>IF(INVESTORS_LIST[[#This Row],[SIP_TOTAL CURRENT UNITS]]=0,0,INVESTORS_LIST[[#This Row],[SIP_TOTAL CURRENT UNITS]]*INVESTORS_LIST[[#This Row],[NAV]])</f>
        <v>0</v>
      </c>
      <c r="AO628" s="6">
        <f>IF(INVESTORS_LIST[[#This Row],[TOTAL SELLABLE UNITS]]=0,0,INVESTORS_LIST[[#This Row],[TOTAL SELLABLE UNITS]]*INVESTORS_LIST[[#This Row],[NAV]])</f>
        <v>0</v>
      </c>
      <c r="AP628" s="6">
        <f>INVESTORS_LIST[[#This Row],[LS_TOTAL REALIZED GAIN]]+INVESTORS_LIST[[#This Row],[SIP_TOTAL REALIZED GAIN]]</f>
        <v>0</v>
      </c>
      <c r="AQ628" s="6">
        <f>INVESTORS_LIST[[#This Row],[TOTAL MARKET VALUE]]-INVESTORS_LIST[[#This Row],[TOTAL COST VALUE OF CURRENT INVESTMENT]]</f>
        <v>0</v>
      </c>
      <c r="AR628" s="6">
        <f>SUMIFS(DivAndTax[Tax Amount],DivAndTax[Investor ID],INVESTORS_LIST[[#This Row],[INVESTOR CODE]])</f>
        <v>0</v>
      </c>
      <c r="AS628" s="6">
        <f>SUMIFS(DivAndTax[Gross Dividend],DivAndTax[Investor ID],INVESTORS_LIST[[#This Row],[INVESTOR CODE]])</f>
        <v>0</v>
      </c>
      <c r="AT628" s="5">
        <f>IFERROR(INVESTORS_LIST[[#This Row],[TOTAL CURRENT UNITS]]/SUM(INVESTORS_LIST[TOTAL CURRENT UNITS]),0)</f>
        <v>0</v>
      </c>
    </row>
    <row r="629" spans="1:46" hidden="1">
      <c r="A629" t="s">
        <v>1445</v>
      </c>
      <c r="B629" t="s">
        <v>1446</v>
      </c>
      <c r="C629" t="s">
        <v>536</v>
      </c>
      <c r="D629" s="8" t="s">
        <v>2</v>
      </c>
      <c r="E629" s="2">
        <f>SUMIFS(LS[Unit],LS[Investor ID],INVESTORS_LIST[[#This Row],[INVESTOR CODE]],LS[B/S],"B")</f>
        <v>0</v>
      </c>
      <c r="F629" s="2">
        <f>-SUMIFS(LS[Unit],LS[Investor ID],INVESTORS_LIST[[#This Row],[INVESTOR CODE]],LS[B/S],"S")</f>
        <v>0</v>
      </c>
      <c r="G629" s="2">
        <f>IF(INVESTORS_LIST[[#This Row],[LS_TOTAL UNITS BUY]]=0,0,INVESTORS_LIST[[#This Row],[LS_TOTAL UNITS BUY]]-INVESTORS_LIST[[#This Row],[LS_TOTAL UNITS SOLD]])</f>
        <v>0</v>
      </c>
      <c r="H629" s="4">
        <f>IF(INVESTORS_LIST[[#This Row],[LS_TOTAL UNITS BUY]]=0,0,SUMIFS(LS[Amount],LS[Investor ID],INVESTORS_LIST[[#This Row],[INVESTOR CODE]],LS[B/S],"B"))</f>
        <v>0</v>
      </c>
      <c r="I629" s="6">
        <f>IF(INVESTORS_LIST[[#This Row],[LS_TOTAL UNITS SOLD]]=0,0,SUMIFS(LS[Cost of Units Sold],LS[Investor ID],INVESTORS_LIST[[#This Row],[INVESTOR CODE]],LS[B/S],"S"))</f>
        <v>0</v>
      </c>
      <c r="J629" s="6">
        <f>IF(INVESTORS_LIST[[#This Row],[LS_TOTAL CURRENT UNITS]]=0,0,INVESTORS_LIST[[#This Row],[LS_TOTAL CURRENT UNITS]]*INVESTORS_LIST[[#This Row],[LS_AVERAGE COST]])</f>
        <v>0</v>
      </c>
      <c r="K629" s="4">
        <f>IF(INVESTORS_LIST[[#This Row],[LS_TOTAL UNITS SOLD]]=0,0,SUMIFS(LS[Realized Gain],LS[Investor ID],INVESTORS_LIST[[#This Row],[INVESTOR CODE]],LS[B/S],"S"))</f>
        <v>0</v>
      </c>
      <c r="L629" s="2">
        <f>SUMIFS(SIP[Unit],SIP[Investor ID],INVESTORS_LIST[[#This Row],[INVESTOR CODE]],SIP[B/S],"B")</f>
        <v>0</v>
      </c>
      <c r="M629" s="2">
        <f>-SUMIFS(SIP[Unit],SIP[Investor ID],INVESTORS_LIST[[#This Row],[INVESTOR CODE]],SIP[B/S],"S")</f>
        <v>0</v>
      </c>
      <c r="N629" s="33">
        <f>IF(INVESTORS_LIST[[#This Row],[SIP_TOTAL UNITS BUY]]=0,0,INVESTORS_LIST[[#This Row],[SIP_TOTAL UNITS BUY]]-INVESTORS_LIST[[#This Row],[SIP_TOTAL UNITS SOLD]])</f>
        <v>0</v>
      </c>
      <c r="O629" s="4">
        <f>IF(INVESTORS_LIST[[#This Row],[SIP_TOTAL UNITS BUY]]=0,0,SUMIFS(SIP[Amount],SIP[Investor ID],INVESTORS_LIST[[#This Row],[INVESTOR CODE]],SIP[B/S],"B"))</f>
        <v>0</v>
      </c>
      <c r="P629" s="4">
        <f>IF(INVESTORS_LIST[[#This Row],[SIP_TOTAL UNITS SOLD]]=0,0,SUMIFS(SIP[Cost of Units Sold],SIP[Investor ID],INVESTORS_LIST[[#This Row],[INVESTOR CODE]],SIP[B/S],"S"))</f>
        <v>0</v>
      </c>
      <c r="Q629" s="6">
        <f>IF(INVESTORS_LIST[[#This Row],[SIP_TOTAL CURRENT UNITS]]=0,0,INVESTORS_LIST[[#This Row],[SIP_TOTAL CURRENT UNITS]]*INVESTORS_LIST[[#This Row],[SIP_AVERAGE COST]])</f>
        <v>0</v>
      </c>
      <c r="R629" s="6">
        <f>IF(INVESTORS_LIST[[#This Row],[SIP_TOTAL UNITS SOLD]]=0,0,SUMIFS(SIP[Realized Gain],SIP[Investor ID],INVESTORS_LIST[[#This Row],[INVESTOR CODE]],SIP[B/S],"S"))</f>
        <v>0</v>
      </c>
      <c r="S629" s="33">
        <f>INVESTORS_LIST[[#This Row],[LS_TOTAL UNITS BUY]]+INVESTORS_LIST[[#This Row],[SIP_TOTAL UNITS BUY]]</f>
        <v>0</v>
      </c>
      <c r="T629" s="33">
        <f>INVESTORS_LIST[[#This Row],[LS_TOTAL UNITS SOLD]]+INVESTORS_LIST[[#This Row],[SIP_TOTAL UNITS SOLD]]</f>
        <v>0</v>
      </c>
      <c r="U629" s="33">
        <v>0</v>
      </c>
      <c r="V629" s="33">
        <f>SUMIFS(LS[BO UNIT TRANSFER],LS[Investor ID],INVESTORS_LIST[[#This Row],[INVESTOR CODE]],LS[B/S],"B")</f>
        <v>0</v>
      </c>
      <c r="W629" s="33">
        <f>SUMIFS(LS[BO UNIT TRANSFER],LS[Investor ID],INVESTORS_LIST[[#This Row],[INVESTOR CODE]],LS[B/S],"S")</f>
        <v>0</v>
      </c>
      <c r="X629" s="33">
        <f>SUMIFS(SIP[BO UNIT TRANSFER],SIP[Investor ID],INVESTORS_LIST[[#This Row],[INVESTOR CODE]],SIP[B/S],"S")</f>
        <v>0</v>
      </c>
      <c r="Y629" s="33">
        <f>SUMIFS(SIP[BO UNIT TRANSFER],SIP[Investor ID],INVESTORS_LIST[[#This Row],[INVESTOR CODE]],SIP[B/S],"B")</f>
        <v>0</v>
      </c>
      <c r="Z62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29" s="119">
        <f>INVESTORS_LIST[[#This Row],[TOTAL UNITS BUY]]-INVESTORS_LIST[[#This Row],[TOTAL UNITS SOLD]]</f>
        <v>0</v>
      </c>
      <c r="AB629" s="119">
        <f>INVESTORS_LIST[[#This Row],[TOTAL CURRENT UNITS]]-INVESTORS_LIST[[#This Row],[BO UNITS HOLD]]</f>
        <v>0</v>
      </c>
      <c r="AC629" s="119" t="e">
        <f>INDEX([4]!Table_1[BO ID],MATCH(INVESTORS_LIST[[#This Row],[INVESTOR CODE]],[4]!Table_1[INVESTOR CODE],0))</f>
        <v>#REF!</v>
      </c>
      <c r="AD629" s="33">
        <f>INVESTORS_LIST[[#This Row],[LS_TOTAL COST VALUE OF CURRENT UNITS]]+INVESTORS_LIST[[#This Row],[SIP_TOTAL COST VALUE OF CURRENT UNITS]]</f>
        <v>0</v>
      </c>
      <c r="AE629" s="44">
        <f>IF(INVESTORS_LIST[[#This Row],[TOTAL CURRENT UNITS]]=0,0,INVESTORS_LIST[[#This Row],[LS_TOTAL CURRENT UNITS]]/INVESTORS_LIST[[#This Row],[TOTAL CURRENT UNITS]])</f>
        <v>0</v>
      </c>
      <c r="AF629" s="44">
        <f>IF(INVESTORS_LIST[[#This Row],[TOTAL CURRENT UNITS]]=0,0,INVESTORS_LIST[[#This Row],[SIP_TOTAL CURRENT UNITS]]/INVESTORS_LIST[[#This Row],[TOTAL CURRENT UNITS]])</f>
        <v>0</v>
      </c>
      <c r="AG629" s="4" cm="1">
        <f t="array" ref="AG62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29" s="4" cm="1">
        <f t="array" ref="AH62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2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29" s="178">
        <f t="shared" si="15"/>
        <v>12.552</v>
      </c>
      <c r="AK629" s="118">
        <f>IF(INVESTORS_LIST[[#This Row],[TOTAL CURRENT UNITS]]=0,0,INVESTORS_LIST[[#This Row],[TOTAL CURRENT UNITS]]*INVESTORS_LIST[[#This Row],[NAV]])</f>
        <v>0</v>
      </c>
      <c r="AL629" s="4">
        <f>IF(INVESTORS_LIST[[#This Row],[LS_TOTAL CURRENT UNITS]]=0,0,INVESTORS_LIST[[#This Row],[LS_TOTAL CURRENT UNITS]]*INVESTORS_LIST[[#This Row],[NAV]])</f>
        <v>0</v>
      </c>
      <c r="AM629" s="6">
        <f>IF(INVESTORS_LIST[[#This Row],[SIP_TOTAL CURRENT UNITS]]=0,0,INVESTORS_LIST[[#This Row],[SIP_TOTAL CURRENT UNITS]]*INVESTORS_LIST[[#This Row],[NAV]])</f>
        <v>0</v>
      </c>
      <c r="AO629" s="6">
        <f>IF(INVESTORS_LIST[[#This Row],[TOTAL SELLABLE UNITS]]=0,0,INVESTORS_LIST[[#This Row],[TOTAL SELLABLE UNITS]]*INVESTORS_LIST[[#This Row],[NAV]])</f>
        <v>0</v>
      </c>
      <c r="AP629" s="6">
        <f>INVESTORS_LIST[[#This Row],[LS_TOTAL REALIZED GAIN]]+INVESTORS_LIST[[#This Row],[SIP_TOTAL REALIZED GAIN]]</f>
        <v>0</v>
      </c>
      <c r="AQ629" s="6">
        <f>INVESTORS_LIST[[#This Row],[TOTAL MARKET VALUE]]-INVESTORS_LIST[[#This Row],[TOTAL COST VALUE OF CURRENT INVESTMENT]]</f>
        <v>0</v>
      </c>
      <c r="AR629" s="6">
        <f>SUMIFS(DivAndTax[Tax Amount],DivAndTax[Investor ID],INVESTORS_LIST[[#This Row],[INVESTOR CODE]])</f>
        <v>0</v>
      </c>
      <c r="AS629" s="6">
        <f>SUMIFS(DivAndTax[Gross Dividend],DivAndTax[Investor ID],INVESTORS_LIST[[#This Row],[INVESTOR CODE]])</f>
        <v>0</v>
      </c>
      <c r="AT629" s="5">
        <f>IFERROR(INVESTORS_LIST[[#This Row],[TOTAL CURRENT UNITS]]/SUM(INVESTORS_LIST[TOTAL CURRENT UNITS]),0)</f>
        <v>0</v>
      </c>
    </row>
    <row r="630" spans="1:46" hidden="1">
      <c r="A630" t="s">
        <v>1447</v>
      </c>
      <c r="B630" t="s">
        <v>1448</v>
      </c>
      <c r="C630" t="s">
        <v>536</v>
      </c>
      <c r="D630" s="8" t="s">
        <v>2</v>
      </c>
      <c r="E630" s="2">
        <f>SUMIFS(LS[Unit],LS[Investor ID],INVESTORS_LIST[[#This Row],[INVESTOR CODE]],LS[B/S],"B")</f>
        <v>0</v>
      </c>
      <c r="F630" s="2">
        <f>-SUMIFS(LS[Unit],LS[Investor ID],INVESTORS_LIST[[#This Row],[INVESTOR CODE]],LS[B/S],"S")</f>
        <v>0</v>
      </c>
      <c r="G630" s="2">
        <f>IF(INVESTORS_LIST[[#This Row],[LS_TOTAL UNITS BUY]]=0,0,INVESTORS_LIST[[#This Row],[LS_TOTAL UNITS BUY]]-INVESTORS_LIST[[#This Row],[LS_TOTAL UNITS SOLD]])</f>
        <v>0</v>
      </c>
      <c r="H630" s="4">
        <f>IF(INVESTORS_LIST[[#This Row],[LS_TOTAL UNITS BUY]]=0,0,SUMIFS(LS[Amount],LS[Investor ID],INVESTORS_LIST[[#This Row],[INVESTOR CODE]],LS[B/S],"B"))</f>
        <v>0</v>
      </c>
      <c r="I630" s="6">
        <f>IF(INVESTORS_LIST[[#This Row],[LS_TOTAL UNITS SOLD]]=0,0,SUMIFS(LS[Cost of Units Sold],LS[Investor ID],INVESTORS_LIST[[#This Row],[INVESTOR CODE]],LS[B/S],"S"))</f>
        <v>0</v>
      </c>
      <c r="J630" s="6">
        <f>IF(INVESTORS_LIST[[#This Row],[LS_TOTAL CURRENT UNITS]]=0,0,INVESTORS_LIST[[#This Row],[LS_TOTAL CURRENT UNITS]]*INVESTORS_LIST[[#This Row],[LS_AVERAGE COST]])</f>
        <v>0</v>
      </c>
      <c r="K630" s="4">
        <f>IF(INVESTORS_LIST[[#This Row],[LS_TOTAL UNITS SOLD]]=0,0,SUMIFS(LS[Realized Gain],LS[Investor ID],INVESTORS_LIST[[#This Row],[INVESTOR CODE]],LS[B/S],"S"))</f>
        <v>0</v>
      </c>
      <c r="L630" s="2">
        <f>SUMIFS(SIP[Unit],SIP[Investor ID],INVESTORS_LIST[[#This Row],[INVESTOR CODE]],SIP[B/S],"B")</f>
        <v>0</v>
      </c>
      <c r="M630" s="2">
        <f>-SUMIFS(SIP[Unit],SIP[Investor ID],INVESTORS_LIST[[#This Row],[INVESTOR CODE]],SIP[B/S],"S")</f>
        <v>0</v>
      </c>
      <c r="N630" s="33">
        <f>IF(INVESTORS_LIST[[#This Row],[SIP_TOTAL UNITS BUY]]=0,0,INVESTORS_LIST[[#This Row],[SIP_TOTAL UNITS BUY]]-INVESTORS_LIST[[#This Row],[SIP_TOTAL UNITS SOLD]])</f>
        <v>0</v>
      </c>
      <c r="O630" s="4">
        <f>IF(INVESTORS_LIST[[#This Row],[SIP_TOTAL UNITS BUY]]=0,0,SUMIFS(SIP[Amount],SIP[Investor ID],INVESTORS_LIST[[#This Row],[INVESTOR CODE]],SIP[B/S],"B"))</f>
        <v>0</v>
      </c>
      <c r="P630" s="4">
        <f>IF(INVESTORS_LIST[[#This Row],[SIP_TOTAL UNITS SOLD]]=0,0,SUMIFS(SIP[Cost of Units Sold],SIP[Investor ID],INVESTORS_LIST[[#This Row],[INVESTOR CODE]],SIP[B/S],"S"))</f>
        <v>0</v>
      </c>
      <c r="Q630" s="6">
        <f>IF(INVESTORS_LIST[[#This Row],[SIP_TOTAL CURRENT UNITS]]=0,0,INVESTORS_LIST[[#This Row],[SIP_TOTAL CURRENT UNITS]]*INVESTORS_LIST[[#This Row],[SIP_AVERAGE COST]])</f>
        <v>0</v>
      </c>
      <c r="R630" s="6">
        <f>IF(INVESTORS_LIST[[#This Row],[SIP_TOTAL UNITS SOLD]]=0,0,SUMIFS(SIP[Realized Gain],SIP[Investor ID],INVESTORS_LIST[[#This Row],[INVESTOR CODE]],SIP[B/S],"S"))</f>
        <v>0</v>
      </c>
      <c r="S630" s="33">
        <f>INVESTORS_LIST[[#This Row],[LS_TOTAL UNITS BUY]]+INVESTORS_LIST[[#This Row],[SIP_TOTAL UNITS BUY]]</f>
        <v>0</v>
      </c>
      <c r="T630" s="33">
        <f>INVESTORS_LIST[[#This Row],[LS_TOTAL UNITS SOLD]]+INVESTORS_LIST[[#This Row],[SIP_TOTAL UNITS SOLD]]</f>
        <v>0</v>
      </c>
      <c r="U630" s="33">
        <v>0</v>
      </c>
      <c r="V630" s="33">
        <f>SUMIFS(LS[BO UNIT TRANSFER],LS[Investor ID],INVESTORS_LIST[[#This Row],[INVESTOR CODE]],LS[B/S],"B")</f>
        <v>0</v>
      </c>
      <c r="W630" s="33">
        <f>SUMIFS(LS[BO UNIT TRANSFER],LS[Investor ID],INVESTORS_LIST[[#This Row],[INVESTOR CODE]],LS[B/S],"S")</f>
        <v>0</v>
      </c>
      <c r="X630" s="33">
        <f>SUMIFS(SIP[BO UNIT TRANSFER],SIP[Investor ID],INVESTORS_LIST[[#This Row],[INVESTOR CODE]],SIP[B/S],"S")</f>
        <v>0</v>
      </c>
      <c r="Y630" s="33">
        <f>SUMIFS(SIP[BO UNIT TRANSFER],SIP[Investor ID],INVESTORS_LIST[[#This Row],[INVESTOR CODE]],SIP[B/S],"B")</f>
        <v>0</v>
      </c>
      <c r="Z63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30" s="119">
        <f>INVESTORS_LIST[[#This Row],[TOTAL UNITS BUY]]-INVESTORS_LIST[[#This Row],[TOTAL UNITS SOLD]]</f>
        <v>0</v>
      </c>
      <c r="AB630" s="119">
        <f>INVESTORS_LIST[[#This Row],[TOTAL CURRENT UNITS]]-INVESTORS_LIST[[#This Row],[BO UNITS HOLD]]</f>
        <v>0</v>
      </c>
      <c r="AC630" s="119" t="e">
        <f>INDEX([4]!Table_1[BO ID],MATCH(INVESTORS_LIST[[#This Row],[INVESTOR CODE]],[4]!Table_1[INVESTOR CODE],0))</f>
        <v>#REF!</v>
      </c>
      <c r="AD630" s="33">
        <f>INVESTORS_LIST[[#This Row],[LS_TOTAL COST VALUE OF CURRENT UNITS]]+INVESTORS_LIST[[#This Row],[SIP_TOTAL COST VALUE OF CURRENT UNITS]]</f>
        <v>0</v>
      </c>
      <c r="AE630" s="44">
        <f>IF(INVESTORS_LIST[[#This Row],[TOTAL CURRENT UNITS]]=0,0,INVESTORS_LIST[[#This Row],[LS_TOTAL CURRENT UNITS]]/INVESTORS_LIST[[#This Row],[TOTAL CURRENT UNITS]])</f>
        <v>0</v>
      </c>
      <c r="AF630" s="44">
        <f>IF(INVESTORS_LIST[[#This Row],[TOTAL CURRENT UNITS]]=0,0,INVESTORS_LIST[[#This Row],[SIP_TOTAL CURRENT UNITS]]/INVESTORS_LIST[[#This Row],[TOTAL CURRENT UNITS]])</f>
        <v>0</v>
      </c>
      <c r="AG630" s="4" cm="1">
        <f t="array" ref="AG63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30" s="4" cm="1">
        <f t="array" ref="AH63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3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30" s="178">
        <f t="shared" si="15"/>
        <v>12.552</v>
      </c>
      <c r="AK630" s="118">
        <f>IF(INVESTORS_LIST[[#This Row],[TOTAL CURRENT UNITS]]=0,0,INVESTORS_LIST[[#This Row],[TOTAL CURRENT UNITS]]*INVESTORS_LIST[[#This Row],[NAV]])</f>
        <v>0</v>
      </c>
      <c r="AL630" s="4">
        <f>IF(INVESTORS_LIST[[#This Row],[LS_TOTAL CURRENT UNITS]]=0,0,INVESTORS_LIST[[#This Row],[LS_TOTAL CURRENT UNITS]]*INVESTORS_LIST[[#This Row],[NAV]])</f>
        <v>0</v>
      </c>
      <c r="AM630" s="6">
        <f>IF(INVESTORS_LIST[[#This Row],[SIP_TOTAL CURRENT UNITS]]=0,0,INVESTORS_LIST[[#This Row],[SIP_TOTAL CURRENT UNITS]]*INVESTORS_LIST[[#This Row],[NAV]])</f>
        <v>0</v>
      </c>
      <c r="AO630" s="6">
        <f>IF(INVESTORS_LIST[[#This Row],[TOTAL SELLABLE UNITS]]=0,0,INVESTORS_LIST[[#This Row],[TOTAL SELLABLE UNITS]]*INVESTORS_LIST[[#This Row],[NAV]])</f>
        <v>0</v>
      </c>
      <c r="AP630" s="6">
        <f>INVESTORS_LIST[[#This Row],[LS_TOTAL REALIZED GAIN]]+INVESTORS_LIST[[#This Row],[SIP_TOTAL REALIZED GAIN]]</f>
        <v>0</v>
      </c>
      <c r="AQ630" s="6">
        <f>INVESTORS_LIST[[#This Row],[TOTAL MARKET VALUE]]-INVESTORS_LIST[[#This Row],[TOTAL COST VALUE OF CURRENT INVESTMENT]]</f>
        <v>0</v>
      </c>
      <c r="AR630" s="6">
        <f>SUMIFS(DivAndTax[Tax Amount],DivAndTax[Investor ID],INVESTORS_LIST[[#This Row],[INVESTOR CODE]])</f>
        <v>0</v>
      </c>
      <c r="AS630" s="6">
        <f>SUMIFS(DivAndTax[Gross Dividend],DivAndTax[Investor ID],INVESTORS_LIST[[#This Row],[INVESTOR CODE]])</f>
        <v>0</v>
      </c>
      <c r="AT630" s="5">
        <f>IFERROR(INVESTORS_LIST[[#This Row],[TOTAL CURRENT UNITS]]/SUM(INVESTORS_LIST[TOTAL CURRENT UNITS]),0)</f>
        <v>0</v>
      </c>
    </row>
    <row r="631" spans="1:46" hidden="1">
      <c r="A631" t="s">
        <v>1449</v>
      </c>
      <c r="B631" t="s">
        <v>1450</v>
      </c>
      <c r="C631" t="s">
        <v>536</v>
      </c>
      <c r="D631" s="8" t="s">
        <v>2</v>
      </c>
      <c r="E631" s="2">
        <f>SUMIFS(LS[Unit],LS[Investor ID],INVESTORS_LIST[[#This Row],[INVESTOR CODE]],LS[B/S],"B")</f>
        <v>0</v>
      </c>
      <c r="F631" s="2">
        <f>-SUMIFS(LS[Unit],LS[Investor ID],INVESTORS_LIST[[#This Row],[INVESTOR CODE]],LS[B/S],"S")</f>
        <v>0</v>
      </c>
      <c r="G631" s="2">
        <f>IF(INVESTORS_LIST[[#This Row],[LS_TOTAL UNITS BUY]]=0,0,INVESTORS_LIST[[#This Row],[LS_TOTAL UNITS BUY]]-INVESTORS_LIST[[#This Row],[LS_TOTAL UNITS SOLD]])</f>
        <v>0</v>
      </c>
      <c r="H631" s="4">
        <f>IF(INVESTORS_LIST[[#This Row],[LS_TOTAL UNITS BUY]]=0,0,SUMIFS(LS[Amount],LS[Investor ID],INVESTORS_LIST[[#This Row],[INVESTOR CODE]],LS[B/S],"B"))</f>
        <v>0</v>
      </c>
      <c r="I631" s="6">
        <f>IF(INVESTORS_LIST[[#This Row],[LS_TOTAL UNITS SOLD]]=0,0,SUMIFS(LS[Cost of Units Sold],LS[Investor ID],INVESTORS_LIST[[#This Row],[INVESTOR CODE]],LS[B/S],"S"))</f>
        <v>0</v>
      </c>
      <c r="J631" s="6">
        <f>IF(INVESTORS_LIST[[#This Row],[LS_TOTAL CURRENT UNITS]]=0,0,INVESTORS_LIST[[#This Row],[LS_TOTAL CURRENT UNITS]]*INVESTORS_LIST[[#This Row],[LS_AVERAGE COST]])</f>
        <v>0</v>
      </c>
      <c r="K631" s="4">
        <f>IF(INVESTORS_LIST[[#This Row],[LS_TOTAL UNITS SOLD]]=0,0,SUMIFS(LS[Realized Gain],LS[Investor ID],INVESTORS_LIST[[#This Row],[INVESTOR CODE]],LS[B/S],"S"))</f>
        <v>0</v>
      </c>
      <c r="L631" s="2">
        <f>SUMIFS(SIP[Unit],SIP[Investor ID],INVESTORS_LIST[[#This Row],[INVESTOR CODE]],SIP[B/S],"B")</f>
        <v>0</v>
      </c>
      <c r="M631" s="2">
        <f>-SUMIFS(SIP[Unit],SIP[Investor ID],INVESTORS_LIST[[#This Row],[INVESTOR CODE]],SIP[B/S],"S")</f>
        <v>0</v>
      </c>
      <c r="N631" s="33">
        <f>IF(INVESTORS_LIST[[#This Row],[SIP_TOTAL UNITS BUY]]=0,0,INVESTORS_LIST[[#This Row],[SIP_TOTAL UNITS BUY]]-INVESTORS_LIST[[#This Row],[SIP_TOTAL UNITS SOLD]])</f>
        <v>0</v>
      </c>
      <c r="O631" s="4">
        <f>IF(INVESTORS_LIST[[#This Row],[SIP_TOTAL UNITS BUY]]=0,0,SUMIFS(SIP[Amount],SIP[Investor ID],INVESTORS_LIST[[#This Row],[INVESTOR CODE]],SIP[B/S],"B"))</f>
        <v>0</v>
      </c>
      <c r="P631" s="4">
        <f>IF(INVESTORS_LIST[[#This Row],[SIP_TOTAL UNITS SOLD]]=0,0,SUMIFS(SIP[Cost of Units Sold],SIP[Investor ID],INVESTORS_LIST[[#This Row],[INVESTOR CODE]],SIP[B/S],"S"))</f>
        <v>0</v>
      </c>
      <c r="Q631" s="6">
        <f>IF(INVESTORS_LIST[[#This Row],[SIP_TOTAL CURRENT UNITS]]=0,0,INVESTORS_LIST[[#This Row],[SIP_TOTAL CURRENT UNITS]]*INVESTORS_LIST[[#This Row],[SIP_AVERAGE COST]])</f>
        <v>0</v>
      </c>
      <c r="R631" s="6">
        <f>IF(INVESTORS_LIST[[#This Row],[SIP_TOTAL UNITS SOLD]]=0,0,SUMIFS(SIP[Realized Gain],SIP[Investor ID],INVESTORS_LIST[[#This Row],[INVESTOR CODE]],SIP[B/S],"S"))</f>
        <v>0</v>
      </c>
      <c r="S631" s="33">
        <f>INVESTORS_LIST[[#This Row],[LS_TOTAL UNITS BUY]]+INVESTORS_LIST[[#This Row],[SIP_TOTAL UNITS BUY]]</f>
        <v>0</v>
      </c>
      <c r="T631" s="33">
        <f>INVESTORS_LIST[[#This Row],[LS_TOTAL UNITS SOLD]]+INVESTORS_LIST[[#This Row],[SIP_TOTAL UNITS SOLD]]</f>
        <v>0</v>
      </c>
      <c r="U631" s="33">
        <v>0</v>
      </c>
      <c r="V631" s="33">
        <f>SUMIFS(LS[BO UNIT TRANSFER],LS[Investor ID],INVESTORS_LIST[[#This Row],[INVESTOR CODE]],LS[B/S],"B")</f>
        <v>0</v>
      </c>
      <c r="W631" s="33">
        <f>SUMIFS(LS[BO UNIT TRANSFER],LS[Investor ID],INVESTORS_LIST[[#This Row],[INVESTOR CODE]],LS[B/S],"S")</f>
        <v>0</v>
      </c>
      <c r="X631" s="33">
        <f>SUMIFS(SIP[BO UNIT TRANSFER],SIP[Investor ID],INVESTORS_LIST[[#This Row],[INVESTOR CODE]],SIP[B/S],"S")</f>
        <v>0</v>
      </c>
      <c r="Y631" s="33">
        <f>SUMIFS(SIP[BO UNIT TRANSFER],SIP[Investor ID],INVESTORS_LIST[[#This Row],[INVESTOR CODE]],SIP[B/S],"B")</f>
        <v>0</v>
      </c>
      <c r="Z63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31" s="119">
        <f>INVESTORS_LIST[[#This Row],[TOTAL UNITS BUY]]-INVESTORS_LIST[[#This Row],[TOTAL UNITS SOLD]]</f>
        <v>0</v>
      </c>
      <c r="AB631" s="119">
        <f>INVESTORS_LIST[[#This Row],[TOTAL CURRENT UNITS]]-INVESTORS_LIST[[#This Row],[BO UNITS HOLD]]</f>
        <v>0</v>
      </c>
      <c r="AC631" s="119" t="e">
        <f>INDEX([4]!Table_1[BO ID],MATCH(INVESTORS_LIST[[#This Row],[INVESTOR CODE]],[4]!Table_1[INVESTOR CODE],0))</f>
        <v>#REF!</v>
      </c>
      <c r="AD631" s="33">
        <f>INVESTORS_LIST[[#This Row],[LS_TOTAL COST VALUE OF CURRENT UNITS]]+INVESTORS_LIST[[#This Row],[SIP_TOTAL COST VALUE OF CURRENT UNITS]]</f>
        <v>0</v>
      </c>
      <c r="AE631" s="44">
        <f>IF(INVESTORS_LIST[[#This Row],[TOTAL CURRENT UNITS]]=0,0,INVESTORS_LIST[[#This Row],[LS_TOTAL CURRENT UNITS]]/INVESTORS_LIST[[#This Row],[TOTAL CURRENT UNITS]])</f>
        <v>0</v>
      </c>
      <c r="AF631" s="44">
        <f>IF(INVESTORS_LIST[[#This Row],[TOTAL CURRENT UNITS]]=0,0,INVESTORS_LIST[[#This Row],[SIP_TOTAL CURRENT UNITS]]/INVESTORS_LIST[[#This Row],[TOTAL CURRENT UNITS]])</f>
        <v>0</v>
      </c>
      <c r="AG631" s="4" cm="1">
        <f t="array" ref="AG63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31" s="4" cm="1">
        <f t="array" ref="AH63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3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31" s="178">
        <f t="shared" si="15"/>
        <v>12.552</v>
      </c>
      <c r="AK631" s="118">
        <f>IF(INVESTORS_LIST[[#This Row],[TOTAL CURRENT UNITS]]=0,0,INVESTORS_LIST[[#This Row],[TOTAL CURRENT UNITS]]*INVESTORS_LIST[[#This Row],[NAV]])</f>
        <v>0</v>
      </c>
      <c r="AL631" s="4">
        <f>IF(INVESTORS_LIST[[#This Row],[LS_TOTAL CURRENT UNITS]]=0,0,INVESTORS_LIST[[#This Row],[LS_TOTAL CURRENT UNITS]]*INVESTORS_LIST[[#This Row],[NAV]])</f>
        <v>0</v>
      </c>
      <c r="AM631" s="6">
        <f>IF(INVESTORS_LIST[[#This Row],[SIP_TOTAL CURRENT UNITS]]=0,0,INVESTORS_LIST[[#This Row],[SIP_TOTAL CURRENT UNITS]]*INVESTORS_LIST[[#This Row],[NAV]])</f>
        <v>0</v>
      </c>
      <c r="AO631" s="6">
        <f>IF(INVESTORS_LIST[[#This Row],[TOTAL SELLABLE UNITS]]=0,0,INVESTORS_LIST[[#This Row],[TOTAL SELLABLE UNITS]]*INVESTORS_LIST[[#This Row],[NAV]])</f>
        <v>0</v>
      </c>
      <c r="AP631" s="6">
        <f>INVESTORS_LIST[[#This Row],[LS_TOTAL REALIZED GAIN]]+INVESTORS_LIST[[#This Row],[SIP_TOTAL REALIZED GAIN]]</f>
        <v>0</v>
      </c>
      <c r="AQ631" s="6">
        <f>INVESTORS_LIST[[#This Row],[TOTAL MARKET VALUE]]-INVESTORS_LIST[[#This Row],[TOTAL COST VALUE OF CURRENT INVESTMENT]]</f>
        <v>0</v>
      </c>
      <c r="AR631" s="6">
        <f>SUMIFS(DivAndTax[Tax Amount],DivAndTax[Investor ID],INVESTORS_LIST[[#This Row],[INVESTOR CODE]])</f>
        <v>0</v>
      </c>
      <c r="AS631" s="6">
        <f>SUMIFS(DivAndTax[Gross Dividend],DivAndTax[Investor ID],INVESTORS_LIST[[#This Row],[INVESTOR CODE]])</f>
        <v>0</v>
      </c>
      <c r="AT631" s="5">
        <f>IFERROR(INVESTORS_LIST[[#This Row],[TOTAL CURRENT UNITS]]/SUM(INVESTORS_LIST[TOTAL CURRENT UNITS]),0)</f>
        <v>0</v>
      </c>
    </row>
    <row r="632" spans="1:46" hidden="1">
      <c r="A632" t="s">
        <v>1451</v>
      </c>
      <c r="B632" t="s">
        <v>1452</v>
      </c>
      <c r="C632" t="s">
        <v>539</v>
      </c>
      <c r="D632" s="8" t="s">
        <v>2</v>
      </c>
      <c r="E632" s="2">
        <f>SUMIFS(LS[Unit],LS[Investor ID],INVESTORS_LIST[[#This Row],[INVESTOR CODE]],LS[B/S],"B")</f>
        <v>0</v>
      </c>
      <c r="F632" s="2">
        <f>-SUMIFS(LS[Unit],LS[Investor ID],INVESTORS_LIST[[#This Row],[INVESTOR CODE]],LS[B/S],"S")</f>
        <v>0</v>
      </c>
      <c r="G632" s="2">
        <f>IF(INVESTORS_LIST[[#This Row],[LS_TOTAL UNITS BUY]]=0,0,INVESTORS_LIST[[#This Row],[LS_TOTAL UNITS BUY]]-INVESTORS_LIST[[#This Row],[LS_TOTAL UNITS SOLD]])</f>
        <v>0</v>
      </c>
      <c r="H632" s="4">
        <f>IF(INVESTORS_LIST[[#This Row],[LS_TOTAL UNITS BUY]]=0,0,SUMIFS(LS[Amount],LS[Investor ID],INVESTORS_LIST[[#This Row],[INVESTOR CODE]],LS[B/S],"B"))</f>
        <v>0</v>
      </c>
      <c r="I632" s="6">
        <f>IF(INVESTORS_LIST[[#This Row],[LS_TOTAL UNITS SOLD]]=0,0,SUMIFS(LS[Cost of Units Sold],LS[Investor ID],INVESTORS_LIST[[#This Row],[INVESTOR CODE]],LS[B/S],"S"))</f>
        <v>0</v>
      </c>
      <c r="J632" s="6">
        <f>IF(INVESTORS_LIST[[#This Row],[LS_TOTAL CURRENT UNITS]]=0,0,INVESTORS_LIST[[#This Row],[LS_TOTAL CURRENT UNITS]]*INVESTORS_LIST[[#This Row],[LS_AVERAGE COST]])</f>
        <v>0</v>
      </c>
      <c r="K632" s="4">
        <f>IF(INVESTORS_LIST[[#This Row],[LS_TOTAL UNITS SOLD]]=0,0,SUMIFS(LS[Realized Gain],LS[Investor ID],INVESTORS_LIST[[#This Row],[INVESTOR CODE]],LS[B/S],"S"))</f>
        <v>0</v>
      </c>
      <c r="L632" s="2">
        <f>SUMIFS(SIP[Unit],SIP[Investor ID],INVESTORS_LIST[[#This Row],[INVESTOR CODE]],SIP[B/S],"B")</f>
        <v>0</v>
      </c>
      <c r="M632" s="2">
        <f>-SUMIFS(SIP[Unit],SIP[Investor ID],INVESTORS_LIST[[#This Row],[INVESTOR CODE]],SIP[B/S],"S")</f>
        <v>0</v>
      </c>
      <c r="N632" s="33">
        <f>IF(INVESTORS_LIST[[#This Row],[SIP_TOTAL UNITS BUY]]=0,0,INVESTORS_LIST[[#This Row],[SIP_TOTAL UNITS BUY]]-INVESTORS_LIST[[#This Row],[SIP_TOTAL UNITS SOLD]])</f>
        <v>0</v>
      </c>
      <c r="O632" s="4">
        <f>IF(INVESTORS_LIST[[#This Row],[SIP_TOTAL UNITS BUY]]=0,0,SUMIFS(SIP[Amount],SIP[Investor ID],INVESTORS_LIST[[#This Row],[INVESTOR CODE]],SIP[B/S],"B"))</f>
        <v>0</v>
      </c>
      <c r="P632" s="4">
        <f>IF(INVESTORS_LIST[[#This Row],[SIP_TOTAL UNITS SOLD]]=0,0,SUMIFS(SIP[Cost of Units Sold],SIP[Investor ID],INVESTORS_LIST[[#This Row],[INVESTOR CODE]],SIP[B/S],"S"))</f>
        <v>0</v>
      </c>
      <c r="Q632" s="6">
        <f>IF(INVESTORS_LIST[[#This Row],[SIP_TOTAL CURRENT UNITS]]=0,0,INVESTORS_LIST[[#This Row],[SIP_TOTAL CURRENT UNITS]]*INVESTORS_LIST[[#This Row],[SIP_AVERAGE COST]])</f>
        <v>0</v>
      </c>
      <c r="R632" s="6">
        <f>IF(INVESTORS_LIST[[#This Row],[SIP_TOTAL UNITS SOLD]]=0,0,SUMIFS(SIP[Realized Gain],SIP[Investor ID],INVESTORS_LIST[[#This Row],[INVESTOR CODE]],SIP[B/S],"S"))</f>
        <v>0</v>
      </c>
      <c r="S632" s="33">
        <f>INVESTORS_LIST[[#This Row],[LS_TOTAL UNITS BUY]]+INVESTORS_LIST[[#This Row],[SIP_TOTAL UNITS BUY]]</f>
        <v>0</v>
      </c>
      <c r="T632" s="33">
        <f>INVESTORS_LIST[[#This Row],[LS_TOTAL UNITS SOLD]]+INVESTORS_LIST[[#This Row],[SIP_TOTAL UNITS SOLD]]</f>
        <v>0</v>
      </c>
      <c r="U632" s="33">
        <v>0</v>
      </c>
      <c r="V632" s="33">
        <f>SUMIFS(LS[BO UNIT TRANSFER],LS[Investor ID],INVESTORS_LIST[[#This Row],[INVESTOR CODE]],LS[B/S],"B")</f>
        <v>0</v>
      </c>
      <c r="W632" s="33">
        <f>SUMIFS(LS[BO UNIT TRANSFER],LS[Investor ID],INVESTORS_LIST[[#This Row],[INVESTOR CODE]],LS[B/S],"S")</f>
        <v>0</v>
      </c>
      <c r="X632" s="33">
        <f>SUMIFS(SIP[BO UNIT TRANSFER],SIP[Investor ID],INVESTORS_LIST[[#This Row],[INVESTOR CODE]],SIP[B/S],"S")</f>
        <v>0</v>
      </c>
      <c r="Y632" s="33">
        <f>SUMIFS(SIP[BO UNIT TRANSFER],SIP[Investor ID],INVESTORS_LIST[[#This Row],[INVESTOR CODE]],SIP[B/S],"B")</f>
        <v>0</v>
      </c>
      <c r="Z63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32" s="119">
        <f>INVESTORS_LIST[[#This Row],[TOTAL UNITS BUY]]-INVESTORS_LIST[[#This Row],[TOTAL UNITS SOLD]]</f>
        <v>0</v>
      </c>
      <c r="AB632" s="119">
        <f>INVESTORS_LIST[[#This Row],[TOTAL CURRENT UNITS]]-INVESTORS_LIST[[#This Row],[BO UNITS HOLD]]</f>
        <v>0</v>
      </c>
      <c r="AC632" s="119" t="e">
        <f>INDEX([4]!Table_1[BO ID],MATCH(INVESTORS_LIST[[#This Row],[INVESTOR CODE]],[4]!Table_1[INVESTOR CODE],0))</f>
        <v>#REF!</v>
      </c>
      <c r="AD632" s="33">
        <f>INVESTORS_LIST[[#This Row],[LS_TOTAL COST VALUE OF CURRENT UNITS]]+INVESTORS_LIST[[#This Row],[SIP_TOTAL COST VALUE OF CURRENT UNITS]]</f>
        <v>0</v>
      </c>
      <c r="AE632" s="44">
        <f>IF(INVESTORS_LIST[[#This Row],[TOTAL CURRENT UNITS]]=0,0,INVESTORS_LIST[[#This Row],[LS_TOTAL CURRENT UNITS]]/INVESTORS_LIST[[#This Row],[TOTAL CURRENT UNITS]])</f>
        <v>0</v>
      </c>
      <c r="AF632" s="44">
        <f>IF(INVESTORS_LIST[[#This Row],[TOTAL CURRENT UNITS]]=0,0,INVESTORS_LIST[[#This Row],[SIP_TOTAL CURRENT UNITS]]/INVESTORS_LIST[[#This Row],[TOTAL CURRENT UNITS]])</f>
        <v>0</v>
      </c>
      <c r="AG632" s="4" cm="1">
        <f t="array" ref="AG63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32" s="4" cm="1">
        <f t="array" ref="AH63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3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32" s="178">
        <f t="shared" si="15"/>
        <v>12.552</v>
      </c>
      <c r="AK632" s="118">
        <f>IF(INVESTORS_LIST[[#This Row],[TOTAL CURRENT UNITS]]=0,0,INVESTORS_LIST[[#This Row],[TOTAL CURRENT UNITS]]*INVESTORS_LIST[[#This Row],[NAV]])</f>
        <v>0</v>
      </c>
      <c r="AL632" s="4">
        <f>IF(INVESTORS_LIST[[#This Row],[LS_TOTAL CURRENT UNITS]]=0,0,INVESTORS_LIST[[#This Row],[LS_TOTAL CURRENT UNITS]]*INVESTORS_LIST[[#This Row],[NAV]])</f>
        <v>0</v>
      </c>
      <c r="AM632" s="6">
        <f>IF(INVESTORS_LIST[[#This Row],[SIP_TOTAL CURRENT UNITS]]=0,0,INVESTORS_LIST[[#This Row],[SIP_TOTAL CURRENT UNITS]]*INVESTORS_LIST[[#This Row],[NAV]])</f>
        <v>0</v>
      </c>
      <c r="AO632" s="6">
        <f>IF(INVESTORS_LIST[[#This Row],[TOTAL SELLABLE UNITS]]=0,0,INVESTORS_LIST[[#This Row],[TOTAL SELLABLE UNITS]]*INVESTORS_LIST[[#This Row],[NAV]])</f>
        <v>0</v>
      </c>
      <c r="AP632" s="6">
        <f>INVESTORS_LIST[[#This Row],[LS_TOTAL REALIZED GAIN]]+INVESTORS_LIST[[#This Row],[SIP_TOTAL REALIZED GAIN]]</f>
        <v>0</v>
      </c>
      <c r="AQ632" s="6">
        <f>INVESTORS_LIST[[#This Row],[TOTAL MARKET VALUE]]-INVESTORS_LIST[[#This Row],[TOTAL COST VALUE OF CURRENT INVESTMENT]]</f>
        <v>0</v>
      </c>
      <c r="AR632" s="6">
        <f>SUMIFS(DivAndTax[Tax Amount],DivAndTax[Investor ID],INVESTORS_LIST[[#This Row],[INVESTOR CODE]])</f>
        <v>0</v>
      </c>
      <c r="AS632" s="6">
        <f>SUMIFS(DivAndTax[Gross Dividend],DivAndTax[Investor ID],INVESTORS_LIST[[#This Row],[INVESTOR CODE]])</f>
        <v>0</v>
      </c>
      <c r="AT632" s="5">
        <f>IFERROR(INVESTORS_LIST[[#This Row],[TOTAL CURRENT UNITS]]/SUM(INVESTORS_LIST[TOTAL CURRENT UNITS]),0)</f>
        <v>0</v>
      </c>
    </row>
    <row r="633" spans="1:46" hidden="1">
      <c r="A633" t="s">
        <v>1453</v>
      </c>
      <c r="B633" t="s">
        <v>1454</v>
      </c>
      <c r="C633" t="s">
        <v>536</v>
      </c>
      <c r="D633" s="8" t="s">
        <v>2</v>
      </c>
      <c r="E633" s="2">
        <f>SUMIFS(LS[Unit],LS[Investor ID],INVESTORS_LIST[[#This Row],[INVESTOR CODE]],LS[B/S],"B")</f>
        <v>0</v>
      </c>
      <c r="F633" s="2">
        <f>-SUMIFS(LS[Unit],LS[Investor ID],INVESTORS_LIST[[#This Row],[INVESTOR CODE]],LS[B/S],"S")</f>
        <v>0</v>
      </c>
      <c r="G633" s="2">
        <f>IF(INVESTORS_LIST[[#This Row],[LS_TOTAL UNITS BUY]]=0,0,INVESTORS_LIST[[#This Row],[LS_TOTAL UNITS BUY]]-INVESTORS_LIST[[#This Row],[LS_TOTAL UNITS SOLD]])</f>
        <v>0</v>
      </c>
      <c r="H633" s="4">
        <f>IF(INVESTORS_LIST[[#This Row],[LS_TOTAL UNITS BUY]]=0,0,SUMIFS(LS[Amount],LS[Investor ID],INVESTORS_LIST[[#This Row],[INVESTOR CODE]],LS[B/S],"B"))</f>
        <v>0</v>
      </c>
      <c r="I633" s="6">
        <f>IF(INVESTORS_LIST[[#This Row],[LS_TOTAL UNITS SOLD]]=0,0,SUMIFS(LS[Cost of Units Sold],LS[Investor ID],INVESTORS_LIST[[#This Row],[INVESTOR CODE]],LS[B/S],"S"))</f>
        <v>0</v>
      </c>
      <c r="J633" s="6">
        <f>IF(INVESTORS_LIST[[#This Row],[LS_TOTAL CURRENT UNITS]]=0,0,INVESTORS_LIST[[#This Row],[LS_TOTAL CURRENT UNITS]]*INVESTORS_LIST[[#This Row],[LS_AVERAGE COST]])</f>
        <v>0</v>
      </c>
      <c r="K633" s="4">
        <f>IF(INVESTORS_LIST[[#This Row],[LS_TOTAL UNITS SOLD]]=0,0,SUMIFS(LS[Realized Gain],LS[Investor ID],INVESTORS_LIST[[#This Row],[INVESTOR CODE]],LS[B/S],"S"))</f>
        <v>0</v>
      </c>
      <c r="L633" s="2">
        <f>SUMIFS(SIP[Unit],SIP[Investor ID],INVESTORS_LIST[[#This Row],[INVESTOR CODE]],SIP[B/S],"B")</f>
        <v>0</v>
      </c>
      <c r="M633" s="2">
        <f>-SUMIFS(SIP[Unit],SIP[Investor ID],INVESTORS_LIST[[#This Row],[INVESTOR CODE]],SIP[B/S],"S")</f>
        <v>0</v>
      </c>
      <c r="N633" s="33">
        <f>IF(INVESTORS_LIST[[#This Row],[SIP_TOTAL UNITS BUY]]=0,0,INVESTORS_LIST[[#This Row],[SIP_TOTAL UNITS BUY]]-INVESTORS_LIST[[#This Row],[SIP_TOTAL UNITS SOLD]])</f>
        <v>0</v>
      </c>
      <c r="O633" s="4">
        <f>IF(INVESTORS_LIST[[#This Row],[SIP_TOTAL UNITS BUY]]=0,0,SUMIFS(SIP[Amount],SIP[Investor ID],INVESTORS_LIST[[#This Row],[INVESTOR CODE]],SIP[B/S],"B"))</f>
        <v>0</v>
      </c>
      <c r="P633" s="4">
        <f>IF(INVESTORS_LIST[[#This Row],[SIP_TOTAL UNITS SOLD]]=0,0,SUMIFS(SIP[Cost of Units Sold],SIP[Investor ID],INVESTORS_LIST[[#This Row],[INVESTOR CODE]],SIP[B/S],"S"))</f>
        <v>0</v>
      </c>
      <c r="Q633" s="6">
        <f>IF(INVESTORS_LIST[[#This Row],[SIP_TOTAL CURRENT UNITS]]=0,0,INVESTORS_LIST[[#This Row],[SIP_TOTAL CURRENT UNITS]]*INVESTORS_LIST[[#This Row],[SIP_AVERAGE COST]])</f>
        <v>0</v>
      </c>
      <c r="R633" s="6">
        <f>IF(INVESTORS_LIST[[#This Row],[SIP_TOTAL UNITS SOLD]]=0,0,SUMIFS(SIP[Realized Gain],SIP[Investor ID],INVESTORS_LIST[[#This Row],[INVESTOR CODE]],SIP[B/S],"S"))</f>
        <v>0</v>
      </c>
      <c r="S633" s="33">
        <f>INVESTORS_LIST[[#This Row],[LS_TOTAL UNITS BUY]]+INVESTORS_LIST[[#This Row],[SIP_TOTAL UNITS BUY]]</f>
        <v>0</v>
      </c>
      <c r="T633" s="33">
        <f>INVESTORS_LIST[[#This Row],[LS_TOTAL UNITS SOLD]]+INVESTORS_LIST[[#This Row],[SIP_TOTAL UNITS SOLD]]</f>
        <v>0</v>
      </c>
      <c r="U633" s="33">
        <v>0</v>
      </c>
      <c r="V633" s="33">
        <f>SUMIFS(LS[BO UNIT TRANSFER],LS[Investor ID],INVESTORS_LIST[[#This Row],[INVESTOR CODE]],LS[B/S],"B")</f>
        <v>0</v>
      </c>
      <c r="W633" s="33">
        <f>SUMIFS(LS[BO UNIT TRANSFER],LS[Investor ID],INVESTORS_LIST[[#This Row],[INVESTOR CODE]],LS[B/S],"S")</f>
        <v>0</v>
      </c>
      <c r="X633" s="33">
        <f>SUMIFS(SIP[BO UNIT TRANSFER],SIP[Investor ID],INVESTORS_LIST[[#This Row],[INVESTOR CODE]],SIP[B/S],"S")</f>
        <v>0</v>
      </c>
      <c r="Y633" s="33">
        <f>SUMIFS(SIP[BO UNIT TRANSFER],SIP[Investor ID],INVESTORS_LIST[[#This Row],[INVESTOR CODE]],SIP[B/S],"B")</f>
        <v>0</v>
      </c>
      <c r="Z63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33" s="119">
        <f>INVESTORS_LIST[[#This Row],[TOTAL UNITS BUY]]-INVESTORS_LIST[[#This Row],[TOTAL UNITS SOLD]]</f>
        <v>0</v>
      </c>
      <c r="AB633" s="119">
        <f>INVESTORS_LIST[[#This Row],[TOTAL CURRENT UNITS]]-INVESTORS_LIST[[#This Row],[BO UNITS HOLD]]</f>
        <v>0</v>
      </c>
      <c r="AC633" s="119" t="e">
        <f>INDEX([4]!Table_1[BO ID],MATCH(INVESTORS_LIST[[#This Row],[INVESTOR CODE]],[4]!Table_1[INVESTOR CODE],0))</f>
        <v>#REF!</v>
      </c>
      <c r="AD633" s="33">
        <f>INVESTORS_LIST[[#This Row],[LS_TOTAL COST VALUE OF CURRENT UNITS]]+INVESTORS_LIST[[#This Row],[SIP_TOTAL COST VALUE OF CURRENT UNITS]]</f>
        <v>0</v>
      </c>
      <c r="AE633" s="44">
        <f>IF(INVESTORS_LIST[[#This Row],[TOTAL CURRENT UNITS]]=0,0,INVESTORS_LIST[[#This Row],[LS_TOTAL CURRENT UNITS]]/INVESTORS_LIST[[#This Row],[TOTAL CURRENT UNITS]])</f>
        <v>0</v>
      </c>
      <c r="AF633" s="44">
        <f>IF(INVESTORS_LIST[[#This Row],[TOTAL CURRENT UNITS]]=0,0,INVESTORS_LIST[[#This Row],[SIP_TOTAL CURRENT UNITS]]/INVESTORS_LIST[[#This Row],[TOTAL CURRENT UNITS]])</f>
        <v>0</v>
      </c>
      <c r="AG633" s="4" cm="1">
        <f t="array" ref="AG63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33" s="4" cm="1">
        <f t="array" ref="AH63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3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33" s="178">
        <f t="shared" si="15"/>
        <v>12.552</v>
      </c>
      <c r="AK633" s="118">
        <f>IF(INVESTORS_LIST[[#This Row],[TOTAL CURRENT UNITS]]=0,0,INVESTORS_LIST[[#This Row],[TOTAL CURRENT UNITS]]*INVESTORS_LIST[[#This Row],[NAV]])</f>
        <v>0</v>
      </c>
      <c r="AL633" s="4">
        <f>IF(INVESTORS_LIST[[#This Row],[LS_TOTAL CURRENT UNITS]]=0,0,INVESTORS_LIST[[#This Row],[LS_TOTAL CURRENT UNITS]]*INVESTORS_LIST[[#This Row],[NAV]])</f>
        <v>0</v>
      </c>
      <c r="AM633" s="6">
        <f>IF(INVESTORS_LIST[[#This Row],[SIP_TOTAL CURRENT UNITS]]=0,0,INVESTORS_LIST[[#This Row],[SIP_TOTAL CURRENT UNITS]]*INVESTORS_LIST[[#This Row],[NAV]])</f>
        <v>0</v>
      </c>
      <c r="AO633" s="6">
        <f>IF(INVESTORS_LIST[[#This Row],[TOTAL SELLABLE UNITS]]=0,0,INVESTORS_LIST[[#This Row],[TOTAL SELLABLE UNITS]]*INVESTORS_LIST[[#This Row],[NAV]])</f>
        <v>0</v>
      </c>
      <c r="AP633" s="6">
        <f>INVESTORS_LIST[[#This Row],[LS_TOTAL REALIZED GAIN]]+INVESTORS_LIST[[#This Row],[SIP_TOTAL REALIZED GAIN]]</f>
        <v>0</v>
      </c>
      <c r="AQ633" s="6">
        <f>INVESTORS_LIST[[#This Row],[TOTAL MARKET VALUE]]-INVESTORS_LIST[[#This Row],[TOTAL COST VALUE OF CURRENT INVESTMENT]]</f>
        <v>0</v>
      </c>
      <c r="AR633" s="6">
        <f>SUMIFS(DivAndTax[Tax Amount],DivAndTax[Investor ID],INVESTORS_LIST[[#This Row],[INVESTOR CODE]])</f>
        <v>0</v>
      </c>
      <c r="AS633" s="6">
        <f>SUMIFS(DivAndTax[Gross Dividend],DivAndTax[Investor ID],INVESTORS_LIST[[#This Row],[INVESTOR CODE]])</f>
        <v>0</v>
      </c>
      <c r="AT633" s="5">
        <f>IFERROR(INVESTORS_LIST[[#This Row],[TOTAL CURRENT UNITS]]/SUM(INVESTORS_LIST[TOTAL CURRENT UNITS]),0)</f>
        <v>0</v>
      </c>
    </row>
    <row r="634" spans="1:46" hidden="1">
      <c r="A634" t="s">
        <v>1455</v>
      </c>
      <c r="B634" t="s">
        <v>1456</v>
      </c>
      <c r="C634" t="s">
        <v>536</v>
      </c>
      <c r="D634" s="8" t="s">
        <v>2</v>
      </c>
      <c r="E634" s="2">
        <f>SUMIFS(LS[Unit],LS[Investor ID],INVESTORS_LIST[[#This Row],[INVESTOR CODE]],LS[B/S],"B")</f>
        <v>0</v>
      </c>
      <c r="F634" s="2">
        <f>-SUMIFS(LS[Unit],LS[Investor ID],INVESTORS_LIST[[#This Row],[INVESTOR CODE]],LS[B/S],"S")</f>
        <v>0</v>
      </c>
      <c r="G634" s="2">
        <f>IF(INVESTORS_LIST[[#This Row],[LS_TOTAL UNITS BUY]]=0,0,INVESTORS_LIST[[#This Row],[LS_TOTAL UNITS BUY]]-INVESTORS_LIST[[#This Row],[LS_TOTAL UNITS SOLD]])</f>
        <v>0</v>
      </c>
      <c r="H634" s="4">
        <f>IF(INVESTORS_LIST[[#This Row],[LS_TOTAL UNITS BUY]]=0,0,SUMIFS(LS[Amount],LS[Investor ID],INVESTORS_LIST[[#This Row],[INVESTOR CODE]],LS[B/S],"B"))</f>
        <v>0</v>
      </c>
      <c r="I634" s="6">
        <f>IF(INVESTORS_LIST[[#This Row],[LS_TOTAL UNITS SOLD]]=0,0,SUMIFS(LS[Cost of Units Sold],LS[Investor ID],INVESTORS_LIST[[#This Row],[INVESTOR CODE]],LS[B/S],"S"))</f>
        <v>0</v>
      </c>
      <c r="J634" s="6">
        <f>IF(INVESTORS_LIST[[#This Row],[LS_TOTAL CURRENT UNITS]]=0,0,INVESTORS_LIST[[#This Row],[LS_TOTAL CURRENT UNITS]]*INVESTORS_LIST[[#This Row],[LS_AVERAGE COST]])</f>
        <v>0</v>
      </c>
      <c r="K634" s="4">
        <f>IF(INVESTORS_LIST[[#This Row],[LS_TOTAL UNITS SOLD]]=0,0,SUMIFS(LS[Realized Gain],LS[Investor ID],INVESTORS_LIST[[#This Row],[INVESTOR CODE]],LS[B/S],"S"))</f>
        <v>0</v>
      </c>
      <c r="L634" s="2">
        <f>SUMIFS(SIP[Unit],SIP[Investor ID],INVESTORS_LIST[[#This Row],[INVESTOR CODE]],SIP[B/S],"B")</f>
        <v>0</v>
      </c>
      <c r="M634" s="2">
        <f>-SUMIFS(SIP[Unit],SIP[Investor ID],INVESTORS_LIST[[#This Row],[INVESTOR CODE]],SIP[B/S],"S")</f>
        <v>0</v>
      </c>
      <c r="N634" s="33">
        <f>IF(INVESTORS_LIST[[#This Row],[SIP_TOTAL UNITS BUY]]=0,0,INVESTORS_LIST[[#This Row],[SIP_TOTAL UNITS BUY]]-INVESTORS_LIST[[#This Row],[SIP_TOTAL UNITS SOLD]])</f>
        <v>0</v>
      </c>
      <c r="O634" s="4">
        <f>IF(INVESTORS_LIST[[#This Row],[SIP_TOTAL UNITS BUY]]=0,0,SUMIFS(SIP[Amount],SIP[Investor ID],INVESTORS_LIST[[#This Row],[INVESTOR CODE]],SIP[B/S],"B"))</f>
        <v>0</v>
      </c>
      <c r="P634" s="4">
        <f>IF(INVESTORS_LIST[[#This Row],[SIP_TOTAL UNITS SOLD]]=0,0,SUMIFS(SIP[Cost of Units Sold],SIP[Investor ID],INVESTORS_LIST[[#This Row],[INVESTOR CODE]],SIP[B/S],"S"))</f>
        <v>0</v>
      </c>
      <c r="Q634" s="6">
        <f>IF(INVESTORS_LIST[[#This Row],[SIP_TOTAL CURRENT UNITS]]=0,0,INVESTORS_LIST[[#This Row],[SIP_TOTAL CURRENT UNITS]]*INVESTORS_LIST[[#This Row],[SIP_AVERAGE COST]])</f>
        <v>0</v>
      </c>
      <c r="R634" s="6">
        <f>IF(INVESTORS_LIST[[#This Row],[SIP_TOTAL UNITS SOLD]]=0,0,SUMIFS(SIP[Realized Gain],SIP[Investor ID],INVESTORS_LIST[[#This Row],[INVESTOR CODE]],SIP[B/S],"S"))</f>
        <v>0</v>
      </c>
      <c r="S634" s="33">
        <f>INVESTORS_LIST[[#This Row],[LS_TOTAL UNITS BUY]]+INVESTORS_LIST[[#This Row],[SIP_TOTAL UNITS BUY]]</f>
        <v>0</v>
      </c>
      <c r="T634" s="33">
        <f>INVESTORS_LIST[[#This Row],[LS_TOTAL UNITS SOLD]]+INVESTORS_LIST[[#This Row],[SIP_TOTAL UNITS SOLD]]</f>
        <v>0</v>
      </c>
      <c r="U634" s="33">
        <v>0</v>
      </c>
      <c r="V634" s="33">
        <f>SUMIFS(LS[BO UNIT TRANSFER],LS[Investor ID],INVESTORS_LIST[[#This Row],[INVESTOR CODE]],LS[B/S],"B")</f>
        <v>0</v>
      </c>
      <c r="W634" s="33">
        <f>SUMIFS(LS[BO UNIT TRANSFER],LS[Investor ID],INVESTORS_LIST[[#This Row],[INVESTOR CODE]],LS[B/S],"S")</f>
        <v>0</v>
      </c>
      <c r="X634" s="33">
        <f>SUMIFS(SIP[BO UNIT TRANSFER],SIP[Investor ID],INVESTORS_LIST[[#This Row],[INVESTOR CODE]],SIP[B/S],"S")</f>
        <v>0</v>
      </c>
      <c r="Y634" s="33">
        <f>SUMIFS(SIP[BO UNIT TRANSFER],SIP[Investor ID],INVESTORS_LIST[[#This Row],[INVESTOR CODE]],SIP[B/S],"B")</f>
        <v>0</v>
      </c>
      <c r="Z63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34" s="119">
        <f>INVESTORS_LIST[[#This Row],[TOTAL UNITS BUY]]-INVESTORS_LIST[[#This Row],[TOTAL UNITS SOLD]]</f>
        <v>0</v>
      </c>
      <c r="AB634" s="119">
        <f>INVESTORS_LIST[[#This Row],[TOTAL CURRENT UNITS]]-INVESTORS_LIST[[#This Row],[BO UNITS HOLD]]</f>
        <v>0</v>
      </c>
      <c r="AC634" s="119" t="e">
        <f>INDEX([4]!Table_1[BO ID],MATCH(INVESTORS_LIST[[#This Row],[INVESTOR CODE]],[4]!Table_1[INVESTOR CODE],0))</f>
        <v>#REF!</v>
      </c>
      <c r="AD634" s="33">
        <f>INVESTORS_LIST[[#This Row],[LS_TOTAL COST VALUE OF CURRENT UNITS]]+INVESTORS_LIST[[#This Row],[SIP_TOTAL COST VALUE OF CURRENT UNITS]]</f>
        <v>0</v>
      </c>
      <c r="AE634" s="44">
        <f>IF(INVESTORS_LIST[[#This Row],[TOTAL CURRENT UNITS]]=0,0,INVESTORS_LIST[[#This Row],[LS_TOTAL CURRENT UNITS]]/INVESTORS_LIST[[#This Row],[TOTAL CURRENT UNITS]])</f>
        <v>0</v>
      </c>
      <c r="AF634" s="44">
        <f>IF(INVESTORS_LIST[[#This Row],[TOTAL CURRENT UNITS]]=0,0,INVESTORS_LIST[[#This Row],[SIP_TOTAL CURRENT UNITS]]/INVESTORS_LIST[[#This Row],[TOTAL CURRENT UNITS]])</f>
        <v>0</v>
      </c>
      <c r="AG634" s="4" cm="1">
        <f t="array" ref="AG63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34" s="4" cm="1">
        <f t="array" ref="AH63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3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34" s="178">
        <f t="shared" si="15"/>
        <v>12.552</v>
      </c>
      <c r="AK634" s="118">
        <f>IF(INVESTORS_LIST[[#This Row],[TOTAL CURRENT UNITS]]=0,0,INVESTORS_LIST[[#This Row],[TOTAL CURRENT UNITS]]*INVESTORS_LIST[[#This Row],[NAV]])</f>
        <v>0</v>
      </c>
      <c r="AL634" s="4">
        <f>IF(INVESTORS_LIST[[#This Row],[LS_TOTAL CURRENT UNITS]]=0,0,INVESTORS_LIST[[#This Row],[LS_TOTAL CURRENT UNITS]]*INVESTORS_LIST[[#This Row],[NAV]])</f>
        <v>0</v>
      </c>
      <c r="AM634" s="6">
        <f>IF(INVESTORS_LIST[[#This Row],[SIP_TOTAL CURRENT UNITS]]=0,0,INVESTORS_LIST[[#This Row],[SIP_TOTAL CURRENT UNITS]]*INVESTORS_LIST[[#This Row],[NAV]])</f>
        <v>0</v>
      </c>
      <c r="AO634" s="6">
        <f>IF(INVESTORS_LIST[[#This Row],[TOTAL SELLABLE UNITS]]=0,0,INVESTORS_LIST[[#This Row],[TOTAL SELLABLE UNITS]]*INVESTORS_LIST[[#This Row],[NAV]])</f>
        <v>0</v>
      </c>
      <c r="AP634" s="6">
        <f>INVESTORS_LIST[[#This Row],[LS_TOTAL REALIZED GAIN]]+INVESTORS_LIST[[#This Row],[SIP_TOTAL REALIZED GAIN]]</f>
        <v>0</v>
      </c>
      <c r="AQ634" s="6">
        <f>INVESTORS_LIST[[#This Row],[TOTAL MARKET VALUE]]-INVESTORS_LIST[[#This Row],[TOTAL COST VALUE OF CURRENT INVESTMENT]]</f>
        <v>0</v>
      </c>
      <c r="AR634" s="6">
        <f>SUMIFS(DivAndTax[Tax Amount],DivAndTax[Investor ID],INVESTORS_LIST[[#This Row],[INVESTOR CODE]])</f>
        <v>0</v>
      </c>
      <c r="AS634" s="6">
        <f>SUMIFS(DivAndTax[Gross Dividend],DivAndTax[Investor ID],INVESTORS_LIST[[#This Row],[INVESTOR CODE]])</f>
        <v>0</v>
      </c>
      <c r="AT634" s="5">
        <f>IFERROR(INVESTORS_LIST[[#This Row],[TOTAL CURRENT UNITS]]/SUM(INVESTORS_LIST[TOTAL CURRENT UNITS]),0)</f>
        <v>0</v>
      </c>
    </row>
    <row r="635" spans="1:46" hidden="1">
      <c r="A635" t="s">
        <v>1457</v>
      </c>
      <c r="B635" t="s">
        <v>1458</v>
      </c>
      <c r="C635" t="s">
        <v>536</v>
      </c>
      <c r="D635" s="8" t="s">
        <v>2</v>
      </c>
      <c r="E635" s="2">
        <f>SUMIFS(LS[Unit],LS[Investor ID],INVESTORS_LIST[[#This Row],[INVESTOR CODE]],LS[B/S],"B")</f>
        <v>0</v>
      </c>
      <c r="F635" s="2">
        <f>-SUMIFS(LS[Unit],LS[Investor ID],INVESTORS_LIST[[#This Row],[INVESTOR CODE]],LS[B/S],"S")</f>
        <v>0</v>
      </c>
      <c r="G635" s="2">
        <f>IF(INVESTORS_LIST[[#This Row],[LS_TOTAL UNITS BUY]]=0,0,INVESTORS_LIST[[#This Row],[LS_TOTAL UNITS BUY]]-INVESTORS_LIST[[#This Row],[LS_TOTAL UNITS SOLD]])</f>
        <v>0</v>
      </c>
      <c r="H635" s="4">
        <f>IF(INVESTORS_LIST[[#This Row],[LS_TOTAL UNITS BUY]]=0,0,SUMIFS(LS[Amount],LS[Investor ID],INVESTORS_LIST[[#This Row],[INVESTOR CODE]],LS[B/S],"B"))</f>
        <v>0</v>
      </c>
      <c r="I635" s="6">
        <f>IF(INVESTORS_LIST[[#This Row],[LS_TOTAL UNITS SOLD]]=0,0,SUMIFS(LS[Cost of Units Sold],LS[Investor ID],INVESTORS_LIST[[#This Row],[INVESTOR CODE]],LS[B/S],"S"))</f>
        <v>0</v>
      </c>
      <c r="J635" s="6">
        <f>IF(INVESTORS_LIST[[#This Row],[LS_TOTAL CURRENT UNITS]]=0,0,INVESTORS_LIST[[#This Row],[LS_TOTAL CURRENT UNITS]]*INVESTORS_LIST[[#This Row],[LS_AVERAGE COST]])</f>
        <v>0</v>
      </c>
      <c r="K635" s="4">
        <f>IF(INVESTORS_LIST[[#This Row],[LS_TOTAL UNITS SOLD]]=0,0,SUMIFS(LS[Realized Gain],LS[Investor ID],INVESTORS_LIST[[#This Row],[INVESTOR CODE]],LS[B/S],"S"))</f>
        <v>0</v>
      </c>
      <c r="L635" s="2">
        <f>SUMIFS(SIP[Unit],SIP[Investor ID],INVESTORS_LIST[[#This Row],[INVESTOR CODE]],SIP[B/S],"B")</f>
        <v>0</v>
      </c>
      <c r="M635" s="2">
        <f>-SUMIFS(SIP[Unit],SIP[Investor ID],INVESTORS_LIST[[#This Row],[INVESTOR CODE]],SIP[B/S],"S")</f>
        <v>0</v>
      </c>
      <c r="N635" s="33">
        <f>IF(INVESTORS_LIST[[#This Row],[SIP_TOTAL UNITS BUY]]=0,0,INVESTORS_LIST[[#This Row],[SIP_TOTAL UNITS BUY]]-INVESTORS_LIST[[#This Row],[SIP_TOTAL UNITS SOLD]])</f>
        <v>0</v>
      </c>
      <c r="O635" s="4">
        <f>IF(INVESTORS_LIST[[#This Row],[SIP_TOTAL UNITS BUY]]=0,0,SUMIFS(SIP[Amount],SIP[Investor ID],INVESTORS_LIST[[#This Row],[INVESTOR CODE]],SIP[B/S],"B"))</f>
        <v>0</v>
      </c>
      <c r="P635" s="4">
        <f>IF(INVESTORS_LIST[[#This Row],[SIP_TOTAL UNITS SOLD]]=0,0,SUMIFS(SIP[Cost of Units Sold],SIP[Investor ID],INVESTORS_LIST[[#This Row],[INVESTOR CODE]],SIP[B/S],"S"))</f>
        <v>0</v>
      </c>
      <c r="Q635" s="6">
        <f>IF(INVESTORS_LIST[[#This Row],[SIP_TOTAL CURRENT UNITS]]=0,0,INVESTORS_LIST[[#This Row],[SIP_TOTAL CURRENT UNITS]]*INVESTORS_LIST[[#This Row],[SIP_AVERAGE COST]])</f>
        <v>0</v>
      </c>
      <c r="R635" s="6">
        <f>IF(INVESTORS_LIST[[#This Row],[SIP_TOTAL UNITS SOLD]]=0,0,SUMIFS(SIP[Realized Gain],SIP[Investor ID],INVESTORS_LIST[[#This Row],[INVESTOR CODE]],SIP[B/S],"S"))</f>
        <v>0</v>
      </c>
      <c r="S635" s="33">
        <f>INVESTORS_LIST[[#This Row],[LS_TOTAL UNITS BUY]]+INVESTORS_LIST[[#This Row],[SIP_TOTAL UNITS BUY]]</f>
        <v>0</v>
      </c>
      <c r="T635" s="33">
        <f>INVESTORS_LIST[[#This Row],[LS_TOTAL UNITS SOLD]]+INVESTORS_LIST[[#This Row],[SIP_TOTAL UNITS SOLD]]</f>
        <v>0</v>
      </c>
      <c r="U635" s="33">
        <v>0</v>
      </c>
      <c r="V635" s="33">
        <f>SUMIFS(LS[BO UNIT TRANSFER],LS[Investor ID],INVESTORS_LIST[[#This Row],[INVESTOR CODE]],LS[B/S],"B")</f>
        <v>0</v>
      </c>
      <c r="W635" s="33">
        <f>SUMIFS(LS[BO UNIT TRANSFER],LS[Investor ID],INVESTORS_LIST[[#This Row],[INVESTOR CODE]],LS[B/S],"S")</f>
        <v>0</v>
      </c>
      <c r="X635" s="33">
        <f>SUMIFS(SIP[BO UNIT TRANSFER],SIP[Investor ID],INVESTORS_LIST[[#This Row],[INVESTOR CODE]],SIP[B/S],"S")</f>
        <v>0</v>
      </c>
      <c r="Y635" s="33">
        <f>SUMIFS(SIP[BO UNIT TRANSFER],SIP[Investor ID],INVESTORS_LIST[[#This Row],[INVESTOR CODE]],SIP[B/S],"B")</f>
        <v>0</v>
      </c>
      <c r="Z63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35" s="119">
        <f>INVESTORS_LIST[[#This Row],[TOTAL UNITS BUY]]-INVESTORS_LIST[[#This Row],[TOTAL UNITS SOLD]]</f>
        <v>0</v>
      </c>
      <c r="AB635" s="119">
        <f>INVESTORS_LIST[[#This Row],[TOTAL CURRENT UNITS]]-INVESTORS_LIST[[#This Row],[BO UNITS HOLD]]</f>
        <v>0</v>
      </c>
      <c r="AC635" s="119" t="e">
        <f>INDEX([4]!Table_1[BO ID],MATCH(INVESTORS_LIST[[#This Row],[INVESTOR CODE]],[4]!Table_1[INVESTOR CODE],0))</f>
        <v>#REF!</v>
      </c>
      <c r="AD635" s="33">
        <f>INVESTORS_LIST[[#This Row],[LS_TOTAL COST VALUE OF CURRENT UNITS]]+INVESTORS_LIST[[#This Row],[SIP_TOTAL COST VALUE OF CURRENT UNITS]]</f>
        <v>0</v>
      </c>
      <c r="AE635" s="44">
        <f>IF(INVESTORS_LIST[[#This Row],[TOTAL CURRENT UNITS]]=0,0,INVESTORS_LIST[[#This Row],[LS_TOTAL CURRENT UNITS]]/INVESTORS_LIST[[#This Row],[TOTAL CURRENT UNITS]])</f>
        <v>0</v>
      </c>
      <c r="AF635" s="44">
        <f>IF(INVESTORS_LIST[[#This Row],[TOTAL CURRENT UNITS]]=0,0,INVESTORS_LIST[[#This Row],[SIP_TOTAL CURRENT UNITS]]/INVESTORS_LIST[[#This Row],[TOTAL CURRENT UNITS]])</f>
        <v>0</v>
      </c>
      <c r="AG635" s="4" cm="1">
        <f t="array" ref="AG63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35" s="4" cm="1">
        <f t="array" ref="AH63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3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35" s="178">
        <f t="shared" si="15"/>
        <v>12.552</v>
      </c>
      <c r="AK635" s="118">
        <f>IF(INVESTORS_LIST[[#This Row],[TOTAL CURRENT UNITS]]=0,0,INVESTORS_LIST[[#This Row],[TOTAL CURRENT UNITS]]*INVESTORS_LIST[[#This Row],[NAV]])</f>
        <v>0</v>
      </c>
      <c r="AL635" s="4">
        <f>IF(INVESTORS_LIST[[#This Row],[LS_TOTAL CURRENT UNITS]]=0,0,INVESTORS_LIST[[#This Row],[LS_TOTAL CURRENT UNITS]]*INVESTORS_LIST[[#This Row],[NAV]])</f>
        <v>0</v>
      </c>
      <c r="AM635" s="6">
        <f>IF(INVESTORS_LIST[[#This Row],[SIP_TOTAL CURRENT UNITS]]=0,0,INVESTORS_LIST[[#This Row],[SIP_TOTAL CURRENT UNITS]]*INVESTORS_LIST[[#This Row],[NAV]])</f>
        <v>0</v>
      </c>
      <c r="AO635" s="6">
        <f>IF(INVESTORS_LIST[[#This Row],[TOTAL SELLABLE UNITS]]=0,0,INVESTORS_LIST[[#This Row],[TOTAL SELLABLE UNITS]]*INVESTORS_LIST[[#This Row],[NAV]])</f>
        <v>0</v>
      </c>
      <c r="AP635" s="6">
        <f>INVESTORS_LIST[[#This Row],[LS_TOTAL REALIZED GAIN]]+INVESTORS_LIST[[#This Row],[SIP_TOTAL REALIZED GAIN]]</f>
        <v>0</v>
      </c>
      <c r="AQ635" s="6">
        <f>INVESTORS_LIST[[#This Row],[TOTAL MARKET VALUE]]-INVESTORS_LIST[[#This Row],[TOTAL COST VALUE OF CURRENT INVESTMENT]]</f>
        <v>0</v>
      </c>
      <c r="AR635" s="6">
        <f>SUMIFS(DivAndTax[Tax Amount],DivAndTax[Investor ID],INVESTORS_LIST[[#This Row],[INVESTOR CODE]])</f>
        <v>0</v>
      </c>
      <c r="AS635" s="6">
        <f>SUMIFS(DivAndTax[Gross Dividend],DivAndTax[Investor ID],INVESTORS_LIST[[#This Row],[INVESTOR CODE]])</f>
        <v>0</v>
      </c>
      <c r="AT635" s="5">
        <f>IFERROR(INVESTORS_LIST[[#This Row],[TOTAL CURRENT UNITS]]/SUM(INVESTORS_LIST[TOTAL CURRENT UNITS]),0)</f>
        <v>0</v>
      </c>
    </row>
    <row r="636" spans="1:46" hidden="1">
      <c r="A636" t="s">
        <v>1459</v>
      </c>
      <c r="B636" t="s">
        <v>1460</v>
      </c>
      <c r="C636" t="s">
        <v>536</v>
      </c>
      <c r="D636" s="8" t="s">
        <v>2</v>
      </c>
      <c r="E636" s="2">
        <f>SUMIFS(LS[Unit],LS[Investor ID],INVESTORS_LIST[[#This Row],[INVESTOR CODE]],LS[B/S],"B")</f>
        <v>0</v>
      </c>
      <c r="F636" s="2">
        <f>-SUMIFS(LS[Unit],LS[Investor ID],INVESTORS_LIST[[#This Row],[INVESTOR CODE]],LS[B/S],"S")</f>
        <v>0</v>
      </c>
      <c r="G636" s="2">
        <f>IF(INVESTORS_LIST[[#This Row],[LS_TOTAL UNITS BUY]]=0,0,INVESTORS_LIST[[#This Row],[LS_TOTAL UNITS BUY]]-INVESTORS_LIST[[#This Row],[LS_TOTAL UNITS SOLD]])</f>
        <v>0</v>
      </c>
      <c r="H636" s="4">
        <f>IF(INVESTORS_LIST[[#This Row],[LS_TOTAL UNITS BUY]]=0,0,SUMIFS(LS[Amount],LS[Investor ID],INVESTORS_LIST[[#This Row],[INVESTOR CODE]],LS[B/S],"B"))</f>
        <v>0</v>
      </c>
      <c r="I636" s="6">
        <f>IF(INVESTORS_LIST[[#This Row],[LS_TOTAL UNITS SOLD]]=0,0,SUMIFS(LS[Cost of Units Sold],LS[Investor ID],INVESTORS_LIST[[#This Row],[INVESTOR CODE]],LS[B/S],"S"))</f>
        <v>0</v>
      </c>
      <c r="J636" s="6">
        <f>IF(INVESTORS_LIST[[#This Row],[LS_TOTAL CURRENT UNITS]]=0,0,INVESTORS_LIST[[#This Row],[LS_TOTAL CURRENT UNITS]]*INVESTORS_LIST[[#This Row],[LS_AVERAGE COST]])</f>
        <v>0</v>
      </c>
      <c r="K636" s="4">
        <f>IF(INVESTORS_LIST[[#This Row],[LS_TOTAL UNITS SOLD]]=0,0,SUMIFS(LS[Realized Gain],LS[Investor ID],INVESTORS_LIST[[#This Row],[INVESTOR CODE]],LS[B/S],"S"))</f>
        <v>0</v>
      </c>
      <c r="L636" s="2">
        <f>SUMIFS(SIP[Unit],SIP[Investor ID],INVESTORS_LIST[[#This Row],[INVESTOR CODE]],SIP[B/S],"B")</f>
        <v>0</v>
      </c>
      <c r="M636" s="2">
        <f>-SUMIFS(SIP[Unit],SIP[Investor ID],INVESTORS_LIST[[#This Row],[INVESTOR CODE]],SIP[B/S],"S")</f>
        <v>0</v>
      </c>
      <c r="N636" s="33">
        <f>IF(INVESTORS_LIST[[#This Row],[SIP_TOTAL UNITS BUY]]=0,0,INVESTORS_LIST[[#This Row],[SIP_TOTAL UNITS BUY]]-INVESTORS_LIST[[#This Row],[SIP_TOTAL UNITS SOLD]])</f>
        <v>0</v>
      </c>
      <c r="O636" s="4">
        <f>IF(INVESTORS_LIST[[#This Row],[SIP_TOTAL UNITS BUY]]=0,0,SUMIFS(SIP[Amount],SIP[Investor ID],INVESTORS_LIST[[#This Row],[INVESTOR CODE]],SIP[B/S],"B"))</f>
        <v>0</v>
      </c>
      <c r="P636" s="4">
        <f>IF(INVESTORS_LIST[[#This Row],[SIP_TOTAL UNITS SOLD]]=0,0,SUMIFS(SIP[Cost of Units Sold],SIP[Investor ID],INVESTORS_LIST[[#This Row],[INVESTOR CODE]],SIP[B/S],"S"))</f>
        <v>0</v>
      </c>
      <c r="Q636" s="6">
        <f>IF(INVESTORS_LIST[[#This Row],[SIP_TOTAL CURRENT UNITS]]=0,0,INVESTORS_LIST[[#This Row],[SIP_TOTAL CURRENT UNITS]]*INVESTORS_LIST[[#This Row],[SIP_AVERAGE COST]])</f>
        <v>0</v>
      </c>
      <c r="R636" s="6">
        <f>IF(INVESTORS_LIST[[#This Row],[SIP_TOTAL UNITS SOLD]]=0,0,SUMIFS(SIP[Realized Gain],SIP[Investor ID],INVESTORS_LIST[[#This Row],[INVESTOR CODE]],SIP[B/S],"S"))</f>
        <v>0</v>
      </c>
      <c r="S636" s="33">
        <f>INVESTORS_LIST[[#This Row],[LS_TOTAL UNITS BUY]]+INVESTORS_LIST[[#This Row],[SIP_TOTAL UNITS BUY]]</f>
        <v>0</v>
      </c>
      <c r="T636" s="33">
        <f>INVESTORS_LIST[[#This Row],[LS_TOTAL UNITS SOLD]]+INVESTORS_LIST[[#This Row],[SIP_TOTAL UNITS SOLD]]</f>
        <v>0</v>
      </c>
      <c r="U636" s="33">
        <v>0</v>
      </c>
      <c r="V636" s="33">
        <f>SUMIFS(LS[BO UNIT TRANSFER],LS[Investor ID],INVESTORS_LIST[[#This Row],[INVESTOR CODE]],LS[B/S],"B")</f>
        <v>0</v>
      </c>
      <c r="W636" s="33">
        <f>SUMIFS(LS[BO UNIT TRANSFER],LS[Investor ID],INVESTORS_LIST[[#This Row],[INVESTOR CODE]],LS[B/S],"S")</f>
        <v>0</v>
      </c>
      <c r="X636" s="33">
        <f>SUMIFS(SIP[BO UNIT TRANSFER],SIP[Investor ID],INVESTORS_LIST[[#This Row],[INVESTOR CODE]],SIP[B/S],"S")</f>
        <v>0</v>
      </c>
      <c r="Y636" s="33">
        <f>SUMIFS(SIP[BO UNIT TRANSFER],SIP[Investor ID],INVESTORS_LIST[[#This Row],[INVESTOR CODE]],SIP[B/S],"B")</f>
        <v>0</v>
      </c>
      <c r="Z63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36" s="119">
        <f>INVESTORS_LIST[[#This Row],[TOTAL UNITS BUY]]-INVESTORS_LIST[[#This Row],[TOTAL UNITS SOLD]]</f>
        <v>0</v>
      </c>
      <c r="AB636" s="119">
        <f>INVESTORS_LIST[[#This Row],[TOTAL CURRENT UNITS]]-INVESTORS_LIST[[#This Row],[BO UNITS HOLD]]</f>
        <v>0</v>
      </c>
      <c r="AC636" s="119" t="e">
        <f>INDEX([4]!Table_1[BO ID],MATCH(INVESTORS_LIST[[#This Row],[INVESTOR CODE]],[4]!Table_1[INVESTOR CODE],0))</f>
        <v>#REF!</v>
      </c>
      <c r="AD636" s="33">
        <f>INVESTORS_LIST[[#This Row],[LS_TOTAL COST VALUE OF CURRENT UNITS]]+INVESTORS_LIST[[#This Row],[SIP_TOTAL COST VALUE OF CURRENT UNITS]]</f>
        <v>0</v>
      </c>
      <c r="AE636" s="44">
        <f>IF(INVESTORS_LIST[[#This Row],[TOTAL CURRENT UNITS]]=0,0,INVESTORS_LIST[[#This Row],[LS_TOTAL CURRENT UNITS]]/INVESTORS_LIST[[#This Row],[TOTAL CURRENT UNITS]])</f>
        <v>0</v>
      </c>
      <c r="AF636" s="44">
        <f>IF(INVESTORS_LIST[[#This Row],[TOTAL CURRENT UNITS]]=0,0,INVESTORS_LIST[[#This Row],[SIP_TOTAL CURRENT UNITS]]/INVESTORS_LIST[[#This Row],[TOTAL CURRENT UNITS]])</f>
        <v>0</v>
      </c>
      <c r="AG636" s="4" cm="1">
        <f t="array" ref="AG63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36" s="4" cm="1">
        <f t="array" ref="AH63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3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36" s="178">
        <f t="shared" si="15"/>
        <v>12.552</v>
      </c>
      <c r="AK636" s="118">
        <f>IF(INVESTORS_LIST[[#This Row],[TOTAL CURRENT UNITS]]=0,0,INVESTORS_LIST[[#This Row],[TOTAL CURRENT UNITS]]*INVESTORS_LIST[[#This Row],[NAV]])</f>
        <v>0</v>
      </c>
      <c r="AL636" s="4">
        <f>IF(INVESTORS_LIST[[#This Row],[LS_TOTAL CURRENT UNITS]]=0,0,INVESTORS_LIST[[#This Row],[LS_TOTAL CURRENT UNITS]]*INVESTORS_LIST[[#This Row],[NAV]])</f>
        <v>0</v>
      </c>
      <c r="AM636" s="6">
        <f>IF(INVESTORS_LIST[[#This Row],[SIP_TOTAL CURRENT UNITS]]=0,0,INVESTORS_LIST[[#This Row],[SIP_TOTAL CURRENT UNITS]]*INVESTORS_LIST[[#This Row],[NAV]])</f>
        <v>0</v>
      </c>
      <c r="AO636" s="6">
        <f>IF(INVESTORS_LIST[[#This Row],[TOTAL SELLABLE UNITS]]=0,0,INVESTORS_LIST[[#This Row],[TOTAL SELLABLE UNITS]]*INVESTORS_LIST[[#This Row],[NAV]])</f>
        <v>0</v>
      </c>
      <c r="AP636" s="6">
        <f>INVESTORS_LIST[[#This Row],[LS_TOTAL REALIZED GAIN]]+INVESTORS_LIST[[#This Row],[SIP_TOTAL REALIZED GAIN]]</f>
        <v>0</v>
      </c>
      <c r="AQ636" s="6">
        <f>INVESTORS_LIST[[#This Row],[TOTAL MARKET VALUE]]-INVESTORS_LIST[[#This Row],[TOTAL COST VALUE OF CURRENT INVESTMENT]]</f>
        <v>0</v>
      </c>
      <c r="AR636" s="6">
        <f>SUMIFS(DivAndTax[Tax Amount],DivAndTax[Investor ID],INVESTORS_LIST[[#This Row],[INVESTOR CODE]])</f>
        <v>0</v>
      </c>
      <c r="AS636" s="6">
        <f>SUMIFS(DivAndTax[Gross Dividend],DivAndTax[Investor ID],INVESTORS_LIST[[#This Row],[INVESTOR CODE]])</f>
        <v>0</v>
      </c>
      <c r="AT636" s="5">
        <f>IFERROR(INVESTORS_LIST[[#This Row],[TOTAL CURRENT UNITS]]/SUM(INVESTORS_LIST[TOTAL CURRENT UNITS]),0)</f>
        <v>0</v>
      </c>
    </row>
    <row r="637" spans="1:46" hidden="1">
      <c r="A637" t="s">
        <v>1461</v>
      </c>
      <c r="B637" t="s">
        <v>1462</v>
      </c>
      <c r="C637" t="s">
        <v>536</v>
      </c>
      <c r="D637" s="8" t="s">
        <v>2</v>
      </c>
      <c r="E637" s="2">
        <f>SUMIFS(LS[Unit],LS[Investor ID],INVESTORS_LIST[[#This Row],[INVESTOR CODE]],LS[B/S],"B")</f>
        <v>0</v>
      </c>
      <c r="F637" s="2">
        <f>-SUMIFS(LS[Unit],LS[Investor ID],INVESTORS_LIST[[#This Row],[INVESTOR CODE]],LS[B/S],"S")</f>
        <v>0</v>
      </c>
      <c r="G637" s="2">
        <f>IF(INVESTORS_LIST[[#This Row],[LS_TOTAL UNITS BUY]]=0,0,INVESTORS_LIST[[#This Row],[LS_TOTAL UNITS BUY]]-INVESTORS_LIST[[#This Row],[LS_TOTAL UNITS SOLD]])</f>
        <v>0</v>
      </c>
      <c r="H637" s="4">
        <f>IF(INVESTORS_LIST[[#This Row],[LS_TOTAL UNITS BUY]]=0,0,SUMIFS(LS[Amount],LS[Investor ID],INVESTORS_LIST[[#This Row],[INVESTOR CODE]],LS[B/S],"B"))</f>
        <v>0</v>
      </c>
      <c r="I637" s="6">
        <f>IF(INVESTORS_LIST[[#This Row],[LS_TOTAL UNITS SOLD]]=0,0,SUMIFS(LS[Cost of Units Sold],LS[Investor ID],INVESTORS_LIST[[#This Row],[INVESTOR CODE]],LS[B/S],"S"))</f>
        <v>0</v>
      </c>
      <c r="J637" s="6">
        <f>IF(INVESTORS_LIST[[#This Row],[LS_TOTAL CURRENT UNITS]]=0,0,INVESTORS_LIST[[#This Row],[LS_TOTAL CURRENT UNITS]]*INVESTORS_LIST[[#This Row],[LS_AVERAGE COST]])</f>
        <v>0</v>
      </c>
      <c r="K637" s="4">
        <f>IF(INVESTORS_LIST[[#This Row],[LS_TOTAL UNITS SOLD]]=0,0,SUMIFS(LS[Realized Gain],LS[Investor ID],INVESTORS_LIST[[#This Row],[INVESTOR CODE]],LS[B/S],"S"))</f>
        <v>0</v>
      </c>
      <c r="L637" s="2">
        <f>SUMIFS(SIP[Unit],SIP[Investor ID],INVESTORS_LIST[[#This Row],[INVESTOR CODE]],SIP[B/S],"B")</f>
        <v>0</v>
      </c>
      <c r="M637" s="2">
        <f>-SUMIFS(SIP[Unit],SIP[Investor ID],INVESTORS_LIST[[#This Row],[INVESTOR CODE]],SIP[B/S],"S")</f>
        <v>0</v>
      </c>
      <c r="N637" s="33">
        <f>IF(INVESTORS_LIST[[#This Row],[SIP_TOTAL UNITS BUY]]=0,0,INVESTORS_LIST[[#This Row],[SIP_TOTAL UNITS BUY]]-INVESTORS_LIST[[#This Row],[SIP_TOTAL UNITS SOLD]])</f>
        <v>0</v>
      </c>
      <c r="O637" s="4">
        <f>IF(INVESTORS_LIST[[#This Row],[SIP_TOTAL UNITS BUY]]=0,0,SUMIFS(SIP[Amount],SIP[Investor ID],INVESTORS_LIST[[#This Row],[INVESTOR CODE]],SIP[B/S],"B"))</f>
        <v>0</v>
      </c>
      <c r="P637" s="4">
        <f>IF(INVESTORS_LIST[[#This Row],[SIP_TOTAL UNITS SOLD]]=0,0,SUMIFS(SIP[Cost of Units Sold],SIP[Investor ID],INVESTORS_LIST[[#This Row],[INVESTOR CODE]],SIP[B/S],"S"))</f>
        <v>0</v>
      </c>
      <c r="Q637" s="6">
        <f>IF(INVESTORS_LIST[[#This Row],[SIP_TOTAL CURRENT UNITS]]=0,0,INVESTORS_LIST[[#This Row],[SIP_TOTAL CURRENT UNITS]]*INVESTORS_LIST[[#This Row],[SIP_AVERAGE COST]])</f>
        <v>0</v>
      </c>
      <c r="R637" s="6">
        <f>IF(INVESTORS_LIST[[#This Row],[SIP_TOTAL UNITS SOLD]]=0,0,SUMIFS(SIP[Realized Gain],SIP[Investor ID],INVESTORS_LIST[[#This Row],[INVESTOR CODE]],SIP[B/S],"S"))</f>
        <v>0</v>
      </c>
      <c r="S637" s="33">
        <f>INVESTORS_LIST[[#This Row],[LS_TOTAL UNITS BUY]]+INVESTORS_LIST[[#This Row],[SIP_TOTAL UNITS BUY]]</f>
        <v>0</v>
      </c>
      <c r="T637" s="33">
        <f>INVESTORS_LIST[[#This Row],[LS_TOTAL UNITS SOLD]]+INVESTORS_LIST[[#This Row],[SIP_TOTAL UNITS SOLD]]</f>
        <v>0</v>
      </c>
      <c r="U637" s="33">
        <v>0</v>
      </c>
      <c r="V637" s="33">
        <f>SUMIFS(LS[BO UNIT TRANSFER],LS[Investor ID],INVESTORS_LIST[[#This Row],[INVESTOR CODE]],LS[B/S],"B")</f>
        <v>0</v>
      </c>
      <c r="W637" s="33">
        <f>SUMIFS(LS[BO UNIT TRANSFER],LS[Investor ID],INVESTORS_LIST[[#This Row],[INVESTOR CODE]],LS[B/S],"S")</f>
        <v>0</v>
      </c>
      <c r="X637" s="33">
        <f>SUMIFS(SIP[BO UNIT TRANSFER],SIP[Investor ID],INVESTORS_LIST[[#This Row],[INVESTOR CODE]],SIP[B/S],"S")</f>
        <v>0</v>
      </c>
      <c r="Y637" s="33">
        <f>SUMIFS(SIP[BO UNIT TRANSFER],SIP[Investor ID],INVESTORS_LIST[[#This Row],[INVESTOR CODE]],SIP[B/S],"B")</f>
        <v>0</v>
      </c>
      <c r="Z63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37" s="119">
        <f>INVESTORS_LIST[[#This Row],[TOTAL UNITS BUY]]-INVESTORS_LIST[[#This Row],[TOTAL UNITS SOLD]]</f>
        <v>0</v>
      </c>
      <c r="AB637" s="119">
        <f>INVESTORS_LIST[[#This Row],[TOTAL CURRENT UNITS]]-INVESTORS_LIST[[#This Row],[BO UNITS HOLD]]</f>
        <v>0</v>
      </c>
      <c r="AC637" s="119" t="e">
        <f>INDEX([4]!Table_1[BO ID],MATCH(INVESTORS_LIST[[#This Row],[INVESTOR CODE]],[4]!Table_1[INVESTOR CODE],0))</f>
        <v>#REF!</v>
      </c>
      <c r="AD637" s="33">
        <f>INVESTORS_LIST[[#This Row],[LS_TOTAL COST VALUE OF CURRENT UNITS]]+INVESTORS_LIST[[#This Row],[SIP_TOTAL COST VALUE OF CURRENT UNITS]]</f>
        <v>0</v>
      </c>
      <c r="AE637" s="44">
        <f>IF(INVESTORS_LIST[[#This Row],[TOTAL CURRENT UNITS]]=0,0,INVESTORS_LIST[[#This Row],[LS_TOTAL CURRENT UNITS]]/INVESTORS_LIST[[#This Row],[TOTAL CURRENT UNITS]])</f>
        <v>0</v>
      </c>
      <c r="AF637" s="44">
        <f>IF(INVESTORS_LIST[[#This Row],[TOTAL CURRENT UNITS]]=0,0,INVESTORS_LIST[[#This Row],[SIP_TOTAL CURRENT UNITS]]/INVESTORS_LIST[[#This Row],[TOTAL CURRENT UNITS]])</f>
        <v>0</v>
      </c>
      <c r="AG637" s="4" cm="1">
        <f t="array" ref="AG63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37" s="4" cm="1">
        <f t="array" ref="AH63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3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37" s="178">
        <f t="shared" si="15"/>
        <v>12.552</v>
      </c>
      <c r="AK637" s="118">
        <f>IF(INVESTORS_LIST[[#This Row],[TOTAL CURRENT UNITS]]=0,0,INVESTORS_LIST[[#This Row],[TOTAL CURRENT UNITS]]*INVESTORS_LIST[[#This Row],[NAV]])</f>
        <v>0</v>
      </c>
      <c r="AL637" s="4">
        <f>IF(INVESTORS_LIST[[#This Row],[LS_TOTAL CURRENT UNITS]]=0,0,INVESTORS_LIST[[#This Row],[LS_TOTAL CURRENT UNITS]]*INVESTORS_LIST[[#This Row],[NAV]])</f>
        <v>0</v>
      </c>
      <c r="AM637" s="6">
        <f>IF(INVESTORS_LIST[[#This Row],[SIP_TOTAL CURRENT UNITS]]=0,0,INVESTORS_LIST[[#This Row],[SIP_TOTAL CURRENT UNITS]]*INVESTORS_LIST[[#This Row],[NAV]])</f>
        <v>0</v>
      </c>
      <c r="AO637" s="6">
        <f>IF(INVESTORS_LIST[[#This Row],[TOTAL SELLABLE UNITS]]=0,0,INVESTORS_LIST[[#This Row],[TOTAL SELLABLE UNITS]]*INVESTORS_LIST[[#This Row],[NAV]])</f>
        <v>0</v>
      </c>
      <c r="AP637" s="6">
        <f>INVESTORS_LIST[[#This Row],[LS_TOTAL REALIZED GAIN]]+INVESTORS_LIST[[#This Row],[SIP_TOTAL REALIZED GAIN]]</f>
        <v>0</v>
      </c>
      <c r="AQ637" s="6">
        <f>INVESTORS_LIST[[#This Row],[TOTAL MARKET VALUE]]-INVESTORS_LIST[[#This Row],[TOTAL COST VALUE OF CURRENT INVESTMENT]]</f>
        <v>0</v>
      </c>
      <c r="AR637" s="6">
        <f>SUMIFS(DivAndTax[Tax Amount],DivAndTax[Investor ID],INVESTORS_LIST[[#This Row],[INVESTOR CODE]])</f>
        <v>0</v>
      </c>
      <c r="AS637" s="6">
        <f>SUMIFS(DivAndTax[Gross Dividend],DivAndTax[Investor ID],INVESTORS_LIST[[#This Row],[INVESTOR CODE]])</f>
        <v>0</v>
      </c>
      <c r="AT637" s="5">
        <f>IFERROR(INVESTORS_LIST[[#This Row],[TOTAL CURRENT UNITS]]/SUM(INVESTORS_LIST[TOTAL CURRENT UNITS]),0)</f>
        <v>0</v>
      </c>
    </row>
    <row r="638" spans="1:46" hidden="1">
      <c r="A638" t="s">
        <v>631</v>
      </c>
      <c r="B638" t="s">
        <v>1463</v>
      </c>
      <c r="C638" t="s">
        <v>536</v>
      </c>
      <c r="D638" s="8" t="s">
        <v>2</v>
      </c>
      <c r="E638" s="2">
        <f>SUMIFS(LS[Unit],LS[Investor ID],INVESTORS_LIST[[#This Row],[INVESTOR CODE]],LS[B/S],"B")</f>
        <v>0</v>
      </c>
      <c r="F638" s="2">
        <f>-SUMIFS(LS[Unit],LS[Investor ID],INVESTORS_LIST[[#This Row],[INVESTOR CODE]],LS[B/S],"S")</f>
        <v>0</v>
      </c>
      <c r="G638" s="2">
        <f>IF(INVESTORS_LIST[[#This Row],[LS_TOTAL UNITS BUY]]=0,0,INVESTORS_LIST[[#This Row],[LS_TOTAL UNITS BUY]]-INVESTORS_LIST[[#This Row],[LS_TOTAL UNITS SOLD]])</f>
        <v>0</v>
      </c>
      <c r="H638" s="4">
        <f>IF(INVESTORS_LIST[[#This Row],[LS_TOTAL UNITS BUY]]=0,0,SUMIFS(LS[Amount],LS[Investor ID],INVESTORS_LIST[[#This Row],[INVESTOR CODE]],LS[B/S],"B"))</f>
        <v>0</v>
      </c>
      <c r="I638" s="6">
        <f>IF(INVESTORS_LIST[[#This Row],[LS_TOTAL UNITS SOLD]]=0,0,SUMIFS(LS[Cost of Units Sold],LS[Investor ID],INVESTORS_LIST[[#This Row],[INVESTOR CODE]],LS[B/S],"S"))</f>
        <v>0</v>
      </c>
      <c r="J638" s="6">
        <f>IF(INVESTORS_LIST[[#This Row],[LS_TOTAL CURRENT UNITS]]=0,0,INVESTORS_LIST[[#This Row],[LS_TOTAL CURRENT UNITS]]*INVESTORS_LIST[[#This Row],[LS_AVERAGE COST]])</f>
        <v>0</v>
      </c>
      <c r="K638" s="4">
        <f>IF(INVESTORS_LIST[[#This Row],[LS_TOTAL UNITS SOLD]]=0,0,SUMIFS(LS[Realized Gain],LS[Investor ID],INVESTORS_LIST[[#This Row],[INVESTOR CODE]],LS[B/S],"S"))</f>
        <v>0</v>
      </c>
      <c r="L638" s="2">
        <f>SUMIFS(SIP[Unit],SIP[Investor ID],INVESTORS_LIST[[#This Row],[INVESTOR CODE]],SIP[B/S],"B")</f>
        <v>0</v>
      </c>
      <c r="M638" s="2">
        <f>-SUMIFS(SIP[Unit],SIP[Investor ID],INVESTORS_LIST[[#This Row],[INVESTOR CODE]],SIP[B/S],"S")</f>
        <v>0</v>
      </c>
      <c r="N638" s="33">
        <f>IF(INVESTORS_LIST[[#This Row],[SIP_TOTAL UNITS BUY]]=0,0,INVESTORS_LIST[[#This Row],[SIP_TOTAL UNITS BUY]]-INVESTORS_LIST[[#This Row],[SIP_TOTAL UNITS SOLD]])</f>
        <v>0</v>
      </c>
      <c r="O638" s="4">
        <f>IF(INVESTORS_LIST[[#This Row],[SIP_TOTAL UNITS BUY]]=0,0,SUMIFS(SIP[Amount],SIP[Investor ID],INVESTORS_LIST[[#This Row],[INVESTOR CODE]],SIP[B/S],"B"))</f>
        <v>0</v>
      </c>
      <c r="P638" s="4">
        <f>IF(INVESTORS_LIST[[#This Row],[SIP_TOTAL UNITS SOLD]]=0,0,SUMIFS(SIP[Cost of Units Sold],SIP[Investor ID],INVESTORS_LIST[[#This Row],[INVESTOR CODE]],SIP[B/S],"S"))</f>
        <v>0</v>
      </c>
      <c r="Q638" s="6">
        <f>IF(INVESTORS_LIST[[#This Row],[SIP_TOTAL CURRENT UNITS]]=0,0,INVESTORS_LIST[[#This Row],[SIP_TOTAL CURRENT UNITS]]*INVESTORS_LIST[[#This Row],[SIP_AVERAGE COST]])</f>
        <v>0</v>
      </c>
      <c r="R638" s="6">
        <f>IF(INVESTORS_LIST[[#This Row],[SIP_TOTAL UNITS SOLD]]=0,0,SUMIFS(SIP[Realized Gain],SIP[Investor ID],INVESTORS_LIST[[#This Row],[INVESTOR CODE]],SIP[B/S],"S"))</f>
        <v>0</v>
      </c>
      <c r="S638" s="33">
        <f>INVESTORS_LIST[[#This Row],[LS_TOTAL UNITS BUY]]+INVESTORS_LIST[[#This Row],[SIP_TOTAL UNITS BUY]]</f>
        <v>0</v>
      </c>
      <c r="T638" s="33">
        <f>INVESTORS_LIST[[#This Row],[LS_TOTAL UNITS SOLD]]+INVESTORS_LIST[[#This Row],[SIP_TOTAL UNITS SOLD]]</f>
        <v>0</v>
      </c>
      <c r="U638" s="33">
        <v>0</v>
      </c>
      <c r="V638" s="33">
        <f>SUMIFS(LS[BO UNIT TRANSFER],LS[Investor ID],INVESTORS_LIST[[#This Row],[INVESTOR CODE]],LS[B/S],"B")</f>
        <v>0</v>
      </c>
      <c r="W638" s="33">
        <f>SUMIFS(LS[BO UNIT TRANSFER],LS[Investor ID],INVESTORS_LIST[[#This Row],[INVESTOR CODE]],LS[B/S],"S")</f>
        <v>0</v>
      </c>
      <c r="X638" s="33">
        <f>SUMIFS(SIP[BO UNIT TRANSFER],SIP[Investor ID],INVESTORS_LIST[[#This Row],[INVESTOR CODE]],SIP[B/S],"S")</f>
        <v>0</v>
      </c>
      <c r="Y638" s="33">
        <f>SUMIFS(SIP[BO UNIT TRANSFER],SIP[Investor ID],INVESTORS_LIST[[#This Row],[INVESTOR CODE]],SIP[B/S],"B")</f>
        <v>0</v>
      </c>
      <c r="Z63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38" s="119">
        <f>INVESTORS_LIST[[#This Row],[TOTAL UNITS BUY]]-INVESTORS_LIST[[#This Row],[TOTAL UNITS SOLD]]</f>
        <v>0</v>
      </c>
      <c r="AB638" s="119">
        <f>INVESTORS_LIST[[#This Row],[TOTAL CURRENT UNITS]]-INVESTORS_LIST[[#This Row],[BO UNITS HOLD]]</f>
        <v>0</v>
      </c>
      <c r="AC638" s="119" t="e">
        <f>INDEX([4]!Table_1[BO ID],MATCH(INVESTORS_LIST[[#This Row],[INVESTOR CODE]],[4]!Table_1[INVESTOR CODE],0))</f>
        <v>#REF!</v>
      </c>
      <c r="AD638" s="33">
        <f>INVESTORS_LIST[[#This Row],[LS_TOTAL COST VALUE OF CURRENT UNITS]]+INVESTORS_LIST[[#This Row],[SIP_TOTAL COST VALUE OF CURRENT UNITS]]</f>
        <v>0</v>
      </c>
      <c r="AE638" s="44">
        <f>IF(INVESTORS_LIST[[#This Row],[TOTAL CURRENT UNITS]]=0,0,INVESTORS_LIST[[#This Row],[LS_TOTAL CURRENT UNITS]]/INVESTORS_LIST[[#This Row],[TOTAL CURRENT UNITS]])</f>
        <v>0</v>
      </c>
      <c r="AF638" s="44">
        <f>IF(INVESTORS_LIST[[#This Row],[TOTAL CURRENT UNITS]]=0,0,INVESTORS_LIST[[#This Row],[SIP_TOTAL CURRENT UNITS]]/INVESTORS_LIST[[#This Row],[TOTAL CURRENT UNITS]])</f>
        <v>0</v>
      </c>
      <c r="AG638" s="4" cm="1">
        <f t="array" ref="AG63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38" s="4" cm="1">
        <f t="array" ref="AH63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3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38" s="178">
        <f t="shared" si="15"/>
        <v>12.552</v>
      </c>
      <c r="AK638" s="118">
        <f>IF(INVESTORS_LIST[[#This Row],[TOTAL CURRENT UNITS]]=0,0,INVESTORS_LIST[[#This Row],[TOTAL CURRENT UNITS]]*INVESTORS_LIST[[#This Row],[NAV]])</f>
        <v>0</v>
      </c>
      <c r="AL638" s="4">
        <f>IF(INVESTORS_LIST[[#This Row],[LS_TOTAL CURRENT UNITS]]=0,0,INVESTORS_LIST[[#This Row],[LS_TOTAL CURRENT UNITS]]*INVESTORS_LIST[[#This Row],[NAV]])</f>
        <v>0</v>
      </c>
      <c r="AM638" s="6">
        <f>IF(INVESTORS_LIST[[#This Row],[SIP_TOTAL CURRENT UNITS]]=0,0,INVESTORS_LIST[[#This Row],[SIP_TOTAL CURRENT UNITS]]*INVESTORS_LIST[[#This Row],[NAV]])</f>
        <v>0</v>
      </c>
      <c r="AO638" s="6">
        <f>IF(INVESTORS_LIST[[#This Row],[TOTAL SELLABLE UNITS]]=0,0,INVESTORS_LIST[[#This Row],[TOTAL SELLABLE UNITS]]*INVESTORS_LIST[[#This Row],[NAV]])</f>
        <v>0</v>
      </c>
      <c r="AP638" s="6">
        <f>INVESTORS_LIST[[#This Row],[LS_TOTAL REALIZED GAIN]]+INVESTORS_LIST[[#This Row],[SIP_TOTAL REALIZED GAIN]]</f>
        <v>0</v>
      </c>
      <c r="AQ638" s="6">
        <f>INVESTORS_LIST[[#This Row],[TOTAL MARKET VALUE]]-INVESTORS_LIST[[#This Row],[TOTAL COST VALUE OF CURRENT INVESTMENT]]</f>
        <v>0</v>
      </c>
      <c r="AR638" s="6">
        <f>SUMIFS(DivAndTax[Tax Amount],DivAndTax[Investor ID],INVESTORS_LIST[[#This Row],[INVESTOR CODE]])</f>
        <v>0</v>
      </c>
      <c r="AS638" s="6">
        <f>SUMIFS(DivAndTax[Gross Dividend],DivAndTax[Investor ID],INVESTORS_LIST[[#This Row],[INVESTOR CODE]])</f>
        <v>0</v>
      </c>
      <c r="AT638" s="5">
        <f>IFERROR(INVESTORS_LIST[[#This Row],[TOTAL CURRENT UNITS]]/SUM(INVESTORS_LIST[TOTAL CURRENT UNITS]),0)</f>
        <v>0</v>
      </c>
    </row>
    <row r="639" spans="1:46" hidden="1">
      <c r="A639" t="s">
        <v>1464</v>
      </c>
      <c r="B639" t="s">
        <v>1465</v>
      </c>
      <c r="C639" t="s">
        <v>539</v>
      </c>
      <c r="D639" s="8" t="s">
        <v>2</v>
      </c>
      <c r="E639" s="2">
        <f>SUMIFS(LS[Unit],LS[Investor ID],INVESTORS_LIST[[#This Row],[INVESTOR CODE]],LS[B/S],"B")</f>
        <v>0</v>
      </c>
      <c r="F639" s="2">
        <f>-SUMIFS(LS[Unit],LS[Investor ID],INVESTORS_LIST[[#This Row],[INVESTOR CODE]],LS[B/S],"S")</f>
        <v>0</v>
      </c>
      <c r="G639" s="2">
        <f>IF(INVESTORS_LIST[[#This Row],[LS_TOTAL UNITS BUY]]=0,0,INVESTORS_LIST[[#This Row],[LS_TOTAL UNITS BUY]]-INVESTORS_LIST[[#This Row],[LS_TOTAL UNITS SOLD]])</f>
        <v>0</v>
      </c>
      <c r="H639" s="4">
        <f>IF(INVESTORS_LIST[[#This Row],[LS_TOTAL UNITS BUY]]=0,0,SUMIFS(LS[Amount],LS[Investor ID],INVESTORS_LIST[[#This Row],[INVESTOR CODE]],LS[B/S],"B"))</f>
        <v>0</v>
      </c>
      <c r="I639" s="6">
        <f>IF(INVESTORS_LIST[[#This Row],[LS_TOTAL UNITS SOLD]]=0,0,SUMIFS(LS[Cost of Units Sold],LS[Investor ID],INVESTORS_LIST[[#This Row],[INVESTOR CODE]],LS[B/S],"S"))</f>
        <v>0</v>
      </c>
      <c r="J639" s="6">
        <f>IF(INVESTORS_LIST[[#This Row],[LS_TOTAL CURRENT UNITS]]=0,0,INVESTORS_LIST[[#This Row],[LS_TOTAL CURRENT UNITS]]*INVESTORS_LIST[[#This Row],[LS_AVERAGE COST]])</f>
        <v>0</v>
      </c>
      <c r="K639" s="4">
        <f>IF(INVESTORS_LIST[[#This Row],[LS_TOTAL UNITS SOLD]]=0,0,SUMIFS(LS[Realized Gain],LS[Investor ID],INVESTORS_LIST[[#This Row],[INVESTOR CODE]],LS[B/S],"S"))</f>
        <v>0</v>
      </c>
      <c r="L639" s="2">
        <f>SUMIFS(SIP[Unit],SIP[Investor ID],INVESTORS_LIST[[#This Row],[INVESTOR CODE]],SIP[B/S],"B")</f>
        <v>0</v>
      </c>
      <c r="M639" s="2">
        <f>-SUMIFS(SIP[Unit],SIP[Investor ID],INVESTORS_LIST[[#This Row],[INVESTOR CODE]],SIP[B/S],"S")</f>
        <v>0</v>
      </c>
      <c r="N639" s="33">
        <f>IF(INVESTORS_LIST[[#This Row],[SIP_TOTAL UNITS BUY]]=0,0,INVESTORS_LIST[[#This Row],[SIP_TOTAL UNITS BUY]]-INVESTORS_LIST[[#This Row],[SIP_TOTAL UNITS SOLD]])</f>
        <v>0</v>
      </c>
      <c r="O639" s="4">
        <f>IF(INVESTORS_LIST[[#This Row],[SIP_TOTAL UNITS BUY]]=0,0,SUMIFS(SIP[Amount],SIP[Investor ID],INVESTORS_LIST[[#This Row],[INVESTOR CODE]],SIP[B/S],"B"))</f>
        <v>0</v>
      </c>
      <c r="P639" s="4">
        <f>IF(INVESTORS_LIST[[#This Row],[SIP_TOTAL UNITS SOLD]]=0,0,SUMIFS(SIP[Cost of Units Sold],SIP[Investor ID],INVESTORS_LIST[[#This Row],[INVESTOR CODE]],SIP[B/S],"S"))</f>
        <v>0</v>
      </c>
      <c r="Q639" s="6">
        <f>IF(INVESTORS_LIST[[#This Row],[SIP_TOTAL CURRENT UNITS]]=0,0,INVESTORS_LIST[[#This Row],[SIP_TOTAL CURRENT UNITS]]*INVESTORS_LIST[[#This Row],[SIP_AVERAGE COST]])</f>
        <v>0</v>
      </c>
      <c r="R639" s="6">
        <f>IF(INVESTORS_LIST[[#This Row],[SIP_TOTAL UNITS SOLD]]=0,0,SUMIFS(SIP[Realized Gain],SIP[Investor ID],INVESTORS_LIST[[#This Row],[INVESTOR CODE]],SIP[B/S],"S"))</f>
        <v>0</v>
      </c>
      <c r="S639" s="33">
        <f>INVESTORS_LIST[[#This Row],[LS_TOTAL UNITS BUY]]+INVESTORS_LIST[[#This Row],[SIP_TOTAL UNITS BUY]]</f>
        <v>0</v>
      </c>
      <c r="T639" s="33">
        <f>INVESTORS_LIST[[#This Row],[LS_TOTAL UNITS SOLD]]+INVESTORS_LIST[[#This Row],[SIP_TOTAL UNITS SOLD]]</f>
        <v>0</v>
      </c>
      <c r="U639" s="33">
        <v>0</v>
      </c>
      <c r="V639" s="33">
        <f>SUMIFS(LS[BO UNIT TRANSFER],LS[Investor ID],INVESTORS_LIST[[#This Row],[INVESTOR CODE]],LS[B/S],"B")</f>
        <v>0</v>
      </c>
      <c r="W639" s="33">
        <f>SUMIFS(LS[BO UNIT TRANSFER],LS[Investor ID],INVESTORS_LIST[[#This Row],[INVESTOR CODE]],LS[B/S],"S")</f>
        <v>0</v>
      </c>
      <c r="X639" s="33">
        <f>SUMIFS(SIP[BO UNIT TRANSFER],SIP[Investor ID],INVESTORS_LIST[[#This Row],[INVESTOR CODE]],SIP[B/S],"S")</f>
        <v>0</v>
      </c>
      <c r="Y639" s="33">
        <f>SUMIFS(SIP[BO UNIT TRANSFER],SIP[Investor ID],INVESTORS_LIST[[#This Row],[INVESTOR CODE]],SIP[B/S],"B")</f>
        <v>0</v>
      </c>
      <c r="Z63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39" s="119">
        <f>INVESTORS_LIST[[#This Row],[TOTAL UNITS BUY]]-INVESTORS_LIST[[#This Row],[TOTAL UNITS SOLD]]</f>
        <v>0</v>
      </c>
      <c r="AB639" s="119">
        <f>INVESTORS_LIST[[#This Row],[TOTAL CURRENT UNITS]]-INVESTORS_LIST[[#This Row],[BO UNITS HOLD]]</f>
        <v>0</v>
      </c>
      <c r="AC639" s="119" t="e">
        <f>INDEX([4]!Table_1[BO ID],MATCH(INVESTORS_LIST[[#This Row],[INVESTOR CODE]],[4]!Table_1[INVESTOR CODE],0))</f>
        <v>#REF!</v>
      </c>
      <c r="AD639" s="33">
        <f>INVESTORS_LIST[[#This Row],[LS_TOTAL COST VALUE OF CURRENT UNITS]]+INVESTORS_LIST[[#This Row],[SIP_TOTAL COST VALUE OF CURRENT UNITS]]</f>
        <v>0</v>
      </c>
      <c r="AE639" s="44">
        <f>IF(INVESTORS_LIST[[#This Row],[TOTAL CURRENT UNITS]]=0,0,INVESTORS_LIST[[#This Row],[LS_TOTAL CURRENT UNITS]]/INVESTORS_LIST[[#This Row],[TOTAL CURRENT UNITS]])</f>
        <v>0</v>
      </c>
      <c r="AF639" s="44">
        <f>IF(INVESTORS_LIST[[#This Row],[TOTAL CURRENT UNITS]]=0,0,INVESTORS_LIST[[#This Row],[SIP_TOTAL CURRENT UNITS]]/INVESTORS_LIST[[#This Row],[TOTAL CURRENT UNITS]])</f>
        <v>0</v>
      </c>
      <c r="AG639" s="4" cm="1">
        <f t="array" ref="AG63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39" s="4" cm="1">
        <f t="array" ref="AH63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3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39" s="178">
        <f t="shared" si="15"/>
        <v>12.552</v>
      </c>
      <c r="AK639" s="118">
        <f>IF(INVESTORS_LIST[[#This Row],[TOTAL CURRENT UNITS]]=0,0,INVESTORS_LIST[[#This Row],[TOTAL CURRENT UNITS]]*INVESTORS_LIST[[#This Row],[NAV]])</f>
        <v>0</v>
      </c>
      <c r="AL639" s="4">
        <f>IF(INVESTORS_LIST[[#This Row],[LS_TOTAL CURRENT UNITS]]=0,0,INVESTORS_LIST[[#This Row],[LS_TOTAL CURRENT UNITS]]*INVESTORS_LIST[[#This Row],[NAV]])</f>
        <v>0</v>
      </c>
      <c r="AM639" s="6">
        <f>IF(INVESTORS_LIST[[#This Row],[SIP_TOTAL CURRENT UNITS]]=0,0,INVESTORS_LIST[[#This Row],[SIP_TOTAL CURRENT UNITS]]*INVESTORS_LIST[[#This Row],[NAV]])</f>
        <v>0</v>
      </c>
      <c r="AO639" s="6">
        <f>IF(INVESTORS_LIST[[#This Row],[TOTAL SELLABLE UNITS]]=0,0,INVESTORS_LIST[[#This Row],[TOTAL SELLABLE UNITS]]*INVESTORS_LIST[[#This Row],[NAV]])</f>
        <v>0</v>
      </c>
      <c r="AP639" s="6">
        <f>INVESTORS_LIST[[#This Row],[LS_TOTAL REALIZED GAIN]]+INVESTORS_LIST[[#This Row],[SIP_TOTAL REALIZED GAIN]]</f>
        <v>0</v>
      </c>
      <c r="AQ639" s="6">
        <f>INVESTORS_LIST[[#This Row],[TOTAL MARKET VALUE]]-INVESTORS_LIST[[#This Row],[TOTAL COST VALUE OF CURRENT INVESTMENT]]</f>
        <v>0</v>
      </c>
      <c r="AR639" s="6">
        <f>SUMIFS(DivAndTax[Tax Amount],DivAndTax[Investor ID],INVESTORS_LIST[[#This Row],[INVESTOR CODE]])</f>
        <v>0</v>
      </c>
      <c r="AS639" s="6">
        <f>SUMIFS(DivAndTax[Gross Dividend],DivAndTax[Investor ID],INVESTORS_LIST[[#This Row],[INVESTOR CODE]])</f>
        <v>0</v>
      </c>
      <c r="AT639" s="5">
        <f>IFERROR(INVESTORS_LIST[[#This Row],[TOTAL CURRENT UNITS]]/SUM(INVESTORS_LIST[TOTAL CURRENT UNITS]),0)</f>
        <v>0</v>
      </c>
    </row>
    <row r="640" spans="1:46" hidden="1">
      <c r="A640" t="s">
        <v>1466</v>
      </c>
      <c r="B640" t="s">
        <v>1467</v>
      </c>
      <c r="C640" t="s">
        <v>536</v>
      </c>
      <c r="D640" s="8" t="s">
        <v>2</v>
      </c>
      <c r="E640" s="2">
        <f>SUMIFS(LS[Unit],LS[Investor ID],INVESTORS_LIST[[#This Row],[INVESTOR CODE]],LS[B/S],"B")</f>
        <v>11064</v>
      </c>
      <c r="F640" s="2">
        <f>-SUMIFS(LS[Unit],LS[Investor ID],INVESTORS_LIST[[#This Row],[INVESTOR CODE]],LS[B/S],"S")</f>
        <v>11064</v>
      </c>
      <c r="G640" s="2">
        <f>IF(INVESTORS_LIST[[#This Row],[LS_TOTAL UNITS BUY]]=0,0,INVESTORS_LIST[[#This Row],[LS_TOTAL UNITS BUY]]-INVESTORS_LIST[[#This Row],[LS_TOTAL UNITS SOLD]])</f>
        <v>0</v>
      </c>
      <c r="H640" s="4">
        <f>IF(INVESTORS_LIST[[#This Row],[LS_TOTAL UNITS BUY]]=0,0,SUMIFS(LS[Amount],LS[Investor ID],INVESTORS_LIST[[#This Row],[INVESTOR CODE]],LS[B/S],"B"))</f>
        <v>120000</v>
      </c>
      <c r="I640" s="6">
        <f>IF(INVESTORS_LIST[[#This Row],[LS_TOTAL UNITS SOLD]]=0,0,SUMIFS(LS[Cost of Units Sold],LS[Investor ID],INVESTORS_LIST[[#This Row],[INVESTOR CODE]],LS[B/S],"S"))</f>
        <v>119999.99999999999</v>
      </c>
      <c r="J640" s="6">
        <f>IF(INVESTORS_LIST[[#This Row],[LS_TOTAL CURRENT UNITS]]=0,0,INVESTORS_LIST[[#This Row],[LS_TOTAL CURRENT UNITS]]*INVESTORS_LIST[[#This Row],[LS_AVERAGE COST]])</f>
        <v>0</v>
      </c>
      <c r="K640" s="4">
        <f>IF(INVESTORS_LIST[[#This Row],[LS_TOTAL UNITS SOLD]]=0,0,SUMIFS(LS[Realized Gain],LS[Investor ID],INVESTORS_LIST[[#This Row],[INVESTOR CODE]],LS[B/S],"S"))</f>
        <v>14549.300000000003</v>
      </c>
      <c r="L640" s="2">
        <f>SUMIFS(SIP[Unit],SIP[Investor ID],INVESTORS_LIST[[#This Row],[INVESTOR CODE]],SIP[B/S],"B")</f>
        <v>0</v>
      </c>
      <c r="M640" s="2">
        <f>-SUMIFS(SIP[Unit],SIP[Investor ID],INVESTORS_LIST[[#This Row],[INVESTOR CODE]],SIP[B/S],"S")</f>
        <v>0</v>
      </c>
      <c r="N640" s="33">
        <f>IF(INVESTORS_LIST[[#This Row],[SIP_TOTAL UNITS BUY]]=0,0,INVESTORS_LIST[[#This Row],[SIP_TOTAL UNITS BUY]]-INVESTORS_LIST[[#This Row],[SIP_TOTAL UNITS SOLD]])</f>
        <v>0</v>
      </c>
      <c r="O640" s="4">
        <f>IF(INVESTORS_LIST[[#This Row],[SIP_TOTAL UNITS BUY]]=0,0,SUMIFS(SIP[Amount],SIP[Investor ID],INVESTORS_LIST[[#This Row],[INVESTOR CODE]],SIP[B/S],"B"))</f>
        <v>0</v>
      </c>
      <c r="P640" s="4">
        <f>IF(INVESTORS_LIST[[#This Row],[SIP_TOTAL UNITS SOLD]]=0,0,SUMIFS(SIP[Cost of Units Sold],SIP[Investor ID],INVESTORS_LIST[[#This Row],[INVESTOR CODE]],SIP[B/S],"S"))</f>
        <v>0</v>
      </c>
      <c r="Q640" s="6">
        <f>IF(INVESTORS_LIST[[#This Row],[SIP_TOTAL CURRENT UNITS]]=0,0,INVESTORS_LIST[[#This Row],[SIP_TOTAL CURRENT UNITS]]*INVESTORS_LIST[[#This Row],[SIP_AVERAGE COST]])</f>
        <v>0</v>
      </c>
      <c r="R640" s="6">
        <f>IF(INVESTORS_LIST[[#This Row],[SIP_TOTAL UNITS SOLD]]=0,0,SUMIFS(SIP[Realized Gain],SIP[Investor ID],INVESTORS_LIST[[#This Row],[INVESTOR CODE]],SIP[B/S],"S"))</f>
        <v>0</v>
      </c>
      <c r="S640" s="33">
        <f>INVESTORS_LIST[[#This Row],[LS_TOTAL UNITS BUY]]+INVESTORS_LIST[[#This Row],[SIP_TOTAL UNITS BUY]]</f>
        <v>11064</v>
      </c>
      <c r="T640" s="33">
        <f>INVESTORS_LIST[[#This Row],[LS_TOTAL UNITS SOLD]]+INVESTORS_LIST[[#This Row],[SIP_TOTAL UNITS SOLD]]</f>
        <v>11064</v>
      </c>
      <c r="U640" s="33">
        <v>11064</v>
      </c>
      <c r="V640" s="33">
        <f>SUMIFS(LS[BO UNIT TRANSFER],LS[Investor ID],INVESTORS_LIST[[#This Row],[INVESTOR CODE]],LS[B/S],"B")</f>
        <v>0</v>
      </c>
      <c r="W640" s="33">
        <f>SUMIFS(LS[BO UNIT TRANSFER],LS[Investor ID],INVESTORS_LIST[[#This Row],[INVESTOR CODE]],LS[B/S],"S")</f>
        <v>0</v>
      </c>
      <c r="X640" s="33">
        <f>SUMIFS(SIP[BO UNIT TRANSFER],SIP[Investor ID],INVESTORS_LIST[[#This Row],[INVESTOR CODE]],SIP[B/S],"S")</f>
        <v>0</v>
      </c>
      <c r="Y640" s="33">
        <f>SUMIFS(SIP[BO UNIT TRANSFER],SIP[Investor ID],INVESTORS_LIST[[#This Row],[INVESTOR CODE]],SIP[B/S],"B")</f>
        <v>0</v>
      </c>
      <c r="Z64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11064</v>
      </c>
      <c r="AA640" s="119">
        <f>INVESTORS_LIST[[#This Row],[TOTAL UNITS BUY]]-INVESTORS_LIST[[#This Row],[TOTAL UNITS SOLD]]</f>
        <v>0</v>
      </c>
      <c r="AB640" s="119">
        <f>INVESTORS_LIST[[#This Row],[TOTAL CURRENT UNITS]]-INVESTORS_LIST[[#This Row],[BO UNITS HOLD]]</f>
        <v>-11064</v>
      </c>
      <c r="AC640" s="119" t="e">
        <f>INDEX([4]!Table_1[BO ID],MATCH(INVESTORS_LIST[[#This Row],[INVESTOR CODE]],[4]!Table_1[INVESTOR CODE],0))</f>
        <v>#REF!</v>
      </c>
      <c r="AD640" s="33">
        <f>INVESTORS_LIST[[#This Row],[LS_TOTAL COST VALUE OF CURRENT UNITS]]+INVESTORS_LIST[[#This Row],[SIP_TOTAL COST VALUE OF CURRENT UNITS]]</f>
        <v>0</v>
      </c>
      <c r="AE640" s="44">
        <f>IF(INVESTORS_LIST[[#This Row],[TOTAL CURRENT UNITS]]=0,0,INVESTORS_LIST[[#This Row],[LS_TOTAL CURRENT UNITS]]/INVESTORS_LIST[[#This Row],[TOTAL CURRENT UNITS]])</f>
        <v>0</v>
      </c>
      <c r="AF640" s="44">
        <f>IF(INVESTORS_LIST[[#This Row],[TOTAL CURRENT UNITS]]=0,0,INVESTORS_LIST[[#This Row],[SIP_TOTAL CURRENT UNITS]]/INVESTORS_LIST[[#This Row],[TOTAL CURRENT UNITS]])</f>
        <v>0</v>
      </c>
      <c r="AG640" s="4" cm="1">
        <f t="array" ref="AG64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40" s="4" cm="1">
        <f t="array" ref="AH64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4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40" s="178">
        <f t="shared" si="15"/>
        <v>12.552</v>
      </c>
      <c r="AK640" s="118">
        <f>IF(INVESTORS_LIST[[#This Row],[TOTAL CURRENT UNITS]]=0,0,INVESTORS_LIST[[#This Row],[TOTAL CURRENT UNITS]]*INVESTORS_LIST[[#This Row],[NAV]])</f>
        <v>0</v>
      </c>
      <c r="AL640" s="4">
        <f>IF(INVESTORS_LIST[[#This Row],[LS_TOTAL CURRENT UNITS]]=0,0,INVESTORS_LIST[[#This Row],[LS_TOTAL CURRENT UNITS]]*INVESTORS_LIST[[#This Row],[NAV]])</f>
        <v>0</v>
      </c>
      <c r="AM640" s="6">
        <f>IF(INVESTORS_LIST[[#This Row],[SIP_TOTAL CURRENT UNITS]]=0,0,INVESTORS_LIST[[#This Row],[SIP_TOTAL CURRENT UNITS]]*INVESTORS_LIST[[#This Row],[NAV]])</f>
        <v>0</v>
      </c>
      <c r="AO640" s="6">
        <f>IF(INVESTORS_LIST[[#This Row],[TOTAL SELLABLE UNITS]]=0,0,INVESTORS_LIST[[#This Row],[TOTAL SELLABLE UNITS]]*INVESTORS_LIST[[#This Row],[NAV]])</f>
        <v>0</v>
      </c>
      <c r="AP640" s="6">
        <f>INVESTORS_LIST[[#This Row],[LS_TOTAL REALIZED GAIN]]+INVESTORS_LIST[[#This Row],[SIP_TOTAL REALIZED GAIN]]</f>
        <v>14549.300000000003</v>
      </c>
      <c r="AQ640" s="6">
        <f>INVESTORS_LIST[[#This Row],[TOTAL MARKET VALUE]]-INVESTORS_LIST[[#This Row],[TOTAL COST VALUE OF CURRENT INVESTMENT]]</f>
        <v>0</v>
      </c>
      <c r="AR640" s="6">
        <f>SUMIFS(DivAndTax[Tax Amount],DivAndTax[Investor ID],INVESTORS_LIST[[#This Row],[INVESTOR CODE]])</f>
        <v>0</v>
      </c>
      <c r="AS640" s="6">
        <f>SUMIFS(DivAndTax[Gross Dividend],DivAndTax[Investor ID],INVESTORS_LIST[[#This Row],[INVESTOR CODE]])</f>
        <v>0</v>
      </c>
      <c r="AT640" s="5">
        <f>IFERROR(INVESTORS_LIST[[#This Row],[TOTAL CURRENT UNITS]]/SUM(INVESTORS_LIST[TOTAL CURRENT UNITS]),0)</f>
        <v>0</v>
      </c>
    </row>
    <row r="641" spans="1:46" hidden="1">
      <c r="A641" s="182" t="s">
        <v>1491</v>
      </c>
      <c r="B641" t="s">
        <v>1469</v>
      </c>
      <c r="C641" t="s">
        <v>536</v>
      </c>
      <c r="D641" s="8" t="s">
        <v>2</v>
      </c>
      <c r="E641" s="2">
        <f>SUMIFS(LS[Unit],LS[Investor ID],INVESTORS_LIST[[#This Row],[INVESTOR CODE]],LS[B/S],"B")</f>
        <v>0</v>
      </c>
      <c r="F641" s="2">
        <f>-SUMIFS(LS[Unit],LS[Investor ID],INVESTORS_LIST[[#This Row],[INVESTOR CODE]],LS[B/S],"S")</f>
        <v>0</v>
      </c>
      <c r="G641" s="2">
        <f>IF(INVESTORS_LIST[[#This Row],[LS_TOTAL UNITS BUY]]=0,0,INVESTORS_LIST[[#This Row],[LS_TOTAL UNITS BUY]]-INVESTORS_LIST[[#This Row],[LS_TOTAL UNITS SOLD]])</f>
        <v>0</v>
      </c>
      <c r="H641" s="4">
        <f>IF(INVESTORS_LIST[[#This Row],[LS_TOTAL UNITS BUY]]=0,0,SUMIFS(LS[Amount],LS[Investor ID],INVESTORS_LIST[[#This Row],[INVESTOR CODE]],LS[B/S],"B"))</f>
        <v>0</v>
      </c>
      <c r="I641" s="6">
        <f>IF(INVESTORS_LIST[[#This Row],[LS_TOTAL UNITS SOLD]]=0,0,SUMIFS(LS[Cost of Units Sold],LS[Investor ID],INVESTORS_LIST[[#This Row],[INVESTOR CODE]],LS[B/S],"S"))</f>
        <v>0</v>
      </c>
      <c r="J641" s="6">
        <f>IF(INVESTORS_LIST[[#This Row],[LS_TOTAL CURRENT UNITS]]=0,0,INVESTORS_LIST[[#This Row],[LS_TOTAL CURRENT UNITS]]*INVESTORS_LIST[[#This Row],[LS_AVERAGE COST]])</f>
        <v>0</v>
      </c>
      <c r="K641" s="4">
        <f>IF(INVESTORS_LIST[[#This Row],[LS_TOTAL UNITS SOLD]]=0,0,SUMIFS(LS[Realized Gain],LS[Investor ID],INVESTORS_LIST[[#This Row],[INVESTOR CODE]],LS[B/S],"S"))</f>
        <v>0</v>
      </c>
      <c r="L641" s="2">
        <f>SUMIFS(SIP[Unit],SIP[Investor ID],INVESTORS_LIST[[#This Row],[INVESTOR CODE]],SIP[B/S],"B")</f>
        <v>0</v>
      </c>
      <c r="M641" s="2">
        <f>-SUMIFS(SIP[Unit],SIP[Investor ID],INVESTORS_LIST[[#This Row],[INVESTOR CODE]],SIP[B/S],"S")</f>
        <v>0</v>
      </c>
      <c r="N641" s="33">
        <f>IF(INVESTORS_LIST[[#This Row],[SIP_TOTAL UNITS BUY]]=0,0,INVESTORS_LIST[[#This Row],[SIP_TOTAL UNITS BUY]]-INVESTORS_LIST[[#This Row],[SIP_TOTAL UNITS SOLD]])</f>
        <v>0</v>
      </c>
      <c r="O641" s="4">
        <f>IF(INVESTORS_LIST[[#This Row],[SIP_TOTAL UNITS BUY]]=0,0,SUMIFS(SIP[Amount],SIP[Investor ID],INVESTORS_LIST[[#This Row],[INVESTOR CODE]],SIP[B/S],"B"))</f>
        <v>0</v>
      </c>
      <c r="P641" s="4">
        <f>IF(INVESTORS_LIST[[#This Row],[SIP_TOTAL UNITS SOLD]]=0,0,SUMIFS(SIP[Cost of Units Sold],SIP[Investor ID],INVESTORS_LIST[[#This Row],[INVESTOR CODE]],SIP[B/S],"S"))</f>
        <v>0</v>
      </c>
      <c r="Q641" s="6">
        <f>IF(INVESTORS_LIST[[#This Row],[SIP_TOTAL CURRENT UNITS]]=0,0,INVESTORS_LIST[[#This Row],[SIP_TOTAL CURRENT UNITS]]*INVESTORS_LIST[[#This Row],[SIP_AVERAGE COST]])</f>
        <v>0</v>
      </c>
      <c r="R641" s="6">
        <f>IF(INVESTORS_LIST[[#This Row],[SIP_TOTAL UNITS SOLD]]=0,0,SUMIFS(SIP[Realized Gain],SIP[Investor ID],INVESTORS_LIST[[#This Row],[INVESTOR CODE]],SIP[B/S],"S"))</f>
        <v>0</v>
      </c>
      <c r="S641" s="33">
        <f>INVESTORS_LIST[[#This Row],[LS_TOTAL UNITS BUY]]+INVESTORS_LIST[[#This Row],[SIP_TOTAL UNITS BUY]]</f>
        <v>0</v>
      </c>
      <c r="T641" s="33">
        <f>INVESTORS_LIST[[#This Row],[LS_TOTAL UNITS SOLD]]+INVESTORS_LIST[[#This Row],[SIP_TOTAL UNITS SOLD]]</f>
        <v>0</v>
      </c>
      <c r="U641" s="33">
        <v>0</v>
      </c>
      <c r="V641" s="33">
        <f>SUMIFS(LS[BO UNIT TRANSFER],LS[Investor ID],INVESTORS_LIST[[#This Row],[INVESTOR CODE]],LS[B/S],"B")</f>
        <v>0</v>
      </c>
      <c r="W641" s="33">
        <f>SUMIFS(LS[BO UNIT TRANSFER],LS[Investor ID],INVESTORS_LIST[[#This Row],[INVESTOR CODE]],LS[B/S],"S")</f>
        <v>0</v>
      </c>
      <c r="X641" s="33">
        <f>SUMIFS(SIP[BO UNIT TRANSFER],SIP[Investor ID],INVESTORS_LIST[[#This Row],[INVESTOR CODE]],SIP[B/S],"S")</f>
        <v>0</v>
      </c>
      <c r="Y641" s="33">
        <f>SUMIFS(SIP[BO UNIT TRANSFER],SIP[Investor ID],INVESTORS_LIST[[#This Row],[INVESTOR CODE]],SIP[B/S],"B")</f>
        <v>0</v>
      </c>
      <c r="Z64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41" s="119">
        <f>INVESTORS_LIST[[#This Row],[TOTAL UNITS BUY]]-INVESTORS_LIST[[#This Row],[TOTAL UNITS SOLD]]</f>
        <v>0</v>
      </c>
      <c r="AB641" s="119">
        <f>INVESTORS_LIST[[#This Row],[TOTAL CURRENT UNITS]]-INVESTORS_LIST[[#This Row],[BO UNITS HOLD]]</f>
        <v>0</v>
      </c>
      <c r="AC641" s="119" t="e">
        <f>INDEX([4]!Table_1[BO ID],MATCH(INVESTORS_LIST[[#This Row],[INVESTOR CODE]],[4]!Table_1[INVESTOR CODE],0))</f>
        <v>#REF!</v>
      </c>
      <c r="AD641" s="33">
        <f>INVESTORS_LIST[[#This Row],[LS_TOTAL COST VALUE OF CURRENT UNITS]]+INVESTORS_LIST[[#This Row],[SIP_TOTAL COST VALUE OF CURRENT UNITS]]</f>
        <v>0</v>
      </c>
      <c r="AE641" s="44">
        <f>IF(INVESTORS_LIST[[#This Row],[TOTAL CURRENT UNITS]]=0,0,INVESTORS_LIST[[#This Row],[LS_TOTAL CURRENT UNITS]]/INVESTORS_LIST[[#This Row],[TOTAL CURRENT UNITS]])</f>
        <v>0</v>
      </c>
      <c r="AF641" s="44">
        <f>IF(INVESTORS_LIST[[#This Row],[TOTAL CURRENT UNITS]]=0,0,INVESTORS_LIST[[#This Row],[SIP_TOTAL CURRENT UNITS]]/INVESTORS_LIST[[#This Row],[TOTAL CURRENT UNITS]])</f>
        <v>0</v>
      </c>
      <c r="AG641" s="4" cm="1">
        <f t="array" ref="AG64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41" s="4" cm="1">
        <f t="array" ref="AH64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4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41" s="178">
        <f t="shared" ref="AJ641:AJ652" si="16">NAV_MKT</f>
        <v>12.552</v>
      </c>
      <c r="AK641" s="118">
        <f>IF(INVESTORS_LIST[[#This Row],[TOTAL CURRENT UNITS]]=0,0,INVESTORS_LIST[[#This Row],[TOTAL CURRENT UNITS]]*INVESTORS_LIST[[#This Row],[NAV]])</f>
        <v>0</v>
      </c>
      <c r="AL641" s="4">
        <f>IF(INVESTORS_LIST[[#This Row],[LS_TOTAL CURRENT UNITS]]=0,0,INVESTORS_LIST[[#This Row],[LS_TOTAL CURRENT UNITS]]*INVESTORS_LIST[[#This Row],[NAV]])</f>
        <v>0</v>
      </c>
      <c r="AM641" s="6">
        <f>IF(INVESTORS_LIST[[#This Row],[SIP_TOTAL CURRENT UNITS]]=0,0,INVESTORS_LIST[[#This Row],[SIP_TOTAL CURRENT UNITS]]*INVESTORS_LIST[[#This Row],[NAV]])</f>
        <v>0</v>
      </c>
      <c r="AO641" s="6">
        <f>IF(INVESTORS_LIST[[#This Row],[TOTAL SELLABLE UNITS]]=0,0,INVESTORS_LIST[[#This Row],[TOTAL SELLABLE UNITS]]*INVESTORS_LIST[[#This Row],[NAV]])</f>
        <v>0</v>
      </c>
      <c r="AP641" s="6">
        <f>INVESTORS_LIST[[#This Row],[LS_TOTAL REALIZED GAIN]]+INVESTORS_LIST[[#This Row],[SIP_TOTAL REALIZED GAIN]]</f>
        <v>0</v>
      </c>
      <c r="AQ641" s="6">
        <f>INVESTORS_LIST[[#This Row],[TOTAL MARKET VALUE]]-INVESTORS_LIST[[#This Row],[TOTAL COST VALUE OF CURRENT INVESTMENT]]</f>
        <v>0</v>
      </c>
      <c r="AR641" s="6">
        <f>SUMIFS(DivAndTax[Tax Amount],DivAndTax[Investor ID],INVESTORS_LIST[[#This Row],[INVESTOR CODE]])</f>
        <v>0</v>
      </c>
      <c r="AS641" s="6">
        <f>SUMIFS(DivAndTax[Gross Dividend],DivAndTax[Investor ID],INVESTORS_LIST[[#This Row],[INVESTOR CODE]])</f>
        <v>0</v>
      </c>
      <c r="AT641" s="5">
        <f>IFERROR(INVESTORS_LIST[[#This Row],[TOTAL CURRENT UNITS]]/SUM(INVESTORS_LIST[TOTAL CURRENT UNITS]),0)</f>
        <v>0</v>
      </c>
    </row>
    <row r="642" spans="1:46" hidden="1">
      <c r="B642" t="s">
        <v>1470</v>
      </c>
      <c r="D642" s="8"/>
      <c r="E642" s="2">
        <f>SUMIFS(LS[Unit],LS[Investor ID],INVESTORS_LIST[[#This Row],[INVESTOR CODE]],LS[B/S],"B")</f>
        <v>0</v>
      </c>
      <c r="F642" s="2">
        <f>-SUMIFS(LS[Unit],LS[Investor ID],INVESTORS_LIST[[#This Row],[INVESTOR CODE]],LS[B/S],"S")</f>
        <v>0</v>
      </c>
      <c r="G642" s="2">
        <f>IF(INVESTORS_LIST[[#This Row],[LS_TOTAL UNITS BUY]]=0,0,INVESTORS_LIST[[#This Row],[LS_TOTAL UNITS BUY]]-INVESTORS_LIST[[#This Row],[LS_TOTAL UNITS SOLD]])</f>
        <v>0</v>
      </c>
      <c r="H642" s="4">
        <f>IF(INVESTORS_LIST[[#This Row],[LS_TOTAL UNITS BUY]]=0,0,SUMIFS(LS[Amount],LS[Investor ID],INVESTORS_LIST[[#This Row],[INVESTOR CODE]],LS[B/S],"B"))</f>
        <v>0</v>
      </c>
      <c r="I642" s="6">
        <f>IF(INVESTORS_LIST[[#This Row],[LS_TOTAL UNITS SOLD]]=0,0,SUMIFS(LS[Cost of Units Sold],LS[Investor ID],INVESTORS_LIST[[#This Row],[INVESTOR CODE]],LS[B/S],"S"))</f>
        <v>0</v>
      </c>
      <c r="J642" s="6">
        <f>IF(INVESTORS_LIST[[#This Row],[LS_TOTAL CURRENT UNITS]]=0,0,INVESTORS_LIST[[#This Row],[LS_TOTAL CURRENT UNITS]]*INVESTORS_LIST[[#This Row],[LS_AVERAGE COST]])</f>
        <v>0</v>
      </c>
      <c r="K642" s="4">
        <f>IF(INVESTORS_LIST[[#This Row],[LS_TOTAL UNITS SOLD]]=0,0,SUMIFS(LS[Realized Gain],LS[Investor ID],INVESTORS_LIST[[#This Row],[INVESTOR CODE]],LS[B/S],"S"))</f>
        <v>0</v>
      </c>
      <c r="L642" s="2">
        <f>SUMIFS(SIP[Unit],SIP[Investor ID],INVESTORS_LIST[[#This Row],[INVESTOR CODE]],SIP[B/S],"B")</f>
        <v>0</v>
      </c>
      <c r="M642" s="2">
        <f>-SUMIFS(SIP[Unit],SIP[Investor ID],INVESTORS_LIST[[#This Row],[INVESTOR CODE]],SIP[B/S],"S")</f>
        <v>0</v>
      </c>
      <c r="N642" s="33">
        <f>IF(INVESTORS_LIST[[#This Row],[SIP_TOTAL UNITS BUY]]=0,0,INVESTORS_LIST[[#This Row],[SIP_TOTAL UNITS BUY]]-INVESTORS_LIST[[#This Row],[SIP_TOTAL UNITS SOLD]])</f>
        <v>0</v>
      </c>
      <c r="O642" s="4">
        <f>IF(INVESTORS_LIST[[#This Row],[SIP_TOTAL UNITS BUY]]=0,0,SUMIFS(SIP[Amount],SIP[Investor ID],INVESTORS_LIST[[#This Row],[INVESTOR CODE]],SIP[B/S],"B"))</f>
        <v>0</v>
      </c>
      <c r="P642" s="4">
        <f>IF(INVESTORS_LIST[[#This Row],[SIP_TOTAL UNITS SOLD]]=0,0,SUMIFS(SIP[Cost of Units Sold],SIP[Investor ID],INVESTORS_LIST[[#This Row],[INVESTOR CODE]],SIP[B/S],"S"))</f>
        <v>0</v>
      </c>
      <c r="Q642" s="6">
        <f>IF(INVESTORS_LIST[[#This Row],[SIP_TOTAL CURRENT UNITS]]=0,0,INVESTORS_LIST[[#This Row],[SIP_TOTAL CURRENT UNITS]]*INVESTORS_LIST[[#This Row],[SIP_AVERAGE COST]])</f>
        <v>0</v>
      </c>
      <c r="R642" s="6">
        <f>IF(INVESTORS_LIST[[#This Row],[SIP_TOTAL UNITS SOLD]]=0,0,SUMIFS(SIP[Realized Gain],SIP[Investor ID],INVESTORS_LIST[[#This Row],[INVESTOR CODE]],SIP[B/S],"S"))</f>
        <v>0</v>
      </c>
      <c r="S642" s="33">
        <f>INVESTORS_LIST[[#This Row],[LS_TOTAL UNITS BUY]]+INVESTORS_LIST[[#This Row],[SIP_TOTAL UNITS BUY]]</f>
        <v>0</v>
      </c>
      <c r="T642" s="33">
        <f>INVESTORS_LIST[[#This Row],[LS_TOTAL UNITS SOLD]]+INVESTORS_LIST[[#This Row],[SIP_TOTAL UNITS SOLD]]</f>
        <v>0</v>
      </c>
      <c r="U642" s="33">
        <v>0</v>
      </c>
      <c r="V642" s="33">
        <f>SUMIFS(LS[BO UNIT TRANSFER],LS[Investor ID],INVESTORS_LIST[[#This Row],[INVESTOR CODE]],LS[B/S],"B")</f>
        <v>0</v>
      </c>
      <c r="W642" s="33">
        <f>SUMIFS(LS[BO UNIT TRANSFER],LS[Investor ID],INVESTORS_LIST[[#This Row],[INVESTOR CODE]],LS[B/S],"S")</f>
        <v>0</v>
      </c>
      <c r="X642" s="33">
        <f>SUMIFS(SIP[BO UNIT TRANSFER],SIP[Investor ID],INVESTORS_LIST[[#This Row],[INVESTOR CODE]],SIP[B/S],"S")</f>
        <v>0</v>
      </c>
      <c r="Y642" s="33">
        <f>SUMIFS(SIP[BO UNIT TRANSFER],SIP[Investor ID],INVESTORS_LIST[[#This Row],[INVESTOR CODE]],SIP[B/S],"B")</f>
        <v>0</v>
      </c>
      <c r="Z64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42" s="119">
        <f>INVESTORS_LIST[[#This Row],[TOTAL UNITS BUY]]-INVESTORS_LIST[[#This Row],[TOTAL UNITS SOLD]]</f>
        <v>0</v>
      </c>
      <c r="AB642" s="119">
        <f>INVESTORS_LIST[[#This Row],[TOTAL CURRENT UNITS]]-INVESTORS_LIST[[#This Row],[BO UNITS HOLD]]</f>
        <v>0</v>
      </c>
      <c r="AC642" s="119" t="e">
        <f>INDEX([4]!Table_1[BO ID],MATCH(INVESTORS_LIST[[#This Row],[INVESTOR CODE]],[4]!Table_1[INVESTOR CODE],0))</f>
        <v>#REF!</v>
      </c>
      <c r="AD642" s="33">
        <f>INVESTORS_LIST[[#This Row],[LS_TOTAL COST VALUE OF CURRENT UNITS]]+INVESTORS_LIST[[#This Row],[SIP_TOTAL COST VALUE OF CURRENT UNITS]]</f>
        <v>0</v>
      </c>
      <c r="AE642" s="44">
        <f>IF(INVESTORS_LIST[[#This Row],[TOTAL CURRENT UNITS]]=0,0,INVESTORS_LIST[[#This Row],[LS_TOTAL CURRENT UNITS]]/INVESTORS_LIST[[#This Row],[TOTAL CURRENT UNITS]])</f>
        <v>0</v>
      </c>
      <c r="AF642" s="44">
        <f>IF(INVESTORS_LIST[[#This Row],[TOTAL CURRENT UNITS]]=0,0,INVESTORS_LIST[[#This Row],[SIP_TOTAL CURRENT UNITS]]/INVESTORS_LIST[[#This Row],[TOTAL CURRENT UNITS]])</f>
        <v>0</v>
      </c>
      <c r="AG642" s="4" cm="1">
        <f t="array" ref="AG64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42" s="4" cm="1">
        <f t="array" ref="AH64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4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42" s="178">
        <f t="shared" si="16"/>
        <v>12.552</v>
      </c>
      <c r="AK642" s="118">
        <f>IF(INVESTORS_LIST[[#This Row],[TOTAL CURRENT UNITS]]=0,0,INVESTORS_LIST[[#This Row],[TOTAL CURRENT UNITS]]*INVESTORS_LIST[[#This Row],[NAV]])</f>
        <v>0</v>
      </c>
      <c r="AL642" s="4">
        <f>IF(INVESTORS_LIST[[#This Row],[LS_TOTAL CURRENT UNITS]]=0,0,INVESTORS_LIST[[#This Row],[LS_TOTAL CURRENT UNITS]]*INVESTORS_LIST[[#This Row],[NAV]])</f>
        <v>0</v>
      </c>
      <c r="AM642" s="6">
        <f>IF(INVESTORS_LIST[[#This Row],[SIP_TOTAL CURRENT UNITS]]=0,0,INVESTORS_LIST[[#This Row],[SIP_TOTAL CURRENT UNITS]]*INVESTORS_LIST[[#This Row],[NAV]])</f>
        <v>0</v>
      </c>
      <c r="AO642" s="6">
        <f>IF(INVESTORS_LIST[[#This Row],[TOTAL SELLABLE UNITS]]=0,0,INVESTORS_LIST[[#This Row],[TOTAL SELLABLE UNITS]]*INVESTORS_LIST[[#This Row],[NAV]])</f>
        <v>0</v>
      </c>
      <c r="AP642" s="6">
        <f>INVESTORS_LIST[[#This Row],[LS_TOTAL REALIZED GAIN]]+INVESTORS_LIST[[#This Row],[SIP_TOTAL REALIZED GAIN]]</f>
        <v>0</v>
      </c>
      <c r="AQ642" s="6">
        <f>INVESTORS_LIST[[#This Row],[TOTAL MARKET VALUE]]-INVESTORS_LIST[[#This Row],[TOTAL COST VALUE OF CURRENT INVESTMENT]]</f>
        <v>0</v>
      </c>
      <c r="AR642" s="6">
        <f>SUMIFS(DivAndTax[Tax Amount],DivAndTax[Investor ID],INVESTORS_LIST[[#This Row],[INVESTOR CODE]])</f>
        <v>0</v>
      </c>
      <c r="AS642" s="6">
        <f>SUMIFS(DivAndTax[Gross Dividend],DivAndTax[Investor ID],INVESTORS_LIST[[#This Row],[INVESTOR CODE]])</f>
        <v>0</v>
      </c>
      <c r="AT642" s="5">
        <f>IFERROR(INVESTORS_LIST[[#This Row],[TOTAL CURRENT UNITS]]/SUM(INVESTORS_LIST[TOTAL CURRENT UNITS]),0)</f>
        <v>0</v>
      </c>
    </row>
    <row r="643" spans="1:46" hidden="1">
      <c r="A643" t="s">
        <v>1471</v>
      </c>
      <c r="B643" t="s">
        <v>1472</v>
      </c>
      <c r="C643" t="s">
        <v>536</v>
      </c>
      <c r="D643" s="8" t="s">
        <v>2</v>
      </c>
      <c r="E643" s="2">
        <f>SUMIFS(LS[Unit],LS[Investor ID],INVESTORS_LIST[[#This Row],[INVESTOR CODE]],LS[B/S],"B")</f>
        <v>13830</v>
      </c>
      <c r="F643" s="2">
        <f>-SUMIFS(LS[Unit],LS[Investor ID],INVESTORS_LIST[[#This Row],[INVESTOR CODE]],LS[B/S],"S")</f>
        <v>13830</v>
      </c>
      <c r="G643" s="2">
        <f>IF(INVESTORS_LIST[[#This Row],[LS_TOTAL UNITS BUY]]=0,0,INVESTORS_LIST[[#This Row],[LS_TOTAL UNITS BUY]]-INVESTORS_LIST[[#This Row],[LS_TOTAL UNITS SOLD]])</f>
        <v>0</v>
      </c>
      <c r="H643" s="4">
        <f>IF(INVESTORS_LIST[[#This Row],[LS_TOTAL UNITS BUY]]=0,0,SUMIFS(LS[Amount],LS[Investor ID],INVESTORS_LIST[[#This Row],[INVESTOR CODE]],LS[B/S],"B"))</f>
        <v>150000</v>
      </c>
      <c r="I643" s="6">
        <f>IF(INVESTORS_LIST[[#This Row],[LS_TOTAL UNITS SOLD]]=0,0,SUMIFS(LS[Cost of Units Sold],LS[Investor ID],INVESTORS_LIST[[#This Row],[INVESTOR CODE]],LS[B/S],"S"))</f>
        <v>150000</v>
      </c>
      <c r="J643" s="6">
        <f>IF(INVESTORS_LIST[[#This Row],[LS_TOTAL CURRENT UNITS]]=0,0,INVESTORS_LIST[[#This Row],[LS_TOTAL CURRENT UNITS]]*INVESTORS_LIST[[#This Row],[LS_AVERAGE COST]])</f>
        <v>0</v>
      </c>
      <c r="K643" s="4">
        <f>IF(INVESTORS_LIST[[#This Row],[LS_TOTAL UNITS SOLD]]=0,0,SUMIFS(LS[Realized Gain],LS[Investor ID],INVESTORS_LIST[[#This Row],[INVESTOR CODE]],LS[B/S],"S"))</f>
        <v>20662.200000000033</v>
      </c>
      <c r="L643" s="2">
        <f>SUMIFS(SIP[Unit],SIP[Investor ID],INVESTORS_LIST[[#This Row],[INVESTOR CODE]],SIP[B/S],"B")</f>
        <v>0</v>
      </c>
      <c r="M643" s="2">
        <f>-SUMIFS(SIP[Unit],SIP[Investor ID],INVESTORS_LIST[[#This Row],[INVESTOR CODE]],SIP[B/S],"S")</f>
        <v>0</v>
      </c>
      <c r="N643" s="33">
        <f>IF(INVESTORS_LIST[[#This Row],[SIP_TOTAL UNITS BUY]]=0,0,INVESTORS_LIST[[#This Row],[SIP_TOTAL UNITS BUY]]-INVESTORS_LIST[[#This Row],[SIP_TOTAL UNITS SOLD]])</f>
        <v>0</v>
      </c>
      <c r="O643" s="4">
        <f>IF(INVESTORS_LIST[[#This Row],[SIP_TOTAL UNITS BUY]]=0,0,SUMIFS(SIP[Amount],SIP[Investor ID],INVESTORS_LIST[[#This Row],[INVESTOR CODE]],SIP[B/S],"B"))</f>
        <v>0</v>
      </c>
      <c r="P643" s="4">
        <f>IF(INVESTORS_LIST[[#This Row],[SIP_TOTAL UNITS SOLD]]=0,0,SUMIFS(SIP[Cost of Units Sold],SIP[Investor ID],INVESTORS_LIST[[#This Row],[INVESTOR CODE]],SIP[B/S],"S"))</f>
        <v>0</v>
      </c>
      <c r="Q643" s="6">
        <f>IF(INVESTORS_LIST[[#This Row],[SIP_TOTAL CURRENT UNITS]]=0,0,INVESTORS_LIST[[#This Row],[SIP_TOTAL CURRENT UNITS]]*INVESTORS_LIST[[#This Row],[SIP_AVERAGE COST]])</f>
        <v>0</v>
      </c>
      <c r="R643" s="6">
        <f>IF(INVESTORS_LIST[[#This Row],[SIP_TOTAL UNITS SOLD]]=0,0,SUMIFS(SIP[Realized Gain],SIP[Investor ID],INVESTORS_LIST[[#This Row],[INVESTOR CODE]],SIP[B/S],"S"))</f>
        <v>0</v>
      </c>
      <c r="S643" s="33">
        <f>INVESTORS_LIST[[#This Row],[LS_TOTAL UNITS BUY]]+INVESTORS_LIST[[#This Row],[SIP_TOTAL UNITS BUY]]</f>
        <v>13830</v>
      </c>
      <c r="T643" s="33">
        <f>INVESTORS_LIST[[#This Row],[LS_TOTAL UNITS SOLD]]+INVESTORS_LIST[[#This Row],[SIP_TOTAL UNITS SOLD]]</f>
        <v>13830</v>
      </c>
      <c r="U643" s="33">
        <v>0</v>
      </c>
      <c r="V643" s="33">
        <f>SUMIFS(LS[BO UNIT TRANSFER],LS[Investor ID],INVESTORS_LIST[[#This Row],[INVESTOR CODE]],LS[B/S],"B")</f>
        <v>0</v>
      </c>
      <c r="W643" s="33">
        <f>SUMIFS(LS[BO UNIT TRANSFER],LS[Investor ID],INVESTORS_LIST[[#This Row],[INVESTOR CODE]],LS[B/S],"S")</f>
        <v>0</v>
      </c>
      <c r="X643" s="33">
        <f>SUMIFS(SIP[BO UNIT TRANSFER],SIP[Investor ID],INVESTORS_LIST[[#This Row],[INVESTOR CODE]],SIP[B/S],"S")</f>
        <v>0</v>
      </c>
      <c r="Y643" s="33">
        <f>SUMIFS(SIP[BO UNIT TRANSFER],SIP[Investor ID],INVESTORS_LIST[[#This Row],[INVESTOR CODE]],SIP[B/S],"B")</f>
        <v>0</v>
      </c>
      <c r="Z64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43" s="119">
        <f>INVESTORS_LIST[[#This Row],[TOTAL UNITS BUY]]-INVESTORS_LIST[[#This Row],[TOTAL UNITS SOLD]]</f>
        <v>0</v>
      </c>
      <c r="AB643" s="119">
        <f>INVESTORS_LIST[[#This Row],[TOTAL CURRENT UNITS]]-INVESTORS_LIST[[#This Row],[BO UNITS HOLD]]</f>
        <v>0</v>
      </c>
      <c r="AC643" s="119" t="e">
        <f>INDEX([4]!Table_1[BO ID],MATCH(INVESTORS_LIST[[#This Row],[INVESTOR CODE]],[4]!Table_1[INVESTOR CODE],0))</f>
        <v>#REF!</v>
      </c>
      <c r="AD643" s="33">
        <f>INVESTORS_LIST[[#This Row],[LS_TOTAL COST VALUE OF CURRENT UNITS]]+INVESTORS_LIST[[#This Row],[SIP_TOTAL COST VALUE OF CURRENT UNITS]]</f>
        <v>0</v>
      </c>
      <c r="AE643" s="44">
        <f>IF(INVESTORS_LIST[[#This Row],[TOTAL CURRENT UNITS]]=0,0,INVESTORS_LIST[[#This Row],[LS_TOTAL CURRENT UNITS]]/INVESTORS_LIST[[#This Row],[TOTAL CURRENT UNITS]])</f>
        <v>0</v>
      </c>
      <c r="AF643" s="44">
        <f>IF(INVESTORS_LIST[[#This Row],[TOTAL CURRENT UNITS]]=0,0,INVESTORS_LIST[[#This Row],[SIP_TOTAL CURRENT UNITS]]/INVESTORS_LIST[[#This Row],[TOTAL CURRENT UNITS]])</f>
        <v>0</v>
      </c>
      <c r="AG643" s="4" cm="1">
        <f t="array" ref="AG64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43" s="4" cm="1">
        <f t="array" ref="AH64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4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43" s="178">
        <f t="shared" si="16"/>
        <v>12.552</v>
      </c>
      <c r="AK643" s="118">
        <f>IF(INVESTORS_LIST[[#This Row],[TOTAL CURRENT UNITS]]=0,0,INVESTORS_LIST[[#This Row],[TOTAL CURRENT UNITS]]*INVESTORS_LIST[[#This Row],[NAV]])</f>
        <v>0</v>
      </c>
      <c r="AL643" s="4">
        <f>IF(INVESTORS_LIST[[#This Row],[LS_TOTAL CURRENT UNITS]]=0,0,INVESTORS_LIST[[#This Row],[LS_TOTAL CURRENT UNITS]]*INVESTORS_LIST[[#This Row],[NAV]])</f>
        <v>0</v>
      </c>
      <c r="AM643" s="6">
        <f>IF(INVESTORS_LIST[[#This Row],[SIP_TOTAL CURRENT UNITS]]=0,0,INVESTORS_LIST[[#This Row],[SIP_TOTAL CURRENT UNITS]]*INVESTORS_LIST[[#This Row],[NAV]])</f>
        <v>0</v>
      </c>
      <c r="AO643" s="6">
        <f>IF(INVESTORS_LIST[[#This Row],[TOTAL SELLABLE UNITS]]=0,0,INVESTORS_LIST[[#This Row],[TOTAL SELLABLE UNITS]]*INVESTORS_LIST[[#This Row],[NAV]])</f>
        <v>0</v>
      </c>
      <c r="AP643" s="6">
        <f>INVESTORS_LIST[[#This Row],[LS_TOTAL REALIZED GAIN]]+INVESTORS_LIST[[#This Row],[SIP_TOTAL REALIZED GAIN]]</f>
        <v>20662.200000000033</v>
      </c>
      <c r="AQ643" s="6">
        <f>INVESTORS_LIST[[#This Row],[TOTAL MARKET VALUE]]-INVESTORS_LIST[[#This Row],[TOTAL COST VALUE OF CURRENT INVESTMENT]]</f>
        <v>0</v>
      </c>
      <c r="AR643" s="6">
        <f>SUMIFS(DivAndTax[Tax Amount],DivAndTax[Investor ID],INVESTORS_LIST[[#This Row],[INVESTOR CODE]])</f>
        <v>0</v>
      </c>
      <c r="AS643" s="6">
        <f>SUMIFS(DivAndTax[Gross Dividend],DivAndTax[Investor ID],INVESTORS_LIST[[#This Row],[INVESTOR CODE]])</f>
        <v>0</v>
      </c>
      <c r="AT643" s="5">
        <f>IFERROR(INVESTORS_LIST[[#This Row],[TOTAL CURRENT UNITS]]/SUM(INVESTORS_LIST[TOTAL CURRENT UNITS]),0)</f>
        <v>0</v>
      </c>
    </row>
    <row r="644" spans="1:46">
      <c r="A644" s="182" t="s">
        <v>1473</v>
      </c>
      <c r="B644" s="182" t="s">
        <v>1474</v>
      </c>
      <c r="C644" s="218" t="s">
        <v>539</v>
      </c>
      <c r="D644" s="219" t="s">
        <v>2</v>
      </c>
      <c r="E644" s="2">
        <f>SUMIFS(LS[Unit],LS[Investor ID],INVESTORS_LIST[[#This Row],[INVESTOR CODE]],LS[B/S],"B")</f>
        <v>32670</v>
      </c>
      <c r="F644" s="2">
        <f>-SUMIFS(LS[Unit],LS[Investor ID],INVESTORS_LIST[[#This Row],[INVESTOR CODE]],LS[B/S],"S")</f>
        <v>25013</v>
      </c>
      <c r="G644" s="2">
        <f>IF(INVESTORS_LIST[[#This Row],[LS_TOTAL UNITS BUY]]=0,0,INVESTORS_LIST[[#This Row],[LS_TOTAL UNITS BUY]]-INVESTORS_LIST[[#This Row],[LS_TOTAL UNITS SOLD]])</f>
        <v>7657</v>
      </c>
      <c r="H644" s="4">
        <f>IF(INVESTORS_LIST[[#This Row],[LS_TOTAL UNITS BUY]]=0,0,SUMIFS(LS[Amount],LS[Investor ID],INVESTORS_LIST[[#This Row],[INVESTOR CODE]],LS[B/S],"B"))</f>
        <v>376110.65</v>
      </c>
      <c r="I644" s="6">
        <f>IF(INVESTORS_LIST[[#This Row],[LS_TOTAL UNITS SOLD]]=0,0,SUMIFS(LS[Cost of Units Sold],LS[Investor ID],INVESTORS_LIST[[#This Row],[INVESTOR CODE]],LS[B/S],"S"))</f>
        <v>285000</v>
      </c>
      <c r="J644" s="6">
        <f>IF(INVESTORS_LIST[[#This Row],[LS_TOTAL CURRENT UNITS]]=0,0,INVESTORS_LIST[[#This Row],[LS_TOTAL CURRENT UNITS]]*INVESTORS_LIST[[#This Row],[LS_AVERAGE COST]])</f>
        <v>91110.650000000009</v>
      </c>
      <c r="K644" s="4">
        <f>IF(INVESTORS_LIST[[#This Row],[LS_TOTAL UNITS SOLD]]=0,0,SUMIFS(LS[Realized Gain],LS[Investor ID],INVESTORS_LIST[[#This Row],[INVESTOR CODE]],LS[B/S],"S"))</f>
        <v>11629.169999999956</v>
      </c>
      <c r="L644" s="2">
        <f>SUMIFS(SIP[Unit],SIP[Investor ID],INVESTORS_LIST[[#This Row],[INVESTOR CODE]],SIP[B/S],"B")</f>
        <v>0</v>
      </c>
      <c r="M644" s="2">
        <f>-SUMIFS(SIP[Unit],SIP[Investor ID],INVESTORS_LIST[[#This Row],[INVESTOR CODE]],SIP[B/S],"S")</f>
        <v>0</v>
      </c>
      <c r="N644" s="33">
        <f>IF(INVESTORS_LIST[[#This Row],[SIP_TOTAL UNITS BUY]]=0,0,INVESTORS_LIST[[#This Row],[SIP_TOTAL UNITS BUY]]-INVESTORS_LIST[[#This Row],[SIP_TOTAL UNITS SOLD]])</f>
        <v>0</v>
      </c>
      <c r="O644" s="4">
        <f>IF(INVESTORS_LIST[[#This Row],[SIP_TOTAL UNITS BUY]]=0,0,SUMIFS(SIP[Amount],SIP[Investor ID],INVESTORS_LIST[[#This Row],[INVESTOR CODE]],SIP[B/S],"B"))</f>
        <v>0</v>
      </c>
      <c r="P644" s="4">
        <f>IF(INVESTORS_LIST[[#This Row],[SIP_TOTAL UNITS SOLD]]=0,0,SUMIFS(SIP[Cost of Units Sold],SIP[Investor ID],INVESTORS_LIST[[#This Row],[INVESTOR CODE]],SIP[B/S],"S"))</f>
        <v>0</v>
      </c>
      <c r="Q644" s="6">
        <f>IF(INVESTORS_LIST[[#This Row],[SIP_TOTAL CURRENT UNITS]]=0,0,INVESTORS_LIST[[#This Row],[SIP_TOTAL CURRENT UNITS]]*INVESTORS_LIST[[#This Row],[SIP_AVERAGE COST]])</f>
        <v>0</v>
      </c>
      <c r="R644" s="6">
        <f>IF(INVESTORS_LIST[[#This Row],[SIP_TOTAL UNITS SOLD]]=0,0,SUMIFS(SIP[Realized Gain],SIP[Investor ID],INVESTORS_LIST[[#This Row],[INVESTOR CODE]],SIP[B/S],"S"))</f>
        <v>0</v>
      </c>
      <c r="S644" s="33">
        <f>INVESTORS_LIST[[#This Row],[LS_TOTAL UNITS BUY]]+INVESTORS_LIST[[#This Row],[SIP_TOTAL UNITS BUY]]</f>
        <v>32670</v>
      </c>
      <c r="T644" s="33">
        <f>INVESTORS_LIST[[#This Row],[LS_TOTAL UNITS SOLD]]+INVESTORS_LIST[[#This Row],[SIP_TOTAL UNITS SOLD]]</f>
        <v>25013</v>
      </c>
      <c r="U644" s="33">
        <v>0</v>
      </c>
      <c r="V644" s="33">
        <f>SUMIFS(LS[BO UNIT TRANSFER],LS[Investor ID],INVESTORS_LIST[[#This Row],[INVESTOR CODE]],LS[B/S],"B")</f>
        <v>0</v>
      </c>
      <c r="W644" s="33">
        <f>SUMIFS(LS[BO UNIT TRANSFER],LS[Investor ID],INVESTORS_LIST[[#This Row],[INVESTOR CODE]],LS[B/S],"S")</f>
        <v>0</v>
      </c>
      <c r="X644" s="33">
        <f>SUMIFS(SIP[BO UNIT TRANSFER],SIP[Investor ID],INVESTORS_LIST[[#This Row],[INVESTOR CODE]],SIP[B/S],"S")</f>
        <v>0</v>
      </c>
      <c r="Y644" s="33">
        <f>SUMIFS(SIP[BO UNIT TRANSFER],SIP[Investor ID],INVESTORS_LIST[[#This Row],[INVESTOR CODE]],SIP[B/S],"B")</f>
        <v>0</v>
      </c>
      <c r="Z64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44" s="119">
        <f>INVESTORS_LIST[[#This Row],[TOTAL UNITS BUY]]-INVESTORS_LIST[[#This Row],[TOTAL UNITS SOLD]]</f>
        <v>7657</v>
      </c>
      <c r="AB644" s="119">
        <f>INVESTORS_LIST[[#This Row],[TOTAL CURRENT UNITS]]-INVESTORS_LIST[[#This Row],[BO UNITS HOLD]]</f>
        <v>7657</v>
      </c>
      <c r="AC644" s="119" t="e">
        <f>INDEX([4]!Table_1[BO ID],MATCH(INVESTORS_LIST[[#This Row],[INVESTOR CODE]],[4]!Table_1[INVESTOR CODE],0))</f>
        <v>#REF!</v>
      </c>
      <c r="AD644" s="33">
        <f>INVESTORS_LIST[[#This Row],[LS_TOTAL COST VALUE OF CURRENT UNITS]]+INVESTORS_LIST[[#This Row],[SIP_TOTAL COST VALUE OF CURRENT UNITS]]</f>
        <v>91110.650000000009</v>
      </c>
      <c r="AE644" s="44">
        <f>IF(INVESTORS_LIST[[#This Row],[TOTAL CURRENT UNITS]]=0,0,INVESTORS_LIST[[#This Row],[LS_TOTAL CURRENT UNITS]]/INVESTORS_LIST[[#This Row],[TOTAL CURRENT UNITS]])</f>
        <v>1</v>
      </c>
      <c r="AF644" s="44">
        <f>IF(INVESTORS_LIST[[#This Row],[TOTAL CURRENT UNITS]]=0,0,INVESTORS_LIST[[#This Row],[SIP_TOTAL CURRENT UNITS]]/INVESTORS_LIST[[#This Row],[TOTAL CURRENT UNITS]])</f>
        <v>0</v>
      </c>
      <c r="AG644" s="4" cm="1">
        <f t="array" ref="AG644">IF(INVESTORS_LIST[[#This Row],[LS_TOTAL UNITS BUY]]&gt;0,INDEX(LS[NAV at Cost (Average)],MATCH(CONCATENATE(COUNTIFS(LS[Investor ID],INVESTORS_LIST[[#This Row],[INVESTOR CODE]]),INVESTORS_LIST[[#This Row],[INVESTOR CODE]]),LS[Unique Code],0),),0)</f>
        <v>11.899000914196161</v>
      </c>
      <c r="AH644" s="4" cm="1">
        <f t="array" ref="AH64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44" s="178">
        <f>IF(INVESTORS_LIST[[#This Row],[TOTAL CURRENT UNITS]]=0,0,(INVESTORS_LIST[[#This Row],[LS_WEIGHT]]*INVESTORS_LIST[[#This Row],[LS_AVERAGE COST]])+(INVESTORS_LIST[[#This Row],[SIP_WEIGHT]]*INVESTORS_LIST[[#This Row],[SIP_AVERAGE COST]]))</f>
        <v>11.899000914196161</v>
      </c>
      <c r="AJ644" s="178">
        <f t="shared" si="16"/>
        <v>12.552</v>
      </c>
      <c r="AK644" s="118">
        <f>IF(INVESTORS_LIST[[#This Row],[TOTAL CURRENT UNITS]]=0,0,INVESTORS_LIST[[#This Row],[TOTAL CURRENT UNITS]]*INVESTORS_LIST[[#This Row],[NAV]])</f>
        <v>96110.66399999999</v>
      </c>
      <c r="AL644" s="4">
        <f>IF(INVESTORS_LIST[[#This Row],[LS_TOTAL CURRENT UNITS]]=0,0,INVESTORS_LIST[[#This Row],[LS_TOTAL CURRENT UNITS]]*INVESTORS_LIST[[#This Row],[NAV]])</f>
        <v>96110.66399999999</v>
      </c>
      <c r="AM644" s="6">
        <f>IF(INVESTORS_LIST[[#This Row],[SIP_TOTAL CURRENT UNITS]]=0,0,INVESTORS_LIST[[#This Row],[SIP_TOTAL CURRENT UNITS]]*INVESTORS_LIST[[#This Row],[NAV]])</f>
        <v>0</v>
      </c>
      <c r="AO644" s="6">
        <f>IF(INVESTORS_LIST[[#This Row],[TOTAL SELLABLE UNITS]]=0,0,INVESTORS_LIST[[#This Row],[TOTAL SELLABLE UNITS]]*INVESTORS_LIST[[#This Row],[NAV]])</f>
        <v>0</v>
      </c>
      <c r="AP644" s="6">
        <f>INVESTORS_LIST[[#This Row],[LS_TOTAL REALIZED GAIN]]+INVESTORS_LIST[[#This Row],[SIP_TOTAL REALIZED GAIN]]</f>
        <v>11629.169999999956</v>
      </c>
      <c r="AQ644" s="6">
        <f>INVESTORS_LIST[[#This Row],[TOTAL MARKET VALUE]]-INVESTORS_LIST[[#This Row],[TOTAL COST VALUE OF CURRENT INVESTMENT]]</f>
        <v>5000.013999999981</v>
      </c>
      <c r="AR644" s="6">
        <f>SUMIFS(DivAndTax[Tax Amount],DivAndTax[Investor ID],INVESTORS_LIST[[#This Row],[INVESTOR CODE]])</f>
        <v>391.6</v>
      </c>
      <c r="AS644" s="6">
        <f>SUMIFS(DivAndTax[Gross Dividend],DivAndTax[Investor ID],INVESTORS_LIST[[#This Row],[INVESTOR CODE]])</f>
        <v>2610.6499999999996</v>
      </c>
      <c r="AT644" s="5">
        <f>IFERROR(INVESTORS_LIST[[#This Row],[TOTAL CURRENT UNITS]]/SUM(INVESTORS_LIST[TOTAL CURRENT UNITS]),0)</f>
        <v>3.6711360202641724E-4</v>
      </c>
    </row>
    <row r="645" spans="1:46" hidden="1">
      <c r="A645" t="s">
        <v>1475</v>
      </c>
      <c r="B645" t="s">
        <v>1476</v>
      </c>
      <c r="C645" s="218" t="s">
        <v>536</v>
      </c>
      <c r="D645" s="219" t="s">
        <v>2</v>
      </c>
      <c r="E645" s="2">
        <f>SUMIFS(LS[Unit],LS[Investor ID],INVESTORS_LIST[[#This Row],[INVESTOR CODE]],LS[B/S],"B")</f>
        <v>0</v>
      </c>
      <c r="F645" s="2">
        <f>-SUMIFS(LS[Unit],LS[Investor ID],INVESTORS_LIST[[#This Row],[INVESTOR CODE]],LS[B/S],"S")</f>
        <v>0</v>
      </c>
      <c r="G645" s="2">
        <f>IF(INVESTORS_LIST[[#This Row],[LS_TOTAL UNITS BUY]]=0,0,INVESTORS_LIST[[#This Row],[LS_TOTAL UNITS BUY]]-INVESTORS_LIST[[#This Row],[LS_TOTAL UNITS SOLD]])</f>
        <v>0</v>
      </c>
      <c r="H645" s="4">
        <f>IF(INVESTORS_LIST[[#This Row],[LS_TOTAL UNITS BUY]]=0,0,SUMIFS(LS[Amount],LS[Investor ID],INVESTORS_LIST[[#This Row],[INVESTOR CODE]],LS[B/S],"B"))</f>
        <v>0</v>
      </c>
      <c r="I645" s="6">
        <f>IF(INVESTORS_LIST[[#This Row],[LS_TOTAL UNITS SOLD]]=0,0,SUMIFS(LS[Cost of Units Sold],LS[Investor ID],INVESTORS_LIST[[#This Row],[INVESTOR CODE]],LS[B/S],"S"))</f>
        <v>0</v>
      </c>
      <c r="J645" s="6">
        <f>IF(INVESTORS_LIST[[#This Row],[LS_TOTAL CURRENT UNITS]]=0,0,INVESTORS_LIST[[#This Row],[LS_TOTAL CURRENT UNITS]]*INVESTORS_LIST[[#This Row],[LS_AVERAGE COST]])</f>
        <v>0</v>
      </c>
      <c r="K645" s="4">
        <f>IF(INVESTORS_LIST[[#This Row],[LS_TOTAL UNITS SOLD]]=0,0,SUMIFS(LS[Realized Gain],LS[Investor ID],INVESTORS_LIST[[#This Row],[INVESTOR CODE]],LS[B/S],"S"))</f>
        <v>0</v>
      </c>
      <c r="L645" s="2">
        <f>SUMIFS(SIP[Unit],SIP[Investor ID],INVESTORS_LIST[[#This Row],[INVESTOR CODE]],SIP[B/S],"B")</f>
        <v>0</v>
      </c>
      <c r="M645" s="2">
        <f>-SUMIFS(SIP[Unit],SIP[Investor ID],INVESTORS_LIST[[#This Row],[INVESTOR CODE]],SIP[B/S],"S")</f>
        <v>0</v>
      </c>
      <c r="N645" s="33">
        <f>IF(INVESTORS_LIST[[#This Row],[SIP_TOTAL UNITS BUY]]=0,0,INVESTORS_LIST[[#This Row],[SIP_TOTAL UNITS BUY]]-INVESTORS_LIST[[#This Row],[SIP_TOTAL UNITS SOLD]])</f>
        <v>0</v>
      </c>
      <c r="O645" s="4">
        <f>IF(INVESTORS_LIST[[#This Row],[SIP_TOTAL UNITS BUY]]=0,0,SUMIFS(SIP[Amount],SIP[Investor ID],INVESTORS_LIST[[#This Row],[INVESTOR CODE]],SIP[B/S],"B"))</f>
        <v>0</v>
      </c>
      <c r="P645" s="4">
        <f>IF(INVESTORS_LIST[[#This Row],[SIP_TOTAL UNITS SOLD]]=0,0,SUMIFS(SIP[Cost of Units Sold],SIP[Investor ID],INVESTORS_LIST[[#This Row],[INVESTOR CODE]],SIP[B/S],"S"))</f>
        <v>0</v>
      </c>
      <c r="Q645" s="6">
        <f>IF(INVESTORS_LIST[[#This Row],[SIP_TOTAL CURRENT UNITS]]=0,0,INVESTORS_LIST[[#This Row],[SIP_TOTAL CURRENT UNITS]]*INVESTORS_LIST[[#This Row],[SIP_AVERAGE COST]])</f>
        <v>0</v>
      </c>
      <c r="R645" s="6">
        <f>IF(INVESTORS_LIST[[#This Row],[SIP_TOTAL UNITS SOLD]]=0,0,SUMIFS(SIP[Realized Gain],SIP[Investor ID],INVESTORS_LIST[[#This Row],[INVESTOR CODE]],SIP[B/S],"S"))</f>
        <v>0</v>
      </c>
      <c r="S645" s="33">
        <f>INVESTORS_LIST[[#This Row],[LS_TOTAL UNITS BUY]]+INVESTORS_LIST[[#This Row],[SIP_TOTAL UNITS BUY]]</f>
        <v>0</v>
      </c>
      <c r="T645" s="33">
        <f>INVESTORS_LIST[[#This Row],[LS_TOTAL UNITS SOLD]]+INVESTORS_LIST[[#This Row],[SIP_TOTAL UNITS SOLD]]</f>
        <v>0</v>
      </c>
      <c r="U645" s="33">
        <v>0</v>
      </c>
      <c r="V645" s="33">
        <f>SUMIFS(LS[BO UNIT TRANSFER],LS[Investor ID],INVESTORS_LIST[[#This Row],[INVESTOR CODE]],LS[B/S],"B")</f>
        <v>0</v>
      </c>
      <c r="W645" s="33">
        <f>SUMIFS(LS[BO UNIT TRANSFER],LS[Investor ID],INVESTORS_LIST[[#This Row],[INVESTOR CODE]],LS[B/S],"S")</f>
        <v>0</v>
      </c>
      <c r="X645" s="33">
        <f>SUMIFS(SIP[BO UNIT TRANSFER],SIP[Investor ID],INVESTORS_LIST[[#This Row],[INVESTOR CODE]],SIP[B/S],"S")</f>
        <v>0</v>
      </c>
      <c r="Y645" s="33">
        <f>SUMIFS(SIP[BO UNIT TRANSFER],SIP[Investor ID],INVESTORS_LIST[[#This Row],[INVESTOR CODE]],SIP[B/S],"B")</f>
        <v>0</v>
      </c>
      <c r="Z64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45" s="119">
        <f>INVESTORS_LIST[[#This Row],[TOTAL UNITS BUY]]-INVESTORS_LIST[[#This Row],[TOTAL UNITS SOLD]]</f>
        <v>0</v>
      </c>
      <c r="AB645" s="119">
        <f>INVESTORS_LIST[[#This Row],[TOTAL CURRENT UNITS]]-INVESTORS_LIST[[#This Row],[BO UNITS HOLD]]</f>
        <v>0</v>
      </c>
      <c r="AC645" s="119" t="e">
        <f>INDEX([4]!Table_1[BO ID],MATCH(INVESTORS_LIST[[#This Row],[INVESTOR CODE]],[4]!Table_1[INVESTOR CODE],0))</f>
        <v>#REF!</v>
      </c>
      <c r="AD645" s="33">
        <f>INVESTORS_LIST[[#This Row],[LS_TOTAL COST VALUE OF CURRENT UNITS]]+INVESTORS_LIST[[#This Row],[SIP_TOTAL COST VALUE OF CURRENT UNITS]]</f>
        <v>0</v>
      </c>
      <c r="AE645" s="44">
        <f>IF(INVESTORS_LIST[[#This Row],[TOTAL CURRENT UNITS]]=0,0,INVESTORS_LIST[[#This Row],[LS_TOTAL CURRENT UNITS]]/INVESTORS_LIST[[#This Row],[TOTAL CURRENT UNITS]])</f>
        <v>0</v>
      </c>
      <c r="AF645" s="44">
        <f>IF(INVESTORS_LIST[[#This Row],[TOTAL CURRENT UNITS]]=0,0,INVESTORS_LIST[[#This Row],[SIP_TOTAL CURRENT UNITS]]/INVESTORS_LIST[[#This Row],[TOTAL CURRENT UNITS]])</f>
        <v>0</v>
      </c>
      <c r="AG645" s="4" cm="1">
        <f t="array" ref="AG64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45" s="4" cm="1">
        <f t="array" ref="AH64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4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45" s="178">
        <f t="shared" si="16"/>
        <v>12.552</v>
      </c>
      <c r="AK645" s="118">
        <f>IF(INVESTORS_LIST[[#This Row],[TOTAL CURRENT UNITS]]=0,0,INVESTORS_LIST[[#This Row],[TOTAL CURRENT UNITS]]*INVESTORS_LIST[[#This Row],[NAV]])</f>
        <v>0</v>
      </c>
      <c r="AL645" s="4">
        <f>IF(INVESTORS_LIST[[#This Row],[LS_TOTAL CURRENT UNITS]]=0,0,INVESTORS_LIST[[#This Row],[LS_TOTAL CURRENT UNITS]]*INVESTORS_LIST[[#This Row],[NAV]])</f>
        <v>0</v>
      </c>
      <c r="AM645" s="6">
        <f>IF(INVESTORS_LIST[[#This Row],[SIP_TOTAL CURRENT UNITS]]=0,0,INVESTORS_LIST[[#This Row],[SIP_TOTAL CURRENT UNITS]]*INVESTORS_LIST[[#This Row],[NAV]])</f>
        <v>0</v>
      </c>
      <c r="AO645" s="6">
        <f>IF(INVESTORS_LIST[[#This Row],[TOTAL SELLABLE UNITS]]=0,0,INVESTORS_LIST[[#This Row],[TOTAL SELLABLE UNITS]]*INVESTORS_LIST[[#This Row],[NAV]])</f>
        <v>0</v>
      </c>
      <c r="AP645" s="6">
        <f>INVESTORS_LIST[[#This Row],[LS_TOTAL REALIZED GAIN]]+INVESTORS_LIST[[#This Row],[SIP_TOTAL REALIZED GAIN]]</f>
        <v>0</v>
      </c>
      <c r="AQ645" s="6">
        <f>INVESTORS_LIST[[#This Row],[TOTAL MARKET VALUE]]-INVESTORS_LIST[[#This Row],[TOTAL COST VALUE OF CURRENT INVESTMENT]]</f>
        <v>0</v>
      </c>
      <c r="AR645" s="6">
        <f>SUMIFS(DivAndTax[Tax Amount],DivAndTax[Investor ID],INVESTORS_LIST[[#This Row],[INVESTOR CODE]])</f>
        <v>0</v>
      </c>
      <c r="AS645" s="6">
        <f>SUMIFS(DivAndTax[Gross Dividend],DivAndTax[Investor ID],INVESTORS_LIST[[#This Row],[INVESTOR CODE]])</f>
        <v>0</v>
      </c>
      <c r="AT645" s="5">
        <f>IFERROR(INVESTORS_LIST[[#This Row],[TOTAL CURRENT UNITS]]/SUM(INVESTORS_LIST[TOTAL CURRENT UNITS]),0)</f>
        <v>0</v>
      </c>
    </row>
    <row r="646" spans="1:46" hidden="1">
      <c r="A646" s="182" t="s">
        <v>1477</v>
      </c>
      <c r="B646" s="182" t="s">
        <v>1478</v>
      </c>
      <c r="C646" s="218" t="s">
        <v>539</v>
      </c>
      <c r="D646" s="219" t="s">
        <v>2</v>
      </c>
      <c r="E646" s="2">
        <f>SUMIFS(LS[Unit],LS[Investor ID],INVESTORS_LIST[[#This Row],[INVESTOR CODE]],LS[B/S],"B")</f>
        <v>0</v>
      </c>
      <c r="F646" s="2">
        <f>-SUMIFS(LS[Unit],LS[Investor ID],INVESTORS_LIST[[#This Row],[INVESTOR CODE]],LS[B/S],"S")</f>
        <v>0</v>
      </c>
      <c r="G646" s="2">
        <f>IF(INVESTORS_LIST[[#This Row],[LS_TOTAL UNITS BUY]]=0,0,INVESTORS_LIST[[#This Row],[LS_TOTAL UNITS BUY]]-INVESTORS_LIST[[#This Row],[LS_TOTAL UNITS SOLD]])</f>
        <v>0</v>
      </c>
      <c r="H646" s="4">
        <f>IF(INVESTORS_LIST[[#This Row],[LS_TOTAL UNITS BUY]]=0,0,SUMIFS(LS[Amount],LS[Investor ID],INVESTORS_LIST[[#This Row],[INVESTOR CODE]],LS[B/S],"B"))</f>
        <v>0</v>
      </c>
      <c r="I646" s="6">
        <f>IF(INVESTORS_LIST[[#This Row],[LS_TOTAL UNITS SOLD]]=0,0,SUMIFS(LS[Cost of Units Sold],LS[Investor ID],INVESTORS_LIST[[#This Row],[INVESTOR CODE]],LS[B/S],"S"))</f>
        <v>0</v>
      </c>
      <c r="J646" s="6">
        <f>IF(INVESTORS_LIST[[#This Row],[LS_TOTAL CURRENT UNITS]]=0,0,INVESTORS_LIST[[#This Row],[LS_TOTAL CURRENT UNITS]]*INVESTORS_LIST[[#This Row],[LS_AVERAGE COST]])</f>
        <v>0</v>
      </c>
      <c r="K646" s="4">
        <f>IF(INVESTORS_LIST[[#This Row],[LS_TOTAL UNITS SOLD]]=0,0,SUMIFS(LS[Realized Gain],LS[Investor ID],INVESTORS_LIST[[#This Row],[INVESTOR CODE]],LS[B/S],"S"))</f>
        <v>0</v>
      </c>
      <c r="L646" s="2">
        <f>SUMIFS(SIP[Unit],SIP[Investor ID],INVESTORS_LIST[[#This Row],[INVESTOR CODE]],SIP[B/S],"B")</f>
        <v>0</v>
      </c>
      <c r="M646" s="2">
        <f>-SUMIFS(SIP[Unit],SIP[Investor ID],INVESTORS_LIST[[#This Row],[INVESTOR CODE]],SIP[B/S],"S")</f>
        <v>0</v>
      </c>
      <c r="N646" s="33">
        <f>IF(INVESTORS_LIST[[#This Row],[SIP_TOTAL UNITS BUY]]=0,0,INVESTORS_LIST[[#This Row],[SIP_TOTAL UNITS BUY]]-INVESTORS_LIST[[#This Row],[SIP_TOTAL UNITS SOLD]])</f>
        <v>0</v>
      </c>
      <c r="O646" s="4">
        <f>IF(INVESTORS_LIST[[#This Row],[SIP_TOTAL UNITS BUY]]=0,0,SUMIFS(SIP[Amount],SIP[Investor ID],INVESTORS_LIST[[#This Row],[INVESTOR CODE]],SIP[B/S],"B"))</f>
        <v>0</v>
      </c>
      <c r="P646" s="4">
        <f>IF(INVESTORS_LIST[[#This Row],[SIP_TOTAL UNITS SOLD]]=0,0,SUMIFS(SIP[Cost of Units Sold],SIP[Investor ID],INVESTORS_LIST[[#This Row],[INVESTOR CODE]],SIP[B/S],"S"))</f>
        <v>0</v>
      </c>
      <c r="Q646" s="6">
        <f>IF(INVESTORS_LIST[[#This Row],[SIP_TOTAL CURRENT UNITS]]=0,0,INVESTORS_LIST[[#This Row],[SIP_TOTAL CURRENT UNITS]]*INVESTORS_LIST[[#This Row],[SIP_AVERAGE COST]])</f>
        <v>0</v>
      </c>
      <c r="R646" s="6">
        <f>IF(INVESTORS_LIST[[#This Row],[SIP_TOTAL UNITS SOLD]]=0,0,SUMIFS(SIP[Realized Gain],SIP[Investor ID],INVESTORS_LIST[[#This Row],[INVESTOR CODE]],SIP[B/S],"S"))</f>
        <v>0</v>
      </c>
      <c r="S646" s="33">
        <f>INVESTORS_LIST[[#This Row],[LS_TOTAL UNITS BUY]]+INVESTORS_LIST[[#This Row],[SIP_TOTAL UNITS BUY]]</f>
        <v>0</v>
      </c>
      <c r="T646" s="33">
        <f>INVESTORS_LIST[[#This Row],[LS_TOTAL UNITS SOLD]]+INVESTORS_LIST[[#This Row],[SIP_TOTAL UNITS SOLD]]</f>
        <v>0</v>
      </c>
      <c r="U646" s="33">
        <v>0</v>
      </c>
      <c r="V646" s="33">
        <f>SUMIFS(LS[BO UNIT TRANSFER],LS[Investor ID],INVESTORS_LIST[[#This Row],[INVESTOR CODE]],LS[B/S],"B")</f>
        <v>0</v>
      </c>
      <c r="W646" s="33">
        <f>SUMIFS(LS[BO UNIT TRANSFER],LS[Investor ID],INVESTORS_LIST[[#This Row],[INVESTOR CODE]],LS[B/S],"S")</f>
        <v>0</v>
      </c>
      <c r="X646" s="33">
        <f>SUMIFS(SIP[BO UNIT TRANSFER],SIP[Investor ID],INVESTORS_LIST[[#This Row],[INVESTOR CODE]],SIP[B/S],"S")</f>
        <v>0</v>
      </c>
      <c r="Y646" s="33">
        <f>SUMIFS(SIP[BO UNIT TRANSFER],SIP[Investor ID],INVESTORS_LIST[[#This Row],[INVESTOR CODE]],SIP[B/S],"B")</f>
        <v>0</v>
      </c>
      <c r="Z64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46" s="119">
        <f>INVESTORS_LIST[[#This Row],[TOTAL UNITS BUY]]-INVESTORS_LIST[[#This Row],[TOTAL UNITS SOLD]]</f>
        <v>0</v>
      </c>
      <c r="AB646" s="119">
        <f>INVESTORS_LIST[[#This Row],[TOTAL CURRENT UNITS]]-INVESTORS_LIST[[#This Row],[BO UNITS HOLD]]</f>
        <v>0</v>
      </c>
      <c r="AC646" s="119" t="e">
        <f>INDEX([4]!Table_1[BO ID],MATCH(INVESTORS_LIST[[#This Row],[INVESTOR CODE]],[4]!Table_1[INVESTOR CODE],0))</f>
        <v>#REF!</v>
      </c>
      <c r="AD646" s="33">
        <f>INVESTORS_LIST[[#This Row],[LS_TOTAL COST VALUE OF CURRENT UNITS]]+INVESTORS_LIST[[#This Row],[SIP_TOTAL COST VALUE OF CURRENT UNITS]]</f>
        <v>0</v>
      </c>
      <c r="AE646" s="44">
        <f>IF(INVESTORS_LIST[[#This Row],[TOTAL CURRENT UNITS]]=0,0,INVESTORS_LIST[[#This Row],[LS_TOTAL CURRENT UNITS]]/INVESTORS_LIST[[#This Row],[TOTAL CURRENT UNITS]])</f>
        <v>0</v>
      </c>
      <c r="AF646" s="44">
        <f>IF(INVESTORS_LIST[[#This Row],[TOTAL CURRENT UNITS]]=0,0,INVESTORS_LIST[[#This Row],[SIP_TOTAL CURRENT UNITS]]/INVESTORS_LIST[[#This Row],[TOTAL CURRENT UNITS]])</f>
        <v>0</v>
      </c>
      <c r="AG646" s="4" cm="1">
        <f t="array" ref="AG64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46" s="4" cm="1">
        <f t="array" ref="AH64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4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46" s="178">
        <f t="shared" si="16"/>
        <v>12.552</v>
      </c>
      <c r="AK646" s="118">
        <f>IF(INVESTORS_LIST[[#This Row],[TOTAL CURRENT UNITS]]=0,0,INVESTORS_LIST[[#This Row],[TOTAL CURRENT UNITS]]*INVESTORS_LIST[[#This Row],[NAV]])</f>
        <v>0</v>
      </c>
      <c r="AL646" s="4">
        <f>IF(INVESTORS_LIST[[#This Row],[LS_TOTAL CURRENT UNITS]]=0,0,INVESTORS_LIST[[#This Row],[LS_TOTAL CURRENT UNITS]]*INVESTORS_LIST[[#This Row],[NAV]])</f>
        <v>0</v>
      </c>
      <c r="AM646" s="6">
        <f>IF(INVESTORS_LIST[[#This Row],[SIP_TOTAL CURRENT UNITS]]=0,0,INVESTORS_LIST[[#This Row],[SIP_TOTAL CURRENT UNITS]]*INVESTORS_LIST[[#This Row],[NAV]])</f>
        <v>0</v>
      </c>
      <c r="AO646" s="6">
        <f>IF(INVESTORS_LIST[[#This Row],[TOTAL SELLABLE UNITS]]=0,0,INVESTORS_LIST[[#This Row],[TOTAL SELLABLE UNITS]]*INVESTORS_LIST[[#This Row],[NAV]])</f>
        <v>0</v>
      </c>
      <c r="AP646" s="6">
        <f>INVESTORS_LIST[[#This Row],[LS_TOTAL REALIZED GAIN]]+INVESTORS_LIST[[#This Row],[SIP_TOTAL REALIZED GAIN]]</f>
        <v>0</v>
      </c>
      <c r="AQ646" s="6">
        <f>INVESTORS_LIST[[#This Row],[TOTAL MARKET VALUE]]-INVESTORS_LIST[[#This Row],[TOTAL COST VALUE OF CURRENT INVESTMENT]]</f>
        <v>0</v>
      </c>
      <c r="AR646" s="6">
        <f>SUMIFS(DivAndTax[Tax Amount],DivAndTax[Investor ID],INVESTORS_LIST[[#This Row],[INVESTOR CODE]])</f>
        <v>0</v>
      </c>
      <c r="AS646" s="6">
        <f>SUMIFS(DivAndTax[Gross Dividend],DivAndTax[Investor ID],INVESTORS_LIST[[#This Row],[INVESTOR CODE]])</f>
        <v>0</v>
      </c>
      <c r="AT646" s="5">
        <f>IFERROR(INVESTORS_LIST[[#This Row],[TOTAL CURRENT UNITS]]/SUM(INVESTORS_LIST[TOTAL CURRENT UNITS]),0)</f>
        <v>0</v>
      </c>
    </row>
    <row r="647" spans="1:46" hidden="1">
      <c r="A647" s="182" t="s">
        <v>1479</v>
      </c>
      <c r="B647" t="s">
        <v>1480</v>
      </c>
      <c r="C647" s="218" t="s">
        <v>536</v>
      </c>
      <c r="D647" s="219" t="s">
        <v>2</v>
      </c>
      <c r="E647" s="2">
        <f>SUMIFS(LS[Unit],LS[Investor ID],INVESTORS_LIST[[#This Row],[INVESTOR CODE]],LS[B/S],"B")</f>
        <v>0</v>
      </c>
      <c r="F647" s="2">
        <f>-SUMIFS(LS[Unit],LS[Investor ID],INVESTORS_LIST[[#This Row],[INVESTOR CODE]],LS[B/S],"S")</f>
        <v>0</v>
      </c>
      <c r="G647" s="2">
        <f>IF(INVESTORS_LIST[[#This Row],[LS_TOTAL UNITS BUY]]=0,0,INVESTORS_LIST[[#This Row],[LS_TOTAL UNITS BUY]]-INVESTORS_LIST[[#This Row],[LS_TOTAL UNITS SOLD]])</f>
        <v>0</v>
      </c>
      <c r="H647" s="4">
        <f>IF(INVESTORS_LIST[[#This Row],[LS_TOTAL UNITS BUY]]=0,0,SUMIFS(LS[Amount],LS[Investor ID],INVESTORS_LIST[[#This Row],[INVESTOR CODE]],LS[B/S],"B"))</f>
        <v>0</v>
      </c>
      <c r="I647" s="6">
        <f>IF(INVESTORS_LIST[[#This Row],[LS_TOTAL UNITS SOLD]]=0,0,SUMIFS(LS[Cost of Units Sold],LS[Investor ID],INVESTORS_LIST[[#This Row],[INVESTOR CODE]],LS[B/S],"S"))</f>
        <v>0</v>
      </c>
      <c r="J647" s="6">
        <f>IF(INVESTORS_LIST[[#This Row],[LS_TOTAL CURRENT UNITS]]=0,0,INVESTORS_LIST[[#This Row],[LS_TOTAL CURRENT UNITS]]*INVESTORS_LIST[[#This Row],[LS_AVERAGE COST]])</f>
        <v>0</v>
      </c>
      <c r="K647" s="4">
        <f>IF(INVESTORS_LIST[[#This Row],[LS_TOTAL UNITS SOLD]]=0,0,SUMIFS(LS[Realized Gain],LS[Investor ID],INVESTORS_LIST[[#This Row],[INVESTOR CODE]],LS[B/S],"S"))</f>
        <v>0</v>
      </c>
      <c r="L647" s="2">
        <f>SUMIFS(SIP[Unit],SIP[Investor ID],INVESTORS_LIST[[#This Row],[INVESTOR CODE]],SIP[B/S],"B")</f>
        <v>0</v>
      </c>
      <c r="M647" s="2">
        <f>-SUMIFS(SIP[Unit],SIP[Investor ID],INVESTORS_LIST[[#This Row],[INVESTOR CODE]],SIP[B/S],"S")</f>
        <v>0</v>
      </c>
      <c r="N647" s="33">
        <f>IF(INVESTORS_LIST[[#This Row],[SIP_TOTAL UNITS BUY]]=0,0,INVESTORS_LIST[[#This Row],[SIP_TOTAL UNITS BUY]]-INVESTORS_LIST[[#This Row],[SIP_TOTAL UNITS SOLD]])</f>
        <v>0</v>
      </c>
      <c r="O647" s="4">
        <f>IF(INVESTORS_LIST[[#This Row],[SIP_TOTAL UNITS BUY]]=0,0,SUMIFS(SIP[Amount],SIP[Investor ID],INVESTORS_LIST[[#This Row],[INVESTOR CODE]],SIP[B/S],"B"))</f>
        <v>0</v>
      </c>
      <c r="P647" s="4">
        <f>IF(INVESTORS_LIST[[#This Row],[SIP_TOTAL UNITS SOLD]]=0,0,SUMIFS(SIP[Cost of Units Sold],SIP[Investor ID],INVESTORS_LIST[[#This Row],[INVESTOR CODE]],SIP[B/S],"S"))</f>
        <v>0</v>
      </c>
      <c r="Q647" s="6">
        <f>IF(INVESTORS_LIST[[#This Row],[SIP_TOTAL CURRENT UNITS]]=0,0,INVESTORS_LIST[[#This Row],[SIP_TOTAL CURRENT UNITS]]*INVESTORS_LIST[[#This Row],[SIP_AVERAGE COST]])</f>
        <v>0</v>
      </c>
      <c r="R647" s="6">
        <f>IF(INVESTORS_LIST[[#This Row],[SIP_TOTAL UNITS SOLD]]=0,0,SUMIFS(SIP[Realized Gain],SIP[Investor ID],INVESTORS_LIST[[#This Row],[INVESTOR CODE]],SIP[B/S],"S"))</f>
        <v>0</v>
      </c>
      <c r="S647" s="33">
        <f>INVESTORS_LIST[[#This Row],[LS_TOTAL UNITS BUY]]+INVESTORS_LIST[[#This Row],[SIP_TOTAL UNITS BUY]]</f>
        <v>0</v>
      </c>
      <c r="T647" s="33">
        <f>INVESTORS_LIST[[#This Row],[LS_TOTAL UNITS SOLD]]+INVESTORS_LIST[[#This Row],[SIP_TOTAL UNITS SOLD]]</f>
        <v>0</v>
      </c>
      <c r="U647" s="33">
        <v>0</v>
      </c>
      <c r="V647" s="33">
        <f>SUMIFS(LS[BO UNIT TRANSFER],LS[Investor ID],INVESTORS_LIST[[#This Row],[INVESTOR CODE]],LS[B/S],"B")</f>
        <v>0</v>
      </c>
      <c r="W647" s="33">
        <f>SUMIFS(LS[BO UNIT TRANSFER],LS[Investor ID],INVESTORS_LIST[[#This Row],[INVESTOR CODE]],LS[B/S],"S")</f>
        <v>0</v>
      </c>
      <c r="X647" s="33">
        <f>SUMIFS(SIP[BO UNIT TRANSFER],SIP[Investor ID],INVESTORS_LIST[[#This Row],[INVESTOR CODE]],SIP[B/S],"S")</f>
        <v>0</v>
      </c>
      <c r="Y647" s="33">
        <f>SUMIFS(SIP[BO UNIT TRANSFER],SIP[Investor ID],INVESTORS_LIST[[#This Row],[INVESTOR CODE]],SIP[B/S],"B")</f>
        <v>0</v>
      </c>
      <c r="Z64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47" s="119">
        <f>INVESTORS_LIST[[#This Row],[TOTAL UNITS BUY]]-INVESTORS_LIST[[#This Row],[TOTAL UNITS SOLD]]</f>
        <v>0</v>
      </c>
      <c r="AB647" s="119">
        <f>INVESTORS_LIST[[#This Row],[TOTAL CURRENT UNITS]]-INVESTORS_LIST[[#This Row],[BO UNITS HOLD]]</f>
        <v>0</v>
      </c>
      <c r="AC647" s="119" t="e">
        <f>INDEX([4]!Table_1[BO ID],MATCH(INVESTORS_LIST[[#This Row],[INVESTOR CODE]],[4]!Table_1[INVESTOR CODE],0))</f>
        <v>#REF!</v>
      </c>
      <c r="AD647" s="33">
        <f>INVESTORS_LIST[[#This Row],[LS_TOTAL COST VALUE OF CURRENT UNITS]]+INVESTORS_LIST[[#This Row],[SIP_TOTAL COST VALUE OF CURRENT UNITS]]</f>
        <v>0</v>
      </c>
      <c r="AE647" s="44">
        <f>IF(INVESTORS_LIST[[#This Row],[TOTAL CURRENT UNITS]]=0,0,INVESTORS_LIST[[#This Row],[LS_TOTAL CURRENT UNITS]]/INVESTORS_LIST[[#This Row],[TOTAL CURRENT UNITS]])</f>
        <v>0</v>
      </c>
      <c r="AF647" s="44">
        <f>IF(INVESTORS_LIST[[#This Row],[TOTAL CURRENT UNITS]]=0,0,INVESTORS_LIST[[#This Row],[SIP_TOTAL CURRENT UNITS]]/INVESTORS_LIST[[#This Row],[TOTAL CURRENT UNITS]])</f>
        <v>0</v>
      </c>
      <c r="AG647" s="4" cm="1">
        <f t="array" ref="AG64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47" s="4" cm="1">
        <f t="array" ref="AH64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4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47" s="178">
        <f t="shared" si="16"/>
        <v>12.552</v>
      </c>
      <c r="AK647" s="118">
        <f>IF(INVESTORS_LIST[[#This Row],[TOTAL CURRENT UNITS]]=0,0,INVESTORS_LIST[[#This Row],[TOTAL CURRENT UNITS]]*INVESTORS_LIST[[#This Row],[NAV]])</f>
        <v>0</v>
      </c>
      <c r="AL647" s="4">
        <f>IF(INVESTORS_LIST[[#This Row],[LS_TOTAL CURRENT UNITS]]=0,0,INVESTORS_LIST[[#This Row],[LS_TOTAL CURRENT UNITS]]*INVESTORS_LIST[[#This Row],[NAV]])</f>
        <v>0</v>
      </c>
      <c r="AM647" s="6">
        <f>IF(INVESTORS_LIST[[#This Row],[SIP_TOTAL CURRENT UNITS]]=0,0,INVESTORS_LIST[[#This Row],[SIP_TOTAL CURRENT UNITS]]*INVESTORS_LIST[[#This Row],[NAV]])</f>
        <v>0</v>
      </c>
      <c r="AO647" s="6">
        <f>IF(INVESTORS_LIST[[#This Row],[TOTAL SELLABLE UNITS]]=0,0,INVESTORS_LIST[[#This Row],[TOTAL SELLABLE UNITS]]*INVESTORS_LIST[[#This Row],[NAV]])</f>
        <v>0</v>
      </c>
      <c r="AP647" s="6">
        <f>INVESTORS_LIST[[#This Row],[LS_TOTAL REALIZED GAIN]]+INVESTORS_LIST[[#This Row],[SIP_TOTAL REALIZED GAIN]]</f>
        <v>0</v>
      </c>
      <c r="AQ647" s="6">
        <f>INVESTORS_LIST[[#This Row],[TOTAL MARKET VALUE]]-INVESTORS_LIST[[#This Row],[TOTAL COST VALUE OF CURRENT INVESTMENT]]</f>
        <v>0</v>
      </c>
      <c r="AR647" s="6">
        <f>SUMIFS(DivAndTax[Tax Amount],DivAndTax[Investor ID],INVESTORS_LIST[[#This Row],[INVESTOR CODE]])</f>
        <v>0</v>
      </c>
      <c r="AS647" s="6">
        <f>SUMIFS(DivAndTax[Gross Dividend],DivAndTax[Investor ID],INVESTORS_LIST[[#This Row],[INVESTOR CODE]])</f>
        <v>0</v>
      </c>
      <c r="AT647" s="5">
        <f>IFERROR(INVESTORS_LIST[[#This Row],[TOTAL CURRENT UNITS]]/SUM(INVESTORS_LIST[TOTAL CURRENT UNITS]),0)</f>
        <v>0</v>
      </c>
    </row>
    <row r="648" spans="1:46" hidden="1">
      <c r="A648" s="182" t="s">
        <v>1481</v>
      </c>
      <c r="B648" t="s">
        <v>1482</v>
      </c>
      <c r="C648" s="218" t="s">
        <v>539</v>
      </c>
      <c r="D648" s="219" t="s">
        <v>2</v>
      </c>
      <c r="E648" s="2">
        <f>SUMIFS(LS[Unit],LS[Investor ID],INVESTORS_LIST[[#This Row],[INVESTOR CODE]],LS[B/S],"B")</f>
        <v>0</v>
      </c>
      <c r="F648" s="2">
        <f>-SUMIFS(LS[Unit],LS[Investor ID],INVESTORS_LIST[[#This Row],[INVESTOR CODE]],LS[B/S],"S")</f>
        <v>0</v>
      </c>
      <c r="G648" s="2">
        <f>IF(INVESTORS_LIST[[#This Row],[LS_TOTAL UNITS BUY]]=0,0,INVESTORS_LIST[[#This Row],[LS_TOTAL UNITS BUY]]-INVESTORS_LIST[[#This Row],[LS_TOTAL UNITS SOLD]])</f>
        <v>0</v>
      </c>
      <c r="H648" s="4">
        <f>IF(INVESTORS_LIST[[#This Row],[LS_TOTAL UNITS BUY]]=0,0,SUMIFS(LS[Amount],LS[Investor ID],INVESTORS_LIST[[#This Row],[INVESTOR CODE]],LS[B/S],"B"))</f>
        <v>0</v>
      </c>
      <c r="I648" s="6">
        <f>IF(INVESTORS_LIST[[#This Row],[LS_TOTAL UNITS SOLD]]=0,0,SUMIFS(LS[Cost of Units Sold],LS[Investor ID],INVESTORS_LIST[[#This Row],[INVESTOR CODE]],LS[B/S],"S"))</f>
        <v>0</v>
      </c>
      <c r="J648" s="6">
        <f>IF(INVESTORS_LIST[[#This Row],[LS_TOTAL CURRENT UNITS]]=0,0,INVESTORS_LIST[[#This Row],[LS_TOTAL CURRENT UNITS]]*INVESTORS_LIST[[#This Row],[LS_AVERAGE COST]])</f>
        <v>0</v>
      </c>
      <c r="K648" s="4">
        <f>IF(INVESTORS_LIST[[#This Row],[LS_TOTAL UNITS SOLD]]=0,0,SUMIFS(LS[Realized Gain],LS[Investor ID],INVESTORS_LIST[[#This Row],[INVESTOR CODE]],LS[B/S],"S"))</f>
        <v>0</v>
      </c>
      <c r="L648" s="2">
        <f>SUMIFS(SIP[Unit],SIP[Investor ID],INVESTORS_LIST[[#This Row],[INVESTOR CODE]],SIP[B/S],"B")</f>
        <v>0</v>
      </c>
      <c r="M648" s="2">
        <f>-SUMIFS(SIP[Unit],SIP[Investor ID],INVESTORS_LIST[[#This Row],[INVESTOR CODE]],SIP[B/S],"S")</f>
        <v>0</v>
      </c>
      <c r="N648" s="33">
        <f>IF(INVESTORS_LIST[[#This Row],[SIP_TOTAL UNITS BUY]]=0,0,INVESTORS_LIST[[#This Row],[SIP_TOTAL UNITS BUY]]-INVESTORS_LIST[[#This Row],[SIP_TOTAL UNITS SOLD]])</f>
        <v>0</v>
      </c>
      <c r="O648" s="4">
        <f>IF(INVESTORS_LIST[[#This Row],[SIP_TOTAL UNITS BUY]]=0,0,SUMIFS(SIP[Amount],SIP[Investor ID],INVESTORS_LIST[[#This Row],[INVESTOR CODE]],SIP[B/S],"B"))</f>
        <v>0</v>
      </c>
      <c r="P648" s="4">
        <f>IF(INVESTORS_LIST[[#This Row],[SIP_TOTAL UNITS SOLD]]=0,0,SUMIFS(SIP[Cost of Units Sold],SIP[Investor ID],INVESTORS_LIST[[#This Row],[INVESTOR CODE]],SIP[B/S],"S"))</f>
        <v>0</v>
      </c>
      <c r="Q648" s="6">
        <f>IF(INVESTORS_LIST[[#This Row],[SIP_TOTAL CURRENT UNITS]]=0,0,INVESTORS_LIST[[#This Row],[SIP_TOTAL CURRENT UNITS]]*INVESTORS_LIST[[#This Row],[SIP_AVERAGE COST]])</f>
        <v>0</v>
      </c>
      <c r="R648" s="6">
        <f>IF(INVESTORS_LIST[[#This Row],[SIP_TOTAL UNITS SOLD]]=0,0,SUMIFS(SIP[Realized Gain],SIP[Investor ID],INVESTORS_LIST[[#This Row],[INVESTOR CODE]],SIP[B/S],"S"))</f>
        <v>0</v>
      </c>
      <c r="S648" s="33">
        <f>INVESTORS_LIST[[#This Row],[LS_TOTAL UNITS BUY]]+INVESTORS_LIST[[#This Row],[SIP_TOTAL UNITS BUY]]</f>
        <v>0</v>
      </c>
      <c r="T648" s="33">
        <f>INVESTORS_LIST[[#This Row],[LS_TOTAL UNITS SOLD]]+INVESTORS_LIST[[#This Row],[SIP_TOTAL UNITS SOLD]]</f>
        <v>0</v>
      </c>
      <c r="U648" s="33">
        <v>0</v>
      </c>
      <c r="V648" s="33">
        <f>SUMIFS(LS[BO UNIT TRANSFER],LS[Investor ID],INVESTORS_LIST[[#This Row],[INVESTOR CODE]],LS[B/S],"B")</f>
        <v>0</v>
      </c>
      <c r="W648" s="33">
        <f>SUMIFS(LS[BO UNIT TRANSFER],LS[Investor ID],INVESTORS_LIST[[#This Row],[INVESTOR CODE]],LS[B/S],"S")</f>
        <v>0</v>
      </c>
      <c r="X648" s="33">
        <f>SUMIFS(SIP[BO UNIT TRANSFER],SIP[Investor ID],INVESTORS_LIST[[#This Row],[INVESTOR CODE]],SIP[B/S],"S")</f>
        <v>0</v>
      </c>
      <c r="Y648" s="33">
        <f>SUMIFS(SIP[BO UNIT TRANSFER],SIP[Investor ID],INVESTORS_LIST[[#This Row],[INVESTOR CODE]],SIP[B/S],"B")</f>
        <v>0</v>
      </c>
      <c r="Z64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48" s="119">
        <f>INVESTORS_LIST[[#This Row],[TOTAL UNITS BUY]]-INVESTORS_LIST[[#This Row],[TOTAL UNITS SOLD]]</f>
        <v>0</v>
      </c>
      <c r="AB648" s="119">
        <f>INVESTORS_LIST[[#This Row],[TOTAL CURRENT UNITS]]-INVESTORS_LIST[[#This Row],[BO UNITS HOLD]]</f>
        <v>0</v>
      </c>
      <c r="AC648" s="119" t="e">
        <f>INDEX([4]!Table_1[BO ID],MATCH(INVESTORS_LIST[[#This Row],[INVESTOR CODE]],[4]!Table_1[INVESTOR CODE],0))</f>
        <v>#REF!</v>
      </c>
      <c r="AD648" s="33">
        <f>INVESTORS_LIST[[#This Row],[LS_TOTAL COST VALUE OF CURRENT UNITS]]+INVESTORS_LIST[[#This Row],[SIP_TOTAL COST VALUE OF CURRENT UNITS]]</f>
        <v>0</v>
      </c>
      <c r="AE648" s="44">
        <f>IF(INVESTORS_LIST[[#This Row],[TOTAL CURRENT UNITS]]=0,0,INVESTORS_LIST[[#This Row],[LS_TOTAL CURRENT UNITS]]/INVESTORS_LIST[[#This Row],[TOTAL CURRENT UNITS]])</f>
        <v>0</v>
      </c>
      <c r="AF648" s="44">
        <f>IF(INVESTORS_LIST[[#This Row],[TOTAL CURRENT UNITS]]=0,0,INVESTORS_LIST[[#This Row],[SIP_TOTAL CURRENT UNITS]]/INVESTORS_LIST[[#This Row],[TOTAL CURRENT UNITS]])</f>
        <v>0</v>
      </c>
      <c r="AG648" s="4" cm="1">
        <f t="array" ref="AG64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48" s="4" cm="1">
        <f t="array" ref="AH64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4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48" s="178">
        <f t="shared" si="16"/>
        <v>12.552</v>
      </c>
      <c r="AK648" s="118">
        <f>IF(INVESTORS_LIST[[#This Row],[TOTAL CURRENT UNITS]]=0,0,INVESTORS_LIST[[#This Row],[TOTAL CURRENT UNITS]]*INVESTORS_LIST[[#This Row],[NAV]])</f>
        <v>0</v>
      </c>
      <c r="AL648" s="4">
        <f>IF(INVESTORS_LIST[[#This Row],[LS_TOTAL CURRENT UNITS]]=0,0,INVESTORS_LIST[[#This Row],[LS_TOTAL CURRENT UNITS]]*INVESTORS_LIST[[#This Row],[NAV]])</f>
        <v>0</v>
      </c>
      <c r="AM648" s="6">
        <f>IF(INVESTORS_LIST[[#This Row],[SIP_TOTAL CURRENT UNITS]]=0,0,INVESTORS_LIST[[#This Row],[SIP_TOTAL CURRENT UNITS]]*INVESTORS_LIST[[#This Row],[NAV]])</f>
        <v>0</v>
      </c>
      <c r="AO648" s="6">
        <f>IF(INVESTORS_LIST[[#This Row],[TOTAL SELLABLE UNITS]]=0,0,INVESTORS_LIST[[#This Row],[TOTAL SELLABLE UNITS]]*INVESTORS_LIST[[#This Row],[NAV]])</f>
        <v>0</v>
      </c>
      <c r="AP648" s="6">
        <f>INVESTORS_LIST[[#This Row],[LS_TOTAL REALIZED GAIN]]+INVESTORS_LIST[[#This Row],[SIP_TOTAL REALIZED GAIN]]</f>
        <v>0</v>
      </c>
      <c r="AQ648" s="6">
        <f>INVESTORS_LIST[[#This Row],[TOTAL MARKET VALUE]]-INVESTORS_LIST[[#This Row],[TOTAL COST VALUE OF CURRENT INVESTMENT]]</f>
        <v>0</v>
      </c>
      <c r="AR648" s="6">
        <f>SUMIFS(DivAndTax[Tax Amount],DivAndTax[Investor ID],INVESTORS_LIST[[#This Row],[INVESTOR CODE]])</f>
        <v>0</v>
      </c>
      <c r="AS648" s="6">
        <f>SUMIFS(DivAndTax[Gross Dividend],DivAndTax[Investor ID],INVESTORS_LIST[[#This Row],[INVESTOR CODE]])</f>
        <v>0</v>
      </c>
      <c r="AT648" s="5">
        <f>IFERROR(INVESTORS_LIST[[#This Row],[TOTAL CURRENT UNITS]]/SUM(INVESTORS_LIST[TOTAL CURRENT UNITS]),0)</f>
        <v>0</v>
      </c>
    </row>
    <row r="649" spans="1:46" hidden="1">
      <c r="A649" t="s">
        <v>1483</v>
      </c>
      <c r="B649" t="s">
        <v>1484</v>
      </c>
      <c r="C649" s="218" t="s">
        <v>539</v>
      </c>
      <c r="D649" s="219" t="s">
        <v>2</v>
      </c>
      <c r="E649" s="2">
        <f>SUMIFS(LS[Unit],LS[Investor ID],INVESTORS_LIST[[#This Row],[INVESTOR CODE]],LS[B/S],"B")</f>
        <v>0</v>
      </c>
      <c r="F649" s="2">
        <f>-SUMIFS(LS[Unit],LS[Investor ID],INVESTORS_LIST[[#This Row],[INVESTOR CODE]],LS[B/S],"S")</f>
        <v>0</v>
      </c>
      <c r="G649" s="2">
        <f>IF(INVESTORS_LIST[[#This Row],[LS_TOTAL UNITS BUY]]=0,0,INVESTORS_LIST[[#This Row],[LS_TOTAL UNITS BUY]]-INVESTORS_LIST[[#This Row],[LS_TOTAL UNITS SOLD]])</f>
        <v>0</v>
      </c>
      <c r="H649" s="4">
        <f>IF(INVESTORS_LIST[[#This Row],[LS_TOTAL UNITS BUY]]=0,0,SUMIFS(LS[Amount],LS[Investor ID],INVESTORS_LIST[[#This Row],[INVESTOR CODE]],LS[B/S],"B"))</f>
        <v>0</v>
      </c>
      <c r="I649" s="6">
        <f>IF(INVESTORS_LIST[[#This Row],[LS_TOTAL UNITS SOLD]]=0,0,SUMIFS(LS[Cost of Units Sold],LS[Investor ID],INVESTORS_LIST[[#This Row],[INVESTOR CODE]],LS[B/S],"S"))</f>
        <v>0</v>
      </c>
      <c r="J649" s="6">
        <f>IF(INVESTORS_LIST[[#This Row],[LS_TOTAL CURRENT UNITS]]=0,0,INVESTORS_LIST[[#This Row],[LS_TOTAL CURRENT UNITS]]*INVESTORS_LIST[[#This Row],[LS_AVERAGE COST]])</f>
        <v>0</v>
      </c>
      <c r="K649" s="4">
        <f>IF(INVESTORS_LIST[[#This Row],[LS_TOTAL UNITS SOLD]]=0,0,SUMIFS(LS[Realized Gain],LS[Investor ID],INVESTORS_LIST[[#This Row],[INVESTOR CODE]],LS[B/S],"S"))</f>
        <v>0</v>
      </c>
      <c r="L649" s="2">
        <f>SUMIFS(SIP[Unit],SIP[Investor ID],INVESTORS_LIST[[#This Row],[INVESTOR CODE]],SIP[B/S],"B")</f>
        <v>0</v>
      </c>
      <c r="M649" s="2">
        <f>-SUMIFS(SIP[Unit],SIP[Investor ID],INVESTORS_LIST[[#This Row],[INVESTOR CODE]],SIP[B/S],"S")</f>
        <v>0</v>
      </c>
      <c r="N649" s="33">
        <f>IF(INVESTORS_LIST[[#This Row],[SIP_TOTAL UNITS BUY]]=0,0,INVESTORS_LIST[[#This Row],[SIP_TOTAL UNITS BUY]]-INVESTORS_LIST[[#This Row],[SIP_TOTAL UNITS SOLD]])</f>
        <v>0</v>
      </c>
      <c r="O649" s="4">
        <f>IF(INVESTORS_LIST[[#This Row],[SIP_TOTAL UNITS BUY]]=0,0,SUMIFS(SIP[Amount],SIP[Investor ID],INVESTORS_LIST[[#This Row],[INVESTOR CODE]],SIP[B/S],"B"))</f>
        <v>0</v>
      </c>
      <c r="P649" s="4">
        <f>IF(INVESTORS_LIST[[#This Row],[SIP_TOTAL UNITS SOLD]]=0,0,SUMIFS(SIP[Cost of Units Sold],SIP[Investor ID],INVESTORS_LIST[[#This Row],[INVESTOR CODE]],SIP[B/S],"S"))</f>
        <v>0</v>
      </c>
      <c r="Q649" s="6">
        <f>IF(INVESTORS_LIST[[#This Row],[SIP_TOTAL CURRENT UNITS]]=0,0,INVESTORS_LIST[[#This Row],[SIP_TOTAL CURRENT UNITS]]*INVESTORS_LIST[[#This Row],[SIP_AVERAGE COST]])</f>
        <v>0</v>
      </c>
      <c r="R649" s="6">
        <f>IF(INVESTORS_LIST[[#This Row],[SIP_TOTAL UNITS SOLD]]=0,0,SUMIFS(SIP[Realized Gain],SIP[Investor ID],INVESTORS_LIST[[#This Row],[INVESTOR CODE]],SIP[B/S],"S"))</f>
        <v>0</v>
      </c>
      <c r="S649" s="33">
        <f>INVESTORS_LIST[[#This Row],[LS_TOTAL UNITS BUY]]+INVESTORS_LIST[[#This Row],[SIP_TOTAL UNITS BUY]]</f>
        <v>0</v>
      </c>
      <c r="T649" s="33">
        <f>INVESTORS_LIST[[#This Row],[LS_TOTAL UNITS SOLD]]+INVESTORS_LIST[[#This Row],[SIP_TOTAL UNITS SOLD]]</f>
        <v>0</v>
      </c>
      <c r="U649" s="33">
        <v>0</v>
      </c>
      <c r="V649" s="33">
        <f>SUMIFS(LS[BO UNIT TRANSFER],LS[Investor ID],INVESTORS_LIST[[#This Row],[INVESTOR CODE]],LS[B/S],"B")</f>
        <v>0</v>
      </c>
      <c r="W649" s="33">
        <f>SUMIFS(LS[BO UNIT TRANSFER],LS[Investor ID],INVESTORS_LIST[[#This Row],[INVESTOR CODE]],LS[B/S],"S")</f>
        <v>0</v>
      </c>
      <c r="X649" s="33">
        <f>SUMIFS(SIP[BO UNIT TRANSFER],SIP[Investor ID],INVESTORS_LIST[[#This Row],[INVESTOR CODE]],SIP[B/S],"S")</f>
        <v>0</v>
      </c>
      <c r="Y649" s="33">
        <f>SUMIFS(SIP[BO UNIT TRANSFER],SIP[Investor ID],INVESTORS_LIST[[#This Row],[INVESTOR CODE]],SIP[B/S],"B")</f>
        <v>0</v>
      </c>
      <c r="Z64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49" s="119">
        <f>INVESTORS_LIST[[#This Row],[TOTAL UNITS BUY]]-INVESTORS_LIST[[#This Row],[TOTAL UNITS SOLD]]</f>
        <v>0</v>
      </c>
      <c r="AB649" s="119">
        <f>INVESTORS_LIST[[#This Row],[TOTAL CURRENT UNITS]]-INVESTORS_LIST[[#This Row],[BO UNITS HOLD]]</f>
        <v>0</v>
      </c>
      <c r="AC649" s="119" t="e">
        <f>INDEX([4]!Table_1[BO ID],MATCH(INVESTORS_LIST[[#This Row],[INVESTOR CODE]],[4]!Table_1[INVESTOR CODE],0))</f>
        <v>#REF!</v>
      </c>
      <c r="AD649" s="33">
        <f>INVESTORS_LIST[[#This Row],[LS_TOTAL COST VALUE OF CURRENT UNITS]]+INVESTORS_LIST[[#This Row],[SIP_TOTAL COST VALUE OF CURRENT UNITS]]</f>
        <v>0</v>
      </c>
      <c r="AE649" s="44">
        <f>IF(INVESTORS_LIST[[#This Row],[TOTAL CURRENT UNITS]]=0,0,INVESTORS_LIST[[#This Row],[LS_TOTAL CURRENT UNITS]]/INVESTORS_LIST[[#This Row],[TOTAL CURRENT UNITS]])</f>
        <v>0</v>
      </c>
      <c r="AF649" s="44">
        <f>IF(INVESTORS_LIST[[#This Row],[TOTAL CURRENT UNITS]]=0,0,INVESTORS_LIST[[#This Row],[SIP_TOTAL CURRENT UNITS]]/INVESTORS_LIST[[#This Row],[TOTAL CURRENT UNITS]])</f>
        <v>0</v>
      </c>
      <c r="AG649" s="4" cm="1">
        <f t="array" ref="AG64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49" s="4" cm="1">
        <f t="array" ref="AH64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4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49" s="178">
        <f t="shared" si="16"/>
        <v>12.552</v>
      </c>
      <c r="AK649" s="118">
        <f>IF(INVESTORS_LIST[[#This Row],[TOTAL CURRENT UNITS]]=0,0,INVESTORS_LIST[[#This Row],[TOTAL CURRENT UNITS]]*INVESTORS_LIST[[#This Row],[NAV]])</f>
        <v>0</v>
      </c>
      <c r="AL649" s="4">
        <f>IF(INVESTORS_LIST[[#This Row],[LS_TOTAL CURRENT UNITS]]=0,0,INVESTORS_LIST[[#This Row],[LS_TOTAL CURRENT UNITS]]*INVESTORS_LIST[[#This Row],[NAV]])</f>
        <v>0</v>
      </c>
      <c r="AM649" s="6">
        <f>IF(INVESTORS_LIST[[#This Row],[SIP_TOTAL CURRENT UNITS]]=0,0,INVESTORS_LIST[[#This Row],[SIP_TOTAL CURRENT UNITS]]*INVESTORS_LIST[[#This Row],[NAV]])</f>
        <v>0</v>
      </c>
      <c r="AO649" s="6">
        <f>IF(INVESTORS_LIST[[#This Row],[TOTAL SELLABLE UNITS]]=0,0,INVESTORS_LIST[[#This Row],[TOTAL SELLABLE UNITS]]*INVESTORS_LIST[[#This Row],[NAV]])</f>
        <v>0</v>
      </c>
      <c r="AP649" s="6">
        <f>INVESTORS_LIST[[#This Row],[LS_TOTAL REALIZED GAIN]]+INVESTORS_LIST[[#This Row],[SIP_TOTAL REALIZED GAIN]]</f>
        <v>0</v>
      </c>
      <c r="AQ649" s="6">
        <f>INVESTORS_LIST[[#This Row],[TOTAL MARKET VALUE]]-INVESTORS_LIST[[#This Row],[TOTAL COST VALUE OF CURRENT INVESTMENT]]</f>
        <v>0</v>
      </c>
      <c r="AR649" s="6">
        <f>SUMIFS(DivAndTax[Tax Amount],DivAndTax[Investor ID],INVESTORS_LIST[[#This Row],[INVESTOR CODE]])</f>
        <v>0</v>
      </c>
      <c r="AS649" s="6">
        <f>SUMIFS(DivAndTax[Gross Dividend],DivAndTax[Investor ID],INVESTORS_LIST[[#This Row],[INVESTOR CODE]])</f>
        <v>0</v>
      </c>
      <c r="AT649" s="5">
        <f>IFERROR(INVESTORS_LIST[[#This Row],[TOTAL CURRENT UNITS]]/SUM(INVESTORS_LIST[TOTAL CURRENT UNITS]),0)</f>
        <v>0</v>
      </c>
    </row>
    <row r="650" spans="1:46" hidden="1">
      <c r="A650" t="s">
        <v>1485</v>
      </c>
      <c r="B650" t="s">
        <v>1486</v>
      </c>
      <c r="C650" s="218" t="s">
        <v>536</v>
      </c>
      <c r="D650" s="219" t="s">
        <v>2</v>
      </c>
      <c r="E650" s="2">
        <f>SUMIFS(LS[Unit],LS[Investor ID],INVESTORS_LIST[[#This Row],[INVESTOR CODE]],LS[B/S],"B")</f>
        <v>0</v>
      </c>
      <c r="F650" s="2">
        <f>-SUMIFS(LS[Unit],LS[Investor ID],INVESTORS_LIST[[#This Row],[INVESTOR CODE]],LS[B/S],"S")</f>
        <v>0</v>
      </c>
      <c r="G650" s="2">
        <f>IF(INVESTORS_LIST[[#This Row],[LS_TOTAL UNITS BUY]]=0,0,INVESTORS_LIST[[#This Row],[LS_TOTAL UNITS BUY]]-INVESTORS_LIST[[#This Row],[LS_TOTAL UNITS SOLD]])</f>
        <v>0</v>
      </c>
      <c r="H650" s="4">
        <f>IF(INVESTORS_LIST[[#This Row],[LS_TOTAL UNITS BUY]]=0,0,SUMIFS(LS[Amount],LS[Investor ID],INVESTORS_LIST[[#This Row],[INVESTOR CODE]],LS[B/S],"B"))</f>
        <v>0</v>
      </c>
      <c r="I650" s="6">
        <f>IF(INVESTORS_LIST[[#This Row],[LS_TOTAL UNITS SOLD]]=0,0,SUMIFS(LS[Cost of Units Sold],LS[Investor ID],INVESTORS_LIST[[#This Row],[INVESTOR CODE]],LS[B/S],"S"))</f>
        <v>0</v>
      </c>
      <c r="J650" s="6">
        <f>IF(INVESTORS_LIST[[#This Row],[LS_TOTAL CURRENT UNITS]]=0,0,INVESTORS_LIST[[#This Row],[LS_TOTAL CURRENT UNITS]]*INVESTORS_LIST[[#This Row],[LS_AVERAGE COST]])</f>
        <v>0</v>
      </c>
      <c r="K650" s="4">
        <f>IF(INVESTORS_LIST[[#This Row],[LS_TOTAL UNITS SOLD]]=0,0,SUMIFS(LS[Realized Gain],LS[Investor ID],INVESTORS_LIST[[#This Row],[INVESTOR CODE]],LS[B/S],"S"))</f>
        <v>0</v>
      </c>
      <c r="L650" s="2">
        <f>SUMIFS(SIP[Unit],SIP[Investor ID],INVESTORS_LIST[[#This Row],[INVESTOR CODE]],SIP[B/S],"B")</f>
        <v>0</v>
      </c>
      <c r="M650" s="2">
        <f>-SUMIFS(SIP[Unit],SIP[Investor ID],INVESTORS_LIST[[#This Row],[INVESTOR CODE]],SIP[B/S],"S")</f>
        <v>0</v>
      </c>
      <c r="N650" s="33">
        <f>IF(INVESTORS_LIST[[#This Row],[SIP_TOTAL UNITS BUY]]=0,0,INVESTORS_LIST[[#This Row],[SIP_TOTAL UNITS BUY]]-INVESTORS_LIST[[#This Row],[SIP_TOTAL UNITS SOLD]])</f>
        <v>0</v>
      </c>
      <c r="O650" s="4">
        <f>IF(INVESTORS_LIST[[#This Row],[SIP_TOTAL UNITS BUY]]=0,0,SUMIFS(SIP[Amount],SIP[Investor ID],INVESTORS_LIST[[#This Row],[INVESTOR CODE]],SIP[B/S],"B"))</f>
        <v>0</v>
      </c>
      <c r="P650" s="4">
        <f>IF(INVESTORS_LIST[[#This Row],[SIP_TOTAL UNITS SOLD]]=0,0,SUMIFS(SIP[Cost of Units Sold],SIP[Investor ID],INVESTORS_LIST[[#This Row],[INVESTOR CODE]],SIP[B/S],"S"))</f>
        <v>0</v>
      </c>
      <c r="Q650" s="6">
        <f>IF(INVESTORS_LIST[[#This Row],[SIP_TOTAL CURRENT UNITS]]=0,0,INVESTORS_LIST[[#This Row],[SIP_TOTAL CURRENT UNITS]]*INVESTORS_LIST[[#This Row],[SIP_AVERAGE COST]])</f>
        <v>0</v>
      </c>
      <c r="R650" s="6">
        <f>IF(INVESTORS_LIST[[#This Row],[SIP_TOTAL UNITS SOLD]]=0,0,SUMIFS(SIP[Realized Gain],SIP[Investor ID],INVESTORS_LIST[[#This Row],[INVESTOR CODE]],SIP[B/S],"S"))</f>
        <v>0</v>
      </c>
      <c r="S650" s="33">
        <f>INVESTORS_LIST[[#This Row],[LS_TOTAL UNITS BUY]]+INVESTORS_LIST[[#This Row],[SIP_TOTAL UNITS BUY]]</f>
        <v>0</v>
      </c>
      <c r="T650" s="33">
        <f>INVESTORS_LIST[[#This Row],[LS_TOTAL UNITS SOLD]]+INVESTORS_LIST[[#This Row],[SIP_TOTAL UNITS SOLD]]</f>
        <v>0</v>
      </c>
      <c r="U650" s="33">
        <v>0</v>
      </c>
      <c r="V650" s="33">
        <f>SUMIFS(LS[BO UNIT TRANSFER],LS[Investor ID],INVESTORS_LIST[[#This Row],[INVESTOR CODE]],LS[B/S],"B")</f>
        <v>0</v>
      </c>
      <c r="W650" s="33">
        <f>SUMIFS(LS[BO UNIT TRANSFER],LS[Investor ID],INVESTORS_LIST[[#This Row],[INVESTOR CODE]],LS[B/S],"S")</f>
        <v>0</v>
      </c>
      <c r="X650" s="33">
        <f>SUMIFS(SIP[BO UNIT TRANSFER],SIP[Investor ID],INVESTORS_LIST[[#This Row],[INVESTOR CODE]],SIP[B/S],"S")</f>
        <v>0</v>
      </c>
      <c r="Y650" s="33">
        <f>SUMIFS(SIP[BO UNIT TRANSFER],SIP[Investor ID],INVESTORS_LIST[[#This Row],[INVESTOR CODE]],SIP[B/S],"B")</f>
        <v>0</v>
      </c>
      <c r="Z65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50" s="119">
        <f>INVESTORS_LIST[[#This Row],[TOTAL UNITS BUY]]-INVESTORS_LIST[[#This Row],[TOTAL UNITS SOLD]]</f>
        <v>0</v>
      </c>
      <c r="AB650" s="119">
        <f>INVESTORS_LIST[[#This Row],[TOTAL CURRENT UNITS]]-INVESTORS_LIST[[#This Row],[BO UNITS HOLD]]</f>
        <v>0</v>
      </c>
      <c r="AC650" s="119" t="e">
        <f>INDEX([4]!Table_1[BO ID],MATCH(INVESTORS_LIST[[#This Row],[INVESTOR CODE]],[4]!Table_1[INVESTOR CODE],0))</f>
        <v>#REF!</v>
      </c>
      <c r="AD650" s="33">
        <f>INVESTORS_LIST[[#This Row],[LS_TOTAL COST VALUE OF CURRENT UNITS]]+INVESTORS_LIST[[#This Row],[SIP_TOTAL COST VALUE OF CURRENT UNITS]]</f>
        <v>0</v>
      </c>
      <c r="AE650" s="44">
        <f>IF(INVESTORS_LIST[[#This Row],[TOTAL CURRENT UNITS]]=0,0,INVESTORS_LIST[[#This Row],[LS_TOTAL CURRENT UNITS]]/INVESTORS_LIST[[#This Row],[TOTAL CURRENT UNITS]])</f>
        <v>0</v>
      </c>
      <c r="AF650" s="44">
        <f>IF(INVESTORS_LIST[[#This Row],[TOTAL CURRENT UNITS]]=0,0,INVESTORS_LIST[[#This Row],[SIP_TOTAL CURRENT UNITS]]/INVESTORS_LIST[[#This Row],[TOTAL CURRENT UNITS]])</f>
        <v>0</v>
      </c>
      <c r="AG650" s="4" cm="1">
        <f t="array" ref="AG65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50" s="4" cm="1">
        <f t="array" ref="AH65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5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50" s="178">
        <f t="shared" si="16"/>
        <v>12.552</v>
      </c>
      <c r="AK650" s="118">
        <f>IF(INVESTORS_LIST[[#This Row],[TOTAL CURRENT UNITS]]=0,0,INVESTORS_LIST[[#This Row],[TOTAL CURRENT UNITS]]*INVESTORS_LIST[[#This Row],[NAV]])</f>
        <v>0</v>
      </c>
      <c r="AL650" s="4">
        <f>IF(INVESTORS_LIST[[#This Row],[LS_TOTAL CURRENT UNITS]]=0,0,INVESTORS_LIST[[#This Row],[LS_TOTAL CURRENT UNITS]]*INVESTORS_LIST[[#This Row],[NAV]])</f>
        <v>0</v>
      </c>
      <c r="AM650" s="6">
        <f>IF(INVESTORS_LIST[[#This Row],[SIP_TOTAL CURRENT UNITS]]=0,0,INVESTORS_LIST[[#This Row],[SIP_TOTAL CURRENT UNITS]]*INVESTORS_LIST[[#This Row],[NAV]])</f>
        <v>0</v>
      </c>
      <c r="AO650" s="6">
        <f>IF(INVESTORS_LIST[[#This Row],[TOTAL SELLABLE UNITS]]=0,0,INVESTORS_LIST[[#This Row],[TOTAL SELLABLE UNITS]]*INVESTORS_LIST[[#This Row],[NAV]])</f>
        <v>0</v>
      </c>
      <c r="AP650" s="6">
        <f>INVESTORS_LIST[[#This Row],[LS_TOTAL REALIZED GAIN]]+INVESTORS_LIST[[#This Row],[SIP_TOTAL REALIZED GAIN]]</f>
        <v>0</v>
      </c>
      <c r="AQ650" s="6">
        <f>INVESTORS_LIST[[#This Row],[TOTAL MARKET VALUE]]-INVESTORS_LIST[[#This Row],[TOTAL COST VALUE OF CURRENT INVESTMENT]]</f>
        <v>0</v>
      </c>
      <c r="AR650" s="6">
        <f>SUMIFS(DivAndTax[Tax Amount],DivAndTax[Investor ID],INVESTORS_LIST[[#This Row],[INVESTOR CODE]])</f>
        <v>0</v>
      </c>
      <c r="AS650" s="6">
        <f>SUMIFS(DivAndTax[Gross Dividend],DivAndTax[Investor ID],INVESTORS_LIST[[#This Row],[INVESTOR CODE]])</f>
        <v>0</v>
      </c>
      <c r="AT650" s="5">
        <f>IFERROR(INVESTORS_LIST[[#This Row],[TOTAL CURRENT UNITS]]/SUM(INVESTORS_LIST[TOTAL CURRENT UNITS]),0)</f>
        <v>0</v>
      </c>
    </row>
    <row r="651" spans="1:46" hidden="1">
      <c r="A651" s="182" t="s">
        <v>1487</v>
      </c>
      <c r="B651" t="s">
        <v>1488</v>
      </c>
      <c r="C651" s="218" t="s">
        <v>536</v>
      </c>
      <c r="D651" s="219" t="s">
        <v>2</v>
      </c>
      <c r="E651" s="2">
        <f>SUMIFS(LS[Unit],LS[Investor ID],INVESTORS_LIST[[#This Row],[INVESTOR CODE]],LS[B/S],"B")</f>
        <v>0</v>
      </c>
      <c r="F651" s="2">
        <f>-SUMIFS(LS[Unit],LS[Investor ID],INVESTORS_LIST[[#This Row],[INVESTOR CODE]],LS[B/S],"S")</f>
        <v>0</v>
      </c>
      <c r="G651" s="2">
        <f>IF(INVESTORS_LIST[[#This Row],[LS_TOTAL UNITS BUY]]=0,0,INVESTORS_LIST[[#This Row],[LS_TOTAL UNITS BUY]]-INVESTORS_LIST[[#This Row],[LS_TOTAL UNITS SOLD]])</f>
        <v>0</v>
      </c>
      <c r="H651" s="4">
        <f>IF(INVESTORS_LIST[[#This Row],[LS_TOTAL UNITS BUY]]=0,0,SUMIFS(LS[Amount],LS[Investor ID],INVESTORS_LIST[[#This Row],[INVESTOR CODE]],LS[B/S],"B"))</f>
        <v>0</v>
      </c>
      <c r="I651" s="6">
        <f>IF(INVESTORS_LIST[[#This Row],[LS_TOTAL UNITS SOLD]]=0,0,SUMIFS(LS[Cost of Units Sold],LS[Investor ID],INVESTORS_LIST[[#This Row],[INVESTOR CODE]],LS[B/S],"S"))</f>
        <v>0</v>
      </c>
      <c r="J651" s="6">
        <f>IF(INVESTORS_LIST[[#This Row],[LS_TOTAL CURRENT UNITS]]=0,0,INVESTORS_LIST[[#This Row],[LS_TOTAL CURRENT UNITS]]*INVESTORS_LIST[[#This Row],[LS_AVERAGE COST]])</f>
        <v>0</v>
      </c>
      <c r="K651" s="4">
        <f>IF(INVESTORS_LIST[[#This Row],[LS_TOTAL UNITS SOLD]]=0,0,SUMIFS(LS[Realized Gain],LS[Investor ID],INVESTORS_LIST[[#This Row],[INVESTOR CODE]],LS[B/S],"S"))</f>
        <v>0</v>
      </c>
      <c r="L651" s="2">
        <f>SUMIFS(SIP[Unit],SIP[Investor ID],INVESTORS_LIST[[#This Row],[INVESTOR CODE]],SIP[B/S],"B")</f>
        <v>0</v>
      </c>
      <c r="M651" s="2">
        <f>-SUMIFS(SIP[Unit],SIP[Investor ID],INVESTORS_LIST[[#This Row],[INVESTOR CODE]],SIP[B/S],"S")</f>
        <v>0</v>
      </c>
      <c r="N651" s="33">
        <f>IF(INVESTORS_LIST[[#This Row],[SIP_TOTAL UNITS BUY]]=0,0,INVESTORS_LIST[[#This Row],[SIP_TOTAL UNITS BUY]]-INVESTORS_LIST[[#This Row],[SIP_TOTAL UNITS SOLD]])</f>
        <v>0</v>
      </c>
      <c r="O651" s="4">
        <f>IF(INVESTORS_LIST[[#This Row],[SIP_TOTAL UNITS BUY]]=0,0,SUMIFS(SIP[Amount],SIP[Investor ID],INVESTORS_LIST[[#This Row],[INVESTOR CODE]],SIP[B/S],"B"))</f>
        <v>0</v>
      </c>
      <c r="P651" s="4">
        <f>IF(INVESTORS_LIST[[#This Row],[SIP_TOTAL UNITS SOLD]]=0,0,SUMIFS(SIP[Cost of Units Sold],SIP[Investor ID],INVESTORS_LIST[[#This Row],[INVESTOR CODE]],SIP[B/S],"S"))</f>
        <v>0</v>
      </c>
      <c r="Q651" s="6">
        <f>IF(INVESTORS_LIST[[#This Row],[SIP_TOTAL CURRENT UNITS]]=0,0,INVESTORS_LIST[[#This Row],[SIP_TOTAL CURRENT UNITS]]*INVESTORS_LIST[[#This Row],[SIP_AVERAGE COST]])</f>
        <v>0</v>
      </c>
      <c r="R651" s="6">
        <f>IF(INVESTORS_LIST[[#This Row],[SIP_TOTAL UNITS SOLD]]=0,0,SUMIFS(SIP[Realized Gain],SIP[Investor ID],INVESTORS_LIST[[#This Row],[INVESTOR CODE]],SIP[B/S],"S"))</f>
        <v>0</v>
      </c>
      <c r="S651" s="33">
        <f>INVESTORS_LIST[[#This Row],[LS_TOTAL UNITS BUY]]+INVESTORS_LIST[[#This Row],[SIP_TOTAL UNITS BUY]]</f>
        <v>0</v>
      </c>
      <c r="T651" s="33">
        <f>INVESTORS_LIST[[#This Row],[LS_TOTAL UNITS SOLD]]+INVESTORS_LIST[[#This Row],[SIP_TOTAL UNITS SOLD]]</f>
        <v>0</v>
      </c>
      <c r="U651" s="33">
        <v>0</v>
      </c>
      <c r="V651" s="33">
        <f>SUMIFS(LS[BO UNIT TRANSFER],LS[Investor ID],INVESTORS_LIST[[#This Row],[INVESTOR CODE]],LS[B/S],"B")</f>
        <v>0</v>
      </c>
      <c r="W651" s="33">
        <f>SUMIFS(LS[BO UNIT TRANSFER],LS[Investor ID],INVESTORS_LIST[[#This Row],[INVESTOR CODE]],LS[B/S],"S")</f>
        <v>0</v>
      </c>
      <c r="X651" s="33">
        <f>SUMIFS(SIP[BO UNIT TRANSFER],SIP[Investor ID],INVESTORS_LIST[[#This Row],[INVESTOR CODE]],SIP[B/S],"S")</f>
        <v>0</v>
      </c>
      <c r="Y651" s="33">
        <f>SUMIFS(SIP[BO UNIT TRANSFER],SIP[Investor ID],INVESTORS_LIST[[#This Row],[INVESTOR CODE]],SIP[B/S],"B")</f>
        <v>0</v>
      </c>
      <c r="Z65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51" s="119">
        <f>INVESTORS_LIST[[#This Row],[TOTAL UNITS BUY]]-INVESTORS_LIST[[#This Row],[TOTAL UNITS SOLD]]</f>
        <v>0</v>
      </c>
      <c r="AB651" s="119">
        <f>INVESTORS_LIST[[#This Row],[TOTAL CURRENT UNITS]]-INVESTORS_LIST[[#This Row],[BO UNITS HOLD]]</f>
        <v>0</v>
      </c>
      <c r="AC651" s="119" t="e">
        <f>INDEX([4]!Table_1[BO ID],MATCH(INVESTORS_LIST[[#This Row],[INVESTOR CODE]],[4]!Table_1[INVESTOR CODE],0))</f>
        <v>#REF!</v>
      </c>
      <c r="AD651" s="33">
        <f>INVESTORS_LIST[[#This Row],[LS_TOTAL COST VALUE OF CURRENT UNITS]]+INVESTORS_LIST[[#This Row],[SIP_TOTAL COST VALUE OF CURRENT UNITS]]</f>
        <v>0</v>
      </c>
      <c r="AE651" s="44">
        <f>IF(INVESTORS_LIST[[#This Row],[TOTAL CURRENT UNITS]]=0,0,INVESTORS_LIST[[#This Row],[LS_TOTAL CURRENT UNITS]]/INVESTORS_LIST[[#This Row],[TOTAL CURRENT UNITS]])</f>
        <v>0</v>
      </c>
      <c r="AF651" s="44">
        <f>IF(INVESTORS_LIST[[#This Row],[TOTAL CURRENT UNITS]]=0,0,INVESTORS_LIST[[#This Row],[SIP_TOTAL CURRENT UNITS]]/INVESTORS_LIST[[#This Row],[TOTAL CURRENT UNITS]])</f>
        <v>0</v>
      </c>
      <c r="AG651" s="4" cm="1">
        <f t="array" ref="AG65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51" s="4" cm="1">
        <f t="array" ref="AH65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5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51" s="178">
        <f t="shared" si="16"/>
        <v>12.552</v>
      </c>
      <c r="AK651" s="118">
        <f>IF(INVESTORS_LIST[[#This Row],[TOTAL CURRENT UNITS]]=0,0,INVESTORS_LIST[[#This Row],[TOTAL CURRENT UNITS]]*INVESTORS_LIST[[#This Row],[NAV]])</f>
        <v>0</v>
      </c>
      <c r="AL651" s="4">
        <f>IF(INVESTORS_LIST[[#This Row],[LS_TOTAL CURRENT UNITS]]=0,0,INVESTORS_LIST[[#This Row],[LS_TOTAL CURRENT UNITS]]*INVESTORS_LIST[[#This Row],[NAV]])</f>
        <v>0</v>
      </c>
      <c r="AM651" s="6">
        <f>IF(INVESTORS_LIST[[#This Row],[SIP_TOTAL CURRENT UNITS]]=0,0,INVESTORS_LIST[[#This Row],[SIP_TOTAL CURRENT UNITS]]*INVESTORS_LIST[[#This Row],[NAV]])</f>
        <v>0</v>
      </c>
      <c r="AO651" s="6">
        <f>IF(INVESTORS_LIST[[#This Row],[TOTAL SELLABLE UNITS]]=0,0,INVESTORS_LIST[[#This Row],[TOTAL SELLABLE UNITS]]*INVESTORS_LIST[[#This Row],[NAV]])</f>
        <v>0</v>
      </c>
      <c r="AP651" s="6">
        <f>INVESTORS_LIST[[#This Row],[LS_TOTAL REALIZED GAIN]]+INVESTORS_LIST[[#This Row],[SIP_TOTAL REALIZED GAIN]]</f>
        <v>0</v>
      </c>
      <c r="AQ651" s="6">
        <f>INVESTORS_LIST[[#This Row],[TOTAL MARKET VALUE]]-INVESTORS_LIST[[#This Row],[TOTAL COST VALUE OF CURRENT INVESTMENT]]</f>
        <v>0</v>
      </c>
      <c r="AR651" s="6">
        <f>SUMIFS(DivAndTax[Tax Amount],DivAndTax[Investor ID],INVESTORS_LIST[[#This Row],[INVESTOR CODE]])</f>
        <v>0</v>
      </c>
      <c r="AS651" s="6">
        <f>SUMIFS(DivAndTax[Gross Dividend],DivAndTax[Investor ID],INVESTORS_LIST[[#This Row],[INVESTOR CODE]])</f>
        <v>0</v>
      </c>
      <c r="AT651" s="5">
        <f>IFERROR(INVESTORS_LIST[[#This Row],[TOTAL CURRENT UNITS]]/SUM(INVESTORS_LIST[TOTAL CURRENT UNITS]),0)</f>
        <v>0</v>
      </c>
    </row>
    <row r="652" spans="1:46">
      <c r="A652" s="182" t="s">
        <v>1489</v>
      </c>
      <c r="B652" s="182" t="s">
        <v>1490</v>
      </c>
      <c r="C652" s="218" t="s">
        <v>536</v>
      </c>
      <c r="D652" s="219" t="s">
        <v>2</v>
      </c>
      <c r="E652" s="2">
        <f>SUMIFS(LS[Unit],LS[Investor ID],INVESTORS_LIST[[#This Row],[INVESTOR CODE]],LS[B/S],"B")</f>
        <v>413652</v>
      </c>
      <c r="F652" s="2">
        <f>-SUMIFS(LS[Unit],LS[Investor ID],INVESTORS_LIST[[#This Row],[INVESTOR CODE]],LS[B/S],"S")</f>
        <v>0</v>
      </c>
      <c r="G652" s="2">
        <f>IF(INVESTORS_LIST[[#This Row],[LS_TOTAL UNITS BUY]]=0,0,INVESTORS_LIST[[#This Row],[LS_TOTAL UNITS BUY]]-INVESTORS_LIST[[#This Row],[LS_TOTAL UNITS SOLD]])</f>
        <v>413652</v>
      </c>
      <c r="H652" s="4">
        <f>IF(INVESTORS_LIST[[#This Row],[LS_TOTAL UNITS BUY]]=0,0,SUMIFS(LS[Amount],LS[Investor ID],INVESTORS_LIST[[#This Row],[INVESTOR CODE]],LS[B/S],"B"))</f>
        <v>5000000</v>
      </c>
      <c r="I652" s="6">
        <f>IF(INVESTORS_LIST[[#This Row],[LS_TOTAL UNITS SOLD]]=0,0,SUMIFS(LS[Cost of Units Sold],LS[Investor ID],INVESTORS_LIST[[#This Row],[INVESTOR CODE]],LS[B/S],"S"))</f>
        <v>0</v>
      </c>
      <c r="J652" s="6">
        <f>IF(INVESTORS_LIST[[#This Row],[LS_TOTAL CURRENT UNITS]]=0,0,INVESTORS_LIST[[#This Row],[LS_TOTAL CURRENT UNITS]]*INVESTORS_LIST[[#This Row],[LS_AVERAGE COST]])</f>
        <v>5000000</v>
      </c>
      <c r="K652" s="4">
        <f>IF(INVESTORS_LIST[[#This Row],[LS_TOTAL UNITS SOLD]]=0,0,SUMIFS(LS[Realized Gain],LS[Investor ID],INVESTORS_LIST[[#This Row],[INVESTOR CODE]],LS[B/S],"S"))</f>
        <v>0</v>
      </c>
      <c r="L652" s="2">
        <f>SUMIFS(SIP[Unit],SIP[Investor ID],INVESTORS_LIST[[#This Row],[INVESTOR CODE]],SIP[B/S],"B")</f>
        <v>0</v>
      </c>
      <c r="M652" s="2">
        <f>-SUMIFS(SIP[Unit],SIP[Investor ID],INVESTORS_LIST[[#This Row],[INVESTOR CODE]],SIP[B/S],"S")</f>
        <v>0</v>
      </c>
      <c r="N652" s="33">
        <f>IF(INVESTORS_LIST[[#This Row],[SIP_TOTAL UNITS BUY]]=0,0,INVESTORS_LIST[[#This Row],[SIP_TOTAL UNITS BUY]]-INVESTORS_LIST[[#This Row],[SIP_TOTAL UNITS SOLD]])</f>
        <v>0</v>
      </c>
      <c r="O652" s="4">
        <f>IF(INVESTORS_LIST[[#This Row],[SIP_TOTAL UNITS BUY]]=0,0,SUMIFS(SIP[Amount],SIP[Investor ID],INVESTORS_LIST[[#This Row],[INVESTOR CODE]],SIP[B/S],"B"))</f>
        <v>0</v>
      </c>
      <c r="P652" s="4">
        <f>IF(INVESTORS_LIST[[#This Row],[SIP_TOTAL UNITS SOLD]]=0,0,SUMIFS(SIP[Cost of Units Sold],SIP[Investor ID],INVESTORS_LIST[[#This Row],[INVESTOR CODE]],SIP[B/S],"S"))</f>
        <v>0</v>
      </c>
      <c r="Q652" s="6">
        <f>IF(INVESTORS_LIST[[#This Row],[SIP_TOTAL CURRENT UNITS]]=0,0,INVESTORS_LIST[[#This Row],[SIP_TOTAL CURRENT UNITS]]*INVESTORS_LIST[[#This Row],[SIP_AVERAGE COST]])</f>
        <v>0</v>
      </c>
      <c r="R652" s="6">
        <f>IF(INVESTORS_LIST[[#This Row],[SIP_TOTAL UNITS SOLD]]=0,0,SUMIFS(SIP[Realized Gain],SIP[Investor ID],INVESTORS_LIST[[#This Row],[INVESTOR CODE]],SIP[B/S],"S"))</f>
        <v>0</v>
      </c>
      <c r="S652" s="33">
        <f>INVESTORS_LIST[[#This Row],[LS_TOTAL UNITS BUY]]+INVESTORS_LIST[[#This Row],[SIP_TOTAL UNITS BUY]]</f>
        <v>413652</v>
      </c>
      <c r="T652" s="33">
        <f>INVESTORS_LIST[[#This Row],[LS_TOTAL UNITS SOLD]]+INVESTORS_LIST[[#This Row],[SIP_TOTAL UNITS SOLD]]</f>
        <v>0</v>
      </c>
      <c r="U652" s="33">
        <v>0</v>
      </c>
      <c r="V652" s="33">
        <f>SUMIFS(LS[BO UNIT TRANSFER],LS[Investor ID],INVESTORS_LIST[[#This Row],[INVESTOR CODE]],LS[B/S],"B")</f>
        <v>413652</v>
      </c>
      <c r="W652" s="33">
        <f>SUMIFS(LS[BO UNIT TRANSFER],LS[Investor ID],INVESTORS_LIST[[#This Row],[INVESTOR CODE]],LS[B/S],"S")</f>
        <v>0</v>
      </c>
      <c r="X652" s="33">
        <f>SUMIFS(SIP[BO UNIT TRANSFER],SIP[Investor ID],INVESTORS_LIST[[#This Row],[INVESTOR CODE]],SIP[B/S],"S")</f>
        <v>0</v>
      </c>
      <c r="Y652" s="33">
        <f>SUMIFS(SIP[BO UNIT TRANSFER],SIP[Investor ID],INVESTORS_LIST[[#This Row],[INVESTOR CODE]],SIP[B/S],"B")</f>
        <v>0</v>
      </c>
      <c r="Z65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413652</v>
      </c>
      <c r="AA652" s="119">
        <f>INVESTORS_LIST[[#This Row],[TOTAL UNITS BUY]]-INVESTORS_LIST[[#This Row],[TOTAL UNITS SOLD]]</f>
        <v>413652</v>
      </c>
      <c r="AB652" s="119">
        <f>INVESTORS_LIST[[#This Row],[TOTAL CURRENT UNITS]]-INVESTORS_LIST[[#This Row],[BO UNITS HOLD]]</f>
        <v>0</v>
      </c>
      <c r="AC652" s="119" t="e">
        <f>INDEX([4]!Table_1[BO ID],MATCH(INVESTORS_LIST[[#This Row],[INVESTOR CODE]],[4]!Table_1[INVESTOR CODE],0))</f>
        <v>#REF!</v>
      </c>
      <c r="AD652" s="33">
        <f>INVESTORS_LIST[[#This Row],[LS_TOTAL COST VALUE OF CURRENT UNITS]]+INVESTORS_LIST[[#This Row],[SIP_TOTAL COST VALUE OF CURRENT UNITS]]</f>
        <v>5000000</v>
      </c>
      <c r="AE652" s="44">
        <f>IF(INVESTORS_LIST[[#This Row],[TOTAL CURRENT UNITS]]=0,0,INVESTORS_LIST[[#This Row],[LS_TOTAL CURRENT UNITS]]/INVESTORS_LIST[[#This Row],[TOTAL CURRENT UNITS]])</f>
        <v>1</v>
      </c>
      <c r="AF652" s="44">
        <f>IF(INVESTORS_LIST[[#This Row],[TOTAL CURRENT UNITS]]=0,0,INVESTORS_LIST[[#This Row],[SIP_TOTAL CURRENT UNITS]]/INVESTORS_LIST[[#This Row],[TOTAL CURRENT UNITS]])</f>
        <v>0</v>
      </c>
      <c r="AG652" s="4" cm="1">
        <f t="array" ref="AG652">IF(INVESTORS_LIST[[#This Row],[LS_TOTAL UNITS BUY]]&gt;0,INDEX(LS[NAV at Cost (Average)],MATCH(CONCATENATE(COUNTIFS(LS[Investor ID],INVESTORS_LIST[[#This Row],[INVESTOR CODE]]),INVESTORS_LIST[[#This Row],[INVESTOR CODE]]),LS[Unique Code],0),),0)</f>
        <v>12.087455155541374</v>
      </c>
      <c r="AH652" s="4" cm="1">
        <f t="array" ref="AH65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52" s="178">
        <f>IF(INVESTORS_LIST[[#This Row],[TOTAL CURRENT UNITS]]=0,0,(INVESTORS_LIST[[#This Row],[LS_WEIGHT]]*INVESTORS_LIST[[#This Row],[LS_AVERAGE COST]])+(INVESTORS_LIST[[#This Row],[SIP_WEIGHT]]*INVESTORS_LIST[[#This Row],[SIP_AVERAGE COST]]))</f>
        <v>12.087455155541374</v>
      </c>
      <c r="AJ652" s="178">
        <f t="shared" si="16"/>
        <v>12.552</v>
      </c>
      <c r="AK652" s="118">
        <f>IF(INVESTORS_LIST[[#This Row],[TOTAL CURRENT UNITS]]=0,0,INVESTORS_LIST[[#This Row],[TOTAL CURRENT UNITS]]*INVESTORS_LIST[[#This Row],[NAV]])</f>
        <v>5192159.9040000001</v>
      </c>
      <c r="AL652" s="4">
        <f>IF(INVESTORS_LIST[[#This Row],[LS_TOTAL CURRENT UNITS]]=0,0,INVESTORS_LIST[[#This Row],[LS_TOTAL CURRENT UNITS]]*INVESTORS_LIST[[#This Row],[NAV]])</f>
        <v>5192159.9040000001</v>
      </c>
      <c r="AM652" s="6">
        <f>IF(INVESTORS_LIST[[#This Row],[SIP_TOTAL CURRENT UNITS]]=0,0,INVESTORS_LIST[[#This Row],[SIP_TOTAL CURRENT UNITS]]*INVESTORS_LIST[[#This Row],[NAV]])</f>
        <v>0</v>
      </c>
      <c r="AO652" s="6">
        <f>IF(INVESTORS_LIST[[#This Row],[TOTAL SELLABLE UNITS]]=0,0,INVESTORS_LIST[[#This Row],[TOTAL SELLABLE UNITS]]*INVESTORS_LIST[[#This Row],[NAV]])</f>
        <v>0</v>
      </c>
      <c r="AP652" s="6">
        <f>INVESTORS_LIST[[#This Row],[LS_TOTAL REALIZED GAIN]]+INVESTORS_LIST[[#This Row],[SIP_TOTAL REALIZED GAIN]]</f>
        <v>0</v>
      </c>
      <c r="AQ652" s="6">
        <f>INVESTORS_LIST[[#This Row],[TOTAL MARKET VALUE]]-INVESTORS_LIST[[#This Row],[TOTAL COST VALUE OF CURRENT INVESTMENT]]</f>
        <v>192159.9040000001</v>
      </c>
      <c r="AR652" s="6">
        <f>SUMIFS(DivAndTax[Tax Amount],DivAndTax[Investor ID],INVESTORS_LIST[[#This Row],[INVESTOR CODE]])</f>
        <v>0</v>
      </c>
      <c r="AS652" s="6">
        <f>SUMIFS(DivAndTax[Gross Dividend],DivAndTax[Investor ID],INVESTORS_LIST[[#This Row],[INVESTOR CODE]])</f>
        <v>0</v>
      </c>
      <c r="AT652" s="5">
        <f>IFERROR(INVESTORS_LIST[[#This Row],[TOTAL CURRENT UNITS]]/SUM(INVESTORS_LIST[TOTAL CURRENT UNITS]),0)</f>
        <v>1.9832476910726333E-2</v>
      </c>
    </row>
    <row r="653" spans="1:46" hidden="1">
      <c r="A653" s="182" t="s">
        <v>1493</v>
      </c>
      <c r="B653" s="182" t="s">
        <v>1494</v>
      </c>
      <c r="C653" s="218" t="s">
        <v>539</v>
      </c>
      <c r="D653" s="219" t="s">
        <v>2</v>
      </c>
      <c r="E653" s="2">
        <f>SUMIFS(LS[Unit],LS[Investor ID],INVESTORS_LIST[[#This Row],[INVESTOR CODE]],LS[B/S],"B")</f>
        <v>0</v>
      </c>
      <c r="F653" s="2">
        <f>-SUMIFS(LS[Unit],LS[Investor ID],INVESTORS_LIST[[#This Row],[INVESTOR CODE]],LS[B/S],"S")</f>
        <v>0</v>
      </c>
      <c r="G653" s="2">
        <f>IF(INVESTORS_LIST[[#This Row],[LS_TOTAL UNITS BUY]]=0,0,INVESTORS_LIST[[#This Row],[LS_TOTAL UNITS BUY]]-INVESTORS_LIST[[#This Row],[LS_TOTAL UNITS SOLD]])</f>
        <v>0</v>
      </c>
      <c r="H653" s="4">
        <f>IF(INVESTORS_LIST[[#This Row],[LS_TOTAL UNITS BUY]]=0,0,SUMIFS(LS[Amount],LS[Investor ID],INVESTORS_LIST[[#This Row],[INVESTOR CODE]],LS[B/S],"B"))</f>
        <v>0</v>
      </c>
      <c r="I653" s="6">
        <f>IF(INVESTORS_LIST[[#This Row],[LS_TOTAL UNITS SOLD]]=0,0,SUMIFS(LS[Cost of Units Sold],LS[Investor ID],INVESTORS_LIST[[#This Row],[INVESTOR CODE]],LS[B/S],"S"))</f>
        <v>0</v>
      </c>
      <c r="J653" s="6">
        <f>IF(INVESTORS_LIST[[#This Row],[LS_TOTAL CURRENT UNITS]]=0,0,INVESTORS_LIST[[#This Row],[LS_TOTAL CURRENT UNITS]]*INVESTORS_LIST[[#This Row],[LS_AVERAGE COST]])</f>
        <v>0</v>
      </c>
      <c r="K653" s="4">
        <f>IF(INVESTORS_LIST[[#This Row],[LS_TOTAL UNITS SOLD]]=0,0,SUMIFS(LS[Realized Gain],LS[Investor ID],INVESTORS_LIST[[#This Row],[INVESTOR CODE]],LS[B/S],"S"))</f>
        <v>0</v>
      </c>
      <c r="L653" s="2">
        <f>SUMIFS(SIP[Unit],SIP[Investor ID],INVESTORS_LIST[[#This Row],[INVESTOR CODE]],SIP[B/S],"B")</f>
        <v>0</v>
      </c>
      <c r="M653" s="2">
        <f>-SUMIFS(SIP[Unit],SIP[Investor ID],INVESTORS_LIST[[#This Row],[INVESTOR CODE]],SIP[B/S],"S")</f>
        <v>0</v>
      </c>
      <c r="N653" s="33">
        <f>IF(INVESTORS_LIST[[#This Row],[SIP_TOTAL UNITS BUY]]=0,0,INVESTORS_LIST[[#This Row],[SIP_TOTAL UNITS BUY]]-INVESTORS_LIST[[#This Row],[SIP_TOTAL UNITS SOLD]])</f>
        <v>0</v>
      </c>
      <c r="O653" s="4">
        <f>IF(INVESTORS_LIST[[#This Row],[SIP_TOTAL UNITS BUY]]=0,0,SUMIFS(SIP[Amount],SIP[Investor ID],INVESTORS_LIST[[#This Row],[INVESTOR CODE]],SIP[B/S],"B"))</f>
        <v>0</v>
      </c>
      <c r="P653" s="4">
        <f>IF(INVESTORS_LIST[[#This Row],[SIP_TOTAL UNITS SOLD]]=0,0,SUMIFS(SIP[Cost of Units Sold],SIP[Investor ID],INVESTORS_LIST[[#This Row],[INVESTOR CODE]],SIP[B/S],"S"))</f>
        <v>0</v>
      </c>
      <c r="Q653" s="6">
        <f>IF(INVESTORS_LIST[[#This Row],[SIP_TOTAL CURRENT UNITS]]=0,0,INVESTORS_LIST[[#This Row],[SIP_TOTAL CURRENT UNITS]]*INVESTORS_LIST[[#This Row],[SIP_AVERAGE COST]])</f>
        <v>0</v>
      </c>
      <c r="R653" s="6">
        <f>IF(INVESTORS_LIST[[#This Row],[SIP_TOTAL UNITS SOLD]]=0,0,SUMIFS(SIP[Realized Gain],SIP[Investor ID],INVESTORS_LIST[[#This Row],[INVESTOR CODE]],SIP[B/S],"S"))</f>
        <v>0</v>
      </c>
      <c r="S653" s="33">
        <f>INVESTORS_LIST[[#This Row],[LS_TOTAL UNITS BUY]]+INVESTORS_LIST[[#This Row],[SIP_TOTAL UNITS BUY]]</f>
        <v>0</v>
      </c>
      <c r="T653" s="33">
        <f>INVESTORS_LIST[[#This Row],[LS_TOTAL UNITS SOLD]]+INVESTORS_LIST[[#This Row],[SIP_TOTAL UNITS SOLD]]</f>
        <v>0</v>
      </c>
      <c r="U653" s="33">
        <v>0</v>
      </c>
      <c r="V653" s="33">
        <f>SUMIFS(LS[BO UNIT TRANSFER],LS[Investor ID],INVESTORS_LIST[[#This Row],[INVESTOR CODE]],LS[B/S],"B")</f>
        <v>0</v>
      </c>
      <c r="W653" s="33">
        <f>SUMIFS(LS[BO UNIT TRANSFER],LS[Investor ID],INVESTORS_LIST[[#This Row],[INVESTOR CODE]],LS[B/S],"S")</f>
        <v>0</v>
      </c>
      <c r="X653" s="33">
        <f>SUMIFS(SIP[BO UNIT TRANSFER],SIP[Investor ID],INVESTORS_LIST[[#This Row],[INVESTOR CODE]],SIP[B/S],"S")</f>
        <v>0</v>
      </c>
      <c r="Y653" s="33">
        <f>SUMIFS(SIP[BO UNIT TRANSFER],SIP[Investor ID],INVESTORS_LIST[[#This Row],[INVESTOR CODE]],SIP[B/S],"B")</f>
        <v>0</v>
      </c>
      <c r="Z65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53" s="119">
        <f>INVESTORS_LIST[[#This Row],[TOTAL UNITS BUY]]-INVESTORS_LIST[[#This Row],[TOTAL UNITS SOLD]]</f>
        <v>0</v>
      </c>
      <c r="AB653" s="119">
        <f>INVESTORS_LIST[[#This Row],[TOTAL CURRENT UNITS]]-INVESTORS_LIST[[#This Row],[BO UNITS HOLD]]</f>
        <v>0</v>
      </c>
      <c r="AC653" s="119" t="e">
        <f>INDEX([4]!Table_1[BO ID],MATCH(INVESTORS_LIST[[#This Row],[INVESTOR CODE]],[4]!Table_1[INVESTOR CODE],0))</f>
        <v>#REF!</v>
      </c>
      <c r="AD653" s="33">
        <f>INVESTORS_LIST[[#This Row],[LS_TOTAL COST VALUE OF CURRENT UNITS]]+INVESTORS_LIST[[#This Row],[SIP_TOTAL COST VALUE OF CURRENT UNITS]]</f>
        <v>0</v>
      </c>
      <c r="AE653" s="44">
        <f>IF(INVESTORS_LIST[[#This Row],[TOTAL CURRENT UNITS]]=0,0,INVESTORS_LIST[[#This Row],[LS_TOTAL CURRENT UNITS]]/INVESTORS_LIST[[#This Row],[TOTAL CURRENT UNITS]])</f>
        <v>0</v>
      </c>
      <c r="AF653" s="44">
        <f>IF(INVESTORS_LIST[[#This Row],[TOTAL CURRENT UNITS]]=0,0,INVESTORS_LIST[[#This Row],[SIP_TOTAL CURRENT UNITS]]/INVESTORS_LIST[[#This Row],[TOTAL CURRENT UNITS]])</f>
        <v>0</v>
      </c>
      <c r="AG653" s="4" cm="1">
        <f t="array" ref="AG65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53" s="4" cm="1">
        <f t="array" ref="AH65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5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53" s="178">
        <f t="shared" ref="AJ653:AJ660" si="17">NAV_MKT</f>
        <v>12.552</v>
      </c>
      <c r="AK653" s="118">
        <f>IF(INVESTORS_LIST[[#This Row],[TOTAL CURRENT UNITS]]=0,0,INVESTORS_LIST[[#This Row],[TOTAL CURRENT UNITS]]*INVESTORS_LIST[[#This Row],[NAV]])</f>
        <v>0</v>
      </c>
      <c r="AL653" s="4">
        <f>IF(INVESTORS_LIST[[#This Row],[LS_TOTAL CURRENT UNITS]]=0,0,INVESTORS_LIST[[#This Row],[LS_TOTAL CURRENT UNITS]]*INVESTORS_LIST[[#This Row],[NAV]])</f>
        <v>0</v>
      </c>
      <c r="AM653" s="6">
        <f>IF(INVESTORS_LIST[[#This Row],[SIP_TOTAL CURRENT UNITS]]=0,0,INVESTORS_LIST[[#This Row],[SIP_TOTAL CURRENT UNITS]]*INVESTORS_LIST[[#This Row],[NAV]])</f>
        <v>0</v>
      </c>
      <c r="AO653" s="6">
        <f>IF(INVESTORS_LIST[[#This Row],[TOTAL SELLABLE UNITS]]=0,0,INVESTORS_LIST[[#This Row],[TOTAL SELLABLE UNITS]]*INVESTORS_LIST[[#This Row],[NAV]])</f>
        <v>0</v>
      </c>
      <c r="AP653" s="6">
        <f>INVESTORS_LIST[[#This Row],[LS_TOTAL REALIZED GAIN]]+INVESTORS_LIST[[#This Row],[SIP_TOTAL REALIZED GAIN]]</f>
        <v>0</v>
      </c>
      <c r="AQ653" s="6">
        <f>INVESTORS_LIST[[#This Row],[TOTAL MARKET VALUE]]-INVESTORS_LIST[[#This Row],[TOTAL COST VALUE OF CURRENT INVESTMENT]]</f>
        <v>0</v>
      </c>
      <c r="AR653" s="6">
        <f>SUMIFS(DivAndTax[Tax Amount],DivAndTax[Investor ID],INVESTORS_LIST[[#This Row],[INVESTOR CODE]])</f>
        <v>0</v>
      </c>
      <c r="AS653" s="6">
        <f>SUMIFS(DivAndTax[Gross Dividend],DivAndTax[Investor ID],INVESTORS_LIST[[#This Row],[INVESTOR CODE]])</f>
        <v>0</v>
      </c>
      <c r="AT653" s="5">
        <f>IFERROR(INVESTORS_LIST[[#This Row],[TOTAL CURRENT UNITS]]/SUM(INVESTORS_LIST[TOTAL CURRENT UNITS]),0)</f>
        <v>0</v>
      </c>
    </row>
    <row r="654" spans="1:46" hidden="1">
      <c r="A654" t="s">
        <v>1498</v>
      </c>
      <c r="B654" t="s">
        <v>1495</v>
      </c>
      <c r="C654" t="s">
        <v>539</v>
      </c>
      <c r="D654" s="8" t="s">
        <v>2</v>
      </c>
      <c r="E654" s="2">
        <f>SUMIFS(LS[Unit],LS[Investor ID],INVESTORS_LIST[[#This Row],[INVESTOR CODE]],LS[B/S],"B")</f>
        <v>0</v>
      </c>
      <c r="F654" s="2">
        <f>-SUMIFS(LS[Unit],LS[Investor ID],INVESTORS_LIST[[#This Row],[INVESTOR CODE]],LS[B/S],"S")</f>
        <v>0</v>
      </c>
      <c r="G654" s="2">
        <f>IF(INVESTORS_LIST[[#This Row],[LS_TOTAL UNITS BUY]]=0,0,INVESTORS_LIST[[#This Row],[LS_TOTAL UNITS BUY]]-INVESTORS_LIST[[#This Row],[LS_TOTAL UNITS SOLD]])</f>
        <v>0</v>
      </c>
      <c r="H654" s="4">
        <f>IF(INVESTORS_LIST[[#This Row],[LS_TOTAL UNITS BUY]]=0,0,SUMIFS(LS[Amount],LS[Investor ID],INVESTORS_LIST[[#This Row],[INVESTOR CODE]],LS[B/S],"B"))</f>
        <v>0</v>
      </c>
      <c r="I654" s="6">
        <f>IF(INVESTORS_LIST[[#This Row],[LS_TOTAL UNITS SOLD]]=0,0,SUMIFS(LS[Cost of Units Sold],LS[Investor ID],INVESTORS_LIST[[#This Row],[INVESTOR CODE]],LS[B/S],"S"))</f>
        <v>0</v>
      </c>
      <c r="J654" s="6">
        <f>IF(INVESTORS_LIST[[#This Row],[LS_TOTAL CURRENT UNITS]]=0,0,INVESTORS_LIST[[#This Row],[LS_TOTAL CURRENT UNITS]]*INVESTORS_LIST[[#This Row],[LS_AVERAGE COST]])</f>
        <v>0</v>
      </c>
      <c r="K654" s="4">
        <f>IF(INVESTORS_LIST[[#This Row],[LS_TOTAL UNITS SOLD]]=0,0,SUMIFS(LS[Realized Gain],LS[Investor ID],INVESTORS_LIST[[#This Row],[INVESTOR CODE]],LS[B/S],"S"))</f>
        <v>0</v>
      </c>
      <c r="L654" s="2">
        <f>SUMIFS(SIP[Unit],SIP[Investor ID],INVESTORS_LIST[[#This Row],[INVESTOR CODE]],SIP[B/S],"B")</f>
        <v>0</v>
      </c>
      <c r="M654" s="2">
        <f>-SUMIFS(SIP[Unit],SIP[Investor ID],INVESTORS_LIST[[#This Row],[INVESTOR CODE]],SIP[B/S],"S")</f>
        <v>0</v>
      </c>
      <c r="N654" s="33">
        <f>IF(INVESTORS_LIST[[#This Row],[SIP_TOTAL UNITS BUY]]=0,0,INVESTORS_LIST[[#This Row],[SIP_TOTAL UNITS BUY]]-INVESTORS_LIST[[#This Row],[SIP_TOTAL UNITS SOLD]])</f>
        <v>0</v>
      </c>
      <c r="O654" s="4">
        <f>IF(INVESTORS_LIST[[#This Row],[SIP_TOTAL UNITS BUY]]=0,0,SUMIFS(SIP[Amount],SIP[Investor ID],INVESTORS_LIST[[#This Row],[INVESTOR CODE]],SIP[B/S],"B"))</f>
        <v>0</v>
      </c>
      <c r="P654" s="4">
        <f>IF(INVESTORS_LIST[[#This Row],[SIP_TOTAL UNITS SOLD]]=0,0,SUMIFS(SIP[Cost of Units Sold],SIP[Investor ID],INVESTORS_LIST[[#This Row],[INVESTOR CODE]],SIP[B/S],"S"))</f>
        <v>0</v>
      </c>
      <c r="Q654" s="6">
        <f>IF(INVESTORS_LIST[[#This Row],[SIP_TOTAL CURRENT UNITS]]=0,0,INVESTORS_LIST[[#This Row],[SIP_TOTAL CURRENT UNITS]]*INVESTORS_LIST[[#This Row],[SIP_AVERAGE COST]])</f>
        <v>0</v>
      </c>
      <c r="R654" s="6">
        <f>IF(INVESTORS_LIST[[#This Row],[SIP_TOTAL UNITS SOLD]]=0,0,SUMIFS(SIP[Realized Gain],SIP[Investor ID],INVESTORS_LIST[[#This Row],[INVESTOR CODE]],SIP[B/S],"S"))</f>
        <v>0</v>
      </c>
      <c r="S654" s="33">
        <f>INVESTORS_LIST[[#This Row],[LS_TOTAL UNITS BUY]]+INVESTORS_LIST[[#This Row],[SIP_TOTAL UNITS BUY]]</f>
        <v>0</v>
      </c>
      <c r="T654" s="33">
        <f>INVESTORS_LIST[[#This Row],[LS_TOTAL UNITS SOLD]]+INVESTORS_LIST[[#This Row],[SIP_TOTAL UNITS SOLD]]</f>
        <v>0</v>
      </c>
      <c r="U654" s="33">
        <v>0</v>
      </c>
      <c r="V654" s="33">
        <f>SUMIFS(LS[BO UNIT TRANSFER],LS[Investor ID],INVESTORS_LIST[[#This Row],[INVESTOR CODE]],LS[B/S],"B")</f>
        <v>0</v>
      </c>
      <c r="W654" s="33">
        <f>SUMIFS(LS[BO UNIT TRANSFER],LS[Investor ID],INVESTORS_LIST[[#This Row],[INVESTOR CODE]],LS[B/S],"S")</f>
        <v>0</v>
      </c>
      <c r="X654" s="33">
        <f>SUMIFS(SIP[BO UNIT TRANSFER],SIP[Investor ID],INVESTORS_LIST[[#This Row],[INVESTOR CODE]],SIP[B/S],"S")</f>
        <v>0</v>
      </c>
      <c r="Y654" s="33">
        <f>SUMIFS(SIP[BO UNIT TRANSFER],SIP[Investor ID],INVESTORS_LIST[[#This Row],[INVESTOR CODE]],SIP[B/S],"B")</f>
        <v>0</v>
      </c>
      <c r="Z65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54" s="119">
        <f>INVESTORS_LIST[[#This Row],[TOTAL UNITS BUY]]-INVESTORS_LIST[[#This Row],[TOTAL UNITS SOLD]]</f>
        <v>0</v>
      </c>
      <c r="AB654" s="119">
        <f>INVESTORS_LIST[[#This Row],[TOTAL CURRENT UNITS]]-INVESTORS_LIST[[#This Row],[BO UNITS HOLD]]</f>
        <v>0</v>
      </c>
      <c r="AC654" s="119" t="e">
        <f>INDEX([4]!Table_1[BO ID],MATCH(INVESTORS_LIST[[#This Row],[INVESTOR CODE]],[4]!Table_1[INVESTOR CODE],0))</f>
        <v>#REF!</v>
      </c>
      <c r="AD654" s="33">
        <f>INVESTORS_LIST[[#This Row],[LS_TOTAL COST VALUE OF CURRENT UNITS]]+INVESTORS_LIST[[#This Row],[SIP_TOTAL COST VALUE OF CURRENT UNITS]]</f>
        <v>0</v>
      </c>
      <c r="AE654" s="44">
        <f>IF(INVESTORS_LIST[[#This Row],[TOTAL CURRENT UNITS]]=0,0,INVESTORS_LIST[[#This Row],[LS_TOTAL CURRENT UNITS]]/INVESTORS_LIST[[#This Row],[TOTAL CURRENT UNITS]])</f>
        <v>0</v>
      </c>
      <c r="AF654" s="44">
        <f>IF(INVESTORS_LIST[[#This Row],[TOTAL CURRENT UNITS]]=0,0,INVESTORS_LIST[[#This Row],[SIP_TOTAL CURRENT UNITS]]/INVESTORS_LIST[[#This Row],[TOTAL CURRENT UNITS]])</f>
        <v>0</v>
      </c>
      <c r="AG654" s="4" cm="1">
        <f t="array" ref="AG65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54" s="4" cm="1">
        <f t="array" ref="AH65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5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54" s="178">
        <f t="shared" si="17"/>
        <v>12.552</v>
      </c>
      <c r="AK654" s="118">
        <f>IF(INVESTORS_LIST[[#This Row],[TOTAL CURRENT UNITS]]=0,0,INVESTORS_LIST[[#This Row],[TOTAL CURRENT UNITS]]*INVESTORS_LIST[[#This Row],[NAV]])</f>
        <v>0</v>
      </c>
      <c r="AL654" s="4">
        <f>IF(INVESTORS_LIST[[#This Row],[LS_TOTAL CURRENT UNITS]]=0,0,INVESTORS_LIST[[#This Row],[LS_TOTAL CURRENT UNITS]]*INVESTORS_LIST[[#This Row],[NAV]])</f>
        <v>0</v>
      </c>
      <c r="AM654" s="6">
        <f>IF(INVESTORS_LIST[[#This Row],[SIP_TOTAL CURRENT UNITS]]=0,0,INVESTORS_LIST[[#This Row],[SIP_TOTAL CURRENT UNITS]]*INVESTORS_LIST[[#This Row],[NAV]])</f>
        <v>0</v>
      </c>
      <c r="AO654" s="6">
        <f>IF(INVESTORS_LIST[[#This Row],[TOTAL SELLABLE UNITS]]=0,0,INVESTORS_LIST[[#This Row],[TOTAL SELLABLE UNITS]]*INVESTORS_LIST[[#This Row],[NAV]])</f>
        <v>0</v>
      </c>
      <c r="AP654" s="6">
        <f>INVESTORS_LIST[[#This Row],[LS_TOTAL REALIZED GAIN]]+INVESTORS_LIST[[#This Row],[SIP_TOTAL REALIZED GAIN]]</f>
        <v>0</v>
      </c>
      <c r="AQ654" s="6">
        <f>INVESTORS_LIST[[#This Row],[TOTAL MARKET VALUE]]-INVESTORS_LIST[[#This Row],[TOTAL COST VALUE OF CURRENT INVESTMENT]]</f>
        <v>0</v>
      </c>
      <c r="AR654" s="6">
        <f>SUMIFS(DivAndTax[Tax Amount],DivAndTax[Investor ID],INVESTORS_LIST[[#This Row],[INVESTOR CODE]])</f>
        <v>0</v>
      </c>
      <c r="AS654" s="6">
        <f>SUMIFS(DivAndTax[Gross Dividend],DivAndTax[Investor ID],INVESTORS_LIST[[#This Row],[INVESTOR CODE]])</f>
        <v>0</v>
      </c>
      <c r="AT654" s="5">
        <f>IFERROR(INVESTORS_LIST[[#This Row],[TOTAL CURRENT UNITS]]/SUM(INVESTORS_LIST[TOTAL CURRENT UNITS]),0)</f>
        <v>0</v>
      </c>
    </row>
    <row r="655" spans="1:46" hidden="1">
      <c r="A655" t="s">
        <v>752</v>
      </c>
      <c r="B655" t="s">
        <v>1496</v>
      </c>
      <c r="C655" t="s">
        <v>539</v>
      </c>
      <c r="D655" s="8" t="s">
        <v>2</v>
      </c>
      <c r="E655" s="2">
        <f>SUMIFS(LS[Unit],LS[Investor ID],INVESTORS_LIST[[#This Row],[INVESTOR CODE]],LS[B/S],"B")</f>
        <v>0</v>
      </c>
      <c r="F655" s="2">
        <f>-SUMIFS(LS[Unit],LS[Investor ID],INVESTORS_LIST[[#This Row],[INVESTOR CODE]],LS[B/S],"S")</f>
        <v>0</v>
      </c>
      <c r="G655" s="2">
        <f>IF(INVESTORS_LIST[[#This Row],[LS_TOTAL UNITS BUY]]=0,0,INVESTORS_LIST[[#This Row],[LS_TOTAL UNITS BUY]]-INVESTORS_LIST[[#This Row],[LS_TOTAL UNITS SOLD]])</f>
        <v>0</v>
      </c>
      <c r="H655" s="4">
        <f>IF(INVESTORS_LIST[[#This Row],[LS_TOTAL UNITS BUY]]=0,0,SUMIFS(LS[Amount],LS[Investor ID],INVESTORS_LIST[[#This Row],[INVESTOR CODE]],LS[B/S],"B"))</f>
        <v>0</v>
      </c>
      <c r="I655" s="6">
        <f>IF(INVESTORS_LIST[[#This Row],[LS_TOTAL UNITS SOLD]]=0,0,SUMIFS(LS[Cost of Units Sold],LS[Investor ID],INVESTORS_LIST[[#This Row],[INVESTOR CODE]],LS[B/S],"S"))</f>
        <v>0</v>
      </c>
      <c r="J655" s="6">
        <f>IF(INVESTORS_LIST[[#This Row],[LS_TOTAL CURRENT UNITS]]=0,0,INVESTORS_LIST[[#This Row],[LS_TOTAL CURRENT UNITS]]*INVESTORS_LIST[[#This Row],[LS_AVERAGE COST]])</f>
        <v>0</v>
      </c>
      <c r="K655" s="4">
        <f>IF(INVESTORS_LIST[[#This Row],[LS_TOTAL UNITS SOLD]]=0,0,SUMIFS(LS[Realized Gain],LS[Investor ID],INVESTORS_LIST[[#This Row],[INVESTOR CODE]],LS[B/S],"S"))</f>
        <v>0</v>
      </c>
      <c r="L655" s="2">
        <f>SUMIFS(SIP[Unit],SIP[Investor ID],INVESTORS_LIST[[#This Row],[INVESTOR CODE]],SIP[B/S],"B")</f>
        <v>0</v>
      </c>
      <c r="M655" s="2">
        <f>-SUMIFS(SIP[Unit],SIP[Investor ID],INVESTORS_LIST[[#This Row],[INVESTOR CODE]],SIP[B/S],"S")</f>
        <v>0</v>
      </c>
      <c r="N655" s="33">
        <f>IF(INVESTORS_LIST[[#This Row],[SIP_TOTAL UNITS BUY]]=0,0,INVESTORS_LIST[[#This Row],[SIP_TOTAL UNITS BUY]]-INVESTORS_LIST[[#This Row],[SIP_TOTAL UNITS SOLD]])</f>
        <v>0</v>
      </c>
      <c r="O655" s="4">
        <f>IF(INVESTORS_LIST[[#This Row],[SIP_TOTAL UNITS BUY]]=0,0,SUMIFS(SIP[Amount],SIP[Investor ID],INVESTORS_LIST[[#This Row],[INVESTOR CODE]],SIP[B/S],"B"))</f>
        <v>0</v>
      </c>
      <c r="P655" s="4">
        <f>IF(INVESTORS_LIST[[#This Row],[SIP_TOTAL UNITS SOLD]]=0,0,SUMIFS(SIP[Cost of Units Sold],SIP[Investor ID],INVESTORS_LIST[[#This Row],[INVESTOR CODE]],SIP[B/S],"S"))</f>
        <v>0</v>
      </c>
      <c r="Q655" s="6">
        <f>IF(INVESTORS_LIST[[#This Row],[SIP_TOTAL CURRENT UNITS]]=0,0,INVESTORS_LIST[[#This Row],[SIP_TOTAL CURRENT UNITS]]*INVESTORS_LIST[[#This Row],[SIP_AVERAGE COST]])</f>
        <v>0</v>
      </c>
      <c r="R655" s="6">
        <f>IF(INVESTORS_LIST[[#This Row],[SIP_TOTAL UNITS SOLD]]=0,0,SUMIFS(SIP[Realized Gain],SIP[Investor ID],INVESTORS_LIST[[#This Row],[INVESTOR CODE]],SIP[B/S],"S"))</f>
        <v>0</v>
      </c>
      <c r="S655" s="33">
        <f>INVESTORS_LIST[[#This Row],[LS_TOTAL UNITS BUY]]+INVESTORS_LIST[[#This Row],[SIP_TOTAL UNITS BUY]]</f>
        <v>0</v>
      </c>
      <c r="T655" s="33">
        <f>INVESTORS_LIST[[#This Row],[LS_TOTAL UNITS SOLD]]+INVESTORS_LIST[[#This Row],[SIP_TOTAL UNITS SOLD]]</f>
        <v>0</v>
      </c>
      <c r="U655" s="33">
        <v>0</v>
      </c>
      <c r="V655" s="33">
        <f>SUMIFS(LS[BO UNIT TRANSFER],LS[Investor ID],INVESTORS_LIST[[#This Row],[INVESTOR CODE]],LS[B/S],"B")</f>
        <v>0</v>
      </c>
      <c r="W655" s="33">
        <f>SUMIFS(LS[BO UNIT TRANSFER],LS[Investor ID],INVESTORS_LIST[[#This Row],[INVESTOR CODE]],LS[B/S],"S")</f>
        <v>0</v>
      </c>
      <c r="X655" s="33">
        <f>SUMIFS(SIP[BO UNIT TRANSFER],SIP[Investor ID],INVESTORS_LIST[[#This Row],[INVESTOR CODE]],SIP[B/S],"S")</f>
        <v>0</v>
      </c>
      <c r="Y655" s="33">
        <f>SUMIFS(SIP[BO UNIT TRANSFER],SIP[Investor ID],INVESTORS_LIST[[#This Row],[INVESTOR CODE]],SIP[B/S],"B")</f>
        <v>0</v>
      </c>
      <c r="Z65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55" s="119">
        <f>INVESTORS_LIST[[#This Row],[TOTAL UNITS BUY]]-INVESTORS_LIST[[#This Row],[TOTAL UNITS SOLD]]</f>
        <v>0</v>
      </c>
      <c r="AB655" s="119">
        <f>INVESTORS_LIST[[#This Row],[TOTAL CURRENT UNITS]]-INVESTORS_LIST[[#This Row],[BO UNITS HOLD]]</f>
        <v>0</v>
      </c>
      <c r="AC655" s="119" t="e">
        <f>INDEX([4]!Table_1[BO ID],MATCH(INVESTORS_LIST[[#This Row],[INVESTOR CODE]],[4]!Table_1[INVESTOR CODE],0))</f>
        <v>#REF!</v>
      </c>
      <c r="AD655" s="33">
        <f>INVESTORS_LIST[[#This Row],[LS_TOTAL COST VALUE OF CURRENT UNITS]]+INVESTORS_LIST[[#This Row],[SIP_TOTAL COST VALUE OF CURRENT UNITS]]</f>
        <v>0</v>
      </c>
      <c r="AE655" s="44">
        <f>IF(INVESTORS_LIST[[#This Row],[TOTAL CURRENT UNITS]]=0,0,INVESTORS_LIST[[#This Row],[LS_TOTAL CURRENT UNITS]]/INVESTORS_LIST[[#This Row],[TOTAL CURRENT UNITS]])</f>
        <v>0</v>
      </c>
      <c r="AF655" s="44">
        <f>IF(INVESTORS_LIST[[#This Row],[TOTAL CURRENT UNITS]]=0,0,INVESTORS_LIST[[#This Row],[SIP_TOTAL CURRENT UNITS]]/INVESTORS_LIST[[#This Row],[TOTAL CURRENT UNITS]])</f>
        <v>0</v>
      </c>
      <c r="AG655" s="4" cm="1">
        <f t="array" ref="AG65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55" s="4" cm="1">
        <f t="array" ref="AH65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5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55" s="178">
        <f t="shared" si="17"/>
        <v>12.552</v>
      </c>
      <c r="AK655" s="118">
        <f>IF(INVESTORS_LIST[[#This Row],[TOTAL CURRENT UNITS]]=0,0,INVESTORS_LIST[[#This Row],[TOTAL CURRENT UNITS]]*INVESTORS_LIST[[#This Row],[NAV]])</f>
        <v>0</v>
      </c>
      <c r="AL655" s="4">
        <f>IF(INVESTORS_LIST[[#This Row],[LS_TOTAL CURRENT UNITS]]=0,0,INVESTORS_LIST[[#This Row],[LS_TOTAL CURRENT UNITS]]*INVESTORS_LIST[[#This Row],[NAV]])</f>
        <v>0</v>
      </c>
      <c r="AM655" s="6">
        <f>IF(INVESTORS_LIST[[#This Row],[SIP_TOTAL CURRENT UNITS]]=0,0,INVESTORS_LIST[[#This Row],[SIP_TOTAL CURRENT UNITS]]*INVESTORS_LIST[[#This Row],[NAV]])</f>
        <v>0</v>
      </c>
      <c r="AO655" s="6">
        <f>IF(INVESTORS_LIST[[#This Row],[TOTAL SELLABLE UNITS]]=0,0,INVESTORS_LIST[[#This Row],[TOTAL SELLABLE UNITS]]*INVESTORS_LIST[[#This Row],[NAV]])</f>
        <v>0</v>
      </c>
      <c r="AP655" s="6">
        <f>INVESTORS_LIST[[#This Row],[LS_TOTAL REALIZED GAIN]]+INVESTORS_LIST[[#This Row],[SIP_TOTAL REALIZED GAIN]]</f>
        <v>0</v>
      </c>
      <c r="AQ655" s="6">
        <f>INVESTORS_LIST[[#This Row],[TOTAL MARKET VALUE]]-INVESTORS_LIST[[#This Row],[TOTAL COST VALUE OF CURRENT INVESTMENT]]</f>
        <v>0</v>
      </c>
      <c r="AR655" s="6">
        <f>SUMIFS(DivAndTax[Tax Amount],DivAndTax[Investor ID],INVESTORS_LIST[[#This Row],[INVESTOR CODE]])</f>
        <v>0</v>
      </c>
      <c r="AS655" s="6">
        <f>SUMIFS(DivAndTax[Gross Dividend],DivAndTax[Investor ID],INVESTORS_LIST[[#This Row],[INVESTOR CODE]])</f>
        <v>0</v>
      </c>
      <c r="AT655" s="5">
        <f>IFERROR(INVESTORS_LIST[[#This Row],[TOTAL CURRENT UNITS]]/SUM(INVESTORS_LIST[TOTAL CURRENT UNITS]),0)</f>
        <v>0</v>
      </c>
    </row>
    <row r="656" spans="1:46">
      <c r="A656" s="182" t="s">
        <v>1497</v>
      </c>
      <c r="B656" s="182" t="s">
        <v>1492</v>
      </c>
      <c r="C656" s="218" t="s">
        <v>536</v>
      </c>
      <c r="D656" s="219" t="s">
        <v>2</v>
      </c>
      <c r="E656" s="2">
        <f>SUMIFS(LS[Unit],LS[Investor ID],INVESTORS_LIST[[#This Row],[INVESTOR CODE]],LS[B/S],"B")</f>
        <v>42440</v>
      </c>
      <c r="F656" s="2">
        <f>-SUMIFS(LS[Unit],LS[Investor ID],INVESTORS_LIST[[#This Row],[INVESTOR CODE]],LS[B/S],"S")</f>
        <v>0</v>
      </c>
      <c r="G656" s="2">
        <f>IF(INVESTORS_LIST[[#This Row],[LS_TOTAL UNITS BUY]]=0,0,INVESTORS_LIST[[#This Row],[LS_TOTAL UNITS BUY]]-INVESTORS_LIST[[#This Row],[LS_TOTAL UNITS SOLD]])</f>
        <v>42440</v>
      </c>
      <c r="H656" s="4">
        <f>IF(INVESTORS_LIST[[#This Row],[LS_TOTAL UNITS BUY]]=0,0,SUMIFS(LS[Amount],LS[Investor ID],INVESTORS_LIST[[#This Row],[INVESTOR CODE]],LS[B/S],"B"))</f>
        <v>514470.05</v>
      </c>
      <c r="I656" s="6">
        <f>IF(INVESTORS_LIST[[#This Row],[LS_TOTAL UNITS SOLD]]=0,0,SUMIFS(LS[Cost of Units Sold],LS[Investor ID],INVESTORS_LIST[[#This Row],[INVESTOR CODE]],LS[B/S],"S"))</f>
        <v>0</v>
      </c>
      <c r="J656" s="6">
        <f>IF(INVESTORS_LIST[[#This Row],[LS_TOTAL CURRENT UNITS]]=0,0,INVESTORS_LIST[[#This Row],[LS_TOTAL CURRENT UNITS]]*INVESTORS_LIST[[#This Row],[LS_AVERAGE COST]])</f>
        <v>514470.05000000005</v>
      </c>
      <c r="K656" s="4">
        <f>IF(INVESTORS_LIST[[#This Row],[LS_TOTAL UNITS SOLD]]=0,0,SUMIFS(LS[Realized Gain],LS[Investor ID],INVESTORS_LIST[[#This Row],[INVESTOR CODE]],LS[B/S],"S"))</f>
        <v>0</v>
      </c>
      <c r="L656" s="2">
        <f>SUMIFS(SIP[Unit],SIP[Investor ID],INVESTORS_LIST[[#This Row],[INVESTOR CODE]],SIP[B/S],"B")</f>
        <v>0</v>
      </c>
      <c r="M656" s="2">
        <f>-SUMIFS(SIP[Unit],SIP[Investor ID],INVESTORS_LIST[[#This Row],[INVESTOR CODE]],SIP[B/S],"S")</f>
        <v>0</v>
      </c>
      <c r="N656" s="33">
        <f>IF(INVESTORS_LIST[[#This Row],[SIP_TOTAL UNITS BUY]]=0,0,INVESTORS_LIST[[#This Row],[SIP_TOTAL UNITS BUY]]-INVESTORS_LIST[[#This Row],[SIP_TOTAL UNITS SOLD]])</f>
        <v>0</v>
      </c>
      <c r="O656" s="4">
        <f>IF(INVESTORS_LIST[[#This Row],[SIP_TOTAL UNITS BUY]]=0,0,SUMIFS(SIP[Amount],SIP[Investor ID],INVESTORS_LIST[[#This Row],[INVESTOR CODE]],SIP[B/S],"B"))</f>
        <v>0</v>
      </c>
      <c r="P656" s="4">
        <f>IF(INVESTORS_LIST[[#This Row],[SIP_TOTAL UNITS SOLD]]=0,0,SUMIFS(SIP[Cost of Units Sold],SIP[Investor ID],INVESTORS_LIST[[#This Row],[INVESTOR CODE]],SIP[B/S],"S"))</f>
        <v>0</v>
      </c>
      <c r="Q656" s="6">
        <f>IF(INVESTORS_LIST[[#This Row],[SIP_TOTAL CURRENT UNITS]]=0,0,INVESTORS_LIST[[#This Row],[SIP_TOTAL CURRENT UNITS]]*INVESTORS_LIST[[#This Row],[SIP_AVERAGE COST]])</f>
        <v>0</v>
      </c>
      <c r="R656" s="6">
        <f>IF(INVESTORS_LIST[[#This Row],[SIP_TOTAL UNITS SOLD]]=0,0,SUMIFS(SIP[Realized Gain],SIP[Investor ID],INVESTORS_LIST[[#This Row],[INVESTOR CODE]],SIP[B/S],"S"))</f>
        <v>0</v>
      </c>
      <c r="S656" s="33">
        <f>INVESTORS_LIST[[#This Row],[LS_TOTAL UNITS BUY]]+INVESTORS_LIST[[#This Row],[SIP_TOTAL UNITS BUY]]</f>
        <v>42440</v>
      </c>
      <c r="T656" s="33">
        <f>INVESTORS_LIST[[#This Row],[LS_TOTAL UNITS SOLD]]+INVESTORS_LIST[[#This Row],[SIP_TOTAL UNITS SOLD]]</f>
        <v>0</v>
      </c>
      <c r="U656" s="33">
        <v>41343</v>
      </c>
      <c r="V656" s="33">
        <f>SUMIFS(LS[BO UNIT TRANSFER],LS[Investor ID],INVESTORS_LIST[[#This Row],[INVESTOR CODE]],LS[B/S],"B")</f>
        <v>1097</v>
      </c>
      <c r="W656" s="33">
        <f>SUMIFS(LS[BO UNIT TRANSFER],LS[Investor ID],INVESTORS_LIST[[#This Row],[INVESTOR CODE]],LS[B/S],"S")</f>
        <v>0</v>
      </c>
      <c r="X656" s="33">
        <f>SUMIFS(SIP[BO UNIT TRANSFER],SIP[Investor ID],INVESTORS_LIST[[#This Row],[INVESTOR CODE]],SIP[B/S],"S")</f>
        <v>0</v>
      </c>
      <c r="Y656" s="33">
        <f>SUMIFS(SIP[BO UNIT TRANSFER],SIP[Investor ID],INVESTORS_LIST[[#This Row],[INVESTOR CODE]],SIP[B/S],"B")</f>
        <v>0</v>
      </c>
      <c r="Z65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42440</v>
      </c>
      <c r="AA656" s="119">
        <f>INVESTORS_LIST[[#This Row],[TOTAL UNITS BUY]]-INVESTORS_LIST[[#This Row],[TOTAL UNITS SOLD]]</f>
        <v>42440</v>
      </c>
      <c r="AB656" s="119">
        <f>INVESTORS_LIST[[#This Row],[TOTAL CURRENT UNITS]]-INVESTORS_LIST[[#This Row],[BO UNITS HOLD]]</f>
        <v>0</v>
      </c>
      <c r="AC656" s="119" t="e">
        <f>INDEX([4]!Table_1[BO ID],MATCH(INVESTORS_LIST[[#This Row],[INVESTOR CODE]],[4]!Table_1[INVESTOR CODE],0))</f>
        <v>#REF!</v>
      </c>
      <c r="AD656" s="33">
        <f>INVESTORS_LIST[[#This Row],[LS_TOTAL COST VALUE OF CURRENT UNITS]]+INVESTORS_LIST[[#This Row],[SIP_TOTAL COST VALUE OF CURRENT UNITS]]</f>
        <v>514470.05000000005</v>
      </c>
      <c r="AE656" s="44">
        <f>IF(INVESTORS_LIST[[#This Row],[TOTAL CURRENT UNITS]]=0,0,INVESTORS_LIST[[#This Row],[LS_TOTAL CURRENT UNITS]]/INVESTORS_LIST[[#This Row],[TOTAL CURRENT UNITS]])</f>
        <v>1</v>
      </c>
      <c r="AF656" s="44">
        <f>IF(INVESTORS_LIST[[#This Row],[TOTAL CURRENT UNITS]]=0,0,INVESTORS_LIST[[#This Row],[SIP_TOTAL CURRENT UNITS]]/INVESTORS_LIST[[#This Row],[TOTAL CURRENT UNITS]])</f>
        <v>0</v>
      </c>
      <c r="AG656" s="4" cm="1">
        <f t="array" ref="AG656">IF(INVESTORS_LIST[[#This Row],[LS_TOTAL UNITS BUY]]&gt;0,INDEX(LS[NAV at Cost (Average)],MATCH(CONCATENATE(COUNTIFS(LS[Investor ID],INVESTORS_LIST[[#This Row],[INVESTOR CODE]]),INVESTORS_LIST[[#This Row],[INVESTOR CODE]]),LS[Unique Code],0),),0)</f>
        <v>12.122291470311028</v>
      </c>
      <c r="AH656" s="4" cm="1">
        <f t="array" ref="AH65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56" s="178">
        <f>IF(INVESTORS_LIST[[#This Row],[TOTAL CURRENT UNITS]]=0,0,(INVESTORS_LIST[[#This Row],[LS_WEIGHT]]*INVESTORS_LIST[[#This Row],[LS_AVERAGE COST]])+(INVESTORS_LIST[[#This Row],[SIP_WEIGHT]]*INVESTORS_LIST[[#This Row],[SIP_AVERAGE COST]]))</f>
        <v>12.122291470311028</v>
      </c>
      <c r="AJ656" s="178">
        <f t="shared" si="17"/>
        <v>12.552</v>
      </c>
      <c r="AK656" s="118">
        <f>IF(INVESTORS_LIST[[#This Row],[TOTAL CURRENT UNITS]]=0,0,INVESTORS_LIST[[#This Row],[TOTAL CURRENT UNITS]]*INVESTORS_LIST[[#This Row],[NAV]])</f>
        <v>532706.88</v>
      </c>
      <c r="AL656" s="4">
        <f>IF(INVESTORS_LIST[[#This Row],[LS_TOTAL CURRENT UNITS]]=0,0,INVESTORS_LIST[[#This Row],[LS_TOTAL CURRENT UNITS]]*INVESTORS_LIST[[#This Row],[NAV]])</f>
        <v>532706.88</v>
      </c>
      <c r="AM656" s="6">
        <f>IF(INVESTORS_LIST[[#This Row],[SIP_TOTAL CURRENT UNITS]]=0,0,INVESTORS_LIST[[#This Row],[SIP_TOTAL CURRENT UNITS]]*INVESTORS_LIST[[#This Row],[NAV]])</f>
        <v>0</v>
      </c>
      <c r="AO656" s="6">
        <f>IF(INVESTORS_LIST[[#This Row],[TOTAL SELLABLE UNITS]]=0,0,INVESTORS_LIST[[#This Row],[TOTAL SELLABLE UNITS]]*INVESTORS_LIST[[#This Row],[NAV]])</f>
        <v>0</v>
      </c>
      <c r="AP656" s="6">
        <f>INVESTORS_LIST[[#This Row],[LS_TOTAL REALIZED GAIN]]+INVESTORS_LIST[[#This Row],[SIP_TOTAL REALIZED GAIN]]</f>
        <v>0</v>
      </c>
      <c r="AQ656" s="6">
        <f>INVESTORS_LIST[[#This Row],[TOTAL MARKET VALUE]]-INVESTORS_LIST[[#This Row],[TOTAL COST VALUE OF CURRENT INVESTMENT]]</f>
        <v>18236.829999999958</v>
      </c>
      <c r="AR656" s="6">
        <f>SUMIFS(DivAndTax[Tax Amount],DivAndTax[Investor ID],INVESTORS_LIST[[#This Row],[INVESTOR CODE]])</f>
        <v>1447.01</v>
      </c>
      <c r="AS656" s="6">
        <f>SUMIFS(DivAndTax[Gross Dividend],DivAndTax[Investor ID],INVESTORS_LIST[[#This Row],[INVESTOR CODE]])</f>
        <v>14470.05</v>
      </c>
      <c r="AT656" s="5">
        <f>IFERROR(INVESTORS_LIST[[#This Row],[TOTAL CURRENT UNITS]]/SUM(INVESTORS_LIST[TOTAL CURRENT UNITS]),0)</f>
        <v>2.0347787997911908E-3</v>
      </c>
    </row>
    <row r="657" spans="1:46" hidden="1">
      <c r="A657" t="s">
        <v>1499</v>
      </c>
      <c r="B657" t="s">
        <v>1500</v>
      </c>
      <c r="C657" t="s">
        <v>536</v>
      </c>
      <c r="D657" s="8" t="s">
        <v>2</v>
      </c>
      <c r="E657" s="2">
        <f>SUMIFS(LS[Unit],LS[Investor ID],INVESTORS_LIST[[#This Row],[INVESTOR CODE]],LS[B/S],"B")</f>
        <v>8239</v>
      </c>
      <c r="F657" s="2">
        <f>-SUMIFS(LS[Unit],LS[Investor ID],INVESTORS_LIST[[#This Row],[INVESTOR CODE]],LS[B/S],"S")</f>
        <v>8239</v>
      </c>
      <c r="G657" s="2">
        <f>IF(INVESTORS_LIST[[#This Row],[LS_TOTAL UNITS BUY]]=0,0,INVESTORS_LIST[[#This Row],[LS_TOTAL UNITS BUY]]-INVESTORS_LIST[[#This Row],[LS_TOTAL UNITS SOLD]])</f>
        <v>0</v>
      </c>
      <c r="H657" s="4">
        <f>IF(INVESTORS_LIST[[#This Row],[LS_TOTAL UNITS BUY]]=0,0,SUMIFS(LS[Amount],LS[Investor ID],INVESTORS_LIST[[#This Row],[INVESTOR CODE]],LS[B/S],"B"))</f>
        <v>100000</v>
      </c>
      <c r="I657" s="6">
        <f>IF(INVESTORS_LIST[[#This Row],[LS_TOTAL UNITS SOLD]]=0,0,SUMIFS(LS[Cost of Units Sold],LS[Investor ID],INVESTORS_LIST[[#This Row],[INVESTOR CODE]],LS[B/S],"S"))</f>
        <v>100000</v>
      </c>
      <c r="J657" s="6">
        <f>IF(INVESTORS_LIST[[#This Row],[LS_TOTAL CURRENT UNITS]]=0,0,INVESTORS_LIST[[#This Row],[LS_TOTAL CURRENT UNITS]]*INVESTORS_LIST[[#This Row],[LS_AVERAGE COST]])</f>
        <v>0</v>
      </c>
      <c r="K657" s="4">
        <f>IF(INVESTORS_LIST[[#This Row],[LS_TOTAL UNITS SOLD]]=0,0,SUMIFS(LS[Realized Gain],LS[Investor ID],INVESTORS_LIST[[#This Row],[INVESTOR CODE]],LS[B/S],"S"))</f>
        <v>194.47999999999502</v>
      </c>
      <c r="L657" s="2">
        <f>SUMIFS(SIP[Unit],SIP[Investor ID],INVESTORS_LIST[[#This Row],[INVESTOR CODE]],SIP[B/S],"B")</f>
        <v>0</v>
      </c>
      <c r="M657" s="2">
        <f>-SUMIFS(SIP[Unit],SIP[Investor ID],INVESTORS_LIST[[#This Row],[INVESTOR CODE]],SIP[B/S],"S")</f>
        <v>0</v>
      </c>
      <c r="N657" s="33">
        <f>IF(INVESTORS_LIST[[#This Row],[SIP_TOTAL UNITS BUY]]=0,0,INVESTORS_LIST[[#This Row],[SIP_TOTAL UNITS BUY]]-INVESTORS_LIST[[#This Row],[SIP_TOTAL UNITS SOLD]])</f>
        <v>0</v>
      </c>
      <c r="O657" s="4">
        <f>IF(INVESTORS_LIST[[#This Row],[SIP_TOTAL UNITS BUY]]=0,0,SUMIFS(SIP[Amount],SIP[Investor ID],INVESTORS_LIST[[#This Row],[INVESTOR CODE]],SIP[B/S],"B"))</f>
        <v>0</v>
      </c>
      <c r="P657" s="4">
        <f>IF(INVESTORS_LIST[[#This Row],[SIP_TOTAL UNITS SOLD]]=0,0,SUMIFS(SIP[Cost of Units Sold],SIP[Investor ID],INVESTORS_LIST[[#This Row],[INVESTOR CODE]],SIP[B/S],"S"))</f>
        <v>0</v>
      </c>
      <c r="Q657" s="6">
        <f>IF(INVESTORS_LIST[[#This Row],[SIP_TOTAL CURRENT UNITS]]=0,0,INVESTORS_LIST[[#This Row],[SIP_TOTAL CURRENT UNITS]]*INVESTORS_LIST[[#This Row],[SIP_AVERAGE COST]])</f>
        <v>0</v>
      </c>
      <c r="R657" s="6">
        <f>IF(INVESTORS_LIST[[#This Row],[SIP_TOTAL UNITS SOLD]]=0,0,SUMIFS(SIP[Realized Gain],SIP[Investor ID],INVESTORS_LIST[[#This Row],[INVESTOR CODE]],SIP[B/S],"S"))</f>
        <v>0</v>
      </c>
      <c r="S657" s="33">
        <f>INVESTORS_LIST[[#This Row],[LS_TOTAL UNITS BUY]]+INVESTORS_LIST[[#This Row],[SIP_TOTAL UNITS BUY]]</f>
        <v>8239</v>
      </c>
      <c r="T657" s="33">
        <f>INVESTORS_LIST[[#This Row],[LS_TOTAL UNITS SOLD]]+INVESTORS_LIST[[#This Row],[SIP_TOTAL UNITS SOLD]]</f>
        <v>8239</v>
      </c>
      <c r="U657" s="33">
        <v>0</v>
      </c>
      <c r="V657" s="33">
        <f>SUMIFS(LS[BO UNIT TRANSFER],LS[Investor ID],INVESTORS_LIST[[#This Row],[INVESTOR CODE]],LS[B/S],"B")</f>
        <v>0</v>
      </c>
      <c r="W657" s="33">
        <f>SUMIFS(LS[BO UNIT TRANSFER],LS[Investor ID],INVESTORS_LIST[[#This Row],[INVESTOR CODE]],LS[B/S],"S")</f>
        <v>0</v>
      </c>
      <c r="X657" s="33">
        <f>SUMIFS(SIP[BO UNIT TRANSFER],SIP[Investor ID],INVESTORS_LIST[[#This Row],[INVESTOR CODE]],SIP[B/S],"S")</f>
        <v>0</v>
      </c>
      <c r="Y657" s="33">
        <f>SUMIFS(SIP[BO UNIT TRANSFER],SIP[Investor ID],INVESTORS_LIST[[#This Row],[INVESTOR CODE]],SIP[B/S],"B")</f>
        <v>0</v>
      </c>
      <c r="Z65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57" s="119">
        <f>INVESTORS_LIST[[#This Row],[TOTAL UNITS BUY]]-INVESTORS_LIST[[#This Row],[TOTAL UNITS SOLD]]</f>
        <v>0</v>
      </c>
      <c r="AB657" s="119">
        <f>INVESTORS_LIST[[#This Row],[TOTAL CURRENT UNITS]]-INVESTORS_LIST[[#This Row],[BO UNITS HOLD]]</f>
        <v>0</v>
      </c>
      <c r="AC657" s="119" t="e">
        <f>INDEX([4]!Table_1[BO ID],MATCH(INVESTORS_LIST[[#This Row],[INVESTOR CODE]],[4]!Table_1[INVESTOR CODE],0))</f>
        <v>#REF!</v>
      </c>
      <c r="AD657" s="33">
        <f>INVESTORS_LIST[[#This Row],[LS_TOTAL COST VALUE OF CURRENT UNITS]]+INVESTORS_LIST[[#This Row],[SIP_TOTAL COST VALUE OF CURRENT UNITS]]</f>
        <v>0</v>
      </c>
      <c r="AE657" s="44">
        <f>IF(INVESTORS_LIST[[#This Row],[TOTAL CURRENT UNITS]]=0,0,INVESTORS_LIST[[#This Row],[LS_TOTAL CURRENT UNITS]]/INVESTORS_LIST[[#This Row],[TOTAL CURRENT UNITS]])</f>
        <v>0</v>
      </c>
      <c r="AF657" s="44">
        <f>IF(INVESTORS_LIST[[#This Row],[TOTAL CURRENT UNITS]]=0,0,INVESTORS_LIST[[#This Row],[SIP_TOTAL CURRENT UNITS]]/INVESTORS_LIST[[#This Row],[TOTAL CURRENT UNITS]])</f>
        <v>0</v>
      </c>
      <c r="AG657" s="4" cm="1">
        <f t="array" ref="AG65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57" s="4" cm="1">
        <f t="array" ref="AH65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5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57" s="178">
        <f t="shared" si="17"/>
        <v>12.552</v>
      </c>
      <c r="AK657" s="118">
        <f>IF(INVESTORS_LIST[[#This Row],[TOTAL CURRENT UNITS]]=0,0,INVESTORS_LIST[[#This Row],[TOTAL CURRENT UNITS]]*INVESTORS_LIST[[#This Row],[NAV]])</f>
        <v>0</v>
      </c>
      <c r="AL657" s="4">
        <f>IF(INVESTORS_LIST[[#This Row],[LS_TOTAL CURRENT UNITS]]=0,0,INVESTORS_LIST[[#This Row],[LS_TOTAL CURRENT UNITS]]*INVESTORS_LIST[[#This Row],[NAV]])</f>
        <v>0</v>
      </c>
      <c r="AM657" s="6">
        <f>IF(INVESTORS_LIST[[#This Row],[SIP_TOTAL CURRENT UNITS]]=0,0,INVESTORS_LIST[[#This Row],[SIP_TOTAL CURRENT UNITS]]*INVESTORS_LIST[[#This Row],[NAV]])</f>
        <v>0</v>
      </c>
      <c r="AO657" s="6">
        <f>IF(INVESTORS_LIST[[#This Row],[TOTAL SELLABLE UNITS]]=0,0,INVESTORS_LIST[[#This Row],[TOTAL SELLABLE UNITS]]*INVESTORS_LIST[[#This Row],[NAV]])</f>
        <v>0</v>
      </c>
      <c r="AP657" s="6">
        <f>INVESTORS_LIST[[#This Row],[LS_TOTAL REALIZED GAIN]]+INVESTORS_LIST[[#This Row],[SIP_TOTAL REALIZED GAIN]]</f>
        <v>194.47999999999502</v>
      </c>
      <c r="AQ657" s="6">
        <f>INVESTORS_LIST[[#This Row],[TOTAL MARKET VALUE]]-INVESTORS_LIST[[#This Row],[TOTAL COST VALUE OF CURRENT INVESTMENT]]</f>
        <v>0</v>
      </c>
      <c r="AR657" s="6">
        <f>SUMIFS(DivAndTax[Tax Amount],DivAndTax[Investor ID],INVESTORS_LIST[[#This Row],[INVESTOR CODE]])</f>
        <v>0</v>
      </c>
      <c r="AS657" s="6">
        <f>SUMIFS(DivAndTax[Gross Dividend],DivAndTax[Investor ID],INVESTORS_LIST[[#This Row],[INVESTOR CODE]])</f>
        <v>0</v>
      </c>
      <c r="AT657" s="5">
        <f>IFERROR(INVESTORS_LIST[[#This Row],[TOTAL CURRENT UNITS]]/SUM(INVESTORS_LIST[TOTAL CURRENT UNITS]),0)</f>
        <v>0</v>
      </c>
    </row>
    <row r="658" spans="1:46" hidden="1">
      <c r="A658" t="s">
        <v>1501</v>
      </c>
      <c r="B658" t="s">
        <v>1502</v>
      </c>
      <c r="C658" t="s">
        <v>536</v>
      </c>
      <c r="D658" s="8" t="s">
        <v>2</v>
      </c>
      <c r="E658" s="2">
        <f>SUMIFS(LS[Unit],LS[Investor ID],INVESTORS_LIST[[#This Row],[INVESTOR CODE]],LS[B/S],"B")</f>
        <v>0</v>
      </c>
      <c r="F658" s="2">
        <f>-SUMIFS(LS[Unit],LS[Investor ID],INVESTORS_LIST[[#This Row],[INVESTOR CODE]],LS[B/S],"S")</f>
        <v>0</v>
      </c>
      <c r="G658" s="2">
        <f>IF(INVESTORS_LIST[[#This Row],[LS_TOTAL UNITS BUY]]=0,0,INVESTORS_LIST[[#This Row],[LS_TOTAL UNITS BUY]]-INVESTORS_LIST[[#This Row],[LS_TOTAL UNITS SOLD]])</f>
        <v>0</v>
      </c>
      <c r="H658" s="4">
        <f>IF(INVESTORS_LIST[[#This Row],[LS_TOTAL UNITS BUY]]=0,0,SUMIFS(LS[Amount],LS[Investor ID],INVESTORS_LIST[[#This Row],[INVESTOR CODE]],LS[B/S],"B"))</f>
        <v>0</v>
      </c>
      <c r="I658" s="6">
        <f>IF(INVESTORS_LIST[[#This Row],[LS_TOTAL UNITS SOLD]]=0,0,SUMIFS(LS[Cost of Units Sold],LS[Investor ID],INVESTORS_LIST[[#This Row],[INVESTOR CODE]],LS[B/S],"S"))</f>
        <v>0</v>
      </c>
      <c r="J658" s="6">
        <f>IF(INVESTORS_LIST[[#This Row],[LS_TOTAL CURRENT UNITS]]=0,0,INVESTORS_LIST[[#This Row],[LS_TOTAL CURRENT UNITS]]*INVESTORS_LIST[[#This Row],[LS_AVERAGE COST]])</f>
        <v>0</v>
      </c>
      <c r="K658" s="4">
        <f>IF(INVESTORS_LIST[[#This Row],[LS_TOTAL UNITS SOLD]]=0,0,SUMIFS(LS[Realized Gain],LS[Investor ID],INVESTORS_LIST[[#This Row],[INVESTOR CODE]],LS[B/S],"S"))</f>
        <v>0</v>
      </c>
      <c r="L658" s="2">
        <f>SUMIFS(SIP[Unit],SIP[Investor ID],INVESTORS_LIST[[#This Row],[INVESTOR CODE]],SIP[B/S],"B")</f>
        <v>0</v>
      </c>
      <c r="M658" s="2">
        <f>-SUMIFS(SIP[Unit],SIP[Investor ID],INVESTORS_LIST[[#This Row],[INVESTOR CODE]],SIP[B/S],"S")</f>
        <v>0</v>
      </c>
      <c r="N658" s="33">
        <f>IF(INVESTORS_LIST[[#This Row],[SIP_TOTAL UNITS BUY]]=0,0,INVESTORS_LIST[[#This Row],[SIP_TOTAL UNITS BUY]]-INVESTORS_LIST[[#This Row],[SIP_TOTAL UNITS SOLD]])</f>
        <v>0</v>
      </c>
      <c r="O658" s="4">
        <f>IF(INVESTORS_LIST[[#This Row],[SIP_TOTAL UNITS BUY]]=0,0,SUMIFS(SIP[Amount],SIP[Investor ID],INVESTORS_LIST[[#This Row],[INVESTOR CODE]],SIP[B/S],"B"))</f>
        <v>0</v>
      </c>
      <c r="P658" s="4">
        <f>IF(INVESTORS_LIST[[#This Row],[SIP_TOTAL UNITS SOLD]]=0,0,SUMIFS(SIP[Cost of Units Sold],SIP[Investor ID],INVESTORS_LIST[[#This Row],[INVESTOR CODE]],SIP[B/S],"S"))</f>
        <v>0</v>
      </c>
      <c r="Q658" s="6">
        <f>IF(INVESTORS_LIST[[#This Row],[SIP_TOTAL CURRENT UNITS]]=0,0,INVESTORS_LIST[[#This Row],[SIP_TOTAL CURRENT UNITS]]*INVESTORS_LIST[[#This Row],[SIP_AVERAGE COST]])</f>
        <v>0</v>
      </c>
      <c r="R658" s="6">
        <f>IF(INVESTORS_LIST[[#This Row],[SIP_TOTAL UNITS SOLD]]=0,0,SUMIFS(SIP[Realized Gain],SIP[Investor ID],INVESTORS_LIST[[#This Row],[INVESTOR CODE]],SIP[B/S],"S"))</f>
        <v>0</v>
      </c>
      <c r="S658" s="33">
        <f>INVESTORS_LIST[[#This Row],[LS_TOTAL UNITS BUY]]+INVESTORS_LIST[[#This Row],[SIP_TOTAL UNITS BUY]]</f>
        <v>0</v>
      </c>
      <c r="T658" s="33">
        <f>INVESTORS_LIST[[#This Row],[LS_TOTAL UNITS SOLD]]+INVESTORS_LIST[[#This Row],[SIP_TOTAL UNITS SOLD]]</f>
        <v>0</v>
      </c>
      <c r="U658" s="33">
        <v>0</v>
      </c>
      <c r="V658" s="33">
        <f>SUMIFS(LS[BO UNIT TRANSFER],LS[Investor ID],INVESTORS_LIST[[#This Row],[INVESTOR CODE]],LS[B/S],"B")</f>
        <v>0</v>
      </c>
      <c r="W658" s="33">
        <f>SUMIFS(LS[BO UNIT TRANSFER],LS[Investor ID],INVESTORS_LIST[[#This Row],[INVESTOR CODE]],LS[B/S],"S")</f>
        <v>0</v>
      </c>
      <c r="X658" s="33">
        <f>SUMIFS(SIP[BO UNIT TRANSFER],SIP[Investor ID],INVESTORS_LIST[[#This Row],[INVESTOR CODE]],SIP[B/S],"S")</f>
        <v>0</v>
      </c>
      <c r="Y658" s="33">
        <f>SUMIFS(SIP[BO UNIT TRANSFER],SIP[Investor ID],INVESTORS_LIST[[#This Row],[INVESTOR CODE]],SIP[B/S],"B")</f>
        <v>0</v>
      </c>
      <c r="Z65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58" s="119">
        <f>INVESTORS_LIST[[#This Row],[TOTAL UNITS BUY]]-INVESTORS_LIST[[#This Row],[TOTAL UNITS SOLD]]</f>
        <v>0</v>
      </c>
      <c r="AB658" s="119">
        <f>INVESTORS_LIST[[#This Row],[TOTAL CURRENT UNITS]]-INVESTORS_LIST[[#This Row],[BO UNITS HOLD]]</f>
        <v>0</v>
      </c>
      <c r="AC658" s="119" t="e">
        <f>INDEX([4]!Table_1[BO ID],MATCH(INVESTORS_LIST[[#This Row],[INVESTOR CODE]],[4]!Table_1[INVESTOR CODE],0))</f>
        <v>#REF!</v>
      </c>
      <c r="AD658" s="33">
        <f>INVESTORS_LIST[[#This Row],[LS_TOTAL COST VALUE OF CURRENT UNITS]]+INVESTORS_LIST[[#This Row],[SIP_TOTAL COST VALUE OF CURRENT UNITS]]</f>
        <v>0</v>
      </c>
      <c r="AE658" s="44">
        <f>IF(INVESTORS_LIST[[#This Row],[TOTAL CURRENT UNITS]]=0,0,INVESTORS_LIST[[#This Row],[LS_TOTAL CURRENT UNITS]]/INVESTORS_LIST[[#This Row],[TOTAL CURRENT UNITS]])</f>
        <v>0</v>
      </c>
      <c r="AF658" s="44">
        <f>IF(INVESTORS_LIST[[#This Row],[TOTAL CURRENT UNITS]]=0,0,INVESTORS_LIST[[#This Row],[SIP_TOTAL CURRENT UNITS]]/INVESTORS_LIST[[#This Row],[TOTAL CURRENT UNITS]])</f>
        <v>0</v>
      </c>
      <c r="AG658" s="4" cm="1">
        <f t="array" ref="AG65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58" s="4" cm="1">
        <f t="array" ref="AH65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5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58" s="178">
        <f t="shared" si="17"/>
        <v>12.552</v>
      </c>
      <c r="AK658" s="118">
        <f>IF(INVESTORS_LIST[[#This Row],[TOTAL CURRENT UNITS]]=0,0,INVESTORS_LIST[[#This Row],[TOTAL CURRENT UNITS]]*INVESTORS_LIST[[#This Row],[NAV]])</f>
        <v>0</v>
      </c>
      <c r="AL658" s="4">
        <f>IF(INVESTORS_LIST[[#This Row],[LS_TOTAL CURRENT UNITS]]=0,0,INVESTORS_LIST[[#This Row],[LS_TOTAL CURRENT UNITS]]*INVESTORS_LIST[[#This Row],[NAV]])</f>
        <v>0</v>
      </c>
      <c r="AM658" s="6">
        <f>IF(INVESTORS_LIST[[#This Row],[SIP_TOTAL CURRENT UNITS]]=0,0,INVESTORS_LIST[[#This Row],[SIP_TOTAL CURRENT UNITS]]*INVESTORS_LIST[[#This Row],[NAV]])</f>
        <v>0</v>
      </c>
      <c r="AO658" s="6">
        <f>IF(INVESTORS_LIST[[#This Row],[TOTAL SELLABLE UNITS]]=0,0,INVESTORS_LIST[[#This Row],[TOTAL SELLABLE UNITS]]*INVESTORS_LIST[[#This Row],[NAV]])</f>
        <v>0</v>
      </c>
      <c r="AP658" s="6">
        <f>INVESTORS_LIST[[#This Row],[LS_TOTAL REALIZED GAIN]]+INVESTORS_LIST[[#This Row],[SIP_TOTAL REALIZED GAIN]]</f>
        <v>0</v>
      </c>
      <c r="AQ658" s="6">
        <f>INVESTORS_LIST[[#This Row],[TOTAL MARKET VALUE]]-INVESTORS_LIST[[#This Row],[TOTAL COST VALUE OF CURRENT INVESTMENT]]</f>
        <v>0</v>
      </c>
      <c r="AR658" s="6">
        <f>SUMIFS(DivAndTax[Tax Amount],DivAndTax[Investor ID],INVESTORS_LIST[[#This Row],[INVESTOR CODE]])</f>
        <v>0</v>
      </c>
      <c r="AS658" s="6">
        <f>SUMIFS(DivAndTax[Gross Dividend],DivAndTax[Investor ID],INVESTORS_LIST[[#This Row],[INVESTOR CODE]])</f>
        <v>0</v>
      </c>
      <c r="AT658" s="5">
        <f>IFERROR(INVESTORS_LIST[[#This Row],[TOTAL CURRENT UNITS]]/SUM(INVESTORS_LIST[TOTAL CURRENT UNITS]),0)</f>
        <v>0</v>
      </c>
    </row>
    <row r="659" spans="1:46">
      <c r="A659" t="s">
        <v>1503</v>
      </c>
      <c r="B659" t="s">
        <v>1504</v>
      </c>
      <c r="C659" t="s">
        <v>536</v>
      </c>
      <c r="D659" s="8" t="s">
        <v>2</v>
      </c>
      <c r="E659" s="2">
        <f>SUMIFS(LS[Unit],LS[Investor ID],INVESTORS_LIST[[#This Row],[INVESTOR CODE]],LS[B/S],"B")</f>
        <v>0</v>
      </c>
      <c r="F659" s="2">
        <f>-SUMIFS(LS[Unit],LS[Investor ID],INVESTORS_LIST[[#This Row],[INVESTOR CODE]],LS[B/S],"S")</f>
        <v>0</v>
      </c>
      <c r="G659" s="2">
        <f>IF(INVESTORS_LIST[[#This Row],[LS_TOTAL UNITS BUY]]=0,0,INVESTORS_LIST[[#This Row],[LS_TOTAL UNITS BUY]]-INVESTORS_LIST[[#This Row],[LS_TOTAL UNITS SOLD]])</f>
        <v>0</v>
      </c>
      <c r="H659" s="4">
        <f>IF(INVESTORS_LIST[[#This Row],[LS_TOTAL UNITS BUY]]=0,0,SUMIFS(LS[Amount],LS[Investor ID],INVESTORS_LIST[[#This Row],[INVESTOR CODE]],LS[B/S],"B"))</f>
        <v>0</v>
      </c>
      <c r="I659" s="6">
        <f>IF(INVESTORS_LIST[[#This Row],[LS_TOTAL UNITS SOLD]]=0,0,SUMIFS(LS[Cost of Units Sold],LS[Investor ID],INVESTORS_LIST[[#This Row],[INVESTOR CODE]],LS[B/S],"S"))</f>
        <v>0</v>
      </c>
      <c r="J659" s="6">
        <f>IF(INVESTORS_LIST[[#This Row],[LS_TOTAL CURRENT UNITS]]=0,0,INVESTORS_LIST[[#This Row],[LS_TOTAL CURRENT UNITS]]*INVESTORS_LIST[[#This Row],[LS_AVERAGE COST]])</f>
        <v>0</v>
      </c>
      <c r="K659" s="4">
        <f>IF(INVESTORS_LIST[[#This Row],[LS_TOTAL UNITS SOLD]]=0,0,SUMIFS(LS[Realized Gain],LS[Investor ID],INVESTORS_LIST[[#This Row],[INVESTOR CODE]],LS[B/S],"S"))</f>
        <v>0</v>
      </c>
      <c r="L659" s="2">
        <f>SUMIFS(SIP[Unit],SIP[Investor ID],INVESTORS_LIST[[#This Row],[INVESTOR CODE]],SIP[B/S],"B")</f>
        <v>2425</v>
      </c>
      <c r="M659" s="2">
        <f>-SUMIFS(SIP[Unit],SIP[Investor ID],INVESTORS_LIST[[#This Row],[INVESTOR CODE]],SIP[B/S],"S")</f>
        <v>0</v>
      </c>
      <c r="N659" s="33">
        <f>IF(INVESTORS_LIST[[#This Row],[SIP_TOTAL UNITS BUY]]=0,0,INVESTORS_LIST[[#This Row],[SIP_TOTAL UNITS BUY]]-INVESTORS_LIST[[#This Row],[SIP_TOTAL UNITS SOLD]])</f>
        <v>2425</v>
      </c>
      <c r="O659" s="4">
        <f>IF(INVESTORS_LIST[[#This Row],[SIP_TOTAL UNITS BUY]]=0,0,SUMIFS(SIP[Amount],SIP[Investor ID],INVESTORS_LIST[[#This Row],[INVESTOR CODE]],SIP[B/S],"B"))</f>
        <v>30000</v>
      </c>
      <c r="P659" s="4">
        <f>IF(INVESTORS_LIST[[#This Row],[SIP_TOTAL UNITS SOLD]]=0,0,SUMIFS(SIP[Cost of Units Sold],SIP[Investor ID],INVESTORS_LIST[[#This Row],[INVESTOR CODE]],SIP[B/S],"S"))</f>
        <v>0</v>
      </c>
      <c r="Q659" s="6">
        <f>IF(INVESTORS_LIST[[#This Row],[SIP_TOTAL CURRENT UNITS]]=0,0,INVESTORS_LIST[[#This Row],[SIP_TOTAL CURRENT UNITS]]*INVESTORS_LIST[[#This Row],[SIP_AVERAGE COST]])</f>
        <v>30000</v>
      </c>
      <c r="R659" s="6">
        <f>IF(INVESTORS_LIST[[#This Row],[SIP_TOTAL UNITS SOLD]]=0,0,SUMIFS(SIP[Realized Gain],SIP[Investor ID],INVESTORS_LIST[[#This Row],[INVESTOR CODE]],SIP[B/S],"S"))</f>
        <v>0</v>
      </c>
      <c r="S659" s="33">
        <f>INVESTORS_LIST[[#This Row],[LS_TOTAL UNITS BUY]]+INVESTORS_LIST[[#This Row],[SIP_TOTAL UNITS BUY]]</f>
        <v>2425</v>
      </c>
      <c r="T659" s="33">
        <f>INVESTORS_LIST[[#This Row],[LS_TOTAL UNITS SOLD]]+INVESTORS_LIST[[#This Row],[SIP_TOTAL UNITS SOLD]]</f>
        <v>0</v>
      </c>
      <c r="U659" s="33">
        <v>1251</v>
      </c>
      <c r="V659" s="33">
        <f>SUMIFS(LS[BO UNIT TRANSFER],LS[Investor ID],INVESTORS_LIST[[#This Row],[INVESTOR CODE]],LS[B/S],"B")</f>
        <v>0</v>
      </c>
      <c r="W659" s="33">
        <f>SUMIFS(LS[BO UNIT TRANSFER],LS[Investor ID],INVESTORS_LIST[[#This Row],[INVESTOR CODE]],LS[B/S],"S")</f>
        <v>0</v>
      </c>
      <c r="X659" s="33">
        <f>SUMIFS(SIP[BO UNIT TRANSFER],SIP[Investor ID],INVESTORS_LIST[[#This Row],[INVESTOR CODE]],SIP[B/S],"S")</f>
        <v>0</v>
      </c>
      <c r="Y659" s="33">
        <f>SUMIFS(SIP[BO UNIT TRANSFER],SIP[Investor ID],INVESTORS_LIST[[#This Row],[INVESTOR CODE]],SIP[B/S],"B")</f>
        <v>820</v>
      </c>
      <c r="Z65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2071</v>
      </c>
      <c r="AA659" s="119">
        <f>INVESTORS_LIST[[#This Row],[TOTAL UNITS BUY]]-INVESTORS_LIST[[#This Row],[TOTAL UNITS SOLD]]</f>
        <v>2425</v>
      </c>
      <c r="AB659" s="119">
        <f>INVESTORS_LIST[[#This Row],[TOTAL CURRENT UNITS]]-INVESTORS_LIST[[#This Row],[BO UNITS HOLD]]</f>
        <v>354</v>
      </c>
      <c r="AC659" s="119" t="e">
        <f>INDEX([4]!Table_1[BO ID],MATCH(INVESTORS_LIST[[#This Row],[INVESTOR CODE]],[4]!Table_1[INVESTOR CODE],0))</f>
        <v>#REF!</v>
      </c>
      <c r="AD659" s="33">
        <f>INVESTORS_LIST[[#This Row],[LS_TOTAL COST VALUE OF CURRENT UNITS]]+INVESTORS_LIST[[#This Row],[SIP_TOTAL COST VALUE OF CURRENT UNITS]]</f>
        <v>30000</v>
      </c>
      <c r="AE659" s="44">
        <f>IF(INVESTORS_LIST[[#This Row],[TOTAL CURRENT UNITS]]=0,0,INVESTORS_LIST[[#This Row],[LS_TOTAL CURRENT UNITS]]/INVESTORS_LIST[[#This Row],[TOTAL CURRENT UNITS]])</f>
        <v>0</v>
      </c>
      <c r="AF659" s="44">
        <f>IF(INVESTORS_LIST[[#This Row],[TOTAL CURRENT UNITS]]=0,0,INVESTORS_LIST[[#This Row],[SIP_TOTAL CURRENT UNITS]]/INVESTORS_LIST[[#This Row],[TOTAL CURRENT UNITS]])</f>
        <v>1</v>
      </c>
      <c r="AG659" s="4" cm="1">
        <f t="array" ref="AG65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59" s="4" cm="1">
        <f t="array" ref="AH659">IF(INVESTORS_LIST[[#This Row],[SIP_TOTAL UNITS BUY]]&gt;0,INDEX(SIP[NAV at Cost (Average)],MATCH(CONCATENATE(COUNTIFS(SIP[Investor ID],INVESTORS_LIST[[#This Row],[INVESTOR CODE]]),INVESTORS_LIST[[#This Row],[INVESTOR CODE]]),SIP[Unique Code],0),),0)</f>
        <v>12.371134020618557</v>
      </c>
      <c r="AI659" s="178">
        <f>IF(INVESTORS_LIST[[#This Row],[TOTAL CURRENT UNITS]]=0,0,(INVESTORS_LIST[[#This Row],[LS_WEIGHT]]*INVESTORS_LIST[[#This Row],[LS_AVERAGE COST]])+(INVESTORS_LIST[[#This Row],[SIP_WEIGHT]]*INVESTORS_LIST[[#This Row],[SIP_AVERAGE COST]]))</f>
        <v>12.371134020618557</v>
      </c>
      <c r="AJ659" s="178">
        <f t="shared" si="17"/>
        <v>12.552</v>
      </c>
      <c r="AK659" s="118">
        <f>IF(INVESTORS_LIST[[#This Row],[TOTAL CURRENT UNITS]]=0,0,INVESTORS_LIST[[#This Row],[TOTAL CURRENT UNITS]]*INVESTORS_LIST[[#This Row],[NAV]])</f>
        <v>30438.6</v>
      </c>
      <c r="AL659" s="4">
        <f>IF(INVESTORS_LIST[[#This Row],[LS_TOTAL CURRENT UNITS]]=0,0,INVESTORS_LIST[[#This Row],[LS_TOTAL CURRENT UNITS]]*INVESTORS_LIST[[#This Row],[NAV]])</f>
        <v>0</v>
      </c>
      <c r="AM659" s="6">
        <f>IF(INVESTORS_LIST[[#This Row],[SIP_TOTAL CURRENT UNITS]]=0,0,INVESTORS_LIST[[#This Row],[SIP_TOTAL CURRENT UNITS]]*INVESTORS_LIST[[#This Row],[NAV]])</f>
        <v>30438.6</v>
      </c>
      <c r="AO659" s="6">
        <f>IF(INVESTORS_LIST[[#This Row],[TOTAL SELLABLE UNITS]]=0,0,INVESTORS_LIST[[#This Row],[TOTAL SELLABLE UNITS]]*INVESTORS_LIST[[#This Row],[NAV]])</f>
        <v>0</v>
      </c>
      <c r="AP659" s="6">
        <f>INVESTORS_LIST[[#This Row],[LS_TOTAL REALIZED GAIN]]+INVESTORS_LIST[[#This Row],[SIP_TOTAL REALIZED GAIN]]</f>
        <v>0</v>
      </c>
      <c r="AQ659" s="6">
        <f>INVESTORS_LIST[[#This Row],[TOTAL MARKET VALUE]]-INVESTORS_LIST[[#This Row],[TOTAL COST VALUE OF CURRENT INVESTMENT]]</f>
        <v>438.59999999999854</v>
      </c>
      <c r="AR659" s="6">
        <f>SUMIFS(DivAndTax[Tax Amount],DivAndTax[Investor ID],INVESTORS_LIST[[#This Row],[INVESTOR CODE]])</f>
        <v>65.680000000000007</v>
      </c>
      <c r="AS659" s="6">
        <f>SUMIFS(DivAndTax[Gross Dividend],DivAndTax[Investor ID],INVESTORS_LIST[[#This Row],[INVESTOR CODE]])</f>
        <v>437.84999999999997</v>
      </c>
      <c r="AT659" s="5">
        <f>IFERROR(INVESTORS_LIST[[#This Row],[TOTAL CURRENT UNITS]]/SUM(INVESTORS_LIST[TOTAL CURRENT UNITS]),0)</f>
        <v>1.1626622501163141E-4</v>
      </c>
    </row>
    <row r="660" spans="1:46" hidden="1">
      <c r="A660" t="s">
        <v>1505</v>
      </c>
      <c r="B660" t="s">
        <v>1506</v>
      </c>
      <c r="C660" t="s">
        <v>536</v>
      </c>
      <c r="D660" s="8" t="s">
        <v>2</v>
      </c>
      <c r="E660" s="2">
        <f>SUMIFS(LS[Unit],LS[Investor ID],INVESTORS_LIST[[#This Row],[INVESTOR CODE]],LS[B/S],"B")</f>
        <v>0</v>
      </c>
      <c r="F660" s="2">
        <f>-SUMIFS(LS[Unit],LS[Investor ID],INVESTORS_LIST[[#This Row],[INVESTOR CODE]],LS[B/S],"S")</f>
        <v>0</v>
      </c>
      <c r="G660" s="2">
        <f>IF(INVESTORS_LIST[[#This Row],[LS_TOTAL UNITS BUY]]=0,0,INVESTORS_LIST[[#This Row],[LS_TOTAL UNITS BUY]]-INVESTORS_LIST[[#This Row],[LS_TOTAL UNITS SOLD]])</f>
        <v>0</v>
      </c>
      <c r="H660" s="4">
        <f>IF(INVESTORS_LIST[[#This Row],[LS_TOTAL UNITS BUY]]=0,0,SUMIFS(LS[Amount],LS[Investor ID],INVESTORS_LIST[[#This Row],[INVESTOR CODE]],LS[B/S],"B"))</f>
        <v>0</v>
      </c>
      <c r="I660" s="6">
        <f>IF(INVESTORS_LIST[[#This Row],[LS_TOTAL UNITS SOLD]]=0,0,SUMIFS(LS[Cost of Units Sold],LS[Investor ID],INVESTORS_LIST[[#This Row],[INVESTOR CODE]],LS[B/S],"S"))</f>
        <v>0</v>
      </c>
      <c r="J660" s="6">
        <f>IF(INVESTORS_LIST[[#This Row],[LS_TOTAL CURRENT UNITS]]=0,0,INVESTORS_LIST[[#This Row],[LS_TOTAL CURRENT UNITS]]*INVESTORS_LIST[[#This Row],[LS_AVERAGE COST]])</f>
        <v>0</v>
      </c>
      <c r="K660" s="4">
        <f>IF(INVESTORS_LIST[[#This Row],[LS_TOTAL UNITS SOLD]]=0,0,SUMIFS(LS[Realized Gain],LS[Investor ID],INVESTORS_LIST[[#This Row],[INVESTOR CODE]],LS[B/S],"S"))</f>
        <v>0</v>
      </c>
      <c r="L660" s="2">
        <f>SUMIFS(SIP[Unit],SIP[Investor ID],INVESTORS_LIST[[#This Row],[INVESTOR CODE]],SIP[B/S],"B")</f>
        <v>0</v>
      </c>
      <c r="M660" s="2">
        <f>-SUMIFS(SIP[Unit],SIP[Investor ID],INVESTORS_LIST[[#This Row],[INVESTOR CODE]],SIP[B/S],"S")</f>
        <v>0</v>
      </c>
      <c r="N660" s="33">
        <f>IF(INVESTORS_LIST[[#This Row],[SIP_TOTAL UNITS BUY]]=0,0,INVESTORS_LIST[[#This Row],[SIP_TOTAL UNITS BUY]]-INVESTORS_LIST[[#This Row],[SIP_TOTAL UNITS SOLD]])</f>
        <v>0</v>
      </c>
      <c r="O660" s="4">
        <f>IF(INVESTORS_LIST[[#This Row],[SIP_TOTAL UNITS BUY]]=0,0,SUMIFS(SIP[Amount],SIP[Investor ID],INVESTORS_LIST[[#This Row],[INVESTOR CODE]],SIP[B/S],"B"))</f>
        <v>0</v>
      </c>
      <c r="P660" s="4">
        <f>IF(INVESTORS_LIST[[#This Row],[SIP_TOTAL UNITS SOLD]]=0,0,SUMIFS(SIP[Cost of Units Sold],SIP[Investor ID],INVESTORS_LIST[[#This Row],[INVESTOR CODE]],SIP[B/S],"S"))</f>
        <v>0</v>
      </c>
      <c r="Q660" s="6">
        <f>IF(INVESTORS_LIST[[#This Row],[SIP_TOTAL CURRENT UNITS]]=0,0,INVESTORS_LIST[[#This Row],[SIP_TOTAL CURRENT UNITS]]*INVESTORS_LIST[[#This Row],[SIP_AVERAGE COST]])</f>
        <v>0</v>
      </c>
      <c r="R660" s="6">
        <f>IF(INVESTORS_LIST[[#This Row],[SIP_TOTAL UNITS SOLD]]=0,0,SUMIFS(SIP[Realized Gain],SIP[Investor ID],INVESTORS_LIST[[#This Row],[INVESTOR CODE]],SIP[B/S],"S"))</f>
        <v>0</v>
      </c>
      <c r="S660" s="33">
        <f>INVESTORS_LIST[[#This Row],[LS_TOTAL UNITS BUY]]+INVESTORS_LIST[[#This Row],[SIP_TOTAL UNITS BUY]]</f>
        <v>0</v>
      </c>
      <c r="T660" s="33">
        <f>INVESTORS_LIST[[#This Row],[LS_TOTAL UNITS SOLD]]+INVESTORS_LIST[[#This Row],[SIP_TOTAL UNITS SOLD]]</f>
        <v>0</v>
      </c>
      <c r="U660" s="33">
        <v>0</v>
      </c>
      <c r="V660" s="33">
        <f>SUMIFS(LS[BO UNIT TRANSFER],LS[Investor ID],INVESTORS_LIST[[#This Row],[INVESTOR CODE]],LS[B/S],"B")</f>
        <v>0</v>
      </c>
      <c r="W660" s="33">
        <f>SUMIFS(LS[BO UNIT TRANSFER],LS[Investor ID],INVESTORS_LIST[[#This Row],[INVESTOR CODE]],LS[B/S],"S")</f>
        <v>0</v>
      </c>
      <c r="X660" s="33">
        <f>SUMIFS(SIP[BO UNIT TRANSFER],SIP[Investor ID],INVESTORS_LIST[[#This Row],[INVESTOR CODE]],SIP[B/S],"S")</f>
        <v>0</v>
      </c>
      <c r="Y660" s="33">
        <f>SUMIFS(SIP[BO UNIT TRANSFER],SIP[Investor ID],INVESTORS_LIST[[#This Row],[INVESTOR CODE]],SIP[B/S],"B")</f>
        <v>0</v>
      </c>
      <c r="Z66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60" s="119">
        <f>INVESTORS_LIST[[#This Row],[TOTAL UNITS BUY]]-INVESTORS_LIST[[#This Row],[TOTAL UNITS SOLD]]</f>
        <v>0</v>
      </c>
      <c r="AB660" s="119">
        <f>INVESTORS_LIST[[#This Row],[TOTAL CURRENT UNITS]]-INVESTORS_LIST[[#This Row],[BO UNITS HOLD]]</f>
        <v>0</v>
      </c>
      <c r="AC660" s="119" t="e">
        <f>INDEX([4]!Table_1[BO ID],MATCH(INVESTORS_LIST[[#This Row],[INVESTOR CODE]],[4]!Table_1[INVESTOR CODE],0))</f>
        <v>#REF!</v>
      </c>
      <c r="AD660" s="33">
        <f>INVESTORS_LIST[[#This Row],[LS_TOTAL COST VALUE OF CURRENT UNITS]]+INVESTORS_LIST[[#This Row],[SIP_TOTAL COST VALUE OF CURRENT UNITS]]</f>
        <v>0</v>
      </c>
      <c r="AE660" s="44">
        <f>IF(INVESTORS_LIST[[#This Row],[TOTAL CURRENT UNITS]]=0,0,INVESTORS_LIST[[#This Row],[LS_TOTAL CURRENT UNITS]]/INVESTORS_LIST[[#This Row],[TOTAL CURRENT UNITS]])</f>
        <v>0</v>
      </c>
      <c r="AF660" s="44">
        <f>IF(INVESTORS_LIST[[#This Row],[TOTAL CURRENT UNITS]]=0,0,INVESTORS_LIST[[#This Row],[SIP_TOTAL CURRENT UNITS]]/INVESTORS_LIST[[#This Row],[TOTAL CURRENT UNITS]])</f>
        <v>0</v>
      </c>
      <c r="AG660" s="4" cm="1">
        <f t="array" ref="AG66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60" s="4" cm="1">
        <f t="array" ref="AH66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6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60" s="178">
        <f t="shared" si="17"/>
        <v>12.552</v>
      </c>
      <c r="AK660" s="118">
        <f>IF(INVESTORS_LIST[[#This Row],[TOTAL CURRENT UNITS]]=0,0,INVESTORS_LIST[[#This Row],[TOTAL CURRENT UNITS]]*INVESTORS_LIST[[#This Row],[NAV]])</f>
        <v>0</v>
      </c>
      <c r="AL660" s="4">
        <f>IF(INVESTORS_LIST[[#This Row],[LS_TOTAL CURRENT UNITS]]=0,0,INVESTORS_LIST[[#This Row],[LS_TOTAL CURRENT UNITS]]*INVESTORS_LIST[[#This Row],[NAV]])</f>
        <v>0</v>
      </c>
      <c r="AM660" s="6">
        <f>IF(INVESTORS_LIST[[#This Row],[SIP_TOTAL CURRENT UNITS]]=0,0,INVESTORS_LIST[[#This Row],[SIP_TOTAL CURRENT UNITS]]*INVESTORS_LIST[[#This Row],[NAV]])</f>
        <v>0</v>
      </c>
      <c r="AO660" s="6">
        <f>IF(INVESTORS_LIST[[#This Row],[TOTAL SELLABLE UNITS]]=0,0,INVESTORS_LIST[[#This Row],[TOTAL SELLABLE UNITS]]*INVESTORS_LIST[[#This Row],[NAV]])</f>
        <v>0</v>
      </c>
      <c r="AP660" s="6">
        <f>INVESTORS_LIST[[#This Row],[LS_TOTAL REALIZED GAIN]]+INVESTORS_LIST[[#This Row],[SIP_TOTAL REALIZED GAIN]]</f>
        <v>0</v>
      </c>
      <c r="AQ660" s="6">
        <f>INVESTORS_LIST[[#This Row],[TOTAL MARKET VALUE]]-INVESTORS_LIST[[#This Row],[TOTAL COST VALUE OF CURRENT INVESTMENT]]</f>
        <v>0</v>
      </c>
      <c r="AR660" s="6">
        <f>SUMIFS(DivAndTax[Tax Amount],DivAndTax[Investor ID],INVESTORS_LIST[[#This Row],[INVESTOR CODE]])</f>
        <v>0</v>
      </c>
      <c r="AS660" s="6">
        <f>SUMIFS(DivAndTax[Gross Dividend],DivAndTax[Investor ID],INVESTORS_LIST[[#This Row],[INVESTOR CODE]])</f>
        <v>0</v>
      </c>
      <c r="AT660" s="5">
        <f>IFERROR(INVESTORS_LIST[[#This Row],[TOTAL CURRENT UNITS]]/SUM(INVESTORS_LIST[TOTAL CURRENT UNITS]),0)</f>
        <v>0</v>
      </c>
    </row>
    <row r="661" spans="1:46">
      <c r="A661" t="s">
        <v>1512</v>
      </c>
      <c r="B661" t="s">
        <v>1513</v>
      </c>
      <c r="C661" t="s">
        <v>536</v>
      </c>
      <c r="D661" s="8" t="s">
        <v>2</v>
      </c>
      <c r="E661" s="2">
        <f>SUMIFS(LS[Unit],LS[Investor ID],INVESTORS_LIST[[#This Row],[INVESTOR CODE]],LS[B/S],"B")</f>
        <v>1027</v>
      </c>
      <c r="F661" s="2">
        <f>-SUMIFS(LS[Unit],LS[Investor ID],INVESTORS_LIST[[#This Row],[INVESTOR CODE]],LS[B/S],"S")</f>
        <v>0</v>
      </c>
      <c r="G661" s="2">
        <f>IF(INVESTORS_LIST[[#This Row],[LS_TOTAL UNITS BUY]]=0,0,INVESTORS_LIST[[#This Row],[LS_TOTAL UNITS BUY]]-INVESTORS_LIST[[#This Row],[LS_TOTAL UNITS SOLD]])</f>
        <v>1027</v>
      </c>
      <c r="H661" s="4">
        <f>IF(INVESTORS_LIST[[#This Row],[LS_TOTAL UNITS BUY]]=0,0,SUMIFS(LS[Amount],LS[Investor ID],INVESTORS_LIST[[#This Row],[INVESTOR CODE]],LS[B/S],"B"))</f>
        <v>12690</v>
      </c>
      <c r="I661" s="6">
        <f>IF(INVESTORS_LIST[[#This Row],[LS_TOTAL UNITS SOLD]]=0,0,SUMIFS(LS[Cost of Units Sold],LS[Investor ID],INVESTORS_LIST[[#This Row],[INVESTOR CODE]],LS[B/S],"S"))</f>
        <v>0</v>
      </c>
      <c r="J661" s="6">
        <f>IF(INVESTORS_LIST[[#This Row],[LS_TOTAL CURRENT UNITS]]=0,0,INVESTORS_LIST[[#This Row],[LS_TOTAL CURRENT UNITS]]*INVESTORS_LIST[[#This Row],[LS_AVERAGE COST]])</f>
        <v>12690</v>
      </c>
      <c r="K661" s="4">
        <f>IF(INVESTORS_LIST[[#This Row],[LS_TOTAL UNITS SOLD]]=0,0,SUMIFS(LS[Realized Gain],LS[Investor ID],INVESTORS_LIST[[#This Row],[INVESTOR CODE]],LS[B/S],"S"))</f>
        <v>0</v>
      </c>
      <c r="L661" s="2">
        <f>SUMIFS(SIP[Unit],SIP[Investor ID],INVESTORS_LIST[[#This Row],[INVESTOR CODE]],SIP[B/S],"B")</f>
        <v>0</v>
      </c>
      <c r="M661" s="2">
        <f>-SUMIFS(SIP[Unit],SIP[Investor ID],INVESTORS_LIST[[#This Row],[INVESTOR CODE]],SIP[B/S],"S")</f>
        <v>0</v>
      </c>
      <c r="N661" s="33">
        <f>IF(INVESTORS_LIST[[#This Row],[SIP_TOTAL UNITS BUY]]=0,0,INVESTORS_LIST[[#This Row],[SIP_TOTAL UNITS BUY]]-INVESTORS_LIST[[#This Row],[SIP_TOTAL UNITS SOLD]])</f>
        <v>0</v>
      </c>
      <c r="O661" s="4">
        <f>IF(INVESTORS_LIST[[#This Row],[SIP_TOTAL UNITS BUY]]=0,0,SUMIFS(SIP[Amount],SIP[Investor ID],INVESTORS_LIST[[#This Row],[INVESTOR CODE]],SIP[B/S],"B"))</f>
        <v>0</v>
      </c>
      <c r="P661" s="4">
        <f>IF(INVESTORS_LIST[[#This Row],[SIP_TOTAL UNITS SOLD]]=0,0,SUMIFS(SIP[Cost of Units Sold],SIP[Investor ID],INVESTORS_LIST[[#This Row],[INVESTOR CODE]],SIP[B/S],"S"))</f>
        <v>0</v>
      </c>
      <c r="Q661" s="6">
        <f>IF(INVESTORS_LIST[[#This Row],[SIP_TOTAL CURRENT UNITS]]=0,0,INVESTORS_LIST[[#This Row],[SIP_TOTAL CURRENT UNITS]]*INVESTORS_LIST[[#This Row],[SIP_AVERAGE COST]])</f>
        <v>0</v>
      </c>
      <c r="R661" s="6">
        <f>IF(INVESTORS_LIST[[#This Row],[SIP_TOTAL UNITS SOLD]]=0,0,SUMIFS(SIP[Realized Gain],SIP[Investor ID],INVESTORS_LIST[[#This Row],[INVESTOR CODE]],SIP[B/S],"S"))</f>
        <v>0</v>
      </c>
      <c r="S661" s="33">
        <f>INVESTORS_LIST[[#This Row],[LS_TOTAL UNITS BUY]]+INVESTORS_LIST[[#This Row],[SIP_TOTAL UNITS BUY]]</f>
        <v>1027</v>
      </c>
      <c r="T661" s="33">
        <f>INVESTORS_LIST[[#This Row],[LS_TOTAL UNITS SOLD]]+INVESTORS_LIST[[#This Row],[SIP_TOTAL UNITS SOLD]]</f>
        <v>0</v>
      </c>
      <c r="U661" s="33">
        <v>0</v>
      </c>
      <c r="V661" s="33">
        <f>SUMIFS(LS[BO UNIT TRANSFER],LS[Investor ID],INVESTORS_LIST[[#This Row],[INVESTOR CODE]],LS[B/S],"B")</f>
        <v>1027</v>
      </c>
      <c r="W661" s="33">
        <f>SUMIFS(LS[BO UNIT TRANSFER],LS[Investor ID],INVESTORS_LIST[[#This Row],[INVESTOR CODE]],LS[B/S],"S")</f>
        <v>0</v>
      </c>
      <c r="X661" s="33">
        <f>SUMIFS(SIP[BO UNIT TRANSFER],SIP[Investor ID],INVESTORS_LIST[[#This Row],[INVESTOR CODE]],SIP[B/S],"S")</f>
        <v>0</v>
      </c>
      <c r="Y661" s="33">
        <f>SUMIFS(SIP[BO UNIT TRANSFER],SIP[Investor ID],INVESTORS_LIST[[#This Row],[INVESTOR CODE]],SIP[B/S],"B")</f>
        <v>0</v>
      </c>
      <c r="Z66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1027</v>
      </c>
      <c r="AA661" s="119">
        <f>INVESTORS_LIST[[#This Row],[TOTAL UNITS BUY]]-INVESTORS_LIST[[#This Row],[TOTAL UNITS SOLD]]</f>
        <v>1027</v>
      </c>
      <c r="AB661" s="119">
        <f>INVESTORS_LIST[[#This Row],[TOTAL CURRENT UNITS]]-INVESTORS_LIST[[#This Row],[BO UNITS HOLD]]</f>
        <v>0</v>
      </c>
      <c r="AC661" s="119" t="e">
        <f>INDEX([4]!Table_1[BO ID],MATCH(INVESTORS_LIST[[#This Row],[INVESTOR CODE]],[4]!Table_1[INVESTOR CODE],0))</f>
        <v>#REF!</v>
      </c>
      <c r="AD661" s="33">
        <f>INVESTORS_LIST[[#This Row],[LS_TOTAL COST VALUE OF CURRENT UNITS]]+INVESTORS_LIST[[#This Row],[SIP_TOTAL COST VALUE OF CURRENT UNITS]]</f>
        <v>12690</v>
      </c>
      <c r="AE661" s="44">
        <f>IF(INVESTORS_LIST[[#This Row],[TOTAL CURRENT UNITS]]=0,0,INVESTORS_LIST[[#This Row],[LS_TOTAL CURRENT UNITS]]/INVESTORS_LIST[[#This Row],[TOTAL CURRENT UNITS]])</f>
        <v>1</v>
      </c>
      <c r="AF661" s="44">
        <f>IF(INVESTORS_LIST[[#This Row],[TOTAL CURRENT UNITS]]=0,0,INVESTORS_LIST[[#This Row],[SIP_TOTAL CURRENT UNITS]]/INVESTORS_LIST[[#This Row],[TOTAL CURRENT UNITS]])</f>
        <v>0</v>
      </c>
      <c r="AG661" s="4" cm="1">
        <f t="array" ref="AG661">IF(INVESTORS_LIST[[#This Row],[LS_TOTAL UNITS BUY]]&gt;0,INDEX(LS[NAV at Cost (Average)],MATCH(CONCATENATE(COUNTIFS(LS[Investor ID],INVESTORS_LIST[[#This Row],[INVESTOR CODE]]),INVESTORS_LIST[[#This Row],[INVESTOR CODE]]),LS[Unique Code],0),),0)</f>
        <v>12.356377799415775</v>
      </c>
      <c r="AH661" s="4" cm="1">
        <f t="array" ref="AH66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61" s="178">
        <f>IF(INVESTORS_LIST[[#This Row],[TOTAL CURRENT UNITS]]=0,0,(INVESTORS_LIST[[#This Row],[LS_WEIGHT]]*INVESTORS_LIST[[#This Row],[LS_AVERAGE COST]])+(INVESTORS_LIST[[#This Row],[SIP_WEIGHT]]*INVESTORS_LIST[[#This Row],[SIP_AVERAGE COST]]))</f>
        <v>12.356377799415775</v>
      </c>
      <c r="AJ661" s="178">
        <f t="shared" ref="AJ661:AJ668" si="18">NAV_MKT</f>
        <v>12.552</v>
      </c>
      <c r="AK661" s="118">
        <f>IF(INVESTORS_LIST[[#This Row],[TOTAL CURRENT UNITS]]=0,0,INVESTORS_LIST[[#This Row],[TOTAL CURRENT UNITS]]*INVESTORS_LIST[[#This Row],[NAV]])</f>
        <v>12890.904</v>
      </c>
      <c r="AL661" s="4">
        <f>IF(INVESTORS_LIST[[#This Row],[LS_TOTAL CURRENT UNITS]]=0,0,INVESTORS_LIST[[#This Row],[LS_TOTAL CURRENT UNITS]]*INVESTORS_LIST[[#This Row],[NAV]])</f>
        <v>12890.904</v>
      </c>
      <c r="AM661" s="6">
        <f>IF(INVESTORS_LIST[[#This Row],[SIP_TOTAL CURRENT UNITS]]=0,0,INVESTORS_LIST[[#This Row],[SIP_TOTAL CURRENT UNITS]]*INVESTORS_LIST[[#This Row],[NAV]])</f>
        <v>0</v>
      </c>
      <c r="AO661" s="6">
        <f>IF(INVESTORS_LIST[[#This Row],[TOTAL SELLABLE UNITS]]=0,0,INVESTORS_LIST[[#This Row],[TOTAL SELLABLE UNITS]]*INVESTORS_LIST[[#This Row],[NAV]])</f>
        <v>0</v>
      </c>
      <c r="AP661" s="6">
        <f>INVESTORS_LIST[[#This Row],[LS_TOTAL REALIZED GAIN]]+INVESTORS_LIST[[#This Row],[SIP_TOTAL REALIZED GAIN]]</f>
        <v>0</v>
      </c>
      <c r="AQ661" s="6">
        <f>INVESTORS_LIST[[#This Row],[TOTAL MARKET VALUE]]-INVESTORS_LIST[[#This Row],[TOTAL COST VALUE OF CURRENT INVESTMENT]]</f>
        <v>200.90400000000045</v>
      </c>
      <c r="AR661" s="6">
        <f>SUMIFS(DivAndTax[Tax Amount],DivAndTax[Investor ID],INVESTORS_LIST[[#This Row],[INVESTOR CODE]])</f>
        <v>35</v>
      </c>
      <c r="AS661" s="6">
        <f>SUMIFS(DivAndTax[Gross Dividend],DivAndTax[Investor ID],INVESTORS_LIST[[#This Row],[INVESTOR CODE]])</f>
        <v>350</v>
      </c>
      <c r="AT661" s="5">
        <f>IFERROR(INVESTORS_LIST[[#This Row],[TOTAL CURRENT UNITS]]/SUM(INVESTORS_LIST[TOTAL CURRENT UNITS]),0)</f>
        <v>4.9239345602864111E-5</v>
      </c>
    </row>
    <row r="662" spans="1:46">
      <c r="A662" t="s">
        <v>1514</v>
      </c>
      <c r="B662" t="s">
        <v>1511</v>
      </c>
      <c r="C662" t="s">
        <v>536</v>
      </c>
      <c r="D662" s="8" t="s">
        <v>2</v>
      </c>
      <c r="E662" s="2">
        <f>SUMIFS(LS[Unit],LS[Investor ID],INVESTORS_LIST[[#This Row],[INVESTOR CODE]],LS[B/S],"B")</f>
        <v>41593</v>
      </c>
      <c r="F662" s="2">
        <f>-SUMIFS(LS[Unit],LS[Investor ID],INVESTORS_LIST[[#This Row],[INVESTOR CODE]],LS[B/S],"S")</f>
        <v>0</v>
      </c>
      <c r="G662" s="2">
        <f>IF(INVESTORS_LIST[[#This Row],[LS_TOTAL UNITS BUY]]=0,0,INVESTORS_LIST[[#This Row],[LS_TOTAL UNITS BUY]]-INVESTORS_LIST[[#This Row],[LS_TOTAL UNITS SOLD]])</f>
        <v>41593</v>
      </c>
      <c r="H662" s="4">
        <f>IF(INVESTORS_LIST[[#This Row],[LS_TOTAL UNITS BUY]]=0,0,SUMIFS(LS[Amount],LS[Investor ID],INVESTORS_LIST[[#This Row],[INVESTOR CODE]],LS[B/S],"B"))</f>
        <v>514181.3</v>
      </c>
      <c r="I662" s="6">
        <f>IF(INVESTORS_LIST[[#This Row],[LS_TOTAL UNITS SOLD]]=0,0,SUMIFS(LS[Cost of Units Sold],LS[Investor ID],INVESTORS_LIST[[#This Row],[INVESTOR CODE]],LS[B/S],"S"))</f>
        <v>0</v>
      </c>
      <c r="J662" s="6">
        <f>IF(INVESTORS_LIST[[#This Row],[LS_TOTAL CURRENT UNITS]]=0,0,INVESTORS_LIST[[#This Row],[LS_TOTAL CURRENT UNITS]]*INVESTORS_LIST[[#This Row],[LS_AVERAGE COST]])</f>
        <v>514181.3</v>
      </c>
      <c r="K662" s="4">
        <f>IF(INVESTORS_LIST[[#This Row],[LS_TOTAL UNITS SOLD]]=0,0,SUMIFS(LS[Realized Gain],LS[Investor ID],INVESTORS_LIST[[#This Row],[INVESTOR CODE]],LS[B/S],"S"))</f>
        <v>0</v>
      </c>
      <c r="L662" s="2">
        <f>SUMIFS(SIP[Unit],SIP[Investor ID],INVESTORS_LIST[[#This Row],[INVESTOR CODE]],SIP[B/S],"B")</f>
        <v>0</v>
      </c>
      <c r="M662" s="2">
        <f>-SUMIFS(SIP[Unit],SIP[Investor ID],INVESTORS_LIST[[#This Row],[INVESTOR CODE]],SIP[B/S],"S")</f>
        <v>0</v>
      </c>
      <c r="N662" s="33">
        <f>IF(INVESTORS_LIST[[#This Row],[SIP_TOTAL UNITS BUY]]=0,0,INVESTORS_LIST[[#This Row],[SIP_TOTAL UNITS BUY]]-INVESTORS_LIST[[#This Row],[SIP_TOTAL UNITS SOLD]])</f>
        <v>0</v>
      </c>
      <c r="O662" s="4">
        <f>IF(INVESTORS_LIST[[#This Row],[SIP_TOTAL UNITS BUY]]=0,0,SUMIFS(SIP[Amount],SIP[Investor ID],INVESTORS_LIST[[#This Row],[INVESTOR CODE]],SIP[B/S],"B"))</f>
        <v>0</v>
      </c>
      <c r="P662" s="4">
        <f>IF(INVESTORS_LIST[[#This Row],[SIP_TOTAL UNITS SOLD]]=0,0,SUMIFS(SIP[Cost of Units Sold],SIP[Investor ID],INVESTORS_LIST[[#This Row],[INVESTOR CODE]],SIP[B/S],"S"))</f>
        <v>0</v>
      </c>
      <c r="Q662" s="6">
        <f>IF(INVESTORS_LIST[[#This Row],[SIP_TOTAL CURRENT UNITS]]=0,0,INVESTORS_LIST[[#This Row],[SIP_TOTAL CURRENT UNITS]]*INVESTORS_LIST[[#This Row],[SIP_AVERAGE COST]])</f>
        <v>0</v>
      </c>
      <c r="R662" s="6">
        <f>IF(INVESTORS_LIST[[#This Row],[SIP_TOTAL UNITS SOLD]]=0,0,SUMIFS(SIP[Realized Gain],SIP[Investor ID],INVESTORS_LIST[[#This Row],[INVESTOR CODE]],SIP[B/S],"S"))</f>
        <v>0</v>
      </c>
      <c r="S662" s="33">
        <f>INVESTORS_LIST[[#This Row],[LS_TOTAL UNITS BUY]]+INVESTORS_LIST[[#This Row],[SIP_TOTAL UNITS BUY]]</f>
        <v>41593</v>
      </c>
      <c r="T662" s="33">
        <f>INVESTORS_LIST[[#This Row],[LS_TOTAL UNITS SOLD]]+INVESTORS_LIST[[#This Row],[SIP_TOTAL UNITS SOLD]]</f>
        <v>0</v>
      </c>
      <c r="U662" s="33">
        <v>40518</v>
      </c>
      <c r="V662" s="33">
        <f>SUMIFS(LS[BO UNIT TRANSFER],LS[Investor ID],INVESTORS_LIST[[#This Row],[INVESTOR CODE]],LS[B/S],"B")</f>
        <v>0</v>
      </c>
      <c r="W662" s="33">
        <f>SUMIFS(LS[BO UNIT TRANSFER],LS[Investor ID],INVESTORS_LIST[[#This Row],[INVESTOR CODE]],LS[B/S],"S")</f>
        <v>0</v>
      </c>
      <c r="X662" s="33">
        <f>SUMIFS(SIP[BO UNIT TRANSFER],SIP[Investor ID],INVESTORS_LIST[[#This Row],[INVESTOR CODE]],SIP[B/S],"S")</f>
        <v>0</v>
      </c>
      <c r="Y662" s="33">
        <f>SUMIFS(SIP[BO UNIT TRANSFER],SIP[Investor ID],INVESTORS_LIST[[#This Row],[INVESTOR CODE]],SIP[B/S],"B")</f>
        <v>0</v>
      </c>
      <c r="Z66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40518</v>
      </c>
      <c r="AA662" s="119">
        <f>INVESTORS_LIST[[#This Row],[TOTAL UNITS BUY]]-INVESTORS_LIST[[#This Row],[TOTAL UNITS SOLD]]</f>
        <v>41593</v>
      </c>
      <c r="AB662" s="119">
        <f>INVESTORS_LIST[[#This Row],[TOTAL CURRENT UNITS]]-INVESTORS_LIST[[#This Row],[BO UNITS HOLD]]</f>
        <v>1075</v>
      </c>
      <c r="AC662" s="119" t="e">
        <f>INDEX([4]!Table_1[BO ID],MATCH(INVESTORS_LIST[[#This Row],[INVESTOR CODE]],[4]!Table_1[INVESTOR CODE],0))</f>
        <v>#REF!</v>
      </c>
      <c r="AD662" s="33">
        <f>INVESTORS_LIST[[#This Row],[LS_TOTAL COST VALUE OF CURRENT UNITS]]+INVESTORS_LIST[[#This Row],[SIP_TOTAL COST VALUE OF CURRENT UNITS]]</f>
        <v>514181.3</v>
      </c>
      <c r="AE662" s="44">
        <f>IF(INVESTORS_LIST[[#This Row],[TOTAL CURRENT UNITS]]=0,0,INVESTORS_LIST[[#This Row],[LS_TOTAL CURRENT UNITS]]/INVESTORS_LIST[[#This Row],[TOTAL CURRENT UNITS]])</f>
        <v>1</v>
      </c>
      <c r="AF662" s="44">
        <f>IF(INVESTORS_LIST[[#This Row],[TOTAL CURRENT UNITS]]=0,0,INVESTORS_LIST[[#This Row],[SIP_TOTAL CURRENT UNITS]]/INVESTORS_LIST[[#This Row],[TOTAL CURRENT UNITS]])</f>
        <v>0</v>
      </c>
      <c r="AG662" s="4" cm="1">
        <f t="array" ref="AG662">IF(INVESTORS_LIST[[#This Row],[LS_TOTAL UNITS BUY]]&gt;0,INDEX(LS[NAV at Cost (Average)],MATCH(CONCATENATE(COUNTIFS(LS[Investor ID],INVESTORS_LIST[[#This Row],[INVESTOR CODE]]),INVESTORS_LIST[[#This Row],[INVESTOR CODE]]),LS[Unique Code],0),),0)</f>
        <v>12.362207583006755</v>
      </c>
      <c r="AH662" s="4" cm="1">
        <f t="array" ref="AH66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62" s="178">
        <f>IF(INVESTORS_LIST[[#This Row],[TOTAL CURRENT UNITS]]=0,0,(INVESTORS_LIST[[#This Row],[LS_WEIGHT]]*INVESTORS_LIST[[#This Row],[LS_AVERAGE COST]])+(INVESTORS_LIST[[#This Row],[SIP_WEIGHT]]*INVESTORS_LIST[[#This Row],[SIP_AVERAGE COST]]))</f>
        <v>12.362207583006755</v>
      </c>
      <c r="AJ662" s="178">
        <f t="shared" si="18"/>
        <v>12.552</v>
      </c>
      <c r="AK662" s="118">
        <f>IF(INVESTORS_LIST[[#This Row],[TOTAL CURRENT UNITS]]=0,0,INVESTORS_LIST[[#This Row],[TOTAL CURRENT UNITS]]*INVESTORS_LIST[[#This Row],[NAV]])</f>
        <v>522075.33600000001</v>
      </c>
      <c r="AL662" s="4">
        <f>IF(INVESTORS_LIST[[#This Row],[LS_TOTAL CURRENT UNITS]]=0,0,INVESTORS_LIST[[#This Row],[LS_TOTAL CURRENT UNITS]]*INVESTORS_LIST[[#This Row],[NAV]])</f>
        <v>522075.33600000001</v>
      </c>
      <c r="AM662" s="6">
        <f>IF(INVESTORS_LIST[[#This Row],[SIP_TOTAL CURRENT UNITS]]=0,0,INVESTORS_LIST[[#This Row],[SIP_TOTAL CURRENT UNITS]]*INVESTORS_LIST[[#This Row],[NAV]])</f>
        <v>0</v>
      </c>
      <c r="AO662" s="6">
        <f>IF(INVESTORS_LIST[[#This Row],[TOTAL SELLABLE UNITS]]=0,0,INVESTORS_LIST[[#This Row],[TOTAL SELLABLE UNITS]]*INVESTORS_LIST[[#This Row],[NAV]])</f>
        <v>0</v>
      </c>
      <c r="AP662" s="6">
        <f>INVESTORS_LIST[[#This Row],[LS_TOTAL REALIZED GAIN]]+INVESTORS_LIST[[#This Row],[SIP_TOTAL REALIZED GAIN]]</f>
        <v>0</v>
      </c>
      <c r="AQ662" s="6">
        <f>INVESTORS_LIST[[#This Row],[TOTAL MARKET VALUE]]-INVESTORS_LIST[[#This Row],[TOTAL COST VALUE OF CURRENT INVESTMENT]]</f>
        <v>7894.0360000000219</v>
      </c>
      <c r="AR662" s="6">
        <f>SUMIFS(DivAndTax[Tax Amount],DivAndTax[Investor ID],INVESTORS_LIST[[#This Row],[INVESTOR CODE]])</f>
        <v>2127.1999999999998</v>
      </c>
      <c r="AS662" s="6">
        <f>SUMIFS(DivAndTax[Gross Dividend],DivAndTax[Investor ID],INVESTORS_LIST[[#This Row],[INVESTOR CODE]])</f>
        <v>14181.3</v>
      </c>
      <c r="AT662" s="5">
        <f>IFERROR(INVESTORS_LIST[[#This Row],[TOTAL CURRENT UNITS]]/SUM(INVESTORS_LIST[TOTAL CURRENT UNITS]),0)</f>
        <v>1.9941695244984682E-3</v>
      </c>
    </row>
    <row r="663" spans="1:46" hidden="1">
      <c r="A663" t="s">
        <v>1515</v>
      </c>
      <c r="B663" t="s">
        <v>1516</v>
      </c>
      <c r="C663" t="s">
        <v>536</v>
      </c>
      <c r="D663" s="8" t="s">
        <v>2</v>
      </c>
      <c r="E663" s="2">
        <f>SUMIFS(LS[Unit],LS[Investor ID],INVESTORS_LIST[[#This Row],[INVESTOR CODE]],LS[B/S],"B")</f>
        <v>0</v>
      </c>
      <c r="F663" s="2">
        <f>-SUMIFS(LS[Unit],LS[Investor ID],INVESTORS_LIST[[#This Row],[INVESTOR CODE]],LS[B/S],"S")</f>
        <v>0</v>
      </c>
      <c r="G663" s="2">
        <f>IF(INVESTORS_LIST[[#This Row],[LS_TOTAL UNITS BUY]]=0,0,INVESTORS_LIST[[#This Row],[LS_TOTAL UNITS BUY]]-INVESTORS_LIST[[#This Row],[LS_TOTAL UNITS SOLD]])</f>
        <v>0</v>
      </c>
      <c r="H663" s="4">
        <f>IF(INVESTORS_LIST[[#This Row],[LS_TOTAL UNITS BUY]]=0,0,SUMIFS(LS[Amount],LS[Investor ID],INVESTORS_LIST[[#This Row],[INVESTOR CODE]],LS[B/S],"B"))</f>
        <v>0</v>
      </c>
      <c r="I663" s="6">
        <f>IF(INVESTORS_LIST[[#This Row],[LS_TOTAL UNITS SOLD]]=0,0,SUMIFS(LS[Cost of Units Sold],LS[Investor ID],INVESTORS_LIST[[#This Row],[INVESTOR CODE]],LS[B/S],"S"))</f>
        <v>0</v>
      </c>
      <c r="J663" s="6">
        <f>IF(INVESTORS_LIST[[#This Row],[LS_TOTAL CURRENT UNITS]]=0,0,INVESTORS_LIST[[#This Row],[LS_TOTAL CURRENT UNITS]]*INVESTORS_LIST[[#This Row],[LS_AVERAGE COST]])</f>
        <v>0</v>
      </c>
      <c r="K663" s="4">
        <f>IF(INVESTORS_LIST[[#This Row],[LS_TOTAL UNITS SOLD]]=0,0,SUMIFS(LS[Realized Gain],LS[Investor ID],INVESTORS_LIST[[#This Row],[INVESTOR CODE]],LS[B/S],"S"))</f>
        <v>0</v>
      </c>
      <c r="L663" s="2">
        <f>SUMIFS(SIP[Unit],SIP[Investor ID],INVESTORS_LIST[[#This Row],[INVESTOR CODE]],SIP[B/S],"B")</f>
        <v>0</v>
      </c>
      <c r="M663" s="2">
        <f>-SUMIFS(SIP[Unit],SIP[Investor ID],INVESTORS_LIST[[#This Row],[INVESTOR CODE]],SIP[B/S],"S")</f>
        <v>0</v>
      </c>
      <c r="N663" s="33">
        <f>IF(INVESTORS_LIST[[#This Row],[SIP_TOTAL UNITS BUY]]=0,0,INVESTORS_LIST[[#This Row],[SIP_TOTAL UNITS BUY]]-INVESTORS_LIST[[#This Row],[SIP_TOTAL UNITS SOLD]])</f>
        <v>0</v>
      </c>
      <c r="O663" s="4">
        <f>IF(INVESTORS_LIST[[#This Row],[SIP_TOTAL UNITS BUY]]=0,0,SUMIFS(SIP[Amount],SIP[Investor ID],INVESTORS_LIST[[#This Row],[INVESTOR CODE]],SIP[B/S],"B"))</f>
        <v>0</v>
      </c>
      <c r="P663" s="4">
        <f>IF(INVESTORS_LIST[[#This Row],[SIP_TOTAL UNITS SOLD]]=0,0,SUMIFS(SIP[Cost of Units Sold],SIP[Investor ID],INVESTORS_LIST[[#This Row],[INVESTOR CODE]],SIP[B/S],"S"))</f>
        <v>0</v>
      </c>
      <c r="Q663" s="6">
        <f>IF(INVESTORS_LIST[[#This Row],[SIP_TOTAL CURRENT UNITS]]=0,0,INVESTORS_LIST[[#This Row],[SIP_TOTAL CURRENT UNITS]]*INVESTORS_LIST[[#This Row],[SIP_AVERAGE COST]])</f>
        <v>0</v>
      </c>
      <c r="R663" s="6">
        <f>IF(INVESTORS_LIST[[#This Row],[SIP_TOTAL UNITS SOLD]]=0,0,SUMIFS(SIP[Realized Gain],SIP[Investor ID],INVESTORS_LIST[[#This Row],[INVESTOR CODE]],SIP[B/S],"S"))</f>
        <v>0</v>
      </c>
      <c r="S663" s="33">
        <f>INVESTORS_LIST[[#This Row],[LS_TOTAL UNITS BUY]]+INVESTORS_LIST[[#This Row],[SIP_TOTAL UNITS BUY]]</f>
        <v>0</v>
      </c>
      <c r="T663" s="33">
        <f>INVESTORS_LIST[[#This Row],[LS_TOTAL UNITS SOLD]]+INVESTORS_LIST[[#This Row],[SIP_TOTAL UNITS SOLD]]</f>
        <v>0</v>
      </c>
      <c r="U663" s="33">
        <v>0</v>
      </c>
      <c r="V663" s="33">
        <f>SUMIFS(LS[BO UNIT TRANSFER],LS[Investor ID],INVESTORS_LIST[[#This Row],[INVESTOR CODE]],LS[B/S],"B")</f>
        <v>0</v>
      </c>
      <c r="W663" s="33">
        <f>SUMIFS(LS[BO UNIT TRANSFER],LS[Investor ID],INVESTORS_LIST[[#This Row],[INVESTOR CODE]],LS[B/S],"S")</f>
        <v>0</v>
      </c>
      <c r="X663" s="33">
        <f>SUMIFS(SIP[BO UNIT TRANSFER],SIP[Investor ID],INVESTORS_LIST[[#This Row],[INVESTOR CODE]],SIP[B/S],"S")</f>
        <v>0</v>
      </c>
      <c r="Y663" s="33">
        <f>SUMIFS(SIP[BO UNIT TRANSFER],SIP[Investor ID],INVESTORS_LIST[[#This Row],[INVESTOR CODE]],SIP[B/S],"B")</f>
        <v>0</v>
      </c>
      <c r="Z66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63" s="119">
        <f>INVESTORS_LIST[[#This Row],[TOTAL UNITS BUY]]-INVESTORS_LIST[[#This Row],[TOTAL UNITS SOLD]]</f>
        <v>0</v>
      </c>
      <c r="AB663" s="119">
        <f>INVESTORS_LIST[[#This Row],[TOTAL CURRENT UNITS]]-INVESTORS_LIST[[#This Row],[BO UNITS HOLD]]</f>
        <v>0</v>
      </c>
      <c r="AC663" s="119" t="e">
        <f>INDEX([4]!Table_1[BO ID],MATCH(INVESTORS_LIST[[#This Row],[INVESTOR CODE]],[4]!Table_1[INVESTOR CODE],0))</f>
        <v>#REF!</v>
      </c>
      <c r="AD663" s="33">
        <f>INVESTORS_LIST[[#This Row],[LS_TOTAL COST VALUE OF CURRENT UNITS]]+INVESTORS_LIST[[#This Row],[SIP_TOTAL COST VALUE OF CURRENT UNITS]]</f>
        <v>0</v>
      </c>
      <c r="AE663" s="44">
        <f>IF(INVESTORS_LIST[[#This Row],[TOTAL CURRENT UNITS]]=0,0,INVESTORS_LIST[[#This Row],[LS_TOTAL CURRENT UNITS]]/INVESTORS_LIST[[#This Row],[TOTAL CURRENT UNITS]])</f>
        <v>0</v>
      </c>
      <c r="AF663" s="44">
        <f>IF(INVESTORS_LIST[[#This Row],[TOTAL CURRENT UNITS]]=0,0,INVESTORS_LIST[[#This Row],[SIP_TOTAL CURRENT UNITS]]/INVESTORS_LIST[[#This Row],[TOTAL CURRENT UNITS]])</f>
        <v>0</v>
      </c>
      <c r="AG663" s="4" cm="1">
        <f t="array" ref="AG66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63" s="4" cm="1">
        <f t="array" ref="AH66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6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63" s="178">
        <f t="shared" si="18"/>
        <v>12.552</v>
      </c>
      <c r="AK663" s="118">
        <f>IF(INVESTORS_LIST[[#This Row],[TOTAL CURRENT UNITS]]=0,0,INVESTORS_LIST[[#This Row],[TOTAL CURRENT UNITS]]*INVESTORS_LIST[[#This Row],[NAV]])</f>
        <v>0</v>
      </c>
      <c r="AL663" s="4">
        <f>IF(INVESTORS_LIST[[#This Row],[LS_TOTAL CURRENT UNITS]]=0,0,INVESTORS_LIST[[#This Row],[LS_TOTAL CURRENT UNITS]]*INVESTORS_LIST[[#This Row],[NAV]])</f>
        <v>0</v>
      </c>
      <c r="AM663" s="6">
        <f>IF(INVESTORS_LIST[[#This Row],[SIP_TOTAL CURRENT UNITS]]=0,0,INVESTORS_LIST[[#This Row],[SIP_TOTAL CURRENT UNITS]]*INVESTORS_LIST[[#This Row],[NAV]])</f>
        <v>0</v>
      </c>
      <c r="AO663" s="6">
        <f>IF(INVESTORS_LIST[[#This Row],[TOTAL SELLABLE UNITS]]=0,0,INVESTORS_LIST[[#This Row],[TOTAL SELLABLE UNITS]]*INVESTORS_LIST[[#This Row],[NAV]])</f>
        <v>0</v>
      </c>
      <c r="AP663" s="6">
        <f>INVESTORS_LIST[[#This Row],[LS_TOTAL REALIZED GAIN]]+INVESTORS_LIST[[#This Row],[SIP_TOTAL REALIZED GAIN]]</f>
        <v>0</v>
      </c>
      <c r="AQ663" s="6">
        <f>INVESTORS_LIST[[#This Row],[TOTAL MARKET VALUE]]-INVESTORS_LIST[[#This Row],[TOTAL COST VALUE OF CURRENT INVESTMENT]]</f>
        <v>0</v>
      </c>
      <c r="AR663" s="6">
        <f>SUMIFS(DivAndTax[Tax Amount],DivAndTax[Investor ID],INVESTORS_LIST[[#This Row],[INVESTOR CODE]])</f>
        <v>0</v>
      </c>
      <c r="AS663" s="6">
        <f>SUMIFS(DivAndTax[Gross Dividend],DivAndTax[Investor ID],INVESTORS_LIST[[#This Row],[INVESTOR CODE]])</f>
        <v>0</v>
      </c>
      <c r="AT663" s="5">
        <f>IFERROR(INVESTORS_LIST[[#This Row],[TOTAL CURRENT UNITS]]/SUM(INVESTORS_LIST[TOTAL CURRENT UNITS]),0)</f>
        <v>0</v>
      </c>
    </row>
    <row r="664" spans="1:46">
      <c r="A664" t="s">
        <v>1517</v>
      </c>
      <c r="B664" t="s">
        <v>1518</v>
      </c>
      <c r="C664" t="s">
        <v>539</v>
      </c>
      <c r="D664" s="8" t="s">
        <v>2</v>
      </c>
      <c r="E664" s="2">
        <f>SUMIFS(LS[Unit],LS[Investor ID],INVESTORS_LIST[[#This Row],[INVESTOR CODE]],LS[B/S],"B")</f>
        <v>26180</v>
      </c>
      <c r="F664" s="2">
        <f>-SUMIFS(LS[Unit],LS[Investor ID],INVESTORS_LIST[[#This Row],[INVESTOR CODE]],LS[B/S],"S")</f>
        <v>0</v>
      </c>
      <c r="G664" s="2">
        <f>IF(INVESTORS_LIST[[#This Row],[LS_TOTAL UNITS BUY]]=0,0,INVESTORS_LIST[[#This Row],[LS_TOTAL UNITS BUY]]-INVESTORS_LIST[[#This Row],[LS_TOTAL UNITS SOLD]])</f>
        <v>26180</v>
      </c>
      <c r="H664" s="4">
        <f>IF(INVESTORS_LIST[[#This Row],[LS_TOTAL UNITS BUY]]=0,0,SUMIFS(LS[Amount],LS[Investor ID],INVESTORS_LIST[[#This Row],[INVESTOR CODE]],LS[B/S],"B"))</f>
        <v>318926.40000000002</v>
      </c>
      <c r="I664" s="6">
        <f>IF(INVESTORS_LIST[[#This Row],[LS_TOTAL UNITS SOLD]]=0,0,SUMIFS(LS[Cost of Units Sold],LS[Investor ID],INVESTORS_LIST[[#This Row],[INVESTOR CODE]],LS[B/S],"S"))</f>
        <v>0</v>
      </c>
      <c r="J664" s="6">
        <f>IF(INVESTORS_LIST[[#This Row],[LS_TOTAL CURRENT UNITS]]=0,0,INVESTORS_LIST[[#This Row],[LS_TOTAL CURRENT UNITS]]*INVESTORS_LIST[[#This Row],[LS_AVERAGE COST]])</f>
        <v>318926.40000000002</v>
      </c>
      <c r="K664" s="4">
        <f>IF(INVESTORS_LIST[[#This Row],[LS_TOTAL UNITS SOLD]]=0,0,SUMIFS(LS[Realized Gain],LS[Investor ID],INVESTORS_LIST[[#This Row],[INVESTOR CODE]],LS[B/S],"S"))</f>
        <v>0</v>
      </c>
      <c r="L664" s="2">
        <f>SUMIFS(SIP[Unit],SIP[Investor ID],INVESTORS_LIST[[#This Row],[INVESTOR CODE]],SIP[B/S],"B")</f>
        <v>0</v>
      </c>
      <c r="M664" s="2">
        <f>-SUMIFS(SIP[Unit],SIP[Investor ID],INVESTORS_LIST[[#This Row],[INVESTOR CODE]],SIP[B/S],"S")</f>
        <v>0</v>
      </c>
      <c r="N664" s="33">
        <f>IF(INVESTORS_LIST[[#This Row],[SIP_TOTAL UNITS BUY]]=0,0,INVESTORS_LIST[[#This Row],[SIP_TOTAL UNITS BUY]]-INVESTORS_LIST[[#This Row],[SIP_TOTAL UNITS SOLD]])</f>
        <v>0</v>
      </c>
      <c r="O664" s="4">
        <f>IF(INVESTORS_LIST[[#This Row],[SIP_TOTAL UNITS BUY]]=0,0,SUMIFS(SIP[Amount],SIP[Investor ID],INVESTORS_LIST[[#This Row],[INVESTOR CODE]],SIP[B/S],"B"))</f>
        <v>0</v>
      </c>
      <c r="P664" s="4">
        <f>IF(INVESTORS_LIST[[#This Row],[SIP_TOTAL UNITS SOLD]]=0,0,SUMIFS(SIP[Cost of Units Sold],SIP[Investor ID],INVESTORS_LIST[[#This Row],[INVESTOR CODE]],SIP[B/S],"S"))</f>
        <v>0</v>
      </c>
      <c r="Q664" s="6">
        <f>IF(INVESTORS_LIST[[#This Row],[SIP_TOTAL CURRENT UNITS]]=0,0,INVESTORS_LIST[[#This Row],[SIP_TOTAL CURRENT UNITS]]*INVESTORS_LIST[[#This Row],[SIP_AVERAGE COST]])</f>
        <v>0</v>
      </c>
      <c r="R664" s="6">
        <f>IF(INVESTORS_LIST[[#This Row],[SIP_TOTAL UNITS SOLD]]=0,0,SUMIFS(SIP[Realized Gain],SIP[Investor ID],INVESTORS_LIST[[#This Row],[INVESTOR CODE]],SIP[B/S],"S"))</f>
        <v>0</v>
      </c>
      <c r="S664" s="33">
        <f>INVESTORS_LIST[[#This Row],[LS_TOTAL UNITS BUY]]+INVESTORS_LIST[[#This Row],[SIP_TOTAL UNITS BUY]]</f>
        <v>26180</v>
      </c>
      <c r="T664" s="33">
        <f>INVESTORS_LIST[[#This Row],[LS_TOTAL UNITS SOLD]]+INVESTORS_LIST[[#This Row],[SIP_TOTAL UNITS SOLD]]</f>
        <v>0</v>
      </c>
      <c r="U664" s="33">
        <v>0</v>
      </c>
      <c r="V664" s="33">
        <f>SUMIFS(LS[BO UNIT TRANSFER],LS[Investor ID],INVESTORS_LIST[[#This Row],[INVESTOR CODE]],LS[B/S],"B")</f>
        <v>26180</v>
      </c>
      <c r="W664" s="33">
        <f>SUMIFS(LS[BO UNIT TRANSFER],LS[Investor ID],INVESTORS_LIST[[#This Row],[INVESTOR CODE]],LS[B/S],"S")</f>
        <v>0</v>
      </c>
      <c r="X664" s="33">
        <f>SUMIFS(SIP[BO UNIT TRANSFER],SIP[Investor ID],INVESTORS_LIST[[#This Row],[INVESTOR CODE]],SIP[B/S],"S")</f>
        <v>0</v>
      </c>
      <c r="Y664" s="33">
        <f>SUMIFS(SIP[BO UNIT TRANSFER],SIP[Investor ID],INVESTORS_LIST[[#This Row],[INVESTOR CODE]],SIP[B/S],"B")</f>
        <v>0</v>
      </c>
      <c r="Z66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26180</v>
      </c>
      <c r="AA664" s="119">
        <f>INVESTORS_LIST[[#This Row],[TOTAL UNITS BUY]]-INVESTORS_LIST[[#This Row],[TOTAL UNITS SOLD]]</f>
        <v>26180</v>
      </c>
      <c r="AB664" s="119">
        <f>INVESTORS_LIST[[#This Row],[TOTAL CURRENT UNITS]]-INVESTORS_LIST[[#This Row],[BO UNITS HOLD]]</f>
        <v>0</v>
      </c>
      <c r="AC664" s="119" t="e">
        <f>INDEX([4]!Table_1[BO ID],MATCH(INVESTORS_LIST[[#This Row],[INVESTOR CODE]],[4]!Table_1[INVESTOR CODE],0))</f>
        <v>#REF!</v>
      </c>
      <c r="AD664" s="33">
        <f>INVESTORS_LIST[[#This Row],[LS_TOTAL COST VALUE OF CURRENT UNITS]]+INVESTORS_LIST[[#This Row],[SIP_TOTAL COST VALUE OF CURRENT UNITS]]</f>
        <v>318926.40000000002</v>
      </c>
      <c r="AE664" s="44">
        <f>IF(INVESTORS_LIST[[#This Row],[TOTAL CURRENT UNITS]]=0,0,INVESTORS_LIST[[#This Row],[LS_TOTAL CURRENT UNITS]]/INVESTORS_LIST[[#This Row],[TOTAL CURRENT UNITS]])</f>
        <v>1</v>
      </c>
      <c r="AF664" s="44">
        <f>IF(INVESTORS_LIST[[#This Row],[TOTAL CURRENT UNITS]]=0,0,INVESTORS_LIST[[#This Row],[SIP_TOTAL CURRENT UNITS]]/INVESTORS_LIST[[#This Row],[TOTAL CURRENT UNITS]])</f>
        <v>0</v>
      </c>
      <c r="AG664" s="4" cm="1">
        <f t="array" ref="AG664">IF(INVESTORS_LIST[[#This Row],[LS_TOTAL UNITS BUY]]&gt;0,INDEX(LS[NAV at Cost (Average)],MATCH(CONCATENATE(COUNTIFS(LS[Investor ID],INVESTORS_LIST[[#This Row],[INVESTOR CODE]]),INVESTORS_LIST[[#This Row],[INVESTOR CODE]]),LS[Unique Code],0),),0)</f>
        <v>12.182062643239115</v>
      </c>
      <c r="AH664" s="4" cm="1">
        <f t="array" ref="AH66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64" s="178">
        <f>IF(INVESTORS_LIST[[#This Row],[TOTAL CURRENT UNITS]]=0,0,(INVESTORS_LIST[[#This Row],[LS_WEIGHT]]*INVESTORS_LIST[[#This Row],[LS_AVERAGE COST]])+(INVESTORS_LIST[[#This Row],[SIP_WEIGHT]]*INVESTORS_LIST[[#This Row],[SIP_AVERAGE COST]]))</f>
        <v>12.182062643239115</v>
      </c>
      <c r="AJ664" s="178">
        <f t="shared" si="18"/>
        <v>12.552</v>
      </c>
      <c r="AK664" s="118">
        <f>IF(INVESTORS_LIST[[#This Row],[TOTAL CURRENT UNITS]]=0,0,INVESTORS_LIST[[#This Row],[TOTAL CURRENT UNITS]]*INVESTORS_LIST[[#This Row],[NAV]])</f>
        <v>328611.36</v>
      </c>
      <c r="AL664" s="4">
        <f>IF(INVESTORS_LIST[[#This Row],[LS_TOTAL CURRENT UNITS]]=0,0,INVESTORS_LIST[[#This Row],[LS_TOTAL CURRENT UNITS]]*INVESTORS_LIST[[#This Row],[NAV]])</f>
        <v>328611.36</v>
      </c>
      <c r="AM664" s="6">
        <f>IF(INVESTORS_LIST[[#This Row],[SIP_TOTAL CURRENT UNITS]]=0,0,INVESTORS_LIST[[#This Row],[SIP_TOTAL CURRENT UNITS]]*INVESTORS_LIST[[#This Row],[NAV]])</f>
        <v>0</v>
      </c>
      <c r="AO664" s="6">
        <f>IF(INVESTORS_LIST[[#This Row],[TOTAL SELLABLE UNITS]]=0,0,INVESTORS_LIST[[#This Row],[TOTAL SELLABLE UNITS]]*INVESTORS_LIST[[#This Row],[NAV]])</f>
        <v>0</v>
      </c>
      <c r="AP664" s="6">
        <f>INVESTORS_LIST[[#This Row],[LS_TOTAL REALIZED GAIN]]+INVESTORS_LIST[[#This Row],[SIP_TOTAL REALIZED GAIN]]</f>
        <v>0</v>
      </c>
      <c r="AQ664" s="6">
        <f>INVESTORS_LIST[[#This Row],[TOTAL MARKET VALUE]]-INVESTORS_LIST[[#This Row],[TOTAL COST VALUE OF CURRENT INVESTMENT]]</f>
        <v>9684.9599999999627</v>
      </c>
      <c r="AR664" s="6">
        <f>SUMIFS(DivAndTax[Tax Amount],DivAndTax[Investor ID],INVESTORS_LIST[[#This Row],[INVESTOR CODE]])</f>
        <v>892.64</v>
      </c>
      <c r="AS664" s="6">
        <f>SUMIFS(DivAndTax[Gross Dividend],DivAndTax[Investor ID],INVESTORS_LIST[[#This Row],[INVESTOR CODE]])</f>
        <v>8926.4</v>
      </c>
      <c r="AT664" s="5">
        <f>IFERROR(INVESTORS_LIST[[#This Row],[TOTAL CURRENT UNITS]]/SUM(INVESTORS_LIST[TOTAL CURRENT UNITS]),0)</f>
        <v>1.2551957817750559E-3</v>
      </c>
    </row>
    <row r="665" spans="1:46" hidden="1">
      <c r="A665" t="s">
        <v>1519</v>
      </c>
      <c r="B665" t="s">
        <v>1520</v>
      </c>
      <c r="C665" t="s">
        <v>539</v>
      </c>
      <c r="D665" s="8" t="s">
        <v>2</v>
      </c>
      <c r="E665" s="2">
        <f>SUMIFS(LS[Unit],LS[Investor ID],INVESTORS_LIST[[#This Row],[INVESTOR CODE]],LS[B/S],"B")</f>
        <v>0</v>
      </c>
      <c r="F665" s="2">
        <f>-SUMIFS(LS[Unit],LS[Investor ID],INVESTORS_LIST[[#This Row],[INVESTOR CODE]],LS[B/S],"S")</f>
        <v>0</v>
      </c>
      <c r="G665" s="2">
        <f>IF(INVESTORS_LIST[[#This Row],[LS_TOTAL UNITS BUY]]=0,0,INVESTORS_LIST[[#This Row],[LS_TOTAL UNITS BUY]]-INVESTORS_LIST[[#This Row],[LS_TOTAL UNITS SOLD]])</f>
        <v>0</v>
      </c>
      <c r="H665" s="4">
        <f>IF(INVESTORS_LIST[[#This Row],[LS_TOTAL UNITS BUY]]=0,0,SUMIFS(LS[Amount],LS[Investor ID],INVESTORS_LIST[[#This Row],[INVESTOR CODE]],LS[B/S],"B"))</f>
        <v>0</v>
      </c>
      <c r="I665" s="6">
        <f>IF(INVESTORS_LIST[[#This Row],[LS_TOTAL UNITS SOLD]]=0,0,SUMIFS(LS[Cost of Units Sold],LS[Investor ID],INVESTORS_LIST[[#This Row],[INVESTOR CODE]],LS[B/S],"S"))</f>
        <v>0</v>
      </c>
      <c r="J665" s="6">
        <f>IF(INVESTORS_LIST[[#This Row],[LS_TOTAL CURRENT UNITS]]=0,0,INVESTORS_LIST[[#This Row],[LS_TOTAL CURRENT UNITS]]*INVESTORS_LIST[[#This Row],[LS_AVERAGE COST]])</f>
        <v>0</v>
      </c>
      <c r="K665" s="4">
        <f>IF(INVESTORS_LIST[[#This Row],[LS_TOTAL UNITS SOLD]]=0,0,SUMIFS(LS[Realized Gain],LS[Investor ID],INVESTORS_LIST[[#This Row],[INVESTOR CODE]],LS[B/S],"S"))</f>
        <v>0</v>
      </c>
      <c r="L665" s="2">
        <f>SUMIFS(SIP[Unit],SIP[Investor ID],INVESTORS_LIST[[#This Row],[INVESTOR CODE]],SIP[B/S],"B")</f>
        <v>0</v>
      </c>
      <c r="M665" s="2">
        <f>-SUMIFS(SIP[Unit],SIP[Investor ID],INVESTORS_LIST[[#This Row],[INVESTOR CODE]],SIP[B/S],"S")</f>
        <v>0</v>
      </c>
      <c r="N665" s="33">
        <f>IF(INVESTORS_LIST[[#This Row],[SIP_TOTAL UNITS BUY]]=0,0,INVESTORS_LIST[[#This Row],[SIP_TOTAL UNITS BUY]]-INVESTORS_LIST[[#This Row],[SIP_TOTAL UNITS SOLD]])</f>
        <v>0</v>
      </c>
      <c r="O665" s="4">
        <f>IF(INVESTORS_LIST[[#This Row],[SIP_TOTAL UNITS BUY]]=0,0,SUMIFS(SIP[Amount],SIP[Investor ID],INVESTORS_LIST[[#This Row],[INVESTOR CODE]],SIP[B/S],"B"))</f>
        <v>0</v>
      </c>
      <c r="P665" s="4">
        <f>IF(INVESTORS_LIST[[#This Row],[SIP_TOTAL UNITS SOLD]]=0,0,SUMIFS(SIP[Cost of Units Sold],SIP[Investor ID],INVESTORS_LIST[[#This Row],[INVESTOR CODE]],SIP[B/S],"S"))</f>
        <v>0</v>
      </c>
      <c r="Q665" s="6">
        <f>IF(INVESTORS_LIST[[#This Row],[SIP_TOTAL CURRENT UNITS]]=0,0,INVESTORS_LIST[[#This Row],[SIP_TOTAL CURRENT UNITS]]*INVESTORS_LIST[[#This Row],[SIP_AVERAGE COST]])</f>
        <v>0</v>
      </c>
      <c r="R665" s="6">
        <f>IF(INVESTORS_LIST[[#This Row],[SIP_TOTAL UNITS SOLD]]=0,0,SUMIFS(SIP[Realized Gain],SIP[Investor ID],INVESTORS_LIST[[#This Row],[INVESTOR CODE]],SIP[B/S],"S"))</f>
        <v>0</v>
      </c>
      <c r="S665" s="33">
        <f>INVESTORS_LIST[[#This Row],[LS_TOTAL UNITS BUY]]+INVESTORS_LIST[[#This Row],[SIP_TOTAL UNITS BUY]]</f>
        <v>0</v>
      </c>
      <c r="T665" s="33">
        <f>INVESTORS_LIST[[#This Row],[LS_TOTAL UNITS SOLD]]+INVESTORS_LIST[[#This Row],[SIP_TOTAL UNITS SOLD]]</f>
        <v>0</v>
      </c>
      <c r="U665" s="33">
        <v>0</v>
      </c>
      <c r="V665" s="33">
        <f>SUMIFS(LS[BO UNIT TRANSFER],LS[Investor ID],INVESTORS_LIST[[#This Row],[INVESTOR CODE]],LS[B/S],"B")</f>
        <v>0</v>
      </c>
      <c r="W665" s="33">
        <f>SUMIFS(LS[BO UNIT TRANSFER],LS[Investor ID],INVESTORS_LIST[[#This Row],[INVESTOR CODE]],LS[B/S],"S")</f>
        <v>0</v>
      </c>
      <c r="X665" s="33">
        <f>SUMIFS(SIP[BO UNIT TRANSFER],SIP[Investor ID],INVESTORS_LIST[[#This Row],[INVESTOR CODE]],SIP[B/S],"S")</f>
        <v>0</v>
      </c>
      <c r="Y665" s="33">
        <f>SUMIFS(SIP[BO UNIT TRANSFER],SIP[Investor ID],INVESTORS_LIST[[#This Row],[INVESTOR CODE]],SIP[B/S],"B")</f>
        <v>0</v>
      </c>
      <c r="Z66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65" s="119">
        <f>INVESTORS_LIST[[#This Row],[TOTAL UNITS BUY]]-INVESTORS_LIST[[#This Row],[TOTAL UNITS SOLD]]</f>
        <v>0</v>
      </c>
      <c r="AB665" s="119">
        <f>INVESTORS_LIST[[#This Row],[TOTAL CURRENT UNITS]]-INVESTORS_LIST[[#This Row],[BO UNITS HOLD]]</f>
        <v>0</v>
      </c>
      <c r="AC665" s="119" t="e">
        <f>INDEX([4]!Table_1[BO ID],MATCH(INVESTORS_LIST[[#This Row],[INVESTOR CODE]],[4]!Table_1[INVESTOR CODE],0))</f>
        <v>#REF!</v>
      </c>
      <c r="AD665" s="33">
        <f>INVESTORS_LIST[[#This Row],[LS_TOTAL COST VALUE OF CURRENT UNITS]]+INVESTORS_LIST[[#This Row],[SIP_TOTAL COST VALUE OF CURRENT UNITS]]</f>
        <v>0</v>
      </c>
      <c r="AE665" s="44">
        <f>IF(INVESTORS_LIST[[#This Row],[TOTAL CURRENT UNITS]]=0,0,INVESTORS_LIST[[#This Row],[LS_TOTAL CURRENT UNITS]]/INVESTORS_LIST[[#This Row],[TOTAL CURRENT UNITS]])</f>
        <v>0</v>
      </c>
      <c r="AF665" s="44">
        <f>IF(INVESTORS_LIST[[#This Row],[TOTAL CURRENT UNITS]]=0,0,INVESTORS_LIST[[#This Row],[SIP_TOTAL CURRENT UNITS]]/INVESTORS_LIST[[#This Row],[TOTAL CURRENT UNITS]])</f>
        <v>0</v>
      </c>
      <c r="AG665" s="4" cm="1">
        <f t="array" ref="AG66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65" s="4" cm="1">
        <f t="array" ref="AH66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6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65" s="178">
        <f t="shared" si="18"/>
        <v>12.552</v>
      </c>
      <c r="AK665" s="118">
        <f>IF(INVESTORS_LIST[[#This Row],[TOTAL CURRENT UNITS]]=0,0,INVESTORS_LIST[[#This Row],[TOTAL CURRENT UNITS]]*INVESTORS_LIST[[#This Row],[NAV]])</f>
        <v>0</v>
      </c>
      <c r="AL665" s="4">
        <f>IF(INVESTORS_LIST[[#This Row],[LS_TOTAL CURRENT UNITS]]=0,0,INVESTORS_LIST[[#This Row],[LS_TOTAL CURRENT UNITS]]*INVESTORS_LIST[[#This Row],[NAV]])</f>
        <v>0</v>
      </c>
      <c r="AM665" s="6">
        <f>IF(INVESTORS_LIST[[#This Row],[SIP_TOTAL CURRENT UNITS]]=0,0,INVESTORS_LIST[[#This Row],[SIP_TOTAL CURRENT UNITS]]*INVESTORS_LIST[[#This Row],[NAV]])</f>
        <v>0</v>
      </c>
      <c r="AO665" s="6">
        <f>IF(INVESTORS_LIST[[#This Row],[TOTAL SELLABLE UNITS]]=0,0,INVESTORS_LIST[[#This Row],[TOTAL SELLABLE UNITS]]*INVESTORS_LIST[[#This Row],[NAV]])</f>
        <v>0</v>
      </c>
      <c r="AP665" s="6">
        <f>INVESTORS_LIST[[#This Row],[LS_TOTAL REALIZED GAIN]]+INVESTORS_LIST[[#This Row],[SIP_TOTAL REALIZED GAIN]]</f>
        <v>0</v>
      </c>
      <c r="AQ665" s="6">
        <f>INVESTORS_LIST[[#This Row],[TOTAL MARKET VALUE]]-INVESTORS_LIST[[#This Row],[TOTAL COST VALUE OF CURRENT INVESTMENT]]</f>
        <v>0</v>
      </c>
      <c r="AR665" s="6">
        <f>SUMIFS(DivAndTax[Tax Amount],DivAndTax[Investor ID],INVESTORS_LIST[[#This Row],[INVESTOR CODE]])</f>
        <v>0</v>
      </c>
      <c r="AS665" s="6">
        <f>SUMIFS(DivAndTax[Gross Dividend],DivAndTax[Investor ID],INVESTORS_LIST[[#This Row],[INVESTOR CODE]])</f>
        <v>0</v>
      </c>
      <c r="AT665" s="5">
        <f>IFERROR(INVESTORS_LIST[[#This Row],[TOTAL CURRENT UNITS]]/SUM(INVESTORS_LIST[TOTAL CURRENT UNITS]),0)</f>
        <v>0</v>
      </c>
    </row>
    <row r="666" spans="1:46" hidden="1">
      <c r="A666" t="s">
        <v>1521</v>
      </c>
      <c r="B666" t="s">
        <v>1522</v>
      </c>
      <c r="C666" t="s">
        <v>537</v>
      </c>
      <c r="D666" s="8" t="s">
        <v>5</v>
      </c>
      <c r="E666" s="2">
        <f>SUMIFS(LS[Unit],LS[Investor ID],INVESTORS_LIST[[#This Row],[INVESTOR CODE]],LS[B/S],"B")</f>
        <v>0</v>
      </c>
      <c r="F666" s="2">
        <f>-SUMIFS(LS[Unit],LS[Investor ID],INVESTORS_LIST[[#This Row],[INVESTOR CODE]],LS[B/S],"S")</f>
        <v>0</v>
      </c>
      <c r="G666" s="2">
        <f>IF(INVESTORS_LIST[[#This Row],[LS_TOTAL UNITS BUY]]=0,0,INVESTORS_LIST[[#This Row],[LS_TOTAL UNITS BUY]]-INVESTORS_LIST[[#This Row],[LS_TOTAL UNITS SOLD]])</f>
        <v>0</v>
      </c>
      <c r="H666" s="4">
        <f>IF(INVESTORS_LIST[[#This Row],[LS_TOTAL UNITS BUY]]=0,0,SUMIFS(LS[Amount],LS[Investor ID],INVESTORS_LIST[[#This Row],[INVESTOR CODE]],LS[B/S],"B"))</f>
        <v>0</v>
      </c>
      <c r="I666" s="6">
        <f>IF(INVESTORS_LIST[[#This Row],[LS_TOTAL UNITS SOLD]]=0,0,SUMIFS(LS[Cost of Units Sold],LS[Investor ID],INVESTORS_LIST[[#This Row],[INVESTOR CODE]],LS[B/S],"S"))</f>
        <v>0</v>
      </c>
      <c r="J666" s="6">
        <f>IF(INVESTORS_LIST[[#This Row],[LS_TOTAL CURRENT UNITS]]=0,0,INVESTORS_LIST[[#This Row],[LS_TOTAL CURRENT UNITS]]*INVESTORS_LIST[[#This Row],[LS_AVERAGE COST]])</f>
        <v>0</v>
      </c>
      <c r="K666" s="4">
        <f>IF(INVESTORS_LIST[[#This Row],[LS_TOTAL UNITS SOLD]]=0,0,SUMIFS(LS[Realized Gain],LS[Investor ID],INVESTORS_LIST[[#This Row],[INVESTOR CODE]],LS[B/S],"S"))</f>
        <v>0</v>
      </c>
      <c r="L666" s="2">
        <f>SUMIFS(SIP[Unit],SIP[Investor ID],INVESTORS_LIST[[#This Row],[INVESTOR CODE]],SIP[B/S],"B")</f>
        <v>0</v>
      </c>
      <c r="M666" s="2">
        <f>-SUMIFS(SIP[Unit],SIP[Investor ID],INVESTORS_LIST[[#This Row],[INVESTOR CODE]],SIP[B/S],"S")</f>
        <v>0</v>
      </c>
      <c r="N666" s="33">
        <f>IF(INVESTORS_LIST[[#This Row],[SIP_TOTAL UNITS BUY]]=0,0,INVESTORS_LIST[[#This Row],[SIP_TOTAL UNITS BUY]]-INVESTORS_LIST[[#This Row],[SIP_TOTAL UNITS SOLD]])</f>
        <v>0</v>
      </c>
      <c r="O666" s="4">
        <f>IF(INVESTORS_LIST[[#This Row],[SIP_TOTAL UNITS BUY]]=0,0,SUMIFS(SIP[Amount],SIP[Investor ID],INVESTORS_LIST[[#This Row],[INVESTOR CODE]],SIP[B/S],"B"))</f>
        <v>0</v>
      </c>
      <c r="P666" s="4">
        <f>IF(INVESTORS_LIST[[#This Row],[SIP_TOTAL UNITS SOLD]]=0,0,SUMIFS(SIP[Cost of Units Sold],SIP[Investor ID],INVESTORS_LIST[[#This Row],[INVESTOR CODE]],SIP[B/S],"S"))</f>
        <v>0</v>
      </c>
      <c r="Q666" s="6">
        <f>IF(INVESTORS_LIST[[#This Row],[SIP_TOTAL CURRENT UNITS]]=0,0,INVESTORS_LIST[[#This Row],[SIP_TOTAL CURRENT UNITS]]*INVESTORS_LIST[[#This Row],[SIP_AVERAGE COST]])</f>
        <v>0</v>
      </c>
      <c r="R666" s="6">
        <f>IF(INVESTORS_LIST[[#This Row],[SIP_TOTAL UNITS SOLD]]=0,0,SUMIFS(SIP[Realized Gain],SIP[Investor ID],INVESTORS_LIST[[#This Row],[INVESTOR CODE]],SIP[B/S],"S"))</f>
        <v>0</v>
      </c>
      <c r="S666" s="33">
        <f>INVESTORS_LIST[[#This Row],[LS_TOTAL UNITS BUY]]+INVESTORS_LIST[[#This Row],[SIP_TOTAL UNITS BUY]]</f>
        <v>0</v>
      </c>
      <c r="T666" s="33">
        <f>INVESTORS_LIST[[#This Row],[LS_TOTAL UNITS SOLD]]+INVESTORS_LIST[[#This Row],[SIP_TOTAL UNITS SOLD]]</f>
        <v>0</v>
      </c>
      <c r="U666" s="33">
        <v>0</v>
      </c>
      <c r="V666" s="33">
        <f>SUMIFS(LS[BO UNIT TRANSFER],LS[Investor ID],INVESTORS_LIST[[#This Row],[INVESTOR CODE]],LS[B/S],"B")</f>
        <v>0</v>
      </c>
      <c r="W666" s="33">
        <f>SUMIFS(LS[BO UNIT TRANSFER],LS[Investor ID],INVESTORS_LIST[[#This Row],[INVESTOR CODE]],LS[B/S],"S")</f>
        <v>0</v>
      </c>
      <c r="X666" s="33">
        <f>SUMIFS(SIP[BO UNIT TRANSFER],SIP[Investor ID],INVESTORS_LIST[[#This Row],[INVESTOR CODE]],SIP[B/S],"S")</f>
        <v>0</v>
      </c>
      <c r="Y666" s="33">
        <f>SUMIFS(SIP[BO UNIT TRANSFER],SIP[Investor ID],INVESTORS_LIST[[#This Row],[INVESTOR CODE]],SIP[B/S],"B")</f>
        <v>0</v>
      </c>
      <c r="Z66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66" s="119">
        <f>INVESTORS_LIST[[#This Row],[TOTAL UNITS BUY]]-INVESTORS_LIST[[#This Row],[TOTAL UNITS SOLD]]</f>
        <v>0</v>
      </c>
      <c r="AB666" s="119">
        <f>INVESTORS_LIST[[#This Row],[TOTAL CURRENT UNITS]]-INVESTORS_LIST[[#This Row],[BO UNITS HOLD]]</f>
        <v>0</v>
      </c>
      <c r="AC666" s="119" t="e">
        <f>INDEX([4]!Table_1[BO ID],MATCH(INVESTORS_LIST[[#This Row],[INVESTOR CODE]],[4]!Table_1[INVESTOR CODE],0))</f>
        <v>#REF!</v>
      </c>
      <c r="AD666" s="33">
        <f>INVESTORS_LIST[[#This Row],[LS_TOTAL COST VALUE OF CURRENT UNITS]]+INVESTORS_LIST[[#This Row],[SIP_TOTAL COST VALUE OF CURRENT UNITS]]</f>
        <v>0</v>
      </c>
      <c r="AE666" s="44">
        <f>IF(INVESTORS_LIST[[#This Row],[TOTAL CURRENT UNITS]]=0,0,INVESTORS_LIST[[#This Row],[LS_TOTAL CURRENT UNITS]]/INVESTORS_LIST[[#This Row],[TOTAL CURRENT UNITS]])</f>
        <v>0</v>
      </c>
      <c r="AF666" s="44">
        <f>IF(INVESTORS_LIST[[#This Row],[TOTAL CURRENT UNITS]]=0,0,INVESTORS_LIST[[#This Row],[SIP_TOTAL CURRENT UNITS]]/INVESTORS_LIST[[#This Row],[TOTAL CURRENT UNITS]])</f>
        <v>0</v>
      </c>
      <c r="AG666" s="4" cm="1">
        <f t="array" ref="AG66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66" s="4" cm="1">
        <f t="array" ref="AH66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6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66" s="178">
        <f t="shared" si="18"/>
        <v>12.552</v>
      </c>
      <c r="AK666" s="118">
        <f>IF(INVESTORS_LIST[[#This Row],[TOTAL CURRENT UNITS]]=0,0,INVESTORS_LIST[[#This Row],[TOTAL CURRENT UNITS]]*INVESTORS_LIST[[#This Row],[NAV]])</f>
        <v>0</v>
      </c>
      <c r="AL666" s="4">
        <f>IF(INVESTORS_LIST[[#This Row],[LS_TOTAL CURRENT UNITS]]=0,0,INVESTORS_LIST[[#This Row],[LS_TOTAL CURRENT UNITS]]*INVESTORS_LIST[[#This Row],[NAV]])</f>
        <v>0</v>
      </c>
      <c r="AM666" s="6">
        <f>IF(INVESTORS_LIST[[#This Row],[SIP_TOTAL CURRENT UNITS]]=0,0,INVESTORS_LIST[[#This Row],[SIP_TOTAL CURRENT UNITS]]*INVESTORS_LIST[[#This Row],[NAV]])</f>
        <v>0</v>
      </c>
      <c r="AO666" s="6">
        <f>IF(INVESTORS_LIST[[#This Row],[TOTAL SELLABLE UNITS]]=0,0,INVESTORS_LIST[[#This Row],[TOTAL SELLABLE UNITS]]*INVESTORS_LIST[[#This Row],[NAV]])</f>
        <v>0</v>
      </c>
      <c r="AP666" s="6">
        <f>INVESTORS_LIST[[#This Row],[LS_TOTAL REALIZED GAIN]]+INVESTORS_LIST[[#This Row],[SIP_TOTAL REALIZED GAIN]]</f>
        <v>0</v>
      </c>
      <c r="AQ666" s="6">
        <f>INVESTORS_LIST[[#This Row],[TOTAL MARKET VALUE]]-INVESTORS_LIST[[#This Row],[TOTAL COST VALUE OF CURRENT INVESTMENT]]</f>
        <v>0</v>
      </c>
      <c r="AR666" s="6">
        <f>SUMIFS(DivAndTax[Tax Amount],DivAndTax[Investor ID],INVESTORS_LIST[[#This Row],[INVESTOR CODE]])</f>
        <v>0</v>
      </c>
      <c r="AS666" s="6">
        <f>SUMIFS(DivAndTax[Gross Dividend],DivAndTax[Investor ID],INVESTORS_LIST[[#This Row],[INVESTOR CODE]])</f>
        <v>0</v>
      </c>
      <c r="AT666" s="5">
        <f>IFERROR(INVESTORS_LIST[[#This Row],[TOTAL CURRENT UNITS]]/SUM(INVESTORS_LIST[TOTAL CURRENT UNITS]),0)</f>
        <v>0</v>
      </c>
    </row>
    <row r="667" spans="1:46" hidden="1">
      <c r="A667" t="s">
        <v>1523</v>
      </c>
      <c r="B667" t="s">
        <v>1524</v>
      </c>
      <c r="C667" t="s">
        <v>536</v>
      </c>
      <c r="D667" s="8" t="s">
        <v>2</v>
      </c>
      <c r="E667" s="2">
        <f>SUMIFS(LS[Unit],LS[Investor ID],INVESTORS_LIST[[#This Row],[INVESTOR CODE]],LS[B/S],"B")</f>
        <v>0</v>
      </c>
      <c r="F667" s="2">
        <f>-SUMIFS(LS[Unit],LS[Investor ID],INVESTORS_LIST[[#This Row],[INVESTOR CODE]],LS[B/S],"S")</f>
        <v>0</v>
      </c>
      <c r="G667" s="2">
        <f>IF(INVESTORS_LIST[[#This Row],[LS_TOTAL UNITS BUY]]=0,0,INVESTORS_LIST[[#This Row],[LS_TOTAL UNITS BUY]]-INVESTORS_LIST[[#This Row],[LS_TOTAL UNITS SOLD]])</f>
        <v>0</v>
      </c>
      <c r="H667" s="4">
        <f>IF(INVESTORS_LIST[[#This Row],[LS_TOTAL UNITS BUY]]=0,0,SUMIFS(LS[Amount],LS[Investor ID],INVESTORS_LIST[[#This Row],[INVESTOR CODE]],LS[B/S],"B"))</f>
        <v>0</v>
      </c>
      <c r="I667" s="6">
        <f>IF(INVESTORS_LIST[[#This Row],[LS_TOTAL UNITS SOLD]]=0,0,SUMIFS(LS[Cost of Units Sold],LS[Investor ID],INVESTORS_LIST[[#This Row],[INVESTOR CODE]],LS[B/S],"S"))</f>
        <v>0</v>
      </c>
      <c r="J667" s="6">
        <f>IF(INVESTORS_LIST[[#This Row],[LS_TOTAL CURRENT UNITS]]=0,0,INVESTORS_LIST[[#This Row],[LS_TOTAL CURRENT UNITS]]*INVESTORS_LIST[[#This Row],[LS_AVERAGE COST]])</f>
        <v>0</v>
      </c>
      <c r="K667" s="4">
        <f>IF(INVESTORS_LIST[[#This Row],[LS_TOTAL UNITS SOLD]]=0,0,SUMIFS(LS[Realized Gain],LS[Investor ID],INVESTORS_LIST[[#This Row],[INVESTOR CODE]],LS[B/S],"S"))</f>
        <v>0</v>
      </c>
      <c r="L667" s="2">
        <f>SUMIFS(SIP[Unit],SIP[Investor ID],INVESTORS_LIST[[#This Row],[INVESTOR CODE]],SIP[B/S],"B")</f>
        <v>0</v>
      </c>
      <c r="M667" s="2">
        <f>-SUMIFS(SIP[Unit],SIP[Investor ID],INVESTORS_LIST[[#This Row],[INVESTOR CODE]],SIP[B/S],"S")</f>
        <v>0</v>
      </c>
      <c r="N667" s="33">
        <f>IF(INVESTORS_LIST[[#This Row],[SIP_TOTAL UNITS BUY]]=0,0,INVESTORS_LIST[[#This Row],[SIP_TOTAL UNITS BUY]]-INVESTORS_LIST[[#This Row],[SIP_TOTAL UNITS SOLD]])</f>
        <v>0</v>
      </c>
      <c r="O667" s="4">
        <f>IF(INVESTORS_LIST[[#This Row],[SIP_TOTAL UNITS BUY]]=0,0,SUMIFS(SIP[Amount],SIP[Investor ID],INVESTORS_LIST[[#This Row],[INVESTOR CODE]],SIP[B/S],"B"))</f>
        <v>0</v>
      </c>
      <c r="P667" s="4">
        <f>IF(INVESTORS_LIST[[#This Row],[SIP_TOTAL UNITS SOLD]]=0,0,SUMIFS(SIP[Cost of Units Sold],SIP[Investor ID],INVESTORS_LIST[[#This Row],[INVESTOR CODE]],SIP[B/S],"S"))</f>
        <v>0</v>
      </c>
      <c r="Q667" s="6">
        <f>IF(INVESTORS_LIST[[#This Row],[SIP_TOTAL CURRENT UNITS]]=0,0,INVESTORS_LIST[[#This Row],[SIP_TOTAL CURRENT UNITS]]*INVESTORS_LIST[[#This Row],[SIP_AVERAGE COST]])</f>
        <v>0</v>
      </c>
      <c r="R667" s="6">
        <f>IF(INVESTORS_LIST[[#This Row],[SIP_TOTAL UNITS SOLD]]=0,0,SUMIFS(SIP[Realized Gain],SIP[Investor ID],INVESTORS_LIST[[#This Row],[INVESTOR CODE]],SIP[B/S],"S"))</f>
        <v>0</v>
      </c>
      <c r="S667" s="33">
        <f>INVESTORS_LIST[[#This Row],[LS_TOTAL UNITS BUY]]+INVESTORS_LIST[[#This Row],[SIP_TOTAL UNITS BUY]]</f>
        <v>0</v>
      </c>
      <c r="T667" s="33">
        <f>INVESTORS_LIST[[#This Row],[LS_TOTAL UNITS SOLD]]+INVESTORS_LIST[[#This Row],[SIP_TOTAL UNITS SOLD]]</f>
        <v>0</v>
      </c>
      <c r="U667" s="33">
        <v>0</v>
      </c>
      <c r="V667" s="33">
        <f>SUMIFS(LS[BO UNIT TRANSFER],LS[Investor ID],INVESTORS_LIST[[#This Row],[INVESTOR CODE]],LS[B/S],"B")</f>
        <v>0</v>
      </c>
      <c r="W667" s="33">
        <f>SUMIFS(LS[BO UNIT TRANSFER],LS[Investor ID],INVESTORS_LIST[[#This Row],[INVESTOR CODE]],LS[B/S],"S")</f>
        <v>0</v>
      </c>
      <c r="X667" s="33">
        <f>SUMIFS(SIP[BO UNIT TRANSFER],SIP[Investor ID],INVESTORS_LIST[[#This Row],[INVESTOR CODE]],SIP[B/S],"S")</f>
        <v>0</v>
      </c>
      <c r="Y667" s="33">
        <f>SUMIFS(SIP[BO UNIT TRANSFER],SIP[Investor ID],INVESTORS_LIST[[#This Row],[INVESTOR CODE]],SIP[B/S],"B")</f>
        <v>0</v>
      </c>
      <c r="Z66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67" s="119">
        <f>INVESTORS_LIST[[#This Row],[TOTAL UNITS BUY]]-INVESTORS_LIST[[#This Row],[TOTAL UNITS SOLD]]</f>
        <v>0</v>
      </c>
      <c r="AB667" s="119">
        <f>INVESTORS_LIST[[#This Row],[TOTAL CURRENT UNITS]]-INVESTORS_LIST[[#This Row],[BO UNITS HOLD]]</f>
        <v>0</v>
      </c>
      <c r="AC667" s="119" t="e">
        <f>INDEX([4]!Table_1[BO ID],MATCH(INVESTORS_LIST[[#This Row],[INVESTOR CODE]],[4]!Table_1[INVESTOR CODE],0))</f>
        <v>#REF!</v>
      </c>
      <c r="AD667" s="33">
        <f>INVESTORS_LIST[[#This Row],[LS_TOTAL COST VALUE OF CURRENT UNITS]]+INVESTORS_LIST[[#This Row],[SIP_TOTAL COST VALUE OF CURRENT UNITS]]</f>
        <v>0</v>
      </c>
      <c r="AE667" s="44">
        <f>IF(INVESTORS_LIST[[#This Row],[TOTAL CURRENT UNITS]]=0,0,INVESTORS_LIST[[#This Row],[LS_TOTAL CURRENT UNITS]]/INVESTORS_LIST[[#This Row],[TOTAL CURRENT UNITS]])</f>
        <v>0</v>
      </c>
      <c r="AF667" s="44">
        <f>IF(INVESTORS_LIST[[#This Row],[TOTAL CURRENT UNITS]]=0,0,INVESTORS_LIST[[#This Row],[SIP_TOTAL CURRENT UNITS]]/INVESTORS_LIST[[#This Row],[TOTAL CURRENT UNITS]])</f>
        <v>0</v>
      </c>
      <c r="AG667" s="4" cm="1">
        <f t="array" ref="AG66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67" s="4" cm="1">
        <f t="array" ref="AH66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6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67" s="178">
        <f t="shared" si="18"/>
        <v>12.552</v>
      </c>
      <c r="AK667" s="118">
        <f>IF(INVESTORS_LIST[[#This Row],[TOTAL CURRENT UNITS]]=0,0,INVESTORS_LIST[[#This Row],[TOTAL CURRENT UNITS]]*INVESTORS_LIST[[#This Row],[NAV]])</f>
        <v>0</v>
      </c>
      <c r="AL667" s="4">
        <f>IF(INVESTORS_LIST[[#This Row],[LS_TOTAL CURRENT UNITS]]=0,0,INVESTORS_LIST[[#This Row],[LS_TOTAL CURRENT UNITS]]*INVESTORS_LIST[[#This Row],[NAV]])</f>
        <v>0</v>
      </c>
      <c r="AM667" s="6">
        <f>IF(INVESTORS_LIST[[#This Row],[SIP_TOTAL CURRENT UNITS]]=0,0,INVESTORS_LIST[[#This Row],[SIP_TOTAL CURRENT UNITS]]*INVESTORS_LIST[[#This Row],[NAV]])</f>
        <v>0</v>
      </c>
      <c r="AO667" s="6">
        <f>IF(INVESTORS_LIST[[#This Row],[TOTAL SELLABLE UNITS]]=0,0,INVESTORS_LIST[[#This Row],[TOTAL SELLABLE UNITS]]*INVESTORS_LIST[[#This Row],[NAV]])</f>
        <v>0</v>
      </c>
      <c r="AP667" s="6">
        <f>INVESTORS_LIST[[#This Row],[LS_TOTAL REALIZED GAIN]]+INVESTORS_LIST[[#This Row],[SIP_TOTAL REALIZED GAIN]]</f>
        <v>0</v>
      </c>
      <c r="AQ667" s="6">
        <f>INVESTORS_LIST[[#This Row],[TOTAL MARKET VALUE]]-INVESTORS_LIST[[#This Row],[TOTAL COST VALUE OF CURRENT INVESTMENT]]</f>
        <v>0</v>
      </c>
      <c r="AR667" s="6">
        <f>SUMIFS(DivAndTax[Tax Amount],DivAndTax[Investor ID],INVESTORS_LIST[[#This Row],[INVESTOR CODE]])</f>
        <v>0</v>
      </c>
      <c r="AS667" s="6">
        <f>SUMIFS(DivAndTax[Gross Dividend],DivAndTax[Investor ID],INVESTORS_LIST[[#This Row],[INVESTOR CODE]])</f>
        <v>0</v>
      </c>
      <c r="AT667" s="5">
        <f>IFERROR(INVESTORS_LIST[[#This Row],[TOTAL CURRENT UNITS]]/SUM(INVESTORS_LIST[TOTAL CURRENT UNITS]),0)</f>
        <v>0</v>
      </c>
    </row>
    <row r="668" spans="1:46" hidden="1">
      <c r="A668" t="s">
        <v>1525</v>
      </c>
      <c r="B668" t="s">
        <v>1526</v>
      </c>
      <c r="C668" t="s">
        <v>536</v>
      </c>
      <c r="D668" s="8" t="s">
        <v>2</v>
      </c>
      <c r="E668" s="2">
        <f>SUMIFS(LS[Unit],LS[Investor ID],INVESTORS_LIST[[#This Row],[INVESTOR CODE]],LS[B/S],"B")</f>
        <v>0</v>
      </c>
      <c r="F668" s="2">
        <f>-SUMIFS(LS[Unit],LS[Investor ID],INVESTORS_LIST[[#This Row],[INVESTOR CODE]],LS[B/S],"S")</f>
        <v>0</v>
      </c>
      <c r="G668" s="2">
        <f>IF(INVESTORS_LIST[[#This Row],[LS_TOTAL UNITS BUY]]=0,0,INVESTORS_LIST[[#This Row],[LS_TOTAL UNITS BUY]]-INVESTORS_LIST[[#This Row],[LS_TOTAL UNITS SOLD]])</f>
        <v>0</v>
      </c>
      <c r="H668" s="4">
        <f>IF(INVESTORS_LIST[[#This Row],[LS_TOTAL UNITS BUY]]=0,0,SUMIFS(LS[Amount],LS[Investor ID],INVESTORS_LIST[[#This Row],[INVESTOR CODE]],LS[B/S],"B"))</f>
        <v>0</v>
      </c>
      <c r="I668" s="6">
        <f>IF(INVESTORS_LIST[[#This Row],[LS_TOTAL UNITS SOLD]]=0,0,SUMIFS(LS[Cost of Units Sold],LS[Investor ID],INVESTORS_LIST[[#This Row],[INVESTOR CODE]],LS[B/S],"S"))</f>
        <v>0</v>
      </c>
      <c r="J668" s="6">
        <f>IF(INVESTORS_LIST[[#This Row],[LS_TOTAL CURRENT UNITS]]=0,0,INVESTORS_LIST[[#This Row],[LS_TOTAL CURRENT UNITS]]*INVESTORS_LIST[[#This Row],[LS_AVERAGE COST]])</f>
        <v>0</v>
      </c>
      <c r="K668" s="4">
        <f>IF(INVESTORS_LIST[[#This Row],[LS_TOTAL UNITS SOLD]]=0,0,SUMIFS(LS[Realized Gain],LS[Investor ID],INVESTORS_LIST[[#This Row],[INVESTOR CODE]],LS[B/S],"S"))</f>
        <v>0</v>
      </c>
      <c r="L668" s="2">
        <f>SUMIFS(SIP[Unit],SIP[Investor ID],INVESTORS_LIST[[#This Row],[INVESTOR CODE]],SIP[B/S],"B")</f>
        <v>0</v>
      </c>
      <c r="M668" s="2">
        <f>-SUMIFS(SIP[Unit],SIP[Investor ID],INVESTORS_LIST[[#This Row],[INVESTOR CODE]],SIP[B/S],"S")</f>
        <v>0</v>
      </c>
      <c r="N668" s="33">
        <f>IF(INVESTORS_LIST[[#This Row],[SIP_TOTAL UNITS BUY]]=0,0,INVESTORS_LIST[[#This Row],[SIP_TOTAL UNITS BUY]]-INVESTORS_LIST[[#This Row],[SIP_TOTAL UNITS SOLD]])</f>
        <v>0</v>
      </c>
      <c r="O668" s="4">
        <f>IF(INVESTORS_LIST[[#This Row],[SIP_TOTAL UNITS BUY]]=0,0,SUMIFS(SIP[Amount],SIP[Investor ID],INVESTORS_LIST[[#This Row],[INVESTOR CODE]],SIP[B/S],"B"))</f>
        <v>0</v>
      </c>
      <c r="P668" s="4">
        <f>IF(INVESTORS_LIST[[#This Row],[SIP_TOTAL UNITS SOLD]]=0,0,SUMIFS(SIP[Cost of Units Sold],SIP[Investor ID],INVESTORS_LIST[[#This Row],[INVESTOR CODE]],SIP[B/S],"S"))</f>
        <v>0</v>
      </c>
      <c r="Q668" s="6">
        <f>IF(INVESTORS_LIST[[#This Row],[SIP_TOTAL CURRENT UNITS]]=0,0,INVESTORS_LIST[[#This Row],[SIP_TOTAL CURRENT UNITS]]*INVESTORS_LIST[[#This Row],[SIP_AVERAGE COST]])</f>
        <v>0</v>
      </c>
      <c r="R668" s="6">
        <f>IF(INVESTORS_LIST[[#This Row],[SIP_TOTAL UNITS SOLD]]=0,0,SUMIFS(SIP[Realized Gain],SIP[Investor ID],INVESTORS_LIST[[#This Row],[INVESTOR CODE]],SIP[B/S],"S"))</f>
        <v>0</v>
      </c>
      <c r="S668" s="33">
        <f>INVESTORS_LIST[[#This Row],[LS_TOTAL UNITS BUY]]+INVESTORS_LIST[[#This Row],[SIP_TOTAL UNITS BUY]]</f>
        <v>0</v>
      </c>
      <c r="T668" s="33">
        <f>INVESTORS_LIST[[#This Row],[LS_TOTAL UNITS SOLD]]+INVESTORS_LIST[[#This Row],[SIP_TOTAL UNITS SOLD]]</f>
        <v>0</v>
      </c>
      <c r="U668" s="33">
        <v>0</v>
      </c>
      <c r="V668" s="33">
        <f>SUMIFS(LS[BO UNIT TRANSFER],LS[Investor ID],INVESTORS_LIST[[#This Row],[INVESTOR CODE]],LS[B/S],"B")</f>
        <v>0</v>
      </c>
      <c r="W668" s="33">
        <f>SUMIFS(LS[BO UNIT TRANSFER],LS[Investor ID],INVESTORS_LIST[[#This Row],[INVESTOR CODE]],LS[B/S],"S")</f>
        <v>0</v>
      </c>
      <c r="X668" s="33">
        <f>SUMIFS(SIP[BO UNIT TRANSFER],SIP[Investor ID],INVESTORS_LIST[[#This Row],[INVESTOR CODE]],SIP[B/S],"S")</f>
        <v>0</v>
      </c>
      <c r="Y668" s="33">
        <f>SUMIFS(SIP[BO UNIT TRANSFER],SIP[Investor ID],INVESTORS_LIST[[#This Row],[INVESTOR CODE]],SIP[B/S],"B")</f>
        <v>0</v>
      </c>
      <c r="Z66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68" s="119">
        <f>INVESTORS_LIST[[#This Row],[TOTAL UNITS BUY]]-INVESTORS_LIST[[#This Row],[TOTAL UNITS SOLD]]</f>
        <v>0</v>
      </c>
      <c r="AB668" s="119">
        <f>INVESTORS_LIST[[#This Row],[TOTAL CURRENT UNITS]]-INVESTORS_LIST[[#This Row],[BO UNITS HOLD]]</f>
        <v>0</v>
      </c>
      <c r="AC668" s="119" t="e">
        <f>INDEX([4]!Table_1[BO ID],MATCH(INVESTORS_LIST[[#This Row],[INVESTOR CODE]],[4]!Table_1[INVESTOR CODE],0))</f>
        <v>#REF!</v>
      </c>
      <c r="AD668" s="33">
        <f>INVESTORS_LIST[[#This Row],[LS_TOTAL COST VALUE OF CURRENT UNITS]]+INVESTORS_LIST[[#This Row],[SIP_TOTAL COST VALUE OF CURRENT UNITS]]</f>
        <v>0</v>
      </c>
      <c r="AE668" s="44">
        <f>IF(INVESTORS_LIST[[#This Row],[TOTAL CURRENT UNITS]]=0,0,INVESTORS_LIST[[#This Row],[LS_TOTAL CURRENT UNITS]]/INVESTORS_LIST[[#This Row],[TOTAL CURRENT UNITS]])</f>
        <v>0</v>
      </c>
      <c r="AF668" s="44">
        <f>IF(INVESTORS_LIST[[#This Row],[TOTAL CURRENT UNITS]]=0,0,INVESTORS_LIST[[#This Row],[SIP_TOTAL CURRENT UNITS]]/INVESTORS_LIST[[#This Row],[TOTAL CURRENT UNITS]])</f>
        <v>0</v>
      </c>
      <c r="AG668" s="4" cm="1">
        <f t="array" ref="AG66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68" s="4" cm="1">
        <f t="array" ref="AH66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6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68" s="178">
        <f t="shared" si="18"/>
        <v>12.552</v>
      </c>
      <c r="AK668" s="118">
        <f>IF(INVESTORS_LIST[[#This Row],[TOTAL CURRENT UNITS]]=0,0,INVESTORS_LIST[[#This Row],[TOTAL CURRENT UNITS]]*INVESTORS_LIST[[#This Row],[NAV]])</f>
        <v>0</v>
      </c>
      <c r="AL668" s="4">
        <f>IF(INVESTORS_LIST[[#This Row],[LS_TOTAL CURRENT UNITS]]=0,0,INVESTORS_LIST[[#This Row],[LS_TOTAL CURRENT UNITS]]*INVESTORS_LIST[[#This Row],[NAV]])</f>
        <v>0</v>
      </c>
      <c r="AM668" s="6">
        <f>IF(INVESTORS_LIST[[#This Row],[SIP_TOTAL CURRENT UNITS]]=0,0,INVESTORS_LIST[[#This Row],[SIP_TOTAL CURRENT UNITS]]*INVESTORS_LIST[[#This Row],[NAV]])</f>
        <v>0</v>
      </c>
      <c r="AO668" s="6">
        <f>IF(INVESTORS_LIST[[#This Row],[TOTAL SELLABLE UNITS]]=0,0,INVESTORS_LIST[[#This Row],[TOTAL SELLABLE UNITS]]*INVESTORS_LIST[[#This Row],[NAV]])</f>
        <v>0</v>
      </c>
      <c r="AP668" s="6">
        <f>INVESTORS_LIST[[#This Row],[LS_TOTAL REALIZED GAIN]]+INVESTORS_LIST[[#This Row],[SIP_TOTAL REALIZED GAIN]]</f>
        <v>0</v>
      </c>
      <c r="AQ668" s="6">
        <f>INVESTORS_LIST[[#This Row],[TOTAL MARKET VALUE]]-INVESTORS_LIST[[#This Row],[TOTAL COST VALUE OF CURRENT INVESTMENT]]</f>
        <v>0</v>
      </c>
      <c r="AR668" s="6">
        <f>SUMIFS(DivAndTax[Tax Amount],DivAndTax[Investor ID],INVESTORS_LIST[[#This Row],[INVESTOR CODE]])</f>
        <v>0</v>
      </c>
      <c r="AS668" s="6">
        <f>SUMIFS(DivAndTax[Gross Dividend],DivAndTax[Investor ID],INVESTORS_LIST[[#This Row],[INVESTOR CODE]])</f>
        <v>0</v>
      </c>
      <c r="AT668" s="5">
        <f>IFERROR(INVESTORS_LIST[[#This Row],[TOTAL CURRENT UNITS]]/SUM(INVESTORS_LIST[TOTAL CURRENT UNITS]),0)</f>
        <v>0</v>
      </c>
    </row>
    <row r="669" spans="1:46" hidden="1">
      <c r="A669" t="s">
        <v>1528</v>
      </c>
      <c r="B669" t="s">
        <v>1529</v>
      </c>
      <c r="C669" t="s">
        <v>539</v>
      </c>
      <c r="D669" s="8" t="s">
        <v>2</v>
      </c>
      <c r="E669" s="2">
        <f>SUMIFS(LS[Unit],LS[Investor ID],INVESTORS_LIST[[#This Row],[INVESTOR CODE]],LS[B/S],"B")</f>
        <v>0</v>
      </c>
      <c r="F669" s="2">
        <f>-SUMIFS(LS[Unit],LS[Investor ID],INVESTORS_LIST[[#This Row],[INVESTOR CODE]],LS[B/S],"S")</f>
        <v>0</v>
      </c>
      <c r="G669" s="2">
        <f>IF(INVESTORS_LIST[[#This Row],[LS_TOTAL UNITS BUY]]=0,0,INVESTORS_LIST[[#This Row],[LS_TOTAL UNITS BUY]]-INVESTORS_LIST[[#This Row],[LS_TOTAL UNITS SOLD]])</f>
        <v>0</v>
      </c>
      <c r="H669" s="4">
        <f>IF(INVESTORS_LIST[[#This Row],[LS_TOTAL UNITS BUY]]=0,0,SUMIFS(LS[Amount],LS[Investor ID],INVESTORS_LIST[[#This Row],[INVESTOR CODE]],LS[B/S],"B"))</f>
        <v>0</v>
      </c>
      <c r="I669" s="6">
        <f>IF(INVESTORS_LIST[[#This Row],[LS_TOTAL UNITS SOLD]]=0,0,SUMIFS(LS[Cost of Units Sold],LS[Investor ID],INVESTORS_LIST[[#This Row],[INVESTOR CODE]],LS[B/S],"S"))</f>
        <v>0</v>
      </c>
      <c r="J669" s="6">
        <f>IF(INVESTORS_LIST[[#This Row],[LS_TOTAL CURRENT UNITS]]=0,0,INVESTORS_LIST[[#This Row],[LS_TOTAL CURRENT UNITS]]*INVESTORS_LIST[[#This Row],[LS_AVERAGE COST]])</f>
        <v>0</v>
      </c>
      <c r="K669" s="4">
        <f>IF(INVESTORS_LIST[[#This Row],[LS_TOTAL UNITS SOLD]]=0,0,SUMIFS(LS[Realized Gain],LS[Investor ID],INVESTORS_LIST[[#This Row],[INVESTOR CODE]],LS[B/S],"S"))</f>
        <v>0</v>
      </c>
      <c r="L669" s="2">
        <f>SUMIFS(SIP[Unit],SIP[Investor ID],INVESTORS_LIST[[#This Row],[INVESTOR CODE]],SIP[B/S],"B")</f>
        <v>0</v>
      </c>
      <c r="M669" s="2">
        <f>-SUMIFS(SIP[Unit],SIP[Investor ID],INVESTORS_LIST[[#This Row],[INVESTOR CODE]],SIP[B/S],"S")</f>
        <v>0</v>
      </c>
      <c r="N669" s="33">
        <f>IF(INVESTORS_LIST[[#This Row],[SIP_TOTAL UNITS BUY]]=0,0,INVESTORS_LIST[[#This Row],[SIP_TOTAL UNITS BUY]]-INVESTORS_LIST[[#This Row],[SIP_TOTAL UNITS SOLD]])</f>
        <v>0</v>
      </c>
      <c r="O669" s="4">
        <f>IF(INVESTORS_LIST[[#This Row],[SIP_TOTAL UNITS BUY]]=0,0,SUMIFS(SIP[Amount],SIP[Investor ID],INVESTORS_LIST[[#This Row],[INVESTOR CODE]],SIP[B/S],"B"))</f>
        <v>0</v>
      </c>
      <c r="P669" s="4">
        <f>IF(INVESTORS_LIST[[#This Row],[SIP_TOTAL UNITS SOLD]]=0,0,SUMIFS(SIP[Cost of Units Sold],SIP[Investor ID],INVESTORS_LIST[[#This Row],[INVESTOR CODE]],SIP[B/S],"S"))</f>
        <v>0</v>
      </c>
      <c r="Q669" s="6">
        <f>IF(INVESTORS_LIST[[#This Row],[SIP_TOTAL CURRENT UNITS]]=0,0,INVESTORS_LIST[[#This Row],[SIP_TOTAL CURRENT UNITS]]*INVESTORS_LIST[[#This Row],[SIP_AVERAGE COST]])</f>
        <v>0</v>
      </c>
      <c r="R669" s="6">
        <f>IF(INVESTORS_LIST[[#This Row],[SIP_TOTAL UNITS SOLD]]=0,0,SUMIFS(SIP[Realized Gain],SIP[Investor ID],INVESTORS_LIST[[#This Row],[INVESTOR CODE]],SIP[B/S],"S"))</f>
        <v>0</v>
      </c>
      <c r="S669" s="33">
        <f>INVESTORS_LIST[[#This Row],[LS_TOTAL UNITS BUY]]+INVESTORS_LIST[[#This Row],[SIP_TOTAL UNITS BUY]]</f>
        <v>0</v>
      </c>
      <c r="T669" s="33">
        <f>INVESTORS_LIST[[#This Row],[LS_TOTAL UNITS SOLD]]+INVESTORS_LIST[[#This Row],[SIP_TOTAL UNITS SOLD]]</f>
        <v>0</v>
      </c>
      <c r="U669" s="33">
        <v>0</v>
      </c>
      <c r="V669" s="33">
        <f>SUMIFS(LS[BO UNIT TRANSFER],LS[Investor ID],INVESTORS_LIST[[#This Row],[INVESTOR CODE]],LS[B/S],"B")</f>
        <v>0</v>
      </c>
      <c r="W669" s="33">
        <f>SUMIFS(LS[BO UNIT TRANSFER],LS[Investor ID],INVESTORS_LIST[[#This Row],[INVESTOR CODE]],LS[B/S],"S")</f>
        <v>0</v>
      </c>
      <c r="X669" s="33">
        <f>SUMIFS(SIP[BO UNIT TRANSFER],SIP[Investor ID],INVESTORS_LIST[[#This Row],[INVESTOR CODE]],SIP[B/S],"S")</f>
        <v>0</v>
      </c>
      <c r="Y669" s="33">
        <f>SUMIFS(SIP[BO UNIT TRANSFER],SIP[Investor ID],INVESTORS_LIST[[#This Row],[INVESTOR CODE]],SIP[B/S],"B")</f>
        <v>0</v>
      </c>
      <c r="Z66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69" s="119">
        <f>INVESTORS_LIST[[#This Row],[TOTAL UNITS BUY]]-INVESTORS_LIST[[#This Row],[TOTAL UNITS SOLD]]</f>
        <v>0</v>
      </c>
      <c r="AB669" s="119">
        <f>INVESTORS_LIST[[#This Row],[TOTAL CURRENT UNITS]]-INVESTORS_LIST[[#This Row],[BO UNITS HOLD]]</f>
        <v>0</v>
      </c>
      <c r="AC669" s="119" t="e">
        <f>INDEX([4]!Table_1[BO ID],MATCH(INVESTORS_LIST[[#This Row],[INVESTOR CODE]],[4]!Table_1[INVESTOR CODE],0))</f>
        <v>#REF!</v>
      </c>
      <c r="AD669" s="33">
        <f>INVESTORS_LIST[[#This Row],[LS_TOTAL COST VALUE OF CURRENT UNITS]]+INVESTORS_LIST[[#This Row],[SIP_TOTAL COST VALUE OF CURRENT UNITS]]</f>
        <v>0</v>
      </c>
      <c r="AE669" s="44">
        <f>IF(INVESTORS_LIST[[#This Row],[TOTAL CURRENT UNITS]]=0,0,INVESTORS_LIST[[#This Row],[LS_TOTAL CURRENT UNITS]]/INVESTORS_LIST[[#This Row],[TOTAL CURRENT UNITS]])</f>
        <v>0</v>
      </c>
      <c r="AF669" s="44">
        <f>IF(INVESTORS_LIST[[#This Row],[TOTAL CURRENT UNITS]]=0,0,INVESTORS_LIST[[#This Row],[SIP_TOTAL CURRENT UNITS]]/INVESTORS_LIST[[#This Row],[TOTAL CURRENT UNITS]])</f>
        <v>0</v>
      </c>
      <c r="AG669" s="4" cm="1">
        <f t="array" ref="AG66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69" s="4" cm="1">
        <f t="array" ref="AH66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6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69" s="178">
        <f t="shared" ref="AJ669:AJ675" si="19">NAV_MKT</f>
        <v>12.552</v>
      </c>
      <c r="AK669" s="118">
        <f>IF(INVESTORS_LIST[[#This Row],[TOTAL CURRENT UNITS]]=0,0,INVESTORS_LIST[[#This Row],[TOTAL CURRENT UNITS]]*INVESTORS_LIST[[#This Row],[NAV]])</f>
        <v>0</v>
      </c>
      <c r="AL669" s="4">
        <f>IF(INVESTORS_LIST[[#This Row],[LS_TOTAL CURRENT UNITS]]=0,0,INVESTORS_LIST[[#This Row],[LS_TOTAL CURRENT UNITS]]*INVESTORS_LIST[[#This Row],[NAV]])</f>
        <v>0</v>
      </c>
      <c r="AM669" s="6">
        <f>IF(INVESTORS_LIST[[#This Row],[SIP_TOTAL CURRENT UNITS]]=0,0,INVESTORS_LIST[[#This Row],[SIP_TOTAL CURRENT UNITS]]*INVESTORS_LIST[[#This Row],[NAV]])</f>
        <v>0</v>
      </c>
      <c r="AO669" s="6">
        <f>IF(INVESTORS_LIST[[#This Row],[TOTAL SELLABLE UNITS]]=0,0,INVESTORS_LIST[[#This Row],[TOTAL SELLABLE UNITS]]*INVESTORS_LIST[[#This Row],[NAV]])</f>
        <v>0</v>
      </c>
      <c r="AP669" s="6">
        <f>INVESTORS_LIST[[#This Row],[LS_TOTAL REALIZED GAIN]]+INVESTORS_LIST[[#This Row],[SIP_TOTAL REALIZED GAIN]]</f>
        <v>0</v>
      </c>
      <c r="AQ669" s="6">
        <f>INVESTORS_LIST[[#This Row],[TOTAL MARKET VALUE]]-INVESTORS_LIST[[#This Row],[TOTAL COST VALUE OF CURRENT INVESTMENT]]</f>
        <v>0</v>
      </c>
      <c r="AR669" s="6">
        <f>SUMIFS(DivAndTax[Tax Amount],DivAndTax[Investor ID],INVESTORS_LIST[[#This Row],[INVESTOR CODE]])</f>
        <v>0</v>
      </c>
      <c r="AS669" s="6">
        <f>SUMIFS(DivAndTax[Gross Dividend],DivAndTax[Investor ID],INVESTORS_LIST[[#This Row],[INVESTOR CODE]])</f>
        <v>0</v>
      </c>
      <c r="AT669" s="5">
        <f>IFERROR(INVESTORS_LIST[[#This Row],[TOTAL CURRENT UNITS]]/SUM(INVESTORS_LIST[TOTAL CURRENT UNITS]),0)</f>
        <v>0</v>
      </c>
    </row>
    <row r="670" spans="1:46" hidden="1">
      <c r="A670" t="s">
        <v>1530</v>
      </c>
      <c r="B670" t="s">
        <v>1531</v>
      </c>
      <c r="C670" t="s">
        <v>536</v>
      </c>
      <c r="D670" s="8" t="s">
        <v>2</v>
      </c>
      <c r="E670" s="2">
        <f>SUMIFS(LS[Unit],LS[Investor ID],INVESTORS_LIST[[#This Row],[INVESTOR CODE]],LS[B/S],"B")</f>
        <v>0</v>
      </c>
      <c r="F670" s="2">
        <f>-SUMIFS(LS[Unit],LS[Investor ID],INVESTORS_LIST[[#This Row],[INVESTOR CODE]],LS[B/S],"S")</f>
        <v>0</v>
      </c>
      <c r="G670" s="2">
        <f>IF(INVESTORS_LIST[[#This Row],[LS_TOTAL UNITS BUY]]=0,0,INVESTORS_LIST[[#This Row],[LS_TOTAL UNITS BUY]]-INVESTORS_LIST[[#This Row],[LS_TOTAL UNITS SOLD]])</f>
        <v>0</v>
      </c>
      <c r="H670" s="4">
        <f>IF(INVESTORS_LIST[[#This Row],[LS_TOTAL UNITS BUY]]=0,0,SUMIFS(LS[Amount],LS[Investor ID],INVESTORS_LIST[[#This Row],[INVESTOR CODE]],LS[B/S],"B"))</f>
        <v>0</v>
      </c>
      <c r="I670" s="6">
        <f>IF(INVESTORS_LIST[[#This Row],[LS_TOTAL UNITS SOLD]]=0,0,SUMIFS(LS[Cost of Units Sold],LS[Investor ID],INVESTORS_LIST[[#This Row],[INVESTOR CODE]],LS[B/S],"S"))</f>
        <v>0</v>
      </c>
      <c r="J670" s="6">
        <f>IF(INVESTORS_LIST[[#This Row],[LS_TOTAL CURRENT UNITS]]=0,0,INVESTORS_LIST[[#This Row],[LS_TOTAL CURRENT UNITS]]*INVESTORS_LIST[[#This Row],[LS_AVERAGE COST]])</f>
        <v>0</v>
      </c>
      <c r="K670" s="4">
        <f>IF(INVESTORS_LIST[[#This Row],[LS_TOTAL UNITS SOLD]]=0,0,SUMIFS(LS[Realized Gain],LS[Investor ID],INVESTORS_LIST[[#This Row],[INVESTOR CODE]],LS[B/S],"S"))</f>
        <v>0</v>
      </c>
      <c r="L670" s="2">
        <f>SUMIFS(SIP[Unit],SIP[Investor ID],INVESTORS_LIST[[#This Row],[INVESTOR CODE]],SIP[B/S],"B")</f>
        <v>0</v>
      </c>
      <c r="M670" s="2">
        <f>-SUMIFS(SIP[Unit],SIP[Investor ID],INVESTORS_LIST[[#This Row],[INVESTOR CODE]],SIP[B/S],"S")</f>
        <v>0</v>
      </c>
      <c r="N670" s="33">
        <f>IF(INVESTORS_LIST[[#This Row],[SIP_TOTAL UNITS BUY]]=0,0,INVESTORS_LIST[[#This Row],[SIP_TOTAL UNITS BUY]]-INVESTORS_LIST[[#This Row],[SIP_TOTAL UNITS SOLD]])</f>
        <v>0</v>
      </c>
      <c r="O670" s="4">
        <f>IF(INVESTORS_LIST[[#This Row],[SIP_TOTAL UNITS BUY]]=0,0,SUMIFS(SIP[Amount],SIP[Investor ID],INVESTORS_LIST[[#This Row],[INVESTOR CODE]],SIP[B/S],"B"))</f>
        <v>0</v>
      </c>
      <c r="P670" s="4">
        <f>IF(INVESTORS_LIST[[#This Row],[SIP_TOTAL UNITS SOLD]]=0,0,SUMIFS(SIP[Cost of Units Sold],SIP[Investor ID],INVESTORS_LIST[[#This Row],[INVESTOR CODE]],SIP[B/S],"S"))</f>
        <v>0</v>
      </c>
      <c r="Q670" s="6">
        <f>IF(INVESTORS_LIST[[#This Row],[SIP_TOTAL CURRENT UNITS]]=0,0,INVESTORS_LIST[[#This Row],[SIP_TOTAL CURRENT UNITS]]*INVESTORS_LIST[[#This Row],[SIP_AVERAGE COST]])</f>
        <v>0</v>
      </c>
      <c r="R670" s="6">
        <f>IF(INVESTORS_LIST[[#This Row],[SIP_TOTAL UNITS SOLD]]=0,0,SUMIFS(SIP[Realized Gain],SIP[Investor ID],INVESTORS_LIST[[#This Row],[INVESTOR CODE]],SIP[B/S],"S"))</f>
        <v>0</v>
      </c>
      <c r="S670" s="33">
        <f>INVESTORS_LIST[[#This Row],[LS_TOTAL UNITS BUY]]+INVESTORS_LIST[[#This Row],[SIP_TOTAL UNITS BUY]]</f>
        <v>0</v>
      </c>
      <c r="T670" s="33">
        <f>INVESTORS_LIST[[#This Row],[LS_TOTAL UNITS SOLD]]+INVESTORS_LIST[[#This Row],[SIP_TOTAL UNITS SOLD]]</f>
        <v>0</v>
      </c>
      <c r="U670" s="33">
        <v>0</v>
      </c>
      <c r="V670" s="33">
        <f>SUMIFS(LS[BO UNIT TRANSFER],LS[Investor ID],INVESTORS_LIST[[#This Row],[INVESTOR CODE]],LS[B/S],"B")</f>
        <v>0</v>
      </c>
      <c r="W670" s="33">
        <f>SUMIFS(LS[BO UNIT TRANSFER],LS[Investor ID],INVESTORS_LIST[[#This Row],[INVESTOR CODE]],LS[B/S],"S")</f>
        <v>0</v>
      </c>
      <c r="X670" s="33">
        <f>SUMIFS(SIP[BO UNIT TRANSFER],SIP[Investor ID],INVESTORS_LIST[[#This Row],[INVESTOR CODE]],SIP[B/S],"S")</f>
        <v>0</v>
      </c>
      <c r="Y670" s="33">
        <f>SUMIFS(SIP[BO UNIT TRANSFER],SIP[Investor ID],INVESTORS_LIST[[#This Row],[INVESTOR CODE]],SIP[B/S],"B")</f>
        <v>0</v>
      </c>
      <c r="Z67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70" s="119">
        <f>INVESTORS_LIST[[#This Row],[TOTAL UNITS BUY]]-INVESTORS_LIST[[#This Row],[TOTAL UNITS SOLD]]</f>
        <v>0</v>
      </c>
      <c r="AB670" s="119">
        <f>INVESTORS_LIST[[#This Row],[TOTAL CURRENT UNITS]]-INVESTORS_LIST[[#This Row],[BO UNITS HOLD]]</f>
        <v>0</v>
      </c>
      <c r="AC670" s="119" t="e">
        <f>INDEX([4]!Table_1[BO ID],MATCH(INVESTORS_LIST[[#This Row],[INVESTOR CODE]],[4]!Table_1[INVESTOR CODE],0))</f>
        <v>#REF!</v>
      </c>
      <c r="AD670" s="33">
        <f>INVESTORS_LIST[[#This Row],[LS_TOTAL COST VALUE OF CURRENT UNITS]]+INVESTORS_LIST[[#This Row],[SIP_TOTAL COST VALUE OF CURRENT UNITS]]</f>
        <v>0</v>
      </c>
      <c r="AE670" s="44">
        <f>IF(INVESTORS_LIST[[#This Row],[TOTAL CURRENT UNITS]]=0,0,INVESTORS_LIST[[#This Row],[LS_TOTAL CURRENT UNITS]]/INVESTORS_LIST[[#This Row],[TOTAL CURRENT UNITS]])</f>
        <v>0</v>
      </c>
      <c r="AF670" s="44">
        <f>IF(INVESTORS_LIST[[#This Row],[TOTAL CURRENT UNITS]]=0,0,INVESTORS_LIST[[#This Row],[SIP_TOTAL CURRENT UNITS]]/INVESTORS_LIST[[#This Row],[TOTAL CURRENT UNITS]])</f>
        <v>0</v>
      </c>
      <c r="AG670" s="4" cm="1">
        <f t="array" ref="AG67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70" s="4" cm="1">
        <f t="array" ref="AH67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7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70" s="178">
        <f t="shared" si="19"/>
        <v>12.552</v>
      </c>
      <c r="AK670" s="118">
        <f>IF(INVESTORS_LIST[[#This Row],[TOTAL CURRENT UNITS]]=0,0,INVESTORS_LIST[[#This Row],[TOTAL CURRENT UNITS]]*INVESTORS_LIST[[#This Row],[NAV]])</f>
        <v>0</v>
      </c>
      <c r="AL670" s="4">
        <f>IF(INVESTORS_LIST[[#This Row],[LS_TOTAL CURRENT UNITS]]=0,0,INVESTORS_LIST[[#This Row],[LS_TOTAL CURRENT UNITS]]*INVESTORS_LIST[[#This Row],[NAV]])</f>
        <v>0</v>
      </c>
      <c r="AM670" s="6">
        <f>IF(INVESTORS_LIST[[#This Row],[SIP_TOTAL CURRENT UNITS]]=0,0,INVESTORS_LIST[[#This Row],[SIP_TOTAL CURRENT UNITS]]*INVESTORS_LIST[[#This Row],[NAV]])</f>
        <v>0</v>
      </c>
      <c r="AO670" s="6">
        <f>IF(INVESTORS_LIST[[#This Row],[TOTAL SELLABLE UNITS]]=0,0,INVESTORS_LIST[[#This Row],[TOTAL SELLABLE UNITS]]*INVESTORS_LIST[[#This Row],[NAV]])</f>
        <v>0</v>
      </c>
      <c r="AP670" s="6">
        <f>INVESTORS_LIST[[#This Row],[LS_TOTAL REALIZED GAIN]]+INVESTORS_LIST[[#This Row],[SIP_TOTAL REALIZED GAIN]]</f>
        <v>0</v>
      </c>
      <c r="AQ670" s="6">
        <f>INVESTORS_LIST[[#This Row],[TOTAL MARKET VALUE]]-INVESTORS_LIST[[#This Row],[TOTAL COST VALUE OF CURRENT INVESTMENT]]</f>
        <v>0</v>
      </c>
      <c r="AR670" s="6">
        <f>SUMIFS(DivAndTax[Tax Amount],DivAndTax[Investor ID],INVESTORS_LIST[[#This Row],[INVESTOR CODE]])</f>
        <v>0</v>
      </c>
      <c r="AS670" s="6">
        <f>SUMIFS(DivAndTax[Gross Dividend],DivAndTax[Investor ID],INVESTORS_LIST[[#This Row],[INVESTOR CODE]])</f>
        <v>0</v>
      </c>
      <c r="AT670" s="5">
        <f>IFERROR(INVESTORS_LIST[[#This Row],[TOTAL CURRENT UNITS]]/SUM(INVESTORS_LIST[TOTAL CURRENT UNITS]),0)</f>
        <v>0</v>
      </c>
    </row>
    <row r="671" spans="1:46">
      <c r="A671" t="s">
        <v>1532</v>
      </c>
      <c r="B671" t="s">
        <v>1527</v>
      </c>
      <c r="C671" t="s">
        <v>536</v>
      </c>
      <c r="D671" s="8" t="s">
        <v>2</v>
      </c>
      <c r="E671" s="2">
        <f>SUMIFS(LS[Unit],LS[Investor ID],INVESTORS_LIST[[#This Row],[INVESTOR CODE]],LS[B/S],"B")</f>
        <v>142</v>
      </c>
      <c r="F671" s="2">
        <f>-SUMIFS(LS[Unit],LS[Investor ID],INVESTORS_LIST[[#This Row],[INVESTOR CODE]],LS[B/S],"S")</f>
        <v>0</v>
      </c>
      <c r="G671" s="2">
        <f>IF(INVESTORS_LIST[[#This Row],[LS_TOTAL UNITS BUY]]=0,0,INVESTORS_LIST[[#This Row],[LS_TOTAL UNITS BUY]]-INVESTORS_LIST[[#This Row],[LS_TOTAL UNITS SOLD]])</f>
        <v>142</v>
      </c>
      <c r="H671" s="4">
        <f>IF(INVESTORS_LIST[[#This Row],[LS_TOTAL UNITS BUY]]=0,0,SUMIFS(LS[Amount],LS[Investor ID],INVESTORS_LIST[[#This Row],[INVESTOR CODE]],LS[B/S],"B"))</f>
        <v>1879.4999999999998</v>
      </c>
      <c r="I671" s="6">
        <f>IF(INVESTORS_LIST[[#This Row],[LS_TOTAL UNITS SOLD]]=0,0,SUMIFS(LS[Cost of Units Sold],LS[Investor ID],INVESTORS_LIST[[#This Row],[INVESTOR CODE]],LS[B/S],"S"))</f>
        <v>0</v>
      </c>
      <c r="J671" s="6">
        <f>IF(INVESTORS_LIST[[#This Row],[LS_TOTAL CURRENT UNITS]]=0,0,INVESTORS_LIST[[#This Row],[LS_TOTAL CURRENT UNITS]]*INVESTORS_LIST[[#This Row],[LS_AVERAGE COST]])</f>
        <v>1879.4999999999998</v>
      </c>
      <c r="K671" s="4">
        <f>IF(INVESTORS_LIST[[#This Row],[LS_TOTAL UNITS SOLD]]=0,0,SUMIFS(LS[Realized Gain],LS[Investor ID],INVESTORS_LIST[[#This Row],[INVESTOR CODE]],LS[B/S],"S"))</f>
        <v>0</v>
      </c>
      <c r="L671" s="2">
        <f>SUMIFS(SIP[Unit],SIP[Investor ID],INVESTORS_LIST[[#This Row],[INVESTOR CODE]],SIP[B/S],"B")</f>
        <v>12890</v>
      </c>
      <c r="M671" s="2">
        <f>-SUMIFS(SIP[Unit],SIP[Investor ID],INVESTORS_LIST[[#This Row],[INVESTOR CODE]],SIP[B/S],"S")</f>
        <v>0</v>
      </c>
      <c r="N671" s="33">
        <f>IF(INVESTORS_LIST[[#This Row],[SIP_TOTAL UNITS BUY]]=0,0,INVESTORS_LIST[[#This Row],[SIP_TOTAL UNITS BUY]]-INVESTORS_LIST[[#This Row],[SIP_TOTAL UNITS SOLD]])</f>
        <v>12890</v>
      </c>
      <c r="O671" s="4">
        <f>IF(INVESTORS_LIST[[#This Row],[SIP_TOTAL UNITS BUY]]=0,0,SUMIFS(SIP[Amount],SIP[Investor ID],INVESTORS_LIST[[#This Row],[INVESTOR CODE]],SIP[B/S],"B"))</f>
        <v>160000</v>
      </c>
      <c r="P671" s="4">
        <f>IF(INVESTORS_LIST[[#This Row],[SIP_TOTAL UNITS SOLD]]=0,0,SUMIFS(SIP[Cost of Units Sold],SIP[Investor ID],INVESTORS_LIST[[#This Row],[INVESTOR CODE]],SIP[B/S],"S"))</f>
        <v>0</v>
      </c>
      <c r="Q671" s="6">
        <f>IF(INVESTORS_LIST[[#This Row],[SIP_TOTAL CURRENT UNITS]]=0,0,INVESTORS_LIST[[#This Row],[SIP_TOTAL CURRENT UNITS]]*INVESTORS_LIST[[#This Row],[SIP_AVERAGE COST]])</f>
        <v>160000.00000000003</v>
      </c>
      <c r="R671" s="6">
        <f>IF(INVESTORS_LIST[[#This Row],[SIP_TOTAL UNITS SOLD]]=0,0,SUMIFS(SIP[Realized Gain],SIP[Investor ID],INVESTORS_LIST[[#This Row],[INVESTOR CODE]],SIP[B/S],"S"))</f>
        <v>0</v>
      </c>
      <c r="S671" s="33">
        <f>INVESTORS_LIST[[#This Row],[LS_TOTAL UNITS BUY]]+INVESTORS_LIST[[#This Row],[SIP_TOTAL UNITS BUY]]</f>
        <v>13032</v>
      </c>
      <c r="T671" s="33">
        <f>INVESTORS_LIST[[#This Row],[LS_TOTAL UNITS SOLD]]+INVESTORS_LIST[[#This Row],[SIP_TOTAL UNITS SOLD]]</f>
        <v>0</v>
      </c>
      <c r="U671" s="33">
        <v>0</v>
      </c>
      <c r="V671" s="33">
        <f>SUMIFS(LS[BO UNIT TRANSFER],LS[Investor ID],INVESTORS_LIST[[#This Row],[INVESTOR CODE]],LS[B/S],"B")</f>
        <v>142</v>
      </c>
      <c r="W671" s="33">
        <f>SUMIFS(LS[BO UNIT TRANSFER],LS[Investor ID],INVESTORS_LIST[[#This Row],[INVESTOR CODE]],LS[B/S],"S")</f>
        <v>0</v>
      </c>
      <c r="X671" s="33">
        <f>SUMIFS(SIP[BO UNIT TRANSFER],SIP[Investor ID],INVESTORS_LIST[[#This Row],[INVESTOR CODE]],SIP[B/S],"S")</f>
        <v>0</v>
      </c>
      <c r="Y671" s="33">
        <f>SUMIFS(SIP[BO UNIT TRANSFER],SIP[Investor ID],INVESTORS_LIST[[#This Row],[INVESTOR CODE]],SIP[B/S],"B")</f>
        <v>10624</v>
      </c>
      <c r="Z67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10766</v>
      </c>
      <c r="AA671" s="119">
        <f>INVESTORS_LIST[[#This Row],[TOTAL UNITS BUY]]-INVESTORS_LIST[[#This Row],[TOTAL UNITS SOLD]]</f>
        <v>13032</v>
      </c>
      <c r="AB671" s="119">
        <f>INVESTORS_LIST[[#This Row],[TOTAL CURRENT UNITS]]-INVESTORS_LIST[[#This Row],[BO UNITS HOLD]]</f>
        <v>2266</v>
      </c>
      <c r="AC671" s="119" t="e">
        <f>INDEX([4]!Table_1[BO ID],MATCH(INVESTORS_LIST[[#This Row],[INVESTOR CODE]],[4]!Table_1[INVESTOR CODE],0))</f>
        <v>#REF!</v>
      </c>
      <c r="AD671" s="33">
        <f>INVESTORS_LIST[[#This Row],[LS_TOTAL COST VALUE OF CURRENT UNITS]]+INVESTORS_LIST[[#This Row],[SIP_TOTAL COST VALUE OF CURRENT UNITS]]</f>
        <v>161879.50000000003</v>
      </c>
      <c r="AE671" s="44">
        <f>IF(INVESTORS_LIST[[#This Row],[TOTAL CURRENT UNITS]]=0,0,INVESTORS_LIST[[#This Row],[LS_TOTAL CURRENT UNITS]]/INVESTORS_LIST[[#This Row],[TOTAL CURRENT UNITS]])</f>
        <v>1.0896255371393493E-2</v>
      </c>
      <c r="AF671" s="44">
        <f>IF(INVESTORS_LIST[[#This Row],[TOTAL CURRENT UNITS]]=0,0,INVESTORS_LIST[[#This Row],[SIP_TOTAL CURRENT UNITS]]/INVESTORS_LIST[[#This Row],[TOTAL CURRENT UNITS]])</f>
        <v>0.98910374462860651</v>
      </c>
      <c r="AG671" s="4" cm="1">
        <f t="array" ref="AG671">IF(INVESTORS_LIST[[#This Row],[LS_TOTAL UNITS BUY]]&gt;0,INDEX(LS[NAV at Cost (Average)],MATCH(CONCATENATE(COUNTIFS(LS[Investor ID],INVESTORS_LIST[[#This Row],[INVESTOR CODE]]),INVESTORS_LIST[[#This Row],[INVESTOR CODE]]),LS[Unique Code],0),),0)</f>
        <v>13.235915492957744</v>
      </c>
      <c r="AH671" s="4" cm="1">
        <f t="array" ref="AH671">IF(INVESTORS_LIST[[#This Row],[SIP_TOTAL UNITS BUY]]&gt;0,INDEX(SIP[NAV at Cost (Average)],MATCH(CONCATENATE(COUNTIFS(SIP[Investor ID],INVESTORS_LIST[[#This Row],[INVESTOR CODE]]),INVESTORS_LIST[[#This Row],[INVESTOR CODE]]),SIP[Unique Code],0),),0)</f>
        <v>12.412723041117147</v>
      </c>
      <c r="AI671" s="178">
        <f>IF(INVESTORS_LIST[[#This Row],[TOTAL CURRENT UNITS]]=0,0,(INVESTORS_LIST[[#This Row],[LS_WEIGHT]]*INVESTORS_LIST[[#This Row],[LS_AVERAGE COST]])+(INVESTORS_LIST[[#This Row],[SIP_WEIGHT]]*INVESTORS_LIST[[#This Row],[SIP_AVERAGE COST]]))</f>
        <v>12.421692756292206</v>
      </c>
      <c r="AJ671" s="178">
        <f t="shared" si="19"/>
        <v>12.552</v>
      </c>
      <c r="AK671" s="118">
        <f>IF(INVESTORS_LIST[[#This Row],[TOTAL CURRENT UNITS]]=0,0,INVESTORS_LIST[[#This Row],[TOTAL CURRENT UNITS]]*INVESTORS_LIST[[#This Row],[NAV]])</f>
        <v>163577.66399999999</v>
      </c>
      <c r="AL671" s="4">
        <f>IF(INVESTORS_LIST[[#This Row],[LS_TOTAL CURRENT UNITS]]=0,0,INVESTORS_LIST[[#This Row],[LS_TOTAL CURRENT UNITS]]*INVESTORS_LIST[[#This Row],[NAV]])</f>
        <v>1782.384</v>
      </c>
      <c r="AM671" s="6">
        <f>IF(INVESTORS_LIST[[#This Row],[SIP_TOTAL CURRENT UNITS]]=0,0,INVESTORS_LIST[[#This Row],[SIP_TOTAL CURRENT UNITS]]*INVESTORS_LIST[[#This Row],[NAV]])</f>
        <v>161795.28</v>
      </c>
      <c r="AO671" s="6">
        <f>IF(INVESTORS_LIST[[#This Row],[TOTAL SELLABLE UNITS]]=0,0,INVESTORS_LIST[[#This Row],[TOTAL SELLABLE UNITS]]*INVESTORS_LIST[[#This Row],[NAV]])</f>
        <v>0</v>
      </c>
      <c r="AP671" s="6">
        <f>INVESTORS_LIST[[#This Row],[LS_TOTAL REALIZED GAIN]]+INVESTORS_LIST[[#This Row],[SIP_TOTAL REALIZED GAIN]]</f>
        <v>0</v>
      </c>
      <c r="AQ671" s="6">
        <f>INVESTORS_LIST[[#This Row],[TOTAL MARKET VALUE]]-INVESTORS_LIST[[#This Row],[TOTAL COST VALUE OF CURRENT INVESTMENT]]</f>
        <v>1698.1639999999607</v>
      </c>
      <c r="AR671" s="6">
        <f>SUMIFS(DivAndTax[Tax Amount],DivAndTax[Investor ID],INVESTORS_LIST[[#This Row],[INVESTOR CODE]])</f>
        <v>187.95</v>
      </c>
      <c r="AS671" s="6">
        <f>SUMIFS(DivAndTax[Gross Dividend],DivAndTax[Investor ID],INVESTORS_LIST[[#This Row],[INVESTOR CODE]])</f>
        <v>1879.4999999999998</v>
      </c>
      <c r="AT671" s="5">
        <f>IFERROR(INVESTORS_LIST[[#This Row],[TOTAL CURRENT UNITS]]/SUM(INVESTORS_LIST[TOTAL CURRENT UNITS]),0)</f>
        <v>6.2481709045426003E-4</v>
      </c>
    </row>
    <row r="672" spans="1:46">
      <c r="A672" t="s">
        <v>1533</v>
      </c>
      <c r="B672" t="s">
        <v>1646</v>
      </c>
      <c r="C672" t="s">
        <v>536</v>
      </c>
      <c r="D672" s="8" t="s">
        <v>2</v>
      </c>
      <c r="E672" s="2">
        <f>SUMIFS(LS[Unit],LS[Investor ID],INVESTORS_LIST[[#This Row],[INVESTOR CODE]],LS[B/S],"B")</f>
        <v>10116</v>
      </c>
      <c r="F672" s="2">
        <f>-SUMIFS(LS[Unit],LS[Investor ID],INVESTORS_LIST[[#This Row],[INVESTOR CODE]],LS[B/S],"S")</f>
        <v>0</v>
      </c>
      <c r="G672" s="2">
        <f>IF(INVESTORS_LIST[[#This Row],[LS_TOTAL UNITS BUY]]=0,0,INVESTORS_LIST[[#This Row],[LS_TOTAL UNITS BUY]]-INVESTORS_LIST[[#This Row],[LS_TOTAL UNITS SOLD]])</f>
        <v>10116</v>
      </c>
      <c r="H672" s="4">
        <f>IF(INVESTORS_LIST[[#This Row],[LS_TOTAL UNITS BUY]]=0,0,SUMIFS(LS[Amount],LS[Investor ID],INVESTORS_LIST[[#This Row],[INVESTOR CODE]],LS[B/S],"B"))</f>
        <v>122218.3</v>
      </c>
      <c r="I672" s="6">
        <f>IF(INVESTORS_LIST[[#This Row],[LS_TOTAL UNITS SOLD]]=0,0,SUMIFS(LS[Cost of Units Sold],LS[Investor ID],INVESTORS_LIST[[#This Row],[INVESTOR CODE]],LS[B/S],"S"))</f>
        <v>0</v>
      </c>
      <c r="J672" s="6">
        <f>IF(INVESTORS_LIST[[#This Row],[LS_TOTAL CURRENT UNITS]]=0,0,INVESTORS_LIST[[#This Row],[LS_TOTAL CURRENT UNITS]]*INVESTORS_LIST[[#This Row],[LS_AVERAGE COST]])</f>
        <v>122218.29999999999</v>
      </c>
      <c r="K672" s="4">
        <f>IF(INVESTORS_LIST[[#This Row],[LS_TOTAL UNITS SOLD]]=0,0,SUMIFS(LS[Realized Gain],LS[Investor ID],INVESTORS_LIST[[#This Row],[INVESTOR CODE]],LS[B/S],"S"))</f>
        <v>0</v>
      </c>
      <c r="L672" s="2">
        <f>SUMIFS(SIP[Unit],SIP[Investor ID],INVESTORS_LIST[[#This Row],[INVESTOR CODE]],SIP[B/S],"B")</f>
        <v>0</v>
      </c>
      <c r="M672" s="2">
        <f>-SUMIFS(SIP[Unit],SIP[Investor ID],INVESTORS_LIST[[#This Row],[INVESTOR CODE]],SIP[B/S],"S")</f>
        <v>0</v>
      </c>
      <c r="N672" s="33">
        <f>IF(INVESTORS_LIST[[#This Row],[SIP_TOTAL UNITS BUY]]=0,0,INVESTORS_LIST[[#This Row],[SIP_TOTAL UNITS BUY]]-INVESTORS_LIST[[#This Row],[SIP_TOTAL UNITS SOLD]])</f>
        <v>0</v>
      </c>
      <c r="O672" s="4">
        <f>IF(INVESTORS_LIST[[#This Row],[SIP_TOTAL UNITS BUY]]=0,0,SUMIFS(SIP[Amount],SIP[Investor ID],INVESTORS_LIST[[#This Row],[INVESTOR CODE]],SIP[B/S],"B"))</f>
        <v>0</v>
      </c>
      <c r="P672" s="4">
        <f>IF(INVESTORS_LIST[[#This Row],[SIP_TOTAL UNITS SOLD]]=0,0,SUMIFS(SIP[Cost of Units Sold],SIP[Investor ID],INVESTORS_LIST[[#This Row],[INVESTOR CODE]],SIP[B/S],"S"))</f>
        <v>0</v>
      </c>
      <c r="Q672" s="6">
        <f>IF(INVESTORS_LIST[[#This Row],[SIP_TOTAL CURRENT UNITS]]=0,0,INVESTORS_LIST[[#This Row],[SIP_TOTAL CURRENT UNITS]]*INVESTORS_LIST[[#This Row],[SIP_AVERAGE COST]])</f>
        <v>0</v>
      </c>
      <c r="R672" s="6">
        <f>IF(INVESTORS_LIST[[#This Row],[SIP_TOTAL UNITS SOLD]]=0,0,SUMIFS(SIP[Realized Gain],SIP[Investor ID],INVESTORS_LIST[[#This Row],[INVESTOR CODE]],SIP[B/S],"S"))</f>
        <v>0</v>
      </c>
      <c r="S672" s="33">
        <f>INVESTORS_LIST[[#This Row],[LS_TOTAL UNITS BUY]]+INVESTORS_LIST[[#This Row],[SIP_TOTAL UNITS BUY]]</f>
        <v>10116</v>
      </c>
      <c r="T672" s="33">
        <f>INVESTORS_LIST[[#This Row],[LS_TOTAL UNITS SOLD]]+INVESTORS_LIST[[#This Row],[SIP_TOTAL UNITS SOLD]]</f>
        <v>0</v>
      </c>
      <c r="U672" s="33">
        <v>0</v>
      </c>
      <c r="V672" s="33">
        <f>SUMIFS(LS[BO UNIT TRANSFER],LS[Investor ID],INVESTORS_LIST[[#This Row],[INVESTOR CODE]],LS[B/S],"B")</f>
        <v>9317</v>
      </c>
      <c r="W672" s="33">
        <f>SUMIFS(LS[BO UNIT TRANSFER],LS[Investor ID],INVESTORS_LIST[[#This Row],[INVESTOR CODE]],LS[B/S],"S")</f>
        <v>0</v>
      </c>
      <c r="X672" s="33">
        <f>SUMIFS(SIP[BO UNIT TRANSFER],SIP[Investor ID],INVESTORS_LIST[[#This Row],[INVESTOR CODE]],SIP[B/S],"S")</f>
        <v>0</v>
      </c>
      <c r="Y672" s="33">
        <f>SUMIFS(SIP[BO UNIT TRANSFER],SIP[Investor ID],INVESTORS_LIST[[#This Row],[INVESTOR CODE]],SIP[B/S],"B")</f>
        <v>0</v>
      </c>
      <c r="Z67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9317</v>
      </c>
      <c r="AA672" s="119">
        <f>INVESTORS_LIST[[#This Row],[TOTAL UNITS BUY]]-INVESTORS_LIST[[#This Row],[TOTAL UNITS SOLD]]</f>
        <v>10116</v>
      </c>
      <c r="AB672" s="119">
        <f>INVESTORS_LIST[[#This Row],[TOTAL CURRENT UNITS]]-INVESTORS_LIST[[#This Row],[BO UNITS HOLD]]</f>
        <v>799</v>
      </c>
      <c r="AC672" s="119" t="e">
        <f>INDEX([4]!Table_1[BO ID],MATCH(INVESTORS_LIST[[#This Row],[INVESTOR CODE]],[4]!Table_1[INVESTOR CODE],0))</f>
        <v>#REF!</v>
      </c>
      <c r="AD672" s="33">
        <f>INVESTORS_LIST[[#This Row],[LS_TOTAL COST VALUE OF CURRENT UNITS]]+INVESTORS_LIST[[#This Row],[SIP_TOTAL COST VALUE OF CURRENT UNITS]]</f>
        <v>122218.29999999999</v>
      </c>
      <c r="AE672" s="44">
        <f>IF(INVESTORS_LIST[[#This Row],[TOTAL CURRENT UNITS]]=0,0,INVESTORS_LIST[[#This Row],[LS_TOTAL CURRENT UNITS]]/INVESTORS_LIST[[#This Row],[TOTAL CURRENT UNITS]])</f>
        <v>1</v>
      </c>
      <c r="AF672" s="44">
        <f>IF(INVESTORS_LIST[[#This Row],[TOTAL CURRENT UNITS]]=0,0,INVESTORS_LIST[[#This Row],[SIP_TOTAL CURRENT UNITS]]/INVESTORS_LIST[[#This Row],[TOTAL CURRENT UNITS]])</f>
        <v>0</v>
      </c>
      <c r="AG672" s="4" cm="1">
        <f t="array" ref="AG672">IF(INVESTORS_LIST[[#This Row],[LS_TOTAL UNITS BUY]]&gt;0,INDEX(LS[NAV at Cost (Average)],MATCH(CONCATENATE(COUNTIFS(LS[Investor ID],INVESTORS_LIST[[#This Row],[INVESTOR CODE]]),INVESTORS_LIST[[#This Row],[INVESTOR CODE]]),LS[Unique Code],0),),0)</f>
        <v>12.081682483194937</v>
      </c>
      <c r="AH672" s="4" cm="1">
        <f t="array" ref="AH67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72" s="178">
        <f>IF(INVESTORS_LIST[[#This Row],[TOTAL CURRENT UNITS]]=0,0,(INVESTORS_LIST[[#This Row],[LS_WEIGHT]]*INVESTORS_LIST[[#This Row],[LS_AVERAGE COST]])+(INVESTORS_LIST[[#This Row],[SIP_WEIGHT]]*INVESTORS_LIST[[#This Row],[SIP_AVERAGE COST]]))</f>
        <v>12.081682483194937</v>
      </c>
      <c r="AJ672" s="178">
        <f t="shared" si="19"/>
        <v>12.552</v>
      </c>
      <c r="AK672" s="118">
        <f>IF(INVESTORS_LIST[[#This Row],[TOTAL CURRENT UNITS]]=0,0,INVESTORS_LIST[[#This Row],[TOTAL CURRENT UNITS]]*INVESTORS_LIST[[#This Row],[NAV]])</f>
        <v>126976.03199999999</v>
      </c>
      <c r="AL672" s="4">
        <f>IF(INVESTORS_LIST[[#This Row],[LS_TOTAL CURRENT UNITS]]=0,0,INVESTORS_LIST[[#This Row],[LS_TOTAL CURRENT UNITS]]*INVESTORS_LIST[[#This Row],[NAV]])</f>
        <v>126976.03199999999</v>
      </c>
      <c r="AM672" s="6">
        <f>IF(INVESTORS_LIST[[#This Row],[SIP_TOTAL CURRENT UNITS]]=0,0,INVESTORS_LIST[[#This Row],[SIP_TOTAL CURRENT UNITS]]*INVESTORS_LIST[[#This Row],[NAV]])</f>
        <v>0</v>
      </c>
      <c r="AO672" s="6">
        <f>IF(INVESTORS_LIST[[#This Row],[TOTAL SELLABLE UNITS]]=0,0,INVESTORS_LIST[[#This Row],[TOTAL SELLABLE UNITS]]*INVESTORS_LIST[[#This Row],[NAV]])</f>
        <v>0</v>
      </c>
      <c r="AP672" s="6">
        <f>INVESTORS_LIST[[#This Row],[LS_TOTAL REALIZED GAIN]]+INVESTORS_LIST[[#This Row],[SIP_TOTAL REALIZED GAIN]]</f>
        <v>0</v>
      </c>
      <c r="AQ672" s="6">
        <f>INVESTORS_LIST[[#This Row],[TOTAL MARKET VALUE]]-INVESTORS_LIST[[#This Row],[TOTAL COST VALUE OF CURRENT INVESTMENT]]</f>
        <v>4757.7320000000036</v>
      </c>
      <c r="AR672" s="6">
        <f>SUMIFS(DivAndTax[Tax Amount],DivAndTax[Investor ID],INVESTORS_LIST[[#This Row],[INVESTOR CODE]])</f>
        <v>221.83</v>
      </c>
      <c r="AS672" s="6">
        <f>SUMIFS(DivAndTax[Gross Dividend],DivAndTax[Investor ID],INVESTORS_LIST[[#This Row],[INVESTOR CODE]])</f>
        <v>2218.2999999999997</v>
      </c>
      <c r="AT672" s="5">
        <f>IFERROR(INVESTORS_LIST[[#This Row],[TOTAL CURRENT UNITS]]/SUM(INVESTORS_LIST[TOTAL CURRENT UNITS]),0)</f>
        <v>4.8500995142996428E-4</v>
      </c>
    </row>
    <row r="673" spans="1:46" hidden="1">
      <c r="A673" t="s">
        <v>1535</v>
      </c>
      <c r="B673" t="s">
        <v>1536</v>
      </c>
      <c r="C673" t="s">
        <v>539</v>
      </c>
      <c r="D673" s="8" t="s">
        <v>2</v>
      </c>
      <c r="E673" s="2">
        <f>SUMIFS(LS[Unit],LS[Investor ID],INVESTORS_LIST[[#This Row],[INVESTOR CODE]],LS[B/S],"B")</f>
        <v>0</v>
      </c>
      <c r="F673" s="2">
        <f>-SUMIFS(LS[Unit],LS[Investor ID],INVESTORS_LIST[[#This Row],[INVESTOR CODE]],LS[B/S],"S")</f>
        <v>0</v>
      </c>
      <c r="G673" s="2">
        <f>IF(INVESTORS_LIST[[#This Row],[LS_TOTAL UNITS BUY]]=0,0,INVESTORS_LIST[[#This Row],[LS_TOTAL UNITS BUY]]-INVESTORS_LIST[[#This Row],[LS_TOTAL UNITS SOLD]])</f>
        <v>0</v>
      </c>
      <c r="H673" s="4">
        <f>IF(INVESTORS_LIST[[#This Row],[LS_TOTAL UNITS BUY]]=0,0,SUMIFS(LS[Amount],LS[Investor ID],INVESTORS_LIST[[#This Row],[INVESTOR CODE]],LS[B/S],"B"))</f>
        <v>0</v>
      </c>
      <c r="I673" s="6">
        <f>IF(INVESTORS_LIST[[#This Row],[LS_TOTAL UNITS SOLD]]=0,0,SUMIFS(LS[Cost of Units Sold],LS[Investor ID],INVESTORS_LIST[[#This Row],[INVESTOR CODE]],LS[B/S],"S"))</f>
        <v>0</v>
      </c>
      <c r="J673" s="6">
        <f>IF(INVESTORS_LIST[[#This Row],[LS_TOTAL CURRENT UNITS]]=0,0,INVESTORS_LIST[[#This Row],[LS_TOTAL CURRENT UNITS]]*INVESTORS_LIST[[#This Row],[LS_AVERAGE COST]])</f>
        <v>0</v>
      </c>
      <c r="K673" s="4">
        <f>IF(INVESTORS_LIST[[#This Row],[LS_TOTAL UNITS SOLD]]=0,0,SUMIFS(LS[Realized Gain],LS[Investor ID],INVESTORS_LIST[[#This Row],[INVESTOR CODE]],LS[B/S],"S"))</f>
        <v>0</v>
      </c>
      <c r="L673" s="2">
        <f>SUMIFS(SIP[Unit],SIP[Investor ID],INVESTORS_LIST[[#This Row],[INVESTOR CODE]],SIP[B/S],"B")</f>
        <v>0</v>
      </c>
      <c r="M673" s="2">
        <f>-SUMIFS(SIP[Unit],SIP[Investor ID],INVESTORS_LIST[[#This Row],[INVESTOR CODE]],SIP[B/S],"S")</f>
        <v>0</v>
      </c>
      <c r="N673" s="33">
        <f>IF(INVESTORS_LIST[[#This Row],[SIP_TOTAL UNITS BUY]]=0,0,INVESTORS_LIST[[#This Row],[SIP_TOTAL UNITS BUY]]-INVESTORS_LIST[[#This Row],[SIP_TOTAL UNITS SOLD]])</f>
        <v>0</v>
      </c>
      <c r="O673" s="4">
        <f>IF(INVESTORS_LIST[[#This Row],[SIP_TOTAL UNITS BUY]]=0,0,SUMIFS(SIP[Amount],SIP[Investor ID],INVESTORS_LIST[[#This Row],[INVESTOR CODE]],SIP[B/S],"B"))</f>
        <v>0</v>
      </c>
      <c r="P673" s="4">
        <f>IF(INVESTORS_LIST[[#This Row],[SIP_TOTAL UNITS SOLD]]=0,0,SUMIFS(SIP[Cost of Units Sold],SIP[Investor ID],INVESTORS_LIST[[#This Row],[INVESTOR CODE]],SIP[B/S],"S"))</f>
        <v>0</v>
      </c>
      <c r="Q673" s="6">
        <f>IF(INVESTORS_LIST[[#This Row],[SIP_TOTAL CURRENT UNITS]]=0,0,INVESTORS_LIST[[#This Row],[SIP_TOTAL CURRENT UNITS]]*INVESTORS_LIST[[#This Row],[SIP_AVERAGE COST]])</f>
        <v>0</v>
      </c>
      <c r="R673" s="6">
        <f>IF(INVESTORS_LIST[[#This Row],[SIP_TOTAL UNITS SOLD]]=0,0,SUMIFS(SIP[Realized Gain],SIP[Investor ID],INVESTORS_LIST[[#This Row],[INVESTOR CODE]],SIP[B/S],"S"))</f>
        <v>0</v>
      </c>
      <c r="S673" s="33">
        <f>INVESTORS_LIST[[#This Row],[LS_TOTAL UNITS BUY]]+INVESTORS_LIST[[#This Row],[SIP_TOTAL UNITS BUY]]</f>
        <v>0</v>
      </c>
      <c r="T673" s="33">
        <f>INVESTORS_LIST[[#This Row],[LS_TOTAL UNITS SOLD]]+INVESTORS_LIST[[#This Row],[SIP_TOTAL UNITS SOLD]]</f>
        <v>0</v>
      </c>
      <c r="U673" s="33">
        <v>0</v>
      </c>
      <c r="V673" s="33">
        <f>SUMIFS(LS[BO UNIT TRANSFER],LS[Investor ID],INVESTORS_LIST[[#This Row],[INVESTOR CODE]],LS[B/S],"B")</f>
        <v>0</v>
      </c>
      <c r="W673" s="33">
        <f>SUMIFS(LS[BO UNIT TRANSFER],LS[Investor ID],INVESTORS_LIST[[#This Row],[INVESTOR CODE]],LS[B/S],"S")</f>
        <v>0</v>
      </c>
      <c r="X673" s="33">
        <f>SUMIFS(SIP[BO UNIT TRANSFER],SIP[Investor ID],INVESTORS_LIST[[#This Row],[INVESTOR CODE]],SIP[B/S],"S")</f>
        <v>0</v>
      </c>
      <c r="Y673" s="33">
        <f>SUMIFS(SIP[BO UNIT TRANSFER],SIP[Investor ID],INVESTORS_LIST[[#This Row],[INVESTOR CODE]],SIP[B/S],"B")</f>
        <v>0</v>
      </c>
      <c r="Z67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73" s="119">
        <f>INVESTORS_LIST[[#This Row],[TOTAL UNITS BUY]]-INVESTORS_LIST[[#This Row],[TOTAL UNITS SOLD]]</f>
        <v>0</v>
      </c>
      <c r="AB673" s="119">
        <f>INVESTORS_LIST[[#This Row],[TOTAL CURRENT UNITS]]-INVESTORS_LIST[[#This Row],[BO UNITS HOLD]]</f>
        <v>0</v>
      </c>
      <c r="AC673" s="119" t="e">
        <f>INDEX([4]!Table_1[BO ID],MATCH(INVESTORS_LIST[[#This Row],[INVESTOR CODE]],[4]!Table_1[INVESTOR CODE],0))</f>
        <v>#REF!</v>
      </c>
      <c r="AD673" s="33">
        <f>INVESTORS_LIST[[#This Row],[LS_TOTAL COST VALUE OF CURRENT UNITS]]+INVESTORS_LIST[[#This Row],[SIP_TOTAL COST VALUE OF CURRENT UNITS]]</f>
        <v>0</v>
      </c>
      <c r="AE673" s="44">
        <f>IF(INVESTORS_LIST[[#This Row],[TOTAL CURRENT UNITS]]=0,0,INVESTORS_LIST[[#This Row],[LS_TOTAL CURRENT UNITS]]/INVESTORS_LIST[[#This Row],[TOTAL CURRENT UNITS]])</f>
        <v>0</v>
      </c>
      <c r="AF673" s="44">
        <f>IF(INVESTORS_LIST[[#This Row],[TOTAL CURRENT UNITS]]=0,0,INVESTORS_LIST[[#This Row],[SIP_TOTAL CURRENT UNITS]]/INVESTORS_LIST[[#This Row],[TOTAL CURRENT UNITS]])</f>
        <v>0</v>
      </c>
      <c r="AG673" s="4" cm="1">
        <f t="array" ref="AG67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73" s="4" cm="1">
        <f t="array" ref="AH67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7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73" s="178">
        <f t="shared" si="19"/>
        <v>12.552</v>
      </c>
      <c r="AK673" s="118">
        <f>IF(INVESTORS_LIST[[#This Row],[TOTAL CURRENT UNITS]]=0,0,INVESTORS_LIST[[#This Row],[TOTAL CURRENT UNITS]]*INVESTORS_LIST[[#This Row],[NAV]])</f>
        <v>0</v>
      </c>
      <c r="AL673" s="4">
        <f>IF(INVESTORS_LIST[[#This Row],[LS_TOTAL CURRENT UNITS]]=0,0,INVESTORS_LIST[[#This Row],[LS_TOTAL CURRENT UNITS]]*INVESTORS_LIST[[#This Row],[NAV]])</f>
        <v>0</v>
      </c>
      <c r="AM673" s="6">
        <f>IF(INVESTORS_LIST[[#This Row],[SIP_TOTAL CURRENT UNITS]]=0,0,INVESTORS_LIST[[#This Row],[SIP_TOTAL CURRENT UNITS]]*INVESTORS_LIST[[#This Row],[NAV]])</f>
        <v>0</v>
      </c>
      <c r="AO673" s="6">
        <f>IF(INVESTORS_LIST[[#This Row],[TOTAL SELLABLE UNITS]]=0,0,INVESTORS_LIST[[#This Row],[TOTAL SELLABLE UNITS]]*INVESTORS_LIST[[#This Row],[NAV]])</f>
        <v>0</v>
      </c>
      <c r="AP673" s="6">
        <f>INVESTORS_LIST[[#This Row],[LS_TOTAL REALIZED GAIN]]+INVESTORS_LIST[[#This Row],[SIP_TOTAL REALIZED GAIN]]</f>
        <v>0</v>
      </c>
      <c r="AQ673" s="6">
        <f>INVESTORS_LIST[[#This Row],[TOTAL MARKET VALUE]]-INVESTORS_LIST[[#This Row],[TOTAL COST VALUE OF CURRENT INVESTMENT]]</f>
        <v>0</v>
      </c>
      <c r="AR673" s="6">
        <f>SUMIFS(DivAndTax[Tax Amount],DivAndTax[Investor ID],INVESTORS_LIST[[#This Row],[INVESTOR CODE]])</f>
        <v>0</v>
      </c>
      <c r="AS673" s="6">
        <f>SUMIFS(DivAndTax[Gross Dividend],DivAndTax[Investor ID],INVESTORS_LIST[[#This Row],[INVESTOR CODE]])</f>
        <v>0</v>
      </c>
      <c r="AT673" s="5">
        <f>IFERROR(INVESTORS_LIST[[#This Row],[TOTAL CURRENT UNITS]]/SUM(INVESTORS_LIST[TOTAL CURRENT UNITS]),0)</f>
        <v>0</v>
      </c>
    </row>
    <row r="674" spans="1:46">
      <c r="A674" t="s">
        <v>1537</v>
      </c>
      <c r="B674" t="s">
        <v>1538</v>
      </c>
      <c r="C674" t="s">
        <v>536</v>
      </c>
      <c r="D674" s="8" t="s">
        <v>2</v>
      </c>
      <c r="E674" s="2">
        <f>SUMIFS(LS[Unit],LS[Investor ID],INVESTORS_LIST[[#This Row],[INVESTOR CODE]],LS[B/S],"B")</f>
        <v>22</v>
      </c>
      <c r="F674" s="2">
        <f>-SUMIFS(LS[Unit],LS[Investor ID],INVESTORS_LIST[[#This Row],[INVESTOR CODE]],LS[B/S],"S")</f>
        <v>0</v>
      </c>
      <c r="G674" s="2">
        <f>IF(INVESTORS_LIST[[#This Row],[LS_TOTAL UNITS BUY]]=0,0,INVESTORS_LIST[[#This Row],[LS_TOTAL UNITS BUY]]-INVESTORS_LIST[[#This Row],[LS_TOTAL UNITS SOLD]])</f>
        <v>22</v>
      </c>
      <c r="H674" s="4">
        <f>IF(INVESTORS_LIST[[#This Row],[LS_TOTAL UNITS BUY]]=0,0,SUMIFS(LS[Amount],LS[Investor ID],INVESTORS_LIST[[#This Row],[INVESTOR CODE]],LS[B/S],"B"))</f>
        <v>295.04999999999995</v>
      </c>
      <c r="I674" s="6">
        <f>IF(INVESTORS_LIST[[#This Row],[LS_TOTAL UNITS SOLD]]=0,0,SUMIFS(LS[Cost of Units Sold],LS[Investor ID],INVESTORS_LIST[[#This Row],[INVESTOR CODE]],LS[B/S],"S"))</f>
        <v>0</v>
      </c>
      <c r="J674" s="6">
        <f>IF(INVESTORS_LIST[[#This Row],[LS_TOTAL CURRENT UNITS]]=0,0,INVESTORS_LIST[[#This Row],[LS_TOTAL CURRENT UNITS]]*INVESTORS_LIST[[#This Row],[LS_AVERAGE COST]])</f>
        <v>295.04999999999995</v>
      </c>
      <c r="K674" s="4">
        <f>IF(INVESTORS_LIST[[#This Row],[LS_TOTAL UNITS SOLD]]=0,0,SUMIFS(LS[Realized Gain],LS[Investor ID],INVESTORS_LIST[[#This Row],[INVESTOR CODE]],LS[B/S],"S"))</f>
        <v>0</v>
      </c>
      <c r="L674" s="2">
        <f>SUMIFS(SIP[Unit],SIP[Investor ID],INVESTORS_LIST[[#This Row],[INVESTOR CODE]],SIP[B/S],"B")</f>
        <v>1634</v>
      </c>
      <c r="M674" s="2">
        <f>-SUMIFS(SIP[Unit],SIP[Investor ID],INVESTORS_LIST[[#This Row],[INVESTOR CODE]],SIP[B/S],"S")</f>
        <v>379</v>
      </c>
      <c r="N674" s="33">
        <f>IF(INVESTORS_LIST[[#This Row],[SIP_TOTAL UNITS BUY]]=0,0,INVESTORS_LIST[[#This Row],[SIP_TOTAL UNITS BUY]]-INVESTORS_LIST[[#This Row],[SIP_TOTAL UNITS SOLD]])</f>
        <v>1255</v>
      </c>
      <c r="O674" s="4">
        <f>IF(INVESTORS_LIST[[#This Row],[SIP_TOTAL UNITS BUY]]=0,0,SUMIFS(SIP[Amount],SIP[Investor ID],INVESTORS_LIST[[#This Row],[INVESTOR CODE]],SIP[B/S],"B"))</f>
        <v>20000</v>
      </c>
      <c r="P674" s="4">
        <f>IF(INVESTORS_LIST[[#This Row],[SIP_TOTAL UNITS SOLD]]=0,0,SUMIFS(SIP[Cost of Units Sold],SIP[Investor ID],INVESTORS_LIST[[#This Row],[INVESTOR CODE]],SIP[B/S],"S"))</f>
        <v>4638.9228886168903</v>
      </c>
      <c r="Q674" s="6">
        <f>IF(INVESTORS_LIST[[#This Row],[SIP_TOTAL CURRENT UNITS]]=0,0,INVESTORS_LIST[[#This Row],[SIP_TOTAL CURRENT UNITS]]*INVESTORS_LIST[[#This Row],[SIP_AVERAGE COST]])</f>
        <v>15361.077111383107</v>
      </c>
      <c r="R674" s="6">
        <f>IF(INVESTORS_LIST[[#This Row],[SIP_TOTAL UNITS SOLD]]=0,0,SUMIFS(SIP[Realized Gain],SIP[Investor ID],INVESTORS_LIST[[#This Row],[INVESTOR CODE]],SIP[B/S],"S"))</f>
        <v>361.07711138310964</v>
      </c>
      <c r="S674" s="33">
        <f>INVESTORS_LIST[[#This Row],[LS_TOTAL UNITS BUY]]+INVESTORS_LIST[[#This Row],[SIP_TOTAL UNITS BUY]]</f>
        <v>1656</v>
      </c>
      <c r="T674" s="33">
        <f>INVESTORS_LIST[[#This Row],[LS_TOTAL UNITS SOLD]]+INVESTORS_LIST[[#This Row],[SIP_TOTAL UNITS SOLD]]</f>
        <v>379</v>
      </c>
      <c r="U674" s="33">
        <v>424</v>
      </c>
      <c r="V674" s="33">
        <f>SUMIFS(LS[BO UNIT TRANSFER],LS[Investor ID],INVESTORS_LIST[[#This Row],[INVESTOR CODE]],LS[B/S],"B")</f>
        <v>22</v>
      </c>
      <c r="W674" s="33">
        <f>SUMIFS(LS[BO UNIT TRANSFER],LS[Investor ID],INVESTORS_LIST[[#This Row],[INVESTOR CODE]],LS[B/S],"S")</f>
        <v>0</v>
      </c>
      <c r="X674" s="33">
        <f>SUMIFS(SIP[BO UNIT TRANSFER],SIP[Investor ID],INVESTORS_LIST[[#This Row],[INVESTOR CODE]],SIP[B/S],"S")</f>
        <v>0</v>
      </c>
      <c r="Y674" s="33">
        <f>SUMIFS(SIP[BO UNIT TRANSFER],SIP[Investor ID],INVESTORS_LIST[[#This Row],[INVESTOR CODE]],SIP[B/S],"B")</f>
        <v>831</v>
      </c>
      <c r="Z67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1277</v>
      </c>
      <c r="AA674" s="119">
        <f>INVESTORS_LIST[[#This Row],[TOTAL UNITS BUY]]-INVESTORS_LIST[[#This Row],[TOTAL UNITS SOLD]]</f>
        <v>1277</v>
      </c>
      <c r="AB674" s="119">
        <f>INVESTORS_LIST[[#This Row],[TOTAL CURRENT UNITS]]-INVESTORS_LIST[[#This Row],[BO UNITS HOLD]]</f>
        <v>0</v>
      </c>
      <c r="AC674" s="119" t="e">
        <f>INDEX([4]!Table_1[BO ID],MATCH(INVESTORS_LIST[[#This Row],[INVESTOR CODE]],[4]!Table_1[INVESTOR CODE],0))</f>
        <v>#REF!</v>
      </c>
      <c r="AD674" s="33">
        <f>INVESTORS_LIST[[#This Row],[LS_TOTAL COST VALUE OF CURRENT UNITS]]+INVESTORS_LIST[[#This Row],[SIP_TOTAL COST VALUE OF CURRENT UNITS]]</f>
        <v>15656.127111383106</v>
      </c>
      <c r="AE674" s="44">
        <f>IF(INVESTORS_LIST[[#This Row],[TOTAL CURRENT UNITS]]=0,0,INVESTORS_LIST[[#This Row],[LS_TOTAL CURRENT UNITS]]/INVESTORS_LIST[[#This Row],[TOTAL CURRENT UNITS]])</f>
        <v>1.7227877838684416E-2</v>
      </c>
      <c r="AF674" s="44">
        <f>IF(INVESTORS_LIST[[#This Row],[TOTAL CURRENT UNITS]]=0,0,INVESTORS_LIST[[#This Row],[SIP_TOTAL CURRENT UNITS]]/INVESTORS_LIST[[#This Row],[TOTAL CURRENT UNITS]])</f>
        <v>0.9827721221613156</v>
      </c>
      <c r="AG674" s="4" cm="1">
        <f t="array" ref="AG674">IF(INVESTORS_LIST[[#This Row],[LS_TOTAL UNITS BUY]]&gt;0,INDEX(LS[NAV at Cost (Average)],MATCH(CONCATENATE(COUNTIFS(LS[Investor ID],INVESTORS_LIST[[#This Row],[INVESTOR CODE]]),INVESTORS_LIST[[#This Row],[INVESTOR CODE]]),LS[Unique Code],0),),0)</f>
        <v>13.411363636363633</v>
      </c>
      <c r="AH674" s="4" cm="1">
        <f t="array" ref="AH674">IF(INVESTORS_LIST[[#This Row],[SIP_TOTAL UNITS BUY]]&gt;0,INDEX(SIP[NAV at Cost (Average)],MATCH(CONCATENATE(COUNTIFS(SIP[Investor ID],INVESTORS_LIST[[#This Row],[INVESTOR CODE]]),INVESTORS_LIST[[#This Row],[INVESTOR CODE]]),SIP[Unique Code],0),),0)</f>
        <v>12.239902080783352</v>
      </c>
      <c r="AI674" s="178">
        <f>IF(INVESTORS_LIST[[#This Row],[TOTAL CURRENT UNITS]]=0,0,(INVESTORS_LIST[[#This Row],[LS_WEIGHT]]*INVESTORS_LIST[[#This Row],[LS_AVERAGE COST]])+(INVESTORS_LIST[[#This Row],[SIP_WEIGHT]]*INVESTORS_LIST[[#This Row],[SIP_AVERAGE COST]]))</f>
        <v>12.260083877355605</v>
      </c>
      <c r="AJ674" s="178">
        <f t="shared" si="19"/>
        <v>12.552</v>
      </c>
      <c r="AK674" s="118">
        <f>IF(INVESTORS_LIST[[#This Row],[TOTAL CURRENT UNITS]]=0,0,INVESTORS_LIST[[#This Row],[TOTAL CURRENT UNITS]]*INVESTORS_LIST[[#This Row],[NAV]])</f>
        <v>16028.903999999999</v>
      </c>
      <c r="AL674" s="4">
        <f>IF(INVESTORS_LIST[[#This Row],[LS_TOTAL CURRENT UNITS]]=0,0,INVESTORS_LIST[[#This Row],[LS_TOTAL CURRENT UNITS]]*INVESTORS_LIST[[#This Row],[NAV]])</f>
        <v>276.14400000000001</v>
      </c>
      <c r="AM674" s="6">
        <f>IF(INVESTORS_LIST[[#This Row],[SIP_TOTAL CURRENT UNITS]]=0,0,INVESTORS_LIST[[#This Row],[SIP_TOTAL CURRENT UNITS]]*INVESTORS_LIST[[#This Row],[NAV]])</f>
        <v>15752.76</v>
      </c>
      <c r="AO674" s="6">
        <f>IF(INVESTORS_LIST[[#This Row],[TOTAL SELLABLE UNITS]]=0,0,INVESTORS_LIST[[#This Row],[TOTAL SELLABLE UNITS]]*INVESTORS_LIST[[#This Row],[NAV]])</f>
        <v>0</v>
      </c>
      <c r="AP674" s="6">
        <f>INVESTORS_LIST[[#This Row],[LS_TOTAL REALIZED GAIN]]+INVESTORS_LIST[[#This Row],[SIP_TOTAL REALIZED GAIN]]</f>
        <v>361.07711138310964</v>
      </c>
      <c r="AQ674" s="6">
        <f>INVESTORS_LIST[[#This Row],[TOTAL MARKET VALUE]]-INVESTORS_LIST[[#This Row],[TOTAL COST VALUE OF CURRENT INVESTMENT]]</f>
        <v>372.77688861689239</v>
      </c>
      <c r="AR674" s="6">
        <f>SUMIFS(DivAndTax[Tax Amount],DivAndTax[Investor ID],INVESTORS_LIST[[#This Row],[INVESTOR CODE]])</f>
        <v>29.51</v>
      </c>
      <c r="AS674" s="6">
        <f>SUMIFS(DivAndTax[Gross Dividend],DivAndTax[Investor ID],INVESTORS_LIST[[#This Row],[INVESTOR CODE]])</f>
        <v>295.04999999999995</v>
      </c>
      <c r="AT674" s="5">
        <f>IFERROR(INVESTORS_LIST[[#This Row],[TOTAL CURRENT UNITS]]/SUM(INVESTORS_LIST[TOTAL CURRENT UNITS]),0)</f>
        <v>6.1225554366949817E-5</v>
      </c>
    </row>
    <row r="675" spans="1:46">
      <c r="A675" t="s">
        <v>1539</v>
      </c>
      <c r="B675" t="s">
        <v>1534</v>
      </c>
      <c r="C675" t="s">
        <v>537</v>
      </c>
      <c r="D675" s="8" t="s">
        <v>8</v>
      </c>
      <c r="E675" s="2">
        <f>SUMIFS(LS[Unit],LS[Investor ID],INVESTORS_LIST[[#This Row],[INVESTOR CODE]],LS[B/S],"B")</f>
        <v>214371</v>
      </c>
      <c r="F675" s="2">
        <f>-SUMIFS(LS[Unit],LS[Investor ID],INVESTORS_LIST[[#This Row],[INVESTOR CODE]],LS[B/S],"S")</f>
        <v>0</v>
      </c>
      <c r="G675" s="2">
        <f>IF(INVESTORS_LIST[[#This Row],[LS_TOTAL UNITS BUY]]=0,0,INVESTORS_LIST[[#This Row],[LS_TOTAL UNITS BUY]]-INVESTORS_LIST[[#This Row],[LS_TOTAL UNITS SOLD]])</f>
        <v>214371</v>
      </c>
      <c r="H675" s="4">
        <f>IF(INVESTORS_LIST[[#This Row],[LS_TOTAL UNITS BUY]]=0,0,SUMIFS(LS[Amount],LS[Investor ID],INVESTORS_LIST[[#This Row],[INVESTOR CODE]],LS[B/S],"B"))</f>
        <v>2500000</v>
      </c>
      <c r="I675" s="6">
        <f>IF(INVESTORS_LIST[[#This Row],[LS_TOTAL UNITS SOLD]]=0,0,SUMIFS(LS[Cost of Units Sold],LS[Investor ID],INVESTORS_LIST[[#This Row],[INVESTOR CODE]],LS[B/S],"S"))</f>
        <v>0</v>
      </c>
      <c r="J675" s="6">
        <f>IF(INVESTORS_LIST[[#This Row],[LS_TOTAL CURRENT UNITS]]=0,0,INVESTORS_LIST[[#This Row],[LS_TOTAL CURRENT UNITS]]*INVESTORS_LIST[[#This Row],[LS_AVERAGE COST]])</f>
        <v>2500000</v>
      </c>
      <c r="K675" s="4">
        <f>IF(INVESTORS_LIST[[#This Row],[LS_TOTAL UNITS SOLD]]=0,0,SUMIFS(LS[Realized Gain],LS[Investor ID],INVESTORS_LIST[[#This Row],[INVESTOR CODE]],LS[B/S],"S"))</f>
        <v>0</v>
      </c>
      <c r="L675" s="2">
        <f>SUMIFS(SIP[Unit],SIP[Investor ID],INVESTORS_LIST[[#This Row],[INVESTOR CODE]],SIP[B/S],"B")</f>
        <v>0</v>
      </c>
      <c r="M675" s="2">
        <f>-SUMIFS(SIP[Unit],SIP[Investor ID],INVESTORS_LIST[[#This Row],[INVESTOR CODE]],SIP[B/S],"S")</f>
        <v>0</v>
      </c>
      <c r="N675" s="33">
        <f>IF(INVESTORS_LIST[[#This Row],[SIP_TOTAL UNITS BUY]]=0,0,INVESTORS_LIST[[#This Row],[SIP_TOTAL UNITS BUY]]-INVESTORS_LIST[[#This Row],[SIP_TOTAL UNITS SOLD]])</f>
        <v>0</v>
      </c>
      <c r="O675" s="4">
        <f>IF(INVESTORS_LIST[[#This Row],[SIP_TOTAL UNITS BUY]]=0,0,SUMIFS(SIP[Amount],SIP[Investor ID],INVESTORS_LIST[[#This Row],[INVESTOR CODE]],SIP[B/S],"B"))</f>
        <v>0</v>
      </c>
      <c r="P675" s="4">
        <f>IF(INVESTORS_LIST[[#This Row],[SIP_TOTAL UNITS SOLD]]=0,0,SUMIFS(SIP[Cost of Units Sold],SIP[Investor ID],INVESTORS_LIST[[#This Row],[INVESTOR CODE]],SIP[B/S],"S"))</f>
        <v>0</v>
      </c>
      <c r="Q675" s="6">
        <f>IF(INVESTORS_LIST[[#This Row],[SIP_TOTAL CURRENT UNITS]]=0,0,INVESTORS_LIST[[#This Row],[SIP_TOTAL CURRENT UNITS]]*INVESTORS_LIST[[#This Row],[SIP_AVERAGE COST]])</f>
        <v>0</v>
      </c>
      <c r="R675" s="6">
        <f>IF(INVESTORS_LIST[[#This Row],[SIP_TOTAL UNITS SOLD]]=0,0,SUMIFS(SIP[Realized Gain],SIP[Investor ID],INVESTORS_LIST[[#This Row],[INVESTOR CODE]],SIP[B/S],"S"))</f>
        <v>0</v>
      </c>
      <c r="S675" s="33">
        <f>INVESTORS_LIST[[#This Row],[LS_TOTAL UNITS BUY]]+INVESTORS_LIST[[#This Row],[SIP_TOTAL UNITS BUY]]</f>
        <v>214371</v>
      </c>
      <c r="T675" s="33">
        <f>INVESTORS_LIST[[#This Row],[LS_TOTAL UNITS SOLD]]+INVESTORS_LIST[[#This Row],[SIP_TOTAL UNITS SOLD]]</f>
        <v>0</v>
      </c>
      <c r="U675" s="33">
        <v>214371</v>
      </c>
      <c r="V675" s="33">
        <f>SUMIFS(LS[BO UNIT TRANSFER],LS[Investor ID],INVESTORS_LIST[[#This Row],[INVESTOR CODE]],LS[B/S],"B")</f>
        <v>0</v>
      </c>
      <c r="W675" s="33">
        <f>SUMIFS(LS[BO UNIT TRANSFER],LS[Investor ID],INVESTORS_LIST[[#This Row],[INVESTOR CODE]],LS[B/S],"S")</f>
        <v>0</v>
      </c>
      <c r="X675" s="33">
        <f>SUMIFS(SIP[BO UNIT TRANSFER],SIP[Investor ID],INVESTORS_LIST[[#This Row],[INVESTOR CODE]],SIP[B/S],"S")</f>
        <v>0</v>
      </c>
      <c r="Y675" s="33">
        <f>SUMIFS(SIP[BO UNIT TRANSFER],SIP[Investor ID],INVESTORS_LIST[[#This Row],[INVESTOR CODE]],SIP[B/S],"B")</f>
        <v>0</v>
      </c>
      <c r="Z67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214371</v>
      </c>
      <c r="AA675" s="119">
        <f>INVESTORS_LIST[[#This Row],[TOTAL UNITS BUY]]-INVESTORS_LIST[[#This Row],[TOTAL UNITS SOLD]]</f>
        <v>214371</v>
      </c>
      <c r="AB675" s="119">
        <f>INVESTORS_LIST[[#This Row],[TOTAL CURRENT UNITS]]-INVESTORS_LIST[[#This Row],[BO UNITS HOLD]]</f>
        <v>0</v>
      </c>
      <c r="AC675" s="119" t="e">
        <f>INDEX([4]!Table_1[BO ID],MATCH(INVESTORS_LIST[[#This Row],[INVESTOR CODE]],[4]!Table_1[INVESTOR CODE],0))</f>
        <v>#REF!</v>
      </c>
      <c r="AD675" s="33">
        <f>INVESTORS_LIST[[#This Row],[LS_TOTAL COST VALUE OF CURRENT UNITS]]+INVESTORS_LIST[[#This Row],[SIP_TOTAL COST VALUE OF CURRENT UNITS]]</f>
        <v>2500000</v>
      </c>
      <c r="AE675" s="44">
        <f>IF(INVESTORS_LIST[[#This Row],[TOTAL CURRENT UNITS]]=0,0,INVESTORS_LIST[[#This Row],[LS_TOTAL CURRENT UNITS]]/INVESTORS_LIST[[#This Row],[TOTAL CURRENT UNITS]])</f>
        <v>1</v>
      </c>
      <c r="AF675" s="44">
        <f>IF(INVESTORS_LIST[[#This Row],[TOTAL CURRENT UNITS]]=0,0,INVESTORS_LIST[[#This Row],[SIP_TOTAL CURRENT UNITS]]/INVESTORS_LIST[[#This Row],[TOTAL CURRENT UNITS]])</f>
        <v>0</v>
      </c>
      <c r="AG675" s="4" cm="1">
        <f t="array" ref="AG675">IF(INVESTORS_LIST[[#This Row],[LS_TOTAL UNITS BUY]]&gt;0,INDEX(LS[NAV at Cost (Average)],MATCH(CONCATENATE(COUNTIFS(LS[Investor ID],INVESTORS_LIST[[#This Row],[INVESTOR CODE]]),INVESTORS_LIST[[#This Row],[INVESTOR CODE]]),LS[Unique Code],0),),0)</f>
        <v>11.66202518064477</v>
      </c>
      <c r="AH675" s="4" cm="1">
        <f t="array" ref="AH67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75" s="178">
        <f>IF(INVESTORS_LIST[[#This Row],[TOTAL CURRENT UNITS]]=0,0,(INVESTORS_LIST[[#This Row],[LS_WEIGHT]]*INVESTORS_LIST[[#This Row],[LS_AVERAGE COST]])+(INVESTORS_LIST[[#This Row],[SIP_WEIGHT]]*INVESTORS_LIST[[#This Row],[SIP_AVERAGE COST]]))</f>
        <v>11.66202518064477</v>
      </c>
      <c r="AJ675" s="178">
        <f t="shared" si="19"/>
        <v>12.552</v>
      </c>
      <c r="AK675" s="118">
        <f>IF(INVESTORS_LIST[[#This Row],[TOTAL CURRENT UNITS]]=0,0,INVESTORS_LIST[[#This Row],[TOTAL CURRENT UNITS]]*INVESTORS_LIST[[#This Row],[NAV]])</f>
        <v>2690784.7919999999</v>
      </c>
      <c r="AL675" s="4">
        <f>IF(INVESTORS_LIST[[#This Row],[LS_TOTAL CURRENT UNITS]]=0,0,INVESTORS_LIST[[#This Row],[LS_TOTAL CURRENT UNITS]]*INVESTORS_LIST[[#This Row],[NAV]])</f>
        <v>2690784.7919999999</v>
      </c>
      <c r="AM675" s="6">
        <f>IF(INVESTORS_LIST[[#This Row],[SIP_TOTAL CURRENT UNITS]]=0,0,INVESTORS_LIST[[#This Row],[SIP_TOTAL CURRENT UNITS]]*INVESTORS_LIST[[#This Row],[NAV]])</f>
        <v>0</v>
      </c>
      <c r="AO675" s="6">
        <f>IF(INVESTORS_LIST[[#This Row],[TOTAL SELLABLE UNITS]]=0,0,INVESTORS_LIST[[#This Row],[TOTAL SELLABLE UNITS]]*INVESTORS_LIST[[#This Row],[NAV]])</f>
        <v>0</v>
      </c>
      <c r="AP675" s="6">
        <f>INVESTORS_LIST[[#This Row],[LS_TOTAL REALIZED GAIN]]+INVESTORS_LIST[[#This Row],[SIP_TOTAL REALIZED GAIN]]</f>
        <v>0</v>
      </c>
      <c r="AQ675" s="6">
        <f>INVESTORS_LIST[[#This Row],[TOTAL MARKET VALUE]]-INVESTORS_LIST[[#This Row],[TOTAL COST VALUE OF CURRENT INVESTMENT]]</f>
        <v>190784.7919999999</v>
      </c>
      <c r="AR675" s="6">
        <f>SUMIFS(DivAndTax[Tax Amount],DivAndTax[Investor ID],INVESTORS_LIST[[#This Row],[INVESTOR CODE]])</f>
        <v>0</v>
      </c>
      <c r="AS675" s="6">
        <f>SUMIFS(DivAndTax[Gross Dividend],DivAndTax[Investor ID],INVESTORS_LIST[[#This Row],[INVESTOR CODE]])</f>
        <v>75029.849999999991</v>
      </c>
      <c r="AT675" s="5">
        <f>IFERROR(INVESTORS_LIST[[#This Row],[TOTAL CURRENT UNITS]]/SUM(INVESTORS_LIST[TOTAL CURRENT UNITS]),0)</f>
        <v>1.0277982235863273E-2</v>
      </c>
    </row>
    <row r="676" spans="1:46" hidden="1">
      <c r="A676" t="s">
        <v>1541</v>
      </c>
      <c r="B676" t="s">
        <v>1542</v>
      </c>
      <c r="C676" t="s">
        <v>536</v>
      </c>
      <c r="D676" s="8" t="s">
        <v>2</v>
      </c>
      <c r="E676" s="2">
        <f>SUMIFS(LS[Unit],LS[Investor ID],INVESTORS_LIST[[#This Row],[INVESTOR CODE]],LS[B/S],"B")</f>
        <v>0</v>
      </c>
      <c r="F676" s="2">
        <f>-SUMIFS(LS[Unit],LS[Investor ID],INVESTORS_LIST[[#This Row],[INVESTOR CODE]],LS[B/S],"S")</f>
        <v>0</v>
      </c>
      <c r="G676" s="2">
        <f>IF(INVESTORS_LIST[[#This Row],[LS_TOTAL UNITS BUY]]=0,0,INVESTORS_LIST[[#This Row],[LS_TOTAL UNITS BUY]]-INVESTORS_LIST[[#This Row],[LS_TOTAL UNITS SOLD]])</f>
        <v>0</v>
      </c>
      <c r="H676" s="4">
        <f>IF(INVESTORS_LIST[[#This Row],[LS_TOTAL UNITS BUY]]=0,0,SUMIFS(LS[Amount],LS[Investor ID],INVESTORS_LIST[[#This Row],[INVESTOR CODE]],LS[B/S],"B"))</f>
        <v>0</v>
      </c>
      <c r="I676" s="6">
        <f>IF(INVESTORS_LIST[[#This Row],[LS_TOTAL UNITS SOLD]]=0,0,SUMIFS(LS[Cost of Units Sold],LS[Investor ID],INVESTORS_LIST[[#This Row],[INVESTOR CODE]],LS[B/S],"S"))</f>
        <v>0</v>
      </c>
      <c r="J676" s="6">
        <f>IF(INVESTORS_LIST[[#This Row],[LS_TOTAL CURRENT UNITS]]=0,0,INVESTORS_LIST[[#This Row],[LS_TOTAL CURRENT UNITS]]*INVESTORS_LIST[[#This Row],[LS_AVERAGE COST]])</f>
        <v>0</v>
      </c>
      <c r="K676" s="4">
        <f>IF(INVESTORS_LIST[[#This Row],[LS_TOTAL UNITS SOLD]]=0,0,SUMIFS(LS[Realized Gain],LS[Investor ID],INVESTORS_LIST[[#This Row],[INVESTOR CODE]],LS[B/S],"S"))</f>
        <v>0</v>
      </c>
      <c r="L676" s="2">
        <f>SUMIFS(SIP[Unit],SIP[Investor ID],INVESTORS_LIST[[#This Row],[INVESTOR CODE]],SIP[B/S],"B")</f>
        <v>0</v>
      </c>
      <c r="M676" s="2">
        <f>-SUMIFS(SIP[Unit],SIP[Investor ID],INVESTORS_LIST[[#This Row],[INVESTOR CODE]],SIP[B/S],"S")</f>
        <v>0</v>
      </c>
      <c r="N676" s="33">
        <f>IF(INVESTORS_LIST[[#This Row],[SIP_TOTAL UNITS BUY]]=0,0,INVESTORS_LIST[[#This Row],[SIP_TOTAL UNITS BUY]]-INVESTORS_LIST[[#This Row],[SIP_TOTAL UNITS SOLD]])</f>
        <v>0</v>
      </c>
      <c r="O676" s="4">
        <f>IF(INVESTORS_LIST[[#This Row],[SIP_TOTAL UNITS BUY]]=0,0,SUMIFS(SIP[Amount],SIP[Investor ID],INVESTORS_LIST[[#This Row],[INVESTOR CODE]],SIP[B/S],"B"))</f>
        <v>0</v>
      </c>
      <c r="P676" s="4">
        <f>IF(INVESTORS_LIST[[#This Row],[SIP_TOTAL UNITS SOLD]]=0,0,SUMIFS(SIP[Cost of Units Sold],SIP[Investor ID],INVESTORS_LIST[[#This Row],[INVESTOR CODE]],SIP[B/S],"S"))</f>
        <v>0</v>
      </c>
      <c r="Q676" s="6">
        <f>IF(INVESTORS_LIST[[#This Row],[SIP_TOTAL CURRENT UNITS]]=0,0,INVESTORS_LIST[[#This Row],[SIP_TOTAL CURRENT UNITS]]*INVESTORS_LIST[[#This Row],[SIP_AVERAGE COST]])</f>
        <v>0</v>
      </c>
      <c r="R676" s="6">
        <f>IF(INVESTORS_LIST[[#This Row],[SIP_TOTAL UNITS SOLD]]=0,0,SUMIFS(SIP[Realized Gain],SIP[Investor ID],INVESTORS_LIST[[#This Row],[INVESTOR CODE]],SIP[B/S],"S"))</f>
        <v>0</v>
      </c>
      <c r="S676" s="33">
        <f>INVESTORS_LIST[[#This Row],[LS_TOTAL UNITS BUY]]+INVESTORS_LIST[[#This Row],[SIP_TOTAL UNITS BUY]]</f>
        <v>0</v>
      </c>
      <c r="T676" s="33">
        <f>INVESTORS_LIST[[#This Row],[LS_TOTAL UNITS SOLD]]+INVESTORS_LIST[[#This Row],[SIP_TOTAL UNITS SOLD]]</f>
        <v>0</v>
      </c>
      <c r="U676" s="33">
        <v>0</v>
      </c>
      <c r="V676" s="33">
        <f>SUMIFS(LS[BO UNIT TRANSFER],LS[Investor ID],INVESTORS_LIST[[#This Row],[INVESTOR CODE]],LS[B/S],"B")</f>
        <v>0</v>
      </c>
      <c r="W676" s="33">
        <f>SUMIFS(LS[BO UNIT TRANSFER],LS[Investor ID],INVESTORS_LIST[[#This Row],[INVESTOR CODE]],LS[B/S],"S")</f>
        <v>0</v>
      </c>
      <c r="X676" s="33">
        <f>SUMIFS(SIP[BO UNIT TRANSFER],SIP[Investor ID],INVESTORS_LIST[[#This Row],[INVESTOR CODE]],SIP[B/S],"S")</f>
        <v>0</v>
      </c>
      <c r="Y676" s="33">
        <f>SUMIFS(SIP[BO UNIT TRANSFER],SIP[Investor ID],INVESTORS_LIST[[#This Row],[INVESTOR CODE]],SIP[B/S],"B")</f>
        <v>0</v>
      </c>
      <c r="Z67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76" s="119">
        <f>INVESTORS_LIST[[#This Row],[TOTAL UNITS BUY]]-INVESTORS_LIST[[#This Row],[TOTAL UNITS SOLD]]</f>
        <v>0</v>
      </c>
      <c r="AB676" s="119">
        <f>INVESTORS_LIST[[#This Row],[TOTAL CURRENT UNITS]]-INVESTORS_LIST[[#This Row],[BO UNITS HOLD]]</f>
        <v>0</v>
      </c>
      <c r="AC676" s="119" t="e">
        <f>INDEX([4]!Table_1[BO ID],MATCH(INVESTORS_LIST[[#This Row],[INVESTOR CODE]],[4]!Table_1[INVESTOR CODE],0))</f>
        <v>#REF!</v>
      </c>
      <c r="AD676" s="33">
        <f>INVESTORS_LIST[[#This Row],[LS_TOTAL COST VALUE OF CURRENT UNITS]]+INVESTORS_LIST[[#This Row],[SIP_TOTAL COST VALUE OF CURRENT UNITS]]</f>
        <v>0</v>
      </c>
      <c r="AE676" s="44">
        <f>IF(INVESTORS_LIST[[#This Row],[TOTAL CURRENT UNITS]]=0,0,INVESTORS_LIST[[#This Row],[LS_TOTAL CURRENT UNITS]]/INVESTORS_LIST[[#This Row],[TOTAL CURRENT UNITS]])</f>
        <v>0</v>
      </c>
      <c r="AF676" s="44">
        <f>IF(INVESTORS_LIST[[#This Row],[TOTAL CURRENT UNITS]]=0,0,INVESTORS_LIST[[#This Row],[SIP_TOTAL CURRENT UNITS]]/INVESTORS_LIST[[#This Row],[TOTAL CURRENT UNITS]])</f>
        <v>0</v>
      </c>
      <c r="AG676" s="4" cm="1">
        <f t="array" ref="AG67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76" s="4" cm="1">
        <f t="array" ref="AH67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7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76" s="178">
        <f t="shared" ref="AJ676:AJ684" si="20">NAV_MKT</f>
        <v>12.552</v>
      </c>
      <c r="AK676" s="118">
        <f>IF(INVESTORS_LIST[[#This Row],[TOTAL CURRENT UNITS]]=0,0,INVESTORS_LIST[[#This Row],[TOTAL CURRENT UNITS]]*INVESTORS_LIST[[#This Row],[NAV]])</f>
        <v>0</v>
      </c>
      <c r="AL676" s="4">
        <f>IF(INVESTORS_LIST[[#This Row],[LS_TOTAL CURRENT UNITS]]=0,0,INVESTORS_LIST[[#This Row],[LS_TOTAL CURRENT UNITS]]*INVESTORS_LIST[[#This Row],[NAV]])</f>
        <v>0</v>
      </c>
      <c r="AM676" s="6">
        <f>IF(INVESTORS_LIST[[#This Row],[SIP_TOTAL CURRENT UNITS]]=0,0,INVESTORS_LIST[[#This Row],[SIP_TOTAL CURRENT UNITS]]*INVESTORS_LIST[[#This Row],[NAV]])</f>
        <v>0</v>
      </c>
      <c r="AO676" s="6">
        <f>IF(INVESTORS_LIST[[#This Row],[TOTAL SELLABLE UNITS]]=0,0,INVESTORS_LIST[[#This Row],[TOTAL SELLABLE UNITS]]*INVESTORS_LIST[[#This Row],[NAV]])</f>
        <v>0</v>
      </c>
      <c r="AP676" s="6">
        <f>INVESTORS_LIST[[#This Row],[LS_TOTAL REALIZED GAIN]]+INVESTORS_LIST[[#This Row],[SIP_TOTAL REALIZED GAIN]]</f>
        <v>0</v>
      </c>
      <c r="AQ676" s="6">
        <f>INVESTORS_LIST[[#This Row],[TOTAL MARKET VALUE]]-INVESTORS_LIST[[#This Row],[TOTAL COST VALUE OF CURRENT INVESTMENT]]</f>
        <v>0</v>
      </c>
      <c r="AR676" s="6">
        <f>SUMIFS(DivAndTax[Tax Amount],DivAndTax[Investor ID],INVESTORS_LIST[[#This Row],[INVESTOR CODE]])</f>
        <v>0</v>
      </c>
      <c r="AS676" s="6">
        <f>SUMIFS(DivAndTax[Gross Dividend],DivAndTax[Investor ID],INVESTORS_LIST[[#This Row],[INVESTOR CODE]])</f>
        <v>0</v>
      </c>
      <c r="AT676" s="5">
        <f>IFERROR(INVESTORS_LIST[[#This Row],[TOTAL CURRENT UNITS]]/SUM(INVESTORS_LIST[TOTAL CURRENT UNITS]),0)</f>
        <v>0</v>
      </c>
    </row>
    <row r="677" spans="1:46" hidden="1">
      <c r="A677" t="s">
        <v>1543</v>
      </c>
      <c r="B677" t="s">
        <v>1544</v>
      </c>
      <c r="C677" t="s">
        <v>536</v>
      </c>
      <c r="D677" s="8" t="s">
        <v>2</v>
      </c>
      <c r="E677" s="2">
        <f>SUMIFS(LS[Unit],LS[Investor ID],INVESTORS_LIST[[#This Row],[INVESTOR CODE]],LS[B/S],"B")</f>
        <v>0</v>
      </c>
      <c r="F677" s="2">
        <f>-SUMIFS(LS[Unit],LS[Investor ID],INVESTORS_LIST[[#This Row],[INVESTOR CODE]],LS[B/S],"S")</f>
        <v>0</v>
      </c>
      <c r="G677" s="2">
        <f>IF(INVESTORS_LIST[[#This Row],[LS_TOTAL UNITS BUY]]=0,0,INVESTORS_LIST[[#This Row],[LS_TOTAL UNITS BUY]]-INVESTORS_LIST[[#This Row],[LS_TOTAL UNITS SOLD]])</f>
        <v>0</v>
      </c>
      <c r="H677" s="4">
        <f>IF(INVESTORS_LIST[[#This Row],[LS_TOTAL UNITS BUY]]=0,0,SUMIFS(LS[Amount],LS[Investor ID],INVESTORS_LIST[[#This Row],[INVESTOR CODE]],LS[B/S],"B"))</f>
        <v>0</v>
      </c>
      <c r="I677" s="6">
        <f>IF(INVESTORS_LIST[[#This Row],[LS_TOTAL UNITS SOLD]]=0,0,SUMIFS(LS[Cost of Units Sold],LS[Investor ID],INVESTORS_LIST[[#This Row],[INVESTOR CODE]],LS[B/S],"S"))</f>
        <v>0</v>
      </c>
      <c r="J677" s="6">
        <f>IF(INVESTORS_LIST[[#This Row],[LS_TOTAL CURRENT UNITS]]=0,0,INVESTORS_LIST[[#This Row],[LS_TOTAL CURRENT UNITS]]*INVESTORS_LIST[[#This Row],[LS_AVERAGE COST]])</f>
        <v>0</v>
      </c>
      <c r="K677" s="4">
        <f>IF(INVESTORS_LIST[[#This Row],[LS_TOTAL UNITS SOLD]]=0,0,SUMIFS(LS[Realized Gain],LS[Investor ID],INVESTORS_LIST[[#This Row],[INVESTOR CODE]],LS[B/S],"S"))</f>
        <v>0</v>
      </c>
      <c r="L677" s="2">
        <f>SUMIFS(SIP[Unit],SIP[Investor ID],INVESTORS_LIST[[#This Row],[INVESTOR CODE]],SIP[B/S],"B")</f>
        <v>0</v>
      </c>
      <c r="M677" s="2">
        <f>-SUMIFS(SIP[Unit],SIP[Investor ID],INVESTORS_LIST[[#This Row],[INVESTOR CODE]],SIP[B/S],"S")</f>
        <v>0</v>
      </c>
      <c r="N677" s="33">
        <f>IF(INVESTORS_LIST[[#This Row],[SIP_TOTAL UNITS BUY]]=0,0,INVESTORS_LIST[[#This Row],[SIP_TOTAL UNITS BUY]]-INVESTORS_LIST[[#This Row],[SIP_TOTAL UNITS SOLD]])</f>
        <v>0</v>
      </c>
      <c r="O677" s="4">
        <f>IF(INVESTORS_LIST[[#This Row],[SIP_TOTAL UNITS BUY]]=0,0,SUMIFS(SIP[Amount],SIP[Investor ID],INVESTORS_LIST[[#This Row],[INVESTOR CODE]],SIP[B/S],"B"))</f>
        <v>0</v>
      </c>
      <c r="P677" s="4">
        <f>IF(INVESTORS_LIST[[#This Row],[SIP_TOTAL UNITS SOLD]]=0,0,SUMIFS(SIP[Cost of Units Sold],SIP[Investor ID],INVESTORS_LIST[[#This Row],[INVESTOR CODE]],SIP[B/S],"S"))</f>
        <v>0</v>
      </c>
      <c r="Q677" s="6">
        <f>IF(INVESTORS_LIST[[#This Row],[SIP_TOTAL CURRENT UNITS]]=0,0,INVESTORS_LIST[[#This Row],[SIP_TOTAL CURRENT UNITS]]*INVESTORS_LIST[[#This Row],[SIP_AVERAGE COST]])</f>
        <v>0</v>
      </c>
      <c r="R677" s="6">
        <f>IF(INVESTORS_LIST[[#This Row],[SIP_TOTAL UNITS SOLD]]=0,0,SUMIFS(SIP[Realized Gain],SIP[Investor ID],INVESTORS_LIST[[#This Row],[INVESTOR CODE]],SIP[B/S],"S"))</f>
        <v>0</v>
      </c>
      <c r="S677" s="33">
        <f>INVESTORS_LIST[[#This Row],[LS_TOTAL UNITS BUY]]+INVESTORS_LIST[[#This Row],[SIP_TOTAL UNITS BUY]]</f>
        <v>0</v>
      </c>
      <c r="T677" s="33">
        <f>INVESTORS_LIST[[#This Row],[LS_TOTAL UNITS SOLD]]+INVESTORS_LIST[[#This Row],[SIP_TOTAL UNITS SOLD]]</f>
        <v>0</v>
      </c>
      <c r="U677" s="33">
        <v>0</v>
      </c>
      <c r="V677" s="33">
        <f>SUMIFS(LS[BO UNIT TRANSFER],LS[Investor ID],INVESTORS_LIST[[#This Row],[INVESTOR CODE]],LS[B/S],"B")</f>
        <v>0</v>
      </c>
      <c r="W677" s="33">
        <f>SUMIFS(LS[BO UNIT TRANSFER],LS[Investor ID],INVESTORS_LIST[[#This Row],[INVESTOR CODE]],LS[B/S],"S")</f>
        <v>0</v>
      </c>
      <c r="X677" s="33">
        <f>SUMIFS(SIP[BO UNIT TRANSFER],SIP[Investor ID],INVESTORS_LIST[[#This Row],[INVESTOR CODE]],SIP[B/S],"S")</f>
        <v>0</v>
      </c>
      <c r="Y677" s="33">
        <f>SUMIFS(SIP[BO UNIT TRANSFER],SIP[Investor ID],INVESTORS_LIST[[#This Row],[INVESTOR CODE]],SIP[B/S],"B")</f>
        <v>0</v>
      </c>
      <c r="Z67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77" s="119">
        <f>INVESTORS_LIST[[#This Row],[TOTAL UNITS BUY]]-INVESTORS_LIST[[#This Row],[TOTAL UNITS SOLD]]</f>
        <v>0</v>
      </c>
      <c r="AB677" s="119">
        <f>INVESTORS_LIST[[#This Row],[TOTAL CURRENT UNITS]]-INVESTORS_LIST[[#This Row],[BO UNITS HOLD]]</f>
        <v>0</v>
      </c>
      <c r="AC677" s="119" t="e">
        <f>INDEX([4]!Table_1[BO ID],MATCH(INVESTORS_LIST[[#This Row],[INVESTOR CODE]],[4]!Table_1[INVESTOR CODE],0))</f>
        <v>#REF!</v>
      </c>
      <c r="AD677" s="33">
        <f>INVESTORS_LIST[[#This Row],[LS_TOTAL COST VALUE OF CURRENT UNITS]]+INVESTORS_LIST[[#This Row],[SIP_TOTAL COST VALUE OF CURRENT UNITS]]</f>
        <v>0</v>
      </c>
      <c r="AE677" s="44">
        <f>IF(INVESTORS_LIST[[#This Row],[TOTAL CURRENT UNITS]]=0,0,INVESTORS_LIST[[#This Row],[LS_TOTAL CURRENT UNITS]]/INVESTORS_LIST[[#This Row],[TOTAL CURRENT UNITS]])</f>
        <v>0</v>
      </c>
      <c r="AF677" s="44">
        <f>IF(INVESTORS_LIST[[#This Row],[TOTAL CURRENT UNITS]]=0,0,INVESTORS_LIST[[#This Row],[SIP_TOTAL CURRENT UNITS]]/INVESTORS_LIST[[#This Row],[TOTAL CURRENT UNITS]])</f>
        <v>0</v>
      </c>
      <c r="AG677" s="4" cm="1">
        <f t="array" ref="AG67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77" s="4" cm="1">
        <f t="array" ref="AH67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7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77" s="178">
        <f t="shared" si="20"/>
        <v>12.552</v>
      </c>
      <c r="AK677" s="118">
        <f>IF(INVESTORS_LIST[[#This Row],[TOTAL CURRENT UNITS]]=0,0,INVESTORS_LIST[[#This Row],[TOTAL CURRENT UNITS]]*INVESTORS_LIST[[#This Row],[NAV]])</f>
        <v>0</v>
      </c>
      <c r="AL677" s="4">
        <f>IF(INVESTORS_LIST[[#This Row],[LS_TOTAL CURRENT UNITS]]=0,0,INVESTORS_LIST[[#This Row],[LS_TOTAL CURRENT UNITS]]*INVESTORS_LIST[[#This Row],[NAV]])</f>
        <v>0</v>
      </c>
      <c r="AM677" s="6">
        <f>IF(INVESTORS_LIST[[#This Row],[SIP_TOTAL CURRENT UNITS]]=0,0,INVESTORS_LIST[[#This Row],[SIP_TOTAL CURRENT UNITS]]*INVESTORS_LIST[[#This Row],[NAV]])</f>
        <v>0</v>
      </c>
      <c r="AO677" s="6">
        <f>IF(INVESTORS_LIST[[#This Row],[TOTAL SELLABLE UNITS]]=0,0,INVESTORS_LIST[[#This Row],[TOTAL SELLABLE UNITS]]*INVESTORS_LIST[[#This Row],[NAV]])</f>
        <v>0</v>
      </c>
      <c r="AP677" s="6">
        <f>INVESTORS_LIST[[#This Row],[LS_TOTAL REALIZED GAIN]]+INVESTORS_LIST[[#This Row],[SIP_TOTAL REALIZED GAIN]]</f>
        <v>0</v>
      </c>
      <c r="AQ677" s="6">
        <f>INVESTORS_LIST[[#This Row],[TOTAL MARKET VALUE]]-INVESTORS_LIST[[#This Row],[TOTAL COST VALUE OF CURRENT INVESTMENT]]</f>
        <v>0</v>
      </c>
      <c r="AR677" s="6">
        <f>SUMIFS(DivAndTax[Tax Amount],DivAndTax[Investor ID],INVESTORS_LIST[[#This Row],[INVESTOR CODE]])</f>
        <v>0</v>
      </c>
      <c r="AS677" s="6">
        <f>SUMIFS(DivAndTax[Gross Dividend],DivAndTax[Investor ID],INVESTORS_LIST[[#This Row],[INVESTOR CODE]])</f>
        <v>0</v>
      </c>
      <c r="AT677" s="5">
        <f>IFERROR(INVESTORS_LIST[[#This Row],[TOTAL CURRENT UNITS]]/SUM(INVESTORS_LIST[TOTAL CURRENT UNITS]),0)</f>
        <v>0</v>
      </c>
    </row>
    <row r="678" spans="1:46" hidden="1">
      <c r="A678" t="s">
        <v>1545</v>
      </c>
      <c r="B678" t="s">
        <v>1546</v>
      </c>
      <c r="C678" t="s">
        <v>536</v>
      </c>
      <c r="D678" s="8" t="s">
        <v>2</v>
      </c>
      <c r="E678" s="2">
        <f>SUMIFS(LS[Unit],LS[Investor ID],INVESTORS_LIST[[#This Row],[INVESTOR CODE]],LS[B/S],"B")</f>
        <v>0</v>
      </c>
      <c r="F678" s="2">
        <f>-SUMIFS(LS[Unit],LS[Investor ID],INVESTORS_LIST[[#This Row],[INVESTOR CODE]],LS[B/S],"S")</f>
        <v>0</v>
      </c>
      <c r="G678" s="2">
        <f>IF(INVESTORS_LIST[[#This Row],[LS_TOTAL UNITS BUY]]=0,0,INVESTORS_LIST[[#This Row],[LS_TOTAL UNITS BUY]]-INVESTORS_LIST[[#This Row],[LS_TOTAL UNITS SOLD]])</f>
        <v>0</v>
      </c>
      <c r="H678" s="4">
        <f>IF(INVESTORS_LIST[[#This Row],[LS_TOTAL UNITS BUY]]=0,0,SUMIFS(LS[Amount],LS[Investor ID],INVESTORS_LIST[[#This Row],[INVESTOR CODE]],LS[B/S],"B"))</f>
        <v>0</v>
      </c>
      <c r="I678" s="6">
        <f>IF(INVESTORS_LIST[[#This Row],[LS_TOTAL UNITS SOLD]]=0,0,SUMIFS(LS[Cost of Units Sold],LS[Investor ID],INVESTORS_LIST[[#This Row],[INVESTOR CODE]],LS[B/S],"S"))</f>
        <v>0</v>
      </c>
      <c r="J678" s="6">
        <f>IF(INVESTORS_LIST[[#This Row],[LS_TOTAL CURRENT UNITS]]=0,0,INVESTORS_LIST[[#This Row],[LS_TOTAL CURRENT UNITS]]*INVESTORS_LIST[[#This Row],[LS_AVERAGE COST]])</f>
        <v>0</v>
      </c>
      <c r="K678" s="4">
        <f>IF(INVESTORS_LIST[[#This Row],[LS_TOTAL UNITS SOLD]]=0,0,SUMIFS(LS[Realized Gain],LS[Investor ID],INVESTORS_LIST[[#This Row],[INVESTOR CODE]],LS[B/S],"S"))</f>
        <v>0</v>
      </c>
      <c r="L678" s="2">
        <f>SUMIFS(SIP[Unit],SIP[Investor ID],INVESTORS_LIST[[#This Row],[INVESTOR CODE]],SIP[B/S],"B")</f>
        <v>0</v>
      </c>
      <c r="M678" s="2">
        <f>-SUMIFS(SIP[Unit],SIP[Investor ID],INVESTORS_LIST[[#This Row],[INVESTOR CODE]],SIP[B/S],"S")</f>
        <v>0</v>
      </c>
      <c r="N678" s="33">
        <f>IF(INVESTORS_LIST[[#This Row],[SIP_TOTAL UNITS BUY]]=0,0,INVESTORS_LIST[[#This Row],[SIP_TOTAL UNITS BUY]]-INVESTORS_LIST[[#This Row],[SIP_TOTAL UNITS SOLD]])</f>
        <v>0</v>
      </c>
      <c r="O678" s="4">
        <f>IF(INVESTORS_LIST[[#This Row],[SIP_TOTAL UNITS BUY]]=0,0,SUMIFS(SIP[Amount],SIP[Investor ID],INVESTORS_LIST[[#This Row],[INVESTOR CODE]],SIP[B/S],"B"))</f>
        <v>0</v>
      </c>
      <c r="P678" s="4">
        <f>IF(INVESTORS_LIST[[#This Row],[SIP_TOTAL UNITS SOLD]]=0,0,SUMIFS(SIP[Cost of Units Sold],SIP[Investor ID],INVESTORS_LIST[[#This Row],[INVESTOR CODE]],SIP[B/S],"S"))</f>
        <v>0</v>
      </c>
      <c r="Q678" s="6">
        <f>IF(INVESTORS_LIST[[#This Row],[SIP_TOTAL CURRENT UNITS]]=0,0,INVESTORS_LIST[[#This Row],[SIP_TOTAL CURRENT UNITS]]*INVESTORS_LIST[[#This Row],[SIP_AVERAGE COST]])</f>
        <v>0</v>
      </c>
      <c r="R678" s="6">
        <f>IF(INVESTORS_LIST[[#This Row],[SIP_TOTAL UNITS SOLD]]=0,0,SUMIFS(SIP[Realized Gain],SIP[Investor ID],INVESTORS_LIST[[#This Row],[INVESTOR CODE]],SIP[B/S],"S"))</f>
        <v>0</v>
      </c>
      <c r="S678" s="33">
        <f>INVESTORS_LIST[[#This Row],[LS_TOTAL UNITS BUY]]+INVESTORS_LIST[[#This Row],[SIP_TOTAL UNITS BUY]]</f>
        <v>0</v>
      </c>
      <c r="T678" s="33">
        <f>INVESTORS_LIST[[#This Row],[LS_TOTAL UNITS SOLD]]+INVESTORS_LIST[[#This Row],[SIP_TOTAL UNITS SOLD]]</f>
        <v>0</v>
      </c>
      <c r="U678" s="33">
        <v>0</v>
      </c>
      <c r="V678" s="33">
        <f>SUMIFS(LS[BO UNIT TRANSFER],LS[Investor ID],INVESTORS_LIST[[#This Row],[INVESTOR CODE]],LS[B/S],"B")</f>
        <v>0</v>
      </c>
      <c r="W678" s="33">
        <f>SUMIFS(LS[BO UNIT TRANSFER],LS[Investor ID],INVESTORS_LIST[[#This Row],[INVESTOR CODE]],LS[B/S],"S")</f>
        <v>0</v>
      </c>
      <c r="X678" s="33">
        <f>SUMIFS(SIP[BO UNIT TRANSFER],SIP[Investor ID],INVESTORS_LIST[[#This Row],[INVESTOR CODE]],SIP[B/S],"S")</f>
        <v>0</v>
      </c>
      <c r="Y678" s="33">
        <f>SUMIFS(SIP[BO UNIT TRANSFER],SIP[Investor ID],INVESTORS_LIST[[#This Row],[INVESTOR CODE]],SIP[B/S],"B")</f>
        <v>0</v>
      </c>
      <c r="Z67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78" s="119">
        <f>INVESTORS_LIST[[#This Row],[TOTAL UNITS BUY]]-INVESTORS_LIST[[#This Row],[TOTAL UNITS SOLD]]</f>
        <v>0</v>
      </c>
      <c r="AB678" s="119">
        <f>INVESTORS_LIST[[#This Row],[TOTAL CURRENT UNITS]]-INVESTORS_LIST[[#This Row],[BO UNITS HOLD]]</f>
        <v>0</v>
      </c>
      <c r="AC678" s="119" t="e">
        <f>INDEX([4]!Table_1[BO ID],MATCH(INVESTORS_LIST[[#This Row],[INVESTOR CODE]],[4]!Table_1[INVESTOR CODE],0))</f>
        <v>#REF!</v>
      </c>
      <c r="AD678" s="33">
        <f>INVESTORS_LIST[[#This Row],[LS_TOTAL COST VALUE OF CURRENT UNITS]]+INVESTORS_LIST[[#This Row],[SIP_TOTAL COST VALUE OF CURRENT UNITS]]</f>
        <v>0</v>
      </c>
      <c r="AE678" s="44">
        <f>IF(INVESTORS_LIST[[#This Row],[TOTAL CURRENT UNITS]]=0,0,INVESTORS_LIST[[#This Row],[LS_TOTAL CURRENT UNITS]]/INVESTORS_LIST[[#This Row],[TOTAL CURRENT UNITS]])</f>
        <v>0</v>
      </c>
      <c r="AF678" s="44">
        <f>IF(INVESTORS_LIST[[#This Row],[TOTAL CURRENT UNITS]]=0,0,INVESTORS_LIST[[#This Row],[SIP_TOTAL CURRENT UNITS]]/INVESTORS_LIST[[#This Row],[TOTAL CURRENT UNITS]])</f>
        <v>0</v>
      </c>
      <c r="AG678" s="4" cm="1">
        <f t="array" ref="AG67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78" s="4" cm="1">
        <f t="array" ref="AH67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7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78" s="178">
        <f t="shared" si="20"/>
        <v>12.552</v>
      </c>
      <c r="AK678" s="118">
        <f>IF(INVESTORS_LIST[[#This Row],[TOTAL CURRENT UNITS]]=0,0,INVESTORS_LIST[[#This Row],[TOTAL CURRENT UNITS]]*INVESTORS_LIST[[#This Row],[NAV]])</f>
        <v>0</v>
      </c>
      <c r="AL678" s="4">
        <f>IF(INVESTORS_LIST[[#This Row],[LS_TOTAL CURRENT UNITS]]=0,0,INVESTORS_LIST[[#This Row],[LS_TOTAL CURRENT UNITS]]*INVESTORS_LIST[[#This Row],[NAV]])</f>
        <v>0</v>
      </c>
      <c r="AM678" s="6">
        <f>IF(INVESTORS_LIST[[#This Row],[SIP_TOTAL CURRENT UNITS]]=0,0,INVESTORS_LIST[[#This Row],[SIP_TOTAL CURRENT UNITS]]*INVESTORS_LIST[[#This Row],[NAV]])</f>
        <v>0</v>
      </c>
      <c r="AO678" s="6">
        <f>IF(INVESTORS_LIST[[#This Row],[TOTAL SELLABLE UNITS]]=0,0,INVESTORS_LIST[[#This Row],[TOTAL SELLABLE UNITS]]*INVESTORS_LIST[[#This Row],[NAV]])</f>
        <v>0</v>
      </c>
      <c r="AP678" s="6">
        <f>INVESTORS_LIST[[#This Row],[LS_TOTAL REALIZED GAIN]]+INVESTORS_LIST[[#This Row],[SIP_TOTAL REALIZED GAIN]]</f>
        <v>0</v>
      </c>
      <c r="AQ678" s="6">
        <f>INVESTORS_LIST[[#This Row],[TOTAL MARKET VALUE]]-INVESTORS_LIST[[#This Row],[TOTAL COST VALUE OF CURRENT INVESTMENT]]</f>
        <v>0</v>
      </c>
      <c r="AR678" s="6">
        <f>SUMIFS(DivAndTax[Tax Amount],DivAndTax[Investor ID],INVESTORS_LIST[[#This Row],[INVESTOR CODE]])</f>
        <v>0</v>
      </c>
      <c r="AS678" s="6">
        <f>SUMIFS(DivAndTax[Gross Dividend],DivAndTax[Investor ID],INVESTORS_LIST[[#This Row],[INVESTOR CODE]])</f>
        <v>0</v>
      </c>
      <c r="AT678" s="5">
        <f>IFERROR(INVESTORS_LIST[[#This Row],[TOTAL CURRENT UNITS]]/SUM(INVESTORS_LIST[TOTAL CURRENT UNITS]),0)</f>
        <v>0</v>
      </c>
    </row>
    <row r="679" spans="1:46" hidden="1">
      <c r="A679" t="s">
        <v>1547</v>
      </c>
      <c r="B679" t="s">
        <v>1548</v>
      </c>
      <c r="C679" t="s">
        <v>536</v>
      </c>
      <c r="D679" s="8" t="s">
        <v>2</v>
      </c>
      <c r="E679" s="2">
        <f>SUMIFS(LS[Unit],LS[Investor ID],INVESTORS_LIST[[#This Row],[INVESTOR CODE]],LS[B/S],"B")</f>
        <v>0</v>
      </c>
      <c r="F679" s="2">
        <f>-SUMIFS(LS[Unit],LS[Investor ID],INVESTORS_LIST[[#This Row],[INVESTOR CODE]],LS[B/S],"S")</f>
        <v>0</v>
      </c>
      <c r="G679" s="2">
        <f>IF(INVESTORS_LIST[[#This Row],[LS_TOTAL UNITS BUY]]=0,0,INVESTORS_LIST[[#This Row],[LS_TOTAL UNITS BUY]]-INVESTORS_LIST[[#This Row],[LS_TOTAL UNITS SOLD]])</f>
        <v>0</v>
      </c>
      <c r="H679" s="4">
        <f>IF(INVESTORS_LIST[[#This Row],[LS_TOTAL UNITS BUY]]=0,0,SUMIFS(LS[Amount],LS[Investor ID],INVESTORS_LIST[[#This Row],[INVESTOR CODE]],LS[B/S],"B"))</f>
        <v>0</v>
      </c>
      <c r="I679" s="6">
        <f>IF(INVESTORS_LIST[[#This Row],[LS_TOTAL UNITS SOLD]]=0,0,SUMIFS(LS[Cost of Units Sold],LS[Investor ID],INVESTORS_LIST[[#This Row],[INVESTOR CODE]],LS[B/S],"S"))</f>
        <v>0</v>
      </c>
      <c r="J679" s="6">
        <f>IF(INVESTORS_LIST[[#This Row],[LS_TOTAL CURRENT UNITS]]=0,0,INVESTORS_LIST[[#This Row],[LS_TOTAL CURRENT UNITS]]*INVESTORS_LIST[[#This Row],[LS_AVERAGE COST]])</f>
        <v>0</v>
      </c>
      <c r="K679" s="4">
        <f>IF(INVESTORS_LIST[[#This Row],[LS_TOTAL UNITS SOLD]]=0,0,SUMIFS(LS[Realized Gain],LS[Investor ID],INVESTORS_LIST[[#This Row],[INVESTOR CODE]],LS[B/S],"S"))</f>
        <v>0</v>
      </c>
      <c r="L679" s="2">
        <f>SUMIFS(SIP[Unit],SIP[Investor ID],INVESTORS_LIST[[#This Row],[INVESTOR CODE]],SIP[B/S],"B")</f>
        <v>0</v>
      </c>
      <c r="M679" s="2">
        <f>-SUMIFS(SIP[Unit],SIP[Investor ID],INVESTORS_LIST[[#This Row],[INVESTOR CODE]],SIP[B/S],"S")</f>
        <v>0</v>
      </c>
      <c r="N679" s="33">
        <f>IF(INVESTORS_LIST[[#This Row],[SIP_TOTAL UNITS BUY]]=0,0,INVESTORS_LIST[[#This Row],[SIP_TOTAL UNITS BUY]]-INVESTORS_LIST[[#This Row],[SIP_TOTAL UNITS SOLD]])</f>
        <v>0</v>
      </c>
      <c r="O679" s="4">
        <f>IF(INVESTORS_LIST[[#This Row],[SIP_TOTAL UNITS BUY]]=0,0,SUMIFS(SIP[Amount],SIP[Investor ID],INVESTORS_LIST[[#This Row],[INVESTOR CODE]],SIP[B/S],"B"))</f>
        <v>0</v>
      </c>
      <c r="P679" s="4">
        <f>IF(INVESTORS_LIST[[#This Row],[SIP_TOTAL UNITS SOLD]]=0,0,SUMIFS(SIP[Cost of Units Sold],SIP[Investor ID],INVESTORS_LIST[[#This Row],[INVESTOR CODE]],SIP[B/S],"S"))</f>
        <v>0</v>
      </c>
      <c r="Q679" s="6">
        <f>IF(INVESTORS_LIST[[#This Row],[SIP_TOTAL CURRENT UNITS]]=0,0,INVESTORS_LIST[[#This Row],[SIP_TOTAL CURRENT UNITS]]*INVESTORS_LIST[[#This Row],[SIP_AVERAGE COST]])</f>
        <v>0</v>
      </c>
      <c r="R679" s="6">
        <f>IF(INVESTORS_LIST[[#This Row],[SIP_TOTAL UNITS SOLD]]=0,0,SUMIFS(SIP[Realized Gain],SIP[Investor ID],INVESTORS_LIST[[#This Row],[INVESTOR CODE]],SIP[B/S],"S"))</f>
        <v>0</v>
      </c>
      <c r="S679" s="33">
        <f>INVESTORS_LIST[[#This Row],[LS_TOTAL UNITS BUY]]+INVESTORS_LIST[[#This Row],[SIP_TOTAL UNITS BUY]]</f>
        <v>0</v>
      </c>
      <c r="T679" s="33">
        <f>INVESTORS_LIST[[#This Row],[LS_TOTAL UNITS SOLD]]+INVESTORS_LIST[[#This Row],[SIP_TOTAL UNITS SOLD]]</f>
        <v>0</v>
      </c>
      <c r="U679" s="33">
        <v>0</v>
      </c>
      <c r="V679" s="33">
        <f>SUMIFS(LS[BO UNIT TRANSFER],LS[Investor ID],INVESTORS_LIST[[#This Row],[INVESTOR CODE]],LS[B/S],"B")</f>
        <v>0</v>
      </c>
      <c r="W679" s="33">
        <f>SUMIFS(LS[BO UNIT TRANSFER],LS[Investor ID],INVESTORS_LIST[[#This Row],[INVESTOR CODE]],LS[B/S],"S")</f>
        <v>0</v>
      </c>
      <c r="X679" s="33">
        <f>SUMIFS(SIP[BO UNIT TRANSFER],SIP[Investor ID],INVESTORS_LIST[[#This Row],[INVESTOR CODE]],SIP[B/S],"S")</f>
        <v>0</v>
      </c>
      <c r="Y679" s="33">
        <f>SUMIFS(SIP[BO UNIT TRANSFER],SIP[Investor ID],INVESTORS_LIST[[#This Row],[INVESTOR CODE]],SIP[B/S],"B")</f>
        <v>0</v>
      </c>
      <c r="Z67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79" s="119">
        <f>INVESTORS_LIST[[#This Row],[TOTAL UNITS BUY]]-INVESTORS_LIST[[#This Row],[TOTAL UNITS SOLD]]</f>
        <v>0</v>
      </c>
      <c r="AB679" s="119">
        <f>INVESTORS_LIST[[#This Row],[TOTAL CURRENT UNITS]]-INVESTORS_LIST[[#This Row],[BO UNITS HOLD]]</f>
        <v>0</v>
      </c>
      <c r="AC679" s="119" t="e">
        <f>INDEX([4]!Table_1[BO ID],MATCH(INVESTORS_LIST[[#This Row],[INVESTOR CODE]],[4]!Table_1[INVESTOR CODE],0))</f>
        <v>#REF!</v>
      </c>
      <c r="AD679" s="33">
        <f>INVESTORS_LIST[[#This Row],[LS_TOTAL COST VALUE OF CURRENT UNITS]]+INVESTORS_LIST[[#This Row],[SIP_TOTAL COST VALUE OF CURRENT UNITS]]</f>
        <v>0</v>
      </c>
      <c r="AE679" s="44">
        <f>IF(INVESTORS_LIST[[#This Row],[TOTAL CURRENT UNITS]]=0,0,INVESTORS_LIST[[#This Row],[LS_TOTAL CURRENT UNITS]]/INVESTORS_LIST[[#This Row],[TOTAL CURRENT UNITS]])</f>
        <v>0</v>
      </c>
      <c r="AF679" s="44">
        <f>IF(INVESTORS_LIST[[#This Row],[TOTAL CURRENT UNITS]]=0,0,INVESTORS_LIST[[#This Row],[SIP_TOTAL CURRENT UNITS]]/INVESTORS_LIST[[#This Row],[TOTAL CURRENT UNITS]])</f>
        <v>0</v>
      </c>
      <c r="AG679" s="4" cm="1">
        <f t="array" ref="AG67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79" s="4" cm="1">
        <f t="array" ref="AH67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7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79" s="178">
        <f t="shared" si="20"/>
        <v>12.552</v>
      </c>
      <c r="AK679" s="118">
        <f>IF(INVESTORS_LIST[[#This Row],[TOTAL CURRENT UNITS]]=0,0,INVESTORS_LIST[[#This Row],[TOTAL CURRENT UNITS]]*INVESTORS_LIST[[#This Row],[NAV]])</f>
        <v>0</v>
      </c>
      <c r="AL679" s="4">
        <f>IF(INVESTORS_LIST[[#This Row],[LS_TOTAL CURRENT UNITS]]=0,0,INVESTORS_LIST[[#This Row],[LS_TOTAL CURRENT UNITS]]*INVESTORS_LIST[[#This Row],[NAV]])</f>
        <v>0</v>
      </c>
      <c r="AM679" s="6">
        <f>IF(INVESTORS_LIST[[#This Row],[SIP_TOTAL CURRENT UNITS]]=0,0,INVESTORS_LIST[[#This Row],[SIP_TOTAL CURRENT UNITS]]*INVESTORS_LIST[[#This Row],[NAV]])</f>
        <v>0</v>
      </c>
      <c r="AO679" s="6">
        <f>IF(INVESTORS_LIST[[#This Row],[TOTAL SELLABLE UNITS]]=0,0,INVESTORS_LIST[[#This Row],[TOTAL SELLABLE UNITS]]*INVESTORS_LIST[[#This Row],[NAV]])</f>
        <v>0</v>
      </c>
      <c r="AP679" s="6">
        <f>INVESTORS_LIST[[#This Row],[LS_TOTAL REALIZED GAIN]]+INVESTORS_LIST[[#This Row],[SIP_TOTAL REALIZED GAIN]]</f>
        <v>0</v>
      </c>
      <c r="AQ679" s="6">
        <f>INVESTORS_LIST[[#This Row],[TOTAL MARKET VALUE]]-INVESTORS_LIST[[#This Row],[TOTAL COST VALUE OF CURRENT INVESTMENT]]</f>
        <v>0</v>
      </c>
      <c r="AR679" s="6">
        <f>SUMIFS(DivAndTax[Tax Amount],DivAndTax[Investor ID],INVESTORS_LIST[[#This Row],[INVESTOR CODE]])</f>
        <v>0</v>
      </c>
      <c r="AS679" s="6">
        <f>SUMIFS(DivAndTax[Gross Dividend],DivAndTax[Investor ID],INVESTORS_LIST[[#This Row],[INVESTOR CODE]])</f>
        <v>0</v>
      </c>
      <c r="AT679" s="5">
        <f>IFERROR(INVESTORS_LIST[[#This Row],[TOTAL CURRENT UNITS]]/SUM(INVESTORS_LIST[TOTAL CURRENT UNITS]),0)</f>
        <v>0</v>
      </c>
    </row>
    <row r="680" spans="1:46" hidden="1">
      <c r="A680" t="s">
        <v>1549</v>
      </c>
      <c r="B680" t="s">
        <v>1550</v>
      </c>
      <c r="C680" t="s">
        <v>536</v>
      </c>
      <c r="D680" s="8" t="s">
        <v>2</v>
      </c>
      <c r="E680" s="2">
        <f>SUMIFS(LS[Unit],LS[Investor ID],INVESTORS_LIST[[#This Row],[INVESTOR CODE]],LS[B/S],"B")</f>
        <v>0</v>
      </c>
      <c r="F680" s="2">
        <f>-SUMIFS(LS[Unit],LS[Investor ID],INVESTORS_LIST[[#This Row],[INVESTOR CODE]],LS[B/S],"S")</f>
        <v>0</v>
      </c>
      <c r="G680" s="2">
        <f>IF(INVESTORS_LIST[[#This Row],[LS_TOTAL UNITS BUY]]=0,0,INVESTORS_LIST[[#This Row],[LS_TOTAL UNITS BUY]]-INVESTORS_LIST[[#This Row],[LS_TOTAL UNITS SOLD]])</f>
        <v>0</v>
      </c>
      <c r="H680" s="4">
        <f>IF(INVESTORS_LIST[[#This Row],[LS_TOTAL UNITS BUY]]=0,0,SUMIFS(LS[Amount],LS[Investor ID],INVESTORS_LIST[[#This Row],[INVESTOR CODE]],LS[B/S],"B"))</f>
        <v>0</v>
      </c>
      <c r="I680" s="6">
        <f>IF(INVESTORS_LIST[[#This Row],[LS_TOTAL UNITS SOLD]]=0,0,SUMIFS(LS[Cost of Units Sold],LS[Investor ID],INVESTORS_LIST[[#This Row],[INVESTOR CODE]],LS[B/S],"S"))</f>
        <v>0</v>
      </c>
      <c r="J680" s="6">
        <f>IF(INVESTORS_LIST[[#This Row],[LS_TOTAL CURRENT UNITS]]=0,0,INVESTORS_LIST[[#This Row],[LS_TOTAL CURRENT UNITS]]*INVESTORS_LIST[[#This Row],[LS_AVERAGE COST]])</f>
        <v>0</v>
      </c>
      <c r="K680" s="4">
        <f>IF(INVESTORS_LIST[[#This Row],[LS_TOTAL UNITS SOLD]]=0,0,SUMIFS(LS[Realized Gain],LS[Investor ID],INVESTORS_LIST[[#This Row],[INVESTOR CODE]],LS[B/S],"S"))</f>
        <v>0</v>
      </c>
      <c r="L680" s="2">
        <f>SUMIFS(SIP[Unit],SIP[Investor ID],INVESTORS_LIST[[#This Row],[INVESTOR CODE]],SIP[B/S],"B")</f>
        <v>0</v>
      </c>
      <c r="M680" s="2">
        <f>-SUMIFS(SIP[Unit],SIP[Investor ID],INVESTORS_LIST[[#This Row],[INVESTOR CODE]],SIP[B/S],"S")</f>
        <v>0</v>
      </c>
      <c r="N680" s="33">
        <f>IF(INVESTORS_LIST[[#This Row],[SIP_TOTAL UNITS BUY]]=0,0,INVESTORS_LIST[[#This Row],[SIP_TOTAL UNITS BUY]]-INVESTORS_LIST[[#This Row],[SIP_TOTAL UNITS SOLD]])</f>
        <v>0</v>
      </c>
      <c r="O680" s="4">
        <f>IF(INVESTORS_LIST[[#This Row],[SIP_TOTAL UNITS BUY]]=0,0,SUMIFS(SIP[Amount],SIP[Investor ID],INVESTORS_LIST[[#This Row],[INVESTOR CODE]],SIP[B/S],"B"))</f>
        <v>0</v>
      </c>
      <c r="P680" s="4">
        <f>IF(INVESTORS_LIST[[#This Row],[SIP_TOTAL UNITS SOLD]]=0,0,SUMIFS(SIP[Cost of Units Sold],SIP[Investor ID],INVESTORS_LIST[[#This Row],[INVESTOR CODE]],SIP[B/S],"S"))</f>
        <v>0</v>
      </c>
      <c r="Q680" s="6">
        <f>IF(INVESTORS_LIST[[#This Row],[SIP_TOTAL CURRENT UNITS]]=0,0,INVESTORS_LIST[[#This Row],[SIP_TOTAL CURRENT UNITS]]*INVESTORS_LIST[[#This Row],[SIP_AVERAGE COST]])</f>
        <v>0</v>
      </c>
      <c r="R680" s="6">
        <f>IF(INVESTORS_LIST[[#This Row],[SIP_TOTAL UNITS SOLD]]=0,0,SUMIFS(SIP[Realized Gain],SIP[Investor ID],INVESTORS_LIST[[#This Row],[INVESTOR CODE]],SIP[B/S],"S"))</f>
        <v>0</v>
      </c>
      <c r="S680" s="33">
        <f>INVESTORS_LIST[[#This Row],[LS_TOTAL UNITS BUY]]+INVESTORS_LIST[[#This Row],[SIP_TOTAL UNITS BUY]]</f>
        <v>0</v>
      </c>
      <c r="T680" s="33">
        <f>INVESTORS_LIST[[#This Row],[LS_TOTAL UNITS SOLD]]+INVESTORS_LIST[[#This Row],[SIP_TOTAL UNITS SOLD]]</f>
        <v>0</v>
      </c>
      <c r="U680" s="33">
        <v>0</v>
      </c>
      <c r="V680" s="33">
        <f>SUMIFS(LS[BO UNIT TRANSFER],LS[Investor ID],INVESTORS_LIST[[#This Row],[INVESTOR CODE]],LS[B/S],"B")</f>
        <v>0</v>
      </c>
      <c r="W680" s="33">
        <f>SUMIFS(LS[BO UNIT TRANSFER],LS[Investor ID],INVESTORS_LIST[[#This Row],[INVESTOR CODE]],LS[B/S],"S")</f>
        <v>0</v>
      </c>
      <c r="X680" s="33">
        <f>SUMIFS(SIP[BO UNIT TRANSFER],SIP[Investor ID],INVESTORS_LIST[[#This Row],[INVESTOR CODE]],SIP[B/S],"S")</f>
        <v>0</v>
      </c>
      <c r="Y680" s="33">
        <f>SUMIFS(SIP[BO UNIT TRANSFER],SIP[Investor ID],INVESTORS_LIST[[#This Row],[INVESTOR CODE]],SIP[B/S],"B")</f>
        <v>0</v>
      </c>
      <c r="Z68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80" s="119">
        <f>INVESTORS_LIST[[#This Row],[TOTAL UNITS BUY]]-INVESTORS_LIST[[#This Row],[TOTAL UNITS SOLD]]</f>
        <v>0</v>
      </c>
      <c r="AB680" s="119">
        <f>INVESTORS_LIST[[#This Row],[TOTAL CURRENT UNITS]]-INVESTORS_LIST[[#This Row],[BO UNITS HOLD]]</f>
        <v>0</v>
      </c>
      <c r="AC680" s="119" t="e">
        <f>INDEX([4]!Table_1[BO ID],MATCH(INVESTORS_LIST[[#This Row],[INVESTOR CODE]],[4]!Table_1[INVESTOR CODE],0))</f>
        <v>#REF!</v>
      </c>
      <c r="AD680" s="33">
        <f>INVESTORS_LIST[[#This Row],[LS_TOTAL COST VALUE OF CURRENT UNITS]]+INVESTORS_LIST[[#This Row],[SIP_TOTAL COST VALUE OF CURRENT UNITS]]</f>
        <v>0</v>
      </c>
      <c r="AE680" s="44">
        <f>IF(INVESTORS_LIST[[#This Row],[TOTAL CURRENT UNITS]]=0,0,INVESTORS_LIST[[#This Row],[LS_TOTAL CURRENT UNITS]]/INVESTORS_LIST[[#This Row],[TOTAL CURRENT UNITS]])</f>
        <v>0</v>
      </c>
      <c r="AF680" s="44">
        <f>IF(INVESTORS_LIST[[#This Row],[TOTAL CURRENT UNITS]]=0,0,INVESTORS_LIST[[#This Row],[SIP_TOTAL CURRENT UNITS]]/INVESTORS_LIST[[#This Row],[TOTAL CURRENT UNITS]])</f>
        <v>0</v>
      </c>
      <c r="AG680" s="4" cm="1">
        <f t="array" ref="AG68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80" s="4" cm="1">
        <f t="array" ref="AH68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8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80" s="178">
        <f t="shared" si="20"/>
        <v>12.552</v>
      </c>
      <c r="AK680" s="118">
        <f>IF(INVESTORS_LIST[[#This Row],[TOTAL CURRENT UNITS]]=0,0,INVESTORS_LIST[[#This Row],[TOTAL CURRENT UNITS]]*INVESTORS_LIST[[#This Row],[NAV]])</f>
        <v>0</v>
      </c>
      <c r="AL680" s="4">
        <f>IF(INVESTORS_LIST[[#This Row],[LS_TOTAL CURRENT UNITS]]=0,0,INVESTORS_LIST[[#This Row],[LS_TOTAL CURRENT UNITS]]*INVESTORS_LIST[[#This Row],[NAV]])</f>
        <v>0</v>
      </c>
      <c r="AM680" s="6">
        <f>IF(INVESTORS_LIST[[#This Row],[SIP_TOTAL CURRENT UNITS]]=0,0,INVESTORS_LIST[[#This Row],[SIP_TOTAL CURRENT UNITS]]*INVESTORS_LIST[[#This Row],[NAV]])</f>
        <v>0</v>
      </c>
      <c r="AO680" s="6">
        <f>IF(INVESTORS_LIST[[#This Row],[TOTAL SELLABLE UNITS]]=0,0,INVESTORS_LIST[[#This Row],[TOTAL SELLABLE UNITS]]*INVESTORS_LIST[[#This Row],[NAV]])</f>
        <v>0</v>
      </c>
      <c r="AP680" s="6">
        <f>INVESTORS_LIST[[#This Row],[LS_TOTAL REALIZED GAIN]]+INVESTORS_LIST[[#This Row],[SIP_TOTAL REALIZED GAIN]]</f>
        <v>0</v>
      </c>
      <c r="AQ680" s="6">
        <f>INVESTORS_LIST[[#This Row],[TOTAL MARKET VALUE]]-INVESTORS_LIST[[#This Row],[TOTAL COST VALUE OF CURRENT INVESTMENT]]</f>
        <v>0</v>
      </c>
      <c r="AR680" s="6">
        <f>SUMIFS(DivAndTax[Tax Amount],DivAndTax[Investor ID],INVESTORS_LIST[[#This Row],[INVESTOR CODE]])</f>
        <v>0</v>
      </c>
      <c r="AS680" s="6">
        <f>SUMIFS(DivAndTax[Gross Dividend],DivAndTax[Investor ID],INVESTORS_LIST[[#This Row],[INVESTOR CODE]])</f>
        <v>0</v>
      </c>
      <c r="AT680" s="5">
        <f>IFERROR(INVESTORS_LIST[[#This Row],[TOTAL CURRENT UNITS]]/SUM(INVESTORS_LIST[TOTAL CURRENT UNITS]),0)</f>
        <v>0</v>
      </c>
    </row>
    <row r="681" spans="1:46" hidden="1">
      <c r="A681" t="s">
        <v>367</v>
      </c>
      <c r="B681" t="s">
        <v>1551</v>
      </c>
      <c r="C681" t="s">
        <v>536</v>
      </c>
      <c r="D681" s="8" t="s">
        <v>2</v>
      </c>
      <c r="E681" s="2">
        <f>SUMIFS(LS[Unit],LS[Investor ID],INVESTORS_LIST[[#This Row],[INVESTOR CODE]],LS[B/S],"B")</f>
        <v>0</v>
      </c>
      <c r="F681" s="2">
        <f>-SUMIFS(LS[Unit],LS[Investor ID],INVESTORS_LIST[[#This Row],[INVESTOR CODE]],LS[B/S],"S")</f>
        <v>0</v>
      </c>
      <c r="G681" s="2">
        <f>IF(INVESTORS_LIST[[#This Row],[LS_TOTAL UNITS BUY]]=0,0,INVESTORS_LIST[[#This Row],[LS_TOTAL UNITS BUY]]-INVESTORS_LIST[[#This Row],[LS_TOTAL UNITS SOLD]])</f>
        <v>0</v>
      </c>
      <c r="H681" s="4">
        <f>IF(INVESTORS_LIST[[#This Row],[LS_TOTAL UNITS BUY]]=0,0,SUMIFS(LS[Amount],LS[Investor ID],INVESTORS_LIST[[#This Row],[INVESTOR CODE]],LS[B/S],"B"))</f>
        <v>0</v>
      </c>
      <c r="I681" s="6">
        <f>IF(INVESTORS_LIST[[#This Row],[LS_TOTAL UNITS SOLD]]=0,0,SUMIFS(LS[Cost of Units Sold],LS[Investor ID],INVESTORS_LIST[[#This Row],[INVESTOR CODE]],LS[B/S],"S"))</f>
        <v>0</v>
      </c>
      <c r="J681" s="6">
        <f>IF(INVESTORS_LIST[[#This Row],[LS_TOTAL CURRENT UNITS]]=0,0,INVESTORS_LIST[[#This Row],[LS_TOTAL CURRENT UNITS]]*INVESTORS_LIST[[#This Row],[LS_AVERAGE COST]])</f>
        <v>0</v>
      </c>
      <c r="K681" s="4">
        <f>IF(INVESTORS_LIST[[#This Row],[LS_TOTAL UNITS SOLD]]=0,0,SUMIFS(LS[Realized Gain],LS[Investor ID],INVESTORS_LIST[[#This Row],[INVESTOR CODE]],LS[B/S],"S"))</f>
        <v>0</v>
      </c>
      <c r="L681" s="2">
        <f>SUMIFS(SIP[Unit],SIP[Investor ID],INVESTORS_LIST[[#This Row],[INVESTOR CODE]],SIP[B/S],"B")</f>
        <v>0</v>
      </c>
      <c r="M681" s="2">
        <f>-SUMIFS(SIP[Unit],SIP[Investor ID],INVESTORS_LIST[[#This Row],[INVESTOR CODE]],SIP[B/S],"S")</f>
        <v>0</v>
      </c>
      <c r="N681" s="33">
        <f>IF(INVESTORS_LIST[[#This Row],[SIP_TOTAL UNITS BUY]]=0,0,INVESTORS_LIST[[#This Row],[SIP_TOTAL UNITS BUY]]-INVESTORS_LIST[[#This Row],[SIP_TOTAL UNITS SOLD]])</f>
        <v>0</v>
      </c>
      <c r="O681" s="4">
        <f>IF(INVESTORS_LIST[[#This Row],[SIP_TOTAL UNITS BUY]]=0,0,SUMIFS(SIP[Amount],SIP[Investor ID],INVESTORS_LIST[[#This Row],[INVESTOR CODE]],SIP[B/S],"B"))</f>
        <v>0</v>
      </c>
      <c r="P681" s="4">
        <f>IF(INVESTORS_LIST[[#This Row],[SIP_TOTAL UNITS SOLD]]=0,0,SUMIFS(SIP[Cost of Units Sold],SIP[Investor ID],INVESTORS_LIST[[#This Row],[INVESTOR CODE]],SIP[B/S],"S"))</f>
        <v>0</v>
      </c>
      <c r="Q681" s="6">
        <f>IF(INVESTORS_LIST[[#This Row],[SIP_TOTAL CURRENT UNITS]]=0,0,INVESTORS_LIST[[#This Row],[SIP_TOTAL CURRENT UNITS]]*INVESTORS_LIST[[#This Row],[SIP_AVERAGE COST]])</f>
        <v>0</v>
      </c>
      <c r="R681" s="6">
        <f>IF(INVESTORS_LIST[[#This Row],[SIP_TOTAL UNITS SOLD]]=0,0,SUMIFS(SIP[Realized Gain],SIP[Investor ID],INVESTORS_LIST[[#This Row],[INVESTOR CODE]],SIP[B/S],"S"))</f>
        <v>0</v>
      </c>
      <c r="S681" s="33">
        <f>INVESTORS_LIST[[#This Row],[LS_TOTAL UNITS BUY]]+INVESTORS_LIST[[#This Row],[SIP_TOTAL UNITS BUY]]</f>
        <v>0</v>
      </c>
      <c r="T681" s="33">
        <f>INVESTORS_LIST[[#This Row],[LS_TOTAL UNITS SOLD]]+INVESTORS_LIST[[#This Row],[SIP_TOTAL UNITS SOLD]]</f>
        <v>0</v>
      </c>
      <c r="U681" s="33">
        <v>0</v>
      </c>
      <c r="V681" s="33">
        <f>SUMIFS(LS[BO UNIT TRANSFER],LS[Investor ID],INVESTORS_LIST[[#This Row],[INVESTOR CODE]],LS[B/S],"B")</f>
        <v>0</v>
      </c>
      <c r="W681" s="33">
        <f>SUMIFS(LS[BO UNIT TRANSFER],LS[Investor ID],INVESTORS_LIST[[#This Row],[INVESTOR CODE]],LS[B/S],"S")</f>
        <v>0</v>
      </c>
      <c r="X681" s="33">
        <f>SUMIFS(SIP[BO UNIT TRANSFER],SIP[Investor ID],INVESTORS_LIST[[#This Row],[INVESTOR CODE]],SIP[B/S],"S")</f>
        <v>0</v>
      </c>
      <c r="Y681" s="33">
        <f>SUMIFS(SIP[BO UNIT TRANSFER],SIP[Investor ID],INVESTORS_LIST[[#This Row],[INVESTOR CODE]],SIP[B/S],"B")</f>
        <v>0</v>
      </c>
      <c r="Z68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81" s="119">
        <f>INVESTORS_LIST[[#This Row],[TOTAL UNITS BUY]]-INVESTORS_LIST[[#This Row],[TOTAL UNITS SOLD]]</f>
        <v>0</v>
      </c>
      <c r="AB681" s="119">
        <f>INVESTORS_LIST[[#This Row],[TOTAL CURRENT UNITS]]-INVESTORS_LIST[[#This Row],[BO UNITS HOLD]]</f>
        <v>0</v>
      </c>
      <c r="AC681" s="119" t="e">
        <f>INDEX([4]!Table_1[BO ID],MATCH(INVESTORS_LIST[[#This Row],[INVESTOR CODE]],[4]!Table_1[INVESTOR CODE],0))</f>
        <v>#REF!</v>
      </c>
      <c r="AD681" s="33">
        <f>INVESTORS_LIST[[#This Row],[LS_TOTAL COST VALUE OF CURRENT UNITS]]+INVESTORS_LIST[[#This Row],[SIP_TOTAL COST VALUE OF CURRENT UNITS]]</f>
        <v>0</v>
      </c>
      <c r="AE681" s="44">
        <f>IF(INVESTORS_LIST[[#This Row],[TOTAL CURRENT UNITS]]=0,0,INVESTORS_LIST[[#This Row],[LS_TOTAL CURRENT UNITS]]/INVESTORS_LIST[[#This Row],[TOTAL CURRENT UNITS]])</f>
        <v>0</v>
      </c>
      <c r="AF681" s="44">
        <f>IF(INVESTORS_LIST[[#This Row],[TOTAL CURRENT UNITS]]=0,0,INVESTORS_LIST[[#This Row],[SIP_TOTAL CURRENT UNITS]]/INVESTORS_LIST[[#This Row],[TOTAL CURRENT UNITS]])</f>
        <v>0</v>
      </c>
      <c r="AG681" s="4" cm="1">
        <f t="array" ref="AG68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81" s="4" cm="1">
        <f t="array" ref="AH68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8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81" s="178">
        <f t="shared" si="20"/>
        <v>12.552</v>
      </c>
      <c r="AK681" s="118">
        <f>IF(INVESTORS_LIST[[#This Row],[TOTAL CURRENT UNITS]]=0,0,INVESTORS_LIST[[#This Row],[TOTAL CURRENT UNITS]]*INVESTORS_LIST[[#This Row],[NAV]])</f>
        <v>0</v>
      </c>
      <c r="AL681" s="4">
        <f>IF(INVESTORS_LIST[[#This Row],[LS_TOTAL CURRENT UNITS]]=0,0,INVESTORS_LIST[[#This Row],[LS_TOTAL CURRENT UNITS]]*INVESTORS_LIST[[#This Row],[NAV]])</f>
        <v>0</v>
      </c>
      <c r="AM681" s="6">
        <f>IF(INVESTORS_LIST[[#This Row],[SIP_TOTAL CURRENT UNITS]]=0,0,INVESTORS_LIST[[#This Row],[SIP_TOTAL CURRENT UNITS]]*INVESTORS_LIST[[#This Row],[NAV]])</f>
        <v>0</v>
      </c>
      <c r="AO681" s="6">
        <f>IF(INVESTORS_LIST[[#This Row],[TOTAL SELLABLE UNITS]]=0,0,INVESTORS_LIST[[#This Row],[TOTAL SELLABLE UNITS]]*INVESTORS_LIST[[#This Row],[NAV]])</f>
        <v>0</v>
      </c>
      <c r="AP681" s="6">
        <f>INVESTORS_LIST[[#This Row],[LS_TOTAL REALIZED GAIN]]+INVESTORS_LIST[[#This Row],[SIP_TOTAL REALIZED GAIN]]</f>
        <v>0</v>
      </c>
      <c r="AQ681" s="6">
        <f>INVESTORS_LIST[[#This Row],[TOTAL MARKET VALUE]]-INVESTORS_LIST[[#This Row],[TOTAL COST VALUE OF CURRENT INVESTMENT]]</f>
        <v>0</v>
      </c>
      <c r="AR681" s="6">
        <f>SUMIFS(DivAndTax[Tax Amount],DivAndTax[Investor ID],INVESTORS_LIST[[#This Row],[INVESTOR CODE]])</f>
        <v>0</v>
      </c>
      <c r="AS681" s="6">
        <f>SUMIFS(DivAndTax[Gross Dividend],DivAndTax[Investor ID],INVESTORS_LIST[[#This Row],[INVESTOR CODE]])</f>
        <v>0</v>
      </c>
      <c r="AT681" s="5">
        <f>IFERROR(INVESTORS_LIST[[#This Row],[TOTAL CURRENT UNITS]]/SUM(INVESTORS_LIST[TOTAL CURRENT UNITS]),0)</f>
        <v>0</v>
      </c>
    </row>
    <row r="682" spans="1:46">
      <c r="A682" t="s">
        <v>1552</v>
      </c>
      <c r="B682" t="s">
        <v>1553</v>
      </c>
      <c r="C682" t="s">
        <v>536</v>
      </c>
      <c r="D682" s="8" t="s">
        <v>2</v>
      </c>
      <c r="E682" s="2">
        <f>SUMIFS(LS[Unit],LS[Investor ID],INVESTORS_LIST[[#This Row],[INVESTOR CODE]],LS[B/S],"B")</f>
        <v>2</v>
      </c>
      <c r="F682" s="2">
        <f>-SUMIFS(LS[Unit],LS[Investor ID],INVESTORS_LIST[[#This Row],[INVESTOR CODE]],LS[B/S],"S")</f>
        <v>0</v>
      </c>
      <c r="G682" s="2">
        <f>IF(INVESTORS_LIST[[#This Row],[LS_TOTAL UNITS BUY]]=0,0,INVESTORS_LIST[[#This Row],[LS_TOTAL UNITS BUY]]-INVESTORS_LIST[[#This Row],[LS_TOTAL UNITS SOLD]])</f>
        <v>2</v>
      </c>
      <c r="H682" s="4">
        <f>IF(INVESTORS_LIST[[#This Row],[LS_TOTAL UNITS BUY]]=0,0,SUMIFS(LS[Amount],LS[Investor ID],INVESTORS_LIST[[#This Row],[INVESTOR CODE]],LS[B/S],"B"))</f>
        <v>29.4</v>
      </c>
      <c r="I682" s="6">
        <f>IF(INVESTORS_LIST[[#This Row],[LS_TOTAL UNITS SOLD]]=0,0,SUMIFS(LS[Cost of Units Sold],LS[Investor ID],INVESTORS_LIST[[#This Row],[INVESTOR CODE]],LS[B/S],"S"))</f>
        <v>0</v>
      </c>
      <c r="J682" s="6">
        <f>IF(INVESTORS_LIST[[#This Row],[LS_TOTAL CURRENT UNITS]]=0,0,INVESTORS_LIST[[#This Row],[LS_TOTAL CURRENT UNITS]]*INVESTORS_LIST[[#This Row],[LS_AVERAGE COST]])</f>
        <v>29.4</v>
      </c>
      <c r="K682" s="4">
        <f>IF(INVESTORS_LIST[[#This Row],[LS_TOTAL UNITS SOLD]]=0,0,SUMIFS(LS[Realized Gain],LS[Investor ID],INVESTORS_LIST[[#This Row],[INVESTOR CODE]],LS[B/S],"S"))</f>
        <v>0</v>
      </c>
      <c r="L682" s="2">
        <f>SUMIFS(SIP[Unit],SIP[Investor ID],INVESTORS_LIST[[#This Row],[INVESTOR CODE]],SIP[B/S],"B")</f>
        <v>324</v>
      </c>
      <c r="M682" s="2">
        <f>-SUMIFS(SIP[Unit],SIP[Investor ID],INVESTORS_LIST[[#This Row],[INVESTOR CODE]],SIP[B/S],"S")</f>
        <v>0</v>
      </c>
      <c r="N682" s="33">
        <f>IF(INVESTORS_LIST[[#This Row],[SIP_TOTAL UNITS BUY]]=0,0,INVESTORS_LIST[[#This Row],[SIP_TOTAL UNITS BUY]]-INVESTORS_LIST[[#This Row],[SIP_TOTAL UNITS SOLD]])</f>
        <v>324</v>
      </c>
      <c r="O682" s="4">
        <f>IF(INVESTORS_LIST[[#This Row],[SIP_TOTAL UNITS BUY]]=0,0,SUMIFS(SIP[Amount],SIP[Investor ID],INVESTORS_LIST[[#This Row],[INVESTOR CODE]],SIP[B/S],"B"))</f>
        <v>4000</v>
      </c>
      <c r="P682" s="4">
        <f>IF(INVESTORS_LIST[[#This Row],[SIP_TOTAL UNITS SOLD]]=0,0,SUMIFS(SIP[Cost of Units Sold],SIP[Investor ID],INVESTORS_LIST[[#This Row],[INVESTOR CODE]],SIP[B/S],"S"))</f>
        <v>0</v>
      </c>
      <c r="Q682" s="6">
        <f>IF(INVESTORS_LIST[[#This Row],[SIP_TOTAL CURRENT UNITS]]=0,0,INVESTORS_LIST[[#This Row],[SIP_TOTAL CURRENT UNITS]]*INVESTORS_LIST[[#This Row],[SIP_AVERAGE COST]])</f>
        <v>4000</v>
      </c>
      <c r="R682" s="6">
        <f>IF(INVESTORS_LIST[[#This Row],[SIP_TOTAL UNITS SOLD]]=0,0,SUMIFS(SIP[Realized Gain],SIP[Investor ID],INVESTORS_LIST[[#This Row],[INVESTOR CODE]],SIP[B/S],"S"))</f>
        <v>0</v>
      </c>
      <c r="S682" s="33">
        <f>INVESTORS_LIST[[#This Row],[LS_TOTAL UNITS BUY]]+INVESTORS_LIST[[#This Row],[SIP_TOTAL UNITS BUY]]</f>
        <v>326</v>
      </c>
      <c r="T682" s="33">
        <f>INVESTORS_LIST[[#This Row],[LS_TOTAL UNITS SOLD]]+INVESTORS_LIST[[#This Row],[SIP_TOTAL UNITS SOLD]]</f>
        <v>0</v>
      </c>
      <c r="U682" s="33">
        <v>0</v>
      </c>
      <c r="V682" s="33">
        <f>SUMIFS(LS[BO UNIT TRANSFER],LS[Investor ID],INVESTORS_LIST[[#This Row],[INVESTOR CODE]],LS[B/S],"B")</f>
        <v>0</v>
      </c>
      <c r="W682" s="33">
        <f>SUMIFS(LS[BO UNIT TRANSFER],LS[Investor ID],INVESTORS_LIST[[#This Row],[INVESTOR CODE]],LS[B/S],"S")</f>
        <v>0</v>
      </c>
      <c r="X682" s="33">
        <f>SUMIFS(SIP[BO UNIT TRANSFER],SIP[Investor ID],INVESTORS_LIST[[#This Row],[INVESTOR CODE]],SIP[B/S],"S")</f>
        <v>0</v>
      </c>
      <c r="Y682" s="33">
        <f>SUMIFS(SIP[BO UNIT TRANSFER],SIP[Investor ID],INVESTORS_LIST[[#This Row],[INVESTOR CODE]],SIP[B/S],"B")</f>
        <v>0</v>
      </c>
      <c r="Z68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82" s="119">
        <f>INVESTORS_LIST[[#This Row],[TOTAL UNITS BUY]]-INVESTORS_LIST[[#This Row],[TOTAL UNITS SOLD]]</f>
        <v>326</v>
      </c>
      <c r="AB682" s="119">
        <f>INVESTORS_LIST[[#This Row],[TOTAL CURRENT UNITS]]-INVESTORS_LIST[[#This Row],[BO UNITS HOLD]]</f>
        <v>326</v>
      </c>
      <c r="AC682" s="119" t="e">
        <f>INDEX([4]!Table_1[BO ID],MATCH(INVESTORS_LIST[[#This Row],[INVESTOR CODE]],[4]!Table_1[INVESTOR CODE],0))</f>
        <v>#REF!</v>
      </c>
      <c r="AD682" s="33">
        <f>INVESTORS_LIST[[#This Row],[LS_TOTAL COST VALUE OF CURRENT UNITS]]+INVESTORS_LIST[[#This Row],[SIP_TOTAL COST VALUE OF CURRENT UNITS]]</f>
        <v>4029.4</v>
      </c>
      <c r="AE682" s="44">
        <f>IF(INVESTORS_LIST[[#This Row],[TOTAL CURRENT UNITS]]=0,0,INVESTORS_LIST[[#This Row],[LS_TOTAL CURRENT UNITS]]/INVESTORS_LIST[[#This Row],[TOTAL CURRENT UNITS]])</f>
        <v>6.1349693251533744E-3</v>
      </c>
      <c r="AF682" s="44">
        <f>IF(INVESTORS_LIST[[#This Row],[TOTAL CURRENT UNITS]]=0,0,INVESTORS_LIST[[#This Row],[SIP_TOTAL CURRENT UNITS]]/INVESTORS_LIST[[#This Row],[TOTAL CURRENT UNITS]])</f>
        <v>0.99386503067484666</v>
      </c>
      <c r="AG682" s="4" cm="1">
        <f t="array" ref="AG682">IF(INVESTORS_LIST[[#This Row],[LS_TOTAL UNITS BUY]]&gt;0,INDEX(LS[NAV at Cost (Average)],MATCH(CONCATENATE(COUNTIFS(LS[Investor ID],INVESTORS_LIST[[#This Row],[INVESTOR CODE]]),INVESTORS_LIST[[#This Row],[INVESTOR CODE]]),LS[Unique Code],0),),0)</f>
        <v>14.7</v>
      </c>
      <c r="AH682" s="4" cm="1">
        <f t="array" ref="AH682">IF(INVESTORS_LIST[[#This Row],[SIP_TOTAL UNITS BUY]]&gt;0,INDEX(SIP[NAV at Cost (Average)],MATCH(CONCATENATE(COUNTIFS(SIP[Investor ID],INVESTORS_LIST[[#This Row],[INVESTOR CODE]]),INVESTORS_LIST[[#This Row],[INVESTOR CODE]]),SIP[Unique Code],0),),0)</f>
        <v>12.345679012345679</v>
      </c>
      <c r="AI682" s="178">
        <f>IF(INVESTORS_LIST[[#This Row],[TOTAL CURRENT UNITS]]=0,0,(INVESTORS_LIST[[#This Row],[LS_WEIGHT]]*INVESTORS_LIST[[#This Row],[LS_AVERAGE COST]])+(INVESTORS_LIST[[#This Row],[SIP_WEIGHT]]*INVESTORS_LIST[[#This Row],[SIP_AVERAGE COST]]))</f>
        <v>12.360122699386503</v>
      </c>
      <c r="AJ682" s="178">
        <f t="shared" si="20"/>
        <v>12.552</v>
      </c>
      <c r="AK682" s="118">
        <f>IF(INVESTORS_LIST[[#This Row],[TOTAL CURRENT UNITS]]=0,0,INVESTORS_LIST[[#This Row],[TOTAL CURRENT UNITS]]*INVESTORS_LIST[[#This Row],[NAV]])</f>
        <v>4091.9519999999998</v>
      </c>
      <c r="AL682" s="4">
        <f>IF(INVESTORS_LIST[[#This Row],[LS_TOTAL CURRENT UNITS]]=0,0,INVESTORS_LIST[[#This Row],[LS_TOTAL CURRENT UNITS]]*INVESTORS_LIST[[#This Row],[NAV]])</f>
        <v>25.103999999999999</v>
      </c>
      <c r="AM682" s="6">
        <f>IF(INVESTORS_LIST[[#This Row],[SIP_TOTAL CURRENT UNITS]]=0,0,INVESTORS_LIST[[#This Row],[SIP_TOTAL CURRENT UNITS]]*INVESTORS_LIST[[#This Row],[NAV]])</f>
        <v>4066.848</v>
      </c>
      <c r="AO682" s="6">
        <f>IF(INVESTORS_LIST[[#This Row],[TOTAL SELLABLE UNITS]]=0,0,INVESTORS_LIST[[#This Row],[TOTAL SELLABLE UNITS]]*INVESTORS_LIST[[#This Row],[NAV]])</f>
        <v>0</v>
      </c>
      <c r="AP682" s="6">
        <f>INVESTORS_LIST[[#This Row],[LS_TOTAL REALIZED GAIN]]+INVESTORS_LIST[[#This Row],[SIP_TOTAL REALIZED GAIN]]</f>
        <v>0</v>
      </c>
      <c r="AQ682" s="6">
        <f>INVESTORS_LIST[[#This Row],[TOTAL MARKET VALUE]]-INVESTORS_LIST[[#This Row],[TOTAL COST VALUE OF CURRENT INVESTMENT]]</f>
        <v>62.55199999999968</v>
      </c>
      <c r="AR682" s="6">
        <f>SUMIFS(DivAndTax[Tax Amount],DivAndTax[Investor ID],INVESTORS_LIST[[#This Row],[INVESTOR CODE]])</f>
        <v>2.94</v>
      </c>
      <c r="AS682" s="6">
        <f>SUMIFS(DivAndTax[Gross Dividend],DivAndTax[Investor ID],INVESTORS_LIST[[#This Row],[INVESTOR CODE]])</f>
        <v>29.4</v>
      </c>
      <c r="AT682" s="5">
        <f>IFERROR(INVESTORS_LIST[[#This Row],[TOTAL CURRENT UNITS]]/SUM(INVESTORS_LIST[TOTAL CURRENT UNITS]),0)</f>
        <v>1.5630016228367768E-5</v>
      </c>
    </row>
    <row r="683" spans="1:46" hidden="1">
      <c r="A683" t="s">
        <v>1249</v>
      </c>
      <c r="B683" t="s">
        <v>1554</v>
      </c>
      <c r="C683" t="s">
        <v>536</v>
      </c>
      <c r="D683" s="8" t="s">
        <v>2</v>
      </c>
      <c r="E683" s="2">
        <f>SUMIFS(LS[Unit],LS[Investor ID],INVESTORS_LIST[[#This Row],[INVESTOR CODE]],LS[B/S],"B")</f>
        <v>0</v>
      </c>
      <c r="F683" s="2">
        <f>-SUMIFS(LS[Unit],LS[Investor ID],INVESTORS_LIST[[#This Row],[INVESTOR CODE]],LS[B/S],"S")</f>
        <v>0</v>
      </c>
      <c r="G683" s="2">
        <f>IF(INVESTORS_LIST[[#This Row],[LS_TOTAL UNITS BUY]]=0,0,INVESTORS_LIST[[#This Row],[LS_TOTAL UNITS BUY]]-INVESTORS_LIST[[#This Row],[LS_TOTAL UNITS SOLD]])</f>
        <v>0</v>
      </c>
      <c r="H683" s="4">
        <f>IF(INVESTORS_LIST[[#This Row],[LS_TOTAL UNITS BUY]]=0,0,SUMIFS(LS[Amount],LS[Investor ID],INVESTORS_LIST[[#This Row],[INVESTOR CODE]],LS[B/S],"B"))</f>
        <v>0</v>
      </c>
      <c r="I683" s="6">
        <f>IF(INVESTORS_LIST[[#This Row],[LS_TOTAL UNITS SOLD]]=0,0,SUMIFS(LS[Cost of Units Sold],LS[Investor ID],INVESTORS_LIST[[#This Row],[INVESTOR CODE]],LS[B/S],"S"))</f>
        <v>0</v>
      </c>
      <c r="J683" s="6">
        <f>IF(INVESTORS_LIST[[#This Row],[LS_TOTAL CURRENT UNITS]]=0,0,INVESTORS_LIST[[#This Row],[LS_TOTAL CURRENT UNITS]]*INVESTORS_LIST[[#This Row],[LS_AVERAGE COST]])</f>
        <v>0</v>
      </c>
      <c r="K683" s="4">
        <f>IF(INVESTORS_LIST[[#This Row],[LS_TOTAL UNITS SOLD]]=0,0,SUMIFS(LS[Realized Gain],LS[Investor ID],INVESTORS_LIST[[#This Row],[INVESTOR CODE]],LS[B/S],"S"))</f>
        <v>0</v>
      </c>
      <c r="L683" s="2">
        <f>SUMIFS(SIP[Unit],SIP[Investor ID],INVESTORS_LIST[[#This Row],[INVESTOR CODE]],SIP[B/S],"B")</f>
        <v>0</v>
      </c>
      <c r="M683" s="2">
        <f>-SUMIFS(SIP[Unit],SIP[Investor ID],INVESTORS_LIST[[#This Row],[INVESTOR CODE]],SIP[B/S],"S")</f>
        <v>0</v>
      </c>
      <c r="N683" s="33">
        <f>IF(INVESTORS_LIST[[#This Row],[SIP_TOTAL UNITS BUY]]=0,0,INVESTORS_LIST[[#This Row],[SIP_TOTAL UNITS BUY]]-INVESTORS_LIST[[#This Row],[SIP_TOTAL UNITS SOLD]])</f>
        <v>0</v>
      </c>
      <c r="O683" s="4">
        <f>IF(INVESTORS_LIST[[#This Row],[SIP_TOTAL UNITS BUY]]=0,0,SUMIFS(SIP[Amount],SIP[Investor ID],INVESTORS_LIST[[#This Row],[INVESTOR CODE]],SIP[B/S],"B"))</f>
        <v>0</v>
      </c>
      <c r="P683" s="4">
        <f>IF(INVESTORS_LIST[[#This Row],[SIP_TOTAL UNITS SOLD]]=0,0,SUMIFS(SIP[Cost of Units Sold],SIP[Investor ID],INVESTORS_LIST[[#This Row],[INVESTOR CODE]],SIP[B/S],"S"))</f>
        <v>0</v>
      </c>
      <c r="Q683" s="6">
        <f>IF(INVESTORS_LIST[[#This Row],[SIP_TOTAL CURRENT UNITS]]=0,0,INVESTORS_LIST[[#This Row],[SIP_TOTAL CURRENT UNITS]]*INVESTORS_LIST[[#This Row],[SIP_AVERAGE COST]])</f>
        <v>0</v>
      </c>
      <c r="R683" s="6">
        <f>IF(INVESTORS_LIST[[#This Row],[SIP_TOTAL UNITS SOLD]]=0,0,SUMIFS(SIP[Realized Gain],SIP[Investor ID],INVESTORS_LIST[[#This Row],[INVESTOR CODE]],SIP[B/S],"S"))</f>
        <v>0</v>
      </c>
      <c r="S683" s="33">
        <f>INVESTORS_LIST[[#This Row],[LS_TOTAL UNITS BUY]]+INVESTORS_LIST[[#This Row],[SIP_TOTAL UNITS BUY]]</f>
        <v>0</v>
      </c>
      <c r="T683" s="33">
        <f>INVESTORS_LIST[[#This Row],[LS_TOTAL UNITS SOLD]]+INVESTORS_LIST[[#This Row],[SIP_TOTAL UNITS SOLD]]</f>
        <v>0</v>
      </c>
      <c r="U683" s="33">
        <v>0</v>
      </c>
      <c r="V683" s="33">
        <f>SUMIFS(LS[BO UNIT TRANSFER],LS[Investor ID],INVESTORS_LIST[[#This Row],[INVESTOR CODE]],LS[B/S],"B")</f>
        <v>0</v>
      </c>
      <c r="W683" s="33">
        <f>SUMIFS(LS[BO UNIT TRANSFER],LS[Investor ID],INVESTORS_LIST[[#This Row],[INVESTOR CODE]],LS[B/S],"S")</f>
        <v>0</v>
      </c>
      <c r="X683" s="33">
        <f>SUMIFS(SIP[BO UNIT TRANSFER],SIP[Investor ID],INVESTORS_LIST[[#This Row],[INVESTOR CODE]],SIP[B/S],"S")</f>
        <v>0</v>
      </c>
      <c r="Y683" s="33">
        <f>SUMIFS(SIP[BO UNIT TRANSFER],SIP[Investor ID],INVESTORS_LIST[[#This Row],[INVESTOR CODE]],SIP[B/S],"B")</f>
        <v>0</v>
      </c>
      <c r="Z68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83" s="119">
        <f>INVESTORS_LIST[[#This Row],[TOTAL UNITS BUY]]-INVESTORS_LIST[[#This Row],[TOTAL UNITS SOLD]]</f>
        <v>0</v>
      </c>
      <c r="AB683" s="119">
        <f>INVESTORS_LIST[[#This Row],[TOTAL CURRENT UNITS]]-INVESTORS_LIST[[#This Row],[BO UNITS HOLD]]</f>
        <v>0</v>
      </c>
      <c r="AC683" s="119" t="e">
        <f>INDEX([4]!Table_1[BO ID],MATCH(INVESTORS_LIST[[#This Row],[INVESTOR CODE]],[4]!Table_1[INVESTOR CODE],0))</f>
        <v>#REF!</v>
      </c>
      <c r="AD683" s="33">
        <f>INVESTORS_LIST[[#This Row],[LS_TOTAL COST VALUE OF CURRENT UNITS]]+INVESTORS_LIST[[#This Row],[SIP_TOTAL COST VALUE OF CURRENT UNITS]]</f>
        <v>0</v>
      </c>
      <c r="AE683" s="44">
        <f>IF(INVESTORS_LIST[[#This Row],[TOTAL CURRENT UNITS]]=0,0,INVESTORS_LIST[[#This Row],[LS_TOTAL CURRENT UNITS]]/INVESTORS_LIST[[#This Row],[TOTAL CURRENT UNITS]])</f>
        <v>0</v>
      </c>
      <c r="AF683" s="44">
        <f>IF(INVESTORS_LIST[[#This Row],[TOTAL CURRENT UNITS]]=0,0,INVESTORS_LIST[[#This Row],[SIP_TOTAL CURRENT UNITS]]/INVESTORS_LIST[[#This Row],[TOTAL CURRENT UNITS]])</f>
        <v>0</v>
      </c>
      <c r="AG683" s="4" cm="1">
        <f t="array" ref="AG68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83" s="4" cm="1">
        <f t="array" ref="AH68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8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83" s="178">
        <f t="shared" si="20"/>
        <v>12.552</v>
      </c>
      <c r="AK683" s="118">
        <f>IF(INVESTORS_LIST[[#This Row],[TOTAL CURRENT UNITS]]=0,0,INVESTORS_LIST[[#This Row],[TOTAL CURRENT UNITS]]*INVESTORS_LIST[[#This Row],[NAV]])</f>
        <v>0</v>
      </c>
      <c r="AL683" s="4">
        <f>IF(INVESTORS_LIST[[#This Row],[LS_TOTAL CURRENT UNITS]]=0,0,INVESTORS_LIST[[#This Row],[LS_TOTAL CURRENT UNITS]]*INVESTORS_LIST[[#This Row],[NAV]])</f>
        <v>0</v>
      </c>
      <c r="AM683" s="6">
        <f>IF(INVESTORS_LIST[[#This Row],[SIP_TOTAL CURRENT UNITS]]=0,0,INVESTORS_LIST[[#This Row],[SIP_TOTAL CURRENT UNITS]]*INVESTORS_LIST[[#This Row],[NAV]])</f>
        <v>0</v>
      </c>
      <c r="AO683" s="6">
        <f>IF(INVESTORS_LIST[[#This Row],[TOTAL SELLABLE UNITS]]=0,0,INVESTORS_LIST[[#This Row],[TOTAL SELLABLE UNITS]]*INVESTORS_LIST[[#This Row],[NAV]])</f>
        <v>0</v>
      </c>
      <c r="AP683" s="6">
        <f>INVESTORS_LIST[[#This Row],[LS_TOTAL REALIZED GAIN]]+INVESTORS_LIST[[#This Row],[SIP_TOTAL REALIZED GAIN]]</f>
        <v>0</v>
      </c>
      <c r="AQ683" s="6">
        <f>INVESTORS_LIST[[#This Row],[TOTAL MARKET VALUE]]-INVESTORS_LIST[[#This Row],[TOTAL COST VALUE OF CURRENT INVESTMENT]]</f>
        <v>0</v>
      </c>
      <c r="AR683" s="6">
        <f>SUMIFS(DivAndTax[Tax Amount],DivAndTax[Investor ID],INVESTORS_LIST[[#This Row],[INVESTOR CODE]])</f>
        <v>0</v>
      </c>
      <c r="AS683" s="6">
        <f>SUMIFS(DivAndTax[Gross Dividend],DivAndTax[Investor ID],INVESTORS_LIST[[#This Row],[INVESTOR CODE]])</f>
        <v>0</v>
      </c>
      <c r="AT683" s="5">
        <f>IFERROR(INVESTORS_LIST[[#This Row],[TOTAL CURRENT UNITS]]/SUM(INVESTORS_LIST[TOTAL CURRENT UNITS]),0)</f>
        <v>0</v>
      </c>
    </row>
    <row r="684" spans="1:46">
      <c r="A684" t="s">
        <v>1555</v>
      </c>
      <c r="B684" t="s">
        <v>1647</v>
      </c>
      <c r="C684" t="s">
        <v>536</v>
      </c>
      <c r="D684" s="8" t="s">
        <v>2</v>
      </c>
      <c r="E684" s="2">
        <f>SUMIFS(LS[Unit],LS[Investor ID],INVESTORS_LIST[[#This Row],[INVESTOR CODE]],LS[B/S],"B")</f>
        <v>431</v>
      </c>
      <c r="F684" s="2">
        <f>-SUMIFS(LS[Unit],LS[Investor ID],INVESTORS_LIST[[#This Row],[INVESTOR CODE]],LS[B/S],"S")</f>
        <v>0</v>
      </c>
      <c r="G684" s="2">
        <f>IF(INVESTORS_LIST[[#This Row],[LS_TOTAL UNITS BUY]]=0,0,INVESTORS_LIST[[#This Row],[LS_TOTAL UNITS BUY]]-INVESTORS_LIST[[#This Row],[LS_TOTAL UNITS SOLD]])</f>
        <v>431</v>
      </c>
      <c r="H684" s="4">
        <f>IF(INVESTORS_LIST[[#This Row],[LS_TOTAL UNITS BUY]]=0,0,SUMIFS(LS[Amount],LS[Investor ID],INVESTORS_LIST[[#This Row],[INVESTOR CODE]],LS[B/S],"B"))</f>
        <v>5147</v>
      </c>
      <c r="I684" s="6">
        <f>IF(INVESTORS_LIST[[#This Row],[LS_TOTAL UNITS SOLD]]=0,0,SUMIFS(LS[Cost of Units Sold],LS[Investor ID],INVESTORS_LIST[[#This Row],[INVESTOR CODE]],LS[B/S],"S"))</f>
        <v>0</v>
      </c>
      <c r="J684" s="6">
        <f>IF(INVESTORS_LIST[[#This Row],[LS_TOTAL CURRENT UNITS]]=0,0,INVESTORS_LIST[[#This Row],[LS_TOTAL CURRENT UNITS]]*INVESTORS_LIST[[#This Row],[LS_AVERAGE COST]])</f>
        <v>5147.0000000000009</v>
      </c>
      <c r="K684" s="4">
        <f>IF(INVESTORS_LIST[[#This Row],[LS_TOTAL UNITS SOLD]]=0,0,SUMIFS(LS[Realized Gain],LS[Investor ID],INVESTORS_LIST[[#This Row],[INVESTOR CODE]],LS[B/S],"S"))</f>
        <v>0</v>
      </c>
      <c r="L684" s="2">
        <f>SUMIFS(SIP[Unit],SIP[Investor ID],INVESTORS_LIST[[#This Row],[INVESTOR CODE]],SIP[B/S],"B")</f>
        <v>0</v>
      </c>
      <c r="M684" s="2">
        <f>-SUMIFS(SIP[Unit],SIP[Investor ID],INVESTORS_LIST[[#This Row],[INVESTOR CODE]],SIP[B/S],"S")</f>
        <v>0</v>
      </c>
      <c r="N684" s="33">
        <f>IF(INVESTORS_LIST[[#This Row],[SIP_TOTAL UNITS BUY]]=0,0,INVESTORS_LIST[[#This Row],[SIP_TOTAL UNITS BUY]]-INVESTORS_LIST[[#This Row],[SIP_TOTAL UNITS SOLD]])</f>
        <v>0</v>
      </c>
      <c r="O684" s="4">
        <f>IF(INVESTORS_LIST[[#This Row],[SIP_TOTAL UNITS BUY]]=0,0,SUMIFS(SIP[Amount],SIP[Investor ID],INVESTORS_LIST[[#This Row],[INVESTOR CODE]],SIP[B/S],"B"))</f>
        <v>0</v>
      </c>
      <c r="P684" s="4">
        <f>IF(INVESTORS_LIST[[#This Row],[SIP_TOTAL UNITS SOLD]]=0,0,SUMIFS(SIP[Cost of Units Sold],SIP[Investor ID],INVESTORS_LIST[[#This Row],[INVESTOR CODE]],SIP[B/S],"S"))</f>
        <v>0</v>
      </c>
      <c r="Q684" s="6">
        <f>IF(INVESTORS_LIST[[#This Row],[SIP_TOTAL CURRENT UNITS]]=0,0,INVESTORS_LIST[[#This Row],[SIP_TOTAL CURRENT UNITS]]*INVESTORS_LIST[[#This Row],[SIP_AVERAGE COST]])</f>
        <v>0</v>
      </c>
      <c r="R684" s="6">
        <f>IF(INVESTORS_LIST[[#This Row],[SIP_TOTAL UNITS SOLD]]=0,0,SUMIFS(SIP[Realized Gain],SIP[Investor ID],INVESTORS_LIST[[#This Row],[INVESTOR CODE]],SIP[B/S],"S"))</f>
        <v>0</v>
      </c>
      <c r="S684" s="33">
        <f>INVESTORS_LIST[[#This Row],[LS_TOTAL UNITS BUY]]+INVESTORS_LIST[[#This Row],[SIP_TOTAL UNITS BUY]]</f>
        <v>431</v>
      </c>
      <c r="T684" s="33">
        <f>INVESTORS_LIST[[#This Row],[LS_TOTAL UNITS SOLD]]+INVESTORS_LIST[[#This Row],[SIP_TOTAL UNITS SOLD]]</f>
        <v>0</v>
      </c>
      <c r="U684" s="33">
        <v>0</v>
      </c>
      <c r="V684" s="33">
        <f>SUMIFS(LS[BO UNIT TRANSFER],LS[Investor ID],INVESTORS_LIST[[#This Row],[INVESTOR CODE]],LS[B/S],"B")</f>
        <v>0</v>
      </c>
      <c r="W684" s="33">
        <f>SUMIFS(LS[BO UNIT TRANSFER],LS[Investor ID],INVESTORS_LIST[[#This Row],[INVESTOR CODE]],LS[B/S],"S")</f>
        <v>0</v>
      </c>
      <c r="X684" s="33">
        <f>SUMIFS(SIP[BO UNIT TRANSFER],SIP[Investor ID],INVESTORS_LIST[[#This Row],[INVESTOR CODE]],SIP[B/S],"S")</f>
        <v>0</v>
      </c>
      <c r="Y684" s="33">
        <f>SUMIFS(SIP[BO UNIT TRANSFER],SIP[Investor ID],INVESTORS_LIST[[#This Row],[INVESTOR CODE]],SIP[B/S],"B")</f>
        <v>0</v>
      </c>
      <c r="Z68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84" s="119">
        <f>INVESTORS_LIST[[#This Row],[TOTAL UNITS BUY]]-INVESTORS_LIST[[#This Row],[TOTAL UNITS SOLD]]</f>
        <v>431</v>
      </c>
      <c r="AB684" s="119">
        <f>INVESTORS_LIST[[#This Row],[TOTAL CURRENT UNITS]]-INVESTORS_LIST[[#This Row],[BO UNITS HOLD]]</f>
        <v>431</v>
      </c>
      <c r="AC684" s="119" t="e">
        <f>INDEX([4]!Table_1[BO ID],MATCH(INVESTORS_LIST[[#This Row],[INVESTOR CODE]],[4]!Table_1[INVESTOR CODE],0))</f>
        <v>#REF!</v>
      </c>
      <c r="AD684" s="33">
        <f>INVESTORS_LIST[[#This Row],[LS_TOTAL COST VALUE OF CURRENT UNITS]]+INVESTORS_LIST[[#This Row],[SIP_TOTAL COST VALUE OF CURRENT UNITS]]</f>
        <v>5147.0000000000009</v>
      </c>
      <c r="AE684" s="44">
        <f>IF(INVESTORS_LIST[[#This Row],[TOTAL CURRENT UNITS]]=0,0,INVESTORS_LIST[[#This Row],[LS_TOTAL CURRENT UNITS]]/INVESTORS_LIST[[#This Row],[TOTAL CURRENT UNITS]])</f>
        <v>1</v>
      </c>
      <c r="AF684" s="44">
        <f>IF(INVESTORS_LIST[[#This Row],[TOTAL CURRENT UNITS]]=0,0,INVESTORS_LIST[[#This Row],[SIP_TOTAL CURRENT UNITS]]/INVESTORS_LIST[[#This Row],[TOTAL CURRENT UNITS]])</f>
        <v>0</v>
      </c>
      <c r="AG684" s="4" cm="1">
        <f t="array" ref="AG684">IF(INVESTORS_LIST[[#This Row],[LS_TOTAL UNITS BUY]]&gt;0,INDEX(LS[NAV at Cost (Average)],MATCH(CONCATENATE(COUNTIFS(LS[Investor ID],INVESTORS_LIST[[#This Row],[INVESTOR CODE]]),INVESTORS_LIST[[#This Row],[INVESTOR CODE]]),LS[Unique Code],0),),0)</f>
        <v>11.941995359628772</v>
      </c>
      <c r="AH684" s="4" cm="1">
        <f t="array" ref="AH68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84" s="178">
        <f>IF(INVESTORS_LIST[[#This Row],[TOTAL CURRENT UNITS]]=0,0,(INVESTORS_LIST[[#This Row],[LS_WEIGHT]]*INVESTORS_LIST[[#This Row],[LS_AVERAGE COST]])+(INVESTORS_LIST[[#This Row],[SIP_WEIGHT]]*INVESTORS_LIST[[#This Row],[SIP_AVERAGE COST]]))</f>
        <v>11.941995359628772</v>
      </c>
      <c r="AJ684" s="178">
        <f t="shared" si="20"/>
        <v>12.552</v>
      </c>
      <c r="AK684" s="118">
        <f>IF(INVESTORS_LIST[[#This Row],[TOTAL CURRENT UNITS]]=0,0,INVESTORS_LIST[[#This Row],[TOTAL CURRENT UNITS]]*INVESTORS_LIST[[#This Row],[NAV]])</f>
        <v>5409.9120000000003</v>
      </c>
      <c r="AL684" s="4">
        <f>IF(INVESTORS_LIST[[#This Row],[LS_TOTAL CURRENT UNITS]]=0,0,INVESTORS_LIST[[#This Row],[LS_TOTAL CURRENT UNITS]]*INVESTORS_LIST[[#This Row],[NAV]])</f>
        <v>5409.9120000000003</v>
      </c>
      <c r="AM684" s="6">
        <f>IF(INVESTORS_LIST[[#This Row],[SIP_TOTAL CURRENT UNITS]]=0,0,INVESTORS_LIST[[#This Row],[SIP_TOTAL CURRENT UNITS]]*INVESTORS_LIST[[#This Row],[NAV]])</f>
        <v>0</v>
      </c>
      <c r="AO684" s="6">
        <f>IF(INVESTORS_LIST[[#This Row],[TOTAL SELLABLE UNITS]]=0,0,INVESTORS_LIST[[#This Row],[TOTAL SELLABLE UNITS]]*INVESTORS_LIST[[#This Row],[NAV]])</f>
        <v>0</v>
      </c>
      <c r="AP684" s="6">
        <f>INVESTORS_LIST[[#This Row],[LS_TOTAL REALIZED GAIN]]+INVESTORS_LIST[[#This Row],[SIP_TOTAL REALIZED GAIN]]</f>
        <v>0</v>
      </c>
      <c r="AQ684" s="6">
        <f>INVESTORS_LIST[[#This Row],[TOTAL MARKET VALUE]]-INVESTORS_LIST[[#This Row],[TOTAL COST VALUE OF CURRENT INVESTMENT]]</f>
        <v>262.91199999999935</v>
      </c>
      <c r="AR684" s="6">
        <f>SUMIFS(DivAndTax[Tax Amount],DivAndTax[Investor ID],INVESTORS_LIST[[#This Row],[INVESTOR CODE]])</f>
        <v>22.05</v>
      </c>
      <c r="AS684" s="6">
        <f>SUMIFS(DivAndTax[Gross Dividend],DivAndTax[Investor ID],INVESTORS_LIST[[#This Row],[INVESTOR CODE]])</f>
        <v>147</v>
      </c>
      <c r="AT684" s="5">
        <f>IFERROR(INVESTORS_LIST[[#This Row],[TOTAL CURRENT UNITS]]/SUM(INVESTORS_LIST[TOTAL CURRENT UNITS]),0)</f>
        <v>2.0664223909283771E-5</v>
      </c>
    </row>
    <row r="685" spans="1:46">
      <c r="A685" t="s">
        <v>141</v>
      </c>
      <c r="B685" t="s">
        <v>1556</v>
      </c>
      <c r="C685" t="s">
        <v>536</v>
      </c>
      <c r="D685" s="8" t="s">
        <v>2</v>
      </c>
      <c r="E685" s="2">
        <f>SUMIFS(LS[Unit],LS[Investor ID],INVESTORS_LIST[[#This Row],[INVESTOR CODE]],LS[B/S],"B")</f>
        <v>0</v>
      </c>
      <c r="F685" s="2">
        <f>-SUMIFS(LS[Unit],LS[Investor ID],INVESTORS_LIST[[#This Row],[INVESTOR CODE]],LS[B/S],"S")</f>
        <v>0</v>
      </c>
      <c r="G685" s="2">
        <f>IF(INVESTORS_LIST[[#This Row],[LS_TOTAL UNITS BUY]]=0,0,INVESTORS_LIST[[#This Row],[LS_TOTAL UNITS BUY]]-INVESTORS_LIST[[#This Row],[LS_TOTAL UNITS SOLD]])</f>
        <v>0</v>
      </c>
      <c r="H685" s="4">
        <f>IF(INVESTORS_LIST[[#This Row],[LS_TOTAL UNITS BUY]]=0,0,SUMIFS(LS[Amount],LS[Investor ID],INVESTORS_LIST[[#This Row],[INVESTOR CODE]],LS[B/S],"B"))</f>
        <v>0</v>
      </c>
      <c r="I685" s="6">
        <f>IF(INVESTORS_LIST[[#This Row],[LS_TOTAL UNITS SOLD]]=0,0,SUMIFS(LS[Cost of Units Sold],LS[Investor ID],INVESTORS_LIST[[#This Row],[INVESTOR CODE]],LS[B/S],"S"))</f>
        <v>0</v>
      </c>
      <c r="J685" s="6">
        <f>IF(INVESTORS_LIST[[#This Row],[LS_TOTAL CURRENT UNITS]]=0,0,INVESTORS_LIST[[#This Row],[LS_TOTAL CURRENT UNITS]]*INVESTORS_LIST[[#This Row],[LS_AVERAGE COST]])</f>
        <v>0</v>
      </c>
      <c r="K685" s="4">
        <f>IF(INVESTORS_LIST[[#This Row],[LS_TOTAL UNITS SOLD]]=0,0,SUMIFS(LS[Realized Gain],LS[Investor ID],INVESTORS_LIST[[#This Row],[INVESTOR CODE]],LS[B/S],"S"))</f>
        <v>0</v>
      </c>
      <c r="L685" s="2">
        <f>SUMIFS(SIP[Unit],SIP[Investor ID],INVESTORS_LIST[[#This Row],[INVESTOR CODE]],SIP[B/S],"B")</f>
        <v>11954</v>
      </c>
      <c r="M685" s="2">
        <f>-SUMIFS(SIP[Unit],SIP[Investor ID],INVESTORS_LIST[[#This Row],[INVESTOR CODE]],SIP[B/S],"S")</f>
        <v>0</v>
      </c>
      <c r="N685" s="33">
        <f>IF(INVESTORS_LIST[[#This Row],[SIP_TOTAL UNITS BUY]]=0,0,INVESTORS_LIST[[#This Row],[SIP_TOTAL UNITS BUY]]-INVESTORS_LIST[[#This Row],[SIP_TOTAL UNITS SOLD]])</f>
        <v>11954</v>
      </c>
      <c r="O685" s="4">
        <f>IF(INVESTORS_LIST[[#This Row],[SIP_TOTAL UNITS BUY]]=0,0,SUMIFS(SIP[Amount],SIP[Investor ID],INVESTORS_LIST[[#This Row],[INVESTOR CODE]],SIP[B/S],"B"))</f>
        <v>150000</v>
      </c>
      <c r="P685" s="4">
        <f>IF(INVESTORS_LIST[[#This Row],[SIP_TOTAL UNITS SOLD]]=0,0,SUMIFS(SIP[Cost of Units Sold],SIP[Investor ID],INVESTORS_LIST[[#This Row],[INVESTOR CODE]],SIP[B/S],"S"))</f>
        <v>0</v>
      </c>
      <c r="Q685" s="6">
        <f>IF(INVESTORS_LIST[[#This Row],[SIP_TOTAL CURRENT UNITS]]=0,0,INVESTORS_LIST[[#This Row],[SIP_TOTAL CURRENT UNITS]]*INVESTORS_LIST[[#This Row],[SIP_AVERAGE COST]])</f>
        <v>150000</v>
      </c>
      <c r="R685" s="6">
        <f>IF(INVESTORS_LIST[[#This Row],[SIP_TOTAL UNITS SOLD]]=0,0,SUMIFS(SIP[Realized Gain],SIP[Investor ID],INVESTORS_LIST[[#This Row],[INVESTOR CODE]],SIP[B/S],"S"))</f>
        <v>0</v>
      </c>
      <c r="S685" s="33">
        <f>INVESTORS_LIST[[#This Row],[LS_TOTAL UNITS BUY]]+INVESTORS_LIST[[#This Row],[SIP_TOTAL UNITS BUY]]</f>
        <v>11954</v>
      </c>
      <c r="T685" s="33">
        <f>INVESTORS_LIST[[#This Row],[LS_TOTAL UNITS SOLD]]+INVESTORS_LIST[[#This Row],[SIP_TOTAL UNITS SOLD]]</f>
        <v>0</v>
      </c>
      <c r="U685" s="33">
        <v>0</v>
      </c>
      <c r="V685" s="33">
        <f>SUMIFS(LS[BO UNIT TRANSFER],LS[Investor ID],INVESTORS_LIST[[#This Row],[INVESTOR CODE]],LS[B/S],"B")</f>
        <v>0</v>
      </c>
      <c r="W685" s="33">
        <f>SUMIFS(LS[BO UNIT TRANSFER],LS[Investor ID],INVESTORS_LIST[[#This Row],[INVESTOR CODE]],LS[B/S],"S")</f>
        <v>0</v>
      </c>
      <c r="X685" s="33">
        <f>SUMIFS(SIP[BO UNIT TRANSFER],SIP[Investor ID],INVESTORS_LIST[[#This Row],[INVESTOR CODE]],SIP[B/S],"S")</f>
        <v>0</v>
      </c>
      <c r="Y685" s="33">
        <f>SUMIFS(SIP[BO UNIT TRANSFER],SIP[Investor ID],INVESTORS_LIST[[#This Row],[INVESTOR CODE]],SIP[B/S],"B")</f>
        <v>0</v>
      </c>
      <c r="Z68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85" s="119">
        <f>INVESTORS_LIST[[#This Row],[TOTAL UNITS BUY]]-INVESTORS_LIST[[#This Row],[TOTAL UNITS SOLD]]</f>
        <v>11954</v>
      </c>
      <c r="AB685" s="119">
        <f>INVESTORS_LIST[[#This Row],[TOTAL CURRENT UNITS]]-INVESTORS_LIST[[#This Row],[BO UNITS HOLD]]</f>
        <v>11954</v>
      </c>
      <c r="AC685" s="119" t="e">
        <f>INDEX([4]!Table_1[BO ID],MATCH(INVESTORS_LIST[[#This Row],[INVESTOR CODE]],[4]!Table_1[INVESTOR CODE],0))</f>
        <v>#REF!</v>
      </c>
      <c r="AD685" s="33">
        <f>INVESTORS_LIST[[#This Row],[LS_TOTAL COST VALUE OF CURRENT UNITS]]+INVESTORS_LIST[[#This Row],[SIP_TOTAL COST VALUE OF CURRENT UNITS]]</f>
        <v>150000</v>
      </c>
      <c r="AE685" s="44">
        <f>IF(INVESTORS_LIST[[#This Row],[TOTAL CURRENT UNITS]]=0,0,INVESTORS_LIST[[#This Row],[LS_TOTAL CURRENT UNITS]]/INVESTORS_LIST[[#This Row],[TOTAL CURRENT UNITS]])</f>
        <v>0</v>
      </c>
      <c r="AF685" s="44">
        <f>IF(INVESTORS_LIST[[#This Row],[TOTAL CURRENT UNITS]]=0,0,INVESTORS_LIST[[#This Row],[SIP_TOTAL CURRENT UNITS]]/INVESTORS_LIST[[#This Row],[TOTAL CURRENT UNITS]])</f>
        <v>1</v>
      </c>
      <c r="AG685" s="4" cm="1">
        <f t="array" ref="AG68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85" s="4" cm="1">
        <f t="array" ref="AH685">IF(INVESTORS_LIST[[#This Row],[SIP_TOTAL UNITS BUY]]&gt;0,INDEX(SIP[NAV at Cost (Average)],MATCH(CONCATENATE(COUNTIFS(SIP[Investor ID],INVESTORS_LIST[[#This Row],[INVESTOR CODE]]),INVESTORS_LIST[[#This Row],[INVESTOR CODE]]),SIP[Unique Code],0),),0)</f>
        <v>12.548101054040488</v>
      </c>
      <c r="AI685" s="178">
        <f>IF(INVESTORS_LIST[[#This Row],[TOTAL CURRENT UNITS]]=0,0,(INVESTORS_LIST[[#This Row],[LS_WEIGHT]]*INVESTORS_LIST[[#This Row],[LS_AVERAGE COST]])+(INVESTORS_LIST[[#This Row],[SIP_WEIGHT]]*INVESTORS_LIST[[#This Row],[SIP_AVERAGE COST]]))</f>
        <v>12.548101054040488</v>
      </c>
      <c r="AJ685" s="178">
        <f t="shared" ref="AJ685:AJ694" si="21">NAV_MKT</f>
        <v>12.552</v>
      </c>
      <c r="AK685" s="118">
        <f>IF(INVESTORS_LIST[[#This Row],[TOTAL CURRENT UNITS]]=0,0,INVESTORS_LIST[[#This Row],[TOTAL CURRENT UNITS]]*INVESTORS_LIST[[#This Row],[NAV]])</f>
        <v>150046.60800000001</v>
      </c>
      <c r="AL685" s="4">
        <f>IF(INVESTORS_LIST[[#This Row],[LS_TOTAL CURRENT UNITS]]=0,0,INVESTORS_LIST[[#This Row],[LS_TOTAL CURRENT UNITS]]*INVESTORS_LIST[[#This Row],[NAV]])</f>
        <v>0</v>
      </c>
      <c r="AM685" s="6">
        <f>IF(INVESTORS_LIST[[#This Row],[SIP_TOTAL CURRENT UNITS]]=0,0,INVESTORS_LIST[[#This Row],[SIP_TOTAL CURRENT UNITS]]*INVESTORS_LIST[[#This Row],[NAV]])</f>
        <v>150046.60800000001</v>
      </c>
      <c r="AO685" s="6">
        <f>IF(INVESTORS_LIST[[#This Row],[TOTAL SELLABLE UNITS]]=0,0,INVESTORS_LIST[[#This Row],[TOTAL SELLABLE UNITS]]*INVESTORS_LIST[[#This Row],[NAV]])</f>
        <v>0</v>
      </c>
      <c r="AP685" s="6">
        <f>INVESTORS_LIST[[#This Row],[LS_TOTAL REALIZED GAIN]]+INVESTORS_LIST[[#This Row],[SIP_TOTAL REALIZED GAIN]]</f>
        <v>0</v>
      </c>
      <c r="AQ685" s="6">
        <f>INVESTORS_LIST[[#This Row],[TOTAL MARKET VALUE]]-INVESTORS_LIST[[#This Row],[TOTAL COST VALUE OF CURRENT INVESTMENT]]</f>
        <v>46.608000000007451</v>
      </c>
      <c r="AR685" s="6">
        <f>SUMIFS(DivAndTax[Tax Amount],DivAndTax[Investor ID],INVESTORS_LIST[[#This Row],[INVESTOR CODE]])</f>
        <v>0</v>
      </c>
      <c r="AS685" s="6">
        <f>SUMIFS(DivAndTax[Gross Dividend],DivAndTax[Investor ID],INVESTORS_LIST[[#This Row],[INVESTOR CODE]])</f>
        <v>0</v>
      </c>
      <c r="AT685" s="5">
        <f>IFERROR(INVESTORS_LIST[[#This Row],[TOTAL CURRENT UNITS]]/SUM(INVESTORS_LIST[TOTAL CURRENT UNITS]),0)</f>
        <v>5.731325582635225E-4</v>
      </c>
    </row>
    <row r="686" spans="1:46" hidden="1">
      <c r="A686" t="s">
        <v>1557</v>
      </c>
      <c r="B686" t="s">
        <v>1558</v>
      </c>
      <c r="C686" t="s">
        <v>536</v>
      </c>
      <c r="D686" s="8" t="s">
        <v>2</v>
      </c>
      <c r="E686" s="2">
        <f>SUMIFS(LS[Unit],LS[Investor ID],INVESTORS_LIST[[#This Row],[INVESTOR CODE]],LS[B/S],"B")</f>
        <v>0</v>
      </c>
      <c r="F686" s="2">
        <f>-SUMIFS(LS[Unit],LS[Investor ID],INVESTORS_LIST[[#This Row],[INVESTOR CODE]],LS[B/S],"S")</f>
        <v>0</v>
      </c>
      <c r="G686" s="2">
        <f>IF(INVESTORS_LIST[[#This Row],[LS_TOTAL UNITS BUY]]=0,0,INVESTORS_LIST[[#This Row],[LS_TOTAL UNITS BUY]]-INVESTORS_LIST[[#This Row],[LS_TOTAL UNITS SOLD]])</f>
        <v>0</v>
      </c>
      <c r="H686" s="4">
        <f>IF(INVESTORS_LIST[[#This Row],[LS_TOTAL UNITS BUY]]=0,0,SUMIFS(LS[Amount],LS[Investor ID],INVESTORS_LIST[[#This Row],[INVESTOR CODE]],LS[B/S],"B"))</f>
        <v>0</v>
      </c>
      <c r="I686" s="6">
        <f>IF(INVESTORS_LIST[[#This Row],[LS_TOTAL UNITS SOLD]]=0,0,SUMIFS(LS[Cost of Units Sold],LS[Investor ID],INVESTORS_LIST[[#This Row],[INVESTOR CODE]],LS[B/S],"S"))</f>
        <v>0</v>
      </c>
      <c r="J686" s="6">
        <f>IF(INVESTORS_LIST[[#This Row],[LS_TOTAL CURRENT UNITS]]=0,0,INVESTORS_LIST[[#This Row],[LS_TOTAL CURRENT UNITS]]*INVESTORS_LIST[[#This Row],[LS_AVERAGE COST]])</f>
        <v>0</v>
      </c>
      <c r="K686" s="4">
        <f>IF(INVESTORS_LIST[[#This Row],[LS_TOTAL UNITS SOLD]]=0,0,SUMIFS(LS[Realized Gain],LS[Investor ID],INVESTORS_LIST[[#This Row],[INVESTOR CODE]],LS[B/S],"S"))</f>
        <v>0</v>
      </c>
      <c r="L686" s="2">
        <f>SUMIFS(SIP[Unit],SIP[Investor ID],INVESTORS_LIST[[#This Row],[INVESTOR CODE]],SIP[B/S],"B")</f>
        <v>0</v>
      </c>
      <c r="M686" s="2">
        <f>-SUMIFS(SIP[Unit],SIP[Investor ID],INVESTORS_LIST[[#This Row],[INVESTOR CODE]],SIP[B/S],"S")</f>
        <v>0</v>
      </c>
      <c r="N686" s="33">
        <f>IF(INVESTORS_LIST[[#This Row],[SIP_TOTAL UNITS BUY]]=0,0,INVESTORS_LIST[[#This Row],[SIP_TOTAL UNITS BUY]]-INVESTORS_LIST[[#This Row],[SIP_TOTAL UNITS SOLD]])</f>
        <v>0</v>
      </c>
      <c r="O686" s="4">
        <f>IF(INVESTORS_LIST[[#This Row],[SIP_TOTAL UNITS BUY]]=0,0,SUMIFS(SIP[Amount],SIP[Investor ID],INVESTORS_LIST[[#This Row],[INVESTOR CODE]],SIP[B/S],"B"))</f>
        <v>0</v>
      </c>
      <c r="P686" s="4">
        <f>IF(INVESTORS_LIST[[#This Row],[SIP_TOTAL UNITS SOLD]]=0,0,SUMIFS(SIP[Cost of Units Sold],SIP[Investor ID],INVESTORS_LIST[[#This Row],[INVESTOR CODE]],SIP[B/S],"S"))</f>
        <v>0</v>
      </c>
      <c r="Q686" s="6">
        <f>IF(INVESTORS_LIST[[#This Row],[SIP_TOTAL CURRENT UNITS]]=0,0,INVESTORS_LIST[[#This Row],[SIP_TOTAL CURRENT UNITS]]*INVESTORS_LIST[[#This Row],[SIP_AVERAGE COST]])</f>
        <v>0</v>
      </c>
      <c r="R686" s="6">
        <f>IF(INVESTORS_LIST[[#This Row],[SIP_TOTAL UNITS SOLD]]=0,0,SUMIFS(SIP[Realized Gain],SIP[Investor ID],INVESTORS_LIST[[#This Row],[INVESTOR CODE]],SIP[B/S],"S"))</f>
        <v>0</v>
      </c>
      <c r="S686" s="33">
        <f>INVESTORS_LIST[[#This Row],[LS_TOTAL UNITS BUY]]+INVESTORS_LIST[[#This Row],[SIP_TOTAL UNITS BUY]]</f>
        <v>0</v>
      </c>
      <c r="T686" s="33">
        <f>INVESTORS_LIST[[#This Row],[LS_TOTAL UNITS SOLD]]+INVESTORS_LIST[[#This Row],[SIP_TOTAL UNITS SOLD]]</f>
        <v>0</v>
      </c>
      <c r="U686" s="33">
        <v>0</v>
      </c>
      <c r="V686" s="33">
        <f>SUMIFS(LS[BO UNIT TRANSFER],LS[Investor ID],INVESTORS_LIST[[#This Row],[INVESTOR CODE]],LS[B/S],"B")</f>
        <v>0</v>
      </c>
      <c r="W686" s="33">
        <f>SUMIFS(LS[BO UNIT TRANSFER],LS[Investor ID],INVESTORS_LIST[[#This Row],[INVESTOR CODE]],LS[B/S],"S")</f>
        <v>0</v>
      </c>
      <c r="X686" s="33">
        <f>SUMIFS(SIP[BO UNIT TRANSFER],SIP[Investor ID],INVESTORS_LIST[[#This Row],[INVESTOR CODE]],SIP[B/S],"S")</f>
        <v>0</v>
      </c>
      <c r="Y686" s="33">
        <f>SUMIFS(SIP[BO UNIT TRANSFER],SIP[Investor ID],INVESTORS_LIST[[#This Row],[INVESTOR CODE]],SIP[B/S],"B")</f>
        <v>0</v>
      </c>
      <c r="Z68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86" s="119">
        <f>INVESTORS_LIST[[#This Row],[TOTAL UNITS BUY]]-INVESTORS_LIST[[#This Row],[TOTAL UNITS SOLD]]</f>
        <v>0</v>
      </c>
      <c r="AB686" s="119">
        <f>INVESTORS_LIST[[#This Row],[TOTAL CURRENT UNITS]]-INVESTORS_LIST[[#This Row],[BO UNITS HOLD]]</f>
        <v>0</v>
      </c>
      <c r="AC686" s="119" t="e">
        <f>INDEX([4]!Table_1[BO ID],MATCH(INVESTORS_LIST[[#This Row],[INVESTOR CODE]],[4]!Table_1[INVESTOR CODE],0))</f>
        <v>#REF!</v>
      </c>
      <c r="AD686" s="33">
        <f>INVESTORS_LIST[[#This Row],[LS_TOTAL COST VALUE OF CURRENT UNITS]]+INVESTORS_LIST[[#This Row],[SIP_TOTAL COST VALUE OF CURRENT UNITS]]</f>
        <v>0</v>
      </c>
      <c r="AE686" s="44">
        <f>IF(INVESTORS_LIST[[#This Row],[TOTAL CURRENT UNITS]]=0,0,INVESTORS_LIST[[#This Row],[LS_TOTAL CURRENT UNITS]]/INVESTORS_LIST[[#This Row],[TOTAL CURRENT UNITS]])</f>
        <v>0</v>
      </c>
      <c r="AF686" s="44">
        <f>IF(INVESTORS_LIST[[#This Row],[TOTAL CURRENT UNITS]]=0,0,INVESTORS_LIST[[#This Row],[SIP_TOTAL CURRENT UNITS]]/INVESTORS_LIST[[#This Row],[TOTAL CURRENT UNITS]])</f>
        <v>0</v>
      </c>
      <c r="AG686" s="4" cm="1">
        <f t="array" ref="AG68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86" s="4" cm="1">
        <f t="array" ref="AH68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8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86" s="178">
        <f t="shared" si="21"/>
        <v>12.552</v>
      </c>
      <c r="AK686" s="118">
        <f>IF(INVESTORS_LIST[[#This Row],[TOTAL CURRENT UNITS]]=0,0,INVESTORS_LIST[[#This Row],[TOTAL CURRENT UNITS]]*INVESTORS_LIST[[#This Row],[NAV]])</f>
        <v>0</v>
      </c>
      <c r="AL686" s="4">
        <f>IF(INVESTORS_LIST[[#This Row],[LS_TOTAL CURRENT UNITS]]=0,0,INVESTORS_LIST[[#This Row],[LS_TOTAL CURRENT UNITS]]*INVESTORS_LIST[[#This Row],[NAV]])</f>
        <v>0</v>
      </c>
      <c r="AM686" s="6">
        <f>IF(INVESTORS_LIST[[#This Row],[SIP_TOTAL CURRENT UNITS]]=0,0,INVESTORS_LIST[[#This Row],[SIP_TOTAL CURRENT UNITS]]*INVESTORS_LIST[[#This Row],[NAV]])</f>
        <v>0</v>
      </c>
      <c r="AO686" s="6">
        <f>IF(INVESTORS_LIST[[#This Row],[TOTAL SELLABLE UNITS]]=0,0,INVESTORS_LIST[[#This Row],[TOTAL SELLABLE UNITS]]*INVESTORS_LIST[[#This Row],[NAV]])</f>
        <v>0</v>
      </c>
      <c r="AP686" s="6">
        <f>INVESTORS_LIST[[#This Row],[LS_TOTAL REALIZED GAIN]]+INVESTORS_LIST[[#This Row],[SIP_TOTAL REALIZED GAIN]]</f>
        <v>0</v>
      </c>
      <c r="AQ686" s="6">
        <f>INVESTORS_LIST[[#This Row],[TOTAL MARKET VALUE]]-INVESTORS_LIST[[#This Row],[TOTAL COST VALUE OF CURRENT INVESTMENT]]</f>
        <v>0</v>
      </c>
      <c r="AR686" s="6">
        <f>SUMIFS(DivAndTax[Tax Amount],DivAndTax[Investor ID],INVESTORS_LIST[[#This Row],[INVESTOR CODE]])</f>
        <v>0</v>
      </c>
      <c r="AS686" s="6">
        <f>SUMIFS(DivAndTax[Gross Dividend],DivAndTax[Investor ID],INVESTORS_LIST[[#This Row],[INVESTOR CODE]])</f>
        <v>0</v>
      </c>
      <c r="AT686" s="5">
        <f>IFERROR(INVESTORS_LIST[[#This Row],[TOTAL CURRENT UNITS]]/SUM(INVESTORS_LIST[TOTAL CURRENT UNITS]),0)</f>
        <v>0</v>
      </c>
    </row>
    <row r="687" spans="1:46" hidden="1">
      <c r="A687" t="s">
        <v>1557</v>
      </c>
      <c r="B687" t="s">
        <v>1559</v>
      </c>
      <c r="C687" t="s">
        <v>536</v>
      </c>
      <c r="D687" s="8" t="s">
        <v>2</v>
      </c>
      <c r="E687" s="2">
        <f>SUMIFS(LS[Unit],LS[Investor ID],INVESTORS_LIST[[#This Row],[INVESTOR CODE]],LS[B/S],"B")</f>
        <v>0</v>
      </c>
      <c r="F687" s="2">
        <f>-SUMIFS(LS[Unit],LS[Investor ID],INVESTORS_LIST[[#This Row],[INVESTOR CODE]],LS[B/S],"S")</f>
        <v>0</v>
      </c>
      <c r="G687" s="2">
        <f>IF(INVESTORS_LIST[[#This Row],[LS_TOTAL UNITS BUY]]=0,0,INVESTORS_LIST[[#This Row],[LS_TOTAL UNITS BUY]]-INVESTORS_LIST[[#This Row],[LS_TOTAL UNITS SOLD]])</f>
        <v>0</v>
      </c>
      <c r="H687" s="4">
        <f>IF(INVESTORS_LIST[[#This Row],[LS_TOTAL UNITS BUY]]=0,0,SUMIFS(LS[Amount],LS[Investor ID],INVESTORS_LIST[[#This Row],[INVESTOR CODE]],LS[B/S],"B"))</f>
        <v>0</v>
      </c>
      <c r="I687" s="6">
        <f>IF(INVESTORS_LIST[[#This Row],[LS_TOTAL UNITS SOLD]]=0,0,SUMIFS(LS[Cost of Units Sold],LS[Investor ID],INVESTORS_LIST[[#This Row],[INVESTOR CODE]],LS[B/S],"S"))</f>
        <v>0</v>
      </c>
      <c r="J687" s="6">
        <f>IF(INVESTORS_LIST[[#This Row],[LS_TOTAL CURRENT UNITS]]=0,0,INVESTORS_LIST[[#This Row],[LS_TOTAL CURRENT UNITS]]*INVESTORS_LIST[[#This Row],[LS_AVERAGE COST]])</f>
        <v>0</v>
      </c>
      <c r="K687" s="4">
        <f>IF(INVESTORS_LIST[[#This Row],[LS_TOTAL UNITS SOLD]]=0,0,SUMIFS(LS[Realized Gain],LS[Investor ID],INVESTORS_LIST[[#This Row],[INVESTOR CODE]],LS[B/S],"S"))</f>
        <v>0</v>
      </c>
      <c r="L687" s="2">
        <f>SUMIFS(SIP[Unit],SIP[Investor ID],INVESTORS_LIST[[#This Row],[INVESTOR CODE]],SIP[B/S],"B")</f>
        <v>0</v>
      </c>
      <c r="M687" s="2">
        <f>-SUMIFS(SIP[Unit],SIP[Investor ID],INVESTORS_LIST[[#This Row],[INVESTOR CODE]],SIP[B/S],"S")</f>
        <v>0</v>
      </c>
      <c r="N687" s="33">
        <f>IF(INVESTORS_LIST[[#This Row],[SIP_TOTAL UNITS BUY]]=0,0,INVESTORS_LIST[[#This Row],[SIP_TOTAL UNITS BUY]]-INVESTORS_LIST[[#This Row],[SIP_TOTAL UNITS SOLD]])</f>
        <v>0</v>
      </c>
      <c r="O687" s="4">
        <f>IF(INVESTORS_LIST[[#This Row],[SIP_TOTAL UNITS BUY]]=0,0,SUMIFS(SIP[Amount],SIP[Investor ID],INVESTORS_LIST[[#This Row],[INVESTOR CODE]],SIP[B/S],"B"))</f>
        <v>0</v>
      </c>
      <c r="P687" s="4">
        <f>IF(INVESTORS_LIST[[#This Row],[SIP_TOTAL UNITS SOLD]]=0,0,SUMIFS(SIP[Cost of Units Sold],SIP[Investor ID],INVESTORS_LIST[[#This Row],[INVESTOR CODE]],SIP[B/S],"S"))</f>
        <v>0</v>
      </c>
      <c r="Q687" s="6">
        <f>IF(INVESTORS_LIST[[#This Row],[SIP_TOTAL CURRENT UNITS]]=0,0,INVESTORS_LIST[[#This Row],[SIP_TOTAL CURRENT UNITS]]*INVESTORS_LIST[[#This Row],[SIP_AVERAGE COST]])</f>
        <v>0</v>
      </c>
      <c r="R687" s="6">
        <f>IF(INVESTORS_LIST[[#This Row],[SIP_TOTAL UNITS SOLD]]=0,0,SUMIFS(SIP[Realized Gain],SIP[Investor ID],INVESTORS_LIST[[#This Row],[INVESTOR CODE]],SIP[B/S],"S"))</f>
        <v>0</v>
      </c>
      <c r="S687" s="33">
        <f>INVESTORS_LIST[[#This Row],[LS_TOTAL UNITS BUY]]+INVESTORS_LIST[[#This Row],[SIP_TOTAL UNITS BUY]]</f>
        <v>0</v>
      </c>
      <c r="T687" s="33">
        <f>INVESTORS_LIST[[#This Row],[LS_TOTAL UNITS SOLD]]+INVESTORS_LIST[[#This Row],[SIP_TOTAL UNITS SOLD]]</f>
        <v>0</v>
      </c>
      <c r="U687" s="33">
        <v>0</v>
      </c>
      <c r="V687" s="33">
        <f>SUMIFS(LS[BO UNIT TRANSFER],LS[Investor ID],INVESTORS_LIST[[#This Row],[INVESTOR CODE]],LS[B/S],"B")</f>
        <v>0</v>
      </c>
      <c r="W687" s="33">
        <f>SUMIFS(LS[BO UNIT TRANSFER],LS[Investor ID],INVESTORS_LIST[[#This Row],[INVESTOR CODE]],LS[B/S],"S")</f>
        <v>0</v>
      </c>
      <c r="X687" s="33">
        <f>SUMIFS(SIP[BO UNIT TRANSFER],SIP[Investor ID],INVESTORS_LIST[[#This Row],[INVESTOR CODE]],SIP[B/S],"S")</f>
        <v>0</v>
      </c>
      <c r="Y687" s="33">
        <f>SUMIFS(SIP[BO UNIT TRANSFER],SIP[Investor ID],INVESTORS_LIST[[#This Row],[INVESTOR CODE]],SIP[B/S],"B")</f>
        <v>0</v>
      </c>
      <c r="Z68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87" s="119">
        <f>INVESTORS_LIST[[#This Row],[TOTAL UNITS BUY]]-INVESTORS_LIST[[#This Row],[TOTAL UNITS SOLD]]</f>
        <v>0</v>
      </c>
      <c r="AB687" s="119">
        <f>INVESTORS_LIST[[#This Row],[TOTAL CURRENT UNITS]]-INVESTORS_LIST[[#This Row],[BO UNITS HOLD]]</f>
        <v>0</v>
      </c>
      <c r="AC687" s="119" t="e">
        <f>INDEX([4]!Table_1[BO ID],MATCH(INVESTORS_LIST[[#This Row],[INVESTOR CODE]],[4]!Table_1[INVESTOR CODE],0))</f>
        <v>#REF!</v>
      </c>
      <c r="AD687" s="33">
        <f>INVESTORS_LIST[[#This Row],[LS_TOTAL COST VALUE OF CURRENT UNITS]]+INVESTORS_LIST[[#This Row],[SIP_TOTAL COST VALUE OF CURRENT UNITS]]</f>
        <v>0</v>
      </c>
      <c r="AE687" s="44">
        <f>IF(INVESTORS_LIST[[#This Row],[TOTAL CURRENT UNITS]]=0,0,INVESTORS_LIST[[#This Row],[LS_TOTAL CURRENT UNITS]]/INVESTORS_LIST[[#This Row],[TOTAL CURRENT UNITS]])</f>
        <v>0</v>
      </c>
      <c r="AF687" s="44">
        <f>IF(INVESTORS_LIST[[#This Row],[TOTAL CURRENT UNITS]]=0,0,INVESTORS_LIST[[#This Row],[SIP_TOTAL CURRENT UNITS]]/INVESTORS_LIST[[#This Row],[TOTAL CURRENT UNITS]])</f>
        <v>0</v>
      </c>
      <c r="AG687" s="4" cm="1">
        <f t="array" ref="AG68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87" s="4" cm="1">
        <f t="array" ref="AH68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8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87" s="178">
        <f t="shared" si="21"/>
        <v>12.552</v>
      </c>
      <c r="AK687" s="118">
        <f>IF(INVESTORS_LIST[[#This Row],[TOTAL CURRENT UNITS]]=0,0,INVESTORS_LIST[[#This Row],[TOTAL CURRENT UNITS]]*INVESTORS_LIST[[#This Row],[NAV]])</f>
        <v>0</v>
      </c>
      <c r="AL687" s="4">
        <f>IF(INVESTORS_LIST[[#This Row],[LS_TOTAL CURRENT UNITS]]=0,0,INVESTORS_LIST[[#This Row],[LS_TOTAL CURRENT UNITS]]*INVESTORS_LIST[[#This Row],[NAV]])</f>
        <v>0</v>
      </c>
      <c r="AM687" s="6">
        <f>IF(INVESTORS_LIST[[#This Row],[SIP_TOTAL CURRENT UNITS]]=0,0,INVESTORS_LIST[[#This Row],[SIP_TOTAL CURRENT UNITS]]*INVESTORS_LIST[[#This Row],[NAV]])</f>
        <v>0</v>
      </c>
      <c r="AO687" s="6">
        <f>IF(INVESTORS_LIST[[#This Row],[TOTAL SELLABLE UNITS]]=0,0,INVESTORS_LIST[[#This Row],[TOTAL SELLABLE UNITS]]*INVESTORS_LIST[[#This Row],[NAV]])</f>
        <v>0</v>
      </c>
      <c r="AP687" s="6">
        <f>INVESTORS_LIST[[#This Row],[LS_TOTAL REALIZED GAIN]]+INVESTORS_LIST[[#This Row],[SIP_TOTAL REALIZED GAIN]]</f>
        <v>0</v>
      </c>
      <c r="AQ687" s="6">
        <f>INVESTORS_LIST[[#This Row],[TOTAL MARKET VALUE]]-INVESTORS_LIST[[#This Row],[TOTAL COST VALUE OF CURRENT INVESTMENT]]</f>
        <v>0</v>
      </c>
      <c r="AR687" s="6">
        <f>SUMIFS(DivAndTax[Tax Amount],DivAndTax[Investor ID],INVESTORS_LIST[[#This Row],[INVESTOR CODE]])</f>
        <v>0</v>
      </c>
      <c r="AS687" s="6">
        <f>SUMIFS(DivAndTax[Gross Dividend],DivAndTax[Investor ID],INVESTORS_LIST[[#This Row],[INVESTOR CODE]])</f>
        <v>0</v>
      </c>
      <c r="AT687" s="5">
        <f>IFERROR(INVESTORS_LIST[[#This Row],[TOTAL CURRENT UNITS]]/SUM(INVESTORS_LIST[TOTAL CURRENT UNITS]),0)</f>
        <v>0</v>
      </c>
    </row>
    <row r="688" spans="1:46">
      <c r="A688" t="s">
        <v>1560</v>
      </c>
      <c r="B688" t="s">
        <v>1561</v>
      </c>
      <c r="C688" t="s">
        <v>536</v>
      </c>
      <c r="D688" s="8" t="s">
        <v>2</v>
      </c>
      <c r="E688" s="2">
        <f>SUMIFS(LS[Unit],LS[Investor ID],INVESTORS_LIST[[#This Row],[INVESTOR CODE]],LS[B/S],"B")</f>
        <v>3447</v>
      </c>
      <c r="F688" s="2">
        <f>-SUMIFS(LS[Unit],LS[Investor ID],INVESTORS_LIST[[#This Row],[INVESTOR CODE]],LS[B/S],"S")</f>
        <v>0</v>
      </c>
      <c r="G688" s="2">
        <f>IF(INVESTORS_LIST[[#This Row],[LS_TOTAL UNITS BUY]]=0,0,INVESTORS_LIST[[#This Row],[LS_TOTAL UNITS BUY]]-INVESTORS_LIST[[#This Row],[LS_TOTAL UNITS SOLD]])</f>
        <v>3447</v>
      </c>
      <c r="H688" s="4">
        <f>IF(INVESTORS_LIST[[#This Row],[LS_TOTAL UNITS BUY]]=0,0,SUMIFS(LS[Amount],LS[Investor ID],INVESTORS_LIST[[#This Row],[INVESTOR CODE]],LS[B/S],"B"))</f>
        <v>40000</v>
      </c>
      <c r="I688" s="6">
        <f>IF(INVESTORS_LIST[[#This Row],[LS_TOTAL UNITS SOLD]]=0,0,SUMIFS(LS[Cost of Units Sold],LS[Investor ID],INVESTORS_LIST[[#This Row],[INVESTOR CODE]],LS[B/S],"S"))</f>
        <v>0</v>
      </c>
      <c r="J688" s="6">
        <f>IF(INVESTORS_LIST[[#This Row],[LS_TOTAL CURRENT UNITS]]=0,0,INVESTORS_LIST[[#This Row],[LS_TOTAL CURRENT UNITS]]*INVESTORS_LIST[[#This Row],[LS_AVERAGE COST]])</f>
        <v>40000</v>
      </c>
      <c r="K688" s="4">
        <f>IF(INVESTORS_LIST[[#This Row],[LS_TOTAL UNITS SOLD]]=0,0,SUMIFS(LS[Realized Gain],LS[Investor ID],INVESTORS_LIST[[#This Row],[INVESTOR CODE]],LS[B/S],"S"))</f>
        <v>0</v>
      </c>
      <c r="L688" s="2">
        <f>SUMIFS(SIP[Unit],SIP[Investor ID],INVESTORS_LIST[[#This Row],[INVESTOR CODE]],SIP[B/S],"B")</f>
        <v>6332</v>
      </c>
      <c r="M688" s="2">
        <f>-SUMIFS(SIP[Unit],SIP[Investor ID],INVESTORS_LIST[[#This Row],[INVESTOR CODE]],SIP[B/S],"S")</f>
        <v>0</v>
      </c>
      <c r="N688" s="33">
        <f>IF(INVESTORS_LIST[[#This Row],[SIP_TOTAL UNITS BUY]]=0,0,INVESTORS_LIST[[#This Row],[SIP_TOTAL UNITS BUY]]-INVESTORS_LIST[[#This Row],[SIP_TOTAL UNITS SOLD]])</f>
        <v>6332</v>
      </c>
      <c r="O688" s="4">
        <f>IF(INVESTORS_LIST[[#This Row],[SIP_TOTAL UNITS BUY]]=0,0,SUMIFS(SIP[Amount],SIP[Investor ID],INVESTORS_LIST[[#This Row],[INVESTOR CODE]],SIP[B/S],"B"))</f>
        <v>80000</v>
      </c>
      <c r="P688" s="4">
        <f>IF(INVESTORS_LIST[[#This Row],[SIP_TOTAL UNITS SOLD]]=0,0,SUMIFS(SIP[Cost of Units Sold],SIP[Investor ID],INVESTORS_LIST[[#This Row],[INVESTOR CODE]],SIP[B/S],"S"))</f>
        <v>0</v>
      </c>
      <c r="Q688" s="6">
        <f>IF(INVESTORS_LIST[[#This Row],[SIP_TOTAL CURRENT UNITS]]=0,0,INVESTORS_LIST[[#This Row],[SIP_TOTAL CURRENT UNITS]]*INVESTORS_LIST[[#This Row],[SIP_AVERAGE COST]])</f>
        <v>80000</v>
      </c>
      <c r="R688" s="6">
        <f>IF(INVESTORS_LIST[[#This Row],[SIP_TOTAL UNITS SOLD]]=0,0,SUMIFS(SIP[Realized Gain],SIP[Investor ID],INVESTORS_LIST[[#This Row],[INVESTOR CODE]],SIP[B/S],"S"))</f>
        <v>0</v>
      </c>
      <c r="S688" s="33">
        <f>INVESTORS_LIST[[#This Row],[LS_TOTAL UNITS BUY]]+INVESTORS_LIST[[#This Row],[SIP_TOTAL UNITS BUY]]</f>
        <v>9779</v>
      </c>
      <c r="T688" s="33">
        <f>INVESTORS_LIST[[#This Row],[LS_TOTAL UNITS SOLD]]+INVESTORS_LIST[[#This Row],[SIP_TOTAL UNITS SOLD]]</f>
        <v>0</v>
      </c>
      <c r="U688" s="33">
        <v>0</v>
      </c>
      <c r="V688" s="33">
        <f>SUMIFS(LS[BO UNIT TRANSFER],LS[Investor ID],INVESTORS_LIST[[#This Row],[INVESTOR CODE]],LS[B/S],"B")</f>
        <v>0</v>
      </c>
      <c r="W688" s="33">
        <f>SUMIFS(LS[BO UNIT TRANSFER],LS[Investor ID],INVESTORS_LIST[[#This Row],[INVESTOR CODE]],LS[B/S],"S")</f>
        <v>0</v>
      </c>
      <c r="X688" s="33">
        <f>SUMIFS(SIP[BO UNIT TRANSFER],SIP[Investor ID],INVESTORS_LIST[[#This Row],[INVESTOR CODE]],SIP[B/S],"S")</f>
        <v>0</v>
      </c>
      <c r="Y688" s="33">
        <f>SUMIFS(SIP[BO UNIT TRANSFER],SIP[Investor ID],INVESTORS_LIST[[#This Row],[INVESTOR CODE]],SIP[B/S],"B")</f>
        <v>0</v>
      </c>
      <c r="Z68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88" s="119">
        <f>INVESTORS_LIST[[#This Row],[TOTAL UNITS BUY]]-INVESTORS_LIST[[#This Row],[TOTAL UNITS SOLD]]</f>
        <v>9779</v>
      </c>
      <c r="AB688" s="119">
        <f>INVESTORS_LIST[[#This Row],[TOTAL CURRENT UNITS]]-INVESTORS_LIST[[#This Row],[BO UNITS HOLD]]</f>
        <v>9779</v>
      </c>
      <c r="AC688" s="119" t="e">
        <f>INDEX([4]!Table_1[BO ID],MATCH(INVESTORS_LIST[[#This Row],[INVESTOR CODE]],[4]!Table_1[INVESTOR CODE],0))</f>
        <v>#REF!</v>
      </c>
      <c r="AD688" s="33">
        <f>INVESTORS_LIST[[#This Row],[LS_TOTAL COST VALUE OF CURRENT UNITS]]+INVESTORS_LIST[[#This Row],[SIP_TOTAL COST VALUE OF CURRENT UNITS]]</f>
        <v>120000</v>
      </c>
      <c r="AE688" s="44">
        <f>IF(INVESTORS_LIST[[#This Row],[TOTAL CURRENT UNITS]]=0,0,INVESTORS_LIST[[#This Row],[LS_TOTAL CURRENT UNITS]]/INVESTORS_LIST[[#This Row],[TOTAL CURRENT UNITS]])</f>
        <v>0.35249002965538401</v>
      </c>
      <c r="AF688" s="44">
        <f>IF(INVESTORS_LIST[[#This Row],[TOTAL CURRENT UNITS]]=0,0,INVESTORS_LIST[[#This Row],[SIP_TOTAL CURRENT UNITS]]/INVESTORS_LIST[[#This Row],[TOTAL CURRENT UNITS]])</f>
        <v>0.64750997034461599</v>
      </c>
      <c r="AG688" s="4" cm="1">
        <f t="array" ref="AG688">IF(INVESTORS_LIST[[#This Row],[LS_TOTAL UNITS BUY]]&gt;0,INDEX(LS[NAV at Cost (Average)],MATCH(CONCATENATE(COUNTIFS(LS[Investor ID],INVESTORS_LIST[[#This Row],[INVESTOR CODE]]),INVESTORS_LIST[[#This Row],[INVESTOR CODE]]),LS[Unique Code],0),),0)</f>
        <v>11.604293588627792</v>
      </c>
      <c r="AH688" s="4" cm="1">
        <f t="array" ref="AH688">IF(INVESTORS_LIST[[#This Row],[SIP_TOTAL UNITS BUY]]&gt;0,INDEX(SIP[NAV at Cost (Average)],MATCH(CONCATENATE(COUNTIFS(SIP[Investor ID],INVESTORS_LIST[[#This Row],[INVESTOR CODE]]),INVESTORS_LIST[[#This Row],[INVESTOR CODE]]),SIP[Unique Code],0),),0)</f>
        <v>12.634238787113077</v>
      </c>
      <c r="AI688" s="178">
        <f>IF(INVESTORS_LIST[[#This Row],[TOTAL CURRENT UNITS]]=0,0,(INVESTORS_LIST[[#This Row],[LS_WEIGHT]]*INVESTORS_LIST[[#This Row],[LS_AVERAGE COST]])+(INVESTORS_LIST[[#This Row],[SIP_WEIGHT]]*INVESTORS_LIST[[#This Row],[SIP_AVERAGE COST]]))</f>
        <v>12.271193373555578</v>
      </c>
      <c r="AJ688" s="178">
        <f t="shared" si="21"/>
        <v>12.552</v>
      </c>
      <c r="AK688" s="118">
        <f>IF(INVESTORS_LIST[[#This Row],[TOTAL CURRENT UNITS]]=0,0,INVESTORS_LIST[[#This Row],[TOTAL CURRENT UNITS]]*INVESTORS_LIST[[#This Row],[NAV]])</f>
        <v>122746.008</v>
      </c>
      <c r="AL688" s="4">
        <f>IF(INVESTORS_LIST[[#This Row],[LS_TOTAL CURRENT UNITS]]=0,0,INVESTORS_LIST[[#This Row],[LS_TOTAL CURRENT UNITS]]*INVESTORS_LIST[[#This Row],[NAV]])</f>
        <v>43266.743999999999</v>
      </c>
      <c r="AM688" s="6">
        <f>IF(INVESTORS_LIST[[#This Row],[SIP_TOTAL CURRENT UNITS]]=0,0,INVESTORS_LIST[[#This Row],[SIP_TOTAL CURRENT UNITS]]*INVESTORS_LIST[[#This Row],[NAV]])</f>
        <v>79479.263999999996</v>
      </c>
      <c r="AO688" s="6">
        <f>IF(INVESTORS_LIST[[#This Row],[TOTAL SELLABLE UNITS]]=0,0,INVESTORS_LIST[[#This Row],[TOTAL SELLABLE UNITS]]*INVESTORS_LIST[[#This Row],[NAV]])</f>
        <v>0</v>
      </c>
      <c r="AP688" s="6">
        <f>INVESTORS_LIST[[#This Row],[LS_TOTAL REALIZED GAIN]]+INVESTORS_LIST[[#This Row],[SIP_TOTAL REALIZED GAIN]]</f>
        <v>0</v>
      </c>
      <c r="AQ688" s="6">
        <f>INVESTORS_LIST[[#This Row],[TOTAL MARKET VALUE]]-INVESTORS_LIST[[#This Row],[TOTAL COST VALUE OF CURRENT INVESTMENT]]</f>
        <v>2746.0080000000016</v>
      </c>
      <c r="AR688" s="6">
        <f>SUMIFS(DivAndTax[Tax Amount],DivAndTax[Investor ID],INVESTORS_LIST[[#This Row],[INVESTOR CODE]])</f>
        <v>0</v>
      </c>
      <c r="AS688" s="6">
        <f>SUMIFS(DivAndTax[Gross Dividend],DivAndTax[Investor ID],INVESTORS_LIST[[#This Row],[INVESTOR CODE]])</f>
        <v>0</v>
      </c>
      <c r="AT688" s="5">
        <f>IFERROR(INVESTORS_LIST[[#This Row],[TOTAL CURRENT UNITS]]/SUM(INVESTORS_LIST[TOTAL CURRENT UNITS]),0)</f>
        <v>4.6885254201597677E-4</v>
      </c>
    </row>
    <row r="689" spans="1:46">
      <c r="A689" s="218" t="s">
        <v>1568</v>
      </c>
      <c r="B689" s="218" t="s">
        <v>1567</v>
      </c>
      <c r="C689" s="218" t="s">
        <v>536</v>
      </c>
      <c r="D689" s="219" t="s">
        <v>2</v>
      </c>
      <c r="E689" s="2">
        <f>SUMIFS(LS[Unit],LS[Investor ID],INVESTORS_LIST[[#This Row],[INVESTOR CODE]],LS[B/S],"B")</f>
        <v>0</v>
      </c>
      <c r="F689" s="2">
        <f>-SUMIFS(LS[Unit],LS[Investor ID],INVESTORS_LIST[[#This Row],[INVESTOR CODE]],LS[B/S],"S")</f>
        <v>0</v>
      </c>
      <c r="G689" s="2">
        <f>IF(INVESTORS_LIST[[#This Row],[LS_TOTAL UNITS BUY]]=0,0,INVESTORS_LIST[[#This Row],[LS_TOTAL UNITS BUY]]-INVESTORS_LIST[[#This Row],[LS_TOTAL UNITS SOLD]])</f>
        <v>0</v>
      </c>
      <c r="H689" s="4">
        <f>IF(INVESTORS_LIST[[#This Row],[LS_TOTAL UNITS BUY]]=0,0,SUMIFS(LS[Amount],LS[Investor ID],INVESTORS_LIST[[#This Row],[INVESTOR CODE]],LS[B/S],"B"))</f>
        <v>0</v>
      </c>
      <c r="I689" s="6">
        <f>IF(INVESTORS_LIST[[#This Row],[LS_TOTAL UNITS SOLD]]=0,0,SUMIFS(LS[Cost of Units Sold],LS[Investor ID],INVESTORS_LIST[[#This Row],[INVESTOR CODE]],LS[B/S],"S"))</f>
        <v>0</v>
      </c>
      <c r="J689" s="6">
        <f>IF(INVESTORS_LIST[[#This Row],[LS_TOTAL CURRENT UNITS]]=0,0,INVESTORS_LIST[[#This Row],[LS_TOTAL CURRENT UNITS]]*INVESTORS_LIST[[#This Row],[LS_AVERAGE COST]])</f>
        <v>0</v>
      </c>
      <c r="K689" s="4">
        <f>IF(INVESTORS_LIST[[#This Row],[LS_TOTAL UNITS SOLD]]=0,0,SUMIFS(LS[Realized Gain],LS[Investor ID],INVESTORS_LIST[[#This Row],[INVESTOR CODE]],LS[B/S],"S"))</f>
        <v>0</v>
      </c>
      <c r="L689" s="2">
        <f>SUMIFS(SIP[Unit],SIP[Investor ID],INVESTORS_LIST[[#This Row],[INVESTOR CODE]],SIP[B/S],"B")</f>
        <v>234</v>
      </c>
      <c r="M689" s="2">
        <f>-SUMIFS(SIP[Unit],SIP[Investor ID],INVESTORS_LIST[[#This Row],[INVESTOR CODE]],SIP[B/S],"S")</f>
        <v>0</v>
      </c>
      <c r="N689" s="33">
        <f>IF(INVESTORS_LIST[[#This Row],[SIP_TOTAL UNITS BUY]]=0,0,INVESTORS_LIST[[#This Row],[SIP_TOTAL UNITS BUY]]-INVESTORS_LIST[[#This Row],[SIP_TOTAL UNITS SOLD]])</f>
        <v>234</v>
      </c>
      <c r="O689" s="4">
        <f>IF(INVESTORS_LIST[[#This Row],[SIP_TOTAL UNITS BUY]]=0,0,SUMIFS(SIP[Amount],SIP[Investor ID],INVESTORS_LIST[[#This Row],[INVESTOR CODE]],SIP[B/S],"B"))</f>
        <v>3000</v>
      </c>
      <c r="P689" s="4">
        <f>IF(INVESTORS_LIST[[#This Row],[SIP_TOTAL UNITS SOLD]]=0,0,SUMIFS(SIP[Cost of Units Sold],SIP[Investor ID],INVESTORS_LIST[[#This Row],[INVESTOR CODE]],SIP[B/S],"S"))</f>
        <v>0</v>
      </c>
      <c r="Q689" s="6">
        <f>IF(INVESTORS_LIST[[#This Row],[SIP_TOTAL CURRENT UNITS]]=0,0,INVESTORS_LIST[[#This Row],[SIP_TOTAL CURRENT UNITS]]*INVESTORS_LIST[[#This Row],[SIP_AVERAGE COST]])</f>
        <v>3000</v>
      </c>
      <c r="R689" s="6">
        <f>IF(INVESTORS_LIST[[#This Row],[SIP_TOTAL UNITS SOLD]]=0,0,SUMIFS(SIP[Realized Gain],SIP[Investor ID],INVESTORS_LIST[[#This Row],[INVESTOR CODE]],SIP[B/S],"S"))</f>
        <v>0</v>
      </c>
      <c r="S689" s="33">
        <f>INVESTORS_LIST[[#This Row],[LS_TOTAL UNITS BUY]]+INVESTORS_LIST[[#This Row],[SIP_TOTAL UNITS BUY]]</f>
        <v>234</v>
      </c>
      <c r="T689" s="33">
        <f>INVESTORS_LIST[[#This Row],[LS_TOTAL UNITS SOLD]]+INVESTORS_LIST[[#This Row],[SIP_TOTAL UNITS SOLD]]</f>
        <v>0</v>
      </c>
      <c r="U689" s="33">
        <v>0</v>
      </c>
      <c r="V689" s="33">
        <f>SUMIFS(LS[BO UNIT TRANSFER],LS[Investor ID],INVESTORS_LIST[[#This Row],[INVESTOR CODE]],LS[B/S],"B")</f>
        <v>0</v>
      </c>
      <c r="W689" s="33">
        <f>SUMIFS(LS[BO UNIT TRANSFER],LS[Investor ID],INVESTORS_LIST[[#This Row],[INVESTOR CODE]],LS[B/S],"S")</f>
        <v>0</v>
      </c>
      <c r="X689" s="33">
        <f>SUMIFS(SIP[BO UNIT TRANSFER],SIP[Investor ID],INVESTORS_LIST[[#This Row],[INVESTOR CODE]],SIP[B/S],"S")</f>
        <v>0</v>
      </c>
      <c r="Y689" s="33">
        <f>SUMIFS(SIP[BO UNIT TRANSFER],SIP[Investor ID],INVESTORS_LIST[[#This Row],[INVESTOR CODE]],SIP[B/S],"B")</f>
        <v>163</v>
      </c>
      <c r="Z68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163</v>
      </c>
      <c r="AA689" s="119">
        <f>INVESTORS_LIST[[#This Row],[TOTAL UNITS BUY]]-INVESTORS_LIST[[#This Row],[TOTAL UNITS SOLD]]</f>
        <v>234</v>
      </c>
      <c r="AB689" s="119">
        <f>INVESTORS_LIST[[#This Row],[TOTAL CURRENT UNITS]]-INVESTORS_LIST[[#This Row],[BO UNITS HOLD]]</f>
        <v>71</v>
      </c>
      <c r="AC689" s="119" t="e">
        <f>INDEX([4]!Table_1[BO ID],MATCH(INVESTORS_LIST[[#This Row],[INVESTOR CODE]],[4]!Table_1[INVESTOR CODE],0))</f>
        <v>#REF!</v>
      </c>
      <c r="AD689" s="33">
        <f>INVESTORS_LIST[[#This Row],[LS_TOTAL COST VALUE OF CURRENT UNITS]]+INVESTORS_LIST[[#This Row],[SIP_TOTAL COST VALUE OF CURRENT UNITS]]</f>
        <v>3000</v>
      </c>
      <c r="AE689" s="44">
        <f>IF(INVESTORS_LIST[[#This Row],[TOTAL CURRENT UNITS]]=0,0,INVESTORS_LIST[[#This Row],[LS_TOTAL CURRENT UNITS]]/INVESTORS_LIST[[#This Row],[TOTAL CURRENT UNITS]])</f>
        <v>0</v>
      </c>
      <c r="AF689" s="44">
        <f>IF(INVESTORS_LIST[[#This Row],[TOTAL CURRENT UNITS]]=0,0,INVESTORS_LIST[[#This Row],[SIP_TOTAL CURRENT UNITS]]/INVESTORS_LIST[[#This Row],[TOTAL CURRENT UNITS]])</f>
        <v>1</v>
      </c>
      <c r="AG689" s="4" cm="1">
        <f t="array" ref="AG68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89" s="4" cm="1">
        <f t="array" ref="AH689">IF(INVESTORS_LIST[[#This Row],[SIP_TOTAL UNITS BUY]]&gt;0,INDEX(SIP[NAV at Cost (Average)],MATCH(CONCATENATE(COUNTIFS(SIP[Investor ID],INVESTORS_LIST[[#This Row],[INVESTOR CODE]]),INVESTORS_LIST[[#This Row],[INVESTOR CODE]]),SIP[Unique Code],0),),0)</f>
        <v>12.820512820512821</v>
      </c>
      <c r="AI689" s="178">
        <f>IF(INVESTORS_LIST[[#This Row],[TOTAL CURRENT UNITS]]=0,0,(INVESTORS_LIST[[#This Row],[LS_WEIGHT]]*INVESTORS_LIST[[#This Row],[LS_AVERAGE COST]])+(INVESTORS_LIST[[#This Row],[SIP_WEIGHT]]*INVESTORS_LIST[[#This Row],[SIP_AVERAGE COST]]))</f>
        <v>12.820512820512821</v>
      </c>
      <c r="AJ689" s="178">
        <f t="shared" si="21"/>
        <v>12.552</v>
      </c>
      <c r="AK689" s="118">
        <f>IF(INVESTORS_LIST[[#This Row],[TOTAL CURRENT UNITS]]=0,0,INVESTORS_LIST[[#This Row],[TOTAL CURRENT UNITS]]*INVESTORS_LIST[[#This Row],[NAV]])</f>
        <v>2937.1680000000001</v>
      </c>
      <c r="AL689" s="4">
        <f>IF(INVESTORS_LIST[[#This Row],[LS_TOTAL CURRENT UNITS]]=0,0,INVESTORS_LIST[[#This Row],[LS_TOTAL CURRENT UNITS]]*INVESTORS_LIST[[#This Row],[NAV]])</f>
        <v>0</v>
      </c>
      <c r="AM689" s="6">
        <f>IF(INVESTORS_LIST[[#This Row],[SIP_TOTAL CURRENT UNITS]]=0,0,INVESTORS_LIST[[#This Row],[SIP_TOTAL CURRENT UNITS]]*INVESTORS_LIST[[#This Row],[NAV]])</f>
        <v>2937.1680000000001</v>
      </c>
      <c r="AO689" s="6">
        <f>IF(INVESTORS_LIST[[#This Row],[TOTAL SELLABLE UNITS]]=0,0,INVESTORS_LIST[[#This Row],[TOTAL SELLABLE UNITS]]*INVESTORS_LIST[[#This Row],[NAV]])</f>
        <v>0</v>
      </c>
      <c r="AP689" s="6">
        <f>INVESTORS_LIST[[#This Row],[LS_TOTAL REALIZED GAIN]]+INVESTORS_LIST[[#This Row],[SIP_TOTAL REALIZED GAIN]]</f>
        <v>0</v>
      </c>
      <c r="AQ689" s="6">
        <f>INVESTORS_LIST[[#This Row],[TOTAL MARKET VALUE]]-INVESTORS_LIST[[#This Row],[TOTAL COST VALUE OF CURRENT INVESTMENT]]</f>
        <v>-62.83199999999988</v>
      </c>
      <c r="AR689" s="6">
        <f>SUMIFS(DivAndTax[Tax Amount],DivAndTax[Investor ID],INVESTORS_LIST[[#This Row],[INVESTOR CODE]])</f>
        <v>0</v>
      </c>
      <c r="AS689" s="6">
        <f>SUMIFS(DivAndTax[Gross Dividend],DivAndTax[Investor ID],INVESTORS_LIST[[#This Row],[INVESTOR CODE]])</f>
        <v>0</v>
      </c>
      <c r="AT689" s="5">
        <f>IFERROR(INVESTORS_LIST[[#This Row],[TOTAL CURRENT UNITS]]/SUM(INVESTORS_LIST[TOTAL CURRENT UNITS]),0)</f>
        <v>1.1219091403184228E-5</v>
      </c>
    </row>
    <row r="690" spans="1:46" hidden="1">
      <c r="A690" s="218" t="s">
        <v>1569</v>
      </c>
      <c r="B690" s="218" t="s">
        <v>1570</v>
      </c>
      <c r="C690" s="218" t="s">
        <v>537</v>
      </c>
      <c r="D690" s="219" t="s">
        <v>5</v>
      </c>
      <c r="E690" s="2">
        <f>SUMIFS(LS[Unit],LS[Investor ID],INVESTORS_LIST[[#This Row],[INVESTOR CODE]],LS[B/S],"B")</f>
        <v>0</v>
      </c>
      <c r="F690" s="2">
        <f>-SUMIFS(LS[Unit],LS[Investor ID],INVESTORS_LIST[[#This Row],[INVESTOR CODE]],LS[B/S],"S")</f>
        <v>0</v>
      </c>
      <c r="G690" s="2">
        <f>IF(INVESTORS_LIST[[#This Row],[LS_TOTAL UNITS BUY]]=0,0,INVESTORS_LIST[[#This Row],[LS_TOTAL UNITS BUY]]-INVESTORS_LIST[[#This Row],[LS_TOTAL UNITS SOLD]])</f>
        <v>0</v>
      </c>
      <c r="H690" s="4">
        <f>IF(INVESTORS_LIST[[#This Row],[LS_TOTAL UNITS BUY]]=0,0,SUMIFS(LS[Amount],LS[Investor ID],INVESTORS_LIST[[#This Row],[INVESTOR CODE]],LS[B/S],"B"))</f>
        <v>0</v>
      </c>
      <c r="I690" s="6">
        <f>IF(INVESTORS_LIST[[#This Row],[LS_TOTAL UNITS SOLD]]=0,0,SUMIFS(LS[Cost of Units Sold],LS[Investor ID],INVESTORS_LIST[[#This Row],[INVESTOR CODE]],LS[B/S],"S"))</f>
        <v>0</v>
      </c>
      <c r="J690" s="6">
        <f>IF(INVESTORS_LIST[[#This Row],[LS_TOTAL CURRENT UNITS]]=0,0,INVESTORS_LIST[[#This Row],[LS_TOTAL CURRENT UNITS]]*INVESTORS_LIST[[#This Row],[LS_AVERAGE COST]])</f>
        <v>0</v>
      </c>
      <c r="K690" s="4">
        <f>IF(INVESTORS_LIST[[#This Row],[LS_TOTAL UNITS SOLD]]=0,0,SUMIFS(LS[Realized Gain],LS[Investor ID],INVESTORS_LIST[[#This Row],[INVESTOR CODE]],LS[B/S],"S"))</f>
        <v>0</v>
      </c>
      <c r="L690" s="2">
        <f>SUMIFS(SIP[Unit],SIP[Investor ID],INVESTORS_LIST[[#This Row],[INVESTOR CODE]],SIP[B/S],"B")</f>
        <v>0</v>
      </c>
      <c r="M690" s="2">
        <f>-SUMIFS(SIP[Unit],SIP[Investor ID],INVESTORS_LIST[[#This Row],[INVESTOR CODE]],SIP[B/S],"S")</f>
        <v>0</v>
      </c>
      <c r="N690" s="33">
        <f>IF(INVESTORS_LIST[[#This Row],[SIP_TOTAL UNITS BUY]]=0,0,INVESTORS_LIST[[#This Row],[SIP_TOTAL UNITS BUY]]-INVESTORS_LIST[[#This Row],[SIP_TOTAL UNITS SOLD]])</f>
        <v>0</v>
      </c>
      <c r="O690" s="4">
        <f>IF(INVESTORS_LIST[[#This Row],[SIP_TOTAL UNITS BUY]]=0,0,SUMIFS(SIP[Amount],SIP[Investor ID],INVESTORS_LIST[[#This Row],[INVESTOR CODE]],SIP[B/S],"B"))</f>
        <v>0</v>
      </c>
      <c r="P690" s="4">
        <f>IF(INVESTORS_LIST[[#This Row],[SIP_TOTAL UNITS SOLD]]=0,0,SUMIFS(SIP[Cost of Units Sold],SIP[Investor ID],INVESTORS_LIST[[#This Row],[INVESTOR CODE]],SIP[B/S],"S"))</f>
        <v>0</v>
      </c>
      <c r="Q690" s="6">
        <f>IF(INVESTORS_LIST[[#This Row],[SIP_TOTAL CURRENT UNITS]]=0,0,INVESTORS_LIST[[#This Row],[SIP_TOTAL CURRENT UNITS]]*INVESTORS_LIST[[#This Row],[SIP_AVERAGE COST]])</f>
        <v>0</v>
      </c>
      <c r="R690" s="6">
        <f>IF(INVESTORS_LIST[[#This Row],[SIP_TOTAL UNITS SOLD]]=0,0,SUMIFS(SIP[Realized Gain],SIP[Investor ID],INVESTORS_LIST[[#This Row],[INVESTOR CODE]],SIP[B/S],"S"))</f>
        <v>0</v>
      </c>
      <c r="S690" s="33">
        <f>INVESTORS_LIST[[#This Row],[LS_TOTAL UNITS BUY]]+INVESTORS_LIST[[#This Row],[SIP_TOTAL UNITS BUY]]</f>
        <v>0</v>
      </c>
      <c r="T690" s="33">
        <f>INVESTORS_LIST[[#This Row],[LS_TOTAL UNITS SOLD]]+INVESTORS_LIST[[#This Row],[SIP_TOTAL UNITS SOLD]]</f>
        <v>0</v>
      </c>
      <c r="U690" s="33">
        <v>0</v>
      </c>
      <c r="V690" s="33">
        <f>SUMIFS(LS[BO UNIT TRANSFER],LS[Investor ID],INVESTORS_LIST[[#This Row],[INVESTOR CODE]],LS[B/S],"B")</f>
        <v>0</v>
      </c>
      <c r="W690" s="33">
        <f>SUMIFS(LS[BO UNIT TRANSFER],LS[Investor ID],INVESTORS_LIST[[#This Row],[INVESTOR CODE]],LS[B/S],"S")</f>
        <v>0</v>
      </c>
      <c r="X690" s="33">
        <f>SUMIFS(SIP[BO UNIT TRANSFER],SIP[Investor ID],INVESTORS_LIST[[#This Row],[INVESTOR CODE]],SIP[B/S],"S")</f>
        <v>0</v>
      </c>
      <c r="Y690" s="33">
        <f>SUMIFS(SIP[BO UNIT TRANSFER],SIP[Investor ID],INVESTORS_LIST[[#This Row],[INVESTOR CODE]],SIP[B/S],"B")</f>
        <v>0</v>
      </c>
      <c r="Z69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90" s="119">
        <f>INVESTORS_LIST[[#This Row],[TOTAL UNITS BUY]]-INVESTORS_LIST[[#This Row],[TOTAL UNITS SOLD]]</f>
        <v>0</v>
      </c>
      <c r="AB690" s="119">
        <f>INVESTORS_LIST[[#This Row],[TOTAL CURRENT UNITS]]-INVESTORS_LIST[[#This Row],[BO UNITS HOLD]]</f>
        <v>0</v>
      </c>
      <c r="AC690" s="119" t="e">
        <f>INDEX([4]!Table_1[BO ID],MATCH(INVESTORS_LIST[[#This Row],[INVESTOR CODE]],[4]!Table_1[INVESTOR CODE],0))</f>
        <v>#REF!</v>
      </c>
      <c r="AD690" s="33">
        <f>INVESTORS_LIST[[#This Row],[LS_TOTAL COST VALUE OF CURRENT UNITS]]+INVESTORS_LIST[[#This Row],[SIP_TOTAL COST VALUE OF CURRENT UNITS]]</f>
        <v>0</v>
      </c>
      <c r="AE690" s="44">
        <f>IF(INVESTORS_LIST[[#This Row],[TOTAL CURRENT UNITS]]=0,0,INVESTORS_LIST[[#This Row],[LS_TOTAL CURRENT UNITS]]/INVESTORS_LIST[[#This Row],[TOTAL CURRENT UNITS]])</f>
        <v>0</v>
      </c>
      <c r="AF690" s="44">
        <f>IF(INVESTORS_LIST[[#This Row],[TOTAL CURRENT UNITS]]=0,0,INVESTORS_LIST[[#This Row],[SIP_TOTAL CURRENT UNITS]]/INVESTORS_LIST[[#This Row],[TOTAL CURRENT UNITS]])</f>
        <v>0</v>
      </c>
      <c r="AG690" s="4" cm="1">
        <f t="array" ref="AG69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90" s="4" cm="1">
        <f t="array" ref="AH69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9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90" s="178">
        <f t="shared" si="21"/>
        <v>12.552</v>
      </c>
      <c r="AK690" s="118">
        <f>IF(INVESTORS_LIST[[#This Row],[TOTAL CURRENT UNITS]]=0,0,INVESTORS_LIST[[#This Row],[TOTAL CURRENT UNITS]]*INVESTORS_LIST[[#This Row],[NAV]])</f>
        <v>0</v>
      </c>
      <c r="AL690" s="4">
        <f>IF(INVESTORS_LIST[[#This Row],[LS_TOTAL CURRENT UNITS]]=0,0,INVESTORS_LIST[[#This Row],[LS_TOTAL CURRENT UNITS]]*INVESTORS_LIST[[#This Row],[NAV]])</f>
        <v>0</v>
      </c>
      <c r="AM690" s="6">
        <f>IF(INVESTORS_LIST[[#This Row],[SIP_TOTAL CURRENT UNITS]]=0,0,INVESTORS_LIST[[#This Row],[SIP_TOTAL CURRENT UNITS]]*INVESTORS_LIST[[#This Row],[NAV]])</f>
        <v>0</v>
      </c>
      <c r="AO690" s="6">
        <f>IF(INVESTORS_LIST[[#This Row],[TOTAL SELLABLE UNITS]]=0,0,INVESTORS_LIST[[#This Row],[TOTAL SELLABLE UNITS]]*INVESTORS_LIST[[#This Row],[NAV]])</f>
        <v>0</v>
      </c>
      <c r="AP690" s="6">
        <f>INVESTORS_LIST[[#This Row],[LS_TOTAL REALIZED GAIN]]+INVESTORS_LIST[[#This Row],[SIP_TOTAL REALIZED GAIN]]</f>
        <v>0</v>
      </c>
      <c r="AQ690" s="6">
        <f>INVESTORS_LIST[[#This Row],[TOTAL MARKET VALUE]]-INVESTORS_LIST[[#This Row],[TOTAL COST VALUE OF CURRENT INVESTMENT]]</f>
        <v>0</v>
      </c>
      <c r="AR690" s="6">
        <f>SUMIFS(DivAndTax[Tax Amount],DivAndTax[Investor ID],INVESTORS_LIST[[#This Row],[INVESTOR CODE]])</f>
        <v>0</v>
      </c>
      <c r="AS690" s="6">
        <f>SUMIFS(DivAndTax[Gross Dividend],DivAndTax[Investor ID],INVESTORS_LIST[[#This Row],[INVESTOR CODE]])</f>
        <v>0</v>
      </c>
      <c r="AT690" s="5">
        <f>IFERROR(INVESTORS_LIST[[#This Row],[TOTAL CURRENT UNITS]]/SUM(INVESTORS_LIST[TOTAL CURRENT UNITS]),0)</f>
        <v>0</v>
      </c>
    </row>
    <row r="691" spans="1:46" hidden="1">
      <c r="A691" s="218" t="s">
        <v>1571</v>
      </c>
      <c r="B691" s="218" t="s">
        <v>1572</v>
      </c>
      <c r="C691" s="218" t="s">
        <v>536</v>
      </c>
      <c r="D691" s="219" t="s">
        <v>2</v>
      </c>
      <c r="E691" s="2">
        <f>SUMIFS(LS[Unit],LS[Investor ID],INVESTORS_LIST[[#This Row],[INVESTOR CODE]],LS[B/S],"B")</f>
        <v>0</v>
      </c>
      <c r="F691" s="2">
        <f>-SUMIFS(LS[Unit],LS[Investor ID],INVESTORS_LIST[[#This Row],[INVESTOR CODE]],LS[B/S],"S")</f>
        <v>0</v>
      </c>
      <c r="G691" s="2">
        <f>IF(INVESTORS_LIST[[#This Row],[LS_TOTAL UNITS BUY]]=0,0,INVESTORS_LIST[[#This Row],[LS_TOTAL UNITS BUY]]-INVESTORS_LIST[[#This Row],[LS_TOTAL UNITS SOLD]])</f>
        <v>0</v>
      </c>
      <c r="H691" s="4">
        <f>IF(INVESTORS_LIST[[#This Row],[LS_TOTAL UNITS BUY]]=0,0,SUMIFS(LS[Amount],LS[Investor ID],INVESTORS_LIST[[#This Row],[INVESTOR CODE]],LS[B/S],"B"))</f>
        <v>0</v>
      </c>
      <c r="I691" s="6">
        <f>IF(INVESTORS_LIST[[#This Row],[LS_TOTAL UNITS SOLD]]=0,0,SUMIFS(LS[Cost of Units Sold],LS[Investor ID],INVESTORS_LIST[[#This Row],[INVESTOR CODE]],LS[B/S],"S"))</f>
        <v>0</v>
      </c>
      <c r="J691" s="6">
        <f>IF(INVESTORS_LIST[[#This Row],[LS_TOTAL CURRENT UNITS]]=0,0,INVESTORS_LIST[[#This Row],[LS_TOTAL CURRENT UNITS]]*INVESTORS_LIST[[#This Row],[LS_AVERAGE COST]])</f>
        <v>0</v>
      </c>
      <c r="K691" s="4">
        <f>IF(INVESTORS_LIST[[#This Row],[LS_TOTAL UNITS SOLD]]=0,0,SUMIFS(LS[Realized Gain],LS[Investor ID],INVESTORS_LIST[[#This Row],[INVESTOR CODE]],LS[B/S],"S"))</f>
        <v>0</v>
      </c>
      <c r="L691" s="2">
        <f>SUMIFS(SIP[Unit],SIP[Investor ID],INVESTORS_LIST[[#This Row],[INVESTOR CODE]],SIP[B/S],"B")</f>
        <v>0</v>
      </c>
      <c r="M691" s="2">
        <f>-SUMIFS(SIP[Unit],SIP[Investor ID],INVESTORS_LIST[[#This Row],[INVESTOR CODE]],SIP[B/S],"S")</f>
        <v>0</v>
      </c>
      <c r="N691" s="33">
        <f>IF(INVESTORS_LIST[[#This Row],[SIP_TOTAL UNITS BUY]]=0,0,INVESTORS_LIST[[#This Row],[SIP_TOTAL UNITS BUY]]-INVESTORS_LIST[[#This Row],[SIP_TOTAL UNITS SOLD]])</f>
        <v>0</v>
      </c>
      <c r="O691" s="4">
        <f>IF(INVESTORS_LIST[[#This Row],[SIP_TOTAL UNITS BUY]]=0,0,SUMIFS(SIP[Amount],SIP[Investor ID],INVESTORS_LIST[[#This Row],[INVESTOR CODE]],SIP[B/S],"B"))</f>
        <v>0</v>
      </c>
      <c r="P691" s="4">
        <f>IF(INVESTORS_LIST[[#This Row],[SIP_TOTAL UNITS SOLD]]=0,0,SUMIFS(SIP[Cost of Units Sold],SIP[Investor ID],INVESTORS_LIST[[#This Row],[INVESTOR CODE]],SIP[B/S],"S"))</f>
        <v>0</v>
      </c>
      <c r="Q691" s="6">
        <f>IF(INVESTORS_LIST[[#This Row],[SIP_TOTAL CURRENT UNITS]]=0,0,INVESTORS_LIST[[#This Row],[SIP_TOTAL CURRENT UNITS]]*INVESTORS_LIST[[#This Row],[SIP_AVERAGE COST]])</f>
        <v>0</v>
      </c>
      <c r="R691" s="6">
        <f>IF(INVESTORS_LIST[[#This Row],[SIP_TOTAL UNITS SOLD]]=0,0,SUMIFS(SIP[Realized Gain],SIP[Investor ID],INVESTORS_LIST[[#This Row],[INVESTOR CODE]],SIP[B/S],"S"))</f>
        <v>0</v>
      </c>
      <c r="S691" s="33">
        <f>INVESTORS_LIST[[#This Row],[LS_TOTAL UNITS BUY]]+INVESTORS_LIST[[#This Row],[SIP_TOTAL UNITS BUY]]</f>
        <v>0</v>
      </c>
      <c r="T691" s="33">
        <f>INVESTORS_LIST[[#This Row],[LS_TOTAL UNITS SOLD]]+INVESTORS_LIST[[#This Row],[SIP_TOTAL UNITS SOLD]]</f>
        <v>0</v>
      </c>
      <c r="U691" s="33">
        <v>0</v>
      </c>
      <c r="V691" s="33">
        <f>SUMIFS(LS[BO UNIT TRANSFER],LS[Investor ID],INVESTORS_LIST[[#This Row],[INVESTOR CODE]],LS[B/S],"B")</f>
        <v>0</v>
      </c>
      <c r="W691" s="33">
        <f>SUMIFS(LS[BO UNIT TRANSFER],LS[Investor ID],INVESTORS_LIST[[#This Row],[INVESTOR CODE]],LS[B/S],"S")</f>
        <v>0</v>
      </c>
      <c r="X691" s="33">
        <f>SUMIFS(SIP[BO UNIT TRANSFER],SIP[Investor ID],INVESTORS_LIST[[#This Row],[INVESTOR CODE]],SIP[B/S],"S")</f>
        <v>0</v>
      </c>
      <c r="Y691" s="33">
        <f>SUMIFS(SIP[BO UNIT TRANSFER],SIP[Investor ID],INVESTORS_LIST[[#This Row],[INVESTOR CODE]],SIP[B/S],"B")</f>
        <v>0</v>
      </c>
      <c r="Z69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91" s="119">
        <f>INVESTORS_LIST[[#This Row],[TOTAL UNITS BUY]]-INVESTORS_LIST[[#This Row],[TOTAL UNITS SOLD]]</f>
        <v>0</v>
      </c>
      <c r="AB691" s="119">
        <f>INVESTORS_LIST[[#This Row],[TOTAL CURRENT UNITS]]-INVESTORS_LIST[[#This Row],[BO UNITS HOLD]]</f>
        <v>0</v>
      </c>
      <c r="AC691" s="119" t="e">
        <f>INDEX([4]!Table_1[BO ID],MATCH(INVESTORS_LIST[[#This Row],[INVESTOR CODE]],[4]!Table_1[INVESTOR CODE],0))</f>
        <v>#REF!</v>
      </c>
      <c r="AD691" s="33">
        <f>INVESTORS_LIST[[#This Row],[LS_TOTAL COST VALUE OF CURRENT UNITS]]+INVESTORS_LIST[[#This Row],[SIP_TOTAL COST VALUE OF CURRENT UNITS]]</f>
        <v>0</v>
      </c>
      <c r="AE691" s="44">
        <f>IF(INVESTORS_LIST[[#This Row],[TOTAL CURRENT UNITS]]=0,0,INVESTORS_LIST[[#This Row],[LS_TOTAL CURRENT UNITS]]/INVESTORS_LIST[[#This Row],[TOTAL CURRENT UNITS]])</f>
        <v>0</v>
      </c>
      <c r="AF691" s="44">
        <f>IF(INVESTORS_LIST[[#This Row],[TOTAL CURRENT UNITS]]=0,0,INVESTORS_LIST[[#This Row],[SIP_TOTAL CURRENT UNITS]]/INVESTORS_LIST[[#This Row],[TOTAL CURRENT UNITS]])</f>
        <v>0</v>
      </c>
      <c r="AG691" s="4" cm="1">
        <f t="array" ref="AG69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91" s="4" cm="1">
        <f t="array" ref="AH69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9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91" s="178">
        <f t="shared" si="21"/>
        <v>12.552</v>
      </c>
      <c r="AK691" s="118">
        <f>IF(INVESTORS_LIST[[#This Row],[TOTAL CURRENT UNITS]]=0,0,INVESTORS_LIST[[#This Row],[TOTAL CURRENT UNITS]]*INVESTORS_LIST[[#This Row],[NAV]])</f>
        <v>0</v>
      </c>
      <c r="AL691" s="4">
        <f>IF(INVESTORS_LIST[[#This Row],[LS_TOTAL CURRENT UNITS]]=0,0,INVESTORS_LIST[[#This Row],[LS_TOTAL CURRENT UNITS]]*INVESTORS_LIST[[#This Row],[NAV]])</f>
        <v>0</v>
      </c>
      <c r="AM691" s="6">
        <f>IF(INVESTORS_LIST[[#This Row],[SIP_TOTAL CURRENT UNITS]]=0,0,INVESTORS_LIST[[#This Row],[SIP_TOTAL CURRENT UNITS]]*INVESTORS_LIST[[#This Row],[NAV]])</f>
        <v>0</v>
      </c>
      <c r="AO691" s="6">
        <f>IF(INVESTORS_LIST[[#This Row],[TOTAL SELLABLE UNITS]]=0,0,INVESTORS_LIST[[#This Row],[TOTAL SELLABLE UNITS]]*INVESTORS_LIST[[#This Row],[NAV]])</f>
        <v>0</v>
      </c>
      <c r="AP691" s="6">
        <f>INVESTORS_LIST[[#This Row],[LS_TOTAL REALIZED GAIN]]+INVESTORS_LIST[[#This Row],[SIP_TOTAL REALIZED GAIN]]</f>
        <v>0</v>
      </c>
      <c r="AQ691" s="6">
        <f>INVESTORS_LIST[[#This Row],[TOTAL MARKET VALUE]]-INVESTORS_LIST[[#This Row],[TOTAL COST VALUE OF CURRENT INVESTMENT]]</f>
        <v>0</v>
      </c>
      <c r="AR691" s="6">
        <f>SUMIFS(DivAndTax[Tax Amount],DivAndTax[Investor ID],INVESTORS_LIST[[#This Row],[INVESTOR CODE]])</f>
        <v>0</v>
      </c>
      <c r="AS691" s="6">
        <f>SUMIFS(DivAndTax[Gross Dividend],DivAndTax[Investor ID],INVESTORS_LIST[[#This Row],[INVESTOR CODE]])</f>
        <v>0</v>
      </c>
      <c r="AT691" s="5">
        <f>IFERROR(INVESTORS_LIST[[#This Row],[TOTAL CURRENT UNITS]]/SUM(INVESTORS_LIST[TOTAL CURRENT UNITS]),0)</f>
        <v>0</v>
      </c>
    </row>
    <row r="692" spans="1:46" hidden="1">
      <c r="A692" t="s">
        <v>1573</v>
      </c>
      <c r="B692" t="s">
        <v>1574</v>
      </c>
      <c r="C692" s="218" t="s">
        <v>536</v>
      </c>
      <c r="D692" s="219" t="s">
        <v>2</v>
      </c>
      <c r="E692" s="2">
        <f>SUMIFS(LS[Unit],LS[Investor ID],INVESTORS_LIST[[#This Row],[INVESTOR CODE]],LS[B/S],"B")</f>
        <v>0</v>
      </c>
      <c r="F692" s="2">
        <f>-SUMIFS(LS[Unit],LS[Investor ID],INVESTORS_LIST[[#This Row],[INVESTOR CODE]],LS[B/S],"S")</f>
        <v>0</v>
      </c>
      <c r="G692" s="2">
        <f>IF(INVESTORS_LIST[[#This Row],[LS_TOTAL UNITS BUY]]=0,0,INVESTORS_LIST[[#This Row],[LS_TOTAL UNITS BUY]]-INVESTORS_LIST[[#This Row],[LS_TOTAL UNITS SOLD]])</f>
        <v>0</v>
      </c>
      <c r="H692" s="4">
        <f>IF(INVESTORS_LIST[[#This Row],[LS_TOTAL UNITS BUY]]=0,0,SUMIFS(LS[Amount],LS[Investor ID],INVESTORS_LIST[[#This Row],[INVESTOR CODE]],LS[B/S],"B"))</f>
        <v>0</v>
      </c>
      <c r="I692" s="6">
        <f>IF(INVESTORS_LIST[[#This Row],[LS_TOTAL UNITS SOLD]]=0,0,SUMIFS(LS[Cost of Units Sold],LS[Investor ID],INVESTORS_LIST[[#This Row],[INVESTOR CODE]],LS[B/S],"S"))</f>
        <v>0</v>
      </c>
      <c r="J692" s="6">
        <f>IF(INVESTORS_LIST[[#This Row],[LS_TOTAL CURRENT UNITS]]=0,0,INVESTORS_LIST[[#This Row],[LS_TOTAL CURRENT UNITS]]*INVESTORS_LIST[[#This Row],[LS_AVERAGE COST]])</f>
        <v>0</v>
      </c>
      <c r="K692" s="4">
        <f>IF(INVESTORS_LIST[[#This Row],[LS_TOTAL UNITS SOLD]]=0,0,SUMIFS(LS[Realized Gain],LS[Investor ID],INVESTORS_LIST[[#This Row],[INVESTOR CODE]],LS[B/S],"S"))</f>
        <v>0</v>
      </c>
      <c r="L692" s="2">
        <f>SUMIFS(SIP[Unit],SIP[Investor ID],INVESTORS_LIST[[#This Row],[INVESTOR CODE]],SIP[B/S],"B")</f>
        <v>0</v>
      </c>
      <c r="M692" s="2">
        <f>-SUMIFS(SIP[Unit],SIP[Investor ID],INVESTORS_LIST[[#This Row],[INVESTOR CODE]],SIP[B/S],"S")</f>
        <v>0</v>
      </c>
      <c r="N692" s="33">
        <f>IF(INVESTORS_LIST[[#This Row],[SIP_TOTAL UNITS BUY]]=0,0,INVESTORS_LIST[[#This Row],[SIP_TOTAL UNITS BUY]]-INVESTORS_LIST[[#This Row],[SIP_TOTAL UNITS SOLD]])</f>
        <v>0</v>
      </c>
      <c r="O692" s="4">
        <f>IF(INVESTORS_LIST[[#This Row],[SIP_TOTAL UNITS BUY]]=0,0,SUMIFS(SIP[Amount],SIP[Investor ID],INVESTORS_LIST[[#This Row],[INVESTOR CODE]],SIP[B/S],"B"))</f>
        <v>0</v>
      </c>
      <c r="P692" s="4">
        <f>IF(INVESTORS_LIST[[#This Row],[SIP_TOTAL UNITS SOLD]]=0,0,SUMIFS(SIP[Cost of Units Sold],SIP[Investor ID],INVESTORS_LIST[[#This Row],[INVESTOR CODE]],SIP[B/S],"S"))</f>
        <v>0</v>
      </c>
      <c r="Q692" s="6">
        <f>IF(INVESTORS_LIST[[#This Row],[SIP_TOTAL CURRENT UNITS]]=0,0,INVESTORS_LIST[[#This Row],[SIP_TOTAL CURRENT UNITS]]*INVESTORS_LIST[[#This Row],[SIP_AVERAGE COST]])</f>
        <v>0</v>
      </c>
      <c r="R692" s="6">
        <f>IF(INVESTORS_LIST[[#This Row],[SIP_TOTAL UNITS SOLD]]=0,0,SUMIFS(SIP[Realized Gain],SIP[Investor ID],INVESTORS_LIST[[#This Row],[INVESTOR CODE]],SIP[B/S],"S"))</f>
        <v>0</v>
      </c>
      <c r="S692" s="33">
        <f>INVESTORS_LIST[[#This Row],[LS_TOTAL UNITS BUY]]+INVESTORS_LIST[[#This Row],[SIP_TOTAL UNITS BUY]]</f>
        <v>0</v>
      </c>
      <c r="T692" s="33">
        <f>INVESTORS_LIST[[#This Row],[LS_TOTAL UNITS SOLD]]+INVESTORS_LIST[[#This Row],[SIP_TOTAL UNITS SOLD]]</f>
        <v>0</v>
      </c>
      <c r="U692" s="33">
        <v>0</v>
      </c>
      <c r="V692" s="33">
        <f>SUMIFS(LS[BO UNIT TRANSFER],LS[Investor ID],INVESTORS_LIST[[#This Row],[INVESTOR CODE]],LS[B/S],"B")</f>
        <v>0</v>
      </c>
      <c r="W692" s="33">
        <f>SUMIFS(LS[BO UNIT TRANSFER],LS[Investor ID],INVESTORS_LIST[[#This Row],[INVESTOR CODE]],LS[B/S],"S")</f>
        <v>0</v>
      </c>
      <c r="X692" s="33">
        <f>SUMIFS(SIP[BO UNIT TRANSFER],SIP[Investor ID],INVESTORS_LIST[[#This Row],[INVESTOR CODE]],SIP[B/S],"S")</f>
        <v>0</v>
      </c>
      <c r="Y692" s="33">
        <f>SUMIFS(SIP[BO UNIT TRANSFER],SIP[Investor ID],INVESTORS_LIST[[#This Row],[INVESTOR CODE]],SIP[B/S],"B")</f>
        <v>0</v>
      </c>
      <c r="Z69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92" s="119">
        <f>INVESTORS_LIST[[#This Row],[TOTAL UNITS BUY]]-INVESTORS_LIST[[#This Row],[TOTAL UNITS SOLD]]</f>
        <v>0</v>
      </c>
      <c r="AB692" s="119">
        <f>INVESTORS_LIST[[#This Row],[TOTAL CURRENT UNITS]]-INVESTORS_LIST[[#This Row],[BO UNITS HOLD]]</f>
        <v>0</v>
      </c>
      <c r="AC692" s="119" t="e">
        <f>INDEX([4]!Table_1[BO ID],MATCH(INVESTORS_LIST[[#This Row],[INVESTOR CODE]],[4]!Table_1[INVESTOR CODE],0))</f>
        <v>#REF!</v>
      </c>
      <c r="AD692" s="33">
        <f>INVESTORS_LIST[[#This Row],[LS_TOTAL COST VALUE OF CURRENT UNITS]]+INVESTORS_LIST[[#This Row],[SIP_TOTAL COST VALUE OF CURRENT UNITS]]</f>
        <v>0</v>
      </c>
      <c r="AE692" s="44">
        <f>IF(INVESTORS_LIST[[#This Row],[TOTAL CURRENT UNITS]]=0,0,INVESTORS_LIST[[#This Row],[LS_TOTAL CURRENT UNITS]]/INVESTORS_LIST[[#This Row],[TOTAL CURRENT UNITS]])</f>
        <v>0</v>
      </c>
      <c r="AF692" s="44">
        <f>IF(INVESTORS_LIST[[#This Row],[TOTAL CURRENT UNITS]]=0,0,INVESTORS_LIST[[#This Row],[SIP_TOTAL CURRENT UNITS]]/INVESTORS_LIST[[#This Row],[TOTAL CURRENT UNITS]])</f>
        <v>0</v>
      </c>
      <c r="AG692" s="4" cm="1">
        <f t="array" ref="AG69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92" s="4" cm="1">
        <f t="array" ref="AH69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9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92" s="178">
        <f t="shared" si="21"/>
        <v>12.552</v>
      </c>
      <c r="AK692" s="118">
        <f>IF(INVESTORS_LIST[[#This Row],[TOTAL CURRENT UNITS]]=0,0,INVESTORS_LIST[[#This Row],[TOTAL CURRENT UNITS]]*INVESTORS_LIST[[#This Row],[NAV]])</f>
        <v>0</v>
      </c>
      <c r="AL692" s="4">
        <f>IF(INVESTORS_LIST[[#This Row],[LS_TOTAL CURRENT UNITS]]=0,0,INVESTORS_LIST[[#This Row],[LS_TOTAL CURRENT UNITS]]*INVESTORS_LIST[[#This Row],[NAV]])</f>
        <v>0</v>
      </c>
      <c r="AM692" s="6">
        <f>IF(INVESTORS_LIST[[#This Row],[SIP_TOTAL CURRENT UNITS]]=0,0,INVESTORS_LIST[[#This Row],[SIP_TOTAL CURRENT UNITS]]*INVESTORS_LIST[[#This Row],[NAV]])</f>
        <v>0</v>
      </c>
      <c r="AO692" s="6">
        <f>IF(INVESTORS_LIST[[#This Row],[TOTAL SELLABLE UNITS]]=0,0,INVESTORS_LIST[[#This Row],[TOTAL SELLABLE UNITS]]*INVESTORS_LIST[[#This Row],[NAV]])</f>
        <v>0</v>
      </c>
      <c r="AP692" s="6">
        <f>INVESTORS_LIST[[#This Row],[LS_TOTAL REALIZED GAIN]]+INVESTORS_LIST[[#This Row],[SIP_TOTAL REALIZED GAIN]]</f>
        <v>0</v>
      </c>
      <c r="AQ692" s="6">
        <f>INVESTORS_LIST[[#This Row],[TOTAL MARKET VALUE]]-INVESTORS_LIST[[#This Row],[TOTAL COST VALUE OF CURRENT INVESTMENT]]</f>
        <v>0</v>
      </c>
      <c r="AR692" s="6">
        <f>SUMIFS(DivAndTax[Tax Amount],DivAndTax[Investor ID],INVESTORS_LIST[[#This Row],[INVESTOR CODE]])</f>
        <v>0</v>
      </c>
      <c r="AS692" s="6">
        <f>SUMIFS(DivAndTax[Gross Dividend],DivAndTax[Investor ID],INVESTORS_LIST[[#This Row],[INVESTOR CODE]])</f>
        <v>0</v>
      </c>
      <c r="AT692" s="5">
        <f>IFERROR(INVESTORS_LIST[[#This Row],[TOTAL CURRENT UNITS]]/SUM(INVESTORS_LIST[TOTAL CURRENT UNITS]),0)</f>
        <v>0</v>
      </c>
    </row>
    <row r="693" spans="1:46" hidden="1">
      <c r="A693" t="s">
        <v>1575</v>
      </c>
      <c r="B693" t="s">
        <v>1576</v>
      </c>
      <c r="C693" s="218" t="s">
        <v>536</v>
      </c>
      <c r="D693" s="219" t="s">
        <v>2</v>
      </c>
      <c r="E693" s="2">
        <f>SUMIFS(LS[Unit],LS[Investor ID],INVESTORS_LIST[[#This Row],[INVESTOR CODE]],LS[B/S],"B")</f>
        <v>0</v>
      </c>
      <c r="F693" s="2">
        <f>-SUMIFS(LS[Unit],LS[Investor ID],INVESTORS_LIST[[#This Row],[INVESTOR CODE]],LS[B/S],"S")</f>
        <v>0</v>
      </c>
      <c r="G693" s="2">
        <f>IF(INVESTORS_LIST[[#This Row],[LS_TOTAL UNITS BUY]]=0,0,INVESTORS_LIST[[#This Row],[LS_TOTAL UNITS BUY]]-INVESTORS_LIST[[#This Row],[LS_TOTAL UNITS SOLD]])</f>
        <v>0</v>
      </c>
      <c r="H693" s="4">
        <f>IF(INVESTORS_LIST[[#This Row],[LS_TOTAL UNITS BUY]]=0,0,SUMIFS(LS[Amount],LS[Investor ID],INVESTORS_LIST[[#This Row],[INVESTOR CODE]],LS[B/S],"B"))</f>
        <v>0</v>
      </c>
      <c r="I693" s="6">
        <f>IF(INVESTORS_LIST[[#This Row],[LS_TOTAL UNITS SOLD]]=0,0,SUMIFS(LS[Cost of Units Sold],LS[Investor ID],INVESTORS_LIST[[#This Row],[INVESTOR CODE]],LS[B/S],"S"))</f>
        <v>0</v>
      </c>
      <c r="J693" s="6">
        <f>IF(INVESTORS_LIST[[#This Row],[LS_TOTAL CURRENT UNITS]]=0,0,INVESTORS_LIST[[#This Row],[LS_TOTAL CURRENT UNITS]]*INVESTORS_LIST[[#This Row],[LS_AVERAGE COST]])</f>
        <v>0</v>
      </c>
      <c r="K693" s="4">
        <f>IF(INVESTORS_LIST[[#This Row],[LS_TOTAL UNITS SOLD]]=0,0,SUMIFS(LS[Realized Gain],LS[Investor ID],INVESTORS_LIST[[#This Row],[INVESTOR CODE]],LS[B/S],"S"))</f>
        <v>0</v>
      </c>
      <c r="L693" s="2">
        <f>SUMIFS(SIP[Unit],SIP[Investor ID],INVESTORS_LIST[[#This Row],[INVESTOR CODE]],SIP[B/S],"B")</f>
        <v>0</v>
      </c>
      <c r="M693" s="2">
        <f>-SUMIFS(SIP[Unit],SIP[Investor ID],INVESTORS_LIST[[#This Row],[INVESTOR CODE]],SIP[B/S],"S")</f>
        <v>0</v>
      </c>
      <c r="N693" s="33">
        <f>IF(INVESTORS_LIST[[#This Row],[SIP_TOTAL UNITS BUY]]=0,0,INVESTORS_LIST[[#This Row],[SIP_TOTAL UNITS BUY]]-INVESTORS_LIST[[#This Row],[SIP_TOTAL UNITS SOLD]])</f>
        <v>0</v>
      </c>
      <c r="O693" s="4">
        <f>IF(INVESTORS_LIST[[#This Row],[SIP_TOTAL UNITS BUY]]=0,0,SUMIFS(SIP[Amount],SIP[Investor ID],INVESTORS_LIST[[#This Row],[INVESTOR CODE]],SIP[B/S],"B"))</f>
        <v>0</v>
      </c>
      <c r="P693" s="4">
        <f>IF(INVESTORS_LIST[[#This Row],[SIP_TOTAL UNITS SOLD]]=0,0,SUMIFS(SIP[Cost of Units Sold],SIP[Investor ID],INVESTORS_LIST[[#This Row],[INVESTOR CODE]],SIP[B/S],"S"))</f>
        <v>0</v>
      </c>
      <c r="Q693" s="6">
        <f>IF(INVESTORS_LIST[[#This Row],[SIP_TOTAL CURRENT UNITS]]=0,0,INVESTORS_LIST[[#This Row],[SIP_TOTAL CURRENT UNITS]]*INVESTORS_LIST[[#This Row],[SIP_AVERAGE COST]])</f>
        <v>0</v>
      </c>
      <c r="R693" s="6">
        <f>IF(INVESTORS_LIST[[#This Row],[SIP_TOTAL UNITS SOLD]]=0,0,SUMIFS(SIP[Realized Gain],SIP[Investor ID],INVESTORS_LIST[[#This Row],[INVESTOR CODE]],SIP[B/S],"S"))</f>
        <v>0</v>
      </c>
      <c r="S693" s="33">
        <f>INVESTORS_LIST[[#This Row],[LS_TOTAL UNITS BUY]]+INVESTORS_LIST[[#This Row],[SIP_TOTAL UNITS BUY]]</f>
        <v>0</v>
      </c>
      <c r="T693" s="33">
        <f>INVESTORS_LIST[[#This Row],[LS_TOTAL UNITS SOLD]]+INVESTORS_LIST[[#This Row],[SIP_TOTAL UNITS SOLD]]</f>
        <v>0</v>
      </c>
      <c r="U693" s="33">
        <v>0</v>
      </c>
      <c r="V693" s="33">
        <f>SUMIFS(LS[BO UNIT TRANSFER],LS[Investor ID],INVESTORS_LIST[[#This Row],[INVESTOR CODE]],LS[B/S],"B")</f>
        <v>0</v>
      </c>
      <c r="W693" s="33">
        <f>SUMIFS(LS[BO UNIT TRANSFER],LS[Investor ID],INVESTORS_LIST[[#This Row],[INVESTOR CODE]],LS[B/S],"S")</f>
        <v>0</v>
      </c>
      <c r="X693" s="33">
        <f>SUMIFS(SIP[BO UNIT TRANSFER],SIP[Investor ID],INVESTORS_LIST[[#This Row],[INVESTOR CODE]],SIP[B/S],"S")</f>
        <v>0</v>
      </c>
      <c r="Y693" s="33">
        <f>SUMIFS(SIP[BO UNIT TRANSFER],SIP[Investor ID],INVESTORS_LIST[[#This Row],[INVESTOR CODE]],SIP[B/S],"B")</f>
        <v>0</v>
      </c>
      <c r="Z69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93" s="119">
        <f>INVESTORS_LIST[[#This Row],[TOTAL UNITS BUY]]-INVESTORS_LIST[[#This Row],[TOTAL UNITS SOLD]]</f>
        <v>0</v>
      </c>
      <c r="AB693" s="119">
        <f>INVESTORS_LIST[[#This Row],[TOTAL CURRENT UNITS]]-INVESTORS_LIST[[#This Row],[BO UNITS HOLD]]</f>
        <v>0</v>
      </c>
      <c r="AC693" s="119" t="e">
        <f>INDEX([4]!Table_1[BO ID],MATCH(INVESTORS_LIST[[#This Row],[INVESTOR CODE]],[4]!Table_1[INVESTOR CODE],0))</f>
        <v>#REF!</v>
      </c>
      <c r="AD693" s="33">
        <f>INVESTORS_LIST[[#This Row],[LS_TOTAL COST VALUE OF CURRENT UNITS]]+INVESTORS_LIST[[#This Row],[SIP_TOTAL COST VALUE OF CURRENT UNITS]]</f>
        <v>0</v>
      </c>
      <c r="AE693" s="44">
        <f>IF(INVESTORS_LIST[[#This Row],[TOTAL CURRENT UNITS]]=0,0,INVESTORS_LIST[[#This Row],[LS_TOTAL CURRENT UNITS]]/INVESTORS_LIST[[#This Row],[TOTAL CURRENT UNITS]])</f>
        <v>0</v>
      </c>
      <c r="AF693" s="44">
        <f>IF(INVESTORS_LIST[[#This Row],[TOTAL CURRENT UNITS]]=0,0,INVESTORS_LIST[[#This Row],[SIP_TOTAL CURRENT UNITS]]/INVESTORS_LIST[[#This Row],[TOTAL CURRENT UNITS]])</f>
        <v>0</v>
      </c>
      <c r="AG693" s="4" cm="1">
        <f t="array" ref="AG69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93" s="4" cm="1">
        <f t="array" ref="AH69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9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93" s="178">
        <f t="shared" si="21"/>
        <v>12.552</v>
      </c>
      <c r="AK693" s="118">
        <f>IF(INVESTORS_LIST[[#This Row],[TOTAL CURRENT UNITS]]=0,0,INVESTORS_LIST[[#This Row],[TOTAL CURRENT UNITS]]*INVESTORS_LIST[[#This Row],[NAV]])</f>
        <v>0</v>
      </c>
      <c r="AL693" s="4">
        <f>IF(INVESTORS_LIST[[#This Row],[LS_TOTAL CURRENT UNITS]]=0,0,INVESTORS_LIST[[#This Row],[LS_TOTAL CURRENT UNITS]]*INVESTORS_LIST[[#This Row],[NAV]])</f>
        <v>0</v>
      </c>
      <c r="AM693" s="6">
        <f>IF(INVESTORS_LIST[[#This Row],[SIP_TOTAL CURRENT UNITS]]=0,0,INVESTORS_LIST[[#This Row],[SIP_TOTAL CURRENT UNITS]]*INVESTORS_LIST[[#This Row],[NAV]])</f>
        <v>0</v>
      </c>
      <c r="AO693" s="6">
        <f>IF(INVESTORS_LIST[[#This Row],[TOTAL SELLABLE UNITS]]=0,0,INVESTORS_LIST[[#This Row],[TOTAL SELLABLE UNITS]]*INVESTORS_LIST[[#This Row],[NAV]])</f>
        <v>0</v>
      </c>
      <c r="AP693" s="6">
        <f>INVESTORS_LIST[[#This Row],[LS_TOTAL REALIZED GAIN]]+INVESTORS_LIST[[#This Row],[SIP_TOTAL REALIZED GAIN]]</f>
        <v>0</v>
      </c>
      <c r="AQ693" s="6">
        <f>INVESTORS_LIST[[#This Row],[TOTAL MARKET VALUE]]-INVESTORS_LIST[[#This Row],[TOTAL COST VALUE OF CURRENT INVESTMENT]]</f>
        <v>0</v>
      </c>
      <c r="AR693" s="6">
        <f>SUMIFS(DivAndTax[Tax Amount],DivAndTax[Investor ID],INVESTORS_LIST[[#This Row],[INVESTOR CODE]])</f>
        <v>0</v>
      </c>
      <c r="AS693" s="6">
        <f>SUMIFS(DivAndTax[Gross Dividend],DivAndTax[Investor ID],INVESTORS_LIST[[#This Row],[INVESTOR CODE]])</f>
        <v>0</v>
      </c>
      <c r="AT693" s="5">
        <f>IFERROR(INVESTORS_LIST[[#This Row],[TOTAL CURRENT UNITS]]/SUM(INVESTORS_LIST[TOTAL CURRENT UNITS]),0)</f>
        <v>0</v>
      </c>
    </row>
    <row r="694" spans="1:46" hidden="1">
      <c r="A694" s="182" t="s">
        <v>1577</v>
      </c>
      <c r="B694" t="s">
        <v>1578</v>
      </c>
      <c r="C694" s="218" t="s">
        <v>536</v>
      </c>
      <c r="D694" s="219" t="s">
        <v>2</v>
      </c>
      <c r="E694" s="2">
        <f>SUMIFS(LS[Unit],LS[Investor ID],INVESTORS_LIST[[#This Row],[INVESTOR CODE]],LS[B/S],"B")</f>
        <v>0</v>
      </c>
      <c r="F694" s="2">
        <f>-SUMIFS(LS[Unit],LS[Investor ID],INVESTORS_LIST[[#This Row],[INVESTOR CODE]],LS[B/S],"S")</f>
        <v>0</v>
      </c>
      <c r="G694" s="2">
        <f>IF(INVESTORS_LIST[[#This Row],[LS_TOTAL UNITS BUY]]=0,0,INVESTORS_LIST[[#This Row],[LS_TOTAL UNITS BUY]]-INVESTORS_LIST[[#This Row],[LS_TOTAL UNITS SOLD]])</f>
        <v>0</v>
      </c>
      <c r="H694" s="4">
        <f>IF(INVESTORS_LIST[[#This Row],[LS_TOTAL UNITS BUY]]=0,0,SUMIFS(LS[Amount],LS[Investor ID],INVESTORS_LIST[[#This Row],[INVESTOR CODE]],LS[B/S],"B"))</f>
        <v>0</v>
      </c>
      <c r="I694" s="6">
        <f>IF(INVESTORS_LIST[[#This Row],[LS_TOTAL UNITS SOLD]]=0,0,SUMIFS(LS[Cost of Units Sold],LS[Investor ID],INVESTORS_LIST[[#This Row],[INVESTOR CODE]],LS[B/S],"S"))</f>
        <v>0</v>
      </c>
      <c r="J694" s="6">
        <f>IF(INVESTORS_LIST[[#This Row],[LS_TOTAL CURRENT UNITS]]=0,0,INVESTORS_LIST[[#This Row],[LS_TOTAL CURRENT UNITS]]*INVESTORS_LIST[[#This Row],[LS_AVERAGE COST]])</f>
        <v>0</v>
      </c>
      <c r="K694" s="4">
        <f>IF(INVESTORS_LIST[[#This Row],[LS_TOTAL UNITS SOLD]]=0,0,SUMIFS(LS[Realized Gain],LS[Investor ID],INVESTORS_LIST[[#This Row],[INVESTOR CODE]],LS[B/S],"S"))</f>
        <v>0</v>
      </c>
      <c r="L694" s="2">
        <f>SUMIFS(SIP[Unit],SIP[Investor ID],INVESTORS_LIST[[#This Row],[INVESTOR CODE]],SIP[B/S],"B")</f>
        <v>0</v>
      </c>
      <c r="M694" s="2">
        <f>-SUMIFS(SIP[Unit],SIP[Investor ID],INVESTORS_LIST[[#This Row],[INVESTOR CODE]],SIP[B/S],"S")</f>
        <v>0</v>
      </c>
      <c r="N694" s="33">
        <f>IF(INVESTORS_LIST[[#This Row],[SIP_TOTAL UNITS BUY]]=0,0,INVESTORS_LIST[[#This Row],[SIP_TOTAL UNITS BUY]]-INVESTORS_LIST[[#This Row],[SIP_TOTAL UNITS SOLD]])</f>
        <v>0</v>
      </c>
      <c r="O694" s="4">
        <f>IF(INVESTORS_LIST[[#This Row],[SIP_TOTAL UNITS BUY]]=0,0,SUMIFS(SIP[Amount],SIP[Investor ID],INVESTORS_LIST[[#This Row],[INVESTOR CODE]],SIP[B/S],"B"))</f>
        <v>0</v>
      </c>
      <c r="P694" s="4">
        <f>IF(INVESTORS_LIST[[#This Row],[SIP_TOTAL UNITS SOLD]]=0,0,SUMIFS(SIP[Cost of Units Sold],SIP[Investor ID],INVESTORS_LIST[[#This Row],[INVESTOR CODE]],SIP[B/S],"S"))</f>
        <v>0</v>
      </c>
      <c r="Q694" s="6">
        <f>IF(INVESTORS_LIST[[#This Row],[SIP_TOTAL CURRENT UNITS]]=0,0,INVESTORS_LIST[[#This Row],[SIP_TOTAL CURRENT UNITS]]*INVESTORS_LIST[[#This Row],[SIP_AVERAGE COST]])</f>
        <v>0</v>
      </c>
      <c r="R694" s="6">
        <f>IF(INVESTORS_LIST[[#This Row],[SIP_TOTAL UNITS SOLD]]=0,0,SUMIFS(SIP[Realized Gain],SIP[Investor ID],INVESTORS_LIST[[#This Row],[INVESTOR CODE]],SIP[B/S],"S"))</f>
        <v>0</v>
      </c>
      <c r="S694" s="33">
        <f>INVESTORS_LIST[[#This Row],[LS_TOTAL UNITS BUY]]+INVESTORS_LIST[[#This Row],[SIP_TOTAL UNITS BUY]]</f>
        <v>0</v>
      </c>
      <c r="T694" s="33">
        <f>INVESTORS_LIST[[#This Row],[LS_TOTAL UNITS SOLD]]+INVESTORS_LIST[[#This Row],[SIP_TOTAL UNITS SOLD]]</f>
        <v>0</v>
      </c>
      <c r="U694" s="33">
        <v>0</v>
      </c>
      <c r="V694" s="33">
        <f>SUMIFS(LS[BO UNIT TRANSFER],LS[Investor ID],INVESTORS_LIST[[#This Row],[INVESTOR CODE]],LS[B/S],"B")</f>
        <v>0</v>
      </c>
      <c r="W694" s="33">
        <f>SUMIFS(LS[BO UNIT TRANSFER],LS[Investor ID],INVESTORS_LIST[[#This Row],[INVESTOR CODE]],LS[B/S],"S")</f>
        <v>0</v>
      </c>
      <c r="X694" s="33">
        <f>SUMIFS(SIP[BO UNIT TRANSFER],SIP[Investor ID],INVESTORS_LIST[[#This Row],[INVESTOR CODE]],SIP[B/S],"S")</f>
        <v>0</v>
      </c>
      <c r="Y694" s="33">
        <f>SUMIFS(SIP[BO UNIT TRANSFER],SIP[Investor ID],INVESTORS_LIST[[#This Row],[INVESTOR CODE]],SIP[B/S],"B")</f>
        <v>0</v>
      </c>
      <c r="Z69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94" s="119">
        <f>INVESTORS_LIST[[#This Row],[TOTAL UNITS BUY]]-INVESTORS_LIST[[#This Row],[TOTAL UNITS SOLD]]</f>
        <v>0</v>
      </c>
      <c r="AB694" s="119">
        <f>INVESTORS_LIST[[#This Row],[TOTAL CURRENT UNITS]]-INVESTORS_LIST[[#This Row],[BO UNITS HOLD]]</f>
        <v>0</v>
      </c>
      <c r="AC694" s="119" t="e">
        <f>INDEX([4]!Table_1[BO ID],MATCH(INVESTORS_LIST[[#This Row],[INVESTOR CODE]],[4]!Table_1[INVESTOR CODE],0))</f>
        <v>#REF!</v>
      </c>
      <c r="AD694" s="33">
        <f>INVESTORS_LIST[[#This Row],[LS_TOTAL COST VALUE OF CURRENT UNITS]]+INVESTORS_LIST[[#This Row],[SIP_TOTAL COST VALUE OF CURRENT UNITS]]</f>
        <v>0</v>
      </c>
      <c r="AE694" s="44">
        <f>IF(INVESTORS_LIST[[#This Row],[TOTAL CURRENT UNITS]]=0,0,INVESTORS_LIST[[#This Row],[LS_TOTAL CURRENT UNITS]]/INVESTORS_LIST[[#This Row],[TOTAL CURRENT UNITS]])</f>
        <v>0</v>
      </c>
      <c r="AF694" s="44">
        <f>IF(INVESTORS_LIST[[#This Row],[TOTAL CURRENT UNITS]]=0,0,INVESTORS_LIST[[#This Row],[SIP_TOTAL CURRENT UNITS]]/INVESTORS_LIST[[#This Row],[TOTAL CURRENT UNITS]])</f>
        <v>0</v>
      </c>
      <c r="AG694" s="4" cm="1">
        <f t="array" ref="AG69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94" s="4" cm="1">
        <f t="array" ref="AH69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9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94" s="178">
        <f t="shared" si="21"/>
        <v>12.552</v>
      </c>
      <c r="AK694" s="118">
        <f>IF(INVESTORS_LIST[[#This Row],[TOTAL CURRENT UNITS]]=0,0,INVESTORS_LIST[[#This Row],[TOTAL CURRENT UNITS]]*INVESTORS_LIST[[#This Row],[NAV]])</f>
        <v>0</v>
      </c>
      <c r="AL694" s="4">
        <f>IF(INVESTORS_LIST[[#This Row],[LS_TOTAL CURRENT UNITS]]=0,0,INVESTORS_LIST[[#This Row],[LS_TOTAL CURRENT UNITS]]*INVESTORS_LIST[[#This Row],[NAV]])</f>
        <v>0</v>
      </c>
      <c r="AM694" s="6">
        <f>IF(INVESTORS_LIST[[#This Row],[SIP_TOTAL CURRENT UNITS]]=0,0,INVESTORS_LIST[[#This Row],[SIP_TOTAL CURRENT UNITS]]*INVESTORS_LIST[[#This Row],[NAV]])</f>
        <v>0</v>
      </c>
      <c r="AO694" s="6">
        <f>IF(INVESTORS_LIST[[#This Row],[TOTAL SELLABLE UNITS]]=0,0,INVESTORS_LIST[[#This Row],[TOTAL SELLABLE UNITS]]*INVESTORS_LIST[[#This Row],[NAV]])</f>
        <v>0</v>
      </c>
      <c r="AP694" s="6">
        <f>INVESTORS_LIST[[#This Row],[LS_TOTAL REALIZED GAIN]]+INVESTORS_LIST[[#This Row],[SIP_TOTAL REALIZED GAIN]]</f>
        <v>0</v>
      </c>
      <c r="AQ694" s="6">
        <f>INVESTORS_LIST[[#This Row],[TOTAL MARKET VALUE]]-INVESTORS_LIST[[#This Row],[TOTAL COST VALUE OF CURRENT INVESTMENT]]</f>
        <v>0</v>
      </c>
      <c r="AR694" s="6">
        <f>SUMIFS(DivAndTax[Tax Amount],DivAndTax[Investor ID],INVESTORS_LIST[[#This Row],[INVESTOR CODE]])</f>
        <v>0</v>
      </c>
      <c r="AS694" s="6">
        <f>SUMIFS(DivAndTax[Gross Dividend],DivAndTax[Investor ID],INVESTORS_LIST[[#This Row],[INVESTOR CODE]])</f>
        <v>0</v>
      </c>
      <c r="AT694" s="5">
        <f>IFERROR(INVESTORS_LIST[[#This Row],[TOTAL CURRENT UNITS]]/SUM(INVESTORS_LIST[TOTAL CURRENT UNITS]),0)</f>
        <v>0</v>
      </c>
    </row>
    <row r="695" spans="1:46" hidden="1">
      <c r="A695" t="s">
        <v>107</v>
      </c>
      <c r="B695" t="s">
        <v>1579</v>
      </c>
      <c r="C695" t="s">
        <v>539</v>
      </c>
      <c r="D695" s="8" t="s">
        <v>2</v>
      </c>
      <c r="E695" s="2">
        <f>SUMIFS(LS[Unit],LS[Investor ID],INVESTORS_LIST[[#This Row],[INVESTOR CODE]],LS[B/S],"B")</f>
        <v>0</v>
      </c>
      <c r="F695" s="2">
        <f>-SUMIFS(LS[Unit],LS[Investor ID],INVESTORS_LIST[[#This Row],[INVESTOR CODE]],LS[B/S],"S")</f>
        <v>0</v>
      </c>
      <c r="G695" s="2">
        <f>IF(INVESTORS_LIST[[#This Row],[LS_TOTAL UNITS BUY]]=0,0,INVESTORS_LIST[[#This Row],[LS_TOTAL UNITS BUY]]-INVESTORS_LIST[[#This Row],[LS_TOTAL UNITS SOLD]])</f>
        <v>0</v>
      </c>
      <c r="H695" s="4">
        <f>IF(INVESTORS_LIST[[#This Row],[LS_TOTAL UNITS BUY]]=0,0,SUMIFS(LS[Amount],LS[Investor ID],INVESTORS_LIST[[#This Row],[INVESTOR CODE]],LS[B/S],"B"))</f>
        <v>0</v>
      </c>
      <c r="I695" s="6">
        <f>IF(INVESTORS_LIST[[#This Row],[LS_TOTAL UNITS SOLD]]=0,0,SUMIFS(LS[Cost of Units Sold],LS[Investor ID],INVESTORS_LIST[[#This Row],[INVESTOR CODE]],LS[B/S],"S"))</f>
        <v>0</v>
      </c>
      <c r="J695" s="6">
        <f>IF(INVESTORS_LIST[[#This Row],[LS_TOTAL CURRENT UNITS]]=0,0,INVESTORS_LIST[[#This Row],[LS_TOTAL CURRENT UNITS]]*INVESTORS_LIST[[#This Row],[LS_AVERAGE COST]])</f>
        <v>0</v>
      </c>
      <c r="K695" s="4">
        <f>IF(INVESTORS_LIST[[#This Row],[LS_TOTAL UNITS SOLD]]=0,0,SUMIFS(LS[Realized Gain],LS[Investor ID],INVESTORS_LIST[[#This Row],[INVESTOR CODE]],LS[B/S],"S"))</f>
        <v>0</v>
      </c>
      <c r="L695" s="2">
        <f>SUMIFS(SIP[Unit],SIP[Investor ID],INVESTORS_LIST[[#This Row],[INVESTOR CODE]],SIP[B/S],"B")</f>
        <v>0</v>
      </c>
      <c r="M695" s="2">
        <f>-SUMIFS(SIP[Unit],SIP[Investor ID],INVESTORS_LIST[[#This Row],[INVESTOR CODE]],SIP[B/S],"S")</f>
        <v>0</v>
      </c>
      <c r="N695" s="33">
        <f>IF(INVESTORS_LIST[[#This Row],[SIP_TOTAL UNITS BUY]]=0,0,INVESTORS_LIST[[#This Row],[SIP_TOTAL UNITS BUY]]-INVESTORS_LIST[[#This Row],[SIP_TOTAL UNITS SOLD]])</f>
        <v>0</v>
      </c>
      <c r="O695" s="4">
        <f>IF(INVESTORS_LIST[[#This Row],[SIP_TOTAL UNITS BUY]]=0,0,SUMIFS(SIP[Amount],SIP[Investor ID],INVESTORS_LIST[[#This Row],[INVESTOR CODE]],SIP[B/S],"B"))</f>
        <v>0</v>
      </c>
      <c r="P695" s="4">
        <f>IF(INVESTORS_LIST[[#This Row],[SIP_TOTAL UNITS SOLD]]=0,0,SUMIFS(SIP[Cost of Units Sold],SIP[Investor ID],INVESTORS_LIST[[#This Row],[INVESTOR CODE]],SIP[B/S],"S"))</f>
        <v>0</v>
      </c>
      <c r="Q695" s="6">
        <f>IF(INVESTORS_LIST[[#This Row],[SIP_TOTAL CURRENT UNITS]]=0,0,INVESTORS_LIST[[#This Row],[SIP_TOTAL CURRENT UNITS]]*INVESTORS_LIST[[#This Row],[SIP_AVERAGE COST]])</f>
        <v>0</v>
      </c>
      <c r="R695" s="6">
        <f>IF(INVESTORS_LIST[[#This Row],[SIP_TOTAL UNITS SOLD]]=0,0,SUMIFS(SIP[Realized Gain],SIP[Investor ID],INVESTORS_LIST[[#This Row],[INVESTOR CODE]],SIP[B/S],"S"))</f>
        <v>0</v>
      </c>
      <c r="S695" s="33">
        <f>INVESTORS_LIST[[#This Row],[LS_TOTAL UNITS BUY]]+INVESTORS_LIST[[#This Row],[SIP_TOTAL UNITS BUY]]</f>
        <v>0</v>
      </c>
      <c r="T695" s="33">
        <f>INVESTORS_LIST[[#This Row],[LS_TOTAL UNITS SOLD]]+INVESTORS_LIST[[#This Row],[SIP_TOTAL UNITS SOLD]]</f>
        <v>0</v>
      </c>
      <c r="U695" s="33">
        <v>0</v>
      </c>
      <c r="V695" s="33">
        <f>SUMIFS(LS[BO UNIT TRANSFER],LS[Investor ID],INVESTORS_LIST[[#This Row],[INVESTOR CODE]],LS[B/S],"B")</f>
        <v>0</v>
      </c>
      <c r="W695" s="33">
        <f>SUMIFS(LS[BO UNIT TRANSFER],LS[Investor ID],INVESTORS_LIST[[#This Row],[INVESTOR CODE]],LS[B/S],"S")</f>
        <v>0</v>
      </c>
      <c r="X695" s="33">
        <f>SUMIFS(SIP[BO UNIT TRANSFER],SIP[Investor ID],INVESTORS_LIST[[#This Row],[INVESTOR CODE]],SIP[B/S],"S")</f>
        <v>0</v>
      </c>
      <c r="Y695" s="33">
        <f>SUMIFS(SIP[BO UNIT TRANSFER],SIP[Investor ID],INVESTORS_LIST[[#This Row],[INVESTOR CODE]],SIP[B/S],"B")</f>
        <v>0</v>
      </c>
      <c r="Z69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95" s="119">
        <f>INVESTORS_LIST[[#This Row],[TOTAL UNITS BUY]]-INVESTORS_LIST[[#This Row],[TOTAL UNITS SOLD]]</f>
        <v>0</v>
      </c>
      <c r="AB695" s="119">
        <f>INVESTORS_LIST[[#This Row],[TOTAL CURRENT UNITS]]-INVESTORS_LIST[[#This Row],[BO UNITS HOLD]]</f>
        <v>0</v>
      </c>
      <c r="AC695" s="119" t="e">
        <f>INDEX([4]!Table_1[BO ID],MATCH(INVESTORS_LIST[[#This Row],[INVESTOR CODE]],[4]!Table_1[INVESTOR CODE],0))</f>
        <v>#REF!</v>
      </c>
      <c r="AD695" s="33">
        <f>INVESTORS_LIST[[#This Row],[LS_TOTAL COST VALUE OF CURRENT UNITS]]+INVESTORS_LIST[[#This Row],[SIP_TOTAL COST VALUE OF CURRENT UNITS]]</f>
        <v>0</v>
      </c>
      <c r="AE695" s="44">
        <f>IF(INVESTORS_LIST[[#This Row],[TOTAL CURRENT UNITS]]=0,0,INVESTORS_LIST[[#This Row],[LS_TOTAL CURRENT UNITS]]/INVESTORS_LIST[[#This Row],[TOTAL CURRENT UNITS]])</f>
        <v>0</v>
      </c>
      <c r="AF695" s="44">
        <f>IF(INVESTORS_LIST[[#This Row],[TOTAL CURRENT UNITS]]=0,0,INVESTORS_LIST[[#This Row],[SIP_TOTAL CURRENT UNITS]]/INVESTORS_LIST[[#This Row],[TOTAL CURRENT UNITS]])</f>
        <v>0</v>
      </c>
      <c r="AG695" s="4" cm="1">
        <f t="array" ref="AG69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95" s="4" cm="1">
        <f t="array" ref="AH69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9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95" s="178">
        <f t="shared" ref="AJ695:AJ700" si="22">NAV_MKT</f>
        <v>12.552</v>
      </c>
      <c r="AK695" s="118">
        <f>IF(INVESTORS_LIST[[#This Row],[TOTAL CURRENT UNITS]]=0,0,INVESTORS_LIST[[#This Row],[TOTAL CURRENT UNITS]]*INVESTORS_LIST[[#This Row],[NAV]])</f>
        <v>0</v>
      </c>
      <c r="AL695" s="4">
        <f>IF(INVESTORS_LIST[[#This Row],[LS_TOTAL CURRENT UNITS]]=0,0,INVESTORS_LIST[[#This Row],[LS_TOTAL CURRENT UNITS]]*INVESTORS_LIST[[#This Row],[NAV]])</f>
        <v>0</v>
      </c>
      <c r="AM695" s="6">
        <f>IF(INVESTORS_LIST[[#This Row],[SIP_TOTAL CURRENT UNITS]]=0,0,INVESTORS_LIST[[#This Row],[SIP_TOTAL CURRENT UNITS]]*INVESTORS_LIST[[#This Row],[NAV]])</f>
        <v>0</v>
      </c>
      <c r="AO695" s="6">
        <f>IF(INVESTORS_LIST[[#This Row],[TOTAL SELLABLE UNITS]]=0,0,INVESTORS_LIST[[#This Row],[TOTAL SELLABLE UNITS]]*INVESTORS_LIST[[#This Row],[NAV]])</f>
        <v>0</v>
      </c>
      <c r="AP695" s="6">
        <f>INVESTORS_LIST[[#This Row],[LS_TOTAL REALIZED GAIN]]+INVESTORS_LIST[[#This Row],[SIP_TOTAL REALIZED GAIN]]</f>
        <v>0</v>
      </c>
      <c r="AQ695" s="6">
        <f>INVESTORS_LIST[[#This Row],[TOTAL MARKET VALUE]]-INVESTORS_LIST[[#This Row],[TOTAL COST VALUE OF CURRENT INVESTMENT]]</f>
        <v>0</v>
      </c>
      <c r="AR695" s="6">
        <f>SUMIFS(DivAndTax[Tax Amount],DivAndTax[Investor ID],INVESTORS_LIST[[#This Row],[INVESTOR CODE]])</f>
        <v>0</v>
      </c>
      <c r="AS695" s="6">
        <f>SUMIFS(DivAndTax[Gross Dividend],DivAndTax[Investor ID],INVESTORS_LIST[[#This Row],[INVESTOR CODE]])</f>
        <v>0</v>
      </c>
      <c r="AT695" s="5">
        <f>IFERROR(INVESTORS_LIST[[#This Row],[TOTAL CURRENT UNITS]]/SUM(INVESTORS_LIST[TOTAL CURRENT UNITS]),0)</f>
        <v>0</v>
      </c>
    </row>
    <row r="696" spans="1:46" hidden="1">
      <c r="A696" t="s">
        <v>1251</v>
      </c>
      <c r="B696" t="s">
        <v>1252</v>
      </c>
      <c r="C696" t="s">
        <v>536</v>
      </c>
      <c r="D696" s="8" t="s">
        <v>2</v>
      </c>
      <c r="E696" s="2">
        <f>SUMIFS(LS[Unit],LS[Investor ID],INVESTORS_LIST[[#This Row],[INVESTOR CODE]],LS[B/S],"B")</f>
        <v>0</v>
      </c>
      <c r="F696" s="2">
        <f>-SUMIFS(LS[Unit],LS[Investor ID],INVESTORS_LIST[[#This Row],[INVESTOR CODE]],LS[B/S],"S")</f>
        <v>0</v>
      </c>
      <c r="G696" s="2">
        <f>IF(INVESTORS_LIST[[#This Row],[LS_TOTAL UNITS BUY]]=0,0,INVESTORS_LIST[[#This Row],[LS_TOTAL UNITS BUY]]-INVESTORS_LIST[[#This Row],[LS_TOTAL UNITS SOLD]])</f>
        <v>0</v>
      </c>
      <c r="H696" s="4">
        <f>IF(INVESTORS_LIST[[#This Row],[LS_TOTAL UNITS BUY]]=0,0,SUMIFS(LS[Amount],LS[Investor ID],INVESTORS_LIST[[#This Row],[INVESTOR CODE]],LS[B/S],"B"))</f>
        <v>0</v>
      </c>
      <c r="I696" s="6">
        <f>IF(INVESTORS_LIST[[#This Row],[LS_TOTAL UNITS SOLD]]=0,0,SUMIFS(LS[Cost of Units Sold],LS[Investor ID],INVESTORS_LIST[[#This Row],[INVESTOR CODE]],LS[B/S],"S"))</f>
        <v>0</v>
      </c>
      <c r="J696" s="6">
        <f>IF(INVESTORS_LIST[[#This Row],[LS_TOTAL CURRENT UNITS]]=0,0,INVESTORS_LIST[[#This Row],[LS_TOTAL CURRENT UNITS]]*INVESTORS_LIST[[#This Row],[LS_AVERAGE COST]])</f>
        <v>0</v>
      </c>
      <c r="K696" s="4">
        <f>IF(INVESTORS_LIST[[#This Row],[LS_TOTAL UNITS SOLD]]=0,0,SUMIFS(LS[Realized Gain],LS[Investor ID],INVESTORS_LIST[[#This Row],[INVESTOR CODE]],LS[B/S],"S"))</f>
        <v>0</v>
      </c>
      <c r="L696" s="2">
        <f>SUMIFS(SIP[Unit],SIP[Investor ID],INVESTORS_LIST[[#This Row],[INVESTOR CODE]],SIP[B/S],"B")</f>
        <v>0</v>
      </c>
      <c r="M696" s="2">
        <f>-SUMIFS(SIP[Unit],SIP[Investor ID],INVESTORS_LIST[[#This Row],[INVESTOR CODE]],SIP[B/S],"S")</f>
        <v>0</v>
      </c>
      <c r="N696" s="33">
        <f>IF(INVESTORS_LIST[[#This Row],[SIP_TOTAL UNITS BUY]]=0,0,INVESTORS_LIST[[#This Row],[SIP_TOTAL UNITS BUY]]-INVESTORS_LIST[[#This Row],[SIP_TOTAL UNITS SOLD]])</f>
        <v>0</v>
      </c>
      <c r="O696" s="4">
        <f>IF(INVESTORS_LIST[[#This Row],[SIP_TOTAL UNITS BUY]]=0,0,SUMIFS(SIP[Amount],SIP[Investor ID],INVESTORS_LIST[[#This Row],[INVESTOR CODE]],SIP[B/S],"B"))</f>
        <v>0</v>
      </c>
      <c r="P696" s="4">
        <f>IF(INVESTORS_LIST[[#This Row],[SIP_TOTAL UNITS SOLD]]=0,0,SUMIFS(SIP[Cost of Units Sold],SIP[Investor ID],INVESTORS_LIST[[#This Row],[INVESTOR CODE]],SIP[B/S],"S"))</f>
        <v>0</v>
      </c>
      <c r="Q696" s="6">
        <f>IF(INVESTORS_LIST[[#This Row],[SIP_TOTAL CURRENT UNITS]]=0,0,INVESTORS_LIST[[#This Row],[SIP_TOTAL CURRENT UNITS]]*INVESTORS_LIST[[#This Row],[SIP_AVERAGE COST]])</f>
        <v>0</v>
      </c>
      <c r="R696" s="6">
        <f>IF(INVESTORS_LIST[[#This Row],[SIP_TOTAL UNITS SOLD]]=0,0,SUMIFS(SIP[Realized Gain],SIP[Investor ID],INVESTORS_LIST[[#This Row],[INVESTOR CODE]],SIP[B/S],"S"))</f>
        <v>0</v>
      </c>
      <c r="S696" s="33">
        <f>INVESTORS_LIST[[#This Row],[LS_TOTAL UNITS BUY]]+INVESTORS_LIST[[#This Row],[SIP_TOTAL UNITS BUY]]</f>
        <v>0</v>
      </c>
      <c r="T696" s="33">
        <f>INVESTORS_LIST[[#This Row],[LS_TOTAL UNITS SOLD]]+INVESTORS_LIST[[#This Row],[SIP_TOTAL UNITS SOLD]]</f>
        <v>0</v>
      </c>
      <c r="U696" s="33">
        <v>0</v>
      </c>
      <c r="V696" s="33">
        <f>SUMIFS(LS[BO UNIT TRANSFER],LS[Investor ID],INVESTORS_LIST[[#This Row],[INVESTOR CODE]],LS[B/S],"B")</f>
        <v>0</v>
      </c>
      <c r="W696" s="33">
        <f>SUMIFS(LS[BO UNIT TRANSFER],LS[Investor ID],INVESTORS_LIST[[#This Row],[INVESTOR CODE]],LS[B/S],"S")</f>
        <v>0</v>
      </c>
      <c r="X696" s="33">
        <f>SUMIFS(SIP[BO UNIT TRANSFER],SIP[Investor ID],INVESTORS_LIST[[#This Row],[INVESTOR CODE]],SIP[B/S],"S")</f>
        <v>0</v>
      </c>
      <c r="Y696" s="33">
        <f>SUMIFS(SIP[BO UNIT TRANSFER],SIP[Investor ID],INVESTORS_LIST[[#This Row],[INVESTOR CODE]],SIP[B/S],"B")</f>
        <v>0</v>
      </c>
      <c r="Z69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96" s="119">
        <f>INVESTORS_LIST[[#This Row],[TOTAL UNITS BUY]]-INVESTORS_LIST[[#This Row],[TOTAL UNITS SOLD]]</f>
        <v>0</v>
      </c>
      <c r="AB696" s="119">
        <f>INVESTORS_LIST[[#This Row],[TOTAL CURRENT UNITS]]-INVESTORS_LIST[[#This Row],[BO UNITS HOLD]]</f>
        <v>0</v>
      </c>
      <c r="AC696" s="119" t="e">
        <f>INDEX([4]!Table_1[BO ID],MATCH(INVESTORS_LIST[[#This Row],[INVESTOR CODE]],[4]!Table_1[INVESTOR CODE],0))</f>
        <v>#REF!</v>
      </c>
      <c r="AD696" s="33">
        <f>INVESTORS_LIST[[#This Row],[LS_TOTAL COST VALUE OF CURRENT UNITS]]+INVESTORS_LIST[[#This Row],[SIP_TOTAL COST VALUE OF CURRENT UNITS]]</f>
        <v>0</v>
      </c>
      <c r="AE696" s="44">
        <f>IF(INVESTORS_LIST[[#This Row],[TOTAL CURRENT UNITS]]=0,0,INVESTORS_LIST[[#This Row],[LS_TOTAL CURRENT UNITS]]/INVESTORS_LIST[[#This Row],[TOTAL CURRENT UNITS]])</f>
        <v>0</v>
      </c>
      <c r="AF696" s="44">
        <f>IF(INVESTORS_LIST[[#This Row],[TOTAL CURRENT UNITS]]=0,0,INVESTORS_LIST[[#This Row],[SIP_TOTAL CURRENT UNITS]]/INVESTORS_LIST[[#This Row],[TOTAL CURRENT UNITS]])</f>
        <v>0</v>
      </c>
      <c r="AG696" s="4" cm="1">
        <f t="array" ref="AG69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96" s="4" cm="1">
        <f t="array" ref="AH69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9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96" s="178">
        <f t="shared" si="22"/>
        <v>12.552</v>
      </c>
      <c r="AK696" s="118">
        <f>IF(INVESTORS_LIST[[#This Row],[TOTAL CURRENT UNITS]]=0,0,INVESTORS_LIST[[#This Row],[TOTAL CURRENT UNITS]]*INVESTORS_LIST[[#This Row],[NAV]])</f>
        <v>0</v>
      </c>
      <c r="AL696" s="4">
        <f>IF(INVESTORS_LIST[[#This Row],[LS_TOTAL CURRENT UNITS]]=0,0,INVESTORS_LIST[[#This Row],[LS_TOTAL CURRENT UNITS]]*INVESTORS_LIST[[#This Row],[NAV]])</f>
        <v>0</v>
      </c>
      <c r="AM696" s="6">
        <f>IF(INVESTORS_LIST[[#This Row],[SIP_TOTAL CURRENT UNITS]]=0,0,INVESTORS_LIST[[#This Row],[SIP_TOTAL CURRENT UNITS]]*INVESTORS_LIST[[#This Row],[NAV]])</f>
        <v>0</v>
      </c>
      <c r="AO696" s="6">
        <f>IF(INVESTORS_LIST[[#This Row],[TOTAL SELLABLE UNITS]]=0,0,INVESTORS_LIST[[#This Row],[TOTAL SELLABLE UNITS]]*INVESTORS_LIST[[#This Row],[NAV]])</f>
        <v>0</v>
      </c>
      <c r="AP696" s="6">
        <f>INVESTORS_LIST[[#This Row],[LS_TOTAL REALIZED GAIN]]+INVESTORS_LIST[[#This Row],[SIP_TOTAL REALIZED GAIN]]</f>
        <v>0</v>
      </c>
      <c r="AQ696" s="6">
        <f>INVESTORS_LIST[[#This Row],[TOTAL MARKET VALUE]]-INVESTORS_LIST[[#This Row],[TOTAL COST VALUE OF CURRENT INVESTMENT]]</f>
        <v>0</v>
      </c>
      <c r="AR696" s="6">
        <f>SUMIFS(DivAndTax[Tax Amount],DivAndTax[Investor ID],INVESTORS_LIST[[#This Row],[INVESTOR CODE]])</f>
        <v>0</v>
      </c>
      <c r="AS696" s="6">
        <f>SUMIFS(DivAndTax[Gross Dividend],DivAndTax[Investor ID],INVESTORS_LIST[[#This Row],[INVESTOR CODE]])</f>
        <v>0</v>
      </c>
      <c r="AT696" s="5">
        <f>IFERROR(INVESTORS_LIST[[#This Row],[TOTAL CURRENT UNITS]]/SUM(INVESTORS_LIST[TOTAL CURRENT UNITS]),0)</f>
        <v>0</v>
      </c>
    </row>
    <row r="697" spans="1:46" hidden="1">
      <c r="A697" t="s">
        <v>1253</v>
      </c>
      <c r="B697" t="s">
        <v>1254</v>
      </c>
      <c r="C697" t="s">
        <v>539</v>
      </c>
      <c r="D697" s="8" t="s">
        <v>2</v>
      </c>
      <c r="E697" s="2">
        <f>SUMIFS(LS[Unit],LS[Investor ID],INVESTORS_LIST[[#This Row],[INVESTOR CODE]],LS[B/S],"B")</f>
        <v>0</v>
      </c>
      <c r="F697" s="2">
        <f>-SUMIFS(LS[Unit],LS[Investor ID],INVESTORS_LIST[[#This Row],[INVESTOR CODE]],LS[B/S],"S")</f>
        <v>0</v>
      </c>
      <c r="G697" s="2">
        <f>IF(INVESTORS_LIST[[#This Row],[LS_TOTAL UNITS BUY]]=0,0,INVESTORS_LIST[[#This Row],[LS_TOTAL UNITS BUY]]-INVESTORS_LIST[[#This Row],[LS_TOTAL UNITS SOLD]])</f>
        <v>0</v>
      </c>
      <c r="H697" s="4">
        <f>IF(INVESTORS_LIST[[#This Row],[LS_TOTAL UNITS BUY]]=0,0,SUMIFS(LS[Amount],LS[Investor ID],INVESTORS_LIST[[#This Row],[INVESTOR CODE]],LS[B/S],"B"))</f>
        <v>0</v>
      </c>
      <c r="I697" s="6">
        <f>IF(INVESTORS_LIST[[#This Row],[LS_TOTAL UNITS SOLD]]=0,0,SUMIFS(LS[Cost of Units Sold],LS[Investor ID],INVESTORS_LIST[[#This Row],[INVESTOR CODE]],LS[B/S],"S"))</f>
        <v>0</v>
      </c>
      <c r="J697" s="6">
        <f>IF(INVESTORS_LIST[[#This Row],[LS_TOTAL CURRENT UNITS]]=0,0,INVESTORS_LIST[[#This Row],[LS_TOTAL CURRENT UNITS]]*INVESTORS_LIST[[#This Row],[LS_AVERAGE COST]])</f>
        <v>0</v>
      </c>
      <c r="K697" s="4">
        <f>IF(INVESTORS_LIST[[#This Row],[LS_TOTAL UNITS SOLD]]=0,0,SUMIFS(LS[Realized Gain],LS[Investor ID],INVESTORS_LIST[[#This Row],[INVESTOR CODE]],LS[B/S],"S"))</f>
        <v>0</v>
      </c>
      <c r="L697" s="2">
        <f>SUMIFS(SIP[Unit],SIP[Investor ID],INVESTORS_LIST[[#This Row],[INVESTOR CODE]],SIP[B/S],"B")</f>
        <v>0</v>
      </c>
      <c r="M697" s="2">
        <f>-SUMIFS(SIP[Unit],SIP[Investor ID],INVESTORS_LIST[[#This Row],[INVESTOR CODE]],SIP[B/S],"S")</f>
        <v>0</v>
      </c>
      <c r="N697" s="33">
        <f>IF(INVESTORS_LIST[[#This Row],[SIP_TOTAL UNITS BUY]]=0,0,INVESTORS_LIST[[#This Row],[SIP_TOTAL UNITS BUY]]-INVESTORS_LIST[[#This Row],[SIP_TOTAL UNITS SOLD]])</f>
        <v>0</v>
      </c>
      <c r="O697" s="4">
        <f>IF(INVESTORS_LIST[[#This Row],[SIP_TOTAL UNITS BUY]]=0,0,SUMIFS(SIP[Amount],SIP[Investor ID],INVESTORS_LIST[[#This Row],[INVESTOR CODE]],SIP[B/S],"B"))</f>
        <v>0</v>
      </c>
      <c r="P697" s="4">
        <f>IF(INVESTORS_LIST[[#This Row],[SIP_TOTAL UNITS SOLD]]=0,0,SUMIFS(SIP[Cost of Units Sold],SIP[Investor ID],INVESTORS_LIST[[#This Row],[INVESTOR CODE]],SIP[B/S],"S"))</f>
        <v>0</v>
      </c>
      <c r="Q697" s="6">
        <f>IF(INVESTORS_LIST[[#This Row],[SIP_TOTAL CURRENT UNITS]]=0,0,INVESTORS_LIST[[#This Row],[SIP_TOTAL CURRENT UNITS]]*INVESTORS_LIST[[#This Row],[SIP_AVERAGE COST]])</f>
        <v>0</v>
      </c>
      <c r="R697" s="6">
        <f>IF(INVESTORS_LIST[[#This Row],[SIP_TOTAL UNITS SOLD]]=0,0,SUMIFS(SIP[Realized Gain],SIP[Investor ID],INVESTORS_LIST[[#This Row],[INVESTOR CODE]],SIP[B/S],"S"))</f>
        <v>0</v>
      </c>
      <c r="S697" s="33">
        <f>INVESTORS_LIST[[#This Row],[LS_TOTAL UNITS BUY]]+INVESTORS_LIST[[#This Row],[SIP_TOTAL UNITS BUY]]</f>
        <v>0</v>
      </c>
      <c r="T697" s="33">
        <f>INVESTORS_LIST[[#This Row],[LS_TOTAL UNITS SOLD]]+INVESTORS_LIST[[#This Row],[SIP_TOTAL UNITS SOLD]]</f>
        <v>0</v>
      </c>
      <c r="U697" s="33">
        <v>0</v>
      </c>
      <c r="V697" s="33">
        <f>SUMIFS(LS[BO UNIT TRANSFER],LS[Investor ID],INVESTORS_LIST[[#This Row],[INVESTOR CODE]],LS[B/S],"B")</f>
        <v>0</v>
      </c>
      <c r="W697" s="33">
        <f>SUMIFS(LS[BO UNIT TRANSFER],LS[Investor ID],INVESTORS_LIST[[#This Row],[INVESTOR CODE]],LS[B/S],"S")</f>
        <v>0</v>
      </c>
      <c r="X697" s="33">
        <f>SUMIFS(SIP[BO UNIT TRANSFER],SIP[Investor ID],INVESTORS_LIST[[#This Row],[INVESTOR CODE]],SIP[B/S],"S")</f>
        <v>0</v>
      </c>
      <c r="Y697" s="33">
        <f>SUMIFS(SIP[BO UNIT TRANSFER],SIP[Investor ID],INVESTORS_LIST[[#This Row],[INVESTOR CODE]],SIP[B/S],"B")</f>
        <v>0</v>
      </c>
      <c r="Z69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97" s="119">
        <f>INVESTORS_LIST[[#This Row],[TOTAL UNITS BUY]]-INVESTORS_LIST[[#This Row],[TOTAL UNITS SOLD]]</f>
        <v>0</v>
      </c>
      <c r="AB697" s="119">
        <f>INVESTORS_LIST[[#This Row],[TOTAL CURRENT UNITS]]-INVESTORS_LIST[[#This Row],[BO UNITS HOLD]]</f>
        <v>0</v>
      </c>
      <c r="AC697" s="119" t="e">
        <f>INDEX([4]!Table_1[BO ID],MATCH(INVESTORS_LIST[[#This Row],[INVESTOR CODE]],[4]!Table_1[INVESTOR CODE],0))</f>
        <v>#REF!</v>
      </c>
      <c r="AD697" s="33">
        <f>INVESTORS_LIST[[#This Row],[LS_TOTAL COST VALUE OF CURRENT UNITS]]+INVESTORS_LIST[[#This Row],[SIP_TOTAL COST VALUE OF CURRENT UNITS]]</f>
        <v>0</v>
      </c>
      <c r="AE697" s="44">
        <f>IF(INVESTORS_LIST[[#This Row],[TOTAL CURRENT UNITS]]=0,0,INVESTORS_LIST[[#This Row],[LS_TOTAL CURRENT UNITS]]/INVESTORS_LIST[[#This Row],[TOTAL CURRENT UNITS]])</f>
        <v>0</v>
      </c>
      <c r="AF697" s="44">
        <f>IF(INVESTORS_LIST[[#This Row],[TOTAL CURRENT UNITS]]=0,0,INVESTORS_LIST[[#This Row],[SIP_TOTAL CURRENT UNITS]]/INVESTORS_LIST[[#This Row],[TOTAL CURRENT UNITS]])</f>
        <v>0</v>
      </c>
      <c r="AG697" s="4" cm="1">
        <f t="array" ref="AG69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97" s="4" cm="1">
        <f t="array" ref="AH69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9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97" s="178">
        <f t="shared" si="22"/>
        <v>12.552</v>
      </c>
      <c r="AK697" s="118">
        <f>IF(INVESTORS_LIST[[#This Row],[TOTAL CURRENT UNITS]]=0,0,INVESTORS_LIST[[#This Row],[TOTAL CURRENT UNITS]]*INVESTORS_LIST[[#This Row],[NAV]])</f>
        <v>0</v>
      </c>
      <c r="AL697" s="4">
        <f>IF(INVESTORS_LIST[[#This Row],[LS_TOTAL CURRENT UNITS]]=0,0,INVESTORS_LIST[[#This Row],[LS_TOTAL CURRENT UNITS]]*INVESTORS_LIST[[#This Row],[NAV]])</f>
        <v>0</v>
      </c>
      <c r="AM697" s="6">
        <f>IF(INVESTORS_LIST[[#This Row],[SIP_TOTAL CURRENT UNITS]]=0,0,INVESTORS_LIST[[#This Row],[SIP_TOTAL CURRENT UNITS]]*INVESTORS_LIST[[#This Row],[NAV]])</f>
        <v>0</v>
      </c>
      <c r="AO697" s="6">
        <f>IF(INVESTORS_LIST[[#This Row],[TOTAL SELLABLE UNITS]]=0,0,INVESTORS_LIST[[#This Row],[TOTAL SELLABLE UNITS]]*INVESTORS_LIST[[#This Row],[NAV]])</f>
        <v>0</v>
      </c>
      <c r="AP697" s="6">
        <f>INVESTORS_LIST[[#This Row],[LS_TOTAL REALIZED GAIN]]+INVESTORS_LIST[[#This Row],[SIP_TOTAL REALIZED GAIN]]</f>
        <v>0</v>
      </c>
      <c r="AQ697" s="6">
        <f>INVESTORS_LIST[[#This Row],[TOTAL MARKET VALUE]]-INVESTORS_LIST[[#This Row],[TOTAL COST VALUE OF CURRENT INVESTMENT]]</f>
        <v>0</v>
      </c>
      <c r="AR697" s="6">
        <f>SUMIFS(DivAndTax[Tax Amount],DivAndTax[Investor ID],INVESTORS_LIST[[#This Row],[INVESTOR CODE]])</f>
        <v>0</v>
      </c>
      <c r="AS697" s="6">
        <f>SUMIFS(DivAndTax[Gross Dividend],DivAndTax[Investor ID],INVESTORS_LIST[[#This Row],[INVESTOR CODE]])</f>
        <v>0</v>
      </c>
      <c r="AT697" s="5">
        <f>IFERROR(INVESTORS_LIST[[#This Row],[TOTAL CURRENT UNITS]]/SUM(INVESTORS_LIST[TOTAL CURRENT UNITS]),0)</f>
        <v>0</v>
      </c>
    </row>
    <row r="698" spans="1:46" hidden="1">
      <c r="A698" t="s">
        <v>1110</v>
      </c>
      <c r="B698" t="s">
        <v>1580</v>
      </c>
      <c r="C698" t="s">
        <v>536</v>
      </c>
      <c r="D698" s="8" t="s">
        <v>2</v>
      </c>
      <c r="E698" s="2">
        <f>SUMIFS(LS[Unit],LS[Investor ID],INVESTORS_LIST[[#This Row],[INVESTOR CODE]],LS[B/S],"B")</f>
        <v>0</v>
      </c>
      <c r="F698" s="2">
        <f>-SUMIFS(LS[Unit],LS[Investor ID],INVESTORS_LIST[[#This Row],[INVESTOR CODE]],LS[B/S],"S")</f>
        <v>0</v>
      </c>
      <c r="G698" s="2">
        <f>IF(INVESTORS_LIST[[#This Row],[LS_TOTAL UNITS BUY]]=0,0,INVESTORS_LIST[[#This Row],[LS_TOTAL UNITS BUY]]-INVESTORS_LIST[[#This Row],[LS_TOTAL UNITS SOLD]])</f>
        <v>0</v>
      </c>
      <c r="H698" s="4">
        <f>IF(INVESTORS_LIST[[#This Row],[LS_TOTAL UNITS BUY]]=0,0,SUMIFS(LS[Amount],LS[Investor ID],INVESTORS_LIST[[#This Row],[INVESTOR CODE]],LS[B/S],"B"))</f>
        <v>0</v>
      </c>
      <c r="I698" s="6">
        <f>IF(INVESTORS_LIST[[#This Row],[LS_TOTAL UNITS SOLD]]=0,0,SUMIFS(LS[Cost of Units Sold],LS[Investor ID],INVESTORS_LIST[[#This Row],[INVESTOR CODE]],LS[B/S],"S"))</f>
        <v>0</v>
      </c>
      <c r="J698" s="6">
        <f>IF(INVESTORS_LIST[[#This Row],[LS_TOTAL CURRENT UNITS]]=0,0,INVESTORS_LIST[[#This Row],[LS_TOTAL CURRENT UNITS]]*INVESTORS_LIST[[#This Row],[LS_AVERAGE COST]])</f>
        <v>0</v>
      </c>
      <c r="K698" s="4">
        <f>IF(INVESTORS_LIST[[#This Row],[LS_TOTAL UNITS SOLD]]=0,0,SUMIFS(LS[Realized Gain],LS[Investor ID],INVESTORS_LIST[[#This Row],[INVESTOR CODE]],LS[B/S],"S"))</f>
        <v>0</v>
      </c>
      <c r="L698" s="2">
        <f>SUMIFS(SIP[Unit],SIP[Investor ID],INVESTORS_LIST[[#This Row],[INVESTOR CODE]],SIP[B/S],"B")</f>
        <v>0</v>
      </c>
      <c r="M698" s="2">
        <f>-SUMIFS(SIP[Unit],SIP[Investor ID],INVESTORS_LIST[[#This Row],[INVESTOR CODE]],SIP[B/S],"S")</f>
        <v>0</v>
      </c>
      <c r="N698" s="33">
        <f>IF(INVESTORS_LIST[[#This Row],[SIP_TOTAL UNITS BUY]]=0,0,INVESTORS_LIST[[#This Row],[SIP_TOTAL UNITS BUY]]-INVESTORS_LIST[[#This Row],[SIP_TOTAL UNITS SOLD]])</f>
        <v>0</v>
      </c>
      <c r="O698" s="4">
        <f>IF(INVESTORS_LIST[[#This Row],[SIP_TOTAL UNITS BUY]]=0,0,SUMIFS(SIP[Amount],SIP[Investor ID],INVESTORS_LIST[[#This Row],[INVESTOR CODE]],SIP[B/S],"B"))</f>
        <v>0</v>
      </c>
      <c r="P698" s="4">
        <f>IF(INVESTORS_LIST[[#This Row],[SIP_TOTAL UNITS SOLD]]=0,0,SUMIFS(SIP[Cost of Units Sold],SIP[Investor ID],INVESTORS_LIST[[#This Row],[INVESTOR CODE]],SIP[B/S],"S"))</f>
        <v>0</v>
      </c>
      <c r="Q698" s="6">
        <f>IF(INVESTORS_LIST[[#This Row],[SIP_TOTAL CURRENT UNITS]]=0,0,INVESTORS_LIST[[#This Row],[SIP_TOTAL CURRENT UNITS]]*INVESTORS_LIST[[#This Row],[SIP_AVERAGE COST]])</f>
        <v>0</v>
      </c>
      <c r="R698" s="6">
        <f>IF(INVESTORS_LIST[[#This Row],[SIP_TOTAL UNITS SOLD]]=0,0,SUMIFS(SIP[Realized Gain],SIP[Investor ID],INVESTORS_LIST[[#This Row],[INVESTOR CODE]],SIP[B/S],"S"))</f>
        <v>0</v>
      </c>
      <c r="S698" s="33">
        <f>INVESTORS_LIST[[#This Row],[LS_TOTAL UNITS BUY]]+INVESTORS_LIST[[#This Row],[SIP_TOTAL UNITS BUY]]</f>
        <v>0</v>
      </c>
      <c r="T698" s="33">
        <f>INVESTORS_LIST[[#This Row],[LS_TOTAL UNITS SOLD]]+INVESTORS_LIST[[#This Row],[SIP_TOTAL UNITS SOLD]]</f>
        <v>0</v>
      </c>
      <c r="U698" s="33">
        <v>0</v>
      </c>
      <c r="V698" s="33">
        <f>SUMIFS(LS[BO UNIT TRANSFER],LS[Investor ID],INVESTORS_LIST[[#This Row],[INVESTOR CODE]],LS[B/S],"B")</f>
        <v>0</v>
      </c>
      <c r="W698" s="33">
        <f>SUMIFS(LS[BO UNIT TRANSFER],LS[Investor ID],INVESTORS_LIST[[#This Row],[INVESTOR CODE]],LS[B/S],"S")</f>
        <v>0</v>
      </c>
      <c r="X698" s="33">
        <f>SUMIFS(SIP[BO UNIT TRANSFER],SIP[Investor ID],INVESTORS_LIST[[#This Row],[INVESTOR CODE]],SIP[B/S],"S")</f>
        <v>0</v>
      </c>
      <c r="Y698" s="33">
        <f>SUMIFS(SIP[BO UNIT TRANSFER],SIP[Investor ID],INVESTORS_LIST[[#This Row],[INVESTOR CODE]],SIP[B/S],"B")</f>
        <v>0</v>
      </c>
      <c r="Z69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98" s="119">
        <f>INVESTORS_LIST[[#This Row],[TOTAL UNITS BUY]]-INVESTORS_LIST[[#This Row],[TOTAL UNITS SOLD]]</f>
        <v>0</v>
      </c>
      <c r="AB698" s="119">
        <f>INVESTORS_LIST[[#This Row],[TOTAL CURRENT UNITS]]-INVESTORS_LIST[[#This Row],[BO UNITS HOLD]]</f>
        <v>0</v>
      </c>
      <c r="AC698" s="119" t="e">
        <f>INDEX([4]!Table_1[BO ID],MATCH(INVESTORS_LIST[[#This Row],[INVESTOR CODE]],[4]!Table_1[INVESTOR CODE],0))</f>
        <v>#REF!</v>
      </c>
      <c r="AD698" s="33">
        <f>INVESTORS_LIST[[#This Row],[LS_TOTAL COST VALUE OF CURRENT UNITS]]+INVESTORS_LIST[[#This Row],[SIP_TOTAL COST VALUE OF CURRENT UNITS]]</f>
        <v>0</v>
      </c>
      <c r="AE698" s="44">
        <f>IF(INVESTORS_LIST[[#This Row],[TOTAL CURRENT UNITS]]=0,0,INVESTORS_LIST[[#This Row],[LS_TOTAL CURRENT UNITS]]/INVESTORS_LIST[[#This Row],[TOTAL CURRENT UNITS]])</f>
        <v>0</v>
      </c>
      <c r="AF698" s="44">
        <f>IF(INVESTORS_LIST[[#This Row],[TOTAL CURRENT UNITS]]=0,0,INVESTORS_LIST[[#This Row],[SIP_TOTAL CURRENT UNITS]]/INVESTORS_LIST[[#This Row],[TOTAL CURRENT UNITS]])</f>
        <v>0</v>
      </c>
      <c r="AG698" s="4" cm="1">
        <f t="array" ref="AG69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98" s="4" cm="1">
        <f t="array" ref="AH69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9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98" s="178">
        <f t="shared" si="22"/>
        <v>12.552</v>
      </c>
      <c r="AK698" s="118">
        <f>IF(INVESTORS_LIST[[#This Row],[TOTAL CURRENT UNITS]]=0,0,INVESTORS_LIST[[#This Row],[TOTAL CURRENT UNITS]]*INVESTORS_LIST[[#This Row],[NAV]])</f>
        <v>0</v>
      </c>
      <c r="AL698" s="4">
        <f>IF(INVESTORS_LIST[[#This Row],[LS_TOTAL CURRENT UNITS]]=0,0,INVESTORS_LIST[[#This Row],[LS_TOTAL CURRENT UNITS]]*INVESTORS_LIST[[#This Row],[NAV]])</f>
        <v>0</v>
      </c>
      <c r="AM698" s="6">
        <f>IF(INVESTORS_LIST[[#This Row],[SIP_TOTAL CURRENT UNITS]]=0,0,INVESTORS_LIST[[#This Row],[SIP_TOTAL CURRENT UNITS]]*INVESTORS_LIST[[#This Row],[NAV]])</f>
        <v>0</v>
      </c>
      <c r="AO698" s="6">
        <f>IF(INVESTORS_LIST[[#This Row],[TOTAL SELLABLE UNITS]]=0,0,INVESTORS_LIST[[#This Row],[TOTAL SELLABLE UNITS]]*INVESTORS_LIST[[#This Row],[NAV]])</f>
        <v>0</v>
      </c>
      <c r="AP698" s="6">
        <f>INVESTORS_LIST[[#This Row],[LS_TOTAL REALIZED GAIN]]+INVESTORS_LIST[[#This Row],[SIP_TOTAL REALIZED GAIN]]</f>
        <v>0</v>
      </c>
      <c r="AQ698" s="6">
        <f>INVESTORS_LIST[[#This Row],[TOTAL MARKET VALUE]]-INVESTORS_LIST[[#This Row],[TOTAL COST VALUE OF CURRENT INVESTMENT]]</f>
        <v>0</v>
      </c>
      <c r="AR698" s="6">
        <f>SUMIFS(DivAndTax[Tax Amount],DivAndTax[Investor ID],INVESTORS_LIST[[#This Row],[INVESTOR CODE]])</f>
        <v>0</v>
      </c>
      <c r="AS698" s="6">
        <f>SUMIFS(DivAndTax[Gross Dividend],DivAndTax[Investor ID],INVESTORS_LIST[[#This Row],[INVESTOR CODE]])</f>
        <v>0</v>
      </c>
      <c r="AT698" s="5">
        <f>IFERROR(INVESTORS_LIST[[#This Row],[TOTAL CURRENT UNITS]]/SUM(INVESTORS_LIST[TOTAL CURRENT UNITS]),0)</f>
        <v>0</v>
      </c>
    </row>
    <row r="699" spans="1:46" hidden="1">
      <c r="A699" t="s">
        <v>1581</v>
      </c>
      <c r="B699" t="s">
        <v>1582</v>
      </c>
      <c r="C699" t="s">
        <v>536</v>
      </c>
      <c r="D699" s="8" t="s">
        <v>2</v>
      </c>
      <c r="E699" s="2">
        <f>SUMIFS(LS[Unit],LS[Investor ID],INVESTORS_LIST[[#This Row],[INVESTOR CODE]],LS[B/S],"B")</f>
        <v>0</v>
      </c>
      <c r="F699" s="2">
        <f>-SUMIFS(LS[Unit],LS[Investor ID],INVESTORS_LIST[[#This Row],[INVESTOR CODE]],LS[B/S],"S")</f>
        <v>0</v>
      </c>
      <c r="G699" s="2">
        <f>IF(INVESTORS_LIST[[#This Row],[LS_TOTAL UNITS BUY]]=0,0,INVESTORS_LIST[[#This Row],[LS_TOTAL UNITS BUY]]-INVESTORS_LIST[[#This Row],[LS_TOTAL UNITS SOLD]])</f>
        <v>0</v>
      </c>
      <c r="H699" s="4">
        <f>IF(INVESTORS_LIST[[#This Row],[LS_TOTAL UNITS BUY]]=0,0,SUMIFS(LS[Amount],LS[Investor ID],INVESTORS_LIST[[#This Row],[INVESTOR CODE]],LS[B/S],"B"))</f>
        <v>0</v>
      </c>
      <c r="I699" s="6">
        <f>IF(INVESTORS_LIST[[#This Row],[LS_TOTAL UNITS SOLD]]=0,0,SUMIFS(LS[Cost of Units Sold],LS[Investor ID],INVESTORS_LIST[[#This Row],[INVESTOR CODE]],LS[B/S],"S"))</f>
        <v>0</v>
      </c>
      <c r="J699" s="6">
        <f>IF(INVESTORS_LIST[[#This Row],[LS_TOTAL CURRENT UNITS]]=0,0,INVESTORS_LIST[[#This Row],[LS_TOTAL CURRENT UNITS]]*INVESTORS_LIST[[#This Row],[LS_AVERAGE COST]])</f>
        <v>0</v>
      </c>
      <c r="K699" s="4">
        <f>IF(INVESTORS_LIST[[#This Row],[LS_TOTAL UNITS SOLD]]=0,0,SUMIFS(LS[Realized Gain],LS[Investor ID],INVESTORS_LIST[[#This Row],[INVESTOR CODE]],LS[B/S],"S"))</f>
        <v>0</v>
      </c>
      <c r="L699" s="2">
        <f>SUMIFS(SIP[Unit],SIP[Investor ID],INVESTORS_LIST[[#This Row],[INVESTOR CODE]],SIP[B/S],"B")</f>
        <v>0</v>
      </c>
      <c r="M699" s="2">
        <f>-SUMIFS(SIP[Unit],SIP[Investor ID],INVESTORS_LIST[[#This Row],[INVESTOR CODE]],SIP[B/S],"S")</f>
        <v>0</v>
      </c>
      <c r="N699" s="33">
        <f>IF(INVESTORS_LIST[[#This Row],[SIP_TOTAL UNITS BUY]]=0,0,INVESTORS_LIST[[#This Row],[SIP_TOTAL UNITS BUY]]-INVESTORS_LIST[[#This Row],[SIP_TOTAL UNITS SOLD]])</f>
        <v>0</v>
      </c>
      <c r="O699" s="4">
        <f>IF(INVESTORS_LIST[[#This Row],[SIP_TOTAL UNITS BUY]]=0,0,SUMIFS(SIP[Amount],SIP[Investor ID],INVESTORS_LIST[[#This Row],[INVESTOR CODE]],SIP[B/S],"B"))</f>
        <v>0</v>
      </c>
      <c r="P699" s="4">
        <f>IF(INVESTORS_LIST[[#This Row],[SIP_TOTAL UNITS SOLD]]=0,0,SUMIFS(SIP[Cost of Units Sold],SIP[Investor ID],INVESTORS_LIST[[#This Row],[INVESTOR CODE]],SIP[B/S],"S"))</f>
        <v>0</v>
      </c>
      <c r="Q699" s="6">
        <f>IF(INVESTORS_LIST[[#This Row],[SIP_TOTAL CURRENT UNITS]]=0,0,INVESTORS_LIST[[#This Row],[SIP_TOTAL CURRENT UNITS]]*INVESTORS_LIST[[#This Row],[SIP_AVERAGE COST]])</f>
        <v>0</v>
      </c>
      <c r="R699" s="6">
        <f>IF(INVESTORS_LIST[[#This Row],[SIP_TOTAL UNITS SOLD]]=0,0,SUMIFS(SIP[Realized Gain],SIP[Investor ID],INVESTORS_LIST[[#This Row],[INVESTOR CODE]],SIP[B/S],"S"))</f>
        <v>0</v>
      </c>
      <c r="S699" s="33">
        <f>INVESTORS_LIST[[#This Row],[LS_TOTAL UNITS BUY]]+INVESTORS_LIST[[#This Row],[SIP_TOTAL UNITS BUY]]</f>
        <v>0</v>
      </c>
      <c r="T699" s="33">
        <f>INVESTORS_LIST[[#This Row],[LS_TOTAL UNITS SOLD]]+INVESTORS_LIST[[#This Row],[SIP_TOTAL UNITS SOLD]]</f>
        <v>0</v>
      </c>
      <c r="U699" s="33">
        <v>0</v>
      </c>
      <c r="V699" s="33">
        <f>SUMIFS(LS[BO UNIT TRANSFER],LS[Investor ID],INVESTORS_LIST[[#This Row],[INVESTOR CODE]],LS[B/S],"B")</f>
        <v>0</v>
      </c>
      <c r="W699" s="33">
        <f>SUMIFS(LS[BO UNIT TRANSFER],LS[Investor ID],INVESTORS_LIST[[#This Row],[INVESTOR CODE]],LS[B/S],"S")</f>
        <v>0</v>
      </c>
      <c r="X699" s="33">
        <f>SUMIFS(SIP[BO UNIT TRANSFER],SIP[Investor ID],INVESTORS_LIST[[#This Row],[INVESTOR CODE]],SIP[B/S],"S")</f>
        <v>0</v>
      </c>
      <c r="Y699" s="33">
        <f>SUMIFS(SIP[BO UNIT TRANSFER],SIP[Investor ID],INVESTORS_LIST[[#This Row],[INVESTOR CODE]],SIP[B/S],"B")</f>
        <v>0</v>
      </c>
      <c r="Z69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699" s="119">
        <f>INVESTORS_LIST[[#This Row],[TOTAL UNITS BUY]]-INVESTORS_LIST[[#This Row],[TOTAL UNITS SOLD]]</f>
        <v>0</v>
      </c>
      <c r="AB699" s="119">
        <f>INVESTORS_LIST[[#This Row],[TOTAL CURRENT UNITS]]-INVESTORS_LIST[[#This Row],[BO UNITS HOLD]]</f>
        <v>0</v>
      </c>
      <c r="AC699" s="119" t="e">
        <f>INDEX([4]!Table_1[BO ID],MATCH(INVESTORS_LIST[[#This Row],[INVESTOR CODE]],[4]!Table_1[INVESTOR CODE],0))</f>
        <v>#REF!</v>
      </c>
      <c r="AD699" s="33">
        <f>INVESTORS_LIST[[#This Row],[LS_TOTAL COST VALUE OF CURRENT UNITS]]+INVESTORS_LIST[[#This Row],[SIP_TOTAL COST VALUE OF CURRENT UNITS]]</f>
        <v>0</v>
      </c>
      <c r="AE699" s="44">
        <f>IF(INVESTORS_LIST[[#This Row],[TOTAL CURRENT UNITS]]=0,0,INVESTORS_LIST[[#This Row],[LS_TOTAL CURRENT UNITS]]/INVESTORS_LIST[[#This Row],[TOTAL CURRENT UNITS]])</f>
        <v>0</v>
      </c>
      <c r="AF699" s="44">
        <f>IF(INVESTORS_LIST[[#This Row],[TOTAL CURRENT UNITS]]=0,0,INVESTORS_LIST[[#This Row],[SIP_TOTAL CURRENT UNITS]]/INVESTORS_LIST[[#This Row],[TOTAL CURRENT UNITS]])</f>
        <v>0</v>
      </c>
      <c r="AG699" s="4" cm="1">
        <f t="array" ref="AG69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699" s="4" cm="1">
        <f t="array" ref="AH69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699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699" s="178">
        <f t="shared" si="22"/>
        <v>12.552</v>
      </c>
      <c r="AK699" s="118">
        <f>IF(INVESTORS_LIST[[#This Row],[TOTAL CURRENT UNITS]]=0,0,INVESTORS_LIST[[#This Row],[TOTAL CURRENT UNITS]]*INVESTORS_LIST[[#This Row],[NAV]])</f>
        <v>0</v>
      </c>
      <c r="AL699" s="4">
        <f>IF(INVESTORS_LIST[[#This Row],[LS_TOTAL CURRENT UNITS]]=0,0,INVESTORS_LIST[[#This Row],[LS_TOTAL CURRENT UNITS]]*INVESTORS_LIST[[#This Row],[NAV]])</f>
        <v>0</v>
      </c>
      <c r="AM699" s="6">
        <f>IF(INVESTORS_LIST[[#This Row],[SIP_TOTAL CURRENT UNITS]]=0,0,INVESTORS_LIST[[#This Row],[SIP_TOTAL CURRENT UNITS]]*INVESTORS_LIST[[#This Row],[NAV]])</f>
        <v>0</v>
      </c>
      <c r="AO699" s="6">
        <f>IF(INVESTORS_LIST[[#This Row],[TOTAL SELLABLE UNITS]]=0,0,INVESTORS_LIST[[#This Row],[TOTAL SELLABLE UNITS]]*INVESTORS_LIST[[#This Row],[NAV]])</f>
        <v>0</v>
      </c>
      <c r="AP699" s="6">
        <f>INVESTORS_LIST[[#This Row],[LS_TOTAL REALIZED GAIN]]+INVESTORS_LIST[[#This Row],[SIP_TOTAL REALIZED GAIN]]</f>
        <v>0</v>
      </c>
      <c r="AQ699" s="6">
        <f>INVESTORS_LIST[[#This Row],[TOTAL MARKET VALUE]]-INVESTORS_LIST[[#This Row],[TOTAL COST VALUE OF CURRENT INVESTMENT]]</f>
        <v>0</v>
      </c>
      <c r="AR699" s="6">
        <f>SUMIFS(DivAndTax[Tax Amount],DivAndTax[Investor ID],INVESTORS_LIST[[#This Row],[INVESTOR CODE]])</f>
        <v>0</v>
      </c>
      <c r="AS699" s="6">
        <f>SUMIFS(DivAndTax[Gross Dividend],DivAndTax[Investor ID],INVESTORS_LIST[[#This Row],[INVESTOR CODE]])</f>
        <v>0</v>
      </c>
      <c r="AT699" s="5">
        <f>IFERROR(INVESTORS_LIST[[#This Row],[TOTAL CURRENT UNITS]]/SUM(INVESTORS_LIST[TOTAL CURRENT UNITS]),0)</f>
        <v>0</v>
      </c>
    </row>
    <row r="700" spans="1:46" hidden="1">
      <c r="A700" t="s">
        <v>1583</v>
      </c>
      <c r="B700" s="218" t="s">
        <v>1584</v>
      </c>
      <c r="C700" s="218" t="s">
        <v>539</v>
      </c>
      <c r="D700" s="219" t="s">
        <v>2</v>
      </c>
      <c r="E700" s="2">
        <f>SUMIFS(LS[Unit],LS[Investor ID],INVESTORS_LIST[[#This Row],[INVESTOR CODE]],LS[B/S],"B")</f>
        <v>0</v>
      </c>
      <c r="F700" s="2">
        <f>-SUMIFS(LS[Unit],LS[Investor ID],INVESTORS_LIST[[#This Row],[INVESTOR CODE]],LS[B/S],"S")</f>
        <v>0</v>
      </c>
      <c r="G700" s="2">
        <f>IF(INVESTORS_LIST[[#This Row],[LS_TOTAL UNITS BUY]]=0,0,INVESTORS_LIST[[#This Row],[LS_TOTAL UNITS BUY]]-INVESTORS_LIST[[#This Row],[LS_TOTAL UNITS SOLD]])</f>
        <v>0</v>
      </c>
      <c r="H700" s="4">
        <f>IF(INVESTORS_LIST[[#This Row],[LS_TOTAL UNITS BUY]]=0,0,SUMIFS(LS[Amount],LS[Investor ID],INVESTORS_LIST[[#This Row],[INVESTOR CODE]],LS[B/S],"B"))</f>
        <v>0</v>
      </c>
      <c r="I700" s="6">
        <f>IF(INVESTORS_LIST[[#This Row],[LS_TOTAL UNITS SOLD]]=0,0,SUMIFS(LS[Cost of Units Sold],LS[Investor ID],INVESTORS_LIST[[#This Row],[INVESTOR CODE]],LS[B/S],"S"))</f>
        <v>0</v>
      </c>
      <c r="J700" s="6">
        <f>IF(INVESTORS_LIST[[#This Row],[LS_TOTAL CURRENT UNITS]]=0,0,INVESTORS_LIST[[#This Row],[LS_TOTAL CURRENT UNITS]]*INVESTORS_LIST[[#This Row],[LS_AVERAGE COST]])</f>
        <v>0</v>
      </c>
      <c r="K700" s="4">
        <f>IF(INVESTORS_LIST[[#This Row],[LS_TOTAL UNITS SOLD]]=0,0,SUMIFS(LS[Realized Gain],LS[Investor ID],INVESTORS_LIST[[#This Row],[INVESTOR CODE]],LS[B/S],"S"))</f>
        <v>0</v>
      </c>
      <c r="L700" s="2">
        <f>SUMIFS(SIP[Unit],SIP[Investor ID],INVESTORS_LIST[[#This Row],[INVESTOR CODE]],SIP[B/S],"B")</f>
        <v>0</v>
      </c>
      <c r="M700" s="2">
        <f>-SUMIFS(SIP[Unit],SIP[Investor ID],INVESTORS_LIST[[#This Row],[INVESTOR CODE]],SIP[B/S],"S")</f>
        <v>0</v>
      </c>
      <c r="N700" s="33">
        <f>IF(INVESTORS_LIST[[#This Row],[SIP_TOTAL UNITS BUY]]=0,0,INVESTORS_LIST[[#This Row],[SIP_TOTAL UNITS BUY]]-INVESTORS_LIST[[#This Row],[SIP_TOTAL UNITS SOLD]])</f>
        <v>0</v>
      </c>
      <c r="O700" s="4">
        <f>IF(INVESTORS_LIST[[#This Row],[SIP_TOTAL UNITS BUY]]=0,0,SUMIFS(SIP[Amount],SIP[Investor ID],INVESTORS_LIST[[#This Row],[INVESTOR CODE]],SIP[B/S],"B"))</f>
        <v>0</v>
      </c>
      <c r="P700" s="4">
        <f>IF(INVESTORS_LIST[[#This Row],[SIP_TOTAL UNITS SOLD]]=0,0,SUMIFS(SIP[Cost of Units Sold],SIP[Investor ID],INVESTORS_LIST[[#This Row],[INVESTOR CODE]],SIP[B/S],"S"))</f>
        <v>0</v>
      </c>
      <c r="Q700" s="6">
        <f>IF(INVESTORS_LIST[[#This Row],[SIP_TOTAL CURRENT UNITS]]=0,0,INVESTORS_LIST[[#This Row],[SIP_TOTAL CURRENT UNITS]]*INVESTORS_LIST[[#This Row],[SIP_AVERAGE COST]])</f>
        <v>0</v>
      </c>
      <c r="R700" s="6">
        <f>IF(INVESTORS_LIST[[#This Row],[SIP_TOTAL UNITS SOLD]]=0,0,SUMIFS(SIP[Realized Gain],SIP[Investor ID],INVESTORS_LIST[[#This Row],[INVESTOR CODE]],SIP[B/S],"S"))</f>
        <v>0</v>
      </c>
      <c r="S700" s="33">
        <f>INVESTORS_LIST[[#This Row],[LS_TOTAL UNITS BUY]]+INVESTORS_LIST[[#This Row],[SIP_TOTAL UNITS BUY]]</f>
        <v>0</v>
      </c>
      <c r="T700" s="33">
        <f>INVESTORS_LIST[[#This Row],[LS_TOTAL UNITS SOLD]]+INVESTORS_LIST[[#This Row],[SIP_TOTAL UNITS SOLD]]</f>
        <v>0</v>
      </c>
      <c r="U700" s="33">
        <v>0</v>
      </c>
      <c r="V700" s="33">
        <f>SUMIFS(LS[BO UNIT TRANSFER],LS[Investor ID],INVESTORS_LIST[[#This Row],[INVESTOR CODE]],LS[B/S],"B")</f>
        <v>0</v>
      </c>
      <c r="W700" s="33">
        <f>SUMIFS(LS[BO UNIT TRANSFER],LS[Investor ID],INVESTORS_LIST[[#This Row],[INVESTOR CODE]],LS[B/S],"S")</f>
        <v>0</v>
      </c>
      <c r="X700" s="33">
        <f>SUMIFS(SIP[BO UNIT TRANSFER],SIP[Investor ID],INVESTORS_LIST[[#This Row],[INVESTOR CODE]],SIP[B/S],"S")</f>
        <v>0</v>
      </c>
      <c r="Y700" s="33">
        <f>SUMIFS(SIP[BO UNIT TRANSFER],SIP[Investor ID],INVESTORS_LIST[[#This Row],[INVESTOR CODE]],SIP[B/S],"B")</f>
        <v>0</v>
      </c>
      <c r="Z70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00" s="119">
        <f>INVESTORS_LIST[[#This Row],[TOTAL UNITS BUY]]-INVESTORS_LIST[[#This Row],[TOTAL UNITS SOLD]]</f>
        <v>0</v>
      </c>
      <c r="AB700" s="119">
        <f>INVESTORS_LIST[[#This Row],[TOTAL CURRENT UNITS]]-INVESTORS_LIST[[#This Row],[BO UNITS HOLD]]</f>
        <v>0</v>
      </c>
      <c r="AC700" s="119" t="e">
        <f>INDEX([4]!Table_1[BO ID],MATCH(INVESTORS_LIST[[#This Row],[INVESTOR CODE]],[4]!Table_1[INVESTOR CODE],0))</f>
        <v>#REF!</v>
      </c>
      <c r="AD700" s="33">
        <f>INVESTORS_LIST[[#This Row],[LS_TOTAL COST VALUE OF CURRENT UNITS]]+INVESTORS_LIST[[#This Row],[SIP_TOTAL COST VALUE OF CURRENT UNITS]]</f>
        <v>0</v>
      </c>
      <c r="AE700" s="44">
        <f>IF(INVESTORS_LIST[[#This Row],[TOTAL CURRENT UNITS]]=0,0,INVESTORS_LIST[[#This Row],[LS_TOTAL CURRENT UNITS]]/INVESTORS_LIST[[#This Row],[TOTAL CURRENT UNITS]])</f>
        <v>0</v>
      </c>
      <c r="AF700" s="44">
        <f>IF(INVESTORS_LIST[[#This Row],[TOTAL CURRENT UNITS]]=0,0,INVESTORS_LIST[[#This Row],[SIP_TOTAL CURRENT UNITS]]/INVESTORS_LIST[[#This Row],[TOTAL CURRENT UNITS]])</f>
        <v>0</v>
      </c>
      <c r="AG700" s="4" cm="1">
        <f t="array" ref="AG70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00" s="4" cm="1">
        <f t="array" ref="AH70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0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00" s="178">
        <f t="shared" si="22"/>
        <v>12.552</v>
      </c>
      <c r="AK700" s="118">
        <f>IF(INVESTORS_LIST[[#This Row],[TOTAL CURRENT UNITS]]=0,0,INVESTORS_LIST[[#This Row],[TOTAL CURRENT UNITS]]*INVESTORS_LIST[[#This Row],[NAV]])</f>
        <v>0</v>
      </c>
      <c r="AL700" s="4">
        <f>IF(INVESTORS_LIST[[#This Row],[LS_TOTAL CURRENT UNITS]]=0,0,INVESTORS_LIST[[#This Row],[LS_TOTAL CURRENT UNITS]]*INVESTORS_LIST[[#This Row],[NAV]])</f>
        <v>0</v>
      </c>
      <c r="AM700" s="6">
        <f>IF(INVESTORS_LIST[[#This Row],[SIP_TOTAL CURRENT UNITS]]=0,0,INVESTORS_LIST[[#This Row],[SIP_TOTAL CURRENT UNITS]]*INVESTORS_LIST[[#This Row],[NAV]])</f>
        <v>0</v>
      </c>
      <c r="AO700" s="6">
        <f>IF(INVESTORS_LIST[[#This Row],[TOTAL SELLABLE UNITS]]=0,0,INVESTORS_LIST[[#This Row],[TOTAL SELLABLE UNITS]]*INVESTORS_LIST[[#This Row],[NAV]])</f>
        <v>0</v>
      </c>
      <c r="AP700" s="6">
        <f>INVESTORS_LIST[[#This Row],[LS_TOTAL REALIZED GAIN]]+INVESTORS_LIST[[#This Row],[SIP_TOTAL REALIZED GAIN]]</f>
        <v>0</v>
      </c>
      <c r="AQ700" s="6">
        <f>INVESTORS_LIST[[#This Row],[TOTAL MARKET VALUE]]-INVESTORS_LIST[[#This Row],[TOTAL COST VALUE OF CURRENT INVESTMENT]]</f>
        <v>0</v>
      </c>
      <c r="AR700" s="6">
        <f>SUMIFS(DivAndTax[Tax Amount],DivAndTax[Investor ID],INVESTORS_LIST[[#This Row],[INVESTOR CODE]])</f>
        <v>0</v>
      </c>
      <c r="AS700" s="6">
        <f>SUMIFS(DivAndTax[Gross Dividend],DivAndTax[Investor ID],INVESTORS_LIST[[#This Row],[INVESTOR CODE]])</f>
        <v>0</v>
      </c>
      <c r="AT700" s="5">
        <f>IFERROR(INVESTORS_LIST[[#This Row],[TOTAL CURRENT UNITS]]/SUM(INVESTORS_LIST[TOTAL CURRENT UNITS]),0)</f>
        <v>0</v>
      </c>
    </row>
    <row r="701" spans="1:46" hidden="1">
      <c r="A701" t="s">
        <v>1588</v>
      </c>
      <c r="B701" t="s">
        <v>1589</v>
      </c>
      <c r="C701" t="s">
        <v>536</v>
      </c>
      <c r="D701" s="8" t="s">
        <v>2</v>
      </c>
      <c r="E701" s="2">
        <f>SUMIFS(LS[Unit],LS[Investor ID],INVESTORS_LIST[[#This Row],[INVESTOR CODE]],LS[B/S],"B")</f>
        <v>0</v>
      </c>
      <c r="F701" s="2">
        <f>-SUMIFS(LS[Unit],LS[Investor ID],INVESTORS_LIST[[#This Row],[INVESTOR CODE]],LS[B/S],"S")</f>
        <v>0</v>
      </c>
      <c r="G701" s="2">
        <f>IF(INVESTORS_LIST[[#This Row],[LS_TOTAL UNITS BUY]]=0,0,INVESTORS_LIST[[#This Row],[LS_TOTAL UNITS BUY]]-INVESTORS_LIST[[#This Row],[LS_TOTAL UNITS SOLD]])</f>
        <v>0</v>
      </c>
      <c r="H701" s="4">
        <f>IF(INVESTORS_LIST[[#This Row],[LS_TOTAL UNITS BUY]]=0,0,SUMIFS(LS[Amount],LS[Investor ID],INVESTORS_LIST[[#This Row],[INVESTOR CODE]],LS[B/S],"B"))</f>
        <v>0</v>
      </c>
      <c r="I701" s="6">
        <f>IF(INVESTORS_LIST[[#This Row],[LS_TOTAL UNITS SOLD]]=0,0,SUMIFS(LS[Cost of Units Sold],LS[Investor ID],INVESTORS_LIST[[#This Row],[INVESTOR CODE]],LS[B/S],"S"))</f>
        <v>0</v>
      </c>
      <c r="J701" s="6">
        <f>IF(INVESTORS_LIST[[#This Row],[LS_TOTAL CURRENT UNITS]]=0,0,INVESTORS_LIST[[#This Row],[LS_TOTAL CURRENT UNITS]]*INVESTORS_LIST[[#This Row],[LS_AVERAGE COST]])</f>
        <v>0</v>
      </c>
      <c r="K701" s="4">
        <f>IF(INVESTORS_LIST[[#This Row],[LS_TOTAL UNITS SOLD]]=0,0,SUMIFS(LS[Realized Gain],LS[Investor ID],INVESTORS_LIST[[#This Row],[INVESTOR CODE]],LS[B/S],"S"))</f>
        <v>0</v>
      </c>
      <c r="L701" s="2">
        <f>SUMIFS(SIP[Unit],SIP[Investor ID],INVESTORS_LIST[[#This Row],[INVESTOR CODE]],SIP[B/S],"B")</f>
        <v>0</v>
      </c>
      <c r="M701" s="2">
        <f>-SUMIFS(SIP[Unit],SIP[Investor ID],INVESTORS_LIST[[#This Row],[INVESTOR CODE]],SIP[B/S],"S")</f>
        <v>0</v>
      </c>
      <c r="N701" s="33">
        <f>IF(INVESTORS_LIST[[#This Row],[SIP_TOTAL UNITS BUY]]=0,0,INVESTORS_LIST[[#This Row],[SIP_TOTAL UNITS BUY]]-INVESTORS_LIST[[#This Row],[SIP_TOTAL UNITS SOLD]])</f>
        <v>0</v>
      </c>
      <c r="O701" s="4">
        <f>IF(INVESTORS_LIST[[#This Row],[SIP_TOTAL UNITS BUY]]=0,0,SUMIFS(SIP[Amount],SIP[Investor ID],INVESTORS_LIST[[#This Row],[INVESTOR CODE]],SIP[B/S],"B"))</f>
        <v>0</v>
      </c>
      <c r="P701" s="4">
        <f>IF(INVESTORS_LIST[[#This Row],[SIP_TOTAL UNITS SOLD]]=0,0,SUMIFS(SIP[Cost of Units Sold],SIP[Investor ID],INVESTORS_LIST[[#This Row],[INVESTOR CODE]],SIP[B/S],"S"))</f>
        <v>0</v>
      </c>
      <c r="Q701" s="6">
        <f>IF(INVESTORS_LIST[[#This Row],[SIP_TOTAL CURRENT UNITS]]=0,0,INVESTORS_LIST[[#This Row],[SIP_TOTAL CURRENT UNITS]]*INVESTORS_LIST[[#This Row],[SIP_AVERAGE COST]])</f>
        <v>0</v>
      </c>
      <c r="R701" s="6">
        <f>IF(INVESTORS_LIST[[#This Row],[SIP_TOTAL UNITS SOLD]]=0,0,SUMIFS(SIP[Realized Gain],SIP[Investor ID],INVESTORS_LIST[[#This Row],[INVESTOR CODE]],SIP[B/S],"S"))</f>
        <v>0</v>
      </c>
      <c r="S701" s="33">
        <f>INVESTORS_LIST[[#This Row],[LS_TOTAL UNITS BUY]]+INVESTORS_LIST[[#This Row],[SIP_TOTAL UNITS BUY]]</f>
        <v>0</v>
      </c>
      <c r="T701" s="33">
        <f>INVESTORS_LIST[[#This Row],[LS_TOTAL UNITS SOLD]]+INVESTORS_LIST[[#This Row],[SIP_TOTAL UNITS SOLD]]</f>
        <v>0</v>
      </c>
      <c r="U701" s="33">
        <v>0</v>
      </c>
      <c r="V701" s="33">
        <f>SUMIFS(LS[BO UNIT TRANSFER],LS[Investor ID],INVESTORS_LIST[[#This Row],[INVESTOR CODE]],LS[B/S],"B")</f>
        <v>0</v>
      </c>
      <c r="W701" s="33">
        <f>SUMIFS(LS[BO UNIT TRANSFER],LS[Investor ID],INVESTORS_LIST[[#This Row],[INVESTOR CODE]],LS[B/S],"S")</f>
        <v>0</v>
      </c>
      <c r="X701" s="33">
        <f>SUMIFS(SIP[BO UNIT TRANSFER],SIP[Investor ID],INVESTORS_LIST[[#This Row],[INVESTOR CODE]],SIP[B/S],"S")</f>
        <v>0</v>
      </c>
      <c r="Y701" s="33">
        <f>SUMIFS(SIP[BO UNIT TRANSFER],SIP[Investor ID],INVESTORS_LIST[[#This Row],[INVESTOR CODE]],SIP[B/S],"B")</f>
        <v>0</v>
      </c>
      <c r="Z70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01" s="119">
        <f>INVESTORS_LIST[[#This Row],[TOTAL UNITS BUY]]-INVESTORS_LIST[[#This Row],[TOTAL UNITS SOLD]]</f>
        <v>0</v>
      </c>
      <c r="AB701" s="119">
        <f>INVESTORS_LIST[[#This Row],[TOTAL CURRENT UNITS]]-INVESTORS_LIST[[#This Row],[BO UNITS HOLD]]</f>
        <v>0</v>
      </c>
      <c r="AC701" s="119" t="e">
        <f>INDEX([4]!Table_1[BO ID],MATCH(INVESTORS_LIST[[#This Row],[INVESTOR CODE]],[4]!Table_1[INVESTOR CODE],0))</f>
        <v>#REF!</v>
      </c>
      <c r="AD701" s="33">
        <f>INVESTORS_LIST[[#This Row],[LS_TOTAL COST VALUE OF CURRENT UNITS]]+INVESTORS_LIST[[#This Row],[SIP_TOTAL COST VALUE OF CURRENT UNITS]]</f>
        <v>0</v>
      </c>
      <c r="AE701" s="44">
        <f>IF(INVESTORS_LIST[[#This Row],[TOTAL CURRENT UNITS]]=0,0,INVESTORS_LIST[[#This Row],[LS_TOTAL CURRENT UNITS]]/INVESTORS_LIST[[#This Row],[TOTAL CURRENT UNITS]])</f>
        <v>0</v>
      </c>
      <c r="AF701" s="44">
        <f>IF(INVESTORS_LIST[[#This Row],[TOTAL CURRENT UNITS]]=0,0,INVESTORS_LIST[[#This Row],[SIP_TOTAL CURRENT UNITS]]/INVESTORS_LIST[[#This Row],[TOTAL CURRENT UNITS]])</f>
        <v>0</v>
      </c>
      <c r="AG701" s="4" cm="1">
        <f t="array" ref="AG70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01" s="4" cm="1">
        <f t="array" ref="AH70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0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01" s="178">
        <f t="shared" ref="AJ701:AJ708" si="23">NAV_MKT</f>
        <v>12.552</v>
      </c>
      <c r="AK701" s="118">
        <f>IF(INVESTORS_LIST[[#This Row],[TOTAL CURRENT UNITS]]=0,0,INVESTORS_LIST[[#This Row],[TOTAL CURRENT UNITS]]*INVESTORS_LIST[[#This Row],[NAV]])</f>
        <v>0</v>
      </c>
      <c r="AL701" s="4">
        <f>IF(INVESTORS_LIST[[#This Row],[LS_TOTAL CURRENT UNITS]]=0,0,INVESTORS_LIST[[#This Row],[LS_TOTAL CURRENT UNITS]]*INVESTORS_LIST[[#This Row],[NAV]])</f>
        <v>0</v>
      </c>
      <c r="AM701" s="6">
        <f>IF(INVESTORS_LIST[[#This Row],[SIP_TOTAL CURRENT UNITS]]=0,0,INVESTORS_LIST[[#This Row],[SIP_TOTAL CURRENT UNITS]]*INVESTORS_LIST[[#This Row],[NAV]])</f>
        <v>0</v>
      </c>
      <c r="AO701" s="6">
        <f>IF(INVESTORS_LIST[[#This Row],[TOTAL SELLABLE UNITS]]=0,0,INVESTORS_LIST[[#This Row],[TOTAL SELLABLE UNITS]]*INVESTORS_LIST[[#This Row],[NAV]])</f>
        <v>0</v>
      </c>
      <c r="AP701" s="6">
        <f>INVESTORS_LIST[[#This Row],[LS_TOTAL REALIZED GAIN]]+INVESTORS_LIST[[#This Row],[SIP_TOTAL REALIZED GAIN]]</f>
        <v>0</v>
      </c>
      <c r="AQ701" s="6">
        <f>INVESTORS_LIST[[#This Row],[TOTAL MARKET VALUE]]-INVESTORS_LIST[[#This Row],[TOTAL COST VALUE OF CURRENT INVESTMENT]]</f>
        <v>0</v>
      </c>
      <c r="AR701" s="6">
        <f>SUMIFS(DivAndTax[Tax Amount],DivAndTax[Investor ID],INVESTORS_LIST[[#This Row],[INVESTOR CODE]])</f>
        <v>0</v>
      </c>
      <c r="AS701" s="6">
        <f>SUMIFS(DivAndTax[Gross Dividend],DivAndTax[Investor ID],INVESTORS_LIST[[#This Row],[INVESTOR CODE]])</f>
        <v>0</v>
      </c>
      <c r="AT701" s="5">
        <f>IFERROR(INVESTORS_LIST[[#This Row],[TOTAL CURRENT UNITS]]/SUM(INVESTORS_LIST[TOTAL CURRENT UNITS]),0)</f>
        <v>0</v>
      </c>
    </row>
    <row r="702" spans="1:46" hidden="1">
      <c r="A702" t="s">
        <v>1590</v>
      </c>
      <c r="B702" t="s">
        <v>1591</v>
      </c>
      <c r="C702" t="s">
        <v>536</v>
      </c>
      <c r="D702" s="8" t="s">
        <v>2</v>
      </c>
      <c r="E702" s="2">
        <f>SUMIFS(LS[Unit],LS[Investor ID],INVESTORS_LIST[[#This Row],[INVESTOR CODE]],LS[B/S],"B")</f>
        <v>0</v>
      </c>
      <c r="F702" s="2">
        <f>-SUMIFS(LS[Unit],LS[Investor ID],INVESTORS_LIST[[#This Row],[INVESTOR CODE]],LS[B/S],"S")</f>
        <v>0</v>
      </c>
      <c r="G702" s="2">
        <f>IF(INVESTORS_LIST[[#This Row],[LS_TOTAL UNITS BUY]]=0,0,INVESTORS_LIST[[#This Row],[LS_TOTAL UNITS BUY]]-INVESTORS_LIST[[#This Row],[LS_TOTAL UNITS SOLD]])</f>
        <v>0</v>
      </c>
      <c r="H702" s="4">
        <f>IF(INVESTORS_LIST[[#This Row],[LS_TOTAL UNITS BUY]]=0,0,SUMIFS(LS[Amount],LS[Investor ID],INVESTORS_LIST[[#This Row],[INVESTOR CODE]],LS[B/S],"B"))</f>
        <v>0</v>
      </c>
      <c r="I702" s="6">
        <f>IF(INVESTORS_LIST[[#This Row],[LS_TOTAL UNITS SOLD]]=0,0,SUMIFS(LS[Cost of Units Sold],LS[Investor ID],INVESTORS_LIST[[#This Row],[INVESTOR CODE]],LS[B/S],"S"))</f>
        <v>0</v>
      </c>
      <c r="J702" s="6">
        <f>IF(INVESTORS_LIST[[#This Row],[LS_TOTAL CURRENT UNITS]]=0,0,INVESTORS_LIST[[#This Row],[LS_TOTAL CURRENT UNITS]]*INVESTORS_LIST[[#This Row],[LS_AVERAGE COST]])</f>
        <v>0</v>
      </c>
      <c r="K702" s="4">
        <f>IF(INVESTORS_LIST[[#This Row],[LS_TOTAL UNITS SOLD]]=0,0,SUMIFS(LS[Realized Gain],LS[Investor ID],INVESTORS_LIST[[#This Row],[INVESTOR CODE]],LS[B/S],"S"))</f>
        <v>0</v>
      </c>
      <c r="L702" s="2">
        <f>SUMIFS(SIP[Unit],SIP[Investor ID],INVESTORS_LIST[[#This Row],[INVESTOR CODE]],SIP[B/S],"B")</f>
        <v>0</v>
      </c>
      <c r="M702" s="2">
        <f>-SUMIFS(SIP[Unit],SIP[Investor ID],INVESTORS_LIST[[#This Row],[INVESTOR CODE]],SIP[B/S],"S")</f>
        <v>0</v>
      </c>
      <c r="N702" s="33">
        <f>IF(INVESTORS_LIST[[#This Row],[SIP_TOTAL UNITS BUY]]=0,0,INVESTORS_LIST[[#This Row],[SIP_TOTAL UNITS BUY]]-INVESTORS_LIST[[#This Row],[SIP_TOTAL UNITS SOLD]])</f>
        <v>0</v>
      </c>
      <c r="O702" s="4">
        <f>IF(INVESTORS_LIST[[#This Row],[SIP_TOTAL UNITS BUY]]=0,0,SUMIFS(SIP[Amount],SIP[Investor ID],INVESTORS_LIST[[#This Row],[INVESTOR CODE]],SIP[B/S],"B"))</f>
        <v>0</v>
      </c>
      <c r="P702" s="4">
        <f>IF(INVESTORS_LIST[[#This Row],[SIP_TOTAL UNITS SOLD]]=0,0,SUMIFS(SIP[Cost of Units Sold],SIP[Investor ID],INVESTORS_LIST[[#This Row],[INVESTOR CODE]],SIP[B/S],"S"))</f>
        <v>0</v>
      </c>
      <c r="Q702" s="6">
        <f>IF(INVESTORS_LIST[[#This Row],[SIP_TOTAL CURRENT UNITS]]=0,0,INVESTORS_LIST[[#This Row],[SIP_TOTAL CURRENT UNITS]]*INVESTORS_LIST[[#This Row],[SIP_AVERAGE COST]])</f>
        <v>0</v>
      </c>
      <c r="R702" s="6">
        <f>IF(INVESTORS_LIST[[#This Row],[SIP_TOTAL UNITS SOLD]]=0,0,SUMIFS(SIP[Realized Gain],SIP[Investor ID],INVESTORS_LIST[[#This Row],[INVESTOR CODE]],SIP[B/S],"S"))</f>
        <v>0</v>
      </c>
      <c r="S702" s="33">
        <f>INVESTORS_LIST[[#This Row],[LS_TOTAL UNITS BUY]]+INVESTORS_LIST[[#This Row],[SIP_TOTAL UNITS BUY]]</f>
        <v>0</v>
      </c>
      <c r="T702" s="33">
        <f>INVESTORS_LIST[[#This Row],[LS_TOTAL UNITS SOLD]]+INVESTORS_LIST[[#This Row],[SIP_TOTAL UNITS SOLD]]</f>
        <v>0</v>
      </c>
      <c r="U702" s="33">
        <v>0</v>
      </c>
      <c r="V702" s="33">
        <f>SUMIFS(LS[BO UNIT TRANSFER],LS[Investor ID],INVESTORS_LIST[[#This Row],[INVESTOR CODE]],LS[B/S],"B")</f>
        <v>0</v>
      </c>
      <c r="W702" s="33">
        <f>SUMIFS(LS[BO UNIT TRANSFER],LS[Investor ID],INVESTORS_LIST[[#This Row],[INVESTOR CODE]],LS[B/S],"S")</f>
        <v>0</v>
      </c>
      <c r="X702" s="33">
        <f>SUMIFS(SIP[BO UNIT TRANSFER],SIP[Investor ID],INVESTORS_LIST[[#This Row],[INVESTOR CODE]],SIP[B/S],"S")</f>
        <v>0</v>
      </c>
      <c r="Y702" s="33">
        <f>SUMIFS(SIP[BO UNIT TRANSFER],SIP[Investor ID],INVESTORS_LIST[[#This Row],[INVESTOR CODE]],SIP[B/S],"B")</f>
        <v>0</v>
      </c>
      <c r="Z70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02" s="119">
        <f>INVESTORS_LIST[[#This Row],[TOTAL UNITS BUY]]-INVESTORS_LIST[[#This Row],[TOTAL UNITS SOLD]]</f>
        <v>0</v>
      </c>
      <c r="AB702" s="119">
        <f>INVESTORS_LIST[[#This Row],[TOTAL CURRENT UNITS]]-INVESTORS_LIST[[#This Row],[BO UNITS HOLD]]</f>
        <v>0</v>
      </c>
      <c r="AC702" s="119" t="e">
        <f>INDEX([4]!Table_1[BO ID],MATCH(INVESTORS_LIST[[#This Row],[INVESTOR CODE]],[4]!Table_1[INVESTOR CODE],0))</f>
        <v>#REF!</v>
      </c>
      <c r="AD702" s="33">
        <f>INVESTORS_LIST[[#This Row],[LS_TOTAL COST VALUE OF CURRENT UNITS]]+INVESTORS_LIST[[#This Row],[SIP_TOTAL COST VALUE OF CURRENT UNITS]]</f>
        <v>0</v>
      </c>
      <c r="AE702" s="44">
        <f>IF(INVESTORS_LIST[[#This Row],[TOTAL CURRENT UNITS]]=0,0,INVESTORS_LIST[[#This Row],[LS_TOTAL CURRENT UNITS]]/INVESTORS_LIST[[#This Row],[TOTAL CURRENT UNITS]])</f>
        <v>0</v>
      </c>
      <c r="AF702" s="44">
        <f>IF(INVESTORS_LIST[[#This Row],[TOTAL CURRENT UNITS]]=0,0,INVESTORS_LIST[[#This Row],[SIP_TOTAL CURRENT UNITS]]/INVESTORS_LIST[[#This Row],[TOTAL CURRENT UNITS]])</f>
        <v>0</v>
      </c>
      <c r="AG702" s="4" cm="1">
        <f t="array" ref="AG70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02" s="4" cm="1">
        <f t="array" ref="AH70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0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02" s="178">
        <f t="shared" si="23"/>
        <v>12.552</v>
      </c>
      <c r="AK702" s="118">
        <f>IF(INVESTORS_LIST[[#This Row],[TOTAL CURRENT UNITS]]=0,0,INVESTORS_LIST[[#This Row],[TOTAL CURRENT UNITS]]*INVESTORS_LIST[[#This Row],[NAV]])</f>
        <v>0</v>
      </c>
      <c r="AL702" s="4">
        <f>IF(INVESTORS_LIST[[#This Row],[LS_TOTAL CURRENT UNITS]]=0,0,INVESTORS_LIST[[#This Row],[LS_TOTAL CURRENT UNITS]]*INVESTORS_LIST[[#This Row],[NAV]])</f>
        <v>0</v>
      </c>
      <c r="AM702" s="6">
        <f>IF(INVESTORS_LIST[[#This Row],[SIP_TOTAL CURRENT UNITS]]=0,0,INVESTORS_LIST[[#This Row],[SIP_TOTAL CURRENT UNITS]]*INVESTORS_LIST[[#This Row],[NAV]])</f>
        <v>0</v>
      </c>
      <c r="AO702" s="6">
        <f>IF(INVESTORS_LIST[[#This Row],[TOTAL SELLABLE UNITS]]=0,0,INVESTORS_LIST[[#This Row],[TOTAL SELLABLE UNITS]]*INVESTORS_LIST[[#This Row],[NAV]])</f>
        <v>0</v>
      </c>
      <c r="AP702" s="6">
        <f>INVESTORS_LIST[[#This Row],[LS_TOTAL REALIZED GAIN]]+INVESTORS_LIST[[#This Row],[SIP_TOTAL REALIZED GAIN]]</f>
        <v>0</v>
      </c>
      <c r="AQ702" s="6">
        <f>INVESTORS_LIST[[#This Row],[TOTAL MARKET VALUE]]-INVESTORS_LIST[[#This Row],[TOTAL COST VALUE OF CURRENT INVESTMENT]]</f>
        <v>0</v>
      </c>
      <c r="AR702" s="6">
        <f>SUMIFS(DivAndTax[Tax Amount],DivAndTax[Investor ID],INVESTORS_LIST[[#This Row],[INVESTOR CODE]])</f>
        <v>0</v>
      </c>
      <c r="AS702" s="6">
        <f>SUMIFS(DivAndTax[Gross Dividend],DivAndTax[Investor ID],INVESTORS_LIST[[#This Row],[INVESTOR CODE]])</f>
        <v>0</v>
      </c>
      <c r="AT702" s="5">
        <f>IFERROR(INVESTORS_LIST[[#This Row],[TOTAL CURRENT UNITS]]/SUM(INVESTORS_LIST[TOTAL CURRENT UNITS]),0)</f>
        <v>0</v>
      </c>
    </row>
    <row r="703" spans="1:46" hidden="1">
      <c r="A703" t="s">
        <v>1592</v>
      </c>
      <c r="B703" t="s">
        <v>1593</v>
      </c>
      <c r="C703" t="s">
        <v>536</v>
      </c>
      <c r="D703" s="8" t="s">
        <v>2</v>
      </c>
      <c r="E703" s="2">
        <f>SUMIFS(LS[Unit],LS[Investor ID],INVESTORS_LIST[[#This Row],[INVESTOR CODE]],LS[B/S],"B")</f>
        <v>0</v>
      </c>
      <c r="F703" s="2">
        <f>-SUMIFS(LS[Unit],LS[Investor ID],INVESTORS_LIST[[#This Row],[INVESTOR CODE]],LS[B/S],"S")</f>
        <v>0</v>
      </c>
      <c r="G703" s="2">
        <f>IF(INVESTORS_LIST[[#This Row],[LS_TOTAL UNITS BUY]]=0,0,INVESTORS_LIST[[#This Row],[LS_TOTAL UNITS BUY]]-INVESTORS_LIST[[#This Row],[LS_TOTAL UNITS SOLD]])</f>
        <v>0</v>
      </c>
      <c r="H703" s="4">
        <f>IF(INVESTORS_LIST[[#This Row],[LS_TOTAL UNITS BUY]]=0,0,SUMIFS(LS[Amount],LS[Investor ID],INVESTORS_LIST[[#This Row],[INVESTOR CODE]],LS[B/S],"B"))</f>
        <v>0</v>
      </c>
      <c r="I703" s="6">
        <f>IF(INVESTORS_LIST[[#This Row],[LS_TOTAL UNITS SOLD]]=0,0,SUMIFS(LS[Cost of Units Sold],LS[Investor ID],INVESTORS_LIST[[#This Row],[INVESTOR CODE]],LS[B/S],"S"))</f>
        <v>0</v>
      </c>
      <c r="J703" s="6">
        <f>IF(INVESTORS_LIST[[#This Row],[LS_TOTAL CURRENT UNITS]]=0,0,INVESTORS_LIST[[#This Row],[LS_TOTAL CURRENT UNITS]]*INVESTORS_LIST[[#This Row],[LS_AVERAGE COST]])</f>
        <v>0</v>
      </c>
      <c r="K703" s="4">
        <f>IF(INVESTORS_LIST[[#This Row],[LS_TOTAL UNITS SOLD]]=0,0,SUMIFS(LS[Realized Gain],LS[Investor ID],INVESTORS_LIST[[#This Row],[INVESTOR CODE]],LS[B/S],"S"))</f>
        <v>0</v>
      </c>
      <c r="L703" s="2">
        <f>SUMIFS(SIP[Unit],SIP[Investor ID],INVESTORS_LIST[[#This Row],[INVESTOR CODE]],SIP[B/S],"B")</f>
        <v>0</v>
      </c>
      <c r="M703" s="2">
        <f>-SUMIFS(SIP[Unit],SIP[Investor ID],INVESTORS_LIST[[#This Row],[INVESTOR CODE]],SIP[B/S],"S")</f>
        <v>0</v>
      </c>
      <c r="N703" s="33">
        <f>IF(INVESTORS_LIST[[#This Row],[SIP_TOTAL UNITS BUY]]=0,0,INVESTORS_LIST[[#This Row],[SIP_TOTAL UNITS BUY]]-INVESTORS_LIST[[#This Row],[SIP_TOTAL UNITS SOLD]])</f>
        <v>0</v>
      </c>
      <c r="O703" s="4">
        <f>IF(INVESTORS_LIST[[#This Row],[SIP_TOTAL UNITS BUY]]=0,0,SUMIFS(SIP[Amount],SIP[Investor ID],INVESTORS_LIST[[#This Row],[INVESTOR CODE]],SIP[B/S],"B"))</f>
        <v>0</v>
      </c>
      <c r="P703" s="4">
        <f>IF(INVESTORS_LIST[[#This Row],[SIP_TOTAL UNITS SOLD]]=0,0,SUMIFS(SIP[Cost of Units Sold],SIP[Investor ID],INVESTORS_LIST[[#This Row],[INVESTOR CODE]],SIP[B/S],"S"))</f>
        <v>0</v>
      </c>
      <c r="Q703" s="6">
        <f>IF(INVESTORS_LIST[[#This Row],[SIP_TOTAL CURRENT UNITS]]=0,0,INVESTORS_LIST[[#This Row],[SIP_TOTAL CURRENT UNITS]]*INVESTORS_LIST[[#This Row],[SIP_AVERAGE COST]])</f>
        <v>0</v>
      </c>
      <c r="R703" s="6">
        <f>IF(INVESTORS_LIST[[#This Row],[SIP_TOTAL UNITS SOLD]]=0,0,SUMIFS(SIP[Realized Gain],SIP[Investor ID],INVESTORS_LIST[[#This Row],[INVESTOR CODE]],SIP[B/S],"S"))</f>
        <v>0</v>
      </c>
      <c r="S703" s="33">
        <f>INVESTORS_LIST[[#This Row],[LS_TOTAL UNITS BUY]]+INVESTORS_LIST[[#This Row],[SIP_TOTAL UNITS BUY]]</f>
        <v>0</v>
      </c>
      <c r="T703" s="33">
        <f>INVESTORS_LIST[[#This Row],[LS_TOTAL UNITS SOLD]]+INVESTORS_LIST[[#This Row],[SIP_TOTAL UNITS SOLD]]</f>
        <v>0</v>
      </c>
      <c r="U703" s="33">
        <v>0</v>
      </c>
      <c r="V703" s="33">
        <f>SUMIFS(LS[BO UNIT TRANSFER],LS[Investor ID],INVESTORS_LIST[[#This Row],[INVESTOR CODE]],LS[B/S],"B")</f>
        <v>0</v>
      </c>
      <c r="W703" s="33">
        <f>SUMIFS(LS[BO UNIT TRANSFER],LS[Investor ID],INVESTORS_LIST[[#This Row],[INVESTOR CODE]],LS[B/S],"S")</f>
        <v>0</v>
      </c>
      <c r="X703" s="33">
        <f>SUMIFS(SIP[BO UNIT TRANSFER],SIP[Investor ID],INVESTORS_LIST[[#This Row],[INVESTOR CODE]],SIP[B/S],"S")</f>
        <v>0</v>
      </c>
      <c r="Y703" s="33">
        <f>SUMIFS(SIP[BO UNIT TRANSFER],SIP[Investor ID],INVESTORS_LIST[[#This Row],[INVESTOR CODE]],SIP[B/S],"B")</f>
        <v>0</v>
      </c>
      <c r="Z70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03" s="119">
        <f>INVESTORS_LIST[[#This Row],[TOTAL UNITS BUY]]-INVESTORS_LIST[[#This Row],[TOTAL UNITS SOLD]]</f>
        <v>0</v>
      </c>
      <c r="AB703" s="119">
        <f>INVESTORS_LIST[[#This Row],[TOTAL CURRENT UNITS]]-INVESTORS_LIST[[#This Row],[BO UNITS HOLD]]</f>
        <v>0</v>
      </c>
      <c r="AC703" s="119" t="e">
        <f>INDEX([4]!Table_1[BO ID],MATCH(INVESTORS_LIST[[#This Row],[INVESTOR CODE]],[4]!Table_1[INVESTOR CODE],0))</f>
        <v>#REF!</v>
      </c>
      <c r="AD703" s="33">
        <f>INVESTORS_LIST[[#This Row],[LS_TOTAL COST VALUE OF CURRENT UNITS]]+INVESTORS_LIST[[#This Row],[SIP_TOTAL COST VALUE OF CURRENT UNITS]]</f>
        <v>0</v>
      </c>
      <c r="AE703" s="44">
        <f>IF(INVESTORS_LIST[[#This Row],[TOTAL CURRENT UNITS]]=0,0,INVESTORS_LIST[[#This Row],[LS_TOTAL CURRENT UNITS]]/INVESTORS_LIST[[#This Row],[TOTAL CURRENT UNITS]])</f>
        <v>0</v>
      </c>
      <c r="AF703" s="44">
        <f>IF(INVESTORS_LIST[[#This Row],[TOTAL CURRENT UNITS]]=0,0,INVESTORS_LIST[[#This Row],[SIP_TOTAL CURRENT UNITS]]/INVESTORS_LIST[[#This Row],[TOTAL CURRENT UNITS]])</f>
        <v>0</v>
      </c>
      <c r="AG703" s="4" cm="1">
        <f t="array" ref="AG70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03" s="4" cm="1">
        <f t="array" ref="AH70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0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03" s="178">
        <f t="shared" si="23"/>
        <v>12.552</v>
      </c>
      <c r="AK703" s="118">
        <f>IF(INVESTORS_LIST[[#This Row],[TOTAL CURRENT UNITS]]=0,0,INVESTORS_LIST[[#This Row],[TOTAL CURRENT UNITS]]*INVESTORS_LIST[[#This Row],[NAV]])</f>
        <v>0</v>
      </c>
      <c r="AL703" s="4">
        <f>IF(INVESTORS_LIST[[#This Row],[LS_TOTAL CURRENT UNITS]]=0,0,INVESTORS_LIST[[#This Row],[LS_TOTAL CURRENT UNITS]]*INVESTORS_LIST[[#This Row],[NAV]])</f>
        <v>0</v>
      </c>
      <c r="AM703" s="6">
        <f>IF(INVESTORS_LIST[[#This Row],[SIP_TOTAL CURRENT UNITS]]=0,0,INVESTORS_LIST[[#This Row],[SIP_TOTAL CURRENT UNITS]]*INVESTORS_LIST[[#This Row],[NAV]])</f>
        <v>0</v>
      </c>
      <c r="AO703" s="6">
        <f>IF(INVESTORS_LIST[[#This Row],[TOTAL SELLABLE UNITS]]=0,0,INVESTORS_LIST[[#This Row],[TOTAL SELLABLE UNITS]]*INVESTORS_LIST[[#This Row],[NAV]])</f>
        <v>0</v>
      </c>
      <c r="AP703" s="6">
        <f>INVESTORS_LIST[[#This Row],[LS_TOTAL REALIZED GAIN]]+INVESTORS_LIST[[#This Row],[SIP_TOTAL REALIZED GAIN]]</f>
        <v>0</v>
      </c>
      <c r="AQ703" s="6">
        <f>INVESTORS_LIST[[#This Row],[TOTAL MARKET VALUE]]-INVESTORS_LIST[[#This Row],[TOTAL COST VALUE OF CURRENT INVESTMENT]]</f>
        <v>0</v>
      </c>
      <c r="AR703" s="6">
        <f>SUMIFS(DivAndTax[Tax Amount],DivAndTax[Investor ID],INVESTORS_LIST[[#This Row],[INVESTOR CODE]])</f>
        <v>0</v>
      </c>
      <c r="AS703" s="6">
        <f>SUMIFS(DivAndTax[Gross Dividend],DivAndTax[Investor ID],INVESTORS_LIST[[#This Row],[INVESTOR CODE]])</f>
        <v>0</v>
      </c>
      <c r="AT703" s="5">
        <f>IFERROR(INVESTORS_LIST[[#This Row],[TOTAL CURRENT UNITS]]/SUM(INVESTORS_LIST[TOTAL CURRENT UNITS]),0)</f>
        <v>0</v>
      </c>
    </row>
    <row r="704" spans="1:46" hidden="1">
      <c r="A704" t="s">
        <v>1594</v>
      </c>
      <c r="B704" t="s">
        <v>1595</v>
      </c>
      <c r="C704" t="s">
        <v>539</v>
      </c>
      <c r="D704" s="8" t="s">
        <v>2</v>
      </c>
      <c r="E704" s="2">
        <f>SUMIFS(LS[Unit],LS[Investor ID],INVESTORS_LIST[[#This Row],[INVESTOR CODE]],LS[B/S],"B")</f>
        <v>0</v>
      </c>
      <c r="F704" s="2">
        <f>-SUMIFS(LS[Unit],LS[Investor ID],INVESTORS_LIST[[#This Row],[INVESTOR CODE]],LS[B/S],"S")</f>
        <v>0</v>
      </c>
      <c r="G704" s="2">
        <f>IF(INVESTORS_LIST[[#This Row],[LS_TOTAL UNITS BUY]]=0,0,INVESTORS_LIST[[#This Row],[LS_TOTAL UNITS BUY]]-INVESTORS_LIST[[#This Row],[LS_TOTAL UNITS SOLD]])</f>
        <v>0</v>
      </c>
      <c r="H704" s="4">
        <f>IF(INVESTORS_LIST[[#This Row],[LS_TOTAL UNITS BUY]]=0,0,SUMIFS(LS[Amount],LS[Investor ID],INVESTORS_LIST[[#This Row],[INVESTOR CODE]],LS[B/S],"B"))</f>
        <v>0</v>
      </c>
      <c r="I704" s="6">
        <f>IF(INVESTORS_LIST[[#This Row],[LS_TOTAL UNITS SOLD]]=0,0,SUMIFS(LS[Cost of Units Sold],LS[Investor ID],INVESTORS_LIST[[#This Row],[INVESTOR CODE]],LS[B/S],"S"))</f>
        <v>0</v>
      </c>
      <c r="J704" s="6">
        <f>IF(INVESTORS_LIST[[#This Row],[LS_TOTAL CURRENT UNITS]]=0,0,INVESTORS_LIST[[#This Row],[LS_TOTAL CURRENT UNITS]]*INVESTORS_LIST[[#This Row],[LS_AVERAGE COST]])</f>
        <v>0</v>
      </c>
      <c r="K704" s="4">
        <f>IF(INVESTORS_LIST[[#This Row],[LS_TOTAL UNITS SOLD]]=0,0,SUMIFS(LS[Realized Gain],LS[Investor ID],INVESTORS_LIST[[#This Row],[INVESTOR CODE]],LS[B/S],"S"))</f>
        <v>0</v>
      </c>
      <c r="L704" s="2">
        <f>SUMIFS(SIP[Unit],SIP[Investor ID],INVESTORS_LIST[[#This Row],[INVESTOR CODE]],SIP[B/S],"B")</f>
        <v>0</v>
      </c>
      <c r="M704" s="2">
        <f>-SUMIFS(SIP[Unit],SIP[Investor ID],INVESTORS_LIST[[#This Row],[INVESTOR CODE]],SIP[B/S],"S")</f>
        <v>0</v>
      </c>
      <c r="N704" s="33">
        <f>IF(INVESTORS_LIST[[#This Row],[SIP_TOTAL UNITS BUY]]=0,0,INVESTORS_LIST[[#This Row],[SIP_TOTAL UNITS BUY]]-INVESTORS_LIST[[#This Row],[SIP_TOTAL UNITS SOLD]])</f>
        <v>0</v>
      </c>
      <c r="O704" s="4">
        <f>IF(INVESTORS_LIST[[#This Row],[SIP_TOTAL UNITS BUY]]=0,0,SUMIFS(SIP[Amount],SIP[Investor ID],INVESTORS_LIST[[#This Row],[INVESTOR CODE]],SIP[B/S],"B"))</f>
        <v>0</v>
      </c>
      <c r="P704" s="4">
        <f>IF(INVESTORS_LIST[[#This Row],[SIP_TOTAL UNITS SOLD]]=0,0,SUMIFS(SIP[Cost of Units Sold],SIP[Investor ID],INVESTORS_LIST[[#This Row],[INVESTOR CODE]],SIP[B/S],"S"))</f>
        <v>0</v>
      </c>
      <c r="Q704" s="6">
        <f>IF(INVESTORS_LIST[[#This Row],[SIP_TOTAL CURRENT UNITS]]=0,0,INVESTORS_LIST[[#This Row],[SIP_TOTAL CURRENT UNITS]]*INVESTORS_LIST[[#This Row],[SIP_AVERAGE COST]])</f>
        <v>0</v>
      </c>
      <c r="R704" s="6">
        <f>IF(INVESTORS_LIST[[#This Row],[SIP_TOTAL UNITS SOLD]]=0,0,SUMIFS(SIP[Realized Gain],SIP[Investor ID],INVESTORS_LIST[[#This Row],[INVESTOR CODE]],SIP[B/S],"S"))</f>
        <v>0</v>
      </c>
      <c r="S704" s="33">
        <f>INVESTORS_LIST[[#This Row],[LS_TOTAL UNITS BUY]]+INVESTORS_LIST[[#This Row],[SIP_TOTAL UNITS BUY]]</f>
        <v>0</v>
      </c>
      <c r="T704" s="33">
        <f>INVESTORS_LIST[[#This Row],[LS_TOTAL UNITS SOLD]]+INVESTORS_LIST[[#This Row],[SIP_TOTAL UNITS SOLD]]</f>
        <v>0</v>
      </c>
      <c r="U704" s="33">
        <v>0</v>
      </c>
      <c r="V704" s="33">
        <f>SUMIFS(LS[BO UNIT TRANSFER],LS[Investor ID],INVESTORS_LIST[[#This Row],[INVESTOR CODE]],LS[B/S],"B")</f>
        <v>0</v>
      </c>
      <c r="W704" s="33">
        <f>SUMIFS(LS[BO UNIT TRANSFER],LS[Investor ID],INVESTORS_LIST[[#This Row],[INVESTOR CODE]],LS[B/S],"S")</f>
        <v>0</v>
      </c>
      <c r="X704" s="33">
        <f>SUMIFS(SIP[BO UNIT TRANSFER],SIP[Investor ID],INVESTORS_LIST[[#This Row],[INVESTOR CODE]],SIP[B/S],"S")</f>
        <v>0</v>
      </c>
      <c r="Y704" s="33">
        <f>SUMIFS(SIP[BO UNIT TRANSFER],SIP[Investor ID],INVESTORS_LIST[[#This Row],[INVESTOR CODE]],SIP[B/S],"B")</f>
        <v>0</v>
      </c>
      <c r="Z704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04" s="119">
        <f>INVESTORS_LIST[[#This Row],[TOTAL UNITS BUY]]-INVESTORS_LIST[[#This Row],[TOTAL UNITS SOLD]]</f>
        <v>0</v>
      </c>
      <c r="AB704" s="119">
        <f>INVESTORS_LIST[[#This Row],[TOTAL CURRENT UNITS]]-INVESTORS_LIST[[#This Row],[BO UNITS HOLD]]</f>
        <v>0</v>
      </c>
      <c r="AC704" s="119" t="e">
        <f>INDEX([4]!Table_1[BO ID],MATCH(INVESTORS_LIST[[#This Row],[INVESTOR CODE]],[4]!Table_1[INVESTOR CODE],0))</f>
        <v>#REF!</v>
      </c>
      <c r="AD704" s="33">
        <f>INVESTORS_LIST[[#This Row],[LS_TOTAL COST VALUE OF CURRENT UNITS]]+INVESTORS_LIST[[#This Row],[SIP_TOTAL COST VALUE OF CURRENT UNITS]]</f>
        <v>0</v>
      </c>
      <c r="AE704" s="44">
        <f>IF(INVESTORS_LIST[[#This Row],[TOTAL CURRENT UNITS]]=0,0,INVESTORS_LIST[[#This Row],[LS_TOTAL CURRENT UNITS]]/INVESTORS_LIST[[#This Row],[TOTAL CURRENT UNITS]])</f>
        <v>0</v>
      </c>
      <c r="AF704" s="44">
        <f>IF(INVESTORS_LIST[[#This Row],[TOTAL CURRENT UNITS]]=0,0,INVESTORS_LIST[[#This Row],[SIP_TOTAL CURRENT UNITS]]/INVESTORS_LIST[[#This Row],[TOTAL CURRENT UNITS]])</f>
        <v>0</v>
      </c>
      <c r="AG704" s="4" cm="1">
        <f t="array" ref="AG70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04" s="4" cm="1">
        <f t="array" ref="AH70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0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04" s="178">
        <f t="shared" si="23"/>
        <v>12.552</v>
      </c>
      <c r="AK704" s="118">
        <f>IF(INVESTORS_LIST[[#This Row],[TOTAL CURRENT UNITS]]=0,0,INVESTORS_LIST[[#This Row],[TOTAL CURRENT UNITS]]*INVESTORS_LIST[[#This Row],[NAV]])</f>
        <v>0</v>
      </c>
      <c r="AL704" s="4">
        <f>IF(INVESTORS_LIST[[#This Row],[LS_TOTAL CURRENT UNITS]]=0,0,INVESTORS_LIST[[#This Row],[LS_TOTAL CURRENT UNITS]]*INVESTORS_LIST[[#This Row],[NAV]])</f>
        <v>0</v>
      </c>
      <c r="AM704" s="6">
        <f>IF(INVESTORS_LIST[[#This Row],[SIP_TOTAL CURRENT UNITS]]=0,0,INVESTORS_LIST[[#This Row],[SIP_TOTAL CURRENT UNITS]]*INVESTORS_LIST[[#This Row],[NAV]])</f>
        <v>0</v>
      </c>
      <c r="AO704" s="6">
        <f>IF(INVESTORS_LIST[[#This Row],[TOTAL SELLABLE UNITS]]=0,0,INVESTORS_LIST[[#This Row],[TOTAL SELLABLE UNITS]]*INVESTORS_LIST[[#This Row],[NAV]])</f>
        <v>0</v>
      </c>
      <c r="AP704" s="6">
        <f>INVESTORS_LIST[[#This Row],[LS_TOTAL REALIZED GAIN]]+INVESTORS_LIST[[#This Row],[SIP_TOTAL REALIZED GAIN]]</f>
        <v>0</v>
      </c>
      <c r="AQ704" s="6">
        <f>INVESTORS_LIST[[#This Row],[TOTAL MARKET VALUE]]-INVESTORS_LIST[[#This Row],[TOTAL COST VALUE OF CURRENT INVESTMENT]]</f>
        <v>0</v>
      </c>
      <c r="AR704" s="6">
        <f>SUMIFS(DivAndTax[Tax Amount],DivAndTax[Investor ID],INVESTORS_LIST[[#This Row],[INVESTOR CODE]])</f>
        <v>0</v>
      </c>
      <c r="AS704" s="6">
        <f>SUMIFS(DivAndTax[Gross Dividend],DivAndTax[Investor ID],INVESTORS_LIST[[#This Row],[INVESTOR CODE]])</f>
        <v>0</v>
      </c>
      <c r="AT704" s="5">
        <f>IFERROR(INVESTORS_LIST[[#This Row],[TOTAL CURRENT UNITS]]/SUM(INVESTORS_LIST[TOTAL CURRENT UNITS]),0)</f>
        <v>0</v>
      </c>
    </row>
    <row r="705" spans="1:46">
      <c r="A705" t="s">
        <v>1596</v>
      </c>
      <c r="B705" t="s">
        <v>1597</v>
      </c>
      <c r="C705" t="s">
        <v>536</v>
      </c>
      <c r="D705" s="8" t="s">
        <v>2</v>
      </c>
      <c r="E705" s="2">
        <f>SUMIFS(LS[Unit],LS[Investor ID],INVESTORS_LIST[[#This Row],[INVESTOR CODE]],LS[B/S],"B")</f>
        <v>0</v>
      </c>
      <c r="F705" s="2">
        <f>-SUMIFS(LS[Unit],LS[Investor ID],INVESTORS_LIST[[#This Row],[INVESTOR CODE]],LS[B/S],"S")</f>
        <v>0</v>
      </c>
      <c r="G705" s="2">
        <f>IF(INVESTORS_LIST[[#This Row],[LS_TOTAL UNITS BUY]]=0,0,INVESTORS_LIST[[#This Row],[LS_TOTAL UNITS BUY]]-INVESTORS_LIST[[#This Row],[LS_TOTAL UNITS SOLD]])</f>
        <v>0</v>
      </c>
      <c r="H705" s="4">
        <f>IF(INVESTORS_LIST[[#This Row],[LS_TOTAL UNITS BUY]]=0,0,SUMIFS(LS[Amount],LS[Investor ID],INVESTORS_LIST[[#This Row],[INVESTOR CODE]],LS[B/S],"B"))</f>
        <v>0</v>
      </c>
      <c r="I705" s="6">
        <f>IF(INVESTORS_LIST[[#This Row],[LS_TOTAL UNITS SOLD]]=0,0,SUMIFS(LS[Cost of Units Sold],LS[Investor ID],INVESTORS_LIST[[#This Row],[INVESTOR CODE]],LS[B/S],"S"))</f>
        <v>0</v>
      </c>
      <c r="J705" s="6">
        <f>IF(INVESTORS_LIST[[#This Row],[LS_TOTAL CURRENT UNITS]]=0,0,INVESTORS_LIST[[#This Row],[LS_TOTAL CURRENT UNITS]]*INVESTORS_LIST[[#This Row],[LS_AVERAGE COST]])</f>
        <v>0</v>
      </c>
      <c r="K705" s="4">
        <f>IF(INVESTORS_LIST[[#This Row],[LS_TOTAL UNITS SOLD]]=0,0,SUMIFS(LS[Realized Gain],LS[Investor ID],INVESTORS_LIST[[#This Row],[INVESTOR CODE]],LS[B/S],"S"))</f>
        <v>0</v>
      </c>
      <c r="L705" s="2">
        <f>SUMIFS(SIP[Unit],SIP[Investor ID],INVESTORS_LIST[[#This Row],[INVESTOR CODE]],SIP[B/S],"B")</f>
        <v>1557</v>
      </c>
      <c r="M705" s="2">
        <f>-SUMIFS(SIP[Unit],SIP[Investor ID],INVESTORS_LIST[[#This Row],[INVESTOR CODE]],SIP[B/S],"S")</f>
        <v>0</v>
      </c>
      <c r="N705" s="33">
        <f>IF(INVESTORS_LIST[[#This Row],[SIP_TOTAL UNITS BUY]]=0,0,INVESTORS_LIST[[#This Row],[SIP_TOTAL UNITS BUY]]-INVESTORS_LIST[[#This Row],[SIP_TOTAL UNITS SOLD]])</f>
        <v>1557</v>
      </c>
      <c r="O705" s="4">
        <f>IF(INVESTORS_LIST[[#This Row],[SIP_TOTAL UNITS BUY]]=0,0,SUMIFS(SIP[Amount],SIP[Investor ID],INVESTORS_LIST[[#This Row],[INVESTOR CODE]],SIP[B/S],"B"))</f>
        <v>20000</v>
      </c>
      <c r="P705" s="4">
        <f>IF(INVESTORS_LIST[[#This Row],[SIP_TOTAL UNITS SOLD]]=0,0,SUMIFS(SIP[Cost of Units Sold],SIP[Investor ID],INVESTORS_LIST[[#This Row],[INVESTOR CODE]],SIP[B/S],"S"))</f>
        <v>0</v>
      </c>
      <c r="Q705" s="6">
        <f>IF(INVESTORS_LIST[[#This Row],[SIP_TOTAL CURRENT UNITS]]=0,0,INVESTORS_LIST[[#This Row],[SIP_TOTAL CURRENT UNITS]]*INVESTORS_LIST[[#This Row],[SIP_AVERAGE COST]])</f>
        <v>19999.999999999996</v>
      </c>
      <c r="R705" s="6">
        <f>IF(INVESTORS_LIST[[#This Row],[SIP_TOTAL UNITS SOLD]]=0,0,SUMIFS(SIP[Realized Gain],SIP[Investor ID],INVESTORS_LIST[[#This Row],[INVESTOR CODE]],SIP[B/S],"S"))</f>
        <v>0</v>
      </c>
      <c r="S705" s="33">
        <f>INVESTORS_LIST[[#This Row],[LS_TOTAL UNITS BUY]]+INVESTORS_LIST[[#This Row],[SIP_TOTAL UNITS BUY]]</f>
        <v>1557</v>
      </c>
      <c r="T705" s="33">
        <f>INVESTORS_LIST[[#This Row],[LS_TOTAL UNITS SOLD]]+INVESTORS_LIST[[#This Row],[SIP_TOTAL UNITS SOLD]]</f>
        <v>0</v>
      </c>
      <c r="U705" s="33">
        <v>0</v>
      </c>
      <c r="V705" s="33">
        <f>SUMIFS(LS[BO UNIT TRANSFER],LS[Investor ID],INVESTORS_LIST[[#This Row],[INVESTOR CODE]],LS[B/S],"B")</f>
        <v>0</v>
      </c>
      <c r="W705" s="33">
        <f>SUMIFS(LS[BO UNIT TRANSFER],LS[Investor ID],INVESTORS_LIST[[#This Row],[INVESTOR CODE]],LS[B/S],"S")</f>
        <v>0</v>
      </c>
      <c r="X705" s="33">
        <f>SUMIFS(SIP[BO UNIT TRANSFER],SIP[Investor ID],INVESTORS_LIST[[#This Row],[INVESTOR CODE]],SIP[B/S],"S")</f>
        <v>0</v>
      </c>
      <c r="Y705" s="33">
        <f>SUMIFS(SIP[BO UNIT TRANSFER],SIP[Investor ID],INVESTORS_LIST[[#This Row],[INVESTOR CODE]],SIP[B/S],"B")</f>
        <v>781</v>
      </c>
      <c r="Z705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781</v>
      </c>
      <c r="AA705" s="119">
        <f>INVESTORS_LIST[[#This Row],[TOTAL UNITS BUY]]-INVESTORS_LIST[[#This Row],[TOTAL UNITS SOLD]]</f>
        <v>1557</v>
      </c>
      <c r="AB705" s="119">
        <f>INVESTORS_LIST[[#This Row],[TOTAL CURRENT UNITS]]-INVESTORS_LIST[[#This Row],[BO UNITS HOLD]]</f>
        <v>776</v>
      </c>
      <c r="AC705" s="119" t="e">
        <f>INDEX([4]!Table_1[BO ID],MATCH(INVESTORS_LIST[[#This Row],[INVESTOR CODE]],[4]!Table_1[INVESTOR CODE],0))</f>
        <v>#REF!</v>
      </c>
      <c r="AD705" s="33">
        <f>INVESTORS_LIST[[#This Row],[LS_TOTAL COST VALUE OF CURRENT UNITS]]+INVESTORS_LIST[[#This Row],[SIP_TOTAL COST VALUE OF CURRENT UNITS]]</f>
        <v>19999.999999999996</v>
      </c>
      <c r="AE705" s="44">
        <f>IF(INVESTORS_LIST[[#This Row],[TOTAL CURRENT UNITS]]=0,0,INVESTORS_LIST[[#This Row],[LS_TOTAL CURRENT UNITS]]/INVESTORS_LIST[[#This Row],[TOTAL CURRENT UNITS]])</f>
        <v>0</v>
      </c>
      <c r="AF705" s="44">
        <f>IF(INVESTORS_LIST[[#This Row],[TOTAL CURRENT UNITS]]=0,0,INVESTORS_LIST[[#This Row],[SIP_TOTAL CURRENT UNITS]]/INVESTORS_LIST[[#This Row],[TOTAL CURRENT UNITS]])</f>
        <v>1</v>
      </c>
      <c r="AG705" s="4" cm="1">
        <f t="array" ref="AG70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05" s="4" cm="1">
        <f t="array" ref="AH705">IF(INVESTORS_LIST[[#This Row],[SIP_TOTAL UNITS BUY]]&gt;0,INDEX(SIP[NAV at Cost (Average)],MATCH(CONCATENATE(COUNTIFS(SIP[Investor ID],INVESTORS_LIST[[#This Row],[INVESTOR CODE]]),INVESTORS_LIST[[#This Row],[INVESTOR CODE]]),SIP[Unique Code],0),),0)</f>
        <v>12.845215157353884</v>
      </c>
      <c r="AI705" s="178">
        <f>IF(INVESTORS_LIST[[#This Row],[TOTAL CURRENT UNITS]]=0,0,(INVESTORS_LIST[[#This Row],[LS_WEIGHT]]*INVESTORS_LIST[[#This Row],[LS_AVERAGE COST]])+(INVESTORS_LIST[[#This Row],[SIP_WEIGHT]]*INVESTORS_LIST[[#This Row],[SIP_AVERAGE COST]]))</f>
        <v>12.845215157353884</v>
      </c>
      <c r="AJ705" s="178">
        <f t="shared" si="23"/>
        <v>12.552</v>
      </c>
      <c r="AK705" s="118">
        <f>IF(INVESTORS_LIST[[#This Row],[TOTAL CURRENT UNITS]]=0,0,INVESTORS_LIST[[#This Row],[TOTAL CURRENT UNITS]]*INVESTORS_LIST[[#This Row],[NAV]])</f>
        <v>19543.464</v>
      </c>
      <c r="AL705" s="4">
        <f>IF(INVESTORS_LIST[[#This Row],[LS_TOTAL CURRENT UNITS]]=0,0,INVESTORS_LIST[[#This Row],[LS_TOTAL CURRENT UNITS]]*INVESTORS_LIST[[#This Row],[NAV]])</f>
        <v>0</v>
      </c>
      <c r="AM705" s="6">
        <f>IF(INVESTORS_LIST[[#This Row],[SIP_TOTAL CURRENT UNITS]]=0,0,INVESTORS_LIST[[#This Row],[SIP_TOTAL CURRENT UNITS]]*INVESTORS_LIST[[#This Row],[NAV]])</f>
        <v>19543.464</v>
      </c>
      <c r="AO705" s="6">
        <f>IF(INVESTORS_LIST[[#This Row],[TOTAL SELLABLE UNITS]]=0,0,INVESTORS_LIST[[#This Row],[TOTAL SELLABLE UNITS]]*INVESTORS_LIST[[#This Row],[NAV]])</f>
        <v>0</v>
      </c>
      <c r="AP705" s="6">
        <f>INVESTORS_LIST[[#This Row],[LS_TOTAL REALIZED GAIN]]+INVESTORS_LIST[[#This Row],[SIP_TOTAL REALIZED GAIN]]</f>
        <v>0</v>
      </c>
      <c r="AQ705" s="6">
        <f>INVESTORS_LIST[[#This Row],[TOTAL MARKET VALUE]]-INVESTORS_LIST[[#This Row],[TOTAL COST VALUE OF CURRENT INVESTMENT]]</f>
        <v>-456.53599999999642</v>
      </c>
      <c r="AR705" s="6">
        <f>SUMIFS(DivAndTax[Tax Amount],DivAndTax[Investor ID],INVESTORS_LIST[[#This Row],[INVESTOR CODE]])</f>
        <v>0</v>
      </c>
      <c r="AS705" s="6">
        <f>SUMIFS(DivAndTax[Gross Dividend],DivAndTax[Investor ID],INVESTORS_LIST[[#This Row],[INVESTOR CODE]])</f>
        <v>0</v>
      </c>
      <c r="AT705" s="5">
        <f>IFERROR(INVESTORS_LIST[[#This Row],[TOTAL CURRENT UNITS]]/SUM(INVESTORS_LIST[TOTAL CURRENT UNITS]),0)</f>
        <v>7.4650108182725824E-5</v>
      </c>
    </row>
    <row r="706" spans="1:46" hidden="1">
      <c r="A706" t="s">
        <v>1598</v>
      </c>
      <c r="B706" t="s">
        <v>1599</v>
      </c>
      <c r="C706" t="s">
        <v>536</v>
      </c>
      <c r="D706" s="8" t="s">
        <v>2</v>
      </c>
      <c r="E706" s="2">
        <f>SUMIFS(LS[Unit],LS[Investor ID],INVESTORS_LIST[[#This Row],[INVESTOR CODE]],LS[B/S],"B")</f>
        <v>0</v>
      </c>
      <c r="F706" s="2">
        <f>-SUMIFS(LS[Unit],LS[Investor ID],INVESTORS_LIST[[#This Row],[INVESTOR CODE]],LS[B/S],"S")</f>
        <v>0</v>
      </c>
      <c r="G706" s="2">
        <f>IF(INVESTORS_LIST[[#This Row],[LS_TOTAL UNITS BUY]]=0,0,INVESTORS_LIST[[#This Row],[LS_TOTAL UNITS BUY]]-INVESTORS_LIST[[#This Row],[LS_TOTAL UNITS SOLD]])</f>
        <v>0</v>
      </c>
      <c r="H706" s="4">
        <f>IF(INVESTORS_LIST[[#This Row],[LS_TOTAL UNITS BUY]]=0,0,SUMIFS(LS[Amount],LS[Investor ID],INVESTORS_LIST[[#This Row],[INVESTOR CODE]],LS[B/S],"B"))</f>
        <v>0</v>
      </c>
      <c r="I706" s="6">
        <f>IF(INVESTORS_LIST[[#This Row],[LS_TOTAL UNITS SOLD]]=0,0,SUMIFS(LS[Cost of Units Sold],LS[Investor ID],INVESTORS_LIST[[#This Row],[INVESTOR CODE]],LS[B/S],"S"))</f>
        <v>0</v>
      </c>
      <c r="J706" s="6">
        <f>IF(INVESTORS_LIST[[#This Row],[LS_TOTAL CURRENT UNITS]]=0,0,INVESTORS_LIST[[#This Row],[LS_TOTAL CURRENT UNITS]]*INVESTORS_LIST[[#This Row],[LS_AVERAGE COST]])</f>
        <v>0</v>
      </c>
      <c r="K706" s="4">
        <f>IF(INVESTORS_LIST[[#This Row],[LS_TOTAL UNITS SOLD]]=0,0,SUMIFS(LS[Realized Gain],LS[Investor ID],INVESTORS_LIST[[#This Row],[INVESTOR CODE]],LS[B/S],"S"))</f>
        <v>0</v>
      </c>
      <c r="L706" s="2">
        <f>SUMIFS(SIP[Unit],SIP[Investor ID],INVESTORS_LIST[[#This Row],[INVESTOR CODE]],SIP[B/S],"B")</f>
        <v>0</v>
      </c>
      <c r="M706" s="2">
        <f>-SUMIFS(SIP[Unit],SIP[Investor ID],INVESTORS_LIST[[#This Row],[INVESTOR CODE]],SIP[B/S],"S")</f>
        <v>0</v>
      </c>
      <c r="N706" s="33">
        <f>IF(INVESTORS_LIST[[#This Row],[SIP_TOTAL UNITS BUY]]=0,0,INVESTORS_LIST[[#This Row],[SIP_TOTAL UNITS BUY]]-INVESTORS_LIST[[#This Row],[SIP_TOTAL UNITS SOLD]])</f>
        <v>0</v>
      </c>
      <c r="O706" s="4">
        <f>IF(INVESTORS_LIST[[#This Row],[SIP_TOTAL UNITS BUY]]=0,0,SUMIFS(SIP[Amount],SIP[Investor ID],INVESTORS_LIST[[#This Row],[INVESTOR CODE]],SIP[B/S],"B"))</f>
        <v>0</v>
      </c>
      <c r="P706" s="4">
        <f>IF(INVESTORS_LIST[[#This Row],[SIP_TOTAL UNITS SOLD]]=0,0,SUMIFS(SIP[Cost of Units Sold],SIP[Investor ID],INVESTORS_LIST[[#This Row],[INVESTOR CODE]],SIP[B/S],"S"))</f>
        <v>0</v>
      </c>
      <c r="Q706" s="6">
        <f>IF(INVESTORS_LIST[[#This Row],[SIP_TOTAL CURRENT UNITS]]=0,0,INVESTORS_LIST[[#This Row],[SIP_TOTAL CURRENT UNITS]]*INVESTORS_LIST[[#This Row],[SIP_AVERAGE COST]])</f>
        <v>0</v>
      </c>
      <c r="R706" s="6">
        <f>IF(INVESTORS_LIST[[#This Row],[SIP_TOTAL UNITS SOLD]]=0,0,SUMIFS(SIP[Realized Gain],SIP[Investor ID],INVESTORS_LIST[[#This Row],[INVESTOR CODE]],SIP[B/S],"S"))</f>
        <v>0</v>
      </c>
      <c r="S706" s="33">
        <f>INVESTORS_LIST[[#This Row],[LS_TOTAL UNITS BUY]]+INVESTORS_LIST[[#This Row],[SIP_TOTAL UNITS BUY]]</f>
        <v>0</v>
      </c>
      <c r="T706" s="33">
        <f>INVESTORS_LIST[[#This Row],[LS_TOTAL UNITS SOLD]]+INVESTORS_LIST[[#This Row],[SIP_TOTAL UNITS SOLD]]</f>
        <v>0</v>
      </c>
      <c r="U706" s="33">
        <v>0</v>
      </c>
      <c r="V706" s="33">
        <f>SUMIFS(LS[BO UNIT TRANSFER],LS[Investor ID],INVESTORS_LIST[[#This Row],[INVESTOR CODE]],LS[B/S],"B")</f>
        <v>0</v>
      </c>
      <c r="W706" s="33">
        <f>SUMIFS(LS[BO UNIT TRANSFER],LS[Investor ID],INVESTORS_LIST[[#This Row],[INVESTOR CODE]],LS[B/S],"S")</f>
        <v>0</v>
      </c>
      <c r="X706" s="33">
        <f>SUMIFS(SIP[BO UNIT TRANSFER],SIP[Investor ID],INVESTORS_LIST[[#This Row],[INVESTOR CODE]],SIP[B/S],"S")</f>
        <v>0</v>
      </c>
      <c r="Y706" s="33">
        <f>SUMIFS(SIP[BO UNIT TRANSFER],SIP[Investor ID],INVESTORS_LIST[[#This Row],[INVESTOR CODE]],SIP[B/S],"B")</f>
        <v>0</v>
      </c>
      <c r="Z706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06" s="119">
        <f>INVESTORS_LIST[[#This Row],[TOTAL UNITS BUY]]-INVESTORS_LIST[[#This Row],[TOTAL UNITS SOLD]]</f>
        <v>0</v>
      </c>
      <c r="AB706" s="119">
        <f>INVESTORS_LIST[[#This Row],[TOTAL CURRENT UNITS]]-INVESTORS_LIST[[#This Row],[BO UNITS HOLD]]</f>
        <v>0</v>
      </c>
      <c r="AC706" s="119" t="e">
        <f>INDEX([4]!Table_1[BO ID],MATCH(INVESTORS_LIST[[#This Row],[INVESTOR CODE]],[4]!Table_1[INVESTOR CODE],0))</f>
        <v>#REF!</v>
      </c>
      <c r="AD706" s="33">
        <f>INVESTORS_LIST[[#This Row],[LS_TOTAL COST VALUE OF CURRENT UNITS]]+INVESTORS_LIST[[#This Row],[SIP_TOTAL COST VALUE OF CURRENT UNITS]]</f>
        <v>0</v>
      </c>
      <c r="AE706" s="44">
        <f>IF(INVESTORS_LIST[[#This Row],[TOTAL CURRENT UNITS]]=0,0,INVESTORS_LIST[[#This Row],[LS_TOTAL CURRENT UNITS]]/INVESTORS_LIST[[#This Row],[TOTAL CURRENT UNITS]])</f>
        <v>0</v>
      </c>
      <c r="AF706" s="44">
        <f>IF(INVESTORS_LIST[[#This Row],[TOTAL CURRENT UNITS]]=0,0,INVESTORS_LIST[[#This Row],[SIP_TOTAL CURRENT UNITS]]/INVESTORS_LIST[[#This Row],[TOTAL CURRENT UNITS]])</f>
        <v>0</v>
      </c>
      <c r="AG706" s="4" cm="1">
        <f t="array" ref="AG70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06" s="4" cm="1">
        <f t="array" ref="AH70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0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06" s="178">
        <f t="shared" si="23"/>
        <v>12.552</v>
      </c>
      <c r="AK706" s="118">
        <f>IF(INVESTORS_LIST[[#This Row],[TOTAL CURRENT UNITS]]=0,0,INVESTORS_LIST[[#This Row],[TOTAL CURRENT UNITS]]*INVESTORS_LIST[[#This Row],[NAV]])</f>
        <v>0</v>
      </c>
      <c r="AL706" s="4">
        <f>IF(INVESTORS_LIST[[#This Row],[LS_TOTAL CURRENT UNITS]]=0,0,INVESTORS_LIST[[#This Row],[LS_TOTAL CURRENT UNITS]]*INVESTORS_LIST[[#This Row],[NAV]])</f>
        <v>0</v>
      </c>
      <c r="AM706" s="6">
        <f>IF(INVESTORS_LIST[[#This Row],[SIP_TOTAL CURRENT UNITS]]=0,0,INVESTORS_LIST[[#This Row],[SIP_TOTAL CURRENT UNITS]]*INVESTORS_LIST[[#This Row],[NAV]])</f>
        <v>0</v>
      </c>
      <c r="AO706" s="6">
        <f>IF(INVESTORS_LIST[[#This Row],[TOTAL SELLABLE UNITS]]=0,0,INVESTORS_LIST[[#This Row],[TOTAL SELLABLE UNITS]]*INVESTORS_LIST[[#This Row],[NAV]])</f>
        <v>0</v>
      </c>
      <c r="AP706" s="6">
        <f>INVESTORS_LIST[[#This Row],[LS_TOTAL REALIZED GAIN]]+INVESTORS_LIST[[#This Row],[SIP_TOTAL REALIZED GAIN]]</f>
        <v>0</v>
      </c>
      <c r="AQ706" s="6">
        <f>INVESTORS_LIST[[#This Row],[TOTAL MARKET VALUE]]-INVESTORS_LIST[[#This Row],[TOTAL COST VALUE OF CURRENT INVESTMENT]]</f>
        <v>0</v>
      </c>
      <c r="AR706" s="6">
        <f>SUMIFS(DivAndTax[Tax Amount],DivAndTax[Investor ID],INVESTORS_LIST[[#This Row],[INVESTOR CODE]])</f>
        <v>0</v>
      </c>
      <c r="AS706" s="6">
        <f>SUMIFS(DivAndTax[Gross Dividend],DivAndTax[Investor ID],INVESTORS_LIST[[#This Row],[INVESTOR CODE]])</f>
        <v>0</v>
      </c>
      <c r="AT706" s="5">
        <f>IFERROR(INVESTORS_LIST[[#This Row],[TOTAL CURRENT UNITS]]/SUM(INVESTORS_LIST[TOTAL CURRENT UNITS]),0)</f>
        <v>0</v>
      </c>
    </row>
    <row r="707" spans="1:46" hidden="1">
      <c r="A707" t="s">
        <v>1600</v>
      </c>
      <c r="B707" t="s">
        <v>1602</v>
      </c>
      <c r="C707" t="s">
        <v>539</v>
      </c>
      <c r="D707" s="8" t="s">
        <v>2</v>
      </c>
      <c r="E707" s="2">
        <f>SUMIFS(LS[Unit],LS[Investor ID],INVESTORS_LIST[[#This Row],[INVESTOR CODE]],LS[B/S],"B")</f>
        <v>0</v>
      </c>
      <c r="F707" s="2">
        <f>-SUMIFS(LS[Unit],LS[Investor ID],INVESTORS_LIST[[#This Row],[INVESTOR CODE]],LS[B/S],"S")</f>
        <v>0</v>
      </c>
      <c r="G707" s="2">
        <f>IF(INVESTORS_LIST[[#This Row],[LS_TOTAL UNITS BUY]]=0,0,INVESTORS_LIST[[#This Row],[LS_TOTAL UNITS BUY]]-INVESTORS_LIST[[#This Row],[LS_TOTAL UNITS SOLD]])</f>
        <v>0</v>
      </c>
      <c r="H707" s="4">
        <f>IF(INVESTORS_LIST[[#This Row],[LS_TOTAL UNITS BUY]]=0,0,SUMIFS(LS[Amount],LS[Investor ID],INVESTORS_LIST[[#This Row],[INVESTOR CODE]],LS[B/S],"B"))</f>
        <v>0</v>
      </c>
      <c r="I707" s="6">
        <f>IF(INVESTORS_LIST[[#This Row],[LS_TOTAL UNITS SOLD]]=0,0,SUMIFS(LS[Cost of Units Sold],LS[Investor ID],INVESTORS_LIST[[#This Row],[INVESTOR CODE]],LS[B/S],"S"))</f>
        <v>0</v>
      </c>
      <c r="J707" s="6">
        <f>IF(INVESTORS_LIST[[#This Row],[LS_TOTAL CURRENT UNITS]]=0,0,INVESTORS_LIST[[#This Row],[LS_TOTAL CURRENT UNITS]]*INVESTORS_LIST[[#This Row],[LS_AVERAGE COST]])</f>
        <v>0</v>
      </c>
      <c r="K707" s="4">
        <f>IF(INVESTORS_LIST[[#This Row],[LS_TOTAL UNITS SOLD]]=0,0,SUMIFS(LS[Realized Gain],LS[Investor ID],INVESTORS_LIST[[#This Row],[INVESTOR CODE]],LS[B/S],"S"))</f>
        <v>0</v>
      </c>
      <c r="L707" s="2">
        <f>SUMIFS(SIP[Unit],SIP[Investor ID],INVESTORS_LIST[[#This Row],[INVESTOR CODE]],SIP[B/S],"B")</f>
        <v>0</v>
      </c>
      <c r="M707" s="2">
        <f>-SUMIFS(SIP[Unit],SIP[Investor ID],INVESTORS_LIST[[#This Row],[INVESTOR CODE]],SIP[B/S],"S")</f>
        <v>0</v>
      </c>
      <c r="N707" s="33">
        <f>IF(INVESTORS_LIST[[#This Row],[SIP_TOTAL UNITS BUY]]=0,0,INVESTORS_LIST[[#This Row],[SIP_TOTAL UNITS BUY]]-INVESTORS_LIST[[#This Row],[SIP_TOTAL UNITS SOLD]])</f>
        <v>0</v>
      </c>
      <c r="O707" s="4">
        <f>IF(INVESTORS_LIST[[#This Row],[SIP_TOTAL UNITS BUY]]=0,0,SUMIFS(SIP[Amount],SIP[Investor ID],INVESTORS_LIST[[#This Row],[INVESTOR CODE]],SIP[B/S],"B"))</f>
        <v>0</v>
      </c>
      <c r="P707" s="4">
        <f>IF(INVESTORS_LIST[[#This Row],[SIP_TOTAL UNITS SOLD]]=0,0,SUMIFS(SIP[Cost of Units Sold],SIP[Investor ID],INVESTORS_LIST[[#This Row],[INVESTOR CODE]],SIP[B/S],"S"))</f>
        <v>0</v>
      </c>
      <c r="Q707" s="6">
        <f>IF(INVESTORS_LIST[[#This Row],[SIP_TOTAL CURRENT UNITS]]=0,0,INVESTORS_LIST[[#This Row],[SIP_TOTAL CURRENT UNITS]]*INVESTORS_LIST[[#This Row],[SIP_AVERAGE COST]])</f>
        <v>0</v>
      </c>
      <c r="R707" s="6">
        <f>IF(INVESTORS_LIST[[#This Row],[SIP_TOTAL UNITS SOLD]]=0,0,SUMIFS(SIP[Realized Gain],SIP[Investor ID],INVESTORS_LIST[[#This Row],[INVESTOR CODE]],SIP[B/S],"S"))</f>
        <v>0</v>
      </c>
      <c r="S707" s="33">
        <f>INVESTORS_LIST[[#This Row],[LS_TOTAL UNITS BUY]]+INVESTORS_LIST[[#This Row],[SIP_TOTAL UNITS BUY]]</f>
        <v>0</v>
      </c>
      <c r="T707" s="33">
        <f>INVESTORS_LIST[[#This Row],[LS_TOTAL UNITS SOLD]]+INVESTORS_LIST[[#This Row],[SIP_TOTAL UNITS SOLD]]</f>
        <v>0</v>
      </c>
      <c r="U707" s="33">
        <v>0</v>
      </c>
      <c r="V707" s="33">
        <f>SUMIFS(LS[BO UNIT TRANSFER],LS[Investor ID],INVESTORS_LIST[[#This Row],[INVESTOR CODE]],LS[B/S],"B")</f>
        <v>0</v>
      </c>
      <c r="W707" s="33">
        <f>SUMIFS(LS[BO UNIT TRANSFER],LS[Investor ID],INVESTORS_LIST[[#This Row],[INVESTOR CODE]],LS[B/S],"S")</f>
        <v>0</v>
      </c>
      <c r="X707" s="33">
        <f>SUMIFS(SIP[BO UNIT TRANSFER],SIP[Investor ID],INVESTORS_LIST[[#This Row],[INVESTOR CODE]],SIP[B/S],"S")</f>
        <v>0</v>
      </c>
      <c r="Y707" s="33">
        <f>SUMIFS(SIP[BO UNIT TRANSFER],SIP[Investor ID],INVESTORS_LIST[[#This Row],[INVESTOR CODE]],SIP[B/S],"B")</f>
        <v>0</v>
      </c>
      <c r="Z707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07" s="119">
        <f>INVESTORS_LIST[[#This Row],[TOTAL UNITS BUY]]-INVESTORS_LIST[[#This Row],[TOTAL UNITS SOLD]]</f>
        <v>0</v>
      </c>
      <c r="AB707" s="119">
        <f>INVESTORS_LIST[[#This Row],[TOTAL CURRENT UNITS]]-INVESTORS_LIST[[#This Row],[BO UNITS HOLD]]</f>
        <v>0</v>
      </c>
      <c r="AC707" s="119" t="e">
        <f>INDEX([4]!Table_1[BO ID],MATCH(INVESTORS_LIST[[#This Row],[INVESTOR CODE]],[4]!Table_1[INVESTOR CODE],0))</f>
        <v>#REF!</v>
      </c>
      <c r="AD707" s="33">
        <f>INVESTORS_LIST[[#This Row],[LS_TOTAL COST VALUE OF CURRENT UNITS]]+INVESTORS_LIST[[#This Row],[SIP_TOTAL COST VALUE OF CURRENT UNITS]]</f>
        <v>0</v>
      </c>
      <c r="AE707" s="44">
        <f>IF(INVESTORS_LIST[[#This Row],[TOTAL CURRENT UNITS]]=0,0,INVESTORS_LIST[[#This Row],[LS_TOTAL CURRENT UNITS]]/INVESTORS_LIST[[#This Row],[TOTAL CURRENT UNITS]])</f>
        <v>0</v>
      </c>
      <c r="AF707" s="44">
        <f>IF(INVESTORS_LIST[[#This Row],[TOTAL CURRENT UNITS]]=0,0,INVESTORS_LIST[[#This Row],[SIP_TOTAL CURRENT UNITS]]/INVESTORS_LIST[[#This Row],[TOTAL CURRENT UNITS]])</f>
        <v>0</v>
      </c>
      <c r="AG707" s="4" cm="1">
        <f t="array" ref="AG70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07" s="4" cm="1">
        <f t="array" ref="AH70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0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07" s="178">
        <f t="shared" si="23"/>
        <v>12.552</v>
      </c>
      <c r="AK707" s="118">
        <f>IF(INVESTORS_LIST[[#This Row],[TOTAL CURRENT UNITS]]=0,0,INVESTORS_LIST[[#This Row],[TOTAL CURRENT UNITS]]*INVESTORS_LIST[[#This Row],[NAV]])</f>
        <v>0</v>
      </c>
      <c r="AL707" s="4">
        <f>IF(INVESTORS_LIST[[#This Row],[LS_TOTAL CURRENT UNITS]]=0,0,INVESTORS_LIST[[#This Row],[LS_TOTAL CURRENT UNITS]]*INVESTORS_LIST[[#This Row],[NAV]])</f>
        <v>0</v>
      </c>
      <c r="AM707" s="6">
        <f>IF(INVESTORS_LIST[[#This Row],[SIP_TOTAL CURRENT UNITS]]=0,0,INVESTORS_LIST[[#This Row],[SIP_TOTAL CURRENT UNITS]]*INVESTORS_LIST[[#This Row],[NAV]])</f>
        <v>0</v>
      </c>
      <c r="AO707" s="6">
        <f>IF(INVESTORS_LIST[[#This Row],[TOTAL SELLABLE UNITS]]=0,0,INVESTORS_LIST[[#This Row],[TOTAL SELLABLE UNITS]]*INVESTORS_LIST[[#This Row],[NAV]])</f>
        <v>0</v>
      </c>
      <c r="AP707" s="6">
        <f>INVESTORS_LIST[[#This Row],[LS_TOTAL REALIZED GAIN]]+INVESTORS_LIST[[#This Row],[SIP_TOTAL REALIZED GAIN]]</f>
        <v>0</v>
      </c>
      <c r="AQ707" s="6">
        <f>INVESTORS_LIST[[#This Row],[TOTAL MARKET VALUE]]-INVESTORS_LIST[[#This Row],[TOTAL COST VALUE OF CURRENT INVESTMENT]]</f>
        <v>0</v>
      </c>
      <c r="AR707" s="6">
        <f>SUMIFS(DivAndTax[Tax Amount],DivAndTax[Investor ID],INVESTORS_LIST[[#This Row],[INVESTOR CODE]])</f>
        <v>0</v>
      </c>
      <c r="AS707" s="6">
        <f>SUMIFS(DivAndTax[Gross Dividend],DivAndTax[Investor ID],INVESTORS_LIST[[#This Row],[INVESTOR CODE]])</f>
        <v>0</v>
      </c>
      <c r="AT707" s="5">
        <f>IFERROR(INVESTORS_LIST[[#This Row],[TOTAL CURRENT UNITS]]/SUM(INVESTORS_LIST[TOTAL CURRENT UNITS]),0)</f>
        <v>0</v>
      </c>
    </row>
    <row r="708" spans="1:46">
      <c r="A708" t="s">
        <v>1601</v>
      </c>
      <c r="B708" t="s">
        <v>1603</v>
      </c>
      <c r="C708" t="s">
        <v>536</v>
      </c>
      <c r="D708" s="8" t="s">
        <v>2</v>
      </c>
      <c r="E708" s="2">
        <f>SUMIFS(LS[Unit],LS[Investor ID],INVESTORS_LIST[[#This Row],[INVESTOR CODE]],LS[B/S],"B")</f>
        <v>0</v>
      </c>
      <c r="F708" s="2">
        <f>-SUMIFS(LS[Unit],LS[Investor ID],INVESTORS_LIST[[#This Row],[INVESTOR CODE]],LS[B/S],"S")</f>
        <v>0</v>
      </c>
      <c r="G708" s="2">
        <f>IF(INVESTORS_LIST[[#This Row],[LS_TOTAL UNITS BUY]]=0,0,INVESTORS_LIST[[#This Row],[LS_TOTAL UNITS BUY]]-INVESTORS_LIST[[#This Row],[LS_TOTAL UNITS SOLD]])</f>
        <v>0</v>
      </c>
      <c r="H708" s="4">
        <f>IF(INVESTORS_LIST[[#This Row],[LS_TOTAL UNITS BUY]]=0,0,SUMIFS(LS[Amount],LS[Investor ID],INVESTORS_LIST[[#This Row],[INVESTOR CODE]],LS[B/S],"B"))</f>
        <v>0</v>
      </c>
      <c r="I708" s="6">
        <f>IF(INVESTORS_LIST[[#This Row],[LS_TOTAL UNITS SOLD]]=0,0,SUMIFS(LS[Cost of Units Sold],LS[Investor ID],INVESTORS_LIST[[#This Row],[INVESTOR CODE]],LS[B/S],"S"))</f>
        <v>0</v>
      </c>
      <c r="J708" s="6">
        <f>IF(INVESTORS_LIST[[#This Row],[LS_TOTAL CURRENT UNITS]]=0,0,INVESTORS_LIST[[#This Row],[LS_TOTAL CURRENT UNITS]]*INVESTORS_LIST[[#This Row],[LS_AVERAGE COST]])</f>
        <v>0</v>
      </c>
      <c r="K708" s="4">
        <f>IF(INVESTORS_LIST[[#This Row],[LS_TOTAL UNITS SOLD]]=0,0,SUMIFS(LS[Realized Gain],LS[Investor ID],INVESTORS_LIST[[#This Row],[INVESTOR CODE]],LS[B/S],"S"))</f>
        <v>0</v>
      </c>
      <c r="L708" s="2">
        <f>SUMIFS(SIP[Unit],SIP[Investor ID],INVESTORS_LIST[[#This Row],[INVESTOR CODE]],SIP[B/S],"B")</f>
        <v>151</v>
      </c>
      <c r="M708" s="2">
        <f>-SUMIFS(SIP[Unit],SIP[Investor ID],INVESTORS_LIST[[#This Row],[INVESTOR CODE]],SIP[B/S],"S")</f>
        <v>0</v>
      </c>
      <c r="N708" s="33">
        <f>IF(INVESTORS_LIST[[#This Row],[SIP_TOTAL UNITS BUY]]=0,0,INVESTORS_LIST[[#This Row],[SIP_TOTAL UNITS BUY]]-INVESTORS_LIST[[#This Row],[SIP_TOTAL UNITS SOLD]])</f>
        <v>151</v>
      </c>
      <c r="O708" s="4">
        <f>IF(INVESTORS_LIST[[#This Row],[SIP_TOTAL UNITS BUY]]=0,0,SUMIFS(SIP[Amount],SIP[Investor ID],INVESTORS_LIST[[#This Row],[INVESTOR CODE]],SIP[B/S],"B"))</f>
        <v>2000</v>
      </c>
      <c r="P708" s="4">
        <f>IF(INVESTORS_LIST[[#This Row],[SIP_TOTAL UNITS SOLD]]=0,0,SUMIFS(SIP[Cost of Units Sold],SIP[Investor ID],INVESTORS_LIST[[#This Row],[INVESTOR CODE]],SIP[B/S],"S"))</f>
        <v>0</v>
      </c>
      <c r="Q708" s="6">
        <f>IF(INVESTORS_LIST[[#This Row],[SIP_TOTAL CURRENT UNITS]]=0,0,INVESTORS_LIST[[#This Row],[SIP_TOTAL CURRENT UNITS]]*INVESTORS_LIST[[#This Row],[SIP_AVERAGE COST]])</f>
        <v>2000</v>
      </c>
      <c r="R708" s="6">
        <f>IF(INVESTORS_LIST[[#This Row],[SIP_TOTAL UNITS SOLD]]=0,0,SUMIFS(SIP[Realized Gain],SIP[Investor ID],INVESTORS_LIST[[#This Row],[INVESTOR CODE]],SIP[B/S],"S"))</f>
        <v>0</v>
      </c>
      <c r="S708" s="33">
        <f>INVESTORS_LIST[[#This Row],[LS_TOTAL UNITS BUY]]+INVESTORS_LIST[[#This Row],[SIP_TOTAL UNITS BUY]]</f>
        <v>151</v>
      </c>
      <c r="T708" s="33">
        <f>INVESTORS_LIST[[#This Row],[LS_TOTAL UNITS SOLD]]+INVESTORS_LIST[[#This Row],[SIP_TOTAL UNITS SOLD]]</f>
        <v>0</v>
      </c>
      <c r="U708" s="33">
        <v>0</v>
      </c>
      <c r="V708" s="33">
        <f>SUMIFS(LS[BO UNIT TRANSFER],LS[Investor ID],INVESTORS_LIST[[#This Row],[INVESTOR CODE]],LS[B/S],"B")</f>
        <v>0</v>
      </c>
      <c r="W708" s="33">
        <f>SUMIFS(LS[BO UNIT TRANSFER],LS[Investor ID],INVESTORS_LIST[[#This Row],[INVESTOR CODE]],LS[B/S],"S")</f>
        <v>0</v>
      </c>
      <c r="X708" s="33">
        <f>SUMIFS(SIP[BO UNIT TRANSFER],SIP[Investor ID],INVESTORS_LIST[[#This Row],[INVESTOR CODE]],SIP[B/S],"S")</f>
        <v>0</v>
      </c>
      <c r="Y708" s="33">
        <f>SUMIFS(SIP[BO UNIT TRANSFER],SIP[Investor ID],INVESTORS_LIST[[#This Row],[INVESTOR CODE]],SIP[B/S],"B")</f>
        <v>80</v>
      </c>
      <c r="Z70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80</v>
      </c>
      <c r="AA708" s="119">
        <f>INVESTORS_LIST[[#This Row],[TOTAL UNITS BUY]]-INVESTORS_LIST[[#This Row],[TOTAL UNITS SOLD]]</f>
        <v>151</v>
      </c>
      <c r="AB708" s="119">
        <f>INVESTORS_LIST[[#This Row],[TOTAL CURRENT UNITS]]-INVESTORS_LIST[[#This Row],[BO UNITS HOLD]]</f>
        <v>71</v>
      </c>
      <c r="AC708" s="119" t="e">
        <f>INDEX([4]!Table_1[BO ID],MATCH(INVESTORS_LIST[[#This Row],[INVESTOR CODE]],[4]!Table_1[INVESTOR CODE],0))</f>
        <v>#REF!</v>
      </c>
      <c r="AD708" s="33">
        <f>INVESTORS_LIST[[#This Row],[LS_TOTAL COST VALUE OF CURRENT UNITS]]+INVESTORS_LIST[[#This Row],[SIP_TOTAL COST VALUE OF CURRENT UNITS]]</f>
        <v>2000</v>
      </c>
      <c r="AE708" s="44">
        <f>IF(INVESTORS_LIST[[#This Row],[TOTAL CURRENT UNITS]]=0,0,INVESTORS_LIST[[#This Row],[LS_TOTAL CURRENT UNITS]]/INVESTORS_LIST[[#This Row],[TOTAL CURRENT UNITS]])</f>
        <v>0</v>
      </c>
      <c r="AF708" s="44">
        <f>IF(INVESTORS_LIST[[#This Row],[TOTAL CURRENT UNITS]]=0,0,INVESTORS_LIST[[#This Row],[SIP_TOTAL CURRENT UNITS]]/INVESTORS_LIST[[#This Row],[TOTAL CURRENT UNITS]])</f>
        <v>1</v>
      </c>
      <c r="AG708" s="4" cm="1">
        <f t="array" ref="AG70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08" s="4" cm="1">
        <f t="array" ref="AH708">IF(INVESTORS_LIST[[#This Row],[SIP_TOTAL UNITS BUY]]&gt;0,INDEX(SIP[NAV at Cost (Average)],MATCH(CONCATENATE(COUNTIFS(SIP[Investor ID],INVESTORS_LIST[[#This Row],[INVESTOR CODE]]),INVESTORS_LIST[[#This Row],[INVESTOR CODE]]),SIP[Unique Code],0),),0)</f>
        <v>13.245033112582782</v>
      </c>
      <c r="AI708" s="178">
        <f>IF(INVESTORS_LIST[[#This Row],[TOTAL CURRENT UNITS]]=0,0,(INVESTORS_LIST[[#This Row],[LS_WEIGHT]]*INVESTORS_LIST[[#This Row],[LS_AVERAGE COST]])+(INVESTORS_LIST[[#This Row],[SIP_WEIGHT]]*INVESTORS_LIST[[#This Row],[SIP_AVERAGE COST]]))</f>
        <v>13.245033112582782</v>
      </c>
      <c r="AJ708" s="178">
        <f t="shared" si="23"/>
        <v>12.552</v>
      </c>
      <c r="AK708" s="118">
        <f>IF(INVESTORS_LIST[[#This Row],[TOTAL CURRENT UNITS]]=0,0,INVESTORS_LIST[[#This Row],[TOTAL CURRENT UNITS]]*INVESTORS_LIST[[#This Row],[NAV]])</f>
        <v>1895.3519999999999</v>
      </c>
      <c r="AL708" s="4">
        <f>IF(INVESTORS_LIST[[#This Row],[LS_TOTAL CURRENT UNITS]]=0,0,INVESTORS_LIST[[#This Row],[LS_TOTAL CURRENT UNITS]]*INVESTORS_LIST[[#This Row],[NAV]])</f>
        <v>0</v>
      </c>
      <c r="AM708" s="6">
        <f>IF(INVESTORS_LIST[[#This Row],[SIP_TOTAL CURRENT UNITS]]=0,0,INVESTORS_LIST[[#This Row],[SIP_TOTAL CURRENT UNITS]]*INVESTORS_LIST[[#This Row],[NAV]])</f>
        <v>1895.3519999999999</v>
      </c>
      <c r="AO708" s="6">
        <f>IF(INVESTORS_LIST[[#This Row],[TOTAL SELLABLE UNITS]]=0,0,INVESTORS_LIST[[#This Row],[TOTAL SELLABLE UNITS]]*INVESTORS_LIST[[#This Row],[NAV]])</f>
        <v>0</v>
      </c>
      <c r="AP708" s="6">
        <f>INVESTORS_LIST[[#This Row],[LS_TOTAL REALIZED GAIN]]+INVESTORS_LIST[[#This Row],[SIP_TOTAL REALIZED GAIN]]</f>
        <v>0</v>
      </c>
      <c r="AQ708" s="6">
        <f>INVESTORS_LIST[[#This Row],[TOTAL MARKET VALUE]]-INVESTORS_LIST[[#This Row],[TOTAL COST VALUE OF CURRENT INVESTMENT]]</f>
        <v>-104.64800000000014</v>
      </c>
      <c r="AR708" s="6">
        <f>SUMIFS(DivAndTax[Tax Amount],DivAndTax[Investor ID],INVESTORS_LIST[[#This Row],[INVESTOR CODE]])</f>
        <v>0</v>
      </c>
      <c r="AS708" s="6">
        <f>SUMIFS(DivAndTax[Gross Dividend],DivAndTax[Investor ID],INVESTORS_LIST[[#This Row],[INVESTOR CODE]])</f>
        <v>0</v>
      </c>
      <c r="AT708" s="5">
        <f>IFERROR(INVESTORS_LIST[[#This Row],[TOTAL CURRENT UNITS]]/SUM(INVESTORS_LIST[TOTAL CURRENT UNITS]),0)</f>
        <v>7.239670093507771E-6</v>
      </c>
    </row>
    <row r="709" spans="1:46">
      <c r="A709" t="s">
        <v>1604</v>
      </c>
      <c r="B709" t="s">
        <v>1605</v>
      </c>
      <c r="C709" t="s">
        <v>539</v>
      </c>
      <c r="D709" s="8" t="s">
        <v>2</v>
      </c>
      <c r="E709" s="2">
        <f>SUMIFS(LS[Unit],LS[Investor ID],INVESTORS_LIST[[#This Row],[INVESTOR CODE]],LS[B/S],"B")</f>
        <v>0</v>
      </c>
      <c r="F709" s="2">
        <f>-SUMIFS(LS[Unit],LS[Investor ID],INVESTORS_LIST[[#This Row],[INVESTOR CODE]],LS[B/S],"S")</f>
        <v>0</v>
      </c>
      <c r="G709" s="2">
        <f>IF(INVESTORS_LIST[[#This Row],[LS_TOTAL UNITS BUY]]=0,0,INVESTORS_LIST[[#This Row],[LS_TOTAL UNITS BUY]]-INVESTORS_LIST[[#This Row],[LS_TOTAL UNITS SOLD]])</f>
        <v>0</v>
      </c>
      <c r="H709" s="4">
        <f>IF(INVESTORS_LIST[[#This Row],[LS_TOTAL UNITS BUY]]=0,0,SUMIFS(LS[Amount],LS[Investor ID],INVESTORS_LIST[[#This Row],[INVESTOR CODE]],LS[B/S],"B"))</f>
        <v>0</v>
      </c>
      <c r="I709" s="6">
        <f>IF(INVESTORS_LIST[[#This Row],[LS_TOTAL UNITS SOLD]]=0,0,SUMIFS(LS[Cost of Units Sold],LS[Investor ID],INVESTORS_LIST[[#This Row],[INVESTOR CODE]],LS[B/S],"S"))</f>
        <v>0</v>
      </c>
      <c r="J709" s="6">
        <f>IF(INVESTORS_LIST[[#This Row],[LS_TOTAL CURRENT UNITS]]=0,0,INVESTORS_LIST[[#This Row],[LS_TOTAL CURRENT UNITS]]*INVESTORS_LIST[[#This Row],[LS_AVERAGE COST]])</f>
        <v>0</v>
      </c>
      <c r="K709" s="4">
        <f>IF(INVESTORS_LIST[[#This Row],[LS_TOTAL UNITS SOLD]]=0,0,SUMIFS(LS[Realized Gain],LS[Investor ID],INVESTORS_LIST[[#This Row],[INVESTOR CODE]],LS[B/S],"S"))</f>
        <v>0</v>
      </c>
      <c r="L709" s="2">
        <f>SUMIFS(SIP[Unit],SIP[Investor ID],INVESTORS_LIST[[#This Row],[INVESTOR CODE]],SIP[B/S],"B")</f>
        <v>759</v>
      </c>
      <c r="M709" s="2">
        <f>-SUMIFS(SIP[Unit],SIP[Investor ID],INVESTORS_LIST[[#This Row],[INVESTOR CODE]],SIP[B/S],"S")</f>
        <v>0</v>
      </c>
      <c r="N709" s="33">
        <f>IF(INVESTORS_LIST[[#This Row],[SIP_TOTAL UNITS BUY]]=0,0,INVESTORS_LIST[[#This Row],[SIP_TOTAL UNITS BUY]]-INVESTORS_LIST[[#This Row],[SIP_TOTAL UNITS SOLD]])</f>
        <v>759</v>
      </c>
      <c r="O709" s="4">
        <f>IF(INVESTORS_LIST[[#This Row],[SIP_TOTAL UNITS BUY]]=0,0,SUMIFS(SIP[Amount],SIP[Investor ID],INVESTORS_LIST[[#This Row],[INVESTOR CODE]],SIP[B/S],"B"))</f>
        <v>10000</v>
      </c>
      <c r="P709" s="4">
        <f>IF(INVESTORS_LIST[[#This Row],[SIP_TOTAL UNITS SOLD]]=0,0,SUMIFS(SIP[Cost of Units Sold],SIP[Investor ID],INVESTORS_LIST[[#This Row],[INVESTOR CODE]],SIP[B/S],"S"))</f>
        <v>0</v>
      </c>
      <c r="Q709" s="6">
        <f>IF(INVESTORS_LIST[[#This Row],[SIP_TOTAL CURRENT UNITS]]=0,0,INVESTORS_LIST[[#This Row],[SIP_TOTAL CURRENT UNITS]]*INVESTORS_LIST[[#This Row],[SIP_AVERAGE COST]])</f>
        <v>10000</v>
      </c>
      <c r="R709" s="6">
        <f>IF(INVESTORS_LIST[[#This Row],[SIP_TOTAL UNITS SOLD]]=0,0,SUMIFS(SIP[Realized Gain],SIP[Investor ID],INVESTORS_LIST[[#This Row],[INVESTOR CODE]],SIP[B/S],"S"))</f>
        <v>0</v>
      </c>
      <c r="S709" s="33">
        <f>INVESTORS_LIST[[#This Row],[LS_TOTAL UNITS BUY]]+INVESTORS_LIST[[#This Row],[SIP_TOTAL UNITS BUY]]</f>
        <v>759</v>
      </c>
      <c r="T709" s="33">
        <f>INVESTORS_LIST[[#This Row],[LS_TOTAL UNITS SOLD]]+INVESTORS_LIST[[#This Row],[SIP_TOTAL UNITS SOLD]]</f>
        <v>0</v>
      </c>
      <c r="U709" s="33"/>
      <c r="V709" s="33">
        <f>SUMIFS(LS[BO UNIT TRANSFER],LS[Investor ID],INVESTORS_LIST[[#This Row],[INVESTOR CODE]],LS[B/S],"B")</f>
        <v>0</v>
      </c>
      <c r="W709" s="33">
        <f>SUMIFS(LS[BO UNIT TRANSFER],LS[Investor ID],INVESTORS_LIST[[#This Row],[INVESTOR CODE]],LS[B/S],"S")</f>
        <v>0</v>
      </c>
      <c r="X709" s="33">
        <f>SUMIFS(SIP[BO UNIT TRANSFER],SIP[Investor ID],INVESTORS_LIST[[#This Row],[INVESTOR CODE]],SIP[B/S],"S")</f>
        <v>0</v>
      </c>
      <c r="Y709" s="33">
        <f>SUMIFS(SIP[BO UNIT TRANSFER],SIP[Investor ID],INVESTORS_LIST[[#This Row],[INVESTOR CODE]],SIP[B/S],"B")</f>
        <v>0</v>
      </c>
      <c r="Z70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09" s="119">
        <f>INVESTORS_LIST[[#This Row],[TOTAL UNITS BUY]]-INVESTORS_LIST[[#This Row],[TOTAL UNITS SOLD]]</f>
        <v>759</v>
      </c>
      <c r="AB709" s="119">
        <f>INVESTORS_LIST[[#This Row],[TOTAL CURRENT UNITS]]-INVESTORS_LIST[[#This Row],[BO UNITS HOLD]]</f>
        <v>759</v>
      </c>
      <c r="AC709" s="119" t="e">
        <f>INDEX([4]!Table_1[BO ID],MATCH(INVESTORS_LIST[[#This Row],[INVESTOR CODE]],[4]!Table_1[INVESTOR CODE],0))</f>
        <v>#REF!</v>
      </c>
      <c r="AD709" s="33">
        <f>INVESTORS_LIST[[#This Row],[LS_TOTAL COST VALUE OF CURRENT UNITS]]+INVESTORS_LIST[[#This Row],[SIP_TOTAL COST VALUE OF CURRENT UNITS]]</f>
        <v>10000</v>
      </c>
      <c r="AE709" s="44">
        <f>IF(INVESTORS_LIST[[#This Row],[TOTAL CURRENT UNITS]]=0,0,INVESTORS_LIST[[#This Row],[LS_TOTAL CURRENT UNITS]]/INVESTORS_LIST[[#This Row],[TOTAL CURRENT UNITS]])</f>
        <v>0</v>
      </c>
      <c r="AF709" s="44">
        <f>IF(INVESTORS_LIST[[#This Row],[TOTAL CURRENT UNITS]]=0,0,INVESTORS_LIST[[#This Row],[SIP_TOTAL CURRENT UNITS]]/INVESTORS_LIST[[#This Row],[TOTAL CURRENT UNITS]])</f>
        <v>1</v>
      </c>
      <c r="AG709" s="4" cm="1">
        <f t="array" ref="AG709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09" s="4" cm="1">
        <f t="array" ref="AH709">IF(INVESTORS_LIST[[#This Row],[SIP_TOTAL UNITS BUY]]&gt;0,INDEX(SIP[NAV at Cost (Average)],MATCH(CONCATENATE(COUNTIFS(SIP[Investor ID],INVESTORS_LIST[[#This Row],[INVESTOR CODE]]),INVESTORS_LIST[[#This Row],[INVESTOR CODE]]),SIP[Unique Code],0),),0)</f>
        <v>13.175230566534914</v>
      </c>
      <c r="AI709" s="178">
        <f>IF(INVESTORS_LIST[[#This Row],[TOTAL CURRENT UNITS]]=0,0,(INVESTORS_LIST[[#This Row],[LS_WEIGHT]]*INVESTORS_LIST[[#This Row],[LS_AVERAGE COST]])+(INVESTORS_LIST[[#This Row],[SIP_WEIGHT]]*INVESTORS_LIST[[#This Row],[SIP_AVERAGE COST]]))</f>
        <v>13.175230566534914</v>
      </c>
      <c r="AJ709" s="178">
        <f t="shared" ref="AJ709:AJ719" si="24">NAV_MKT</f>
        <v>12.552</v>
      </c>
      <c r="AK709" s="118">
        <f>IF(INVESTORS_LIST[[#This Row],[TOTAL CURRENT UNITS]]=0,0,INVESTORS_LIST[[#This Row],[TOTAL CURRENT UNITS]]*INVESTORS_LIST[[#This Row],[NAV]])</f>
        <v>9526.9679999999989</v>
      </c>
      <c r="AL709" s="4">
        <f>IF(INVESTORS_LIST[[#This Row],[LS_TOTAL CURRENT UNITS]]=0,0,INVESTORS_LIST[[#This Row],[LS_TOTAL CURRENT UNITS]]*INVESTORS_LIST[[#This Row],[NAV]])</f>
        <v>0</v>
      </c>
      <c r="AM709" s="6">
        <f>IF(INVESTORS_LIST[[#This Row],[SIP_TOTAL CURRENT UNITS]]=0,0,INVESTORS_LIST[[#This Row],[SIP_TOTAL CURRENT UNITS]]*INVESTORS_LIST[[#This Row],[NAV]])</f>
        <v>9526.9679999999989</v>
      </c>
      <c r="AO709" s="6">
        <f>IF(INVESTORS_LIST[[#This Row],[TOTAL SELLABLE UNITS]]=0,0,INVESTORS_LIST[[#This Row],[TOTAL SELLABLE UNITS]]*INVESTORS_LIST[[#This Row],[NAV]])</f>
        <v>0</v>
      </c>
      <c r="AP709" s="6">
        <f>INVESTORS_LIST[[#This Row],[LS_TOTAL REALIZED GAIN]]+INVESTORS_LIST[[#This Row],[SIP_TOTAL REALIZED GAIN]]</f>
        <v>0</v>
      </c>
      <c r="AQ709" s="6">
        <f>INVESTORS_LIST[[#This Row],[TOTAL MARKET VALUE]]-INVESTORS_LIST[[#This Row],[TOTAL COST VALUE OF CURRENT INVESTMENT]]</f>
        <v>-473.03200000000106</v>
      </c>
      <c r="AR709" s="6">
        <f>SUMIFS(DivAndTax[Tax Amount],DivAndTax[Investor ID],INVESTORS_LIST[[#This Row],[INVESTOR CODE]])</f>
        <v>0</v>
      </c>
      <c r="AS709" s="6">
        <f>SUMIFS(DivAndTax[Gross Dividend],DivAndTax[Investor ID],INVESTORS_LIST[[#This Row],[INVESTOR CODE]])</f>
        <v>0</v>
      </c>
      <c r="AT709" s="5">
        <f>IFERROR(INVESTORS_LIST[[#This Row],[TOTAL CURRENT UNITS]]/SUM(INVESTORS_LIST[TOTAL CURRENT UNITS]),0)</f>
        <v>3.6390129807764224E-5</v>
      </c>
    </row>
    <row r="710" spans="1:46" hidden="1">
      <c r="A710" t="s">
        <v>1606</v>
      </c>
      <c r="B710" t="s">
        <v>1607</v>
      </c>
      <c r="C710" t="s">
        <v>536</v>
      </c>
      <c r="D710" s="8" t="s">
        <v>2</v>
      </c>
      <c r="E710" s="2">
        <f>SUMIFS(LS[Unit],LS[Investor ID],INVESTORS_LIST[[#This Row],[INVESTOR CODE]],LS[B/S],"B")</f>
        <v>0</v>
      </c>
      <c r="F710" s="2">
        <f>-SUMIFS(LS[Unit],LS[Investor ID],INVESTORS_LIST[[#This Row],[INVESTOR CODE]],LS[B/S],"S")</f>
        <v>0</v>
      </c>
      <c r="G710" s="2">
        <f>IF(INVESTORS_LIST[[#This Row],[LS_TOTAL UNITS BUY]]=0,0,INVESTORS_LIST[[#This Row],[LS_TOTAL UNITS BUY]]-INVESTORS_LIST[[#This Row],[LS_TOTAL UNITS SOLD]])</f>
        <v>0</v>
      </c>
      <c r="H710" s="4">
        <f>IF(INVESTORS_LIST[[#This Row],[LS_TOTAL UNITS BUY]]=0,0,SUMIFS(LS[Amount],LS[Investor ID],INVESTORS_LIST[[#This Row],[INVESTOR CODE]],LS[B/S],"B"))</f>
        <v>0</v>
      </c>
      <c r="I710" s="6">
        <f>IF(INVESTORS_LIST[[#This Row],[LS_TOTAL UNITS SOLD]]=0,0,SUMIFS(LS[Cost of Units Sold],LS[Investor ID],INVESTORS_LIST[[#This Row],[INVESTOR CODE]],LS[B/S],"S"))</f>
        <v>0</v>
      </c>
      <c r="J710" s="6">
        <f>IF(INVESTORS_LIST[[#This Row],[LS_TOTAL CURRENT UNITS]]=0,0,INVESTORS_LIST[[#This Row],[LS_TOTAL CURRENT UNITS]]*INVESTORS_LIST[[#This Row],[LS_AVERAGE COST]])</f>
        <v>0</v>
      </c>
      <c r="K710" s="4">
        <f>IF(INVESTORS_LIST[[#This Row],[LS_TOTAL UNITS SOLD]]=0,0,SUMIFS(LS[Realized Gain],LS[Investor ID],INVESTORS_LIST[[#This Row],[INVESTOR CODE]],LS[B/S],"S"))</f>
        <v>0</v>
      </c>
      <c r="L710" s="2">
        <f>SUMIFS(SIP[Unit],SIP[Investor ID],INVESTORS_LIST[[#This Row],[INVESTOR CODE]],SIP[B/S],"B")</f>
        <v>0</v>
      </c>
      <c r="M710" s="2">
        <f>-SUMIFS(SIP[Unit],SIP[Investor ID],INVESTORS_LIST[[#This Row],[INVESTOR CODE]],SIP[B/S],"S")</f>
        <v>0</v>
      </c>
      <c r="N710" s="33">
        <f>IF(INVESTORS_LIST[[#This Row],[SIP_TOTAL UNITS BUY]]=0,0,INVESTORS_LIST[[#This Row],[SIP_TOTAL UNITS BUY]]-INVESTORS_LIST[[#This Row],[SIP_TOTAL UNITS SOLD]])</f>
        <v>0</v>
      </c>
      <c r="O710" s="4">
        <f>IF(INVESTORS_LIST[[#This Row],[SIP_TOTAL UNITS BUY]]=0,0,SUMIFS(SIP[Amount],SIP[Investor ID],INVESTORS_LIST[[#This Row],[INVESTOR CODE]],SIP[B/S],"B"))</f>
        <v>0</v>
      </c>
      <c r="P710" s="4">
        <f>IF(INVESTORS_LIST[[#This Row],[SIP_TOTAL UNITS SOLD]]=0,0,SUMIFS(SIP[Cost of Units Sold],SIP[Investor ID],INVESTORS_LIST[[#This Row],[INVESTOR CODE]],SIP[B/S],"S"))</f>
        <v>0</v>
      </c>
      <c r="Q710" s="6">
        <f>IF(INVESTORS_LIST[[#This Row],[SIP_TOTAL CURRENT UNITS]]=0,0,INVESTORS_LIST[[#This Row],[SIP_TOTAL CURRENT UNITS]]*INVESTORS_LIST[[#This Row],[SIP_AVERAGE COST]])</f>
        <v>0</v>
      </c>
      <c r="R710" s="6">
        <f>IF(INVESTORS_LIST[[#This Row],[SIP_TOTAL UNITS SOLD]]=0,0,SUMIFS(SIP[Realized Gain],SIP[Investor ID],INVESTORS_LIST[[#This Row],[INVESTOR CODE]],SIP[B/S],"S"))</f>
        <v>0</v>
      </c>
      <c r="S710" s="33">
        <f>INVESTORS_LIST[[#This Row],[LS_TOTAL UNITS BUY]]+INVESTORS_LIST[[#This Row],[SIP_TOTAL UNITS BUY]]</f>
        <v>0</v>
      </c>
      <c r="T710" s="33">
        <f>INVESTORS_LIST[[#This Row],[LS_TOTAL UNITS SOLD]]+INVESTORS_LIST[[#This Row],[SIP_TOTAL UNITS SOLD]]</f>
        <v>0</v>
      </c>
      <c r="U710" s="33"/>
      <c r="V710" s="33">
        <f>SUMIFS(LS[BO UNIT TRANSFER],LS[Investor ID],INVESTORS_LIST[[#This Row],[INVESTOR CODE]],LS[B/S],"B")</f>
        <v>0</v>
      </c>
      <c r="W710" s="33">
        <f>SUMIFS(LS[BO UNIT TRANSFER],LS[Investor ID],INVESTORS_LIST[[#This Row],[INVESTOR CODE]],LS[B/S],"S")</f>
        <v>0</v>
      </c>
      <c r="X710" s="33">
        <f>SUMIFS(SIP[BO UNIT TRANSFER],SIP[Investor ID],INVESTORS_LIST[[#This Row],[INVESTOR CODE]],SIP[B/S],"S")</f>
        <v>0</v>
      </c>
      <c r="Y710" s="33">
        <f>SUMIFS(SIP[BO UNIT TRANSFER],SIP[Investor ID],INVESTORS_LIST[[#This Row],[INVESTOR CODE]],SIP[B/S],"B")</f>
        <v>0</v>
      </c>
      <c r="Z71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10" s="119">
        <f>INVESTORS_LIST[[#This Row],[TOTAL UNITS BUY]]-INVESTORS_LIST[[#This Row],[TOTAL UNITS SOLD]]</f>
        <v>0</v>
      </c>
      <c r="AB710" s="119">
        <f>INVESTORS_LIST[[#This Row],[TOTAL CURRENT UNITS]]-INVESTORS_LIST[[#This Row],[BO UNITS HOLD]]</f>
        <v>0</v>
      </c>
      <c r="AC710" s="119" t="e">
        <f>INDEX([4]!Table_1[BO ID],MATCH(INVESTORS_LIST[[#This Row],[INVESTOR CODE]],[4]!Table_1[INVESTOR CODE],0))</f>
        <v>#REF!</v>
      </c>
      <c r="AD710" s="33">
        <f>INVESTORS_LIST[[#This Row],[LS_TOTAL COST VALUE OF CURRENT UNITS]]+INVESTORS_LIST[[#This Row],[SIP_TOTAL COST VALUE OF CURRENT UNITS]]</f>
        <v>0</v>
      </c>
      <c r="AE710" s="44">
        <f>IF(INVESTORS_LIST[[#This Row],[TOTAL CURRENT UNITS]]=0,0,INVESTORS_LIST[[#This Row],[LS_TOTAL CURRENT UNITS]]/INVESTORS_LIST[[#This Row],[TOTAL CURRENT UNITS]])</f>
        <v>0</v>
      </c>
      <c r="AF710" s="44">
        <f>IF(INVESTORS_LIST[[#This Row],[TOTAL CURRENT UNITS]]=0,0,INVESTORS_LIST[[#This Row],[SIP_TOTAL CURRENT UNITS]]/INVESTORS_LIST[[#This Row],[TOTAL CURRENT UNITS]])</f>
        <v>0</v>
      </c>
      <c r="AG710" s="4" cm="1">
        <f t="array" ref="AG710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10" s="4" cm="1">
        <f t="array" ref="AH71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10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10" s="178">
        <f t="shared" si="24"/>
        <v>12.552</v>
      </c>
      <c r="AK710" s="118">
        <f>IF(INVESTORS_LIST[[#This Row],[TOTAL CURRENT UNITS]]=0,0,INVESTORS_LIST[[#This Row],[TOTAL CURRENT UNITS]]*INVESTORS_LIST[[#This Row],[NAV]])</f>
        <v>0</v>
      </c>
      <c r="AL710" s="4">
        <f>IF(INVESTORS_LIST[[#This Row],[LS_TOTAL CURRENT UNITS]]=0,0,INVESTORS_LIST[[#This Row],[LS_TOTAL CURRENT UNITS]]*INVESTORS_LIST[[#This Row],[NAV]])</f>
        <v>0</v>
      </c>
      <c r="AM710" s="6">
        <f>IF(INVESTORS_LIST[[#This Row],[SIP_TOTAL CURRENT UNITS]]=0,0,INVESTORS_LIST[[#This Row],[SIP_TOTAL CURRENT UNITS]]*INVESTORS_LIST[[#This Row],[NAV]])</f>
        <v>0</v>
      </c>
      <c r="AO710" s="6">
        <f>IF(INVESTORS_LIST[[#This Row],[TOTAL SELLABLE UNITS]]=0,0,INVESTORS_LIST[[#This Row],[TOTAL SELLABLE UNITS]]*INVESTORS_LIST[[#This Row],[NAV]])</f>
        <v>0</v>
      </c>
      <c r="AP710" s="6">
        <f>INVESTORS_LIST[[#This Row],[LS_TOTAL REALIZED GAIN]]+INVESTORS_LIST[[#This Row],[SIP_TOTAL REALIZED GAIN]]</f>
        <v>0</v>
      </c>
      <c r="AQ710" s="6">
        <f>INVESTORS_LIST[[#This Row],[TOTAL MARKET VALUE]]-INVESTORS_LIST[[#This Row],[TOTAL COST VALUE OF CURRENT INVESTMENT]]</f>
        <v>0</v>
      </c>
      <c r="AR710" s="6">
        <f>SUMIFS(DivAndTax[Tax Amount],DivAndTax[Investor ID],INVESTORS_LIST[[#This Row],[INVESTOR CODE]])</f>
        <v>0</v>
      </c>
      <c r="AS710" s="6">
        <f>SUMIFS(DivAndTax[Gross Dividend],DivAndTax[Investor ID],INVESTORS_LIST[[#This Row],[INVESTOR CODE]])</f>
        <v>0</v>
      </c>
      <c r="AT710" s="5">
        <f>IFERROR(INVESTORS_LIST[[#This Row],[TOTAL CURRENT UNITS]]/SUM(INVESTORS_LIST[TOTAL CURRENT UNITS]),0)</f>
        <v>0</v>
      </c>
    </row>
    <row r="711" spans="1:46">
      <c r="A711" t="s">
        <v>1608</v>
      </c>
      <c r="B711" t="s">
        <v>1609</v>
      </c>
      <c r="C711" t="s">
        <v>536</v>
      </c>
      <c r="D711" s="8" t="s">
        <v>2</v>
      </c>
      <c r="E711" s="2">
        <f>SUMIFS(LS[Unit],LS[Investor ID],INVESTORS_LIST[[#This Row],[INVESTOR CODE]],LS[B/S],"B")</f>
        <v>7784</v>
      </c>
      <c r="F711" s="2">
        <f>-SUMIFS(LS[Unit],LS[Investor ID],INVESTORS_LIST[[#This Row],[INVESTOR CODE]],LS[B/S],"S")</f>
        <v>0</v>
      </c>
      <c r="G711" s="2">
        <f>IF(INVESTORS_LIST[[#This Row],[LS_TOTAL UNITS BUY]]=0,0,INVESTORS_LIST[[#This Row],[LS_TOTAL UNITS BUY]]-INVESTORS_LIST[[#This Row],[LS_TOTAL UNITS SOLD]])</f>
        <v>7784</v>
      </c>
      <c r="H711" s="4">
        <f>IF(INVESTORS_LIST[[#This Row],[LS_TOTAL UNITS BUY]]=0,0,SUMIFS(LS[Amount],LS[Investor ID],INVESTORS_LIST[[#This Row],[INVESTOR CODE]],LS[B/S],"B"))</f>
        <v>100000</v>
      </c>
      <c r="I711" s="6">
        <f>IF(INVESTORS_LIST[[#This Row],[LS_TOTAL UNITS SOLD]]=0,0,SUMIFS(LS[Cost of Units Sold],LS[Investor ID],INVESTORS_LIST[[#This Row],[INVESTOR CODE]],LS[B/S],"S"))</f>
        <v>0</v>
      </c>
      <c r="J711" s="6">
        <f>IF(INVESTORS_LIST[[#This Row],[LS_TOTAL CURRENT UNITS]]=0,0,INVESTORS_LIST[[#This Row],[LS_TOTAL CURRENT UNITS]]*INVESTORS_LIST[[#This Row],[LS_AVERAGE COST]])</f>
        <v>100000</v>
      </c>
      <c r="K711" s="4">
        <f>IF(INVESTORS_LIST[[#This Row],[LS_TOTAL UNITS SOLD]]=0,0,SUMIFS(LS[Realized Gain],LS[Investor ID],INVESTORS_LIST[[#This Row],[INVESTOR CODE]],LS[B/S],"S"))</f>
        <v>0</v>
      </c>
      <c r="L711" s="2">
        <f>SUMIFS(SIP[Unit],SIP[Investor ID],INVESTORS_LIST[[#This Row],[INVESTOR CODE]],SIP[B/S],"B")</f>
        <v>0</v>
      </c>
      <c r="M711" s="2">
        <f>-SUMIFS(SIP[Unit],SIP[Investor ID],INVESTORS_LIST[[#This Row],[INVESTOR CODE]],SIP[B/S],"S")</f>
        <v>0</v>
      </c>
      <c r="N711" s="33">
        <f>IF(INVESTORS_LIST[[#This Row],[SIP_TOTAL UNITS BUY]]=0,0,INVESTORS_LIST[[#This Row],[SIP_TOTAL UNITS BUY]]-INVESTORS_LIST[[#This Row],[SIP_TOTAL UNITS SOLD]])</f>
        <v>0</v>
      </c>
      <c r="O711" s="4">
        <f>IF(INVESTORS_LIST[[#This Row],[SIP_TOTAL UNITS BUY]]=0,0,SUMIFS(SIP[Amount],SIP[Investor ID],INVESTORS_LIST[[#This Row],[INVESTOR CODE]],SIP[B/S],"B"))</f>
        <v>0</v>
      </c>
      <c r="P711" s="4">
        <f>IF(INVESTORS_LIST[[#This Row],[SIP_TOTAL UNITS SOLD]]=0,0,SUMIFS(SIP[Cost of Units Sold],SIP[Investor ID],INVESTORS_LIST[[#This Row],[INVESTOR CODE]],SIP[B/S],"S"))</f>
        <v>0</v>
      </c>
      <c r="Q711" s="6">
        <f>IF(INVESTORS_LIST[[#This Row],[SIP_TOTAL CURRENT UNITS]]=0,0,INVESTORS_LIST[[#This Row],[SIP_TOTAL CURRENT UNITS]]*INVESTORS_LIST[[#This Row],[SIP_AVERAGE COST]])</f>
        <v>0</v>
      </c>
      <c r="R711" s="6">
        <f>IF(INVESTORS_LIST[[#This Row],[SIP_TOTAL UNITS SOLD]]=0,0,SUMIFS(SIP[Realized Gain],SIP[Investor ID],INVESTORS_LIST[[#This Row],[INVESTOR CODE]],SIP[B/S],"S"))</f>
        <v>0</v>
      </c>
      <c r="S711" s="33">
        <f>INVESTORS_LIST[[#This Row],[LS_TOTAL UNITS BUY]]+INVESTORS_LIST[[#This Row],[SIP_TOTAL UNITS BUY]]</f>
        <v>7784</v>
      </c>
      <c r="T711" s="33">
        <f>INVESTORS_LIST[[#This Row],[LS_TOTAL UNITS SOLD]]+INVESTORS_LIST[[#This Row],[SIP_TOTAL UNITS SOLD]]</f>
        <v>0</v>
      </c>
      <c r="U711" s="33"/>
      <c r="V711" s="33">
        <f>SUMIFS(LS[BO UNIT TRANSFER],LS[Investor ID],INVESTORS_LIST[[#This Row],[INVESTOR CODE]],LS[B/S],"B")</f>
        <v>0</v>
      </c>
      <c r="W711" s="33">
        <f>SUMIFS(LS[BO UNIT TRANSFER],LS[Investor ID],INVESTORS_LIST[[#This Row],[INVESTOR CODE]],LS[B/S],"S")</f>
        <v>0</v>
      </c>
      <c r="X711" s="33">
        <f>SUMIFS(SIP[BO UNIT TRANSFER],SIP[Investor ID],INVESTORS_LIST[[#This Row],[INVESTOR CODE]],SIP[B/S],"S")</f>
        <v>0</v>
      </c>
      <c r="Y711" s="33">
        <f>SUMIFS(SIP[BO UNIT TRANSFER],SIP[Investor ID],INVESTORS_LIST[[#This Row],[INVESTOR CODE]],SIP[B/S],"B")</f>
        <v>0</v>
      </c>
      <c r="Z71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11" s="119">
        <f>INVESTORS_LIST[[#This Row],[TOTAL UNITS BUY]]-INVESTORS_LIST[[#This Row],[TOTAL UNITS SOLD]]</f>
        <v>7784</v>
      </c>
      <c r="AB711" s="119">
        <f>INVESTORS_LIST[[#This Row],[TOTAL CURRENT UNITS]]-INVESTORS_LIST[[#This Row],[BO UNITS HOLD]]</f>
        <v>7784</v>
      </c>
      <c r="AC711" s="119" t="e">
        <f>INDEX([4]!Table_1[BO ID],MATCH(INVESTORS_LIST[[#This Row],[INVESTOR CODE]],[4]!Table_1[INVESTOR CODE],0))</f>
        <v>#REF!</v>
      </c>
      <c r="AD711" s="33">
        <f>INVESTORS_LIST[[#This Row],[LS_TOTAL COST VALUE OF CURRENT UNITS]]+INVESTORS_LIST[[#This Row],[SIP_TOTAL COST VALUE OF CURRENT UNITS]]</f>
        <v>100000</v>
      </c>
      <c r="AE711" s="44">
        <f>IF(INVESTORS_LIST[[#This Row],[TOTAL CURRENT UNITS]]=0,0,INVESTORS_LIST[[#This Row],[LS_TOTAL CURRENT UNITS]]/INVESTORS_LIST[[#This Row],[TOTAL CURRENT UNITS]])</f>
        <v>1</v>
      </c>
      <c r="AF711" s="44">
        <f>IF(INVESTORS_LIST[[#This Row],[TOTAL CURRENT UNITS]]=0,0,INVESTORS_LIST[[#This Row],[SIP_TOTAL CURRENT UNITS]]/INVESTORS_LIST[[#This Row],[TOTAL CURRENT UNITS]])</f>
        <v>0</v>
      </c>
      <c r="AG711" s="4" cm="1">
        <f t="array" ref="AG711">IF(INVESTORS_LIST[[#This Row],[LS_TOTAL UNITS BUY]]&gt;0,INDEX(LS[NAV at Cost (Average)],MATCH(CONCATENATE(COUNTIFS(LS[Investor ID],INVESTORS_LIST[[#This Row],[INVESTOR CODE]]),INVESTORS_LIST[[#This Row],[INVESTOR CODE]]),LS[Unique Code],0),),0)</f>
        <v>12.846865364850977</v>
      </c>
      <c r="AH711" s="4" cm="1">
        <f t="array" ref="AH71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11" s="178">
        <f>IF(INVESTORS_LIST[[#This Row],[TOTAL CURRENT UNITS]]=0,0,(INVESTORS_LIST[[#This Row],[LS_WEIGHT]]*INVESTORS_LIST[[#This Row],[LS_AVERAGE COST]])+(INVESTORS_LIST[[#This Row],[SIP_WEIGHT]]*INVESTORS_LIST[[#This Row],[SIP_AVERAGE COST]]))</f>
        <v>12.846865364850977</v>
      </c>
      <c r="AJ711" s="178">
        <f t="shared" si="24"/>
        <v>12.552</v>
      </c>
      <c r="AK711" s="118">
        <f>IF(INVESTORS_LIST[[#This Row],[TOTAL CURRENT UNITS]]=0,0,INVESTORS_LIST[[#This Row],[TOTAL CURRENT UNITS]]*INVESTORS_LIST[[#This Row],[NAV]])</f>
        <v>97704.767999999996</v>
      </c>
      <c r="AL711" s="4">
        <f>IF(INVESTORS_LIST[[#This Row],[LS_TOTAL CURRENT UNITS]]=0,0,INVESTORS_LIST[[#This Row],[LS_TOTAL CURRENT UNITS]]*INVESTORS_LIST[[#This Row],[NAV]])</f>
        <v>97704.767999999996</v>
      </c>
      <c r="AM711" s="6">
        <f>IF(INVESTORS_LIST[[#This Row],[SIP_TOTAL CURRENT UNITS]]=0,0,INVESTORS_LIST[[#This Row],[SIP_TOTAL CURRENT UNITS]]*INVESTORS_LIST[[#This Row],[NAV]])</f>
        <v>0</v>
      </c>
      <c r="AO711" s="6">
        <f>IF(INVESTORS_LIST[[#This Row],[TOTAL SELLABLE UNITS]]=0,0,INVESTORS_LIST[[#This Row],[TOTAL SELLABLE UNITS]]*INVESTORS_LIST[[#This Row],[NAV]])</f>
        <v>0</v>
      </c>
      <c r="AP711" s="6">
        <f>INVESTORS_LIST[[#This Row],[LS_TOTAL REALIZED GAIN]]+INVESTORS_LIST[[#This Row],[SIP_TOTAL REALIZED GAIN]]</f>
        <v>0</v>
      </c>
      <c r="AQ711" s="6">
        <f>INVESTORS_LIST[[#This Row],[TOTAL MARKET VALUE]]-INVESTORS_LIST[[#This Row],[TOTAL COST VALUE OF CURRENT INVESTMENT]]</f>
        <v>-2295.2320000000036</v>
      </c>
      <c r="AR711" s="6">
        <f>SUMIFS(DivAndTax[Tax Amount],DivAndTax[Investor ID],INVESTORS_LIST[[#This Row],[INVESTOR CODE]])</f>
        <v>0</v>
      </c>
      <c r="AS711" s="6">
        <f>SUMIFS(DivAndTax[Gross Dividend],DivAndTax[Investor ID],INVESTORS_LIST[[#This Row],[INVESTOR CODE]])</f>
        <v>0</v>
      </c>
      <c r="AT711" s="5">
        <f>IFERROR(INVESTORS_LIST[[#This Row],[TOTAL CURRENT UNITS]]/SUM(INVESTORS_LIST[TOTAL CURRENT UNITS]),0)</f>
        <v>3.7320259607857278E-4</v>
      </c>
    </row>
    <row r="712" spans="1:46">
      <c r="A712" t="s">
        <v>1610</v>
      </c>
      <c r="B712" t="s">
        <v>1611</v>
      </c>
      <c r="C712" t="s">
        <v>536</v>
      </c>
      <c r="D712" s="8" t="s">
        <v>2</v>
      </c>
      <c r="E712" s="2">
        <f>SUMIFS(LS[Unit],LS[Investor ID],INVESTORS_LIST[[#This Row],[INVESTOR CODE]],LS[B/S],"B")</f>
        <v>0</v>
      </c>
      <c r="F712" s="2">
        <f>-SUMIFS(LS[Unit],LS[Investor ID],INVESTORS_LIST[[#This Row],[INVESTOR CODE]],LS[B/S],"S")</f>
        <v>0</v>
      </c>
      <c r="G712" s="2">
        <f>IF(INVESTORS_LIST[[#This Row],[LS_TOTAL UNITS BUY]]=0,0,INVESTORS_LIST[[#This Row],[LS_TOTAL UNITS BUY]]-INVESTORS_LIST[[#This Row],[LS_TOTAL UNITS SOLD]])</f>
        <v>0</v>
      </c>
      <c r="H712" s="4">
        <f>IF(INVESTORS_LIST[[#This Row],[LS_TOTAL UNITS BUY]]=0,0,SUMIFS(LS[Amount],LS[Investor ID],INVESTORS_LIST[[#This Row],[INVESTOR CODE]],LS[B/S],"B"))</f>
        <v>0</v>
      </c>
      <c r="I712" s="6">
        <f>IF(INVESTORS_LIST[[#This Row],[LS_TOTAL UNITS SOLD]]=0,0,SUMIFS(LS[Cost of Units Sold],LS[Investor ID],INVESTORS_LIST[[#This Row],[INVESTOR CODE]],LS[B/S],"S"))</f>
        <v>0</v>
      </c>
      <c r="J712" s="6">
        <f>IF(INVESTORS_LIST[[#This Row],[LS_TOTAL CURRENT UNITS]]=0,0,INVESTORS_LIST[[#This Row],[LS_TOTAL CURRENT UNITS]]*INVESTORS_LIST[[#This Row],[LS_AVERAGE COST]])</f>
        <v>0</v>
      </c>
      <c r="K712" s="4">
        <f>IF(INVESTORS_LIST[[#This Row],[LS_TOTAL UNITS SOLD]]=0,0,SUMIFS(LS[Realized Gain],LS[Investor ID],INVESTORS_LIST[[#This Row],[INVESTOR CODE]],LS[B/S],"S"))</f>
        <v>0</v>
      </c>
      <c r="L712" s="2">
        <f>SUMIFS(SIP[Unit],SIP[Investor ID],INVESTORS_LIST[[#This Row],[INVESTOR CODE]],SIP[B/S],"B")</f>
        <v>155</v>
      </c>
      <c r="M712" s="2">
        <f>-SUMIFS(SIP[Unit],SIP[Investor ID],INVESTORS_LIST[[#This Row],[INVESTOR CODE]],SIP[B/S],"S")</f>
        <v>0</v>
      </c>
      <c r="N712" s="33">
        <f>IF(INVESTORS_LIST[[#This Row],[SIP_TOTAL UNITS BUY]]=0,0,INVESTORS_LIST[[#This Row],[SIP_TOTAL UNITS BUY]]-INVESTORS_LIST[[#This Row],[SIP_TOTAL UNITS SOLD]])</f>
        <v>155</v>
      </c>
      <c r="O712" s="4">
        <f>IF(INVESTORS_LIST[[#This Row],[SIP_TOTAL UNITS BUY]]=0,0,SUMIFS(SIP[Amount],SIP[Investor ID],INVESTORS_LIST[[#This Row],[INVESTOR CODE]],SIP[B/S],"B"))</f>
        <v>2000</v>
      </c>
      <c r="P712" s="4">
        <f>IF(INVESTORS_LIST[[#This Row],[SIP_TOTAL UNITS SOLD]]=0,0,SUMIFS(SIP[Cost of Units Sold],SIP[Investor ID],INVESTORS_LIST[[#This Row],[INVESTOR CODE]],SIP[B/S],"S"))</f>
        <v>0</v>
      </c>
      <c r="Q712" s="6">
        <f>IF(INVESTORS_LIST[[#This Row],[SIP_TOTAL CURRENT UNITS]]=0,0,INVESTORS_LIST[[#This Row],[SIP_TOTAL CURRENT UNITS]]*INVESTORS_LIST[[#This Row],[SIP_AVERAGE COST]])</f>
        <v>1999.9999999999998</v>
      </c>
      <c r="R712" s="6">
        <f>IF(INVESTORS_LIST[[#This Row],[SIP_TOTAL UNITS SOLD]]=0,0,SUMIFS(SIP[Realized Gain],SIP[Investor ID],INVESTORS_LIST[[#This Row],[INVESTOR CODE]],SIP[B/S],"S"))</f>
        <v>0</v>
      </c>
      <c r="S712" s="33">
        <f>INVESTORS_LIST[[#This Row],[LS_TOTAL UNITS BUY]]+INVESTORS_LIST[[#This Row],[SIP_TOTAL UNITS BUY]]</f>
        <v>155</v>
      </c>
      <c r="T712" s="33">
        <f>INVESTORS_LIST[[#This Row],[LS_TOTAL UNITS SOLD]]+INVESTORS_LIST[[#This Row],[SIP_TOTAL UNITS SOLD]]</f>
        <v>0</v>
      </c>
      <c r="U712" s="33"/>
      <c r="V712" s="33">
        <f>SUMIFS(LS[BO UNIT TRANSFER],LS[Investor ID],INVESTORS_LIST[[#This Row],[INVESTOR CODE]],LS[B/S],"B")</f>
        <v>0</v>
      </c>
      <c r="W712" s="33">
        <f>SUMIFS(LS[BO UNIT TRANSFER],LS[Investor ID],INVESTORS_LIST[[#This Row],[INVESTOR CODE]],LS[B/S],"S")</f>
        <v>0</v>
      </c>
      <c r="X712" s="33">
        <f>SUMIFS(SIP[BO UNIT TRANSFER],SIP[Investor ID],INVESTORS_LIST[[#This Row],[INVESTOR CODE]],SIP[B/S],"S")</f>
        <v>0</v>
      </c>
      <c r="Y712" s="33">
        <f>SUMIFS(SIP[BO UNIT TRANSFER],SIP[Investor ID],INVESTORS_LIST[[#This Row],[INVESTOR CODE]],SIP[B/S],"B")</f>
        <v>77</v>
      </c>
      <c r="Z712" s="302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77</v>
      </c>
      <c r="AA712" s="119">
        <f>INVESTORS_LIST[[#This Row],[TOTAL UNITS BUY]]-INVESTORS_LIST[[#This Row],[TOTAL UNITS SOLD]]</f>
        <v>155</v>
      </c>
      <c r="AB712" s="119">
        <f>INVESTORS_LIST[[#This Row],[TOTAL CURRENT UNITS]]-INVESTORS_LIST[[#This Row],[BO UNITS HOLD]]</f>
        <v>78</v>
      </c>
      <c r="AC712" s="119" t="e">
        <f>INDEX([4]!Table_1[BO ID],MATCH(INVESTORS_LIST[[#This Row],[INVESTOR CODE]],[4]!Table_1[INVESTOR CODE],0))</f>
        <v>#REF!</v>
      </c>
      <c r="AD712" s="33">
        <f>INVESTORS_LIST[[#This Row],[LS_TOTAL COST VALUE OF CURRENT UNITS]]+INVESTORS_LIST[[#This Row],[SIP_TOTAL COST VALUE OF CURRENT UNITS]]</f>
        <v>1999.9999999999998</v>
      </c>
      <c r="AE712" s="44">
        <f>IF(INVESTORS_LIST[[#This Row],[TOTAL CURRENT UNITS]]=0,0,INVESTORS_LIST[[#This Row],[LS_TOTAL CURRENT UNITS]]/INVESTORS_LIST[[#This Row],[TOTAL CURRENT UNITS]])</f>
        <v>0</v>
      </c>
      <c r="AF712" s="44">
        <f>IF(INVESTORS_LIST[[#This Row],[TOTAL CURRENT UNITS]]=0,0,INVESTORS_LIST[[#This Row],[SIP_TOTAL CURRENT UNITS]]/INVESTORS_LIST[[#This Row],[TOTAL CURRENT UNITS]])</f>
        <v>1</v>
      </c>
      <c r="AG712" s="4" cm="1">
        <f t="array" ref="AG71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12" s="4" cm="1">
        <f t="array" ref="AH712">IF(INVESTORS_LIST[[#This Row],[SIP_TOTAL UNITS BUY]]&gt;0,INDEX(SIP[NAV at Cost (Average)],MATCH(CONCATENATE(COUNTIFS(SIP[Investor ID],INVESTORS_LIST[[#This Row],[INVESTOR CODE]]),INVESTORS_LIST[[#This Row],[INVESTOR CODE]]),SIP[Unique Code],0),),0)</f>
        <v>12.903225806451612</v>
      </c>
      <c r="AI712" s="178">
        <f>IF(INVESTORS_LIST[[#This Row],[TOTAL CURRENT UNITS]]=0,0,(INVESTORS_LIST[[#This Row],[LS_WEIGHT]]*INVESTORS_LIST[[#This Row],[LS_AVERAGE COST]])+(INVESTORS_LIST[[#This Row],[SIP_WEIGHT]]*INVESTORS_LIST[[#This Row],[SIP_AVERAGE COST]]))</f>
        <v>12.903225806451612</v>
      </c>
      <c r="AJ712" s="178">
        <f t="shared" si="24"/>
        <v>12.552</v>
      </c>
      <c r="AK712" s="118">
        <f>IF(INVESTORS_LIST[[#This Row],[TOTAL CURRENT UNITS]]=0,0,INVESTORS_LIST[[#This Row],[TOTAL CURRENT UNITS]]*INVESTORS_LIST[[#This Row],[NAV]])</f>
        <v>1945.56</v>
      </c>
      <c r="AL712" s="4">
        <f>IF(INVESTORS_LIST[[#This Row],[LS_TOTAL CURRENT UNITS]]=0,0,INVESTORS_LIST[[#This Row],[LS_TOTAL CURRENT UNITS]]*INVESTORS_LIST[[#This Row],[NAV]])</f>
        <v>0</v>
      </c>
      <c r="AM712" s="6">
        <f>IF(INVESTORS_LIST[[#This Row],[SIP_TOTAL CURRENT UNITS]]=0,0,INVESTORS_LIST[[#This Row],[SIP_TOTAL CURRENT UNITS]]*INVESTORS_LIST[[#This Row],[NAV]])</f>
        <v>1945.56</v>
      </c>
      <c r="AO712" s="6">
        <f>IF(INVESTORS_LIST[[#This Row],[TOTAL SELLABLE UNITS]]=0,0,INVESTORS_LIST[[#This Row],[TOTAL SELLABLE UNITS]]*INVESTORS_LIST[[#This Row],[NAV]])</f>
        <v>0</v>
      </c>
      <c r="AP712" s="6">
        <f>INVESTORS_LIST[[#This Row],[LS_TOTAL REALIZED GAIN]]+INVESTORS_LIST[[#This Row],[SIP_TOTAL REALIZED GAIN]]</f>
        <v>0</v>
      </c>
      <c r="AQ712" s="6">
        <f>INVESTORS_LIST[[#This Row],[TOTAL MARKET VALUE]]-INVESTORS_LIST[[#This Row],[TOTAL COST VALUE OF CURRENT INVESTMENT]]</f>
        <v>-54.439999999999827</v>
      </c>
      <c r="AR712" s="6">
        <f>SUMIFS(DivAndTax[Tax Amount],DivAndTax[Investor ID],INVESTORS_LIST[[#This Row],[INVESTOR CODE]])</f>
        <v>0</v>
      </c>
      <c r="AS712" s="6">
        <f>SUMIFS(DivAndTax[Gross Dividend],DivAndTax[Investor ID],INVESTORS_LIST[[#This Row],[INVESTOR CODE]])</f>
        <v>0</v>
      </c>
      <c r="AT712" s="5">
        <f>IFERROR(INVESTORS_LIST[[#This Row],[TOTAL CURRENT UNITS]]/SUM(INVESTORS_LIST[TOTAL CURRENT UNITS]),0)</f>
        <v>7.4314494337331424E-6</v>
      </c>
    </row>
    <row r="713" spans="1:46" hidden="1">
      <c r="A713" t="s">
        <v>1612</v>
      </c>
      <c r="B713" t="s">
        <v>1613</v>
      </c>
      <c r="C713" t="s">
        <v>536</v>
      </c>
      <c r="D713" s="8" t="s">
        <v>2</v>
      </c>
      <c r="E713" s="2">
        <f>SUMIFS(LS[Unit],LS[Investor ID],INVESTORS_LIST[[#This Row],[INVESTOR CODE]],LS[B/S],"B")</f>
        <v>0</v>
      </c>
      <c r="F713" s="2">
        <f>-SUMIFS(LS[Unit],LS[Investor ID],INVESTORS_LIST[[#This Row],[INVESTOR CODE]],LS[B/S],"S")</f>
        <v>0</v>
      </c>
      <c r="G713" s="2">
        <f>IF(INVESTORS_LIST[[#This Row],[LS_TOTAL UNITS BUY]]=0,0,INVESTORS_LIST[[#This Row],[LS_TOTAL UNITS BUY]]-INVESTORS_LIST[[#This Row],[LS_TOTAL UNITS SOLD]])</f>
        <v>0</v>
      </c>
      <c r="H713" s="4">
        <f>IF(INVESTORS_LIST[[#This Row],[LS_TOTAL UNITS BUY]]=0,0,SUMIFS(LS[Amount],LS[Investor ID],INVESTORS_LIST[[#This Row],[INVESTOR CODE]],LS[B/S],"B"))</f>
        <v>0</v>
      </c>
      <c r="I713" s="6">
        <f>IF(INVESTORS_LIST[[#This Row],[LS_TOTAL UNITS SOLD]]=0,0,SUMIFS(LS[Cost of Units Sold],LS[Investor ID],INVESTORS_LIST[[#This Row],[INVESTOR CODE]],LS[B/S],"S"))</f>
        <v>0</v>
      </c>
      <c r="J713" s="6">
        <f>IF(INVESTORS_LIST[[#This Row],[LS_TOTAL CURRENT UNITS]]=0,0,INVESTORS_LIST[[#This Row],[LS_TOTAL CURRENT UNITS]]*INVESTORS_LIST[[#This Row],[LS_AVERAGE COST]])</f>
        <v>0</v>
      </c>
      <c r="K713" s="4">
        <f>IF(INVESTORS_LIST[[#This Row],[LS_TOTAL UNITS SOLD]]=0,0,SUMIFS(LS[Realized Gain],LS[Investor ID],INVESTORS_LIST[[#This Row],[INVESTOR CODE]],LS[B/S],"S"))</f>
        <v>0</v>
      </c>
      <c r="L713" s="2">
        <f>SUMIFS(SIP[Unit],SIP[Investor ID],INVESTORS_LIST[[#This Row],[INVESTOR CODE]],SIP[B/S],"B")</f>
        <v>0</v>
      </c>
      <c r="M713" s="2">
        <f>-SUMIFS(SIP[Unit],SIP[Investor ID],INVESTORS_LIST[[#This Row],[INVESTOR CODE]],SIP[B/S],"S")</f>
        <v>0</v>
      </c>
      <c r="N713" s="33">
        <f>IF(INVESTORS_LIST[[#This Row],[SIP_TOTAL UNITS BUY]]=0,0,INVESTORS_LIST[[#This Row],[SIP_TOTAL UNITS BUY]]-INVESTORS_LIST[[#This Row],[SIP_TOTAL UNITS SOLD]])</f>
        <v>0</v>
      </c>
      <c r="O713" s="4">
        <f>IF(INVESTORS_LIST[[#This Row],[SIP_TOTAL UNITS BUY]]=0,0,SUMIFS(SIP[Amount],SIP[Investor ID],INVESTORS_LIST[[#This Row],[INVESTOR CODE]],SIP[B/S],"B"))</f>
        <v>0</v>
      </c>
      <c r="P713" s="4">
        <f>IF(INVESTORS_LIST[[#This Row],[SIP_TOTAL UNITS SOLD]]=0,0,SUMIFS(SIP[Cost of Units Sold],SIP[Investor ID],INVESTORS_LIST[[#This Row],[INVESTOR CODE]],SIP[B/S],"S"))</f>
        <v>0</v>
      </c>
      <c r="Q713" s="6">
        <f>IF(INVESTORS_LIST[[#This Row],[SIP_TOTAL CURRENT UNITS]]=0,0,INVESTORS_LIST[[#This Row],[SIP_TOTAL CURRENT UNITS]]*INVESTORS_LIST[[#This Row],[SIP_AVERAGE COST]])</f>
        <v>0</v>
      </c>
      <c r="R713" s="6">
        <f>IF(INVESTORS_LIST[[#This Row],[SIP_TOTAL UNITS SOLD]]=0,0,SUMIFS(SIP[Realized Gain],SIP[Investor ID],INVESTORS_LIST[[#This Row],[INVESTOR CODE]],SIP[B/S],"S"))</f>
        <v>0</v>
      </c>
      <c r="S713" s="33">
        <f>INVESTORS_LIST[[#This Row],[LS_TOTAL UNITS BUY]]+INVESTORS_LIST[[#This Row],[SIP_TOTAL UNITS BUY]]</f>
        <v>0</v>
      </c>
      <c r="T713" s="33">
        <f>INVESTORS_LIST[[#This Row],[LS_TOTAL UNITS SOLD]]+INVESTORS_LIST[[#This Row],[SIP_TOTAL UNITS SOLD]]</f>
        <v>0</v>
      </c>
      <c r="U713" s="33"/>
      <c r="V713" s="33">
        <f>SUMIFS(LS[BO UNIT TRANSFER],LS[Investor ID],INVESTORS_LIST[[#This Row],[INVESTOR CODE]],LS[B/S],"B")</f>
        <v>0</v>
      </c>
      <c r="W713" s="33">
        <f>SUMIFS(LS[BO UNIT TRANSFER],LS[Investor ID],INVESTORS_LIST[[#This Row],[INVESTOR CODE]],LS[B/S],"S")</f>
        <v>0</v>
      </c>
      <c r="X713" s="33">
        <f>SUMIFS(SIP[BO UNIT TRANSFER],SIP[Investor ID],INVESTORS_LIST[[#This Row],[INVESTOR CODE]],SIP[B/S],"S")</f>
        <v>0</v>
      </c>
      <c r="Y713" s="33">
        <f>SUMIFS(SIP[BO UNIT TRANSFER],SIP[Investor ID],INVESTORS_LIST[[#This Row],[INVESTOR CODE]],SIP[B/S],"B")</f>
        <v>0</v>
      </c>
      <c r="Z713" s="302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13" s="119">
        <f>INVESTORS_LIST[[#This Row],[TOTAL UNITS BUY]]-INVESTORS_LIST[[#This Row],[TOTAL UNITS SOLD]]</f>
        <v>0</v>
      </c>
      <c r="AB713" s="119">
        <f>INVESTORS_LIST[[#This Row],[TOTAL CURRENT UNITS]]-INVESTORS_LIST[[#This Row],[BO UNITS HOLD]]</f>
        <v>0</v>
      </c>
      <c r="AC713" s="119" t="e">
        <f>INDEX([4]!Table_1[BO ID],MATCH(INVESTORS_LIST[[#This Row],[INVESTOR CODE]],[4]!Table_1[INVESTOR CODE],0))</f>
        <v>#REF!</v>
      </c>
      <c r="AD713" s="33">
        <f>INVESTORS_LIST[[#This Row],[LS_TOTAL COST VALUE OF CURRENT UNITS]]+INVESTORS_LIST[[#This Row],[SIP_TOTAL COST VALUE OF CURRENT UNITS]]</f>
        <v>0</v>
      </c>
      <c r="AE713" s="44">
        <f>IF(INVESTORS_LIST[[#This Row],[TOTAL CURRENT UNITS]]=0,0,INVESTORS_LIST[[#This Row],[LS_TOTAL CURRENT UNITS]]/INVESTORS_LIST[[#This Row],[TOTAL CURRENT UNITS]])</f>
        <v>0</v>
      </c>
      <c r="AF713" s="44">
        <f>IF(INVESTORS_LIST[[#This Row],[TOTAL CURRENT UNITS]]=0,0,INVESTORS_LIST[[#This Row],[SIP_TOTAL CURRENT UNITS]]/INVESTORS_LIST[[#This Row],[TOTAL CURRENT UNITS]])</f>
        <v>0</v>
      </c>
      <c r="AG713" s="4" cm="1">
        <f t="array" ref="AG71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13" s="4" cm="1">
        <f t="array" ref="AH71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1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13" s="178">
        <f t="shared" si="24"/>
        <v>12.552</v>
      </c>
      <c r="AK713" s="118">
        <f>IF(INVESTORS_LIST[[#This Row],[TOTAL CURRENT UNITS]]=0,0,INVESTORS_LIST[[#This Row],[TOTAL CURRENT UNITS]]*INVESTORS_LIST[[#This Row],[NAV]])</f>
        <v>0</v>
      </c>
      <c r="AL713" s="4">
        <f>IF(INVESTORS_LIST[[#This Row],[LS_TOTAL CURRENT UNITS]]=0,0,INVESTORS_LIST[[#This Row],[LS_TOTAL CURRENT UNITS]]*INVESTORS_LIST[[#This Row],[NAV]])</f>
        <v>0</v>
      </c>
      <c r="AM713" s="6">
        <f>IF(INVESTORS_LIST[[#This Row],[SIP_TOTAL CURRENT UNITS]]=0,0,INVESTORS_LIST[[#This Row],[SIP_TOTAL CURRENT UNITS]]*INVESTORS_LIST[[#This Row],[NAV]])</f>
        <v>0</v>
      </c>
      <c r="AO713" s="6">
        <f>IF(INVESTORS_LIST[[#This Row],[TOTAL SELLABLE UNITS]]=0,0,INVESTORS_LIST[[#This Row],[TOTAL SELLABLE UNITS]]*INVESTORS_LIST[[#This Row],[NAV]])</f>
        <v>0</v>
      </c>
      <c r="AP713" s="6">
        <f>INVESTORS_LIST[[#This Row],[LS_TOTAL REALIZED GAIN]]+INVESTORS_LIST[[#This Row],[SIP_TOTAL REALIZED GAIN]]</f>
        <v>0</v>
      </c>
      <c r="AQ713" s="6">
        <f>INVESTORS_LIST[[#This Row],[TOTAL MARKET VALUE]]-INVESTORS_LIST[[#This Row],[TOTAL COST VALUE OF CURRENT INVESTMENT]]</f>
        <v>0</v>
      </c>
      <c r="AR713" s="6">
        <f>SUMIFS(DivAndTax[Tax Amount],DivAndTax[Investor ID],INVESTORS_LIST[[#This Row],[INVESTOR CODE]])</f>
        <v>0</v>
      </c>
      <c r="AS713" s="6">
        <f>SUMIFS(DivAndTax[Gross Dividend],DivAndTax[Investor ID],INVESTORS_LIST[[#This Row],[INVESTOR CODE]])</f>
        <v>0</v>
      </c>
      <c r="AT713" s="5">
        <f>IFERROR(INVESTORS_LIST[[#This Row],[TOTAL CURRENT UNITS]]/SUM(INVESTORS_LIST[TOTAL CURRENT UNITS]),0)</f>
        <v>0</v>
      </c>
    </row>
    <row r="714" spans="1:46" hidden="1">
      <c r="A714" t="s">
        <v>1549</v>
      </c>
      <c r="B714" t="s">
        <v>1635</v>
      </c>
      <c r="C714" t="s">
        <v>536</v>
      </c>
      <c r="D714" s="8" t="s">
        <v>2</v>
      </c>
      <c r="E714" s="2">
        <f>SUMIFS(LS[Unit],LS[Investor ID],INVESTORS_LIST[[#This Row],[INVESTOR CODE]],LS[B/S],"B")</f>
        <v>0</v>
      </c>
      <c r="F714" s="2">
        <f>-SUMIFS(LS[Unit],LS[Investor ID],INVESTORS_LIST[[#This Row],[INVESTOR CODE]],LS[B/S],"S")</f>
        <v>0</v>
      </c>
      <c r="G714" s="2">
        <f>IF(INVESTORS_LIST[[#This Row],[LS_TOTAL UNITS BUY]]=0,0,INVESTORS_LIST[[#This Row],[LS_TOTAL UNITS BUY]]-INVESTORS_LIST[[#This Row],[LS_TOTAL UNITS SOLD]])</f>
        <v>0</v>
      </c>
      <c r="H714" s="4">
        <f>IF(INVESTORS_LIST[[#This Row],[LS_TOTAL UNITS BUY]]=0,0,SUMIFS(LS[Amount],LS[Investor ID],INVESTORS_LIST[[#This Row],[INVESTOR CODE]],LS[B/S],"B"))</f>
        <v>0</v>
      </c>
      <c r="I714" s="6">
        <f>IF(INVESTORS_LIST[[#This Row],[LS_TOTAL UNITS SOLD]]=0,0,SUMIFS(LS[Cost of Units Sold],LS[Investor ID],INVESTORS_LIST[[#This Row],[INVESTOR CODE]],LS[B/S],"S"))</f>
        <v>0</v>
      </c>
      <c r="J714" s="6">
        <f>IF(INVESTORS_LIST[[#This Row],[LS_TOTAL CURRENT UNITS]]=0,0,INVESTORS_LIST[[#This Row],[LS_TOTAL CURRENT UNITS]]*INVESTORS_LIST[[#This Row],[LS_AVERAGE COST]])</f>
        <v>0</v>
      </c>
      <c r="K714" s="4">
        <f>IF(INVESTORS_LIST[[#This Row],[LS_TOTAL UNITS SOLD]]=0,0,SUMIFS(LS[Realized Gain],LS[Investor ID],INVESTORS_LIST[[#This Row],[INVESTOR CODE]],LS[B/S],"S"))</f>
        <v>0</v>
      </c>
      <c r="L714" s="2">
        <f>SUMIFS(SIP[Unit],SIP[Investor ID],INVESTORS_LIST[[#This Row],[INVESTOR CODE]],SIP[B/S],"B")</f>
        <v>0</v>
      </c>
      <c r="M714" s="2">
        <f>-SUMIFS(SIP[Unit],SIP[Investor ID],INVESTORS_LIST[[#This Row],[INVESTOR CODE]],SIP[B/S],"S")</f>
        <v>0</v>
      </c>
      <c r="N714" s="33">
        <f>IF(INVESTORS_LIST[[#This Row],[SIP_TOTAL UNITS BUY]]=0,0,INVESTORS_LIST[[#This Row],[SIP_TOTAL UNITS BUY]]-INVESTORS_LIST[[#This Row],[SIP_TOTAL UNITS SOLD]])</f>
        <v>0</v>
      </c>
      <c r="O714" s="4">
        <f>IF(INVESTORS_LIST[[#This Row],[SIP_TOTAL UNITS BUY]]=0,0,SUMIFS(SIP[Amount],SIP[Investor ID],INVESTORS_LIST[[#This Row],[INVESTOR CODE]],SIP[B/S],"B"))</f>
        <v>0</v>
      </c>
      <c r="P714" s="4">
        <f>IF(INVESTORS_LIST[[#This Row],[SIP_TOTAL UNITS SOLD]]=0,0,SUMIFS(SIP[Cost of Units Sold],SIP[Investor ID],INVESTORS_LIST[[#This Row],[INVESTOR CODE]],SIP[B/S],"S"))</f>
        <v>0</v>
      </c>
      <c r="Q714" s="6">
        <f>IF(INVESTORS_LIST[[#This Row],[SIP_TOTAL CURRENT UNITS]]=0,0,INVESTORS_LIST[[#This Row],[SIP_TOTAL CURRENT UNITS]]*INVESTORS_LIST[[#This Row],[SIP_AVERAGE COST]])</f>
        <v>0</v>
      </c>
      <c r="R714" s="6">
        <f>IF(INVESTORS_LIST[[#This Row],[SIP_TOTAL UNITS SOLD]]=0,0,SUMIFS(SIP[Realized Gain],SIP[Investor ID],INVESTORS_LIST[[#This Row],[INVESTOR CODE]],SIP[B/S],"S"))</f>
        <v>0</v>
      </c>
      <c r="S714" s="33">
        <f>INVESTORS_LIST[[#This Row],[LS_TOTAL UNITS BUY]]+INVESTORS_LIST[[#This Row],[SIP_TOTAL UNITS BUY]]</f>
        <v>0</v>
      </c>
      <c r="T714" s="33">
        <f>INVESTORS_LIST[[#This Row],[LS_TOTAL UNITS SOLD]]+INVESTORS_LIST[[#This Row],[SIP_TOTAL UNITS SOLD]]</f>
        <v>0</v>
      </c>
      <c r="U714" s="33"/>
      <c r="V714" s="33">
        <f>SUMIFS(LS[BO UNIT TRANSFER],LS[Investor ID],INVESTORS_LIST[[#This Row],[INVESTOR CODE]],LS[B/S],"B")</f>
        <v>0</v>
      </c>
      <c r="W714" s="33">
        <f>SUMIFS(LS[BO UNIT TRANSFER],LS[Investor ID],INVESTORS_LIST[[#This Row],[INVESTOR CODE]],LS[B/S],"S")</f>
        <v>0</v>
      </c>
      <c r="X714" s="33">
        <f>SUMIFS(SIP[BO UNIT TRANSFER],SIP[Investor ID],INVESTORS_LIST[[#This Row],[INVESTOR CODE]],SIP[B/S],"S")</f>
        <v>0</v>
      </c>
      <c r="Y714" s="33">
        <f>SUMIFS(SIP[BO UNIT TRANSFER],SIP[Investor ID],INVESTORS_LIST[[#This Row],[INVESTOR CODE]],SIP[B/S],"B")</f>
        <v>0</v>
      </c>
      <c r="Z714" s="302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14" s="119">
        <f>INVESTORS_LIST[[#This Row],[TOTAL UNITS BUY]]-INVESTORS_LIST[[#This Row],[TOTAL UNITS SOLD]]</f>
        <v>0</v>
      </c>
      <c r="AB714" s="119">
        <f>INVESTORS_LIST[[#This Row],[TOTAL CURRENT UNITS]]-INVESTORS_LIST[[#This Row],[BO UNITS HOLD]]</f>
        <v>0</v>
      </c>
      <c r="AC714" s="119" t="e">
        <f>INDEX([4]!Table_1[BO ID],MATCH(INVESTORS_LIST[[#This Row],[INVESTOR CODE]],[4]!Table_1[INVESTOR CODE],0))</f>
        <v>#REF!</v>
      </c>
      <c r="AD714" s="33">
        <f>INVESTORS_LIST[[#This Row],[LS_TOTAL COST VALUE OF CURRENT UNITS]]+INVESTORS_LIST[[#This Row],[SIP_TOTAL COST VALUE OF CURRENT UNITS]]</f>
        <v>0</v>
      </c>
      <c r="AE714" s="44">
        <f>IF(INVESTORS_LIST[[#This Row],[TOTAL CURRENT UNITS]]=0,0,INVESTORS_LIST[[#This Row],[LS_TOTAL CURRENT UNITS]]/INVESTORS_LIST[[#This Row],[TOTAL CURRENT UNITS]])</f>
        <v>0</v>
      </c>
      <c r="AF714" s="44">
        <f>IF(INVESTORS_LIST[[#This Row],[TOTAL CURRENT UNITS]]=0,0,INVESTORS_LIST[[#This Row],[SIP_TOTAL CURRENT UNITS]]/INVESTORS_LIST[[#This Row],[TOTAL CURRENT UNITS]])</f>
        <v>0</v>
      </c>
      <c r="AG714" s="4" cm="1">
        <f t="array" ref="AG714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14" s="4" cm="1">
        <f t="array" ref="AH714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14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14" s="178">
        <f t="shared" si="24"/>
        <v>12.552</v>
      </c>
      <c r="AK714" s="118">
        <f>IF(INVESTORS_LIST[[#This Row],[TOTAL CURRENT UNITS]]=0,0,INVESTORS_LIST[[#This Row],[TOTAL CURRENT UNITS]]*INVESTORS_LIST[[#This Row],[NAV]])</f>
        <v>0</v>
      </c>
      <c r="AL714" s="4">
        <f>IF(INVESTORS_LIST[[#This Row],[LS_TOTAL CURRENT UNITS]]=0,0,INVESTORS_LIST[[#This Row],[LS_TOTAL CURRENT UNITS]]*INVESTORS_LIST[[#This Row],[NAV]])</f>
        <v>0</v>
      </c>
      <c r="AM714" s="6">
        <f>IF(INVESTORS_LIST[[#This Row],[SIP_TOTAL CURRENT UNITS]]=0,0,INVESTORS_LIST[[#This Row],[SIP_TOTAL CURRENT UNITS]]*INVESTORS_LIST[[#This Row],[NAV]])</f>
        <v>0</v>
      </c>
      <c r="AO714" s="6">
        <f>IF(INVESTORS_LIST[[#This Row],[TOTAL SELLABLE UNITS]]=0,0,INVESTORS_LIST[[#This Row],[TOTAL SELLABLE UNITS]]*INVESTORS_LIST[[#This Row],[NAV]])</f>
        <v>0</v>
      </c>
      <c r="AP714" s="6">
        <f>INVESTORS_LIST[[#This Row],[LS_TOTAL REALIZED GAIN]]+INVESTORS_LIST[[#This Row],[SIP_TOTAL REALIZED GAIN]]</f>
        <v>0</v>
      </c>
      <c r="AQ714" s="6">
        <f>INVESTORS_LIST[[#This Row],[TOTAL MARKET VALUE]]-INVESTORS_LIST[[#This Row],[TOTAL COST VALUE OF CURRENT INVESTMENT]]</f>
        <v>0</v>
      </c>
      <c r="AR714" s="6">
        <f>SUMIFS(DivAndTax[Tax Amount],DivAndTax[Investor ID],INVESTORS_LIST[[#This Row],[INVESTOR CODE]])</f>
        <v>0</v>
      </c>
      <c r="AS714" s="6">
        <f>SUMIFS(DivAndTax[Gross Dividend],DivAndTax[Investor ID],INVESTORS_LIST[[#This Row],[INVESTOR CODE]])</f>
        <v>0</v>
      </c>
      <c r="AT714" s="5">
        <f>IFERROR(INVESTORS_LIST[[#This Row],[TOTAL CURRENT UNITS]]/SUM(INVESTORS_LIST[TOTAL CURRENT UNITS]),0)</f>
        <v>0</v>
      </c>
    </row>
    <row r="715" spans="1:46" hidden="1">
      <c r="A715" t="s">
        <v>1636</v>
      </c>
      <c r="B715" t="s">
        <v>1637</v>
      </c>
      <c r="C715" t="s">
        <v>536</v>
      </c>
      <c r="D715" s="8" t="s">
        <v>2</v>
      </c>
      <c r="E715" s="2">
        <f>SUMIFS(LS[Unit],LS[Investor ID],INVESTORS_LIST[[#This Row],[INVESTOR CODE]],LS[B/S],"B")</f>
        <v>0</v>
      </c>
      <c r="F715" s="2">
        <f>-SUMIFS(LS[Unit],LS[Investor ID],INVESTORS_LIST[[#This Row],[INVESTOR CODE]],LS[B/S],"S")</f>
        <v>0</v>
      </c>
      <c r="G715" s="2">
        <f>IF(INVESTORS_LIST[[#This Row],[LS_TOTAL UNITS BUY]]=0,0,INVESTORS_LIST[[#This Row],[LS_TOTAL UNITS BUY]]-INVESTORS_LIST[[#This Row],[LS_TOTAL UNITS SOLD]])</f>
        <v>0</v>
      </c>
      <c r="H715" s="4">
        <f>IF(INVESTORS_LIST[[#This Row],[LS_TOTAL UNITS BUY]]=0,0,SUMIFS(LS[Amount],LS[Investor ID],INVESTORS_LIST[[#This Row],[INVESTOR CODE]],LS[B/S],"B"))</f>
        <v>0</v>
      </c>
      <c r="I715" s="6">
        <f>IF(INVESTORS_LIST[[#This Row],[LS_TOTAL UNITS SOLD]]=0,0,SUMIFS(LS[Cost of Units Sold],LS[Investor ID],INVESTORS_LIST[[#This Row],[INVESTOR CODE]],LS[B/S],"S"))</f>
        <v>0</v>
      </c>
      <c r="J715" s="6">
        <f>IF(INVESTORS_LIST[[#This Row],[LS_TOTAL CURRENT UNITS]]=0,0,INVESTORS_LIST[[#This Row],[LS_TOTAL CURRENT UNITS]]*INVESTORS_LIST[[#This Row],[LS_AVERAGE COST]])</f>
        <v>0</v>
      </c>
      <c r="K715" s="4">
        <f>IF(INVESTORS_LIST[[#This Row],[LS_TOTAL UNITS SOLD]]=0,0,SUMIFS(LS[Realized Gain],LS[Investor ID],INVESTORS_LIST[[#This Row],[INVESTOR CODE]],LS[B/S],"S"))</f>
        <v>0</v>
      </c>
      <c r="L715" s="2">
        <f>SUMIFS(SIP[Unit],SIP[Investor ID],INVESTORS_LIST[[#This Row],[INVESTOR CODE]],SIP[B/S],"B")</f>
        <v>0</v>
      </c>
      <c r="M715" s="2">
        <f>-SUMIFS(SIP[Unit],SIP[Investor ID],INVESTORS_LIST[[#This Row],[INVESTOR CODE]],SIP[B/S],"S")</f>
        <v>0</v>
      </c>
      <c r="N715" s="33">
        <f>IF(INVESTORS_LIST[[#This Row],[SIP_TOTAL UNITS BUY]]=0,0,INVESTORS_LIST[[#This Row],[SIP_TOTAL UNITS BUY]]-INVESTORS_LIST[[#This Row],[SIP_TOTAL UNITS SOLD]])</f>
        <v>0</v>
      </c>
      <c r="O715" s="4">
        <f>IF(INVESTORS_LIST[[#This Row],[SIP_TOTAL UNITS BUY]]=0,0,SUMIFS(SIP[Amount],SIP[Investor ID],INVESTORS_LIST[[#This Row],[INVESTOR CODE]],SIP[B/S],"B"))</f>
        <v>0</v>
      </c>
      <c r="P715" s="4">
        <f>IF(INVESTORS_LIST[[#This Row],[SIP_TOTAL UNITS SOLD]]=0,0,SUMIFS(SIP[Cost of Units Sold],SIP[Investor ID],INVESTORS_LIST[[#This Row],[INVESTOR CODE]],SIP[B/S],"S"))</f>
        <v>0</v>
      </c>
      <c r="Q715" s="6">
        <f>IF(INVESTORS_LIST[[#This Row],[SIP_TOTAL CURRENT UNITS]]=0,0,INVESTORS_LIST[[#This Row],[SIP_TOTAL CURRENT UNITS]]*INVESTORS_LIST[[#This Row],[SIP_AVERAGE COST]])</f>
        <v>0</v>
      </c>
      <c r="R715" s="6">
        <f>IF(INVESTORS_LIST[[#This Row],[SIP_TOTAL UNITS SOLD]]=0,0,SUMIFS(SIP[Realized Gain],SIP[Investor ID],INVESTORS_LIST[[#This Row],[INVESTOR CODE]],SIP[B/S],"S"))</f>
        <v>0</v>
      </c>
      <c r="S715" s="33">
        <f>INVESTORS_LIST[[#This Row],[LS_TOTAL UNITS BUY]]+INVESTORS_LIST[[#This Row],[SIP_TOTAL UNITS BUY]]</f>
        <v>0</v>
      </c>
      <c r="T715" s="33">
        <f>INVESTORS_LIST[[#This Row],[LS_TOTAL UNITS SOLD]]+INVESTORS_LIST[[#This Row],[SIP_TOTAL UNITS SOLD]]</f>
        <v>0</v>
      </c>
      <c r="U715" s="33"/>
      <c r="V715" s="33">
        <f>SUMIFS(LS[BO UNIT TRANSFER],LS[Investor ID],INVESTORS_LIST[[#This Row],[INVESTOR CODE]],LS[B/S],"B")</f>
        <v>0</v>
      </c>
      <c r="W715" s="33">
        <f>SUMIFS(LS[BO UNIT TRANSFER],LS[Investor ID],INVESTORS_LIST[[#This Row],[INVESTOR CODE]],LS[B/S],"S")</f>
        <v>0</v>
      </c>
      <c r="X715" s="33">
        <f>SUMIFS(SIP[BO UNIT TRANSFER],SIP[Investor ID],INVESTORS_LIST[[#This Row],[INVESTOR CODE]],SIP[B/S],"S")</f>
        <v>0</v>
      </c>
      <c r="Y715" s="33">
        <f>SUMIFS(SIP[BO UNIT TRANSFER],SIP[Investor ID],INVESTORS_LIST[[#This Row],[INVESTOR CODE]],SIP[B/S],"B")</f>
        <v>0</v>
      </c>
      <c r="Z715" s="302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15" s="119">
        <f>INVESTORS_LIST[[#This Row],[TOTAL UNITS BUY]]-INVESTORS_LIST[[#This Row],[TOTAL UNITS SOLD]]</f>
        <v>0</v>
      </c>
      <c r="AB715" s="119">
        <f>INVESTORS_LIST[[#This Row],[TOTAL CURRENT UNITS]]-INVESTORS_LIST[[#This Row],[BO UNITS HOLD]]</f>
        <v>0</v>
      </c>
      <c r="AC715" s="119" t="e">
        <f>INDEX([4]!Table_1[BO ID],MATCH(INVESTORS_LIST[[#This Row],[INVESTOR CODE]],[4]!Table_1[INVESTOR CODE],0))</f>
        <v>#REF!</v>
      </c>
      <c r="AD715" s="33">
        <f>INVESTORS_LIST[[#This Row],[LS_TOTAL COST VALUE OF CURRENT UNITS]]+INVESTORS_LIST[[#This Row],[SIP_TOTAL COST VALUE OF CURRENT UNITS]]</f>
        <v>0</v>
      </c>
      <c r="AE715" s="44">
        <f>IF(INVESTORS_LIST[[#This Row],[TOTAL CURRENT UNITS]]=0,0,INVESTORS_LIST[[#This Row],[LS_TOTAL CURRENT UNITS]]/INVESTORS_LIST[[#This Row],[TOTAL CURRENT UNITS]])</f>
        <v>0</v>
      </c>
      <c r="AF715" s="44">
        <f>IF(INVESTORS_LIST[[#This Row],[TOTAL CURRENT UNITS]]=0,0,INVESTORS_LIST[[#This Row],[SIP_TOTAL CURRENT UNITS]]/INVESTORS_LIST[[#This Row],[TOTAL CURRENT UNITS]])</f>
        <v>0</v>
      </c>
      <c r="AG715" s="4" cm="1">
        <f t="array" ref="AG715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15" s="4" cm="1">
        <f t="array" ref="AH715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15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15" s="178">
        <f t="shared" si="24"/>
        <v>12.552</v>
      </c>
      <c r="AK715" s="118">
        <f>IF(INVESTORS_LIST[[#This Row],[TOTAL CURRENT UNITS]]=0,0,INVESTORS_LIST[[#This Row],[TOTAL CURRENT UNITS]]*INVESTORS_LIST[[#This Row],[NAV]])</f>
        <v>0</v>
      </c>
      <c r="AL715" s="4">
        <f>IF(INVESTORS_LIST[[#This Row],[LS_TOTAL CURRENT UNITS]]=0,0,INVESTORS_LIST[[#This Row],[LS_TOTAL CURRENT UNITS]]*INVESTORS_LIST[[#This Row],[NAV]])</f>
        <v>0</v>
      </c>
      <c r="AM715" s="6">
        <f>IF(INVESTORS_LIST[[#This Row],[SIP_TOTAL CURRENT UNITS]]=0,0,INVESTORS_LIST[[#This Row],[SIP_TOTAL CURRENT UNITS]]*INVESTORS_LIST[[#This Row],[NAV]])</f>
        <v>0</v>
      </c>
      <c r="AO715" s="6">
        <f>IF(INVESTORS_LIST[[#This Row],[TOTAL SELLABLE UNITS]]=0,0,INVESTORS_LIST[[#This Row],[TOTAL SELLABLE UNITS]]*INVESTORS_LIST[[#This Row],[NAV]])</f>
        <v>0</v>
      </c>
      <c r="AP715" s="6">
        <f>INVESTORS_LIST[[#This Row],[LS_TOTAL REALIZED GAIN]]+INVESTORS_LIST[[#This Row],[SIP_TOTAL REALIZED GAIN]]</f>
        <v>0</v>
      </c>
      <c r="AQ715" s="6">
        <f>INVESTORS_LIST[[#This Row],[TOTAL MARKET VALUE]]-INVESTORS_LIST[[#This Row],[TOTAL COST VALUE OF CURRENT INVESTMENT]]</f>
        <v>0</v>
      </c>
      <c r="AR715" s="6">
        <f>SUMIFS(DivAndTax[Tax Amount],DivAndTax[Investor ID],INVESTORS_LIST[[#This Row],[INVESTOR CODE]])</f>
        <v>0</v>
      </c>
      <c r="AS715" s="6">
        <f>SUMIFS(DivAndTax[Gross Dividend],DivAndTax[Investor ID],INVESTORS_LIST[[#This Row],[INVESTOR CODE]])</f>
        <v>0</v>
      </c>
      <c r="AT715" s="5">
        <f>IFERROR(INVESTORS_LIST[[#This Row],[TOTAL CURRENT UNITS]]/SUM(INVESTORS_LIST[TOTAL CURRENT UNITS]),0)</f>
        <v>0</v>
      </c>
    </row>
    <row r="716" spans="1:46" hidden="1">
      <c r="A716" t="s">
        <v>1638</v>
      </c>
      <c r="B716" t="s">
        <v>1639</v>
      </c>
      <c r="C716" t="s">
        <v>536</v>
      </c>
      <c r="D716" s="8" t="s">
        <v>2</v>
      </c>
      <c r="E716" s="2">
        <f>SUMIFS(LS[Unit],LS[Investor ID],INVESTORS_LIST[[#This Row],[INVESTOR CODE]],LS[B/S],"B")</f>
        <v>0</v>
      </c>
      <c r="F716" s="2">
        <f>-SUMIFS(LS[Unit],LS[Investor ID],INVESTORS_LIST[[#This Row],[INVESTOR CODE]],LS[B/S],"S")</f>
        <v>0</v>
      </c>
      <c r="G716" s="2">
        <f>IF(INVESTORS_LIST[[#This Row],[LS_TOTAL UNITS BUY]]=0,0,INVESTORS_LIST[[#This Row],[LS_TOTAL UNITS BUY]]-INVESTORS_LIST[[#This Row],[LS_TOTAL UNITS SOLD]])</f>
        <v>0</v>
      </c>
      <c r="H716" s="4">
        <f>IF(INVESTORS_LIST[[#This Row],[LS_TOTAL UNITS BUY]]=0,0,SUMIFS(LS[Amount],LS[Investor ID],INVESTORS_LIST[[#This Row],[INVESTOR CODE]],LS[B/S],"B"))</f>
        <v>0</v>
      </c>
      <c r="I716" s="6">
        <f>IF(INVESTORS_LIST[[#This Row],[LS_TOTAL UNITS SOLD]]=0,0,SUMIFS(LS[Cost of Units Sold],LS[Investor ID],INVESTORS_LIST[[#This Row],[INVESTOR CODE]],LS[B/S],"S"))</f>
        <v>0</v>
      </c>
      <c r="J716" s="6">
        <f>IF(INVESTORS_LIST[[#This Row],[LS_TOTAL CURRENT UNITS]]=0,0,INVESTORS_LIST[[#This Row],[LS_TOTAL CURRENT UNITS]]*INVESTORS_LIST[[#This Row],[LS_AVERAGE COST]])</f>
        <v>0</v>
      </c>
      <c r="K716" s="4">
        <f>IF(INVESTORS_LIST[[#This Row],[LS_TOTAL UNITS SOLD]]=0,0,SUMIFS(LS[Realized Gain],LS[Investor ID],INVESTORS_LIST[[#This Row],[INVESTOR CODE]],LS[B/S],"S"))</f>
        <v>0</v>
      </c>
      <c r="L716" s="2">
        <f>SUMIFS(SIP[Unit],SIP[Investor ID],INVESTORS_LIST[[#This Row],[INVESTOR CODE]],SIP[B/S],"B")</f>
        <v>0</v>
      </c>
      <c r="M716" s="2">
        <f>-SUMIFS(SIP[Unit],SIP[Investor ID],INVESTORS_LIST[[#This Row],[INVESTOR CODE]],SIP[B/S],"S")</f>
        <v>0</v>
      </c>
      <c r="N716" s="33">
        <f>IF(INVESTORS_LIST[[#This Row],[SIP_TOTAL UNITS BUY]]=0,0,INVESTORS_LIST[[#This Row],[SIP_TOTAL UNITS BUY]]-INVESTORS_LIST[[#This Row],[SIP_TOTAL UNITS SOLD]])</f>
        <v>0</v>
      </c>
      <c r="O716" s="4">
        <f>IF(INVESTORS_LIST[[#This Row],[SIP_TOTAL UNITS BUY]]=0,0,SUMIFS(SIP[Amount],SIP[Investor ID],INVESTORS_LIST[[#This Row],[INVESTOR CODE]],SIP[B/S],"B"))</f>
        <v>0</v>
      </c>
      <c r="P716" s="4">
        <f>IF(INVESTORS_LIST[[#This Row],[SIP_TOTAL UNITS SOLD]]=0,0,SUMIFS(SIP[Cost of Units Sold],SIP[Investor ID],INVESTORS_LIST[[#This Row],[INVESTOR CODE]],SIP[B/S],"S"))</f>
        <v>0</v>
      </c>
      <c r="Q716" s="6">
        <f>IF(INVESTORS_LIST[[#This Row],[SIP_TOTAL CURRENT UNITS]]=0,0,INVESTORS_LIST[[#This Row],[SIP_TOTAL CURRENT UNITS]]*INVESTORS_LIST[[#This Row],[SIP_AVERAGE COST]])</f>
        <v>0</v>
      </c>
      <c r="R716" s="6">
        <f>IF(INVESTORS_LIST[[#This Row],[SIP_TOTAL UNITS SOLD]]=0,0,SUMIFS(SIP[Realized Gain],SIP[Investor ID],INVESTORS_LIST[[#This Row],[INVESTOR CODE]],SIP[B/S],"S"))</f>
        <v>0</v>
      </c>
      <c r="S716" s="33">
        <f>INVESTORS_LIST[[#This Row],[LS_TOTAL UNITS BUY]]+INVESTORS_LIST[[#This Row],[SIP_TOTAL UNITS BUY]]</f>
        <v>0</v>
      </c>
      <c r="T716" s="33">
        <f>INVESTORS_LIST[[#This Row],[LS_TOTAL UNITS SOLD]]+INVESTORS_LIST[[#This Row],[SIP_TOTAL UNITS SOLD]]</f>
        <v>0</v>
      </c>
      <c r="U716" s="33"/>
      <c r="V716" s="33">
        <f>SUMIFS(LS[BO UNIT TRANSFER],LS[Investor ID],INVESTORS_LIST[[#This Row],[INVESTOR CODE]],LS[B/S],"B")</f>
        <v>0</v>
      </c>
      <c r="W716" s="33">
        <f>SUMIFS(LS[BO UNIT TRANSFER],LS[Investor ID],INVESTORS_LIST[[#This Row],[INVESTOR CODE]],LS[B/S],"S")</f>
        <v>0</v>
      </c>
      <c r="X716" s="33">
        <f>SUMIFS(SIP[BO UNIT TRANSFER],SIP[Investor ID],INVESTORS_LIST[[#This Row],[INVESTOR CODE]],SIP[B/S],"S")</f>
        <v>0</v>
      </c>
      <c r="Y716" s="33">
        <f>SUMIFS(SIP[BO UNIT TRANSFER],SIP[Investor ID],INVESTORS_LIST[[#This Row],[INVESTOR CODE]],SIP[B/S],"B")</f>
        <v>0</v>
      </c>
      <c r="Z716" s="302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16" s="119">
        <f>INVESTORS_LIST[[#This Row],[TOTAL UNITS BUY]]-INVESTORS_LIST[[#This Row],[TOTAL UNITS SOLD]]</f>
        <v>0</v>
      </c>
      <c r="AB716" s="119">
        <f>INVESTORS_LIST[[#This Row],[TOTAL CURRENT UNITS]]-INVESTORS_LIST[[#This Row],[BO UNITS HOLD]]</f>
        <v>0</v>
      </c>
      <c r="AC716" s="119" t="e">
        <f>INDEX([4]!Table_1[BO ID],MATCH(INVESTORS_LIST[[#This Row],[INVESTOR CODE]],[4]!Table_1[INVESTOR CODE],0))</f>
        <v>#REF!</v>
      </c>
      <c r="AD716" s="33">
        <f>INVESTORS_LIST[[#This Row],[LS_TOTAL COST VALUE OF CURRENT UNITS]]+INVESTORS_LIST[[#This Row],[SIP_TOTAL COST VALUE OF CURRENT UNITS]]</f>
        <v>0</v>
      </c>
      <c r="AE716" s="44">
        <f>IF(INVESTORS_LIST[[#This Row],[TOTAL CURRENT UNITS]]=0,0,INVESTORS_LIST[[#This Row],[LS_TOTAL CURRENT UNITS]]/INVESTORS_LIST[[#This Row],[TOTAL CURRENT UNITS]])</f>
        <v>0</v>
      </c>
      <c r="AF716" s="44">
        <f>IF(INVESTORS_LIST[[#This Row],[TOTAL CURRENT UNITS]]=0,0,INVESTORS_LIST[[#This Row],[SIP_TOTAL CURRENT UNITS]]/INVESTORS_LIST[[#This Row],[TOTAL CURRENT UNITS]])</f>
        <v>0</v>
      </c>
      <c r="AG716" s="4" cm="1">
        <f t="array" ref="AG716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16" s="4" cm="1">
        <f t="array" ref="AH716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16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16" s="178">
        <f t="shared" si="24"/>
        <v>12.552</v>
      </c>
      <c r="AK716" s="118">
        <f>IF(INVESTORS_LIST[[#This Row],[TOTAL CURRENT UNITS]]=0,0,INVESTORS_LIST[[#This Row],[TOTAL CURRENT UNITS]]*INVESTORS_LIST[[#This Row],[NAV]])</f>
        <v>0</v>
      </c>
      <c r="AL716" s="4">
        <f>IF(INVESTORS_LIST[[#This Row],[LS_TOTAL CURRENT UNITS]]=0,0,INVESTORS_LIST[[#This Row],[LS_TOTAL CURRENT UNITS]]*INVESTORS_LIST[[#This Row],[NAV]])</f>
        <v>0</v>
      </c>
      <c r="AM716" s="6">
        <f>IF(INVESTORS_LIST[[#This Row],[SIP_TOTAL CURRENT UNITS]]=0,0,INVESTORS_LIST[[#This Row],[SIP_TOTAL CURRENT UNITS]]*INVESTORS_LIST[[#This Row],[NAV]])</f>
        <v>0</v>
      </c>
      <c r="AO716" s="6">
        <f>IF(INVESTORS_LIST[[#This Row],[TOTAL SELLABLE UNITS]]=0,0,INVESTORS_LIST[[#This Row],[TOTAL SELLABLE UNITS]]*INVESTORS_LIST[[#This Row],[NAV]])</f>
        <v>0</v>
      </c>
      <c r="AP716" s="6">
        <f>INVESTORS_LIST[[#This Row],[LS_TOTAL REALIZED GAIN]]+INVESTORS_LIST[[#This Row],[SIP_TOTAL REALIZED GAIN]]</f>
        <v>0</v>
      </c>
      <c r="AQ716" s="6">
        <f>INVESTORS_LIST[[#This Row],[TOTAL MARKET VALUE]]-INVESTORS_LIST[[#This Row],[TOTAL COST VALUE OF CURRENT INVESTMENT]]</f>
        <v>0</v>
      </c>
      <c r="AR716" s="6">
        <f>SUMIFS(DivAndTax[Tax Amount],DivAndTax[Investor ID],INVESTORS_LIST[[#This Row],[INVESTOR CODE]])</f>
        <v>0</v>
      </c>
      <c r="AS716" s="6">
        <f>SUMIFS(DivAndTax[Gross Dividend],DivAndTax[Investor ID],INVESTORS_LIST[[#This Row],[INVESTOR CODE]])</f>
        <v>0</v>
      </c>
      <c r="AT716" s="5">
        <f>IFERROR(INVESTORS_LIST[[#This Row],[TOTAL CURRENT UNITS]]/SUM(INVESTORS_LIST[TOTAL CURRENT UNITS]),0)</f>
        <v>0</v>
      </c>
    </row>
    <row r="717" spans="1:46" hidden="1">
      <c r="A717" t="s">
        <v>1640</v>
      </c>
      <c r="B717" t="s">
        <v>1641</v>
      </c>
      <c r="C717" t="s">
        <v>536</v>
      </c>
      <c r="D717" s="8" t="s">
        <v>2</v>
      </c>
      <c r="E717" s="2">
        <f>SUMIFS(LS[Unit],LS[Investor ID],INVESTORS_LIST[[#This Row],[INVESTOR CODE]],LS[B/S],"B")</f>
        <v>0</v>
      </c>
      <c r="F717" s="2">
        <f>-SUMIFS(LS[Unit],LS[Investor ID],INVESTORS_LIST[[#This Row],[INVESTOR CODE]],LS[B/S],"S")</f>
        <v>0</v>
      </c>
      <c r="G717" s="2">
        <f>IF(INVESTORS_LIST[[#This Row],[LS_TOTAL UNITS BUY]]=0,0,INVESTORS_LIST[[#This Row],[LS_TOTAL UNITS BUY]]-INVESTORS_LIST[[#This Row],[LS_TOTAL UNITS SOLD]])</f>
        <v>0</v>
      </c>
      <c r="H717" s="4">
        <f>IF(INVESTORS_LIST[[#This Row],[LS_TOTAL UNITS BUY]]=0,0,SUMIFS(LS[Amount],LS[Investor ID],INVESTORS_LIST[[#This Row],[INVESTOR CODE]],LS[B/S],"B"))</f>
        <v>0</v>
      </c>
      <c r="I717" s="6">
        <f>IF(INVESTORS_LIST[[#This Row],[LS_TOTAL UNITS SOLD]]=0,0,SUMIFS(LS[Cost of Units Sold],LS[Investor ID],INVESTORS_LIST[[#This Row],[INVESTOR CODE]],LS[B/S],"S"))</f>
        <v>0</v>
      </c>
      <c r="J717" s="6">
        <f>IF(INVESTORS_LIST[[#This Row],[LS_TOTAL CURRENT UNITS]]=0,0,INVESTORS_LIST[[#This Row],[LS_TOTAL CURRENT UNITS]]*INVESTORS_LIST[[#This Row],[LS_AVERAGE COST]])</f>
        <v>0</v>
      </c>
      <c r="K717" s="4">
        <f>IF(INVESTORS_LIST[[#This Row],[LS_TOTAL UNITS SOLD]]=0,0,SUMIFS(LS[Realized Gain],LS[Investor ID],INVESTORS_LIST[[#This Row],[INVESTOR CODE]],LS[B/S],"S"))</f>
        <v>0</v>
      </c>
      <c r="L717" s="2">
        <f>SUMIFS(SIP[Unit],SIP[Investor ID],INVESTORS_LIST[[#This Row],[INVESTOR CODE]],SIP[B/S],"B")</f>
        <v>0</v>
      </c>
      <c r="M717" s="2">
        <f>-SUMIFS(SIP[Unit],SIP[Investor ID],INVESTORS_LIST[[#This Row],[INVESTOR CODE]],SIP[B/S],"S")</f>
        <v>0</v>
      </c>
      <c r="N717" s="33">
        <f>IF(INVESTORS_LIST[[#This Row],[SIP_TOTAL UNITS BUY]]=0,0,INVESTORS_LIST[[#This Row],[SIP_TOTAL UNITS BUY]]-INVESTORS_LIST[[#This Row],[SIP_TOTAL UNITS SOLD]])</f>
        <v>0</v>
      </c>
      <c r="O717" s="4">
        <f>IF(INVESTORS_LIST[[#This Row],[SIP_TOTAL UNITS BUY]]=0,0,SUMIFS(SIP[Amount],SIP[Investor ID],INVESTORS_LIST[[#This Row],[INVESTOR CODE]],SIP[B/S],"B"))</f>
        <v>0</v>
      </c>
      <c r="P717" s="4">
        <f>IF(INVESTORS_LIST[[#This Row],[SIP_TOTAL UNITS SOLD]]=0,0,SUMIFS(SIP[Cost of Units Sold],SIP[Investor ID],INVESTORS_LIST[[#This Row],[INVESTOR CODE]],SIP[B/S],"S"))</f>
        <v>0</v>
      </c>
      <c r="Q717" s="6">
        <f>IF(INVESTORS_LIST[[#This Row],[SIP_TOTAL CURRENT UNITS]]=0,0,INVESTORS_LIST[[#This Row],[SIP_TOTAL CURRENT UNITS]]*INVESTORS_LIST[[#This Row],[SIP_AVERAGE COST]])</f>
        <v>0</v>
      </c>
      <c r="R717" s="6">
        <f>IF(INVESTORS_LIST[[#This Row],[SIP_TOTAL UNITS SOLD]]=0,0,SUMIFS(SIP[Realized Gain],SIP[Investor ID],INVESTORS_LIST[[#This Row],[INVESTOR CODE]],SIP[B/S],"S"))</f>
        <v>0</v>
      </c>
      <c r="S717" s="33">
        <f>INVESTORS_LIST[[#This Row],[LS_TOTAL UNITS BUY]]+INVESTORS_LIST[[#This Row],[SIP_TOTAL UNITS BUY]]</f>
        <v>0</v>
      </c>
      <c r="T717" s="33">
        <f>INVESTORS_LIST[[#This Row],[LS_TOTAL UNITS SOLD]]+INVESTORS_LIST[[#This Row],[SIP_TOTAL UNITS SOLD]]</f>
        <v>0</v>
      </c>
      <c r="U717" s="33"/>
      <c r="V717" s="33">
        <f>SUMIFS(LS[BO UNIT TRANSFER],LS[Investor ID],INVESTORS_LIST[[#This Row],[INVESTOR CODE]],LS[B/S],"B")</f>
        <v>0</v>
      </c>
      <c r="W717" s="33">
        <f>SUMIFS(LS[BO UNIT TRANSFER],LS[Investor ID],INVESTORS_LIST[[#This Row],[INVESTOR CODE]],LS[B/S],"S")</f>
        <v>0</v>
      </c>
      <c r="X717" s="33">
        <f>SUMIFS(SIP[BO UNIT TRANSFER],SIP[Investor ID],INVESTORS_LIST[[#This Row],[INVESTOR CODE]],SIP[B/S],"S")</f>
        <v>0</v>
      </c>
      <c r="Y717" s="33">
        <f>SUMIFS(SIP[BO UNIT TRANSFER],SIP[Investor ID],INVESTORS_LIST[[#This Row],[INVESTOR CODE]],SIP[B/S],"B")</f>
        <v>0</v>
      </c>
      <c r="Z717" s="302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17" s="119">
        <f>INVESTORS_LIST[[#This Row],[TOTAL UNITS BUY]]-INVESTORS_LIST[[#This Row],[TOTAL UNITS SOLD]]</f>
        <v>0</v>
      </c>
      <c r="AB717" s="119">
        <f>INVESTORS_LIST[[#This Row],[TOTAL CURRENT UNITS]]-INVESTORS_LIST[[#This Row],[BO UNITS HOLD]]</f>
        <v>0</v>
      </c>
      <c r="AC717" s="119" t="e">
        <f>INDEX([4]!Table_1[BO ID],MATCH(INVESTORS_LIST[[#This Row],[INVESTOR CODE]],[4]!Table_1[INVESTOR CODE],0))</f>
        <v>#REF!</v>
      </c>
      <c r="AD717" s="33">
        <f>INVESTORS_LIST[[#This Row],[LS_TOTAL COST VALUE OF CURRENT UNITS]]+INVESTORS_LIST[[#This Row],[SIP_TOTAL COST VALUE OF CURRENT UNITS]]</f>
        <v>0</v>
      </c>
      <c r="AE717" s="44">
        <f>IF(INVESTORS_LIST[[#This Row],[TOTAL CURRENT UNITS]]=0,0,INVESTORS_LIST[[#This Row],[LS_TOTAL CURRENT UNITS]]/INVESTORS_LIST[[#This Row],[TOTAL CURRENT UNITS]])</f>
        <v>0</v>
      </c>
      <c r="AF717" s="44">
        <f>IF(INVESTORS_LIST[[#This Row],[TOTAL CURRENT UNITS]]=0,0,INVESTORS_LIST[[#This Row],[SIP_TOTAL CURRENT UNITS]]/INVESTORS_LIST[[#This Row],[TOTAL CURRENT UNITS]])</f>
        <v>0</v>
      </c>
      <c r="AG717" s="4" cm="1">
        <f t="array" ref="AG717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17" s="4" cm="1">
        <f t="array" ref="AH717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17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17" s="178">
        <f t="shared" si="24"/>
        <v>12.552</v>
      </c>
      <c r="AK717" s="118">
        <f>IF(INVESTORS_LIST[[#This Row],[TOTAL CURRENT UNITS]]=0,0,INVESTORS_LIST[[#This Row],[TOTAL CURRENT UNITS]]*INVESTORS_LIST[[#This Row],[NAV]])</f>
        <v>0</v>
      </c>
      <c r="AL717" s="4">
        <f>IF(INVESTORS_LIST[[#This Row],[LS_TOTAL CURRENT UNITS]]=0,0,INVESTORS_LIST[[#This Row],[LS_TOTAL CURRENT UNITS]]*INVESTORS_LIST[[#This Row],[NAV]])</f>
        <v>0</v>
      </c>
      <c r="AM717" s="6">
        <f>IF(INVESTORS_LIST[[#This Row],[SIP_TOTAL CURRENT UNITS]]=0,0,INVESTORS_LIST[[#This Row],[SIP_TOTAL CURRENT UNITS]]*INVESTORS_LIST[[#This Row],[NAV]])</f>
        <v>0</v>
      </c>
      <c r="AO717" s="6">
        <f>IF(INVESTORS_LIST[[#This Row],[TOTAL SELLABLE UNITS]]=0,0,INVESTORS_LIST[[#This Row],[TOTAL SELLABLE UNITS]]*INVESTORS_LIST[[#This Row],[NAV]])</f>
        <v>0</v>
      </c>
      <c r="AP717" s="6">
        <f>INVESTORS_LIST[[#This Row],[LS_TOTAL REALIZED GAIN]]+INVESTORS_LIST[[#This Row],[SIP_TOTAL REALIZED GAIN]]</f>
        <v>0</v>
      </c>
      <c r="AQ717" s="6">
        <f>INVESTORS_LIST[[#This Row],[TOTAL MARKET VALUE]]-INVESTORS_LIST[[#This Row],[TOTAL COST VALUE OF CURRENT INVESTMENT]]</f>
        <v>0</v>
      </c>
      <c r="AR717" s="6">
        <f>SUMIFS(DivAndTax[Tax Amount],DivAndTax[Investor ID],INVESTORS_LIST[[#This Row],[INVESTOR CODE]])</f>
        <v>0</v>
      </c>
      <c r="AS717" s="6">
        <f>SUMIFS(DivAndTax[Gross Dividend],DivAndTax[Investor ID],INVESTORS_LIST[[#This Row],[INVESTOR CODE]])</f>
        <v>0</v>
      </c>
      <c r="AT717" s="5">
        <f>IFERROR(INVESTORS_LIST[[#This Row],[TOTAL CURRENT UNITS]]/SUM(INVESTORS_LIST[TOTAL CURRENT UNITS]),0)</f>
        <v>0</v>
      </c>
    </row>
    <row r="718" spans="1:46" hidden="1">
      <c r="A718" t="s">
        <v>1642</v>
      </c>
      <c r="B718" t="s">
        <v>1643</v>
      </c>
      <c r="C718" t="s">
        <v>536</v>
      </c>
      <c r="D718" s="8" t="s">
        <v>2</v>
      </c>
      <c r="E718" s="2">
        <f>SUMIFS(LS[Unit],LS[Investor ID],INVESTORS_LIST[[#This Row],[INVESTOR CODE]],LS[B/S],"B")</f>
        <v>0</v>
      </c>
      <c r="F718" s="2">
        <f>-SUMIFS(LS[Unit],LS[Investor ID],INVESTORS_LIST[[#This Row],[INVESTOR CODE]],LS[B/S],"S")</f>
        <v>0</v>
      </c>
      <c r="G718" s="2">
        <f>IF(INVESTORS_LIST[[#This Row],[LS_TOTAL UNITS BUY]]=0,0,INVESTORS_LIST[[#This Row],[LS_TOTAL UNITS BUY]]-INVESTORS_LIST[[#This Row],[LS_TOTAL UNITS SOLD]])</f>
        <v>0</v>
      </c>
      <c r="H718" s="4">
        <f>IF(INVESTORS_LIST[[#This Row],[LS_TOTAL UNITS BUY]]=0,0,SUMIFS(LS[Amount],LS[Investor ID],INVESTORS_LIST[[#This Row],[INVESTOR CODE]],LS[B/S],"B"))</f>
        <v>0</v>
      </c>
      <c r="I718" s="6">
        <f>IF(INVESTORS_LIST[[#This Row],[LS_TOTAL UNITS SOLD]]=0,0,SUMIFS(LS[Cost of Units Sold],LS[Investor ID],INVESTORS_LIST[[#This Row],[INVESTOR CODE]],LS[B/S],"S"))</f>
        <v>0</v>
      </c>
      <c r="J718" s="6">
        <f>IF(INVESTORS_LIST[[#This Row],[LS_TOTAL CURRENT UNITS]]=0,0,INVESTORS_LIST[[#This Row],[LS_TOTAL CURRENT UNITS]]*INVESTORS_LIST[[#This Row],[LS_AVERAGE COST]])</f>
        <v>0</v>
      </c>
      <c r="K718" s="4">
        <f>IF(INVESTORS_LIST[[#This Row],[LS_TOTAL UNITS SOLD]]=0,0,SUMIFS(LS[Realized Gain],LS[Investor ID],INVESTORS_LIST[[#This Row],[INVESTOR CODE]],LS[B/S],"S"))</f>
        <v>0</v>
      </c>
      <c r="L718" s="2">
        <f>SUMIFS(SIP[Unit],SIP[Investor ID],INVESTORS_LIST[[#This Row],[INVESTOR CODE]],SIP[B/S],"B")</f>
        <v>0</v>
      </c>
      <c r="M718" s="2">
        <f>-SUMIFS(SIP[Unit],SIP[Investor ID],INVESTORS_LIST[[#This Row],[INVESTOR CODE]],SIP[B/S],"S")</f>
        <v>0</v>
      </c>
      <c r="N718" s="33">
        <f>IF(INVESTORS_LIST[[#This Row],[SIP_TOTAL UNITS BUY]]=0,0,INVESTORS_LIST[[#This Row],[SIP_TOTAL UNITS BUY]]-INVESTORS_LIST[[#This Row],[SIP_TOTAL UNITS SOLD]])</f>
        <v>0</v>
      </c>
      <c r="O718" s="4">
        <f>IF(INVESTORS_LIST[[#This Row],[SIP_TOTAL UNITS BUY]]=0,0,SUMIFS(SIP[Amount],SIP[Investor ID],INVESTORS_LIST[[#This Row],[INVESTOR CODE]],SIP[B/S],"B"))</f>
        <v>0</v>
      </c>
      <c r="P718" s="4">
        <f>IF(INVESTORS_LIST[[#This Row],[SIP_TOTAL UNITS SOLD]]=0,0,SUMIFS(SIP[Cost of Units Sold],SIP[Investor ID],INVESTORS_LIST[[#This Row],[INVESTOR CODE]],SIP[B/S],"S"))</f>
        <v>0</v>
      </c>
      <c r="Q718" s="6">
        <f>IF(INVESTORS_LIST[[#This Row],[SIP_TOTAL CURRENT UNITS]]=0,0,INVESTORS_LIST[[#This Row],[SIP_TOTAL CURRENT UNITS]]*INVESTORS_LIST[[#This Row],[SIP_AVERAGE COST]])</f>
        <v>0</v>
      </c>
      <c r="R718" s="6">
        <f>IF(INVESTORS_LIST[[#This Row],[SIP_TOTAL UNITS SOLD]]=0,0,SUMIFS(SIP[Realized Gain],SIP[Investor ID],INVESTORS_LIST[[#This Row],[INVESTOR CODE]],SIP[B/S],"S"))</f>
        <v>0</v>
      </c>
      <c r="S718" s="33">
        <f>INVESTORS_LIST[[#This Row],[LS_TOTAL UNITS BUY]]+INVESTORS_LIST[[#This Row],[SIP_TOTAL UNITS BUY]]</f>
        <v>0</v>
      </c>
      <c r="T718" s="33">
        <f>INVESTORS_LIST[[#This Row],[LS_TOTAL UNITS SOLD]]+INVESTORS_LIST[[#This Row],[SIP_TOTAL UNITS SOLD]]</f>
        <v>0</v>
      </c>
      <c r="U718" s="33"/>
      <c r="V718" s="33">
        <f>SUMIFS(LS[BO UNIT TRANSFER],LS[Investor ID],INVESTORS_LIST[[#This Row],[INVESTOR CODE]],LS[B/S],"B")</f>
        <v>0</v>
      </c>
      <c r="W718" s="33">
        <f>SUMIFS(LS[BO UNIT TRANSFER],LS[Investor ID],INVESTORS_LIST[[#This Row],[INVESTOR CODE]],LS[B/S],"S")</f>
        <v>0</v>
      </c>
      <c r="X718" s="33">
        <f>SUMIFS(SIP[BO UNIT TRANSFER],SIP[Investor ID],INVESTORS_LIST[[#This Row],[INVESTOR CODE]],SIP[B/S],"S")</f>
        <v>0</v>
      </c>
      <c r="Y718" s="33">
        <f>SUMIFS(SIP[BO UNIT TRANSFER],SIP[Investor ID],INVESTORS_LIST[[#This Row],[INVESTOR CODE]],SIP[B/S],"B")</f>
        <v>0</v>
      </c>
      <c r="Z718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18" s="119">
        <f>INVESTORS_LIST[[#This Row],[TOTAL UNITS BUY]]-INVESTORS_LIST[[#This Row],[TOTAL UNITS SOLD]]</f>
        <v>0</v>
      </c>
      <c r="AB718" s="119">
        <f>INVESTORS_LIST[[#This Row],[TOTAL CURRENT UNITS]]-INVESTORS_LIST[[#This Row],[BO UNITS HOLD]]</f>
        <v>0</v>
      </c>
      <c r="AC718" s="119" t="e">
        <f>INDEX([4]!Table_1[BO ID],MATCH(INVESTORS_LIST[[#This Row],[INVESTOR CODE]],[4]!Table_1[INVESTOR CODE],0))</f>
        <v>#REF!</v>
      </c>
      <c r="AD718" s="33">
        <f>INVESTORS_LIST[[#This Row],[LS_TOTAL COST VALUE OF CURRENT UNITS]]+INVESTORS_LIST[[#This Row],[SIP_TOTAL COST VALUE OF CURRENT UNITS]]</f>
        <v>0</v>
      </c>
      <c r="AE718" s="44">
        <f>IF(INVESTORS_LIST[[#This Row],[TOTAL CURRENT UNITS]]=0,0,INVESTORS_LIST[[#This Row],[LS_TOTAL CURRENT UNITS]]/INVESTORS_LIST[[#This Row],[TOTAL CURRENT UNITS]])</f>
        <v>0</v>
      </c>
      <c r="AF718" s="44">
        <f>IF(INVESTORS_LIST[[#This Row],[TOTAL CURRENT UNITS]]=0,0,INVESTORS_LIST[[#This Row],[SIP_TOTAL CURRENT UNITS]]/INVESTORS_LIST[[#This Row],[TOTAL CURRENT UNITS]])</f>
        <v>0</v>
      </c>
      <c r="AG718" s="4" cm="1">
        <f t="array" ref="AG718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18" s="4" cm="1">
        <f t="array" ref="AH718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18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18" s="178">
        <f t="shared" si="24"/>
        <v>12.552</v>
      </c>
      <c r="AK718" s="118">
        <f>IF(INVESTORS_LIST[[#This Row],[TOTAL CURRENT UNITS]]=0,0,INVESTORS_LIST[[#This Row],[TOTAL CURRENT UNITS]]*INVESTORS_LIST[[#This Row],[NAV]])</f>
        <v>0</v>
      </c>
      <c r="AL718" s="4">
        <f>IF(INVESTORS_LIST[[#This Row],[LS_TOTAL CURRENT UNITS]]=0,0,INVESTORS_LIST[[#This Row],[LS_TOTAL CURRENT UNITS]]*INVESTORS_LIST[[#This Row],[NAV]])</f>
        <v>0</v>
      </c>
      <c r="AM718" s="6">
        <f>IF(INVESTORS_LIST[[#This Row],[SIP_TOTAL CURRENT UNITS]]=0,0,INVESTORS_LIST[[#This Row],[SIP_TOTAL CURRENT UNITS]]*INVESTORS_LIST[[#This Row],[NAV]])</f>
        <v>0</v>
      </c>
      <c r="AO718" s="6">
        <f>IF(INVESTORS_LIST[[#This Row],[TOTAL SELLABLE UNITS]]=0,0,INVESTORS_LIST[[#This Row],[TOTAL SELLABLE UNITS]]*INVESTORS_LIST[[#This Row],[NAV]])</f>
        <v>0</v>
      </c>
      <c r="AP718" s="6">
        <f>INVESTORS_LIST[[#This Row],[LS_TOTAL REALIZED GAIN]]+INVESTORS_LIST[[#This Row],[SIP_TOTAL REALIZED GAIN]]</f>
        <v>0</v>
      </c>
      <c r="AQ718" s="6">
        <f>INVESTORS_LIST[[#This Row],[TOTAL MARKET VALUE]]-INVESTORS_LIST[[#This Row],[TOTAL COST VALUE OF CURRENT INVESTMENT]]</f>
        <v>0</v>
      </c>
      <c r="AR718" s="6">
        <f>SUMIFS(DivAndTax[Tax Amount],DivAndTax[Investor ID],INVESTORS_LIST[[#This Row],[INVESTOR CODE]])</f>
        <v>0</v>
      </c>
      <c r="AS718" s="6">
        <f>SUMIFS(DivAndTax[Gross Dividend],DivAndTax[Investor ID],INVESTORS_LIST[[#This Row],[INVESTOR CODE]])</f>
        <v>0</v>
      </c>
      <c r="AT718" s="5">
        <f>IFERROR(INVESTORS_LIST[[#This Row],[TOTAL CURRENT UNITS]]/SUM(INVESTORS_LIST[TOTAL CURRENT UNITS]),0)</f>
        <v>0</v>
      </c>
    </row>
    <row r="719" spans="1:46">
      <c r="A719" t="s">
        <v>1644</v>
      </c>
      <c r="B719" t="s">
        <v>1645</v>
      </c>
      <c r="C719" t="s">
        <v>536</v>
      </c>
      <c r="D719" s="8" t="s">
        <v>2</v>
      </c>
      <c r="E719" s="2">
        <f>SUMIFS(LS[Unit],LS[Investor ID],INVESTORS_LIST[[#This Row],[INVESTOR CODE]],LS[B/S],"B")</f>
        <v>500</v>
      </c>
      <c r="F719" s="2">
        <f>-SUMIFS(LS[Unit],LS[Investor ID],INVESTORS_LIST[[#This Row],[INVESTOR CODE]],LS[B/S],"S")</f>
        <v>0</v>
      </c>
      <c r="G719" s="2">
        <f>IF(INVESTORS_LIST[[#This Row],[LS_TOTAL UNITS BUY]]=0,0,INVESTORS_LIST[[#This Row],[LS_TOTAL UNITS BUY]]-INVESTORS_LIST[[#This Row],[LS_TOTAL UNITS SOLD]])</f>
        <v>500</v>
      </c>
      <c r="H719" s="4">
        <f>IF(INVESTORS_LIST[[#This Row],[LS_TOTAL UNITS BUY]]=0,0,SUMIFS(LS[Amount],LS[Investor ID],INVESTORS_LIST[[#This Row],[INVESTOR CODE]],LS[B/S],"B"))</f>
        <v>6680</v>
      </c>
      <c r="I719" s="6">
        <f>IF(INVESTORS_LIST[[#This Row],[LS_TOTAL UNITS SOLD]]=0,0,SUMIFS(LS[Cost of Units Sold],LS[Investor ID],INVESTORS_LIST[[#This Row],[INVESTOR CODE]],LS[B/S],"S"))</f>
        <v>0</v>
      </c>
      <c r="J719" s="6">
        <f>IF(INVESTORS_LIST[[#This Row],[LS_TOTAL CURRENT UNITS]]=0,0,INVESTORS_LIST[[#This Row],[LS_TOTAL CURRENT UNITS]]*INVESTORS_LIST[[#This Row],[LS_AVERAGE COST]])</f>
        <v>6680</v>
      </c>
      <c r="K719" s="4">
        <f>IF(INVESTORS_LIST[[#This Row],[LS_TOTAL UNITS SOLD]]=0,0,SUMIFS(LS[Realized Gain],LS[Investor ID],INVESTORS_LIST[[#This Row],[INVESTOR CODE]],LS[B/S],"S"))</f>
        <v>0</v>
      </c>
      <c r="L719" s="2">
        <f>SUMIFS(SIP[Unit],SIP[Investor ID],INVESTORS_LIST[[#This Row],[INVESTOR CODE]],SIP[B/S],"B")</f>
        <v>0</v>
      </c>
      <c r="M719" s="2">
        <f>-SUMIFS(SIP[Unit],SIP[Investor ID],INVESTORS_LIST[[#This Row],[INVESTOR CODE]],SIP[B/S],"S")</f>
        <v>0</v>
      </c>
      <c r="N719" s="33">
        <f>IF(INVESTORS_LIST[[#This Row],[SIP_TOTAL UNITS BUY]]=0,0,INVESTORS_LIST[[#This Row],[SIP_TOTAL UNITS BUY]]-INVESTORS_LIST[[#This Row],[SIP_TOTAL UNITS SOLD]])</f>
        <v>0</v>
      </c>
      <c r="O719" s="4">
        <f>IF(INVESTORS_LIST[[#This Row],[SIP_TOTAL UNITS BUY]]=0,0,SUMIFS(SIP[Amount],SIP[Investor ID],INVESTORS_LIST[[#This Row],[INVESTOR CODE]],SIP[B/S],"B"))</f>
        <v>0</v>
      </c>
      <c r="P719" s="4">
        <f>IF(INVESTORS_LIST[[#This Row],[SIP_TOTAL UNITS SOLD]]=0,0,SUMIFS(SIP[Cost of Units Sold],SIP[Investor ID],INVESTORS_LIST[[#This Row],[INVESTOR CODE]],SIP[B/S],"S"))</f>
        <v>0</v>
      </c>
      <c r="Q719" s="6">
        <f>IF(INVESTORS_LIST[[#This Row],[SIP_TOTAL CURRENT UNITS]]=0,0,INVESTORS_LIST[[#This Row],[SIP_TOTAL CURRENT UNITS]]*INVESTORS_LIST[[#This Row],[SIP_AVERAGE COST]])</f>
        <v>0</v>
      </c>
      <c r="R719" s="6">
        <f>IF(INVESTORS_LIST[[#This Row],[SIP_TOTAL UNITS SOLD]]=0,0,SUMIFS(SIP[Realized Gain],SIP[Investor ID],INVESTORS_LIST[[#This Row],[INVESTOR CODE]],SIP[B/S],"S"))</f>
        <v>0</v>
      </c>
      <c r="S719" s="33">
        <f>INVESTORS_LIST[[#This Row],[LS_TOTAL UNITS BUY]]+INVESTORS_LIST[[#This Row],[SIP_TOTAL UNITS BUY]]</f>
        <v>500</v>
      </c>
      <c r="T719" s="33">
        <f>INVESTORS_LIST[[#This Row],[LS_TOTAL UNITS SOLD]]+INVESTORS_LIST[[#This Row],[SIP_TOTAL UNITS SOLD]]</f>
        <v>0</v>
      </c>
      <c r="U719" s="33"/>
      <c r="V719" s="33">
        <f>SUMIFS(LS[BO UNIT TRANSFER],LS[Investor ID],INVESTORS_LIST[[#This Row],[INVESTOR CODE]],LS[B/S],"B")</f>
        <v>0</v>
      </c>
      <c r="W719" s="33">
        <f>SUMIFS(LS[BO UNIT TRANSFER],LS[Investor ID],INVESTORS_LIST[[#This Row],[INVESTOR CODE]],LS[B/S],"S")</f>
        <v>0</v>
      </c>
      <c r="X719" s="33">
        <f>SUMIFS(SIP[BO UNIT TRANSFER],SIP[Investor ID],INVESTORS_LIST[[#This Row],[INVESTOR CODE]],SIP[B/S],"S")</f>
        <v>0</v>
      </c>
      <c r="Y719" s="33">
        <f>SUMIFS(SIP[BO UNIT TRANSFER],SIP[Investor ID],INVESTORS_LIST[[#This Row],[INVESTOR CODE]],SIP[B/S],"B")</f>
        <v>0</v>
      </c>
      <c r="Z719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19" s="119">
        <f>INVESTORS_LIST[[#This Row],[TOTAL UNITS BUY]]-INVESTORS_LIST[[#This Row],[TOTAL UNITS SOLD]]</f>
        <v>500</v>
      </c>
      <c r="AB719" s="119">
        <f>INVESTORS_LIST[[#This Row],[TOTAL CURRENT UNITS]]-INVESTORS_LIST[[#This Row],[BO UNITS HOLD]]</f>
        <v>500</v>
      </c>
      <c r="AC719" s="119" t="e">
        <f>INDEX([4]!Table_1[BO ID],MATCH(INVESTORS_LIST[[#This Row],[INVESTOR CODE]],[4]!Table_1[INVESTOR CODE],0))</f>
        <v>#REF!</v>
      </c>
      <c r="AD719" s="33">
        <f>INVESTORS_LIST[[#This Row],[LS_TOTAL COST VALUE OF CURRENT UNITS]]+INVESTORS_LIST[[#This Row],[SIP_TOTAL COST VALUE OF CURRENT UNITS]]</f>
        <v>6680</v>
      </c>
      <c r="AE719" s="44">
        <f>IF(INVESTORS_LIST[[#This Row],[TOTAL CURRENT UNITS]]=0,0,INVESTORS_LIST[[#This Row],[LS_TOTAL CURRENT UNITS]]/INVESTORS_LIST[[#This Row],[TOTAL CURRENT UNITS]])</f>
        <v>1</v>
      </c>
      <c r="AF719" s="44">
        <f>IF(INVESTORS_LIST[[#This Row],[TOTAL CURRENT UNITS]]=0,0,INVESTORS_LIST[[#This Row],[SIP_TOTAL CURRENT UNITS]]/INVESTORS_LIST[[#This Row],[TOTAL CURRENT UNITS]])</f>
        <v>0</v>
      </c>
      <c r="AG719" s="4" cm="1">
        <f t="array" ref="AG719">IF(INVESTORS_LIST[[#This Row],[LS_TOTAL UNITS BUY]]&gt;0,INDEX(LS[NAV at Cost (Average)],MATCH(CONCATENATE(COUNTIFS(LS[Investor ID],INVESTORS_LIST[[#This Row],[INVESTOR CODE]]),INVESTORS_LIST[[#This Row],[INVESTOR CODE]]),LS[Unique Code],0),),0)</f>
        <v>13.36</v>
      </c>
      <c r="AH719" s="4" cm="1">
        <f t="array" ref="AH719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19" s="178">
        <f>IF(INVESTORS_LIST[[#This Row],[TOTAL CURRENT UNITS]]=0,0,(INVESTORS_LIST[[#This Row],[LS_WEIGHT]]*INVESTORS_LIST[[#This Row],[LS_AVERAGE COST]])+(INVESTORS_LIST[[#This Row],[SIP_WEIGHT]]*INVESTORS_LIST[[#This Row],[SIP_AVERAGE COST]]))</f>
        <v>13.36</v>
      </c>
      <c r="AJ719" s="178">
        <f t="shared" si="24"/>
        <v>12.552</v>
      </c>
      <c r="AK719" s="118">
        <f>IF(INVESTORS_LIST[[#This Row],[TOTAL CURRENT UNITS]]=0,0,INVESTORS_LIST[[#This Row],[TOTAL CURRENT UNITS]]*INVESTORS_LIST[[#This Row],[NAV]])</f>
        <v>6276</v>
      </c>
      <c r="AL719" s="4">
        <f>IF(INVESTORS_LIST[[#This Row],[LS_TOTAL CURRENT UNITS]]=0,0,INVESTORS_LIST[[#This Row],[LS_TOTAL CURRENT UNITS]]*INVESTORS_LIST[[#This Row],[NAV]])</f>
        <v>6276</v>
      </c>
      <c r="AM719" s="6">
        <f>IF(INVESTORS_LIST[[#This Row],[SIP_TOTAL CURRENT UNITS]]=0,0,INVESTORS_LIST[[#This Row],[SIP_TOTAL CURRENT UNITS]]*INVESTORS_LIST[[#This Row],[NAV]])</f>
        <v>0</v>
      </c>
      <c r="AO719" s="6">
        <f>IF(INVESTORS_LIST[[#This Row],[TOTAL SELLABLE UNITS]]=0,0,INVESTORS_LIST[[#This Row],[TOTAL SELLABLE UNITS]]*INVESTORS_LIST[[#This Row],[NAV]])</f>
        <v>0</v>
      </c>
      <c r="AP719" s="6">
        <f>INVESTORS_LIST[[#This Row],[LS_TOTAL REALIZED GAIN]]+INVESTORS_LIST[[#This Row],[SIP_TOTAL REALIZED GAIN]]</f>
        <v>0</v>
      </c>
      <c r="AQ719" s="6">
        <f>INVESTORS_LIST[[#This Row],[TOTAL MARKET VALUE]]-INVESTORS_LIST[[#This Row],[TOTAL COST VALUE OF CURRENT INVESTMENT]]</f>
        <v>-404</v>
      </c>
      <c r="AR719" s="6">
        <f>SUMIFS(DivAndTax[Tax Amount],DivAndTax[Investor ID],INVESTORS_LIST[[#This Row],[INVESTOR CODE]])</f>
        <v>0</v>
      </c>
      <c r="AS719" s="6">
        <f>SUMIFS(DivAndTax[Gross Dividend],DivAndTax[Investor ID],INVESTORS_LIST[[#This Row],[INVESTOR CODE]])</f>
        <v>0</v>
      </c>
      <c r="AT719" s="5">
        <f>IFERROR(INVESTORS_LIST[[#This Row],[TOTAL CURRENT UNITS]]/SUM(INVESTORS_LIST[TOTAL CURRENT UNITS]),0)</f>
        <v>2.3972417528171427E-5</v>
      </c>
    </row>
    <row r="720" spans="1:46">
      <c r="A720" t="s">
        <v>1648</v>
      </c>
      <c r="B720" t="s">
        <v>1649</v>
      </c>
      <c r="C720" t="s">
        <v>539</v>
      </c>
      <c r="D720" s="8" t="s">
        <v>2</v>
      </c>
      <c r="E720" s="2">
        <f>SUMIFS(LS[Unit],LS[Investor ID],INVESTORS_LIST[[#This Row],[INVESTOR CODE]],LS[B/S],"B")</f>
        <v>79095</v>
      </c>
      <c r="F720" s="2">
        <f>-SUMIFS(LS[Unit],LS[Investor ID],INVESTORS_LIST[[#This Row],[INVESTOR CODE]],LS[B/S],"S")</f>
        <v>0</v>
      </c>
      <c r="G720" s="2">
        <f>IF(INVESTORS_LIST[[#This Row],[LS_TOTAL UNITS BUY]]=0,0,INVESTORS_LIST[[#This Row],[LS_TOTAL UNITS BUY]]-INVESTORS_LIST[[#This Row],[LS_TOTAL UNITS SOLD]])</f>
        <v>79095</v>
      </c>
      <c r="H720" s="4">
        <f>IF(INVESTORS_LIST[[#This Row],[LS_TOTAL UNITS BUY]]=0,0,SUMIFS(LS[Amount],LS[Investor ID],INVESTORS_LIST[[#This Row],[INVESTOR CODE]],LS[B/S],"B"))</f>
        <v>1000000</v>
      </c>
      <c r="I720" s="6">
        <f>IF(INVESTORS_LIST[[#This Row],[LS_TOTAL UNITS SOLD]]=0,0,SUMIFS(LS[Cost of Units Sold],LS[Investor ID],INVESTORS_LIST[[#This Row],[INVESTOR CODE]],LS[B/S],"S"))</f>
        <v>0</v>
      </c>
      <c r="J720" s="6">
        <f>IF(INVESTORS_LIST[[#This Row],[LS_TOTAL CURRENT UNITS]]=0,0,INVESTORS_LIST[[#This Row],[LS_TOTAL CURRENT UNITS]]*INVESTORS_LIST[[#This Row],[LS_AVERAGE COST]])</f>
        <v>1000000</v>
      </c>
      <c r="K720" s="4">
        <f>IF(INVESTORS_LIST[[#This Row],[LS_TOTAL UNITS SOLD]]=0,0,SUMIFS(LS[Realized Gain],LS[Investor ID],INVESTORS_LIST[[#This Row],[INVESTOR CODE]],LS[B/S],"S"))</f>
        <v>0</v>
      </c>
      <c r="L720" s="2">
        <f>SUMIFS(SIP[Unit],SIP[Investor ID],INVESTORS_LIST[[#This Row],[INVESTOR CODE]],SIP[B/S],"B")</f>
        <v>0</v>
      </c>
      <c r="M720" s="2">
        <f>-SUMIFS(SIP[Unit],SIP[Investor ID],INVESTORS_LIST[[#This Row],[INVESTOR CODE]],SIP[B/S],"S")</f>
        <v>0</v>
      </c>
      <c r="N720" s="33">
        <f>IF(INVESTORS_LIST[[#This Row],[SIP_TOTAL UNITS BUY]]=0,0,INVESTORS_LIST[[#This Row],[SIP_TOTAL UNITS BUY]]-INVESTORS_LIST[[#This Row],[SIP_TOTAL UNITS SOLD]])</f>
        <v>0</v>
      </c>
      <c r="O720" s="4">
        <f>IF(INVESTORS_LIST[[#This Row],[SIP_TOTAL UNITS BUY]]=0,0,SUMIFS(SIP[Amount],SIP[Investor ID],INVESTORS_LIST[[#This Row],[INVESTOR CODE]],SIP[B/S],"B"))</f>
        <v>0</v>
      </c>
      <c r="P720" s="4">
        <f>IF(INVESTORS_LIST[[#This Row],[SIP_TOTAL UNITS SOLD]]=0,0,SUMIFS(SIP[Cost of Units Sold],SIP[Investor ID],INVESTORS_LIST[[#This Row],[INVESTOR CODE]],SIP[B/S],"S"))</f>
        <v>0</v>
      </c>
      <c r="Q720" s="6">
        <f>IF(INVESTORS_LIST[[#This Row],[SIP_TOTAL CURRENT UNITS]]=0,0,INVESTORS_LIST[[#This Row],[SIP_TOTAL CURRENT UNITS]]*INVESTORS_LIST[[#This Row],[SIP_AVERAGE COST]])</f>
        <v>0</v>
      </c>
      <c r="R720" s="6">
        <f>IF(INVESTORS_LIST[[#This Row],[SIP_TOTAL UNITS SOLD]]=0,0,SUMIFS(SIP[Realized Gain],SIP[Investor ID],INVESTORS_LIST[[#This Row],[INVESTOR CODE]],SIP[B/S],"S"))</f>
        <v>0</v>
      </c>
      <c r="S720" s="33">
        <f>INVESTORS_LIST[[#This Row],[LS_TOTAL UNITS BUY]]+INVESTORS_LIST[[#This Row],[SIP_TOTAL UNITS BUY]]</f>
        <v>79095</v>
      </c>
      <c r="T720" s="33">
        <f>INVESTORS_LIST[[#This Row],[LS_TOTAL UNITS SOLD]]+INVESTORS_LIST[[#This Row],[SIP_TOTAL UNITS SOLD]]</f>
        <v>0</v>
      </c>
      <c r="U720" s="33"/>
      <c r="V720" s="33">
        <f>SUMIFS(LS[BO UNIT TRANSFER],LS[Investor ID],INVESTORS_LIST[[#This Row],[INVESTOR CODE]],LS[B/S],"B")</f>
        <v>0</v>
      </c>
      <c r="W720" s="33">
        <f>SUMIFS(LS[BO UNIT TRANSFER],LS[Investor ID],INVESTORS_LIST[[#This Row],[INVESTOR CODE]],LS[B/S],"S")</f>
        <v>0</v>
      </c>
      <c r="X720" s="33">
        <f>SUMIFS(SIP[BO UNIT TRANSFER],SIP[Investor ID],INVESTORS_LIST[[#This Row],[INVESTOR CODE]],SIP[B/S],"S")</f>
        <v>0</v>
      </c>
      <c r="Y720" s="33">
        <f>SUMIFS(SIP[BO UNIT TRANSFER],SIP[Investor ID],INVESTORS_LIST[[#This Row],[INVESTOR CODE]],SIP[B/S],"B")</f>
        <v>0</v>
      </c>
      <c r="Z720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20" s="119">
        <f>INVESTORS_LIST[[#This Row],[TOTAL UNITS BUY]]-INVESTORS_LIST[[#This Row],[TOTAL UNITS SOLD]]</f>
        <v>79095</v>
      </c>
      <c r="AB720" s="119">
        <f>INVESTORS_LIST[[#This Row],[TOTAL CURRENT UNITS]]-INVESTORS_LIST[[#This Row],[BO UNITS HOLD]]</f>
        <v>79095</v>
      </c>
      <c r="AC720" s="119" t="e">
        <f>INDEX([4]!Table_1[BO ID],MATCH(INVESTORS_LIST[[#This Row],[INVESTOR CODE]],[4]!Table_1[INVESTOR CODE],0))</f>
        <v>#REF!</v>
      </c>
      <c r="AD720" s="33">
        <f>INVESTORS_LIST[[#This Row],[LS_TOTAL COST VALUE OF CURRENT UNITS]]+INVESTORS_LIST[[#This Row],[SIP_TOTAL COST VALUE OF CURRENT UNITS]]</f>
        <v>1000000</v>
      </c>
      <c r="AE720" s="44">
        <f>IF(INVESTORS_LIST[[#This Row],[TOTAL CURRENT UNITS]]=0,0,INVESTORS_LIST[[#This Row],[LS_TOTAL CURRENT UNITS]]/INVESTORS_LIST[[#This Row],[TOTAL CURRENT UNITS]])</f>
        <v>1</v>
      </c>
      <c r="AF720" s="44">
        <f>IF(INVESTORS_LIST[[#This Row],[TOTAL CURRENT UNITS]]=0,0,INVESTORS_LIST[[#This Row],[SIP_TOTAL CURRENT UNITS]]/INVESTORS_LIST[[#This Row],[TOTAL CURRENT UNITS]])</f>
        <v>0</v>
      </c>
      <c r="AG720" s="4" cm="1">
        <f t="array" ref="AG720">IF(INVESTORS_LIST[[#This Row],[LS_TOTAL UNITS BUY]]&gt;0,INDEX(LS[NAV at Cost (Average)],MATCH(CONCATENATE(COUNTIFS(LS[Investor ID],INVESTORS_LIST[[#This Row],[INVESTOR CODE]]),INVESTORS_LIST[[#This Row],[INVESTOR CODE]]),LS[Unique Code],0),),0)</f>
        <v>12.643024211391365</v>
      </c>
      <c r="AH720" s="4" cm="1">
        <f t="array" ref="AH720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20" s="178">
        <f>IF(INVESTORS_LIST[[#This Row],[TOTAL CURRENT UNITS]]=0,0,(INVESTORS_LIST[[#This Row],[LS_WEIGHT]]*INVESTORS_LIST[[#This Row],[LS_AVERAGE COST]])+(INVESTORS_LIST[[#This Row],[SIP_WEIGHT]]*INVESTORS_LIST[[#This Row],[SIP_AVERAGE COST]]))</f>
        <v>12.643024211391365</v>
      </c>
      <c r="AJ720" s="178">
        <f>NAV_MKT</f>
        <v>12.552</v>
      </c>
      <c r="AK720" s="118">
        <f>IF(INVESTORS_LIST[[#This Row],[TOTAL CURRENT UNITS]]=0,0,INVESTORS_LIST[[#This Row],[TOTAL CURRENT UNITS]]*INVESTORS_LIST[[#This Row],[NAV]])</f>
        <v>992800.44</v>
      </c>
      <c r="AL720" s="4">
        <f>IF(INVESTORS_LIST[[#This Row],[LS_TOTAL CURRENT UNITS]]=0,0,INVESTORS_LIST[[#This Row],[LS_TOTAL CURRENT UNITS]]*INVESTORS_LIST[[#This Row],[NAV]])</f>
        <v>992800.44</v>
      </c>
      <c r="AM720" s="6">
        <f>IF(INVESTORS_LIST[[#This Row],[SIP_TOTAL CURRENT UNITS]]=0,0,INVESTORS_LIST[[#This Row],[SIP_TOTAL CURRENT UNITS]]*INVESTORS_LIST[[#This Row],[NAV]])</f>
        <v>0</v>
      </c>
      <c r="AO720" s="6">
        <f>IF(INVESTORS_LIST[[#This Row],[TOTAL SELLABLE UNITS]]=0,0,INVESTORS_LIST[[#This Row],[TOTAL SELLABLE UNITS]]*INVESTORS_LIST[[#This Row],[NAV]])</f>
        <v>0</v>
      </c>
      <c r="AP720" s="6">
        <f>INVESTORS_LIST[[#This Row],[LS_TOTAL REALIZED GAIN]]+INVESTORS_LIST[[#This Row],[SIP_TOTAL REALIZED GAIN]]</f>
        <v>0</v>
      </c>
      <c r="AQ720" s="6">
        <f>INVESTORS_LIST[[#This Row],[TOTAL MARKET VALUE]]-INVESTORS_LIST[[#This Row],[TOTAL COST VALUE OF CURRENT INVESTMENT]]</f>
        <v>-7199.5600000000559</v>
      </c>
      <c r="AR720" s="6">
        <f>SUMIFS(DivAndTax[Tax Amount],DivAndTax[Investor ID],INVESTORS_LIST[[#This Row],[INVESTOR CODE]])</f>
        <v>0</v>
      </c>
      <c r="AS720" s="6">
        <f>SUMIFS(DivAndTax[Gross Dividend],DivAndTax[Investor ID],INVESTORS_LIST[[#This Row],[INVESTOR CODE]])</f>
        <v>0</v>
      </c>
      <c r="AT720" s="5">
        <f>IFERROR(INVESTORS_LIST[[#This Row],[TOTAL CURRENT UNITS]]/SUM(INVESTORS_LIST[TOTAL CURRENT UNITS]),0)</f>
        <v>3.7921967287814378E-3</v>
      </c>
    </row>
    <row r="721" spans="1:46" hidden="1">
      <c r="A721" t="s">
        <v>1650</v>
      </c>
      <c r="B721" t="s">
        <v>1651</v>
      </c>
      <c r="C721" t="s">
        <v>539</v>
      </c>
      <c r="D721" s="8" t="s">
        <v>2</v>
      </c>
      <c r="E721" s="2">
        <f>SUMIFS(LS[Unit],LS[Investor ID],INVESTORS_LIST[[#This Row],[INVESTOR CODE]],LS[B/S],"B")</f>
        <v>0</v>
      </c>
      <c r="F721" s="2">
        <f>-SUMIFS(LS[Unit],LS[Investor ID],INVESTORS_LIST[[#This Row],[INVESTOR CODE]],LS[B/S],"S")</f>
        <v>0</v>
      </c>
      <c r="G721" s="2">
        <f>IF(INVESTORS_LIST[[#This Row],[LS_TOTAL UNITS BUY]]=0,0,INVESTORS_LIST[[#This Row],[LS_TOTAL UNITS BUY]]-INVESTORS_LIST[[#This Row],[LS_TOTAL UNITS SOLD]])</f>
        <v>0</v>
      </c>
      <c r="H721" s="4">
        <f>IF(INVESTORS_LIST[[#This Row],[LS_TOTAL UNITS BUY]]=0,0,SUMIFS(LS[Amount],LS[Investor ID],INVESTORS_LIST[[#This Row],[INVESTOR CODE]],LS[B/S],"B"))</f>
        <v>0</v>
      </c>
      <c r="I721" s="6">
        <f>IF(INVESTORS_LIST[[#This Row],[LS_TOTAL UNITS SOLD]]=0,0,SUMIFS(LS[Cost of Units Sold],LS[Investor ID],INVESTORS_LIST[[#This Row],[INVESTOR CODE]],LS[B/S],"S"))</f>
        <v>0</v>
      </c>
      <c r="J721" s="6">
        <f>IF(INVESTORS_LIST[[#This Row],[LS_TOTAL CURRENT UNITS]]=0,0,INVESTORS_LIST[[#This Row],[LS_TOTAL CURRENT UNITS]]*INVESTORS_LIST[[#This Row],[LS_AVERAGE COST]])</f>
        <v>0</v>
      </c>
      <c r="K721" s="4">
        <f>IF(INVESTORS_LIST[[#This Row],[LS_TOTAL UNITS SOLD]]=0,0,SUMIFS(LS[Realized Gain],LS[Investor ID],INVESTORS_LIST[[#This Row],[INVESTOR CODE]],LS[B/S],"S"))</f>
        <v>0</v>
      </c>
      <c r="L721" s="2">
        <f>SUMIFS(SIP[Unit],SIP[Investor ID],INVESTORS_LIST[[#This Row],[INVESTOR CODE]],SIP[B/S],"B")</f>
        <v>0</v>
      </c>
      <c r="M721" s="2">
        <f>-SUMIFS(SIP[Unit],SIP[Investor ID],INVESTORS_LIST[[#This Row],[INVESTOR CODE]],SIP[B/S],"S")</f>
        <v>0</v>
      </c>
      <c r="N721" s="33">
        <f>IF(INVESTORS_LIST[[#This Row],[SIP_TOTAL UNITS BUY]]=0,0,INVESTORS_LIST[[#This Row],[SIP_TOTAL UNITS BUY]]-INVESTORS_LIST[[#This Row],[SIP_TOTAL UNITS SOLD]])</f>
        <v>0</v>
      </c>
      <c r="O721" s="4">
        <f>IF(INVESTORS_LIST[[#This Row],[SIP_TOTAL UNITS BUY]]=0,0,SUMIFS(SIP[Amount],SIP[Investor ID],INVESTORS_LIST[[#This Row],[INVESTOR CODE]],SIP[B/S],"B"))</f>
        <v>0</v>
      </c>
      <c r="P721" s="4">
        <f>IF(INVESTORS_LIST[[#This Row],[SIP_TOTAL UNITS SOLD]]=0,0,SUMIFS(SIP[Cost of Units Sold],SIP[Investor ID],INVESTORS_LIST[[#This Row],[INVESTOR CODE]],SIP[B/S],"S"))</f>
        <v>0</v>
      </c>
      <c r="Q721" s="6">
        <f>IF(INVESTORS_LIST[[#This Row],[SIP_TOTAL CURRENT UNITS]]=0,0,INVESTORS_LIST[[#This Row],[SIP_TOTAL CURRENT UNITS]]*INVESTORS_LIST[[#This Row],[SIP_AVERAGE COST]])</f>
        <v>0</v>
      </c>
      <c r="R721" s="6">
        <f>IF(INVESTORS_LIST[[#This Row],[SIP_TOTAL UNITS SOLD]]=0,0,SUMIFS(SIP[Realized Gain],SIP[Investor ID],INVESTORS_LIST[[#This Row],[INVESTOR CODE]],SIP[B/S],"S"))</f>
        <v>0</v>
      </c>
      <c r="S721" s="33">
        <f>INVESTORS_LIST[[#This Row],[LS_TOTAL UNITS BUY]]+INVESTORS_LIST[[#This Row],[SIP_TOTAL UNITS BUY]]</f>
        <v>0</v>
      </c>
      <c r="T721" s="33">
        <f>INVESTORS_LIST[[#This Row],[LS_TOTAL UNITS SOLD]]+INVESTORS_LIST[[#This Row],[SIP_TOTAL UNITS SOLD]]</f>
        <v>0</v>
      </c>
      <c r="U721" s="33"/>
      <c r="V721" s="33">
        <f>SUMIFS(LS[BO UNIT TRANSFER],LS[Investor ID],INVESTORS_LIST[[#This Row],[INVESTOR CODE]],LS[B/S],"B")</f>
        <v>0</v>
      </c>
      <c r="W721" s="33">
        <f>SUMIFS(LS[BO UNIT TRANSFER],LS[Investor ID],INVESTORS_LIST[[#This Row],[INVESTOR CODE]],LS[B/S],"S")</f>
        <v>0</v>
      </c>
      <c r="X721" s="33">
        <f>SUMIFS(SIP[BO UNIT TRANSFER],SIP[Investor ID],INVESTORS_LIST[[#This Row],[INVESTOR CODE]],SIP[B/S],"S")</f>
        <v>0</v>
      </c>
      <c r="Y721" s="33">
        <f>SUMIFS(SIP[BO UNIT TRANSFER],SIP[Investor ID],INVESTORS_LIST[[#This Row],[INVESTOR CODE]],SIP[B/S],"B")</f>
        <v>0</v>
      </c>
      <c r="Z721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21" s="119">
        <f>INVESTORS_LIST[[#This Row],[TOTAL UNITS BUY]]-INVESTORS_LIST[[#This Row],[TOTAL UNITS SOLD]]</f>
        <v>0</v>
      </c>
      <c r="AB721" s="119">
        <f>INVESTORS_LIST[[#This Row],[TOTAL CURRENT UNITS]]-INVESTORS_LIST[[#This Row],[BO UNITS HOLD]]</f>
        <v>0</v>
      </c>
      <c r="AC721" s="119" t="e">
        <f>INDEX([4]!Table_1[BO ID],MATCH(INVESTORS_LIST[[#This Row],[INVESTOR CODE]],[4]!Table_1[INVESTOR CODE],0))</f>
        <v>#REF!</v>
      </c>
      <c r="AD721" s="33">
        <f>INVESTORS_LIST[[#This Row],[LS_TOTAL COST VALUE OF CURRENT UNITS]]+INVESTORS_LIST[[#This Row],[SIP_TOTAL COST VALUE OF CURRENT UNITS]]</f>
        <v>0</v>
      </c>
      <c r="AE721" s="44">
        <f>IF(INVESTORS_LIST[[#This Row],[TOTAL CURRENT UNITS]]=0,0,INVESTORS_LIST[[#This Row],[LS_TOTAL CURRENT UNITS]]/INVESTORS_LIST[[#This Row],[TOTAL CURRENT UNITS]])</f>
        <v>0</v>
      </c>
      <c r="AF721" s="44">
        <f>IF(INVESTORS_LIST[[#This Row],[TOTAL CURRENT UNITS]]=0,0,INVESTORS_LIST[[#This Row],[SIP_TOTAL CURRENT UNITS]]/INVESTORS_LIST[[#This Row],[TOTAL CURRENT UNITS]])</f>
        <v>0</v>
      </c>
      <c r="AG721" s="4" cm="1">
        <f t="array" ref="AG721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21" s="4" cm="1">
        <f t="array" ref="AH721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21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21" s="178">
        <f>NAV_MKT</f>
        <v>12.552</v>
      </c>
      <c r="AK721" s="118">
        <f>IF(INVESTORS_LIST[[#This Row],[TOTAL CURRENT UNITS]]=0,0,INVESTORS_LIST[[#This Row],[TOTAL CURRENT UNITS]]*INVESTORS_LIST[[#This Row],[NAV]])</f>
        <v>0</v>
      </c>
      <c r="AL721" s="4">
        <f>IF(INVESTORS_LIST[[#This Row],[LS_TOTAL CURRENT UNITS]]=0,0,INVESTORS_LIST[[#This Row],[LS_TOTAL CURRENT UNITS]]*INVESTORS_LIST[[#This Row],[NAV]])</f>
        <v>0</v>
      </c>
      <c r="AM721" s="6">
        <f>IF(INVESTORS_LIST[[#This Row],[SIP_TOTAL CURRENT UNITS]]=0,0,INVESTORS_LIST[[#This Row],[SIP_TOTAL CURRENT UNITS]]*INVESTORS_LIST[[#This Row],[NAV]])</f>
        <v>0</v>
      </c>
      <c r="AO721" s="6">
        <f>IF(INVESTORS_LIST[[#This Row],[TOTAL SELLABLE UNITS]]=0,0,INVESTORS_LIST[[#This Row],[TOTAL SELLABLE UNITS]]*INVESTORS_LIST[[#This Row],[NAV]])</f>
        <v>0</v>
      </c>
      <c r="AP721" s="6">
        <f>INVESTORS_LIST[[#This Row],[LS_TOTAL REALIZED GAIN]]+INVESTORS_LIST[[#This Row],[SIP_TOTAL REALIZED GAIN]]</f>
        <v>0</v>
      </c>
      <c r="AQ721" s="6">
        <f>INVESTORS_LIST[[#This Row],[TOTAL MARKET VALUE]]-INVESTORS_LIST[[#This Row],[TOTAL COST VALUE OF CURRENT INVESTMENT]]</f>
        <v>0</v>
      </c>
      <c r="AR721" s="6">
        <f>SUMIFS(DivAndTax[Tax Amount],DivAndTax[Investor ID],INVESTORS_LIST[[#This Row],[INVESTOR CODE]])</f>
        <v>0</v>
      </c>
      <c r="AS721" s="6">
        <f>SUMIFS(DivAndTax[Gross Dividend],DivAndTax[Investor ID],INVESTORS_LIST[[#This Row],[INVESTOR CODE]])</f>
        <v>0</v>
      </c>
      <c r="AT721" s="5">
        <f>IFERROR(INVESTORS_LIST[[#This Row],[TOTAL CURRENT UNITS]]/SUM(INVESTORS_LIST[TOTAL CURRENT UNITS]),0)</f>
        <v>0</v>
      </c>
    </row>
    <row r="722" spans="1:46" hidden="1">
      <c r="A722" t="s">
        <v>1652</v>
      </c>
      <c r="B722" t="s">
        <v>1653</v>
      </c>
      <c r="C722" t="s">
        <v>536</v>
      </c>
      <c r="D722" s="8" t="s">
        <v>2</v>
      </c>
      <c r="E722" s="2">
        <f>SUMIFS(LS[Unit],LS[Investor ID],INVESTORS_LIST[[#This Row],[INVESTOR CODE]],LS[B/S],"B")</f>
        <v>0</v>
      </c>
      <c r="F722" s="2">
        <f>-SUMIFS(LS[Unit],LS[Investor ID],INVESTORS_LIST[[#This Row],[INVESTOR CODE]],LS[B/S],"S")</f>
        <v>0</v>
      </c>
      <c r="G722" s="2">
        <f>IF(INVESTORS_LIST[[#This Row],[LS_TOTAL UNITS BUY]]=0,0,INVESTORS_LIST[[#This Row],[LS_TOTAL UNITS BUY]]-INVESTORS_LIST[[#This Row],[LS_TOTAL UNITS SOLD]])</f>
        <v>0</v>
      </c>
      <c r="H722" s="4">
        <f>IF(INVESTORS_LIST[[#This Row],[LS_TOTAL UNITS BUY]]=0,0,SUMIFS(LS[Amount],LS[Investor ID],INVESTORS_LIST[[#This Row],[INVESTOR CODE]],LS[B/S],"B"))</f>
        <v>0</v>
      </c>
      <c r="I722" s="6">
        <f>IF(INVESTORS_LIST[[#This Row],[LS_TOTAL UNITS SOLD]]=0,0,SUMIFS(LS[Cost of Units Sold],LS[Investor ID],INVESTORS_LIST[[#This Row],[INVESTOR CODE]],LS[B/S],"S"))</f>
        <v>0</v>
      </c>
      <c r="J722" s="6">
        <f>IF(INVESTORS_LIST[[#This Row],[LS_TOTAL CURRENT UNITS]]=0,0,INVESTORS_LIST[[#This Row],[LS_TOTAL CURRENT UNITS]]*INVESTORS_LIST[[#This Row],[LS_AVERAGE COST]])</f>
        <v>0</v>
      </c>
      <c r="K722" s="4">
        <f>IF(INVESTORS_LIST[[#This Row],[LS_TOTAL UNITS SOLD]]=0,0,SUMIFS(LS[Realized Gain],LS[Investor ID],INVESTORS_LIST[[#This Row],[INVESTOR CODE]],LS[B/S],"S"))</f>
        <v>0</v>
      </c>
      <c r="L722" s="2">
        <f>SUMIFS(SIP[Unit],SIP[Investor ID],INVESTORS_LIST[[#This Row],[INVESTOR CODE]],SIP[B/S],"B")</f>
        <v>0</v>
      </c>
      <c r="M722" s="2">
        <f>-SUMIFS(SIP[Unit],SIP[Investor ID],INVESTORS_LIST[[#This Row],[INVESTOR CODE]],SIP[B/S],"S")</f>
        <v>0</v>
      </c>
      <c r="N722" s="33">
        <f>IF(INVESTORS_LIST[[#This Row],[SIP_TOTAL UNITS BUY]]=0,0,INVESTORS_LIST[[#This Row],[SIP_TOTAL UNITS BUY]]-INVESTORS_LIST[[#This Row],[SIP_TOTAL UNITS SOLD]])</f>
        <v>0</v>
      </c>
      <c r="O722" s="4">
        <f>IF(INVESTORS_LIST[[#This Row],[SIP_TOTAL UNITS BUY]]=0,0,SUMIFS(SIP[Amount],SIP[Investor ID],INVESTORS_LIST[[#This Row],[INVESTOR CODE]],SIP[B/S],"B"))</f>
        <v>0</v>
      </c>
      <c r="P722" s="4">
        <f>IF(INVESTORS_LIST[[#This Row],[SIP_TOTAL UNITS SOLD]]=0,0,SUMIFS(SIP[Cost of Units Sold],SIP[Investor ID],INVESTORS_LIST[[#This Row],[INVESTOR CODE]],SIP[B/S],"S"))</f>
        <v>0</v>
      </c>
      <c r="Q722" s="6">
        <f>IF(INVESTORS_LIST[[#This Row],[SIP_TOTAL CURRENT UNITS]]=0,0,INVESTORS_LIST[[#This Row],[SIP_TOTAL CURRENT UNITS]]*INVESTORS_LIST[[#This Row],[SIP_AVERAGE COST]])</f>
        <v>0</v>
      </c>
      <c r="R722" s="6">
        <f>IF(INVESTORS_LIST[[#This Row],[SIP_TOTAL UNITS SOLD]]=0,0,SUMIFS(SIP[Realized Gain],SIP[Investor ID],INVESTORS_LIST[[#This Row],[INVESTOR CODE]],SIP[B/S],"S"))</f>
        <v>0</v>
      </c>
      <c r="S722" s="33">
        <f>INVESTORS_LIST[[#This Row],[LS_TOTAL UNITS BUY]]+INVESTORS_LIST[[#This Row],[SIP_TOTAL UNITS BUY]]</f>
        <v>0</v>
      </c>
      <c r="T722" s="33">
        <f>INVESTORS_LIST[[#This Row],[LS_TOTAL UNITS SOLD]]+INVESTORS_LIST[[#This Row],[SIP_TOTAL UNITS SOLD]]</f>
        <v>0</v>
      </c>
      <c r="U722" s="33"/>
      <c r="V722" s="33">
        <f>SUMIFS(LS[BO UNIT TRANSFER],LS[Investor ID],INVESTORS_LIST[[#This Row],[INVESTOR CODE]],LS[B/S],"B")</f>
        <v>0</v>
      </c>
      <c r="W722" s="33">
        <f>SUMIFS(LS[BO UNIT TRANSFER],LS[Investor ID],INVESTORS_LIST[[#This Row],[INVESTOR CODE]],LS[B/S],"S")</f>
        <v>0</v>
      </c>
      <c r="X722" s="33">
        <f>SUMIFS(SIP[BO UNIT TRANSFER],SIP[Investor ID],INVESTORS_LIST[[#This Row],[INVESTOR CODE]],SIP[B/S],"S")</f>
        <v>0</v>
      </c>
      <c r="Y722" s="33">
        <f>SUMIFS(SIP[BO UNIT TRANSFER],SIP[Investor ID],INVESTORS_LIST[[#This Row],[INVESTOR CODE]],SIP[B/S],"B")</f>
        <v>0</v>
      </c>
      <c r="Z722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22" s="119">
        <f>INVESTORS_LIST[[#This Row],[TOTAL UNITS BUY]]-INVESTORS_LIST[[#This Row],[TOTAL UNITS SOLD]]</f>
        <v>0</v>
      </c>
      <c r="AB722" s="119">
        <f>INVESTORS_LIST[[#This Row],[TOTAL CURRENT UNITS]]-INVESTORS_LIST[[#This Row],[BO UNITS HOLD]]</f>
        <v>0</v>
      </c>
      <c r="AC722" s="119" t="e">
        <f>INDEX([4]!Table_1[BO ID],MATCH(INVESTORS_LIST[[#This Row],[INVESTOR CODE]],[4]!Table_1[INVESTOR CODE],0))</f>
        <v>#REF!</v>
      </c>
      <c r="AD722" s="33">
        <f>INVESTORS_LIST[[#This Row],[LS_TOTAL COST VALUE OF CURRENT UNITS]]+INVESTORS_LIST[[#This Row],[SIP_TOTAL COST VALUE OF CURRENT UNITS]]</f>
        <v>0</v>
      </c>
      <c r="AE722" s="44">
        <f>IF(INVESTORS_LIST[[#This Row],[TOTAL CURRENT UNITS]]=0,0,INVESTORS_LIST[[#This Row],[LS_TOTAL CURRENT UNITS]]/INVESTORS_LIST[[#This Row],[TOTAL CURRENT UNITS]])</f>
        <v>0</v>
      </c>
      <c r="AF722" s="44">
        <f>IF(INVESTORS_LIST[[#This Row],[TOTAL CURRENT UNITS]]=0,0,INVESTORS_LIST[[#This Row],[SIP_TOTAL CURRENT UNITS]]/INVESTORS_LIST[[#This Row],[TOTAL CURRENT UNITS]])</f>
        <v>0</v>
      </c>
      <c r="AG722" s="4" cm="1">
        <f t="array" ref="AG722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22" s="4" cm="1">
        <f t="array" ref="AH722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22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22" s="178">
        <f>NAV_MKT</f>
        <v>12.552</v>
      </c>
      <c r="AK722" s="118">
        <f>IF(INVESTORS_LIST[[#This Row],[TOTAL CURRENT UNITS]]=0,0,INVESTORS_LIST[[#This Row],[TOTAL CURRENT UNITS]]*INVESTORS_LIST[[#This Row],[NAV]])</f>
        <v>0</v>
      </c>
      <c r="AL722" s="4">
        <f>IF(INVESTORS_LIST[[#This Row],[LS_TOTAL CURRENT UNITS]]=0,0,INVESTORS_LIST[[#This Row],[LS_TOTAL CURRENT UNITS]]*INVESTORS_LIST[[#This Row],[NAV]])</f>
        <v>0</v>
      </c>
      <c r="AM722" s="6">
        <f>IF(INVESTORS_LIST[[#This Row],[SIP_TOTAL CURRENT UNITS]]=0,0,INVESTORS_LIST[[#This Row],[SIP_TOTAL CURRENT UNITS]]*INVESTORS_LIST[[#This Row],[NAV]])</f>
        <v>0</v>
      </c>
      <c r="AO722" s="6">
        <f>IF(INVESTORS_LIST[[#This Row],[TOTAL SELLABLE UNITS]]=0,0,INVESTORS_LIST[[#This Row],[TOTAL SELLABLE UNITS]]*INVESTORS_LIST[[#This Row],[NAV]])</f>
        <v>0</v>
      </c>
      <c r="AP722" s="6">
        <f>INVESTORS_LIST[[#This Row],[LS_TOTAL REALIZED GAIN]]+INVESTORS_LIST[[#This Row],[SIP_TOTAL REALIZED GAIN]]</f>
        <v>0</v>
      </c>
      <c r="AQ722" s="6">
        <f>INVESTORS_LIST[[#This Row],[TOTAL MARKET VALUE]]-INVESTORS_LIST[[#This Row],[TOTAL COST VALUE OF CURRENT INVESTMENT]]</f>
        <v>0</v>
      </c>
      <c r="AR722" s="6">
        <f>SUMIFS(DivAndTax[Tax Amount],DivAndTax[Investor ID],INVESTORS_LIST[[#This Row],[INVESTOR CODE]])</f>
        <v>0</v>
      </c>
      <c r="AS722" s="6">
        <f>SUMIFS(DivAndTax[Gross Dividend],DivAndTax[Investor ID],INVESTORS_LIST[[#This Row],[INVESTOR CODE]])</f>
        <v>0</v>
      </c>
      <c r="AT722" s="5">
        <f>IFERROR(INVESTORS_LIST[[#This Row],[TOTAL CURRENT UNITS]]/SUM(INVESTORS_LIST[TOTAL CURRENT UNITS]),0)</f>
        <v>0</v>
      </c>
    </row>
    <row r="723" spans="1:46" hidden="1">
      <c r="A723" t="s">
        <v>788</v>
      </c>
      <c r="B723" t="s">
        <v>1654</v>
      </c>
      <c r="C723" t="s">
        <v>536</v>
      </c>
      <c r="D723" s="8" t="s">
        <v>2</v>
      </c>
      <c r="E723" s="2">
        <f>SUMIFS(LS[Unit],LS[Investor ID],INVESTORS_LIST[[#This Row],[INVESTOR CODE]],LS[B/S],"B")</f>
        <v>0</v>
      </c>
      <c r="F723" s="2">
        <f>-SUMIFS(LS[Unit],LS[Investor ID],INVESTORS_LIST[[#This Row],[INVESTOR CODE]],LS[B/S],"S")</f>
        <v>0</v>
      </c>
      <c r="G723" s="2">
        <f>IF(INVESTORS_LIST[[#This Row],[LS_TOTAL UNITS BUY]]=0,0,INVESTORS_LIST[[#This Row],[LS_TOTAL UNITS BUY]]-INVESTORS_LIST[[#This Row],[LS_TOTAL UNITS SOLD]])</f>
        <v>0</v>
      </c>
      <c r="H723" s="4">
        <f>IF(INVESTORS_LIST[[#This Row],[LS_TOTAL UNITS BUY]]=0,0,SUMIFS(LS[Amount],LS[Investor ID],INVESTORS_LIST[[#This Row],[INVESTOR CODE]],LS[B/S],"B"))</f>
        <v>0</v>
      </c>
      <c r="I723" s="6">
        <f>IF(INVESTORS_LIST[[#This Row],[LS_TOTAL UNITS SOLD]]=0,0,SUMIFS(LS[Cost of Units Sold],LS[Investor ID],INVESTORS_LIST[[#This Row],[INVESTOR CODE]],LS[B/S],"S"))</f>
        <v>0</v>
      </c>
      <c r="J723" s="6">
        <f>IF(INVESTORS_LIST[[#This Row],[LS_TOTAL CURRENT UNITS]]=0,0,INVESTORS_LIST[[#This Row],[LS_TOTAL CURRENT UNITS]]*INVESTORS_LIST[[#This Row],[LS_AVERAGE COST]])</f>
        <v>0</v>
      </c>
      <c r="K723" s="4">
        <f>IF(INVESTORS_LIST[[#This Row],[LS_TOTAL UNITS SOLD]]=0,0,SUMIFS(LS[Realized Gain],LS[Investor ID],INVESTORS_LIST[[#This Row],[INVESTOR CODE]],LS[B/S],"S"))</f>
        <v>0</v>
      </c>
      <c r="L723" s="2">
        <f>SUMIFS(SIP[Unit],SIP[Investor ID],INVESTORS_LIST[[#This Row],[INVESTOR CODE]],SIP[B/S],"B")</f>
        <v>0</v>
      </c>
      <c r="M723" s="2">
        <f>-SUMIFS(SIP[Unit],SIP[Investor ID],INVESTORS_LIST[[#This Row],[INVESTOR CODE]],SIP[B/S],"S")</f>
        <v>0</v>
      </c>
      <c r="N723" s="33">
        <f>IF(INVESTORS_LIST[[#This Row],[SIP_TOTAL UNITS BUY]]=0,0,INVESTORS_LIST[[#This Row],[SIP_TOTAL UNITS BUY]]-INVESTORS_LIST[[#This Row],[SIP_TOTAL UNITS SOLD]])</f>
        <v>0</v>
      </c>
      <c r="O723" s="4">
        <f>IF(INVESTORS_LIST[[#This Row],[SIP_TOTAL UNITS BUY]]=0,0,SUMIFS(SIP[Amount],SIP[Investor ID],INVESTORS_LIST[[#This Row],[INVESTOR CODE]],SIP[B/S],"B"))</f>
        <v>0</v>
      </c>
      <c r="P723" s="4">
        <f>IF(INVESTORS_LIST[[#This Row],[SIP_TOTAL UNITS SOLD]]=0,0,SUMIFS(SIP[Cost of Units Sold],SIP[Investor ID],INVESTORS_LIST[[#This Row],[INVESTOR CODE]],SIP[B/S],"S"))</f>
        <v>0</v>
      </c>
      <c r="Q723" s="6">
        <f>IF(INVESTORS_LIST[[#This Row],[SIP_TOTAL CURRENT UNITS]]=0,0,INVESTORS_LIST[[#This Row],[SIP_TOTAL CURRENT UNITS]]*INVESTORS_LIST[[#This Row],[SIP_AVERAGE COST]])</f>
        <v>0</v>
      </c>
      <c r="R723" s="6">
        <f>IF(INVESTORS_LIST[[#This Row],[SIP_TOTAL UNITS SOLD]]=0,0,SUMIFS(SIP[Realized Gain],SIP[Investor ID],INVESTORS_LIST[[#This Row],[INVESTOR CODE]],SIP[B/S],"S"))</f>
        <v>0</v>
      </c>
      <c r="S723" s="33">
        <f>INVESTORS_LIST[[#This Row],[LS_TOTAL UNITS BUY]]+INVESTORS_LIST[[#This Row],[SIP_TOTAL UNITS BUY]]</f>
        <v>0</v>
      </c>
      <c r="T723" s="33">
        <f>INVESTORS_LIST[[#This Row],[LS_TOTAL UNITS SOLD]]+INVESTORS_LIST[[#This Row],[SIP_TOTAL UNITS SOLD]]</f>
        <v>0</v>
      </c>
      <c r="U723" s="33"/>
      <c r="V723" s="33">
        <f>SUMIFS(LS[BO UNIT TRANSFER],LS[Investor ID],INVESTORS_LIST[[#This Row],[INVESTOR CODE]],LS[B/S],"B")</f>
        <v>0</v>
      </c>
      <c r="W723" s="33">
        <f>SUMIFS(LS[BO UNIT TRANSFER],LS[Investor ID],INVESTORS_LIST[[#This Row],[INVESTOR CODE]],LS[B/S],"S")</f>
        <v>0</v>
      </c>
      <c r="X723" s="33">
        <f>SUMIFS(SIP[BO UNIT TRANSFER],SIP[Investor ID],INVESTORS_LIST[[#This Row],[INVESTOR CODE]],SIP[B/S],"S")</f>
        <v>0</v>
      </c>
      <c r="Y723" s="33">
        <f>SUMIFS(SIP[BO UNIT TRANSFER],SIP[Investor ID],INVESTORS_LIST[[#This Row],[INVESTOR CODE]],SIP[B/S],"B")</f>
        <v>0</v>
      </c>
      <c r="Z723" s="180">
        <f>INVESTORS_LIST[[#This Row],[BO OPENING BALANCE]]+INVESTORS_LIST[[#This Row],[LS- BO UNITS SELL]]+INVESTORS_LIST[[#This Row],[LS- BO UNITS REPURCHASE]]+INVESTORS_LIST[[#This Row],[SIP- BO UNITS REPURCHASE]]-INVESTORS_LIST[[#This Row],[SIP- BO UNITS SELL]]</f>
        <v>0</v>
      </c>
      <c r="AA723" s="119">
        <f>INVESTORS_LIST[[#This Row],[TOTAL UNITS BUY]]-INVESTORS_LIST[[#This Row],[TOTAL UNITS SOLD]]</f>
        <v>0</v>
      </c>
      <c r="AB723" s="119">
        <f>INVESTORS_LIST[[#This Row],[TOTAL CURRENT UNITS]]-INVESTORS_LIST[[#This Row],[BO UNITS HOLD]]</f>
        <v>0</v>
      </c>
      <c r="AC723" s="119" t="e">
        <f>INDEX([4]!Table_1[BO ID],MATCH(INVESTORS_LIST[[#This Row],[INVESTOR CODE]],[4]!Table_1[INVESTOR CODE],0))</f>
        <v>#REF!</v>
      </c>
      <c r="AD723" s="33">
        <f>INVESTORS_LIST[[#This Row],[LS_TOTAL COST VALUE OF CURRENT UNITS]]+INVESTORS_LIST[[#This Row],[SIP_TOTAL COST VALUE OF CURRENT UNITS]]</f>
        <v>0</v>
      </c>
      <c r="AE723" s="44">
        <f>IF(INVESTORS_LIST[[#This Row],[TOTAL CURRENT UNITS]]=0,0,INVESTORS_LIST[[#This Row],[LS_TOTAL CURRENT UNITS]]/INVESTORS_LIST[[#This Row],[TOTAL CURRENT UNITS]])</f>
        <v>0</v>
      </c>
      <c r="AF723" s="44">
        <f>IF(INVESTORS_LIST[[#This Row],[TOTAL CURRENT UNITS]]=0,0,INVESTORS_LIST[[#This Row],[SIP_TOTAL CURRENT UNITS]]/INVESTORS_LIST[[#This Row],[TOTAL CURRENT UNITS]])</f>
        <v>0</v>
      </c>
      <c r="AG723" s="4" cm="1">
        <f t="array" ref="AG723">IF(INVESTORS_LIST[[#This Row],[LS_TOTAL UNITS BUY]]&gt;0,INDEX(LS[NAV at Cost (Average)],MATCH(CONCATENATE(COUNTIFS(LS[Investor ID],INVESTORS_LIST[[#This Row],[INVESTOR CODE]]),INVESTORS_LIST[[#This Row],[INVESTOR CODE]]),LS[Unique Code],0),),0)</f>
        <v>0</v>
      </c>
      <c r="AH723" s="4" cm="1">
        <f t="array" ref="AH723">IF(INVESTORS_LIST[[#This Row],[SIP_TOTAL UNITS BUY]]&gt;0,INDEX(SIP[NAV at Cost (Average)],MATCH(CONCATENATE(COUNTIFS(SIP[Investor ID],INVESTORS_LIST[[#This Row],[INVESTOR CODE]]),INVESTORS_LIST[[#This Row],[INVESTOR CODE]]),SIP[Unique Code],0),),0)</f>
        <v>0</v>
      </c>
      <c r="AI723" s="178">
        <f>IF(INVESTORS_LIST[[#This Row],[TOTAL CURRENT UNITS]]=0,0,(INVESTORS_LIST[[#This Row],[LS_WEIGHT]]*INVESTORS_LIST[[#This Row],[LS_AVERAGE COST]])+(INVESTORS_LIST[[#This Row],[SIP_WEIGHT]]*INVESTORS_LIST[[#This Row],[SIP_AVERAGE COST]]))</f>
        <v>0</v>
      </c>
      <c r="AJ723" s="178">
        <f>NAV_MKT</f>
        <v>12.552</v>
      </c>
      <c r="AK723" s="118">
        <f>IF(INVESTORS_LIST[[#This Row],[TOTAL CURRENT UNITS]]=0,0,INVESTORS_LIST[[#This Row],[TOTAL CURRENT UNITS]]*INVESTORS_LIST[[#This Row],[NAV]])</f>
        <v>0</v>
      </c>
      <c r="AL723" s="4">
        <f>IF(INVESTORS_LIST[[#This Row],[LS_TOTAL CURRENT UNITS]]=0,0,INVESTORS_LIST[[#This Row],[LS_TOTAL CURRENT UNITS]]*INVESTORS_LIST[[#This Row],[NAV]])</f>
        <v>0</v>
      </c>
      <c r="AM723" s="6">
        <f>IF(INVESTORS_LIST[[#This Row],[SIP_TOTAL CURRENT UNITS]]=0,0,INVESTORS_LIST[[#This Row],[SIP_TOTAL CURRENT UNITS]]*INVESTORS_LIST[[#This Row],[NAV]])</f>
        <v>0</v>
      </c>
      <c r="AO723" s="6">
        <f>IF(INVESTORS_LIST[[#This Row],[TOTAL SELLABLE UNITS]]=0,0,INVESTORS_LIST[[#This Row],[TOTAL SELLABLE UNITS]]*INVESTORS_LIST[[#This Row],[NAV]])</f>
        <v>0</v>
      </c>
      <c r="AP723" s="6">
        <f>INVESTORS_LIST[[#This Row],[LS_TOTAL REALIZED GAIN]]+INVESTORS_LIST[[#This Row],[SIP_TOTAL REALIZED GAIN]]</f>
        <v>0</v>
      </c>
      <c r="AQ723" s="6">
        <f>INVESTORS_LIST[[#This Row],[TOTAL MARKET VALUE]]-INVESTORS_LIST[[#This Row],[TOTAL COST VALUE OF CURRENT INVESTMENT]]</f>
        <v>0</v>
      </c>
      <c r="AR723" s="6">
        <f>SUMIFS(DivAndTax[Tax Amount],DivAndTax[Investor ID],INVESTORS_LIST[[#This Row],[INVESTOR CODE]])</f>
        <v>0</v>
      </c>
      <c r="AS723" s="6">
        <f>SUMIFS(DivAndTax[Gross Dividend],DivAndTax[Investor ID],INVESTORS_LIST[[#This Row],[INVESTOR CODE]])</f>
        <v>0</v>
      </c>
      <c r="AT723" s="5">
        <f>IFERROR(INVESTORS_LIST[[#This Row],[TOTAL CURRENT UNITS]]/SUM(INVESTORS_LIST[TOTAL CURRENT UNITS]),0)</f>
        <v>0</v>
      </c>
    </row>
  </sheetData>
  <conditionalFormatting sqref="B689:B694">
    <cfRule type="duplicateValues" dxfId="2" priority="2"/>
  </conditionalFormatting>
  <conditionalFormatting sqref="B700">
    <cfRule type="duplicateValues" dxfId="1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B61F0BB-EA82-41F5-80B5-E9448B0AF466}">
          <x14:formula1>
            <xm:f>'Data Validation'!$A$2:$A$6</xm:f>
          </x14:formula1>
          <xm:sqref>D1:D640 D642:D652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BFBD-03D6-46EB-B342-EAB336FEA39D}">
  <dimension ref="A1:A6"/>
  <sheetViews>
    <sheetView showGridLines="0" workbookViewId="0">
      <selection activeCell="D30" sqref="D30"/>
    </sheetView>
  </sheetViews>
  <sheetFormatPr defaultRowHeight="15"/>
  <cols>
    <col min="1" max="1" width="25.7109375" customWidth="1"/>
  </cols>
  <sheetData>
    <row r="1" spans="1:1" ht="21.75" thickBot="1">
      <c r="A1" s="80" t="s">
        <v>881</v>
      </c>
    </row>
    <row r="2" spans="1:1">
      <c r="A2" s="77" t="s">
        <v>2</v>
      </c>
    </row>
    <row r="3" spans="1:1">
      <c r="A3" s="78" t="s">
        <v>5</v>
      </c>
    </row>
    <row r="4" spans="1:1">
      <c r="A4" s="78" t="s">
        <v>8</v>
      </c>
    </row>
    <row r="5" spans="1:1">
      <c r="A5" s="78" t="s">
        <v>13</v>
      </c>
    </row>
    <row r="6" spans="1:1" ht="15.75" thickBot="1">
      <c r="A6" s="79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AB855"/>
  <sheetViews>
    <sheetView showGridLines="0" zoomScaleNormal="100" workbookViewId="0">
      <pane ySplit="2" topLeftCell="A758" activePane="bottomLeft" state="frozen"/>
      <selection activeCell="L706" sqref="L706"/>
      <selection pane="bottomLeft" activeCell="Q773" sqref="Q768:Q773"/>
    </sheetView>
  </sheetViews>
  <sheetFormatPr defaultRowHeight="15"/>
  <cols>
    <col min="1" max="1" width="6" bestFit="1" customWidth="1"/>
    <col min="2" max="2" width="5.7109375" style="8" customWidth="1"/>
    <col min="3" max="3" width="7.7109375" style="8" customWidth="1"/>
    <col min="4" max="4" width="5.85546875" style="8" customWidth="1"/>
    <col min="5" max="5" width="12.140625" style="8" bestFit="1" customWidth="1"/>
    <col min="6" max="6" width="50.28515625" customWidth="1"/>
    <col min="7" max="7" width="13.5703125" style="8" customWidth="1"/>
    <col min="8" max="8" width="15.7109375" style="8" hidden="1" customWidth="1"/>
    <col min="9" max="10" width="18.140625" style="8" hidden="1" customWidth="1"/>
    <col min="11" max="11" width="6.28515625" style="8" customWidth="1"/>
    <col min="12" max="12" width="16.28515625" bestFit="1" customWidth="1"/>
    <col min="13" max="13" width="6" customWidth="1"/>
    <col min="14" max="14" width="10.140625" customWidth="1"/>
    <col min="15" max="15" width="11.85546875" bestFit="1" customWidth="1"/>
    <col min="16" max="16" width="12.28515625" customWidth="1"/>
    <col min="17" max="17" width="17" bestFit="1" customWidth="1"/>
    <col min="18" max="18" width="16.42578125" customWidth="1"/>
    <col min="19" max="19" width="16.140625" customWidth="1"/>
    <col min="20" max="20" width="16.28515625" customWidth="1"/>
    <col min="21" max="21" width="16" bestFit="1" customWidth="1"/>
    <col min="22" max="22" width="14.7109375" bestFit="1" customWidth="1"/>
    <col min="23" max="23" width="14.7109375" customWidth="1"/>
    <col min="24" max="24" width="15.7109375" bestFit="1" customWidth="1"/>
    <col min="25" max="25" width="14.7109375" bestFit="1" customWidth="1"/>
    <col min="26" max="26" width="13.5703125" bestFit="1" customWidth="1"/>
    <col min="27" max="27" width="14.7109375" bestFit="1" customWidth="1"/>
    <col min="28" max="28" width="11.85546875" bestFit="1" customWidth="1"/>
  </cols>
  <sheetData>
    <row r="1" spans="2:28" ht="15.75" thickBot="1">
      <c r="F1" s="6"/>
      <c r="G1" s="71">
        <f>171000+L831</f>
        <v>171000</v>
      </c>
      <c r="L1" s="4">
        <f>SUBTOTAL(9,LS[Amount])</f>
        <v>215116060.94999993</v>
      </c>
      <c r="M1" s="4"/>
      <c r="Q1" s="4">
        <f>SUBTOTAL(9,LS[Unit Capital])</f>
        <v>207977230</v>
      </c>
      <c r="R1" s="4">
        <f>SUBTOTAL(9,LS[Unit Premium Reserve])</f>
        <v>7138830.9500000011</v>
      </c>
      <c r="T1" s="179">
        <v>12.552</v>
      </c>
      <c r="U1" s="164">
        <f>NAV_MKT</f>
        <v>12.552</v>
      </c>
      <c r="X1" s="6"/>
      <c r="Y1" s="4"/>
      <c r="Z1" s="33"/>
      <c r="AB1" s="6"/>
    </row>
    <row r="2" spans="2:28" ht="52.9" customHeight="1">
      <c r="B2" s="16" t="s">
        <v>285</v>
      </c>
      <c r="C2" s="16" t="s">
        <v>286</v>
      </c>
      <c r="D2" s="16" t="s">
        <v>287</v>
      </c>
      <c r="E2" s="16" t="s">
        <v>288</v>
      </c>
      <c r="F2" s="16" t="s">
        <v>0</v>
      </c>
      <c r="G2" s="16" t="s">
        <v>289</v>
      </c>
      <c r="H2" s="16" t="s">
        <v>290</v>
      </c>
      <c r="I2" s="16" t="s">
        <v>291</v>
      </c>
      <c r="J2" s="16" t="s">
        <v>991</v>
      </c>
      <c r="K2" s="16" t="s">
        <v>292</v>
      </c>
      <c r="L2" s="17" t="s">
        <v>293</v>
      </c>
      <c r="M2" s="17" t="s">
        <v>956</v>
      </c>
      <c r="N2" s="16" t="s">
        <v>294</v>
      </c>
      <c r="O2" s="16" t="s">
        <v>295</v>
      </c>
      <c r="P2" s="16" t="s">
        <v>296</v>
      </c>
      <c r="Q2" s="17" t="s">
        <v>297</v>
      </c>
      <c r="R2" s="16" t="s">
        <v>298</v>
      </c>
      <c r="S2" s="16" t="s">
        <v>299</v>
      </c>
      <c r="T2" s="18" t="s">
        <v>303</v>
      </c>
      <c r="U2" s="16" t="s">
        <v>300</v>
      </c>
      <c r="V2" s="18" t="s">
        <v>460</v>
      </c>
      <c r="W2" s="18" t="s">
        <v>958</v>
      </c>
      <c r="X2" s="120" t="s">
        <v>959</v>
      </c>
    </row>
    <row r="3" spans="2:28">
      <c r="B3" s="8">
        <v>2021</v>
      </c>
      <c r="C3" s="8">
        <v>10</v>
      </c>
      <c r="D3" s="8">
        <v>13</v>
      </c>
      <c r="E3" s="291">
        <f>DATE(LS[[#This Row],[Year]],LS[[#This Row],[Month]],LS[[#This Row],[Day]])</f>
        <v>44482</v>
      </c>
      <c r="F3" t="str" cm="1">
        <f t="array" ref="F3">INDEX(INVESTORS_LIST[INVESTOR NAME],MATCH(LS[[#This Row],[Investor ID]],INVESTORS_LIST[INVESTOR CODE],0),)</f>
        <v>EKUSH WEALTH MANAGEMENT LIMITED</v>
      </c>
      <c r="G3" s="19" t="s">
        <v>4</v>
      </c>
      <c r="H3" s="8">
        <f>COUNTIF(LS[[#Headers],[Investor ID]]:LS[[#This Row],[Investor ID]],LS[[#This Row],[Investor ID]])</f>
        <v>1</v>
      </c>
      <c r="I3" s="8" t="str">
        <f>CONCATENATE(LS[[#This Row],[Frequency]],LS[[#This Row],[Investor ID]])</f>
        <v>1A00003</v>
      </c>
      <c r="J3" s="8" t="str">
        <f>IF(LS[[#This Row],[B/S]]="B","BUY",(IF(LS[[#This Row],[B/S]]="S","SELL"," ")))</f>
        <v>BUY</v>
      </c>
      <c r="K3" s="8" t="s">
        <v>301</v>
      </c>
      <c r="L3" s="10">
        <v>1000</v>
      </c>
      <c r="M3" s="10"/>
      <c r="N3" s="168">
        <f>LS[[#This Row],[Amount]]/LS[[#This Row],[Unit]]</f>
        <v>10</v>
      </c>
      <c r="O3" s="11">
        <f t="shared" ref="O3:O66" si="0">Q3/10</f>
        <v>100</v>
      </c>
      <c r="P3" s="11">
        <f>SUMIFS(LS[[#Headers],[Unit]]:LS[[#This Row],[Unit]],LS[[#Headers],[Investor ID]]:LS[[#This Row],[Investor ID]],LS[[#This Row],[Investor ID]])</f>
        <v>100</v>
      </c>
      <c r="Q3" s="10">
        <v>1000</v>
      </c>
      <c r="R3" s="6">
        <f>LS[[#This Row],[Amount]]-LS[[#This Row],[Unit Capital]]</f>
        <v>0</v>
      </c>
      <c r="S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" s="168">
        <f t="shared" ref="T3:T66" si="1">IFERROR(NAV_MKT,0)</f>
        <v>12.552</v>
      </c>
      <c r="U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" s="10" cm="1">
        <f t="array" ref="V3">IF(LS[[#This Row],[B/S]]="S",ABS(LS[[#This Row],[Unit]])*(INDEX(LS[NAV at Cost (Average)],MATCH(CONCATENATE((LS[[#This Row],[Frequency]]-1),LS[[#This Row],[Investor ID]]),LS[Unique Code],0),0)),0)</f>
        <v>0</v>
      </c>
      <c r="W3" s="10">
        <f>IF(LS[[#This Row],[BO Transfer]]="YES",LS[[#This Row],[Unit]],)</f>
        <v>0</v>
      </c>
      <c r="X3" s="3">
        <f>SUMIFS(LS[[#Headers],[BO UNIT TRANSFER]]:LS[[#This Row],[BO UNIT TRANSFER]],LS[[#Headers],[Investor ID]]:LS[[#This Row],[Investor ID]],LS[[#This Row],[Investor ID]])</f>
        <v>0</v>
      </c>
      <c r="Z3" t="s">
        <v>957</v>
      </c>
    </row>
    <row r="4" spans="2:28">
      <c r="B4" s="8">
        <v>2021</v>
      </c>
      <c r="C4" s="8">
        <v>10</v>
      </c>
      <c r="D4" s="8">
        <v>18</v>
      </c>
      <c r="E4" s="291">
        <f>DATE(LS[[#This Row],[Year]],LS[[#This Row],[Month]],LS[[#This Row],[Day]])</f>
        <v>44487</v>
      </c>
      <c r="F4" t="str" cm="1">
        <f t="array" ref="F4">INDEX(INVESTORS_LIST[INVESTOR NAME],MATCH(LS[[#This Row],[Investor ID]],INVESTORS_LIST[INVESTOR CODE],0),)</f>
        <v>EKUSH WEALTH MANAGEMENT LIMITED</v>
      </c>
      <c r="G4" s="19" t="s">
        <v>4</v>
      </c>
      <c r="H4" s="8">
        <f>COUNTIF(LS[[#Headers],[Investor ID]]:LS[[#This Row],[Investor ID]],LS[[#This Row],[Investor ID]])</f>
        <v>2</v>
      </c>
      <c r="I4" s="8" t="str">
        <f>CONCATENATE(LS[[#This Row],[Frequency]],LS[[#This Row],[Investor ID]])</f>
        <v>2A00003</v>
      </c>
      <c r="J4" s="8" t="str">
        <f>IF(LS[[#This Row],[B/S]]="B","BUY",(IF(LS[[#This Row],[B/S]]="S","SELL"," ")))</f>
        <v>BUY</v>
      </c>
      <c r="K4" s="8" t="s">
        <v>301</v>
      </c>
      <c r="L4" s="10">
        <v>10000000</v>
      </c>
      <c r="M4" s="10"/>
      <c r="N4" s="168">
        <f>LS[[#This Row],[Amount]]/LS[[#This Row],[Unit]]</f>
        <v>10</v>
      </c>
      <c r="O4" s="11">
        <f t="shared" si="0"/>
        <v>1000000</v>
      </c>
      <c r="P4" s="11">
        <f>SUMIFS(LS[[#Headers],[Unit]]:LS[[#This Row],[Unit]],LS[[#Headers],[Investor ID]]:LS[[#This Row],[Investor ID]],LS[[#This Row],[Investor ID]])</f>
        <v>1000100</v>
      </c>
      <c r="Q4" s="10">
        <v>10000000</v>
      </c>
      <c r="R4" s="6">
        <f>LS[[#This Row],[Amount]]-LS[[#This Row],[Unit Capital]]</f>
        <v>0</v>
      </c>
      <c r="S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" s="168">
        <f t="shared" si="1"/>
        <v>12.552</v>
      </c>
      <c r="U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" s="10" cm="1">
        <f t="array" ref="V4">IF(LS[[#This Row],[B/S]]="S",ABS(LS[[#This Row],[Unit]])*(INDEX(LS[NAV at Cost (Average)],MATCH(CONCATENATE((LS[[#This Row],[Frequency]]-1),LS[[#This Row],[Investor ID]]),LS[Unique Code],0),0)),0)</f>
        <v>0</v>
      </c>
      <c r="W4" s="10">
        <f>IF(LS[[#This Row],[BO Transfer]]="YES",LS[[#This Row],[Unit]],)</f>
        <v>0</v>
      </c>
      <c r="X4" s="3">
        <f>SUMIFS(LS[[#Headers],[BO UNIT TRANSFER]]:LS[[#This Row],[BO UNIT TRANSFER]],LS[[#Headers],[Investor ID]]:LS[[#This Row],[Investor ID]],LS[[#This Row],[Investor ID]])</f>
        <v>0</v>
      </c>
    </row>
    <row r="5" spans="2:28">
      <c r="B5" s="8">
        <v>2021</v>
      </c>
      <c r="C5" s="8">
        <v>11</v>
      </c>
      <c r="D5" s="8">
        <v>4</v>
      </c>
      <c r="E5" s="291">
        <f>DATE(LS[[#This Row],[Year]],LS[[#This Row],[Month]],LS[[#This Row],[Day]])</f>
        <v>44504</v>
      </c>
      <c r="F5" t="str" cm="1">
        <f t="array" ref="F5">INDEX(INVESTORS_LIST[INVESTOR NAME],MATCH(LS[[#This Row],[Investor ID]],INVESTORS_LIST[INVESTOR CODE],0),)</f>
        <v>JHARNA RANI SAHA</v>
      </c>
      <c r="G5" s="19" t="s">
        <v>85</v>
      </c>
      <c r="H5" s="8">
        <f>COUNTIF(LS[[#Headers],[Investor ID]]:LS[[#This Row],[Investor ID]],LS[[#This Row],[Investor ID]])</f>
        <v>1</v>
      </c>
      <c r="I5" s="8" t="str">
        <f>CONCATENATE(LS[[#This Row],[Frequency]],LS[[#This Row],[Investor ID]])</f>
        <v>1A00077</v>
      </c>
      <c r="J5" s="8" t="str">
        <f>IF(LS[[#This Row],[B/S]]="B","BUY",(IF(LS[[#This Row],[B/S]]="S","SELL"," ")))</f>
        <v>BUY</v>
      </c>
      <c r="K5" s="8" t="s">
        <v>301</v>
      </c>
      <c r="L5" s="10">
        <v>150000</v>
      </c>
      <c r="M5" s="10"/>
      <c r="N5" s="168">
        <f>LS[[#This Row],[Amount]]/LS[[#This Row],[Unit]]</f>
        <v>10</v>
      </c>
      <c r="O5" s="11">
        <f t="shared" si="0"/>
        <v>15000</v>
      </c>
      <c r="P5" s="11">
        <f>SUMIFS(LS[[#Headers],[Unit]]:LS[[#This Row],[Unit]],LS[[#Headers],[Investor ID]]:LS[[#This Row],[Investor ID]],LS[[#This Row],[Investor ID]])</f>
        <v>15000</v>
      </c>
      <c r="Q5" s="10">
        <v>150000</v>
      </c>
      <c r="R5" s="6">
        <f>LS[[#This Row],[Amount]]-LS[[#This Row],[Unit Capital]]</f>
        <v>0</v>
      </c>
      <c r="S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5" s="168">
        <f t="shared" si="1"/>
        <v>12.552</v>
      </c>
      <c r="U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" s="10" cm="1">
        <f t="array" ref="V5">IF(LS[[#This Row],[B/S]]="S",ABS(LS[[#This Row],[Unit]])*(INDEX(LS[NAV at Cost (Average)],MATCH(CONCATENATE((LS[[#This Row],[Frequency]]-1),LS[[#This Row],[Investor ID]]),LS[Unique Code],0),0)),0)</f>
        <v>0</v>
      </c>
      <c r="W5" s="10">
        <f>IF(LS[[#This Row],[BO Transfer]]="YES",LS[[#This Row],[Unit]],)</f>
        <v>0</v>
      </c>
      <c r="X5" s="3">
        <f>SUMIFS(LS[[#Headers],[BO UNIT TRANSFER]]:LS[[#This Row],[BO UNIT TRANSFER]],LS[[#Headers],[Investor ID]]:LS[[#This Row],[Investor ID]],LS[[#This Row],[Investor ID]])</f>
        <v>0</v>
      </c>
    </row>
    <row r="6" spans="2:28">
      <c r="B6" s="8">
        <v>2021</v>
      </c>
      <c r="C6" s="8">
        <v>11</v>
      </c>
      <c r="D6" s="8">
        <v>8</v>
      </c>
      <c r="E6" s="291">
        <f>DATE(LS[[#This Row],[Year]],LS[[#This Row],[Month]],LS[[#This Row],[Day]])</f>
        <v>44508</v>
      </c>
      <c r="F6" t="str" cm="1">
        <f t="array" ref="F6">INDEX(INVESTORS_LIST[INVESTOR NAME],MATCH(LS[[#This Row],[Investor ID]],INVESTORS_LIST[INVESTOR CODE],0),)</f>
        <v>SHUVA SAHA</v>
      </c>
      <c r="G6" s="19" t="s">
        <v>60</v>
      </c>
      <c r="H6" s="8">
        <f>COUNTIF(LS[[#Headers],[Investor ID]]:LS[[#This Row],[Investor ID]],LS[[#This Row],[Investor ID]])</f>
        <v>1</v>
      </c>
      <c r="I6" s="8" t="str">
        <f>CONCATENATE(LS[[#This Row],[Frequency]],LS[[#This Row],[Investor ID]])</f>
        <v>1A00053</v>
      </c>
      <c r="J6" s="8" t="str">
        <f>IF(LS[[#This Row],[B/S]]="B","BUY",(IF(LS[[#This Row],[B/S]]="S","SELL"," ")))</f>
        <v>BUY</v>
      </c>
      <c r="K6" s="8" t="s">
        <v>301</v>
      </c>
      <c r="L6" s="10">
        <v>1200000</v>
      </c>
      <c r="M6" s="10"/>
      <c r="N6" s="168">
        <f>LS[[#This Row],[Amount]]/LS[[#This Row],[Unit]]</f>
        <v>10</v>
      </c>
      <c r="O6" s="11">
        <f t="shared" si="0"/>
        <v>120000</v>
      </c>
      <c r="P6" s="11">
        <f>SUMIFS(LS[[#Headers],[Unit]]:LS[[#This Row],[Unit]],LS[[#Headers],[Investor ID]]:LS[[#This Row],[Investor ID]],LS[[#This Row],[Investor ID]])</f>
        <v>120000</v>
      </c>
      <c r="Q6" s="10">
        <v>1200000</v>
      </c>
      <c r="R6" s="6">
        <f>LS[[#This Row],[Amount]]-LS[[#This Row],[Unit Capital]]</f>
        <v>0</v>
      </c>
      <c r="S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6" s="168">
        <f t="shared" si="1"/>
        <v>12.552</v>
      </c>
      <c r="U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" s="10" cm="1">
        <f t="array" ref="V6">IF(LS[[#This Row],[B/S]]="S",ABS(LS[[#This Row],[Unit]])*(INDEX(LS[NAV at Cost (Average)],MATCH(CONCATENATE((LS[[#This Row],[Frequency]]-1),LS[[#This Row],[Investor ID]]),LS[Unique Code],0),0)),0)</f>
        <v>0</v>
      </c>
      <c r="W6" s="10">
        <f>IF(LS[[#This Row],[BO Transfer]]="YES",LS[[#This Row],[Unit]],)</f>
        <v>0</v>
      </c>
      <c r="X6" s="3">
        <f>SUMIFS(LS[[#Headers],[BO UNIT TRANSFER]]:LS[[#This Row],[BO UNIT TRANSFER]],LS[[#Headers],[Investor ID]]:LS[[#This Row],[Investor ID]],LS[[#This Row],[Investor ID]])</f>
        <v>0</v>
      </c>
    </row>
    <row r="7" spans="2:28">
      <c r="B7" s="8">
        <v>2021</v>
      </c>
      <c r="C7" s="8">
        <v>11</v>
      </c>
      <c r="D7" s="8">
        <v>8</v>
      </c>
      <c r="E7" s="291">
        <f>DATE(LS[[#This Row],[Year]],LS[[#This Row],[Month]],LS[[#This Row],[Day]])</f>
        <v>44508</v>
      </c>
      <c r="F7" t="str" cm="1">
        <f t="array" ref="F7">INDEX(INVESTORS_LIST[INVESTOR NAME],MATCH(LS[[#This Row],[Investor ID]],INVESTORS_LIST[INVESTOR CODE],0),)</f>
        <v>SHYAMAL KRISHNA SAHA</v>
      </c>
      <c r="G7" s="19" t="s">
        <v>17</v>
      </c>
      <c r="H7" s="8">
        <f>COUNTIF(LS[[#Headers],[Investor ID]]:LS[[#This Row],[Investor ID]],LS[[#This Row],[Investor ID]])</f>
        <v>1</v>
      </c>
      <c r="I7" s="8" t="str">
        <f>CONCATENATE(LS[[#This Row],[Frequency]],LS[[#This Row],[Investor ID]])</f>
        <v>1A00010</v>
      </c>
      <c r="J7" s="8" t="str">
        <f>IF(LS[[#This Row],[B/S]]="B","BUY",(IF(LS[[#This Row],[B/S]]="S","SELL"," ")))</f>
        <v>BUY</v>
      </c>
      <c r="K7" s="8" t="s">
        <v>301</v>
      </c>
      <c r="L7" s="10">
        <v>500000</v>
      </c>
      <c r="M7" s="10"/>
      <c r="N7" s="168">
        <f>LS[[#This Row],[Amount]]/LS[[#This Row],[Unit]]</f>
        <v>10</v>
      </c>
      <c r="O7" s="11">
        <f t="shared" si="0"/>
        <v>50000</v>
      </c>
      <c r="P7" s="11">
        <f>SUMIFS(LS[[#Headers],[Unit]]:LS[[#This Row],[Unit]],LS[[#Headers],[Investor ID]]:LS[[#This Row],[Investor ID]],LS[[#This Row],[Investor ID]])</f>
        <v>50000</v>
      </c>
      <c r="Q7" s="10">
        <v>500000</v>
      </c>
      <c r="R7" s="6">
        <f>LS[[#This Row],[Amount]]-LS[[#This Row],[Unit Capital]]</f>
        <v>0</v>
      </c>
      <c r="S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7" s="168">
        <f t="shared" si="1"/>
        <v>12.552</v>
      </c>
      <c r="U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" s="10" cm="1">
        <f t="array" ref="V7">IF(LS[[#This Row],[B/S]]="S",ABS(LS[[#This Row],[Unit]])*(INDEX(LS[NAV at Cost (Average)],MATCH(CONCATENATE((LS[[#This Row],[Frequency]]-1),LS[[#This Row],[Investor ID]]),LS[Unique Code],0),0)),0)</f>
        <v>0</v>
      </c>
      <c r="W7" s="10">
        <f>IF(LS[[#This Row],[BO Transfer]]="YES",LS[[#This Row],[Unit]],)</f>
        <v>0</v>
      </c>
      <c r="X7" s="3">
        <f>SUMIFS(LS[[#Headers],[BO UNIT TRANSFER]]:LS[[#This Row],[BO UNIT TRANSFER]],LS[[#Headers],[Investor ID]]:LS[[#This Row],[Investor ID]],LS[[#This Row],[Investor ID]])</f>
        <v>0</v>
      </c>
    </row>
    <row r="8" spans="2:28">
      <c r="B8" s="8">
        <v>2021</v>
      </c>
      <c r="C8" s="8">
        <v>11</v>
      </c>
      <c r="D8" s="8">
        <v>9</v>
      </c>
      <c r="E8" s="291">
        <f>DATE(LS[[#This Row],[Year]],LS[[#This Row],[Month]],LS[[#This Row],[Day]])</f>
        <v>44509</v>
      </c>
      <c r="F8" t="str" cm="1">
        <f t="array" ref="F8">INDEX(INVESTORS_LIST[INVESTOR NAME],MATCH(LS[[#This Row],[Investor ID]],INVESTORS_LIST[INVESTOR CODE],0),)</f>
        <v>BILKISS ARA</v>
      </c>
      <c r="G8" s="19" t="s">
        <v>81</v>
      </c>
      <c r="H8" s="8">
        <f>COUNTIF(LS[[#Headers],[Investor ID]]:LS[[#This Row],[Investor ID]],LS[[#This Row],[Investor ID]])</f>
        <v>1</v>
      </c>
      <c r="I8" s="8" t="str">
        <f>CONCATENATE(LS[[#This Row],[Frequency]],LS[[#This Row],[Investor ID]])</f>
        <v>1A00073</v>
      </c>
      <c r="J8" s="8" t="str">
        <f>IF(LS[[#This Row],[B/S]]="B","BUY",(IF(LS[[#This Row],[B/S]]="S","SELL"," ")))</f>
        <v>BUY</v>
      </c>
      <c r="K8" s="8" t="s">
        <v>301</v>
      </c>
      <c r="L8" s="10">
        <v>450000</v>
      </c>
      <c r="M8" s="3" t="s">
        <v>957</v>
      </c>
      <c r="N8" s="168">
        <f>LS[[#This Row],[Amount]]/LS[[#This Row],[Unit]]</f>
        <v>10</v>
      </c>
      <c r="O8" s="11">
        <f t="shared" si="0"/>
        <v>45000</v>
      </c>
      <c r="P8" s="11">
        <f>SUMIFS(LS[[#Headers],[Unit]]:LS[[#This Row],[Unit]],LS[[#Headers],[Investor ID]]:LS[[#This Row],[Investor ID]],LS[[#This Row],[Investor ID]])</f>
        <v>45000</v>
      </c>
      <c r="Q8" s="10">
        <v>450000</v>
      </c>
      <c r="R8" s="6">
        <f>LS[[#This Row],[Amount]]-LS[[#This Row],[Unit Capital]]</f>
        <v>0</v>
      </c>
      <c r="S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8" s="168">
        <f t="shared" si="1"/>
        <v>12.552</v>
      </c>
      <c r="U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8" s="10" cm="1">
        <f t="array" ref="V8">IF(LS[[#This Row],[B/S]]="S",ABS(LS[[#This Row],[Unit]])*(INDEX(LS[NAV at Cost (Average)],MATCH(CONCATENATE((LS[[#This Row],[Frequency]]-1),LS[[#This Row],[Investor ID]]),LS[Unique Code],0),0)),0)</f>
        <v>0</v>
      </c>
      <c r="W8" s="10">
        <f>IF(LS[[#This Row],[BO Transfer]]="YES",LS[[#This Row],[Unit]],)</f>
        <v>45000</v>
      </c>
      <c r="X8" s="3">
        <f>SUMIFS(LS[[#Headers],[BO UNIT TRANSFER]]:LS[[#This Row],[BO UNIT TRANSFER]],LS[[#Headers],[Investor ID]]:LS[[#This Row],[Investor ID]],LS[[#This Row],[Investor ID]])</f>
        <v>45000</v>
      </c>
    </row>
    <row r="9" spans="2:28">
      <c r="B9" s="8">
        <v>2021</v>
      </c>
      <c r="C9" s="8">
        <v>11</v>
      </c>
      <c r="D9" s="8">
        <v>25</v>
      </c>
      <c r="E9" s="291">
        <f>DATE(LS[[#This Row],[Year]],LS[[#This Row],[Month]],LS[[#This Row],[Day]])</f>
        <v>44525</v>
      </c>
      <c r="F9" t="str" cm="1">
        <f t="array" ref="F9">INDEX(INVESTORS_LIST[INVESTOR NAME],MATCH(LS[[#This Row],[Investor ID]],INVESTORS_LIST[INVESTOR CODE],0),)</f>
        <v>HARI PADA SAHA</v>
      </c>
      <c r="G9" s="19" t="s">
        <v>1</v>
      </c>
      <c r="H9" s="8">
        <f>COUNTIF(LS[[#Headers],[Investor ID]]:LS[[#This Row],[Investor ID]],LS[[#This Row],[Investor ID]])</f>
        <v>1</v>
      </c>
      <c r="I9" s="8" t="str">
        <f>CONCATENATE(LS[[#This Row],[Frequency]],LS[[#This Row],[Investor ID]])</f>
        <v>1A00002</v>
      </c>
      <c r="J9" s="8" t="str">
        <f>IF(LS[[#This Row],[B/S]]="B","BUY",(IF(LS[[#This Row],[B/S]]="S","SELL"," ")))</f>
        <v>BUY</v>
      </c>
      <c r="K9" s="8" t="s">
        <v>301</v>
      </c>
      <c r="L9" s="10">
        <v>200000</v>
      </c>
      <c r="M9" s="10"/>
      <c r="N9" s="168">
        <f>LS[[#This Row],[Amount]]/LS[[#This Row],[Unit]]</f>
        <v>10</v>
      </c>
      <c r="O9" s="11">
        <f t="shared" si="0"/>
        <v>20000</v>
      </c>
      <c r="P9" s="11">
        <f>SUMIFS(LS[[#Headers],[Unit]]:LS[[#This Row],[Unit]],LS[[#Headers],[Investor ID]]:LS[[#This Row],[Investor ID]],LS[[#This Row],[Investor ID]])</f>
        <v>20000</v>
      </c>
      <c r="Q9" s="10">
        <v>200000</v>
      </c>
      <c r="R9" s="6">
        <f>LS[[#This Row],[Amount]]-LS[[#This Row],[Unit Capital]]</f>
        <v>0</v>
      </c>
      <c r="S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9" s="168">
        <f t="shared" si="1"/>
        <v>12.552</v>
      </c>
      <c r="U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9" s="10" cm="1">
        <f t="array" ref="V9">IF(LS[[#This Row],[B/S]]="S",ABS(LS[[#This Row],[Unit]])*(INDEX(LS[NAV at Cost (Average)],MATCH(CONCATENATE((LS[[#This Row],[Frequency]]-1),LS[[#This Row],[Investor ID]]),LS[Unique Code],0),0)),0)</f>
        <v>0</v>
      </c>
      <c r="W9" s="10">
        <f>IF(LS[[#This Row],[BO Transfer]]="YES",LS[[#This Row],[Unit]],)</f>
        <v>0</v>
      </c>
      <c r="X9" s="3">
        <f>SUMIFS(LS[[#Headers],[BO UNIT TRANSFER]]:LS[[#This Row],[BO UNIT TRANSFER]],LS[[#Headers],[Investor ID]]:LS[[#This Row],[Investor ID]],LS[[#This Row],[Investor ID]])</f>
        <v>0</v>
      </c>
    </row>
    <row r="10" spans="2:28">
      <c r="B10" s="8">
        <v>2021</v>
      </c>
      <c r="C10" s="8">
        <v>12</v>
      </c>
      <c r="D10" s="8">
        <v>26</v>
      </c>
      <c r="E10" s="291">
        <f>DATE(LS[[#This Row],[Year]],LS[[#This Row],[Month]],LS[[#This Row],[Day]])</f>
        <v>44556</v>
      </c>
      <c r="F10" t="str" cm="1">
        <f t="array" ref="F10">INDEX(INVESTORS_LIST[INVESTOR NAME],MATCH(LS[[#This Row],[Investor ID]],INVESTORS_LIST[INVESTOR CODE],0),)</f>
        <v>JANNATUL FERDOUS SHARNA</v>
      </c>
      <c r="G10" s="19" t="s">
        <v>466</v>
      </c>
      <c r="H10" s="8">
        <f>COUNTIF(LS[[#Headers],[Investor ID]]:LS[[#This Row],[Investor ID]],LS[[#This Row],[Investor ID]])</f>
        <v>1</v>
      </c>
      <c r="I10" s="8" t="str">
        <f>CONCATENATE(LS[[#This Row],[Frequency]],LS[[#This Row],[Investor ID]])</f>
        <v>1A00301</v>
      </c>
      <c r="J10" s="8" t="str">
        <f>IF(LS[[#This Row],[B/S]]="B","BUY",(IF(LS[[#This Row],[B/S]]="S","SELL"," ")))</f>
        <v>BUY</v>
      </c>
      <c r="K10" s="8" t="s">
        <v>301</v>
      </c>
      <c r="L10" s="10">
        <v>200000</v>
      </c>
      <c r="M10" s="10"/>
      <c r="N10" s="168">
        <f>LS[[#This Row],[Amount]]/LS[[#This Row],[Unit]]</f>
        <v>10</v>
      </c>
      <c r="O10" s="11">
        <f t="shared" si="0"/>
        <v>20000</v>
      </c>
      <c r="P10" s="11">
        <f>SUMIFS(LS[[#Headers],[Unit]]:LS[[#This Row],[Unit]],LS[[#Headers],[Investor ID]]:LS[[#This Row],[Investor ID]],LS[[#This Row],[Investor ID]])</f>
        <v>20000</v>
      </c>
      <c r="Q10" s="10">
        <v>200000</v>
      </c>
      <c r="R10" s="6">
        <f>LS[[#This Row],[Amount]]-LS[[#This Row],[Unit Capital]]</f>
        <v>0</v>
      </c>
      <c r="S1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0" s="168">
        <f t="shared" si="1"/>
        <v>12.552</v>
      </c>
      <c r="U1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0" s="10" cm="1">
        <f t="array" ref="V10">IF(LS[[#This Row],[B/S]]="S",ABS(LS[[#This Row],[Unit]])*(INDEX(LS[NAV at Cost (Average)],MATCH(CONCATENATE((LS[[#This Row],[Frequency]]-1),LS[[#This Row],[Investor ID]]),LS[Unique Code],0),0)),0)</f>
        <v>0</v>
      </c>
      <c r="W10" s="10">
        <f>IF(LS[[#This Row],[BO Transfer]]="YES",LS[[#This Row],[Unit]],)</f>
        <v>0</v>
      </c>
      <c r="X10" s="3">
        <f>SUMIFS(LS[[#Headers],[BO UNIT TRANSFER]]:LS[[#This Row],[BO UNIT TRANSFER]],LS[[#Headers],[Investor ID]]:LS[[#This Row],[Investor ID]],LS[[#This Row],[Investor ID]])</f>
        <v>0</v>
      </c>
    </row>
    <row r="11" spans="2:28">
      <c r="B11" s="8">
        <v>2021</v>
      </c>
      <c r="C11" s="8">
        <v>12</v>
      </c>
      <c r="D11" s="8">
        <v>26</v>
      </c>
      <c r="E11" s="291">
        <f>DATE(LS[[#This Row],[Year]],LS[[#This Row],[Month]],LS[[#This Row],[Day]])</f>
        <v>44556</v>
      </c>
      <c r="F11" t="str" cm="1">
        <f t="array" ref="F11">INDEX(INVESTORS_LIST[INVESTOR NAME],MATCH(LS[[#This Row],[Investor ID]],INVESTORS_LIST[INVESTOR CODE],0),)</f>
        <v>BIJOY CHANDRA DAS</v>
      </c>
      <c r="G11" s="19" t="s">
        <v>305</v>
      </c>
      <c r="H11" s="8">
        <f>COUNTIF(LS[[#Headers],[Investor ID]]:LS[[#This Row],[Investor ID]],LS[[#This Row],[Investor ID]])</f>
        <v>1</v>
      </c>
      <c r="I11" s="8" t="str">
        <f>CONCATENATE(LS[[#This Row],[Frequency]],LS[[#This Row],[Investor ID]])</f>
        <v>1A00224</v>
      </c>
      <c r="J11" s="8" t="str">
        <f>IF(LS[[#This Row],[B/S]]="B","BUY",(IF(LS[[#This Row],[B/S]]="S","SELL"," ")))</f>
        <v>BUY</v>
      </c>
      <c r="K11" s="8" t="s">
        <v>301</v>
      </c>
      <c r="L11" s="10">
        <v>100000</v>
      </c>
      <c r="M11" s="10"/>
      <c r="N11" s="168">
        <f>LS[[#This Row],[Amount]]/LS[[#This Row],[Unit]]</f>
        <v>10</v>
      </c>
      <c r="O11" s="11">
        <f t="shared" si="0"/>
        <v>10000</v>
      </c>
      <c r="P11" s="11">
        <f>SUMIFS(LS[[#Headers],[Unit]]:LS[[#This Row],[Unit]],LS[[#Headers],[Investor ID]]:LS[[#This Row],[Investor ID]],LS[[#This Row],[Investor ID]])</f>
        <v>10000</v>
      </c>
      <c r="Q11" s="10">
        <v>100000</v>
      </c>
      <c r="R11" s="6">
        <f>LS[[#This Row],[Amount]]-LS[[#This Row],[Unit Capital]]</f>
        <v>0</v>
      </c>
      <c r="S1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1" s="168">
        <f t="shared" si="1"/>
        <v>12.552</v>
      </c>
      <c r="U1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1" s="10" cm="1">
        <f t="array" ref="V11">IF(LS[[#This Row],[B/S]]="S",ABS(LS[[#This Row],[Unit]])*(INDEX(LS[NAV at Cost (Average)],MATCH(CONCATENATE((LS[[#This Row],[Frequency]]-1),LS[[#This Row],[Investor ID]]),LS[Unique Code],0),0)),0)</f>
        <v>0</v>
      </c>
      <c r="W11" s="10">
        <f>IF(LS[[#This Row],[BO Transfer]]="YES",LS[[#This Row],[Unit]],)</f>
        <v>0</v>
      </c>
      <c r="X11" s="3">
        <f>SUMIFS(LS[[#Headers],[BO UNIT TRANSFER]]:LS[[#This Row],[BO UNIT TRANSFER]],LS[[#Headers],[Investor ID]]:LS[[#This Row],[Investor ID]],LS[[#This Row],[Investor ID]])</f>
        <v>0</v>
      </c>
    </row>
    <row r="12" spans="2:28">
      <c r="B12" s="8">
        <v>2021</v>
      </c>
      <c r="C12" s="8">
        <v>12</v>
      </c>
      <c r="D12" s="8">
        <v>30</v>
      </c>
      <c r="E12" s="291">
        <f>DATE(LS[[#This Row],[Year]],LS[[#This Row],[Month]],LS[[#This Row],[Day]])</f>
        <v>44560</v>
      </c>
      <c r="F12" t="str" cm="1">
        <f t="array" ref="F12">INDEX(INVESTORS_LIST[INVESTOR NAME],MATCH(LS[[#This Row],[Investor ID]],INVESTORS_LIST[INVESTOR CODE],0),)</f>
        <v>SHARMIN JAHAN SHANTA</v>
      </c>
      <c r="G12" s="19" t="s">
        <v>564</v>
      </c>
      <c r="H12" s="8">
        <f>COUNTIF(LS[[#Headers],[Investor ID]]:LS[[#This Row],[Investor ID]],LS[[#This Row],[Investor ID]])</f>
        <v>1</v>
      </c>
      <c r="I12" s="8" t="str">
        <f>CONCATENATE(LS[[#This Row],[Frequency]],LS[[#This Row],[Investor ID]])</f>
        <v>1A00318</v>
      </c>
      <c r="J12" s="8" t="str">
        <f>IF(LS[[#This Row],[B/S]]="B","BUY",(IF(LS[[#This Row],[B/S]]="S","SELL"," ")))</f>
        <v>BUY</v>
      </c>
      <c r="K12" s="8" t="s">
        <v>301</v>
      </c>
      <c r="L12" s="10">
        <v>50000</v>
      </c>
      <c r="M12" s="10"/>
      <c r="N12" s="168">
        <f>LS[[#This Row],[Amount]]/LS[[#This Row],[Unit]]</f>
        <v>10</v>
      </c>
      <c r="O12" s="11">
        <f t="shared" si="0"/>
        <v>5000</v>
      </c>
      <c r="P12" s="11">
        <f>SUMIFS(LS[[#Headers],[Unit]]:LS[[#This Row],[Unit]],LS[[#Headers],[Investor ID]]:LS[[#This Row],[Investor ID]],LS[[#This Row],[Investor ID]])</f>
        <v>5000</v>
      </c>
      <c r="Q12" s="10">
        <v>50000</v>
      </c>
      <c r="R12" s="6">
        <f>LS[[#This Row],[Amount]]-LS[[#This Row],[Unit Capital]]</f>
        <v>0</v>
      </c>
      <c r="S1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2" s="168">
        <f t="shared" si="1"/>
        <v>12.552</v>
      </c>
      <c r="U1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2" s="10" cm="1">
        <f t="array" ref="V12">IF(LS[[#This Row],[B/S]]="S",ABS(LS[[#This Row],[Unit]])*(INDEX(LS[NAV at Cost (Average)],MATCH(CONCATENATE((LS[[#This Row],[Frequency]]-1),LS[[#This Row],[Investor ID]]),LS[Unique Code],0),0)),0)</f>
        <v>0</v>
      </c>
      <c r="W12" s="10">
        <f>IF(LS[[#This Row],[BO Transfer]]="YES",LS[[#This Row],[Unit]],)</f>
        <v>0</v>
      </c>
      <c r="X12" s="3">
        <f>SUMIFS(LS[[#Headers],[BO UNIT TRANSFER]]:LS[[#This Row],[BO UNIT TRANSFER]],LS[[#Headers],[Investor ID]]:LS[[#This Row],[Investor ID]],LS[[#This Row],[Investor ID]])</f>
        <v>0</v>
      </c>
    </row>
    <row r="13" spans="2:28">
      <c r="B13" s="8">
        <v>2022</v>
      </c>
      <c r="C13" s="8">
        <v>1</v>
      </c>
      <c r="D13" s="8">
        <v>3</v>
      </c>
      <c r="E13" s="291">
        <f>DATE(LS[[#This Row],[Year]],LS[[#This Row],[Month]],LS[[#This Row],[Day]])</f>
        <v>44564</v>
      </c>
      <c r="F13" t="str" cm="1">
        <f t="array" ref="F13">INDEX(INVESTORS_LIST[INVESTOR NAME],MATCH(LS[[#This Row],[Investor ID]],INVESTORS_LIST[INVESTOR CODE],0),)</f>
        <v>THE GSP FINANCE COMPANY (BANGLADESH) LIMITED EMPLOYEES PROVIDENT FUND</v>
      </c>
      <c r="G13" s="19" t="s">
        <v>579</v>
      </c>
      <c r="H13" s="8">
        <f>COUNTIF(LS[[#Headers],[Investor ID]]:LS[[#This Row],[Investor ID]],LS[[#This Row],[Investor ID]])</f>
        <v>1</v>
      </c>
      <c r="I13" s="8" t="str">
        <f>CONCATENATE(LS[[#This Row],[Frequency]],LS[[#This Row],[Investor ID]])</f>
        <v>1A00326</v>
      </c>
      <c r="J13" s="8" t="str">
        <f>IF(LS[[#This Row],[B/S]]="B","BUY",(IF(LS[[#This Row],[B/S]]="S","SELL"," ")))</f>
        <v>BUY</v>
      </c>
      <c r="K13" s="8" t="s">
        <v>301</v>
      </c>
      <c r="L13" s="10">
        <v>1000000</v>
      </c>
      <c r="M13" s="10"/>
      <c r="N13" s="168">
        <f>LS[[#This Row],[Amount]]/LS[[#This Row],[Unit]]</f>
        <v>10</v>
      </c>
      <c r="O13" s="11">
        <f t="shared" si="0"/>
        <v>100000</v>
      </c>
      <c r="P13" s="11">
        <f>SUMIFS(LS[[#Headers],[Unit]]:LS[[#This Row],[Unit]],LS[[#Headers],[Investor ID]]:LS[[#This Row],[Investor ID]],LS[[#This Row],[Investor ID]])</f>
        <v>100000</v>
      </c>
      <c r="Q13" s="10">
        <v>1000000</v>
      </c>
      <c r="R13" s="6">
        <f>LS[[#This Row],[Amount]]-LS[[#This Row],[Unit Capital]]</f>
        <v>0</v>
      </c>
      <c r="S1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3" s="168">
        <f t="shared" si="1"/>
        <v>12.552</v>
      </c>
      <c r="U1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3" s="10" cm="1">
        <f t="array" ref="V13">IF(LS[[#This Row],[B/S]]="S",ABS(LS[[#This Row],[Unit]])*(INDEX(LS[NAV at Cost (Average)],MATCH(CONCATENATE((LS[[#This Row],[Frequency]]-1),LS[[#This Row],[Investor ID]]),LS[Unique Code],0),0)),0)</f>
        <v>0</v>
      </c>
      <c r="W13" s="10">
        <f>IF(LS[[#This Row],[BO Transfer]]="YES",LS[[#This Row],[Unit]],)</f>
        <v>0</v>
      </c>
      <c r="X13" s="3">
        <f>SUMIFS(LS[[#Headers],[BO UNIT TRANSFER]]:LS[[#This Row],[BO UNIT TRANSFER]],LS[[#Headers],[Investor ID]]:LS[[#This Row],[Investor ID]],LS[[#This Row],[Investor ID]])</f>
        <v>0</v>
      </c>
    </row>
    <row r="14" spans="2:28">
      <c r="B14" s="8">
        <v>2022</v>
      </c>
      <c r="C14" s="8">
        <v>1</v>
      </c>
      <c r="D14" s="8">
        <v>3</v>
      </c>
      <c r="E14" s="291">
        <f>DATE(LS[[#This Row],[Year]],LS[[#This Row],[Month]],LS[[#This Row],[Day]])</f>
        <v>44564</v>
      </c>
      <c r="F14" t="str" cm="1">
        <f t="array" ref="F14">INDEX(INVESTORS_LIST[INVESTOR NAME],MATCH(LS[[#This Row],[Investor ID]],INVESTORS_LIST[INVESTOR CODE],0),)</f>
        <v>MD. MIZANUR RAHMAN</v>
      </c>
      <c r="G14" s="19" t="s">
        <v>566</v>
      </c>
      <c r="H14" s="8">
        <f>COUNTIF(LS[[#Headers],[Investor ID]]:LS[[#This Row],[Investor ID]],LS[[#This Row],[Investor ID]])</f>
        <v>1</v>
      </c>
      <c r="I14" s="8" t="str">
        <f>CONCATENATE(LS[[#This Row],[Frequency]],LS[[#This Row],[Investor ID]])</f>
        <v>1A00319</v>
      </c>
      <c r="J14" s="8" t="str">
        <f>IF(LS[[#This Row],[B/S]]="B","BUY",(IF(LS[[#This Row],[B/S]]="S","SELL"," ")))</f>
        <v>BUY</v>
      </c>
      <c r="K14" s="8" t="s">
        <v>301</v>
      </c>
      <c r="L14" s="10">
        <v>200000</v>
      </c>
      <c r="M14" s="10"/>
      <c r="N14" s="168">
        <f>LS[[#This Row],[Amount]]/LS[[#This Row],[Unit]]</f>
        <v>10</v>
      </c>
      <c r="O14" s="11">
        <f t="shared" si="0"/>
        <v>20000</v>
      </c>
      <c r="P14" s="11">
        <f>SUMIFS(LS[[#Headers],[Unit]]:LS[[#This Row],[Unit]],LS[[#Headers],[Investor ID]]:LS[[#This Row],[Investor ID]],LS[[#This Row],[Investor ID]])</f>
        <v>20000</v>
      </c>
      <c r="Q14" s="10">
        <v>200000</v>
      </c>
      <c r="R14" s="6">
        <f>LS[[#This Row],[Amount]]-LS[[#This Row],[Unit Capital]]</f>
        <v>0</v>
      </c>
      <c r="S1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4" s="168">
        <f t="shared" si="1"/>
        <v>12.552</v>
      </c>
      <c r="U1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4" s="10" cm="1">
        <f t="array" ref="V14">IF(LS[[#This Row],[B/S]]="S",ABS(LS[[#This Row],[Unit]])*(INDEX(LS[NAV at Cost (Average)],MATCH(CONCATENATE((LS[[#This Row],[Frequency]]-1),LS[[#This Row],[Investor ID]]),LS[Unique Code],0),0)),0)</f>
        <v>0</v>
      </c>
      <c r="W14" s="10">
        <f>IF(LS[[#This Row],[BO Transfer]]="YES",LS[[#This Row],[Unit]],)</f>
        <v>0</v>
      </c>
      <c r="X14" s="3">
        <f>SUMIFS(LS[[#Headers],[BO UNIT TRANSFER]]:LS[[#This Row],[BO UNIT TRANSFER]],LS[[#Headers],[Investor ID]]:LS[[#This Row],[Investor ID]],LS[[#This Row],[Investor ID]])</f>
        <v>0</v>
      </c>
    </row>
    <row r="15" spans="2:28">
      <c r="B15" s="8">
        <v>2022</v>
      </c>
      <c r="C15" s="8">
        <v>1</v>
      </c>
      <c r="D15" s="8">
        <v>3</v>
      </c>
      <c r="E15" s="291">
        <f>DATE(LS[[#This Row],[Year]],LS[[#This Row],[Month]],LS[[#This Row],[Day]])</f>
        <v>44564</v>
      </c>
      <c r="F15" t="str" cm="1">
        <f t="array" ref="F15">INDEX(INVESTORS_LIST[INVESTOR NAME],MATCH(LS[[#This Row],[Investor ID]],INVESTORS_LIST[INVESTOR CODE],0),)</f>
        <v>MD. WALIULLAH. SWADESH RANJAN SAHA &amp; MD. MIZZNUR RAHMAN</v>
      </c>
      <c r="G15" s="19" t="s">
        <v>358</v>
      </c>
      <c r="H15" s="8">
        <f>COUNTIF(LS[[#Headers],[Investor ID]]:LS[[#This Row],[Investor ID]],LS[[#This Row],[Investor ID]])</f>
        <v>1</v>
      </c>
      <c r="I15" s="8" t="str">
        <f>CONCATENATE(LS[[#This Row],[Frequency]],LS[[#This Row],[Investor ID]])</f>
        <v>1A00251</v>
      </c>
      <c r="J15" s="8" t="str">
        <f>IF(LS[[#This Row],[B/S]]="B","BUY",(IF(LS[[#This Row],[B/S]]="S","SELL"," ")))</f>
        <v>BUY</v>
      </c>
      <c r="K15" s="8" t="s">
        <v>301</v>
      </c>
      <c r="L15" s="10">
        <v>170000</v>
      </c>
      <c r="M15" s="10"/>
      <c r="N15" s="168">
        <f>LS[[#This Row],[Amount]]/LS[[#This Row],[Unit]]</f>
        <v>10</v>
      </c>
      <c r="O15" s="11">
        <f t="shared" si="0"/>
        <v>17000</v>
      </c>
      <c r="P15" s="11">
        <f>SUMIFS(LS[[#Headers],[Unit]]:LS[[#This Row],[Unit]],LS[[#Headers],[Investor ID]]:LS[[#This Row],[Investor ID]],LS[[#This Row],[Investor ID]])</f>
        <v>17000</v>
      </c>
      <c r="Q15" s="10">
        <v>170000</v>
      </c>
      <c r="R15" s="6">
        <f>LS[[#This Row],[Amount]]-LS[[#This Row],[Unit Capital]]</f>
        <v>0</v>
      </c>
      <c r="S1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5" s="168">
        <f t="shared" si="1"/>
        <v>12.552</v>
      </c>
      <c r="U1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5" s="10" cm="1">
        <f t="array" ref="V15">IF(LS[[#This Row],[B/S]]="S",ABS(LS[[#This Row],[Unit]])*(INDEX(LS[NAV at Cost (Average)],MATCH(CONCATENATE((LS[[#This Row],[Frequency]]-1),LS[[#This Row],[Investor ID]]),LS[Unique Code],0),0)),0)</f>
        <v>0</v>
      </c>
      <c r="W15" s="10">
        <f>IF(LS[[#This Row],[BO Transfer]]="YES",LS[[#This Row],[Unit]],)</f>
        <v>0</v>
      </c>
      <c r="X15" s="3">
        <f>SUMIFS(LS[[#Headers],[BO UNIT TRANSFER]]:LS[[#This Row],[BO UNIT TRANSFER]],LS[[#Headers],[Investor ID]]:LS[[#This Row],[Investor ID]],LS[[#This Row],[Investor ID]])</f>
        <v>0</v>
      </c>
    </row>
    <row r="16" spans="2:28">
      <c r="B16" s="8">
        <v>2022</v>
      </c>
      <c r="C16" s="8">
        <v>1</v>
      </c>
      <c r="D16" s="8">
        <v>3</v>
      </c>
      <c r="E16" s="291">
        <f>DATE(LS[[#This Row],[Year]],LS[[#This Row],[Month]],LS[[#This Row],[Day]])</f>
        <v>44564</v>
      </c>
      <c r="F16" t="str" cm="1">
        <f t="array" ref="F16">INDEX(INVESTORS_LIST[INVESTOR NAME],MATCH(LS[[#This Row],[Investor ID]],INVESTORS_LIST[INVESTOR CODE],0),)</f>
        <v>MUHAMMAD TANVIR ARAFAT</v>
      </c>
      <c r="G16" s="19" t="s">
        <v>234</v>
      </c>
      <c r="H16" s="8">
        <f>COUNTIF(LS[[#Headers],[Investor ID]]:LS[[#This Row],[Investor ID]],LS[[#This Row],[Investor ID]])</f>
        <v>1</v>
      </c>
      <c r="I16" s="8" t="str">
        <f>CONCATENATE(LS[[#This Row],[Frequency]],LS[[#This Row],[Investor ID]])</f>
        <v>1A00196</v>
      </c>
      <c r="J16" s="8" t="str">
        <f>IF(LS[[#This Row],[B/S]]="B","BUY",(IF(LS[[#This Row],[B/S]]="S","SELL"," ")))</f>
        <v>BUY</v>
      </c>
      <c r="K16" s="8" t="s">
        <v>301</v>
      </c>
      <c r="L16" s="10">
        <v>60000</v>
      </c>
      <c r="M16" s="10"/>
      <c r="N16" s="168">
        <f>LS[[#This Row],[Amount]]/LS[[#This Row],[Unit]]</f>
        <v>10</v>
      </c>
      <c r="O16" s="11">
        <f t="shared" si="0"/>
        <v>6000</v>
      </c>
      <c r="P16" s="11">
        <f>SUMIFS(LS[[#Headers],[Unit]]:LS[[#This Row],[Unit]],LS[[#Headers],[Investor ID]]:LS[[#This Row],[Investor ID]],LS[[#This Row],[Investor ID]])</f>
        <v>6000</v>
      </c>
      <c r="Q16" s="10">
        <v>60000</v>
      </c>
      <c r="R16" s="6">
        <f>LS[[#This Row],[Amount]]-LS[[#This Row],[Unit Capital]]</f>
        <v>0</v>
      </c>
      <c r="S1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6" s="168">
        <f t="shared" si="1"/>
        <v>12.552</v>
      </c>
      <c r="U1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6" s="10" cm="1">
        <f t="array" ref="V16">IF(LS[[#This Row],[B/S]]="S",ABS(LS[[#This Row],[Unit]])*(INDEX(LS[NAV at Cost (Average)],MATCH(CONCATENATE((LS[[#This Row],[Frequency]]-1),LS[[#This Row],[Investor ID]]),LS[Unique Code],0),0)),0)</f>
        <v>0</v>
      </c>
      <c r="W16" s="10">
        <f>IF(LS[[#This Row],[BO Transfer]]="YES",LS[[#This Row],[Unit]],)</f>
        <v>0</v>
      </c>
      <c r="X16" s="3">
        <f>SUMIFS(LS[[#Headers],[BO UNIT TRANSFER]]:LS[[#This Row],[BO UNIT TRANSFER]],LS[[#Headers],[Investor ID]]:LS[[#This Row],[Investor ID]],LS[[#This Row],[Investor ID]])</f>
        <v>0</v>
      </c>
    </row>
    <row r="17" spans="2:24">
      <c r="B17" s="8">
        <v>2022</v>
      </c>
      <c r="C17" s="8">
        <v>1</v>
      </c>
      <c r="D17" s="8">
        <v>5</v>
      </c>
      <c r="E17" s="291">
        <f>DATE(LS[[#This Row],[Year]],LS[[#This Row],[Month]],LS[[#This Row],[Day]])</f>
        <v>44566</v>
      </c>
      <c r="F17" t="str" cm="1">
        <f t="array" ref="F17">INDEX(INVESTORS_LIST[INVESTOR NAME],MATCH(LS[[#This Row],[Investor ID]],INVESTORS_LIST[INVESTOR CODE],0),)</f>
        <v>MD. JAHIRUL ISLAM</v>
      </c>
      <c r="G17" s="19" t="s">
        <v>570</v>
      </c>
      <c r="H17" s="8">
        <f>COUNTIF(LS[[#Headers],[Investor ID]]:LS[[#This Row],[Investor ID]],LS[[#This Row],[Investor ID]])</f>
        <v>1</v>
      </c>
      <c r="I17" s="8" t="str">
        <f>CONCATENATE(LS[[#This Row],[Frequency]],LS[[#This Row],[Investor ID]])</f>
        <v>1A00321</v>
      </c>
      <c r="J17" s="8" t="str">
        <f>IF(LS[[#This Row],[B/S]]="B","BUY",(IF(LS[[#This Row],[B/S]]="S","SELL"," ")))</f>
        <v>BUY</v>
      </c>
      <c r="K17" s="8" t="s">
        <v>301</v>
      </c>
      <c r="L17" s="10">
        <v>50000</v>
      </c>
      <c r="M17" s="10"/>
      <c r="N17" s="168">
        <f>LS[[#This Row],[Amount]]/LS[[#This Row],[Unit]]</f>
        <v>10</v>
      </c>
      <c r="O17" s="11">
        <f t="shared" si="0"/>
        <v>5000</v>
      </c>
      <c r="P17" s="11">
        <f>SUMIFS(LS[[#Headers],[Unit]]:LS[[#This Row],[Unit]],LS[[#Headers],[Investor ID]]:LS[[#This Row],[Investor ID]],LS[[#This Row],[Investor ID]])</f>
        <v>5000</v>
      </c>
      <c r="Q17" s="10">
        <v>50000</v>
      </c>
      <c r="R17" s="6">
        <f>LS[[#This Row],[Amount]]-LS[[#This Row],[Unit Capital]]</f>
        <v>0</v>
      </c>
      <c r="S1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7" s="168">
        <f t="shared" si="1"/>
        <v>12.552</v>
      </c>
      <c r="U1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7" s="10" cm="1">
        <f t="array" ref="V17">IF(LS[[#This Row],[B/S]]="S",ABS(LS[[#This Row],[Unit]])*(INDEX(LS[NAV at Cost (Average)],MATCH(CONCATENATE((LS[[#This Row],[Frequency]]-1),LS[[#This Row],[Investor ID]]),LS[Unique Code],0),0)),0)</f>
        <v>0</v>
      </c>
      <c r="W17" s="10">
        <f>IF(LS[[#This Row],[BO Transfer]]="YES",LS[[#This Row],[Unit]],)</f>
        <v>0</v>
      </c>
      <c r="X17" s="3">
        <f>SUMIFS(LS[[#Headers],[BO UNIT TRANSFER]]:LS[[#This Row],[BO UNIT TRANSFER]],LS[[#Headers],[Investor ID]]:LS[[#This Row],[Investor ID]],LS[[#This Row],[Investor ID]])</f>
        <v>0</v>
      </c>
    </row>
    <row r="18" spans="2:24">
      <c r="B18" s="8">
        <v>2022</v>
      </c>
      <c r="C18" s="8">
        <v>1</v>
      </c>
      <c r="D18" s="8">
        <v>6</v>
      </c>
      <c r="E18" s="291">
        <f>DATE(LS[[#This Row],[Year]],LS[[#This Row],[Month]],LS[[#This Row],[Day]])</f>
        <v>44567</v>
      </c>
      <c r="F18" t="str" cm="1">
        <f t="array" ref="F18">INDEX(INVESTORS_LIST[INVESTOR NAME],MATCH(LS[[#This Row],[Investor ID]],INVESTORS_LIST[INVESTOR CODE],0),)</f>
        <v>MD MIZANUR RAHMAN</v>
      </c>
      <c r="G18" s="19" t="s">
        <v>177</v>
      </c>
      <c r="H18" s="8">
        <f>COUNTIF(LS[[#Headers],[Investor ID]]:LS[[#This Row],[Investor ID]],LS[[#This Row],[Investor ID]])</f>
        <v>1</v>
      </c>
      <c r="I18" s="8" t="str">
        <f>CONCATENATE(LS[[#This Row],[Frequency]],LS[[#This Row],[Investor ID]])</f>
        <v>1A00144</v>
      </c>
      <c r="J18" s="8" t="str">
        <f>IF(LS[[#This Row],[B/S]]="B","BUY",(IF(LS[[#This Row],[B/S]]="S","SELL"," ")))</f>
        <v>BUY</v>
      </c>
      <c r="K18" s="8" t="s">
        <v>301</v>
      </c>
      <c r="L18" s="10">
        <v>102000</v>
      </c>
      <c r="M18" s="10"/>
      <c r="N18" s="168">
        <f>LS[[#This Row],[Amount]]/LS[[#This Row],[Unit]]</f>
        <v>10</v>
      </c>
      <c r="O18" s="11">
        <f t="shared" si="0"/>
        <v>10200</v>
      </c>
      <c r="P18" s="11">
        <f>SUMIFS(LS[[#Headers],[Unit]]:LS[[#This Row],[Unit]],LS[[#Headers],[Investor ID]]:LS[[#This Row],[Investor ID]],LS[[#This Row],[Investor ID]])</f>
        <v>10200</v>
      </c>
      <c r="Q18" s="10">
        <v>102000</v>
      </c>
      <c r="R18" s="6">
        <f>LS[[#This Row],[Amount]]-LS[[#This Row],[Unit Capital]]</f>
        <v>0</v>
      </c>
      <c r="S1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8" s="168">
        <f t="shared" si="1"/>
        <v>12.552</v>
      </c>
      <c r="U1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8" s="10" cm="1">
        <f t="array" ref="V18">IF(LS[[#This Row],[B/S]]="S",ABS(LS[[#This Row],[Unit]])*(INDEX(LS[NAV at Cost (Average)],MATCH(CONCATENATE((LS[[#This Row],[Frequency]]-1),LS[[#This Row],[Investor ID]]),LS[Unique Code],0),0)),0)</f>
        <v>0</v>
      </c>
      <c r="W18" s="10">
        <f>IF(LS[[#This Row],[BO Transfer]]="YES",LS[[#This Row],[Unit]],)</f>
        <v>0</v>
      </c>
      <c r="X18" s="3">
        <f>SUMIFS(LS[[#Headers],[BO UNIT TRANSFER]]:LS[[#This Row],[BO UNIT TRANSFER]],LS[[#Headers],[Investor ID]]:LS[[#This Row],[Investor ID]],LS[[#This Row],[Investor ID]])</f>
        <v>0</v>
      </c>
    </row>
    <row r="19" spans="2:24">
      <c r="B19" s="8">
        <v>2022</v>
      </c>
      <c r="C19" s="8">
        <v>1</v>
      </c>
      <c r="D19" s="8">
        <v>10</v>
      </c>
      <c r="E19" s="291">
        <f>DATE(LS[[#This Row],[Year]],LS[[#This Row],[Month]],LS[[#This Row],[Day]])</f>
        <v>44571</v>
      </c>
      <c r="F19" t="str" cm="1">
        <f t="array" ref="F19">INDEX(INVESTORS_LIST[INVESTOR NAME],MATCH(LS[[#This Row],[Investor ID]],INVESTORS_LIST[INVESTOR CODE],0),)</f>
        <v>MD. ZAKIR HOSSEN</v>
      </c>
      <c r="G19" s="19" t="s">
        <v>25</v>
      </c>
      <c r="H19" s="8">
        <f>COUNTIF(LS[[#Headers],[Investor ID]]:LS[[#This Row],[Investor ID]],LS[[#This Row],[Investor ID]])</f>
        <v>1</v>
      </c>
      <c r="I19" s="8" t="str">
        <f>CONCATENATE(LS[[#This Row],[Frequency]],LS[[#This Row],[Investor ID]])</f>
        <v>1A00018</v>
      </c>
      <c r="J19" s="8" t="str">
        <f>IF(LS[[#This Row],[B/S]]="B","BUY",(IF(LS[[#This Row],[B/S]]="S","SELL"," ")))</f>
        <v>BUY</v>
      </c>
      <c r="K19" s="8" t="s">
        <v>301</v>
      </c>
      <c r="L19" s="10">
        <v>202445</v>
      </c>
      <c r="M19" s="10"/>
      <c r="N19" s="168">
        <f>LS[[#This Row],[Amount]]/LS[[#This Row],[Unit]]</f>
        <v>9.9997530254383804</v>
      </c>
      <c r="O19" s="11">
        <f t="shared" si="0"/>
        <v>20245</v>
      </c>
      <c r="P19" s="11">
        <f>SUMIFS(LS[[#Headers],[Unit]]:LS[[#This Row],[Unit]],LS[[#Headers],[Investor ID]]:LS[[#This Row],[Investor ID]],LS[[#This Row],[Investor ID]])</f>
        <v>20245</v>
      </c>
      <c r="Q19" s="10">
        <v>202450</v>
      </c>
      <c r="R19" s="6">
        <f>LS[[#This Row],[Amount]]-LS[[#This Row],[Unit Capital]]</f>
        <v>-5</v>
      </c>
      <c r="S1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9.9997530254383804</v>
      </c>
      <c r="T19" s="168">
        <f t="shared" si="1"/>
        <v>12.552</v>
      </c>
      <c r="U1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9" s="10" cm="1">
        <f t="array" ref="V19">IF(LS[[#This Row],[B/S]]="S",ABS(LS[[#This Row],[Unit]])*(INDEX(LS[NAV at Cost (Average)],MATCH(CONCATENATE((LS[[#This Row],[Frequency]]-1),LS[[#This Row],[Investor ID]]),LS[Unique Code],0),0)),0)</f>
        <v>0</v>
      </c>
      <c r="W19" s="10">
        <f>IF(LS[[#This Row],[BO Transfer]]="YES",LS[[#This Row],[Unit]],)</f>
        <v>0</v>
      </c>
      <c r="X19" s="3">
        <f>SUMIFS(LS[[#Headers],[BO UNIT TRANSFER]]:LS[[#This Row],[BO UNIT TRANSFER]],LS[[#Headers],[Investor ID]]:LS[[#This Row],[Investor ID]],LS[[#This Row],[Investor ID]])</f>
        <v>0</v>
      </c>
    </row>
    <row r="20" spans="2:24">
      <c r="B20" s="8">
        <v>2022</v>
      </c>
      <c r="C20" s="8">
        <v>1</v>
      </c>
      <c r="D20" s="8">
        <v>13</v>
      </c>
      <c r="E20" s="291">
        <f>DATE(LS[[#This Row],[Year]],LS[[#This Row],[Month]],LS[[#This Row],[Day]])</f>
        <v>44574</v>
      </c>
      <c r="F20" t="str" cm="1">
        <f t="array" ref="F20">INDEX(INVESTORS_LIST[INVESTOR NAME],MATCH(LS[[#This Row],[Investor ID]],INVESTORS_LIST[INVESTOR CODE],0),)</f>
        <v>MD MIZANUR RAHMAN</v>
      </c>
      <c r="G20" s="19" t="s">
        <v>177</v>
      </c>
      <c r="H20" s="8">
        <f>COUNTIF(LS[[#Headers],[Investor ID]]:LS[[#This Row],[Investor ID]],LS[[#This Row],[Investor ID]])</f>
        <v>2</v>
      </c>
      <c r="I20" s="8" t="str">
        <f>CONCATENATE(LS[[#This Row],[Frequency]],LS[[#This Row],[Investor ID]])</f>
        <v>2A00144</v>
      </c>
      <c r="J20" s="8" t="str">
        <f>IF(LS[[#This Row],[B/S]]="B","BUY",(IF(LS[[#This Row],[B/S]]="S","SELL"," ")))</f>
        <v>BUY</v>
      </c>
      <c r="K20" s="8" t="s">
        <v>301</v>
      </c>
      <c r="L20" s="10">
        <v>25000</v>
      </c>
      <c r="M20" s="10"/>
      <c r="N20" s="168">
        <f>LS[[#This Row],[Amount]]/LS[[#This Row],[Unit]]</f>
        <v>10</v>
      </c>
      <c r="O20" s="11">
        <f t="shared" si="0"/>
        <v>2500</v>
      </c>
      <c r="P20" s="11">
        <f>SUMIFS(LS[[#Headers],[Unit]]:LS[[#This Row],[Unit]],LS[[#Headers],[Investor ID]]:LS[[#This Row],[Investor ID]],LS[[#This Row],[Investor ID]])</f>
        <v>12700</v>
      </c>
      <c r="Q20" s="10">
        <v>25000</v>
      </c>
      <c r="R20" s="6">
        <f>LS[[#This Row],[Amount]]-LS[[#This Row],[Unit Capital]]</f>
        <v>0</v>
      </c>
      <c r="S2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0" s="168">
        <f t="shared" si="1"/>
        <v>12.552</v>
      </c>
      <c r="U2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0" s="10" cm="1">
        <f t="array" ref="V20">IF(LS[[#This Row],[B/S]]="S",ABS(LS[[#This Row],[Unit]])*(INDEX(LS[NAV at Cost (Average)],MATCH(CONCATENATE((LS[[#This Row],[Frequency]]-1),LS[[#This Row],[Investor ID]]),LS[Unique Code],0),0)),0)</f>
        <v>0</v>
      </c>
      <c r="W20" s="10">
        <f>IF(LS[[#This Row],[BO Transfer]]="YES",LS[[#This Row],[Unit]],)</f>
        <v>0</v>
      </c>
      <c r="X20" s="3">
        <f>SUMIFS(LS[[#Headers],[BO UNIT TRANSFER]]:LS[[#This Row],[BO UNIT TRANSFER]],LS[[#Headers],[Investor ID]]:LS[[#This Row],[Investor ID]],LS[[#This Row],[Investor ID]])</f>
        <v>0</v>
      </c>
    </row>
    <row r="21" spans="2:24">
      <c r="B21" s="8">
        <v>2022</v>
      </c>
      <c r="C21" s="8">
        <v>1</v>
      </c>
      <c r="D21" s="8">
        <v>13</v>
      </c>
      <c r="E21" s="291">
        <f>DATE(LS[[#This Row],[Year]],LS[[#This Row],[Month]],LS[[#This Row],[Day]])</f>
        <v>44574</v>
      </c>
      <c r="F21" t="str" cm="1">
        <f t="array" ref="F21">INDEX(INVESTORS_LIST[INVESTOR NAME],MATCH(LS[[#This Row],[Investor ID]],INVESTORS_LIST[INVESTOR CODE],0),)</f>
        <v>MD. MONIRUZZAMAN</v>
      </c>
      <c r="G21" s="19" t="s">
        <v>142</v>
      </c>
      <c r="H21" s="8">
        <f>COUNTIF(LS[[#Headers],[Investor ID]]:LS[[#This Row],[Investor ID]],LS[[#This Row],[Investor ID]])</f>
        <v>1</v>
      </c>
      <c r="I21" s="8" t="str">
        <f>CONCATENATE(LS[[#This Row],[Frequency]],LS[[#This Row],[Investor ID]])</f>
        <v>1A00113</v>
      </c>
      <c r="J21" s="8" t="str">
        <f>IF(LS[[#This Row],[B/S]]="B","BUY",(IF(LS[[#This Row],[B/S]]="S","SELL"," ")))</f>
        <v>BUY</v>
      </c>
      <c r="K21" s="8" t="s">
        <v>301</v>
      </c>
      <c r="L21" s="10">
        <v>200000</v>
      </c>
      <c r="M21" s="10"/>
      <c r="N21" s="168">
        <f>LS[[#This Row],[Amount]]/LS[[#This Row],[Unit]]</f>
        <v>10</v>
      </c>
      <c r="O21" s="11">
        <f t="shared" si="0"/>
        <v>20000</v>
      </c>
      <c r="P21" s="11">
        <f>SUMIFS(LS[[#Headers],[Unit]]:LS[[#This Row],[Unit]],LS[[#Headers],[Investor ID]]:LS[[#This Row],[Investor ID]],LS[[#This Row],[Investor ID]])</f>
        <v>20000</v>
      </c>
      <c r="Q21" s="10">
        <v>200000</v>
      </c>
      <c r="R21" s="6">
        <f>LS[[#This Row],[Amount]]-LS[[#This Row],[Unit Capital]]</f>
        <v>0</v>
      </c>
      <c r="S2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1" s="168">
        <f t="shared" si="1"/>
        <v>12.552</v>
      </c>
      <c r="U2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1" s="10" cm="1">
        <f t="array" ref="V21">IF(LS[[#This Row],[B/S]]="S",ABS(LS[[#This Row],[Unit]])*(INDEX(LS[NAV at Cost (Average)],MATCH(CONCATENATE((LS[[#This Row],[Frequency]]-1),LS[[#This Row],[Investor ID]]),LS[Unique Code],0),0)),0)</f>
        <v>0</v>
      </c>
      <c r="W21" s="10">
        <f>IF(LS[[#This Row],[BO Transfer]]="YES",LS[[#This Row],[Unit]],)</f>
        <v>0</v>
      </c>
      <c r="X21" s="3">
        <f>SUMIFS(LS[[#Headers],[BO UNIT TRANSFER]]:LS[[#This Row],[BO UNIT TRANSFER]],LS[[#Headers],[Investor ID]]:LS[[#This Row],[Investor ID]],LS[[#This Row],[Investor ID]])</f>
        <v>0</v>
      </c>
    </row>
    <row r="22" spans="2:24">
      <c r="B22" s="8">
        <v>2022</v>
      </c>
      <c r="C22" s="8">
        <v>1</v>
      </c>
      <c r="D22" s="8">
        <v>13</v>
      </c>
      <c r="E22" s="291">
        <f>DATE(LS[[#This Row],[Year]],LS[[#This Row],[Month]],LS[[#This Row],[Day]])</f>
        <v>44574</v>
      </c>
      <c r="F22" t="str" cm="1">
        <f t="array" ref="F22">INDEX(INVESTORS_LIST[INVESTOR NAME],MATCH(LS[[#This Row],[Investor ID]],INVESTORS_LIST[INVESTOR CODE],0),)</f>
        <v>SAJED MADBAR</v>
      </c>
      <c r="G22" s="19" t="s">
        <v>577</v>
      </c>
      <c r="H22" s="8">
        <f>COUNTIF(LS[[#Headers],[Investor ID]]:LS[[#This Row],[Investor ID]],LS[[#This Row],[Investor ID]])</f>
        <v>1</v>
      </c>
      <c r="I22" s="8" t="str">
        <f>CONCATENATE(LS[[#This Row],[Frequency]],LS[[#This Row],[Investor ID]])</f>
        <v>1A00325</v>
      </c>
      <c r="J22" s="8" t="str">
        <f>IF(LS[[#This Row],[B/S]]="B","BUY",(IF(LS[[#This Row],[B/S]]="S","SELL"," ")))</f>
        <v>BUY</v>
      </c>
      <c r="K22" s="8" t="s">
        <v>301</v>
      </c>
      <c r="L22" s="10">
        <v>5000000</v>
      </c>
      <c r="M22" s="10"/>
      <c r="N22" s="168">
        <f>LS[[#This Row],[Amount]]/LS[[#This Row],[Unit]]</f>
        <v>10</v>
      </c>
      <c r="O22" s="11">
        <f t="shared" si="0"/>
        <v>500000</v>
      </c>
      <c r="P22" s="11">
        <f>SUMIFS(LS[[#Headers],[Unit]]:LS[[#This Row],[Unit]],LS[[#Headers],[Investor ID]]:LS[[#This Row],[Investor ID]],LS[[#This Row],[Investor ID]])</f>
        <v>500000</v>
      </c>
      <c r="Q22" s="10">
        <v>5000000</v>
      </c>
      <c r="R22" s="6">
        <f>LS[[#This Row],[Amount]]-LS[[#This Row],[Unit Capital]]</f>
        <v>0</v>
      </c>
      <c r="S2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2" s="168">
        <f t="shared" si="1"/>
        <v>12.552</v>
      </c>
      <c r="U2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2" s="10" cm="1">
        <f t="array" ref="V22">IF(LS[[#This Row],[B/S]]="S",ABS(LS[[#This Row],[Unit]])*(INDEX(LS[NAV at Cost (Average)],MATCH(CONCATENATE((LS[[#This Row],[Frequency]]-1),LS[[#This Row],[Investor ID]]),LS[Unique Code],0),0)),0)</f>
        <v>0</v>
      </c>
      <c r="W22" s="10">
        <f>IF(LS[[#This Row],[BO Transfer]]="YES",LS[[#This Row],[Unit]],)</f>
        <v>0</v>
      </c>
      <c r="X22" s="3">
        <f>SUMIFS(LS[[#Headers],[BO UNIT TRANSFER]]:LS[[#This Row],[BO UNIT TRANSFER]],LS[[#Headers],[Investor ID]]:LS[[#This Row],[Investor ID]],LS[[#This Row],[Investor ID]])</f>
        <v>0</v>
      </c>
    </row>
    <row r="23" spans="2:24">
      <c r="B23" s="8">
        <v>2022</v>
      </c>
      <c r="C23" s="8">
        <v>1</v>
      </c>
      <c r="D23" s="8">
        <v>16</v>
      </c>
      <c r="E23" s="291">
        <f>DATE(LS[[#This Row],[Year]],LS[[#This Row],[Month]],LS[[#This Row],[Day]])</f>
        <v>44577</v>
      </c>
      <c r="F23" t="str" cm="1">
        <f t="array" ref="F23">INDEX(INVESTORS_LIST[INVESTOR NAME],MATCH(LS[[#This Row],[Investor ID]],INVESTORS_LIST[INVESTOR CODE],0),)</f>
        <v>HASIB MUSTABSIR</v>
      </c>
      <c r="G23" s="19" t="s">
        <v>230</v>
      </c>
      <c r="H23" s="8">
        <f>COUNTIF(LS[[#Headers],[Investor ID]]:LS[[#This Row],[Investor ID]],LS[[#This Row],[Investor ID]])</f>
        <v>1</v>
      </c>
      <c r="I23" s="8" t="str">
        <f>CONCATENATE(LS[[#This Row],[Frequency]],LS[[#This Row],[Investor ID]])</f>
        <v>1A00194</v>
      </c>
      <c r="J23" s="8" t="str">
        <f>IF(LS[[#This Row],[B/S]]="B","BUY",(IF(LS[[#This Row],[B/S]]="S","SELL"," ")))</f>
        <v>BUY</v>
      </c>
      <c r="K23" s="8" t="s">
        <v>301</v>
      </c>
      <c r="L23" s="10">
        <v>1000000</v>
      </c>
      <c r="M23" s="10"/>
      <c r="N23" s="168">
        <f>LS[[#This Row],[Amount]]/LS[[#This Row],[Unit]]</f>
        <v>10</v>
      </c>
      <c r="O23" s="11">
        <f t="shared" si="0"/>
        <v>100000</v>
      </c>
      <c r="P23" s="11">
        <f>SUMIFS(LS[[#Headers],[Unit]]:LS[[#This Row],[Unit]],LS[[#Headers],[Investor ID]]:LS[[#This Row],[Investor ID]],LS[[#This Row],[Investor ID]])</f>
        <v>100000</v>
      </c>
      <c r="Q23" s="10">
        <v>1000000</v>
      </c>
      <c r="R23" s="6">
        <f>LS[[#This Row],[Amount]]-LS[[#This Row],[Unit Capital]]</f>
        <v>0</v>
      </c>
      <c r="S2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3" s="168">
        <f t="shared" si="1"/>
        <v>12.552</v>
      </c>
      <c r="U2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3" s="10" cm="1">
        <f t="array" ref="V23">IF(LS[[#This Row],[B/S]]="S",ABS(LS[[#This Row],[Unit]])*(INDEX(LS[NAV at Cost (Average)],MATCH(CONCATENATE((LS[[#This Row],[Frequency]]-1),LS[[#This Row],[Investor ID]]),LS[Unique Code],0),0)),0)</f>
        <v>0</v>
      </c>
      <c r="W23" s="10">
        <f>IF(LS[[#This Row],[BO Transfer]]="YES",LS[[#This Row],[Unit]],)</f>
        <v>0</v>
      </c>
      <c r="X23" s="3">
        <f>SUMIFS(LS[[#Headers],[BO UNIT TRANSFER]]:LS[[#This Row],[BO UNIT TRANSFER]],LS[[#Headers],[Investor ID]]:LS[[#This Row],[Investor ID]],LS[[#This Row],[Investor ID]])</f>
        <v>0</v>
      </c>
    </row>
    <row r="24" spans="2:24">
      <c r="B24" s="8">
        <v>2022</v>
      </c>
      <c r="C24" s="8">
        <v>1</v>
      </c>
      <c r="D24" s="8">
        <v>16</v>
      </c>
      <c r="E24" s="291">
        <f>DATE(LS[[#This Row],[Year]],LS[[#This Row],[Month]],LS[[#This Row],[Day]])</f>
        <v>44577</v>
      </c>
      <c r="F24" t="str" cm="1">
        <f t="array" ref="F24">INDEX(INVESTORS_LIST[INVESTOR NAME],MATCH(LS[[#This Row],[Investor ID]],INVESTORS_LIST[INVESTOR CODE],0),)</f>
        <v>MD. SAIFUR RAHMAN</v>
      </c>
      <c r="G24" s="19" t="s">
        <v>156</v>
      </c>
      <c r="H24" s="8">
        <f>COUNTIF(LS[[#Headers],[Investor ID]]:LS[[#This Row],[Investor ID]],LS[[#This Row],[Investor ID]])</f>
        <v>1</v>
      </c>
      <c r="I24" s="8" t="str">
        <f>CONCATENATE(LS[[#This Row],[Frequency]],LS[[#This Row],[Investor ID]])</f>
        <v>1A00123</v>
      </c>
      <c r="J24" s="8" t="str">
        <f>IF(LS[[#This Row],[B/S]]="B","BUY",(IF(LS[[#This Row],[B/S]]="S","SELL"," ")))</f>
        <v>BUY</v>
      </c>
      <c r="K24" s="8" t="s">
        <v>301</v>
      </c>
      <c r="L24" s="10">
        <v>1000000</v>
      </c>
      <c r="M24" s="10"/>
      <c r="N24" s="168">
        <f>LS[[#This Row],[Amount]]/LS[[#This Row],[Unit]]</f>
        <v>10</v>
      </c>
      <c r="O24" s="11">
        <f t="shared" si="0"/>
        <v>100000</v>
      </c>
      <c r="P24" s="11">
        <f>SUMIFS(LS[[#Headers],[Unit]]:LS[[#This Row],[Unit]],LS[[#Headers],[Investor ID]]:LS[[#This Row],[Investor ID]],LS[[#This Row],[Investor ID]])</f>
        <v>100000</v>
      </c>
      <c r="Q24" s="10">
        <v>1000000</v>
      </c>
      <c r="R24" s="6">
        <f>LS[[#This Row],[Amount]]-LS[[#This Row],[Unit Capital]]</f>
        <v>0</v>
      </c>
      <c r="S2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4" s="168">
        <f t="shared" si="1"/>
        <v>12.552</v>
      </c>
      <c r="U2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4" s="10" cm="1">
        <f t="array" ref="V24">IF(LS[[#This Row],[B/S]]="S",ABS(LS[[#This Row],[Unit]])*(INDEX(LS[NAV at Cost (Average)],MATCH(CONCATENATE((LS[[#This Row],[Frequency]]-1),LS[[#This Row],[Investor ID]]),LS[Unique Code],0),0)),0)</f>
        <v>0</v>
      </c>
      <c r="W24" s="10">
        <f>IF(LS[[#This Row],[BO Transfer]]="YES",LS[[#This Row],[Unit]],)</f>
        <v>0</v>
      </c>
      <c r="X24" s="3">
        <f>SUMIFS(LS[[#Headers],[BO UNIT TRANSFER]]:LS[[#This Row],[BO UNIT TRANSFER]],LS[[#Headers],[Investor ID]]:LS[[#This Row],[Investor ID]],LS[[#This Row],[Investor ID]])</f>
        <v>0</v>
      </c>
    </row>
    <row r="25" spans="2:24">
      <c r="B25" s="8">
        <v>2022</v>
      </c>
      <c r="C25" s="8">
        <v>1</v>
      </c>
      <c r="D25" s="8">
        <v>17</v>
      </c>
      <c r="E25" s="291">
        <f>DATE(LS[[#This Row],[Year]],LS[[#This Row],[Month]],LS[[#This Row],[Day]])</f>
        <v>44578</v>
      </c>
      <c r="F25" t="str" cm="1">
        <f t="array" ref="F25">INDEX(INVESTORS_LIST[INVESTOR NAME],MATCH(LS[[#This Row],[Investor ID]],INVESTORS_LIST[INVESTOR CODE],0),)</f>
        <v>JHARNA AHMED</v>
      </c>
      <c r="G25" s="19" t="s">
        <v>337</v>
      </c>
      <c r="H25" s="8">
        <f>COUNTIF(LS[[#Headers],[Investor ID]]:LS[[#This Row],[Investor ID]],LS[[#This Row],[Investor ID]])</f>
        <v>1</v>
      </c>
      <c r="I25" s="8" t="str">
        <f>CONCATENATE(LS[[#This Row],[Frequency]],LS[[#This Row],[Investor ID]])</f>
        <v>1A00240</v>
      </c>
      <c r="J25" s="8" t="str">
        <f>IF(LS[[#This Row],[B/S]]="B","BUY",(IF(LS[[#This Row],[B/S]]="S","SELL"," ")))</f>
        <v>BUY</v>
      </c>
      <c r="K25" s="8" t="s">
        <v>301</v>
      </c>
      <c r="L25" s="10">
        <v>500000</v>
      </c>
      <c r="M25" s="10"/>
      <c r="N25" s="168">
        <f>LS[[#This Row],[Amount]]/LS[[#This Row],[Unit]]</f>
        <v>10</v>
      </c>
      <c r="O25" s="11">
        <f t="shared" si="0"/>
        <v>50000</v>
      </c>
      <c r="P25" s="11">
        <f>SUMIFS(LS[[#Headers],[Unit]]:LS[[#This Row],[Unit]],LS[[#Headers],[Investor ID]]:LS[[#This Row],[Investor ID]],LS[[#This Row],[Investor ID]])</f>
        <v>50000</v>
      </c>
      <c r="Q25" s="10">
        <v>500000</v>
      </c>
      <c r="R25" s="6">
        <f>LS[[#This Row],[Amount]]-LS[[#This Row],[Unit Capital]]</f>
        <v>0</v>
      </c>
      <c r="S2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5" s="168">
        <f t="shared" si="1"/>
        <v>12.552</v>
      </c>
      <c r="U2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5" s="10" cm="1">
        <f t="array" ref="V25">IF(LS[[#This Row],[B/S]]="S",ABS(LS[[#This Row],[Unit]])*(INDEX(LS[NAV at Cost (Average)],MATCH(CONCATENATE((LS[[#This Row],[Frequency]]-1),LS[[#This Row],[Investor ID]]),LS[Unique Code],0),0)),0)</f>
        <v>0</v>
      </c>
      <c r="W25" s="10">
        <f>IF(LS[[#This Row],[BO Transfer]]="YES",LS[[#This Row],[Unit]],)</f>
        <v>0</v>
      </c>
      <c r="X25" s="3">
        <f>SUMIFS(LS[[#Headers],[BO UNIT TRANSFER]]:LS[[#This Row],[BO UNIT TRANSFER]],LS[[#Headers],[Investor ID]]:LS[[#This Row],[Investor ID]],LS[[#This Row],[Investor ID]])</f>
        <v>0</v>
      </c>
    </row>
    <row r="26" spans="2:24">
      <c r="B26" s="8">
        <v>2022</v>
      </c>
      <c r="C26" s="8">
        <v>1</v>
      </c>
      <c r="D26" s="8">
        <v>17</v>
      </c>
      <c r="E26" s="291">
        <f>DATE(LS[[#This Row],[Year]],LS[[#This Row],[Month]],LS[[#This Row],[Day]])</f>
        <v>44578</v>
      </c>
      <c r="F26" t="str" cm="1">
        <f t="array" ref="F26">INDEX(INVESTORS_LIST[INVESTOR NAME],MATCH(LS[[#This Row],[Investor ID]],INVESTORS_LIST[INVESTOR CODE],0),)</f>
        <v>M.A. MALEK SIDDIQUE WALI &amp; CO.</v>
      </c>
      <c r="G26" s="19" t="s">
        <v>580</v>
      </c>
      <c r="H26" s="8">
        <f>COUNTIF(LS[[#Headers],[Investor ID]]:LS[[#This Row],[Investor ID]],LS[[#This Row],[Investor ID]])</f>
        <v>1</v>
      </c>
      <c r="I26" s="8" t="str">
        <f>CONCATENATE(LS[[#This Row],[Frequency]],LS[[#This Row],[Investor ID]])</f>
        <v>1A00327</v>
      </c>
      <c r="J26" s="8" t="str">
        <f>IF(LS[[#This Row],[B/S]]="B","BUY",(IF(LS[[#This Row],[B/S]]="S","SELL"," ")))</f>
        <v>BUY</v>
      </c>
      <c r="K26" s="8" t="s">
        <v>301</v>
      </c>
      <c r="L26" s="10">
        <v>300000</v>
      </c>
      <c r="M26" s="10"/>
      <c r="N26" s="168">
        <f>LS[[#This Row],[Amount]]/LS[[#This Row],[Unit]]</f>
        <v>10</v>
      </c>
      <c r="O26" s="11">
        <f t="shared" si="0"/>
        <v>30000</v>
      </c>
      <c r="P26" s="11">
        <f>SUMIFS(LS[[#Headers],[Unit]]:LS[[#This Row],[Unit]],LS[[#Headers],[Investor ID]]:LS[[#This Row],[Investor ID]],LS[[#This Row],[Investor ID]])</f>
        <v>30000</v>
      </c>
      <c r="Q26" s="10">
        <v>300000</v>
      </c>
      <c r="R26" s="6">
        <f>LS[[#This Row],[Amount]]-LS[[#This Row],[Unit Capital]]</f>
        <v>0</v>
      </c>
      <c r="S2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6" s="168">
        <f t="shared" si="1"/>
        <v>12.552</v>
      </c>
      <c r="U2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6" s="10" cm="1">
        <f t="array" ref="V26">IF(LS[[#This Row],[B/S]]="S",ABS(LS[[#This Row],[Unit]])*(INDEX(LS[NAV at Cost (Average)],MATCH(CONCATENATE((LS[[#This Row],[Frequency]]-1),LS[[#This Row],[Investor ID]]),LS[Unique Code],0),0)),0)</f>
        <v>0</v>
      </c>
      <c r="W26" s="10">
        <f>IF(LS[[#This Row],[BO Transfer]]="YES",LS[[#This Row],[Unit]],)</f>
        <v>0</v>
      </c>
      <c r="X26" s="3">
        <f>SUMIFS(LS[[#Headers],[BO UNIT TRANSFER]]:LS[[#This Row],[BO UNIT TRANSFER]],LS[[#Headers],[Investor ID]]:LS[[#This Row],[Investor ID]],LS[[#This Row],[Investor ID]])</f>
        <v>0</v>
      </c>
    </row>
    <row r="27" spans="2:24">
      <c r="B27" s="8">
        <v>2022</v>
      </c>
      <c r="C27" s="8">
        <v>1</v>
      </c>
      <c r="D27" s="8">
        <v>18</v>
      </c>
      <c r="E27" s="291">
        <f>DATE(LS[[#This Row],[Year]],LS[[#This Row],[Month]],LS[[#This Row],[Day]])</f>
        <v>44579</v>
      </c>
      <c r="F27" t="str" cm="1">
        <f t="array" ref="F27">INDEX(INVESTORS_LIST[INVESTOR NAME],MATCH(LS[[#This Row],[Investor ID]],INVESTORS_LIST[INVESTOR CODE],0),)</f>
        <v>SULTANA RAZIA</v>
      </c>
      <c r="G27" s="19" t="s">
        <v>320</v>
      </c>
      <c r="H27" s="8">
        <f>COUNTIF(LS[[#Headers],[Investor ID]]:LS[[#This Row],[Investor ID]],LS[[#This Row],[Investor ID]])</f>
        <v>1</v>
      </c>
      <c r="I27" s="8" t="str">
        <f>CONCATENATE(LS[[#This Row],[Frequency]],LS[[#This Row],[Investor ID]])</f>
        <v>1A00231</v>
      </c>
      <c r="J27" s="8" t="str">
        <f>IF(LS[[#This Row],[B/S]]="B","BUY",(IF(LS[[#This Row],[B/S]]="S","SELL"," ")))</f>
        <v>BUY</v>
      </c>
      <c r="K27" s="8" t="s">
        <v>301</v>
      </c>
      <c r="L27" s="10">
        <v>700000</v>
      </c>
      <c r="M27" s="10"/>
      <c r="N27" s="168">
        <f>LS[[#This Row],[Amount]]/LS[[#This Row],[Unit]]</f>
        <v>10</v>
      </c>
      <c r="O27" s="11">
        <f t="shared" si="0"/>
        <v>70000</v>
      </c>
      <c r="P27" s="11">
        <f>SUMIFS(LS[[#Headers],[Unit]]:LS[[#This Row],[Unit]],LS[[#Headers],[Investor ID]]:LS[[#This Row],[Investor ID]],LS[[#This Row],[Investor ID]])</f>
        <v>70000</v>
      </c>
      <c r="Q27" s="10">
        <v>700000</v>
      </c>
      <c r="R27" s="6">
        <f>LS[[#This Row],[Amount]]-LS[[#This Row],[Unit Capital]]</f>
        <v>0</v>
      </c>
      <c r="S2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7" s="168">
        <f t="shared" si="1"/>
        <v>12.552</v>
      </c>
      <c r="U2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7" s="10" cm="1">
        <f t="array" ref="V27">IF(LS[[#This Row],[B/S]]="S",ABS(LS[[#This Row],[Unit]])*(INDEX(LS[NAV at Cost (Average)],MATCH(CONCATENATE((LS[[#This Row],[Frequency]]-1),LS[[#This Row],[Investor ID]]),LS[Unique Code],0),0)),0)</f>
        <v>0</v>
      </c>
      <c r="W27" s="10">
        <f>IF(LS[[#This Row],[BO Transfer]]="YES",LS[[#This Row],[Unit]],)</f>
        <v>0</v>
      </c>
      <c r="X27" s="3">
        <f>SUMIFS(LS[[#Headers],[BO UNIT TRANSFER]]:LS[[#This Row],[BO UNIT TRANSFER]],LS[[#Headers],[Investor ID]]:LS[[#This Row],[Investor ID]],LS[[#This Row],[Investor ID]])</f>
        <v>0</v>
      </c>
    </row>
    <row r="28" spans="2:24">
      <c r="B28" s="8">
        <v>2022</v>
      </c>
      <c r="C28" s="8">
        <v>1</v>
      </c>
      <c r="D28" s="8">
        <v>19</v>
      </c>
      <c r="E28" s="291">
        <f>DATE(LS[[#This Row],[Year]],LS[[#This Row],[Month]],LS[[#This Row],[Day]])</f>
        <v>44580</v>
      </c>
      <c r="F28" t="str" cm="1">
        <f t="array" ref="F28">INDEX(INVESTORS_LIST[INVESTOR NAME],MATCH(LS[[#This Row],[Investor ID]],INVESTORS_LIST[INVESTOR CODE],0),)</f>
        <v>BISWAS ARIFUR RAHMAN</v>
      </c>
      <c r="G28" s="19" t="s">
        <v>14</v>
      </c>
      <c r="H28" s="8">
        <f>COUNTIF(LS[[#Headers],[Investor ID]]:LS[[#This Row],[Investor ID]],LS[[#This Row],[Investor ID]])</f>
        <v>1</v>
      </c>
      <c r="I28" s="8" t="str">
        <f>CONCATENATE(LS[[#This Row],[Frequency]],LS[[#This Row],[Investor ID]])</f>
        <v>1A00007</v>
      </c>
      <c r="J28" s="8" t="str">
        <f>IF(LS[[#This Row],[B/S]]="B","BUY",(IF(LS[[#This Row],[B/S]]="S","SELL"," ")))</f>
        <v>BUY</v>
      </c>
      <c r="K28" s="8" t="s">
        <v>301</v>
      </c>
      <c r="L28" s="10">
        <v>200000</v>
      </c>
      <c r="M28" s="10"/>
      <c r="N28" s="168">
        <f>LS[[#This Row],[Amount]]/LS[[#This Row],[Unit]]</f>
        <v>10</v>
      </c>
      <c r="O28" s="11">
        <f t="shared" si="0"/>
        <v>20000</v>
      </c>
      <c r="P28" s="11">
        <f>SUMIFS(LS[[#Headers],[Unit]]:LS[[#This Row],[Unit]],LS[[#Headers],[Investor ID]]:LS[[#This Row],[Investor ID]],LS[[#This Row],[Investor ID]])</f>
        <v>20000</v>
      </c>
      <c r="Q28" s="10">
        <v>200000</v>
      </c>
      <c r="R28" s="6">
        <f>LS[[#This Row],[Amount]]-LS[[#This Row],[Unit Capital]]</f>
        <v>0</v>
      </c>
      <c r="S2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8" s="168">
        <f t="shared" si="1"/>
        <v>12.552</v>
      </c>
      <c r="U2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8" s="10" cm="1">
        <f t="array" ref="V28">IF(LS[[#This Row],[B/S]]="S",ABS(LS[[#This Row],[Unit]])*(INDEX(LS[NAV at Cost (Average)],MATCH(CONCATENATE((LS[[#This Row],[Frequency]]-1),LS[[#This Row],[Investor ID]]),LS[Unique Code],0),0)),0)</f>
        <v>0</v>
      </c>
      <c r="W28" s="10">
        <f>IF(LS[[#This Row],[BO Transfer]]="YES",LS[[#This Row],[Unit]],)</f>
        <v>0</v>
      </c>
      <c r="X28" s="3">
        <f>SUMIFS(LS[[#Headers],[BO UNIT TRANSFER]]:LS[[#This Row],[BO UNIT TRANSFER]],LS[[#Headers],[Investor ID]]:LS[[#This Row],[Investor ID]],LS[[#This Row],[Investor ID]])</f>
        <v>0</v>
      </c>
    </row>
    <row r="29" spans="2:24">
      <c r="B29" s="8">
        <v>2022</v>
      </c>
      <c r="C29" s="8">
        <v>1</v>
      </c>
      <c r="D29" s="8">
        <v>20</v>
      </c>
      <c r="E29" s="291">
        <f>DATE(LS[[#This Row],[Year]],LS[[#This Row],[Month]],LS[[#This Row],[Day]])</f>
        <v>44581</v>
      </c>
      <c r="F29" t="str" cm="1">
        <f t="array" ref="F29">INDEX(INVESTORS_LIST[INVESTOR NAME],MATCH(LS[[#This Row],[Investor ID]],INVESTORS_LIST[INVESTOR CODE],0),)</f>
        <v>AMIT KANTI SARKER</v>
      </c>
      <c r="G29" s="19" t="s">
        <v>191</v>
      </c>
      <c r="H29" s="8">
        <f>COUNTIF(LS[[#Headers],[Investor ID]]:LS[[#This Row],[Investor ID]],LS[[#This Row],[Investor ID]])</f>
        <v>1</v>
      </c>
      <c r="I29" s="8" t="str">
        <f>CONCATENATE(LS[[#This Row],[Frequency]],LS[[#This Row],[Investor ID]])</f>
        <v>1A00158</v>
      </c>
      <c r="J29" s="8" t="str">
        <f>IF(LS[[#This Row],[B/S]]="B","BUY",(IF(LS[[#This Row],[B/S]]="S","SELL"," ")))</f>
        <v>BUY</v>
      </c>
      <c r="K29" s="8" t="s">
        <v>301</v>
      </c>
      <c r="L29" s="10">
        <v>1000000</v>
      </c>
      <c r="M29" s="10"/>
      <c r="N29" s="168">
        <f>LS[[#This Row],[Amount]]/LS[[#This Row],[Unit]]</f>
        <v>10</v>
      </c>
      <c r="O29" s="11">
        <f t="shared" si="0"/>
        <v>100000</v>
      </c>
      <c r="P29" s="11">
        <f>SUMIFS(LS[[#Headers],[Unit]]:LS[[#This Row],[Unit]],LS[[#Headers],[Investor ID]]:LS[[#This Row],[Investor ID]],LS[[#This Row],[Investor ID]])</f>
        <v>100000</v>
      </c>
      <c r="Q29" s="10">
        <v>1000000</v>
      </c>
      <c r="R29" s="6">
        <f>LS[[#This Row],[Amount]]-LS[[#This Row],[Unit Capital]]</f>
        <v>0</v>
      </c>
      <c r="S2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9" s="168">
        <f t="shared" si="1"/>
        <v>12.552</v>
      </c>
      <c r="U2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9" s="10" cm="1">
        <f t="array" ref="V29">IF(LS[[#This Row],[B/S]]="S",ABS(LS[[#This Row],[Unit]])*(INDEX(LS[NAV at Cost (Average)],MATCH(CONCATENATE((LS[[#This Row],[Frequency]]-1),LS[[#This Row],[Investor ID]]),LS[Unique Code],0),0)),0)</f>
        <v>0</v>
      </c>
      <c r="W29" s="10">
        <f>IF(LS[[#This Row],[BO Transfer]]="YES",LS[[#This Row],[Unit]],)</f>
        <v>0</v>
      </c>
      <c r="X29" s="3">
        <f>SUMIFS(LS[[#Headers],[BO UNIT TRANSFER]]:LS[[#This Row],[BO UNIT TRANSFER]],LS[[#Headers],[Investor ID]]:LS[[#This Row],[Investor ID]],LS[[#This Row],[Investor ID]])</f>
        <v>0</v>
      </c>
    </row>
    <row r="30" spans="2:24">
      <c r="B30" s="8">
        <v>2022</v>
      </c>
      <c r="C30" s="8">
        <v>1</v>
      </c>
      <c r="D30" s="8">
        <v>20</v>
      </c>
      <c r="E30" s="291">
        <f>DATE(LS[[#This Row],[Year]],LS[[#This Row],[Month]],LS[[#This Row],[Day]])</f>
        <v>44581</v>
      </c>
      <c r="F30" t="str" cm="1">
        <f t="array" ref="F30">INDEX(INVESTORS_LIST[INVESTOR NAME],MATCH(LS[[#This Row],[Investor ID]],INVESTORS_LIST[INVESTOR CODE],0),)</f>
        <v>MD KAMRUL ISLAM</v>
      </c>
      <c r="G30" s="19" t="s">
        <v>221</v>
      </c>
      <c r="H30" s="8">
        <f>COUNTIF(LS[[#Headers],[Investor ID]]:LS[[#This Row],[Investor ID]],LS[[#This Row],[Investor ID]])</f>
        <v>1</v>
      </c>
      <c r="I30" s="8" t="str">
        <f>CONCATENATE(LS[[#This Row],[Frequency]],LS[[#This Row],[Investor ID]])</f>
        <v>1A00189</v>
      </c>
      <c r="J30" s="8" t="str">
        <f>IF(LS[[#This Row],[B/S]]="B","BUY",(IF(LS[[#This Row],[B/S]]="S","SELL"," ")))</f>
        <v>BUY</v>
      </c>
      <c r="K30" s="8" t="s">
        <v>301</v>
      </c>
      <c r="L30" s="10">
        <v>500000</v>
      </c>
      <c r="M30" s="10"/>
      <c r="N30" s="168">
        <f>LS[[#This Row],[Amount]]/LS[[#This Row],[Unit]]</f>
        <v>10</v>
      </c>
      <c r="O30" s="11">
        <f t="shared" si="0"/>
        <v>50000</v>
      </c>
      <c r="P30" s="11">
        <f>SUMIFS(LS[[#Headers],[Unit]]:LS[[#This Row],[Unit]],LS[[#Headers],[Investor ID]]:LS[[#This Row],[Investor ID]],LS[[#This Row],[Investor ID]])</f>
        <v>50000</v>
      </c>
      <c r="Q30" s="10">
        <v>500000</v>
      </c>
      <c r="R30" s="6">
        <f>LS[[#This Row],[Amount]]-LS[[#This Row],[Unit Capital]]</f>
        <v>0</v>
      </c>
      <c r="S3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0" s="168">
        <f t="shared" si="1"/>
        <v>12.552</v>
      </c>
      <c r="U3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0" s="10" cm="1">
        <f t="array" ref="V30">IF(LS[[#This Row],[B/S]]="S",ABS(LS[[#This Row],[Unit]])*(INDEX(LS[NAV at Cost (Average)],MATCH(CONCATENATE((LS[[#This Row],[Frequency]]-1),LS[[#This Row],[Investor ID]]),LS[Unique Code],0),0)),0)</f>
        <v>0</v>
      </c>
      <c r="W30" s="10">
        <f>IF(LS[[#This Row],[BO Transfer]]="YES",LS[[#This Row],[Unit]],)</f>
        <v>0</v>
      </c>
      <c r="X30" s="3">
        <f>SUMIFS(LS[[#Headers],[BO UNIT TRANSFER]]:LS[[#This Row],[BO UNIT TRANSFER]],LS[[#Headers],[Investor ID]]:LS[[#This Row],[Investor ID]],LS[[#This Row],[Investor ID]])</f>
        <v>0</v>
      </c>
    </row>
    <row r="31" spans="2:24">
      <c r="B31" s="8">
        <v>2022</v>
      </c>
      <c r="C31" s="8">
        <v>1</v>
      </c>
      <c r="D31" s="8">
        <v>23</v>
      </c>
      <c r="E31" s="291">
        <f>DATE(LS[[#This Row],[Year]],LS[[#This Row],[Month]],LS[[#This Row],[Day]])</f>
        <v>44584</v>
      </c>
      <c r="F31" t="str" cm="1">
        <f t="array" ref="F31">INDEX(INVESTORS_LIST[INVESTOR NAME],MATCH(LS[[#This Row],[Investor ID]],INVESTORS_LIST[INVESTOR CODE],0),)</f>
        <v>RAJIB ROY</v>
      </c>
      <c r="G31" s="19" t="s">
        <v>48</v>
      </c>
      <c r="H31" s="8">
        <f>COUNTIF(LS[[#Headers],[Investor ID]]:LS[[#This Row],[Investor ID]],LS[[#This Row],[Investor ID]])</f>
        <v>1</v>
      </c>
      <c r="I31" s="8" t="str">
        <f>CONCATENATE(LS[[#This Row],[Frequency]],LS[[#This Row],[Investor ID]])</f>
        <v>1A00041</v>
      </c>
      <c r="J31" s="8" t="str">
        <f>IF(LS[[#This Row],[B/S]]="B","BUY",(IF(LS[[#This Row],[B/S]]="S","SELL"," ")))</f>
        <v>BUY</v>
      </c>
      <c r="K31" s="8" t="s">
        <v>301</v>
      </c>
      <c r="L31" s="10">
        <v>150000</v>
      </c>
      <c r="M31" s="10"/>
      <c r="N31" s="168">
        <f>LS[[#This Row],[Amount]]/LS[[#This Row],[Unit]]</f>
        <v>10</v>
      </c>
      <c r="O31" s="11">
        <f t="shared" si="0"/>
        <v>15000</v>
      </c>
      <c r="P31" s="11">
        <f>SUMIFS(LS[[#Headers],[Unit]]:LS[[#This Row],[Unit]],LS[[#Headers],[Investor ID]]:LS[[#This Row],[Investor ID]],LS[[#This Row],[Investor ID]])</f>
        <v>15000</v>
      </c>
      <c r="Q31" s="10">
        <v>150000</v>
      </c>
      <c r="R31" s="6">
        <f>LS[[#This Row],[Amount]]-LS[[#This Row],[Unit Capital]]</f>
        <v>0</v>
      </c>
      <c r="S3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1" s="168">
        <f t="shared" si="1"/>
        <v>12.552</v>
      </c>
      <c r="U3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1" s="10" cm="1">
        <f t="array" ref="V31">IF(LS[[#This Row],[B/S]]="S",ABS(LS[[#This Row],[Unit]])*(INDEX(LS[NAV at Cost (Average)],MATCH(CONCATENATE((LS[[#This Row],[Frequency]]-1),LS[[#This Row],[Investor ID]]),LS[Unique Code],0),0)),0)</f>
        <v>0</v>
      </c>
      <c r="W31" s="10">
        <f>IF(LS[[#This Row],[BO Transfer]]="YES",LS[[#This Row],[Unit]],)</f>
        <v>0</v>
      </c>
      <c r="X31" s="3">
        <f>SUMIFS(LS[[#Headers],[BO UNIT TRANSFER]]:LS[[#This Row],[BO UNIT TRANSFER]],LS[[#Headers],[Investor ID]]:LS[[#This Row],[Investor ID]],LS[[#This Row],[Investor ID]])</f>
        <v>0</v>
      </c>
    </row>
    <row r="32" spans="2:24">
      <c r="B32" s="8">
        <v>2022</v>
      </c>
      <c r="C32" s="8">
        <v>1</v>
      </c>
      <c r="D32" s="8">
        <v>23</v>
      </c>
      <c r="E32" s="291">
        <f>DATE(LS[[#This Row],[Year]],LS[[#This Row],[Month]],LS[[#This Row],[Day]])</f>
        <v>44584</v>
      </c>
      <c r="F32" t="str" cm="1">
        <f t="array" ref="F32">INDEX(INVESTORS_LIST[INVESTOR NAME],MATCH(LS[[#This Row],[Investor ID]],INVESTORS_LIST[INVESTOR CODE],0),)</f>
        <v>MIDLAND BANK LIMITED</v>
      </c>
      <c r="G32" s="19" t="s">
        <v>282</v>
      </c>
      <c r="H32" s="8">
        <f>COUNTIF(LS[[#Headers],[Investor ID]]:LS[[#This Row],[Investor ID]],LS[[#This Row],[Investor ID]])</f>
        <v>1</v>
      </c>
      <c r="I32" s="8" t="str">
        <f>CONCATENATE(LS[[#This Row],[Frequency]],LS[[#This Row],[Investor ID]])</f>
        <v>1A00222</v>
      </c>
      <c r="J32" s="8" t="str">
        <f>IF(LS[[#This Row],[B/S]]="B","BUY",(IF(LS[[#This Row],[B/S]]="S","SELL"," ")))</f>
        <v>BUY</v>
      </c>
      <c r="K32" s="8" t="s">
        <v>301</v>
      </c>
      <c r="L32" s="10">
        <v>20000000</v>
      </c>
      <c r="M32" s="10"/>
      <c r="N32" s="168">
        <f>LS[[#This Row],[Amount]]/LS[[#This Row],[Unit]]</f>
        <v>10</v>
      </c>
      <c r="O32" s="11">
        <f t="shared" si="0"/>
        <v>2000000</v>
      </c>
      <c r="P32" s="11">
        <f>SUMIFS(LS[[#Headers],[Unit]]:LS[[#This Row],[Unit]],LS[[#Headers],[Investor ID]]:LS[[#This Row],[Investor ID]],LS[[#This Row],[Investor ID]])</f>
        <v>2000000</v>
      </c>
      <c r="Q32" s="10">
        <v>20000000</v>
      </c>
      <c r="R32" s="6">
        <f>LS[[#This Row],[Amount]]-LS[[#This Row],[Unit Capital]]</f>
        <v>0</v>
      </c>
      <c r="S3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2" s="168">
        <f t="shared" si="1"/>
        <v>12.552</v>
      </c>
      <c r="U3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2" s="10" cm="1">
        <f t="array" ref="V32">IF(LS[[#This Row],[B/S]]="S",ABS(LS[[#This Row],[Unit]])*(INDEX(LS[NAV at Cost (Average)],MATCH(CONCATENATE((LS[[#This Row],[Frequency]]-1),LS[[#This Row],[Investor ID]]),LS[Unique Code],0),0)),0)</f>
        <v>0</v>
      </c>
      <c r="W32" s="10">
        <f>IF(LS[[#This Row],[BO Transfer]]="YES",LS[[#This Row],[Unit]],)</f>
        <v>0</v>
      </c>
      <c r="X32" s="3">
        <f>SUMIFS(LS[[#Headers],[BO UNIT TRANSFER]]:LS[[#This Row],[BO UNIT TRANSFER]],LS[[#Headers],[Investor ID]]:LS[[#This Row],[Investor ID]],LS[[#This Row],[Investor ID]])</f>
        <v>0</v>
      </c>
    </row>
    <row r="33" spans="2:24">
      <c r="B33" s="8">
        <v>2022</v>
      </c>
      <c r="C33" s="8">
        <v>1</v>
      </c>
      <c r="D33" s="8">
        <v>23</v>
      </c>
      <c r="E33" s="291">
        <f>DATE(LS[[#This Row],[Year]],LS[[#This Row],[Month]],LS[[#This Row],[Day]])</f>
        <v>44584</v>
      </c>
      <c r="F33" t="str" cm="1">
        <f t="array" ref="F33">INDEX(INVESTORS_LIST[INVESTOR NAME],MATCH(LS[[#This Row],[Investor ID]],INVESTORS_LIST[INVESTOR CODE],0),)</f>
        <v>MD. ZAKIR HOSSEN</v>
      </c>
      <c r="G33" s="19" t="s">
        <v>25</v>
      </c>
      <c r="H33" s="8">
        <f>COUNTIF(LS[[#Headers],[Investor ID]]:LS[[#This Row],[Investor ID]],LS[[#This Row],[Investor ID]])</f>
        <v>2</v>
      </c>
      <c r="I33" s="8" t="str">
        <f>CONCATENATE(LS[[#This Row],[Frequency]],LS[[#This Row],[Investor ID]])</f>
        <v>2A00018</v>
      </c>
      <c r="J33" s="8" t="str">
        <f>IF(LS[[#This Row],[B/S]]="B","BUY",(IF(LS[[#This Row],[B/S]]="S","SELL"," ")))</f>
        <v>BUY</v>
      </c>
      <c r="K33" s="8" t="s">
        <v>301</v>
      </c>
      <c r="L33" s="10">
        <v>506212.5</v>
      </c>
      <c r="M33" s="10"/>
      <c r="N33" s="168">
        <f>LS[[#This Row],[Amount]]/LS[[#This Row],[Unit]]</f>
        <v>10.000049386618201</v>
      </c>
      <c r="O33" s="11">
        <f t="shared" si="0"/>
        <v>50621</v>
      </c>
      <c r="P33" s="11">
        <f>SUMIFS(LS[[#Headers],[Unit]]:LS[[#This Row],[Unit]],LS[[#Headers],[Investor ID]]:LS[[#This Row],[Investor ID]],LS[[#This Row],[Investor ID]])</f>
        <v>70866</v>
      </c>
      <c r="Q33" s="10">
        <v>506210</v>
      </c>
      <c r="R33" s="6">
        <f>LS[[#This Row],[Amount]]-LS[[#This Row],[Unit Capital]]</f>
        <v>2.5</v>
      </c>
      <c r="S3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9.9999647221516668</v>
      </c>
      <c r="T33" s="168">
        <f t="shared" si="1"/>
        <v>12.552</v>
      </c>
      <c r="U3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3" s="10" cm="1">
        <f t="array" ref="V33">IF(LS[[#This Row],[B/S]]="S",ABS(LS[[#This Row],[Unit]])*(INDEX(LS[NAV at Cost (Average)],MATCH(CONCATENATE((LS[[#This Row],[Frequency]]-1),LS[[#This Row],[Investor ID]]),LS[Unique Code],0),0)),0)</f>
        <v>0</v>
      </c>
      <c r="W33" s="10">
        <f>IF(LS[[#This Row],[BO Transfer]]="YES",LS[[#This Row],[Unit]],)</f>
        <v>0</v>
      </c>
      <c r="X33" s="3">
        <f>SUMIFS(LS[[#Headers],[BO UNIT TRANSFER]]:LS[[#This Row],[BO UNIT TRANSFER]],LS[[#Headers],[Investor ID]]:LS[[#This Row],[Investor ID]],LS[[#This Row],[Investor ID]])</f>
        <v>0</v>
      </c>
    </row>
    <row r="34" spans="2:24">
      <c r="B34" s="8">
        <v>2022</v>
      </c>
      <c r="C34" s="8">
        <v>1</v>
      </c>
      <c r="D34" s="8">
        <v>23</v>
      </c>
      <c r="E34" s="291">
        <f>DATE(LS[[#This Row],[Year]],LS[[#This Row],[Month]],LS[[#This Row],[Day]])</f>
        <v>44584</v>
      </c>
      <c r="F34" t="str" cm="1">
        <f t="array" ref="F34">INDEX(INVESTORS_LIST[INVESTOR NAME],MATCH(LS[[#This Row],[Investor ID]],INVESTORS_LIST[INVESTOR CODE],0),)</f>
        <v>RAIHAN RASHID MAJUMDAR</v>
      </c>
      <c r="G34" s="19" t="s">
        <v>216</v>
      </c>
      <c r="H34" s="8">
        <f>COUNTIF(LS[[#Headers],[Investor ID]]:LS[[#This Row],[Investor ID]],LS[[#This Row],[Investor ID]])</f>
        <v>1</v>
      </c>
      <c r="I34" s="8" t="str">
        <f>CONCATENATE(LS[[#This Row],[Frequency]],LS[[#This Row],[Investor ID]])</f>
        <v>1A00183</v>
      </c>
      <c r="J34" s="8" t="str">
        <f>IF(LS[[#This Row],[B/S]]="B","BUY",(IF(LS[[#This Row],[B/S]]="S","SELL"," ")))</f>
        <v>BUY</v>
      </c>
      <c r="K34" s="8" t="s">
        <v>301</v>
      </c>
      <c r="L34" s="10">
        <v>5000000</v>
      </c>
      <c r="M34" s="10"/>
      <c r="N34" s="168">
        <f>LS[[#This Row],[Amount]]/LS[[#This Row],[Unit]]</f>
        <v>10</v>
      </c>
      <c r="O34" s="11">
        <f t="shared" si="0"/>
        <v>500000</v>
      </c>
      <c r="P34" s="11">
        <f>SUMIFS(LS[[#Headers],[Unit]]:LS[[#This Row],[Unit]],LS[[#Headers],[Investor ID]]:LS[[#This Row],[Investor ID]],LS[[#This Row],[Investor ID]])</f>
        <v>500000</v>
      </c>
      <c r="Q34" s="10">
        <v>5000000</v>
      </c>
      <c r="R34" s="6">
        <f>LS[[#This Row],[Amount]]-LS[[#This Row],[Unit Capital]]</f>
        <v>0</v>
      </c>
      <c r="S3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4" s="168">
        <f t="shared" si="1"/>
        <v>12.552</v>
      </c>
      <c r="U3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4" s="10" cm="1">
        <f t="array" ref="V34">IF(LS[[#This Row],[B/S]]="S",ABS(LS[[#This Row],[Unit]])*(INDEX(LS[NAV at Cost (Average)],MATCH(CONCATENATE((LS[[#This Row],[Frequency]]-1),LS[[#This Row],[Investor ID]]),LS[Unique Code],0),0)),0)</f>
        <v>0</v>
      </c>
      <c r="W34" s="10">
        <f>IF(LS[[#This Row],[BO Transfer]]="YES",LS[[#This Row],[Unit]],)</f>
        <v>0</v>
      </c>
      <c r="X34" s="3">
        <f>SUMIFS(LS[[#Headers],[BO UNIT TRANSFER]]:LS[[#This Row],[BO UNIT TRANSFER]],LS[[#Headers],[Investor ID]]:LS[[#This Row],[Investor ID]],LS[[#This Row],[Investor ID]])</f>
        <v>0</v>
      </c>
    </row>
    <row r="35" spans="2:24">
      <c r="B35" s="8">
        <v>2022</v>
      </c>
      <c r="C35" s="8">
        <v>1</v>
      </c>
      <c r="D35" s="8">
        <v>23</v>
      </c>
      <c r="E35" s="291">
        <f>DATE(LS[[#This Row],[Year]],LS[[#This Row],[Month]],LS[[#This Row],[Day]])</f>
        <v>44584</v>
      </c>
      <c r="F35" t="str" cm="1">
        <f t="array" ref="F35">INDEX(INVESTORS_LIST[INVESTOR NAME],MATCH(LS[[#This Row],[Investor ID]],INVESTORS_LIST[INVESTOR CODE],0),)</f>
        <v>MOHAMMAD SAMIUL ALAM</v>
      </c>
      <c r="G35" s="19" t="s">
        <v>345</v>
      </c>
      <c r="H35" s="8">
        <f>COUNTIF(LS[[#Headers],[Investor ID]]:LS[[#This Row],[Investor ID]],LS[[#This Row],[Investor ID]])</f>
        <v>1</v>
      </c>
      <c r="I35" s="8" t="str">
        <f>CONCATENATE(LS[[#This Row],[Frequency]],LS[[#This Row],[Investor ID]])</f>
        <v>1A00244</v>
      </c>
      <c r="J35" s="8" t="str">
        <f>IF(LS[[#This Row],[B/S]]="B","BUY",(IF(LS[[#This Row],[B/S]]="S","SELL"," ")))</f>
        <v>BUY</v>
      </c>
      <c r="K35" s="8" t="s">
        <v>301</v>
      </c>
      <c r="L35" s="10">
        <v>500000</v>
      </c>
      <c r="M35" s="10"/>
      <c r="N35" s="168">
        <f>LS[[#This Row],[Amount]]/LS[[#This Row],[Unit]]</f>
        <v>10</v>
      </c>
      <c r="O35" s="11">
        <f t="shared" si="0"/>
        <v>50000</v>
      </c>
      <c r="P35" s="11">
        <f>SUMIFS(LS[[#Headers],[Unit]]:LS[[#This Row],[Unit]],LS[[#Headers],[Investor ID]]:LS[[#This Row],[Investor ID]],LS[[#This Row],[Investor ID]])</f>
        <v>50000</v>
      </c>
      <c r="Q35" s="10">
        <v>500000</v>
      </c>
      <c r="R35" s="6">
        <f>LS[[#This Row],[Amount]]-LS[[#This Row],[Unit Capital]]</f>
        <v>0</v>
      </c>
      <c r="S3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5" s="168">
        <f t="shared" si="1"/>
        <v>12.552</v>
      </c>
      <c r="U3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5" s="10" cm="1">
        <f t="array" ref="V35">IF(LS[[#This Row],[B/S]]="S",ABS(LS[[#This Row],[Unit]])*(INDEX(LS[NAV at Cost (Average)],MATCH(CONCATENATE((LS[[#This Row],[Frequency]]-1),LS[[#This Row],[Investor ID]]),LS[Unique Code],0),0)),0)</f>
        <v>0</v>
      </c>
      <c r="W35" s="10">
        <f>IF(LS[[#This Row],[BO Transfer]]="YES",LS[[#This Row],[Unit]],)</f>
        <v>0</v>
      </c>
      <c r="X35" s="3">
        <f>SUMIFS(LS[[#Headers],[BO UNIT TRANSFER]]:LS[[#This Row],[BO UNIT TRANSFER]],LS[[#Headers],[Investor ID]]:LS[[#This Row],[Investor ID]],LS[[#This Row],[Investor ID]])</f>
        <v>0</v>
      </c>
    </row>
    <row r="36" spans="2:24">
      <c r="B36" s="8">
        <v>2022</v>
      </c>
      <c r="C36" s="8">
        <v>1</v>
      </c>
      <c r="D36" s="8">
        <v>23</v>
      </c>
      <c r="E36" s="291">
        <f>DATE(LS[[#This Row],[Year]],LS[[#This Row],[Month]],LS[[#This Row],[Day]])</f>
        <v>44584</v>
      </c>
      <c r="F36" t="str" cm="1">
        <f t="array" ref="F36">INDEX(INVESTORS_LIST[INVESTOR NAME],MATCH(LS[[#This Row],[Investor ID]],INVESTORS_LIST[INVESTOR CODE],0),)</f>
        <v>MD KAMRUL ISLAM</v>
      </c>
      <c r="G36" s="19" t="s">
        <v>221</v>
      </c>
      <c r="H36" s="8">
        <f>COUNTIF(LS[[#Headers],[Investor ID]]:LS[[#This Row],[Investor ID]],LS[[#This Row],[Investor ID]])</f>
        <v>2</v>
      </c>
      <c r="I36" s="8" t="str">
        <f>CONCATENATE(LS[[#This Row],[Frequency]],LS[[#This Row],[Investor ID]])</f>
        <v>2A00189</v>
      </c>
      <c r="J36" s="8" t="str">
        <f>IF(LS[[#This Row],[B/S]]="B","BUY",(IF(LS[[#This Row],[B/S]]="S","SELL"," ")))</f>
        <v>BUY</v>
      </c>
      <c r="K36" s="8" t="s">
        <v>301</v>
      </c>
      <c r="L36" s="10">
        <v>500000</v>
      </c>
      <c r="M36" s="10"/>
      <c r="N36" s="168">
        <f>LS[[#This Row],[Amount]]/LS[[#This Row],[Unit]]</f>
        <v>10</v>
      </c>
      <c r="O36" s="11">
        <f t="shared" si="0"/>
        <v>50000</v>
      </c>
      <c r="P36" s="11">
        <f>SUMIFS(LS[[#Headers],[Unit]]:LS[[#This Row],[Unit]],LS[[#Headers],[Investor ID]]:LS[[#This Row],[Investor ID]],LS[[#This Row],[Investor ID]])</f>
        <v>100000</v>
      </c>
      <c r="Q36" s="10">
        <v>500000</v>
      </c>
      <c r="R36" s="6">
        <f>LS[[#This Row],[Amount]]-LS[[#This Row],[Unit Capital]]</f>
        <v>0</v>
      </c>
      <c r="S3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6" s="168">
        <f t="shared" si="1"/>
        <v>12.552</v>
      </c>
      <c r="U3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6" s="10" cm="1">
        <f t="array" ref="V36">IF(LS[[#This Row],[B/S]]="S",ABS(LS[[#This Row],[Unit]])*(INDEX(LS[NAV at Cost (Average)],MATCH(CONCATENATE((LS[[#This Row],[Frequency]]-1),LS[[#This Row],[Investor ID]]),LS[Unique Code],0),0)),0)</f>
        <v>0</v>
      </c>
      <c r="W36" s="10">
        <f>IF(LS[[#This Row],[BO Transfer]]="YES",LS[[#This Row],[Unit]],)</f>
        <v>0</v>
      </c>
      <c r="X36" s="3">
        <f>SUMIFS(LS[[#Headers],[BO UNIT TRANSFER]]:LS[[#This Row],[BO UNIT TRANSFER]],LS[[#Headers],[Investor ID]]:LS[[#This Row],[Investor ID]],LS[[#This Row],[Investor ID]])</f>
        <v>0</v>
      </c>
    </row>
    <row r="37" spans="2:24">
      <c r="B37" s="8">
        <v>2022</v>
      </c>
      <c r="C37" s="8">
        <v>1</v>
      </c>
      <c r="D37" s="8">
        <v>23</v>
      </c>
      <c r="E37" s="291">
        <f>DATE(LS[[#This Row],[Year]],LS[[#This Row],[Month]],LS[[#This Row],[Day]])</f>
        <v>44584</v>
      </c>
      <c r="F37" t="str" cm="1">
        <f t="array" ref="F37">INDEX(INVESTORS_LIST[INVESTOR NAME],MATCH(LS[[#This Row],[Investor ID]],INVESTORS_LIST[INVESTOR CODE],0),)</f>
        <v>MOHAMMED ALI XAHANGIR</v>
      </c>
      <c r="G37" s="19" t="s">
        <v>165</v>
      </c>
      <c r="H37" s="8">
        <f>COUNTIF(LS[[#Headers],[Investor ID]]:LS[[#This Row],[Investor ID]],LS[[#This Row],[Investor ID]])</f>
        <v>1</v>
      </c>
      <c r="I37" s="8" t="str">
        <f>CONCATENATE(LS[[#This Row],[Frequency]],LS[[#This Row],[Investor ID]])</f>
        <v>1A00132</v>
      </c>
      <c r="J37" s="8" t="str">
        <f>IF(LS[[#This Row],[B/S]]="B","BUY",(IF(LS[[#This Row],[B/S]]="S","SELL"," ")))</f>
        <v>BUY</v>
      </c>
      <c r="K37" s="8" t="s">
        <v>301</v>
      </c>
      <c r="L37" s="10">
        <v>2400000</v>
      </c>
      <c r="M37" s="10"/>
      <c r="N37" s="168">
        <f>LS[[#This Row],[Amount]]/LS[[#This Row],[Unit]]</f>
        <v>10</v>
      </c>
      <c r="O37" s="11">
        <f t="shared" si="0"/>
        <v>240000</v>
      </c>
      <c r="P37" s="11">
        <f>SUMIFS(LS[[#Headers],[Unit]]:LS[[#This Row],[Unit]],LS[[#Headers],[Investor ID]]:LS[[#This Row],[Investor ID]],LS[[#This Row],[Investor ID]])</f>
        <v>240000</v>
      </c>
      <c r="Q37" s="10">
        <v>2400000</v>
      </c>
      <c r="R37" s="6">
        <f>LS[[#This Row],[Amount]]-LS[[#This Row],[Unit Capital]]</f>
        <v>0</v>
      </c>
      <c r="S3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7" s="168">
        <f t="shared" si="1"/>
        <v>12.552</v>
      </c>
      <c r="U3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7" s="10" cm="1">
        <f t="array" ref="V37">IF(LS[[#This Row],[B/S]]="S",ABS(LS[[#This Row],[Unit]])*(INDEX(LS[NAV at Cost (Average)],MATCH(CONCATENATE((LS[[#This Row],[Frequency]]-1),LS[[#This Row],[Investor ID]]),LS[Unique Code],0),0)),0)</f>
        <v>0</v>
      </c>
      <c r="W37" s="10">
        <f>IF(LS[[#This Row],[BO Transfer]]="YES",LS[[#This Row],[Unit]],)</f>
        <v>0</v>
      </c>
      <c r="X37" s="3">
        <f>SUMIFS(LS[[#Headers],[BO UNIT TRANSFER]]:LS[[#This Row],[BO UNIT TRANSFER]],LS[[#Headers],[Investor ID]]:LS[[#This Row],[Investor ID]],LS[[#This Row],[Investor ID]])</f>
        <v>0</v>
      </c>
    </row>
    <row r="38" spans="2:24">
      <c r="B38" s="8">
        <v>2022</v>
      </c>
      <c r="C38" s="8">
        <v>1</v>
      </c>
      <c r="D38" s="8">
        <v>23</v>
      </c>
      <c r="E38" s="291">
        <f>DATE(LS[[#This Row],[Year]],LS[[#This Row],[Month]],LS[[#This Row],[Day]])</f>
        <v>44584</v>
      </c>
      <c r="F38" t="str" cm="1">
        <f t="array" ref="F38">INDEX(INVESTORS_LIST[INVESTOR NAME],MATCH(LS[[#This Row],[Investor ID]],INVESTORS_LIST[INVESTOR CODE],0),)</f>
        <v>MD MIZANUR RAHMAN</v>
      </c>
      <c r="G38" s="19" t="s">
        <v>177</v>
      </c>
      <c r="H38" s="8">
        <f>COUNTIF(LS[[#Headers],[Investor ID]]:LS[[#This Row],[Investor ID]],LS[[#This Row],[Investor ID]])</f>
        <v>3</v>
      </c>
      <c r="I38" s="8" t="str">
        <f>CONCATENATE(LS[[#This Row],[Frequency]],LS[[#This Row],[Investor ID]])</f>
        <v>3A00144</v>
      </c>
      <c r="J38" s="8" t="str">
        <f>IF(LS[[#This Row],[B/S]]="B","BUY",(IF(LS[[#This Row],[B/S]]="S","SELL"," ")))</f>
        <v>BUY</v>
      </c>
      <c r="K38" s="8" t="s">
        <v>301</v>
      </c>
      <c r="L38" s="10">
        <v>499500</v>
      </c>
      <c r="M38" s="10"/>
      <c r="N38" s="168">
        <f>LS[[#This Row],[Amount]]/LS[[#This Row],[Unit]]</f>
        <v>10</v>
      </c>
      <c r="O38" s="11">
        <f t="shared" si="0"/>
        <v>49950</v>
      </c>
      <c r="P38" s="11">
        <f>SUMIFS(LS[[#Headers],[Unit]]:LS[[#This Row],[Unit]],LS[[#Headers],[Investor ID]]:LS[[#This Row],[Investor ID]],LS[[#This Row],[Investor ID]])</f>
        <v>62650</v>
      </c>
      <c r="Q38" s="10">
        <v>499500</v>
      </c>
      <c r="R38" s="6">
        <f>LS[[#This Row],[Amount]]-LS[[#This Row],[Unit Capital]]</f>
        <v>0</v>
      </c>
      <c r="S3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8" s="168">
        <f t="shared" si="1"/>
        <v>12.552</v>
      </c>
      <c r="U3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8" s="10" cm="1">
        <f t="array" ref="V38">IF(LS[[#This Row],[B/S]]="S",ABS(LS[[#This Row],[Unit]])*(INDEX(LS[NAV at Cost (Average)],MATCH(CONCATENATE((LS[[#This Row],[Frequency]]-1),LS[[#This Row],[Investor ID]]),LS[Unique Code],0),0)),0)</f>
        <v>0</v>
      </c>
      <c r="W38" s="10">
        <f>IF(LS[[#This Row],[BO Transfer]]="YES",LS[[#This Row],[Unit]],)</f>
        <v>0</v>
      </c>
      <c r="X38" s="3">
        <f>SUMIFS(LS[[#Headers],[BO UNIT TRANSFER]]:LS[[#This Row],[BO UNIT TRANSFER]],LS[[#Headers],[Investor ID]]:LS[[#This Row],[Investor ID]],LS[[#This Row],[Investor ID]])</f>
        <v>0</v>
      </c>
    </row>
    <row r="39" spans="2:24">
      <c r="B39" s="8">
        <v>2022</v>
      </c>
      <c r="C39" s="8">
        <v>1</v>
      </c>
      <c r="D39" s="8">
        <v>24</v>
      </c>
      <c r="E39" s="291">
        <f>DATE(LS[[#This Row],[Year]],LS[[#This Row],[Month]],LS[[#This Row],[Day]])</f>
        <v>44585</v>
      </c>
      <c r="F39" t="str" cm="1">
        <f t="array" ref="F39">INDEX(INVESTORS_LIST[INVESTOR NAME],MATCH(LS[[#This Row],[Investor ID]],INVESTORS_LIST[INVESTOR CODE],0),)</f>
        <v>ABDUL HAI BHUYAN</v>
      </c>
      <c r="G39" s="19" t="s">
        <v>22</v>
      </c>
      <c r="H39" s="8">
        <f>COUNTIF(LS[[#Headers],[Investor ID]]:LS[[#This Row],[Investor ID]],LS[[#This Row],[Investor ID]])</f>
        <v>1</v>
      </c>
      <c r="I39" s="8" t="str">
        <f>CONCATENATE(LS[[#This Row],[Frequency]],LS[[#This Row],[Investor ID]])</f>
        <v>1A00015</v>
      </c>
      <c r="J39" s="8" t="str">
        <f>IF(LS[[#This Row],[B/S]]="B","BUY",(IF(LS[[#This Row],[B/S]]="S","SELL"," ")))</f>
        <v>BUY</v>
      </c>
      <c r="K39" s="8" t="s">
        <v>301</v>
      </c>
      <c r="L39" s="10">
        <v>200000</v>
      </c>
      <c r="M39" s="10"/>
      <c r="N39" s="168">
        <f>LS[[#This Row],[Amount]]/LS[[#This Row],[Unit]]</f>
        <v>10</v>
      </c>
      <c r="O39" s="11">
        <f t="shared" si="0"/>
        <v>20000</v>
      </c>
      <c r="P39" s="11">
        <f>SUMIFS(LS[[#Headers],[Unit]]:LS[[#This Row],[Unit]],LS[[#Headers],[Investor ID]]:LS[[#This Row],[Investor ID]],LS[[#This Row],[Investor ID]])</f>
        <v>20000</v>
      </c>
      <c r="Q39" s="10">
        <v>200000</v>
      </c>
      <c r="R39" s="6">
        <f>LS[[#This Row],[Amount]]-LS[[#This Row],[Unit Capital]]</f>
        <v>0</v>
      </c>
      <c r="S3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9" s="168">
        <f t="shared" si="1"/>
        <v>12.552</v>
      </c>
      <c r="U3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9" s="10" cm="1">
        <f t="array" ref="V39">IF(LS[[#This Row],[B/S]]="S",ABS(LS[[#This Row],[Unit]])*(INDEX(LS[NAV at Cost (Average)],MATCH(CONCATENATE((LS[[#This Row],[Frequency]]-1),LS[[#This Row],[Investor ID]]),LS[Unique Code],0),0)),0)</f>
        <v>0</v>
      </c>
      <c r="W39" s="10">
        <f>IF(LS[[#This Row],[BO Transfer]]="YES",LS[[#This Row],[Unit]],)</f>
        <v>0</v>
      </c>
      <c r="X39" s="3">
        <f>SUMIFS(LS[[#Headers],[BO UNIT TRANSFER]]:LS[[#This Row],[BO UNIT TRANSFER]],LS[[#Headers],[Investor ID]]:LS[[#This Row],[Investor ID]],LS[[#This Row],[Investor ID]])</f>
        <v>0</v>
      </c>
    </row>
    <row r="40" spans="2:24">
      <c r="B40" s="8">
        <v>2022</v>
      </c>
      <c r="C40" s="8">
        <v>1</v>
      </c>
      <c r="D40" s="8">
        <v>24</v>
      </c>
      <c r="E40" s="291">
        <f>DATE(LS[[#This Row],[Year]],LS[[#This Row],[Month]],LS[[#This Row],[Day]])</f>
        <v>44585</v>
      </c>
      <c r="F40" t="str" cm="1">
        <f t="array" ref="F40">INDEX(INVESTORS_LIST[INVESTOR NAME],MATCH(LS[[#This Row],[Investor ID]],INVESTORS_LIST[INVESTOR CODE],0),)</f>
        <v>MD. ALAMGIR HOSSAIN</v>
      </c>
      <c r="G40" s="19" t="s">
        <v>225</v>
      </c>
      <c r="H40" s="8">
        <f>COUNTIF(LS[[#Headers],[Investor ID]]:LS[[#This Row],[Investor ID]],LS[[#This Row],[Investor ID]])</f>
        <v>1</v>
      </c>
      <c r="I40" s="8" t="str">
        <f>CONCATENATE(LS[[#This Row],[Frequency]],LS[[#This Row],[Investor ID]])</f>
        <v>1A00191</v>
      </c>
      <c r="J40" s="8" t="str">
        <f>IF(LS[[#This Row],[B/S]]="B","BUY",(IF(LS[[#This Row],[B/S]]="S","SELL"," ")))</f>
        <v>BUY</v>
      </c>
      <c r="K40" s="8" t="s">
        <v>301</v>
      </c>
      <c r="L40" s="10">
        <v>1200000</v>
      </c>
      <c r="M40" s="10"/>
      <c r="N40" s="168">
        <f>LS[[#This Row],[Amount]]/LS[[#This Row],[Unit]]</f>
        <v>10</v>
      </c>
      <c r="O40" s="11">
        <f t="shared" si="0"/>
        <v>120000</v>
      </c>
      <c r="P40" s="11">
        <f>SUMIFS(LS[[#Headers],[Unit]]:LS[[#This Row],[Unit]],LS[[#Headers],[Investor ID]]:LS[[#This Row],[Investor ID]],LS[[#This Row],[Investor ID]])</f>
        <v>120000</v>
      </c>
      <c r="Q40" s="10">
        <v>1200000</v>
      </c>
      <c r="R40" s="6">
        <f>LS[[#This Row],[Amount]]-LS[[#This Row],[Unit Capital]]</f>
        <v>0</v>
      </c>
      <c r="S4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0" s="168">
        <f t="shared" si="1"/>
        <v>12.552</v>
      </c>
      <c r="U4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0" s="10" cm="1">
        <f t="array" ref="V40">IF(LS[[#This Row],[B/S]]="S",ABS(LS[[#This Row],[Unit]])*(INDEX(LS[NAV at Cost (Average)],MATCH(CONCATENATE((LS[[#This Row],[Frequency]]-1),LS[[#This Row],[Investor ID]]),LS[Unique Code],0),0)),0)</f>
        <v>0</v>
      </c>
      <c r="W40" s="10">
        <f>IF(LS[[#This Row],[BO Transfer]]="YES",LS[[#This Row],[Unit]],)</f>
        <v>0</v>
      </c>
      <c r="X40" s="3">
        <f>SUMIFS(LS[[#Headers],[BO UNIT TRANSFER]]:LS[[#This Row],[BO UNIT TRANSFER]],LS[[#Headers],[Investor ID]]:LS[[#This Row],[Investor ID]],LS[[#This Row],[Investor ID]])</f>
        <v>0</v>
      </c>
    </row>
    <row r="41" spans="2:24">
      <c r="B41" s="8">
        <v>2022</v>
      </c>
      <c r="C41" s="8">
        <v>1</v>
      </c>
      <c r="D41" s="8">
        <v>24</v>
      </c>
      <c r="E41" s="291">
        <f>DATE(LS[[#This Row],[Year]],LS[[#This Row],[Month]],LS[[#This Row],[Day]])</f>
        <v>44585</v>
      </c>
      <c r="F41" t="str" cm="1">
        <f t="array" ref="F41">INDEX(INVESTORS_LIST[INVESTOR NAME],MATCH(LS[[#This Row],[Investor ID]],INVESTORS_LIST[INVESTOR CODE],0),)</f>
        <v>MD. ALAMGIR HOSSAIN</v>
      </c>
      <c r="G41" s="19" t="s">
        <v>225</v>
      </c>
      <c r="H41" s="8">
        <f>COUNTIF(LS[[#Headers],[Investor ID]]:LS[[#This Row],[Investor ID]],LS[[#This Row],[Investor ID]])</f>
        <v>2</v>
      </c>
      <c r="I41" s="8" t="str">
        <f>CONCATENATE(LS[[#This Row],[Frequency]],LS[[#This Row],[Investor ID]])</f>
        <v>2A00191</v>
      </c>
      <c r="J41" s="8" t="str">
        <f>IF(LS[[#This Row],[B/S]]="B","BUY",(IF(LS[[#This Row],[B/S]]="S","SELL"," ")))</f>
        <v>BUY</v>
      </c>
      <c r="K41" s="8" t="s">
        <v>301</v>
      </c>
      <c r="L41" s="10">
        <v>800000</v>
      </c>
      <c r="M41" s="10"/>
      <c r="N41" s="168">
        <f>LS[[#This Row],[Amount]]/LS[[#This Row],[Unit]]</f>
        <v>10</v>
      </c>
      <c r="O41" s="11">
        <f t="shared" si="0"/>
        <v>80000</v>
      </c>
      <c r="P41" s="11">
        <f>SUMIFS(LS[[#Headers],[Unit]]:LS[[#This Row],[Unit]],LS[[#Headers],[Investor ID]]:LS[[#This Row],[Investor ID]],LS[[#This Row],[Investor ID]])</f>
        <v>200000</v>
      </c>
      <c r="Q41" s="10">
        <v>800000</v>
      </c>
      <c r="R41" s="6">
        <f>LS[[#This Row],[Amount]]-LS[[#This Row],[Unit Capital]]</f>
        <v>0</v>
      </c>
      <c r="S4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1" s="168">
        <f t="shared" si="1"/>
        <v>12.552</v>
      </c>
      <c r="U4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1" s="10" cm="1">
        <f t="array" ref="V41">IF(LS[[#This Row],[B/S]]="S",ABS(LS[[#This Row],[Unit]])*(INDEX(LS[NAV at Cost (Average)],MATCH(CONCATENATE((LS[[#This Row],[Frequency]]-1),LS[[#This Row],[Investor ID]]),LS[Unique Code],0),0)),0)</f>
        <v>0</v>
      </c>
      <c r="W41" s="10">
        <f>IF(LS[[#This Row],[BO Transfer]]="YES",LS[[#This Row],[Unit]],)</f>
        <v>0</v>
      </c>
      <c r="X41" s="3">
        <f>SUMIFS(LS[[#Headers],[BO UNIT TRANSFER]]:LS[[#This Row],[BO UNIT TRANSFER]],LS[[#Headers],[Investor ID]]:LS[[#This Row],[Investor ID]],LS[[#This Row],[Investor ID]])</f>
        <v>0</v>
      </c>
    </row>
    <row r="42" spans="2:24">
      <c r="B42" s="8">
        <v>2022</v>
      </c>
      <c r="C42" s="8">
        <v>1</v>
      </c>
      <c r="D42" s="8">
        <v>24</v>
      </c>
      <c r="E42" s="291">
        <f>DATE(LS[[#This Row],[Year]],LS[[#This Row],[Month]],LS[[#This Row],[Day]])</f>
        <v>44585</v>
      </c>
      <c r="F42" t="str" cm="1">
        <f t="array" ref="F42">INDEX(INVESTORS_LIST[INVESTOR NAME],MATCH(LS[[#This Row],[Investor ID]],INVESTORS_LIST[INVESTOR CODE],0),)</f>
        <v>M A QUAYOOM</v>
      </c>
      <c r="G42" s="19" t="s">
        <v>51</v>
      </c>
      <c r="H42" s="8">
        <f>COUNTIF(LS[[#Headers],[Investor ID]]:LS[[#This Row],[Investor ID]],LS[[#This Row],[Investor ID]])</f>
        <v>1</v>
      </c>
      <c r="I42" s="8" t="str">
        <f>CONCATENATE(LS[[#This Row],[Frequency]],LS[[#This Row],[Investor ID]])</f>
        <v>1A00044</v>
      </c>
      <c r="J42" s="8" t="str">
        <f>IF(LS[[#This Row],[B/S]]="B","BUY",(IF(LS[[#This Row],[B/S]]="S","SELL"," ")))</f>
        <v>BUY</v>
      </c>
      <c r="K42" s="8" t="s">
        <v>301</v>
      </c>
      <c r="L42" s="10">
        <v>600000</v>
      </c>
      <c r="M42" s="10"/>
      <c r="N42" s="168">
        <f>LS[[#This Row],[Amount]]/LS[[#This Row],[Unit]]</f>
        <v>10</v>
      </c>
      <c r="O42" s="11">
        <f t="shared" si="0"/>
        <v>60000</v>
      </c>
      <c r="P42" s="11">
        <f>SUMIFS(LS[[#Headers],[Unit]]:LS[[#This Row],[Unit]],LS[[#Headers],[Investor ID]]:LS[[#This Row],[Investor ID]],LS[[#This Row],[Investor ID]])</f>
        <v>60000</v>
      </c>
      <c r="Q42" s="10">
        <v>600000</v>
      </c>
      <c r="R42" s="6">
        <f>LS[[#This Row],[Amount]]-LS[[#This Row],[Unit Capital]]</f>
        <v>0</v>
      </c>
      <c r="S4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2" s="168">
        <f t="shared" si="1"/>
        <v>12.552</v>
      </c>
      <c r="U4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2" s="10" cm="1">
        <f t="array" ref="V42">IF(LS[[#This Row],[B/S]]="S",ABS(LS[[#This Row],[Unit]])*(INDEX(LS[NAV at Cost (Average)],MATCH(CONCATENATE((LS[[#This Row],[Frequency]]-1),LS[[#This Row],[Investor ID]]),LS[Unique Code],0),0)),0)</f>
        <v>0</v>
      </c>
      <c r="W42" s="10">
        <f>IF(LS[[#This Row],[BO Transfer]]="YES",LS[[#This Row],[Unit]],)</f>
        <v>0</v>
      </c>
      <c r="X42" s="3">
        <f>SUMIFS(LS[[#Headers],[BO UNIT TRANSFER]]:LS[[#This Row],[BO UNIT TRANSFER]],LS[[#Headers],[Investor ID]]:LS[[#This Row],[Investor ID]],LS[[#This Row],[Investor ID]])</f>
        <v>0</v>
      </c>
    </row>
    <row r="43" spans="2:24">
      <c r="B43" s="8">
        <v>2022</v>
      </c>
      <c r="C43" s="8">
        <v>1</v>
      </c>
      <c r="D43" s="8">
        <v>24</v>
      </c>
      <c r="E43" s="291">
        <f>DATE(LS[[#This Row],[Year]],LS[[#This Row],[Month]],LS[[#This Row],[Day]])</f>
        <v>44585</v>
      </c>
      <c r="F43" t="str" cm="1">
        <f t="array" ref="F43">INDEX(INVESTORS_LIST[INVESTOR NAME],MATCH(LS[[#This Row],[Investor ID]],INVESTORS_LIST[INVESTOR CODE],0),)</f>
        <v>KANKA SAHA</v>
      </c>
      <c r="G43" s="19" t="s">
        <v>67</v>
      </c>
      <c r="H43" s="8">
        <f>COUNTIF(LS[[#Headers],[Investor ID]]:LS[[#This Row],[Investor ID]],LS[[#This Row],[Investor ID]])</f>
        <v>1</v>
      </c>
      <c r="I43" s="8" t="str">
        <f>CONCATENATE(LS[[#This Row],[Frequency]],LS[[#This Row],[Investor ID]])</f>
        <v>1A00060</v>
      </c>
      <c r="J43" s="8" t="str">
        <f>IF(LS[[#This Row],[B/S]]="B","BUY",(IF(LS[[#This Row],[B/S]]="S","SELL"," ")))</f>
        <v>BUY</v>
      </c>
      <c r="K43" s="8" t="s">
        <v>301</v>
      </c>
      <c r="L43" s="10">
        <v>500000</v>
      </c>
      <c r="M43" s="10"/>
      <c r="N43" s="168">
        <f>LS[[#This Row],[Amount]]/LS[[#This Row],[Unit]]</f>
        <v>10</v>
      </c>
      <c r="O43" s="11">
        <f t="shared" si="0"/>
        <v>50000</v>
      </c>
      <c r="P43" s="11">
        <f>SUMIFS(LS[[#Headers],[Unit]]:LS[[#This Row],[Unit]],LS[[#Headers],[Investor ID]]:LS[[#This Row],[Investor ID]],LS[[#This Row],[Investor ID]])</f>
        <v>50000</v>
      </c>
      <c r="Q43" s="10">
        <v>500000</v>
      </c>
      <c r="R43" s="6">
        <f>LS[[#This Row],[Amount]]-LS[[#This Row],[Unit Capital]]</f>
        <v>0</v>
      </c>
      <c r="S4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3" s="168">
        <f t="shared" si="1"/>
        <v>12.552</v>
      </c>
      <c r="U4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3" s="10" cm="1">
        <f t="array" ref="V43">IF(LS[[#This Row],[B/S]]="S",ABS(LS[[#This Row],[Unit]])*(INDEX(LS[NAV at Cost (Average)],MATCH(CONCATENATE((LS[[#This Row],[Frequency]]-1),LS[[#This Row],[Investor ID]]),LS[Unique Code],0),0)),0)</f>
        <v>0</v>
      </c>
      <c r="W43" s="10">
        <f>IF(LS[[#This Row],[BO Transfer]]="YES",LS[[#This Row],[Unit]],)</f>
        <v>0</v>
      </c>
      <c r="X43" s="3">
        <f>SUMIFS(LS[[#Headers],[BO UNIT TRANSFER]]:LS[[#This Row],[BO UNIT TRANSFER]],LS[[#Headers],[Investor ID]]:LS[[#This Row],[Investor ID]],LS[[#This Row],[Investor ID]])</f>
        <v>0</v>
      </c>
    </row>
    <row r="44" spans="2:24">
      <c r="B44" s="8">
        <v>2022</v>
      </c>
      <c r="C44" s="8">
        <v>1</v>
      </c>
      <c r="D44" s="8">
        <v>24</v>
      </c>
      <c r="E44" s="291">
        <f>DATE(LS[[#This Row],[Year]],LS[[#This Row],[Month]],LS[[#This Row],[Day]])</f>
        <v>44585</v>
      </c>
      <c r="F44" t="str" cm="1">
        <f t="array" ref="F44">INDEX(INVESTORS_LIST[INVESTOR NAME],MATCH(LS[[#This Row],[Investor ID]],INVESTORS_LIST[INVESTOR CODE],0),)</f>
        <v>KANKA SAHA</v>
      </c>
      <c r="G44" s="19" t="s">
        <v>67</v>
      </c>
      <c r="H44" s="8">
        <f>COUNTIF(LS[[#Headers],[Investor ID]]:LS[[#This Row],[Investor ID]],LS[[#This Row],[Investor ID]])</f>
        <v>2</v>
      </c>
      <c r="I44" s="8" t="str">
        <f>CONCATENATE(LS[[#This Row],[Frequency]],LS[[#This Row],[Investor ID]])</f>
        <v>2A00060</v>
      </c>
      <c r="J44" s="8" t="str">
        <f>IF(LS[[#This Row],[B/S]]="B","BUY",(IF(LS[[#This Row],[B/S]]="S","SELL"," ")))</f>
        <v>BUY</v>
      </c>
      <c r="K44" s="8" t="s">
        <v>301</v>
      </c>
      <c r="L44" s="10">
        <v>500000</v>
      </c>
      <c r="M44" s="10"/>
      <c r="N44" s="168">
        <f>LS[[#This Row],[Amount]]/LS[[#This Row],[Unit]]</f>
        <v>10</v>
      </c>
      <c r="O44" s="11">
        <f t="shared" si="0"/>
        <v>50000</v>
      </c>
      <c r="P44" s="11">
        <f>SUMIFS(LS[[#Headers],[Unit]]:LS[[#This Row],[Unit]],LS[[#Headers],[Investor ID]]:LS[[#This Row],[Investor ID]],LS[[#This Row],[Investor ID]])</f>
        <v>100000</v>
      </c>
      <c r="Q44" s="10">
        <v>500000</v>
      </c>
      <c r="R44" s="6">
        <f>LS[[#This Row],[Amount]]-LS[[#This Row],[Unit Capital]]</f>
        <v>0</v>
      </c>
      <c r="S4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4" s="168">
        <f t="shared" si="1"/>
        <v>12.552</v>
      </c>
      <c r="U4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4" s="10" cm="1">
        <f t="array" ref="V44">IF(LS[[#This Row],[B/S]]="S",ABS(LS[[#This Row],[Unit]])*(INDEX(LS[NAV at Cost (Average)],MATCH(CONCATENATE((LS[[#This Row],[Frequency]]-1),LS[[#This Row],[Investor ID]]),LS[Unique Code],0),0)),0)</f>
        <v>0</v>
      </c>
      <c r="W44" s="10">
        <f>IF(LS[[#This Row],[BO Transfer]]="YES",LS[[#This Row],[Unit]],)</f>
        <v>0</v>
      </c>
      <c r="X44" s="3">
        <f>SUMIFS(LS[[#Headers],[BO UNIT TRANSFER]]:LS[[#This Row],[BO UNIT TRANSFER]],LS[[#Headers],[Investor ID]]:LS[[#This Row],[Investor ID]],LS[[#This Row],[Investor ID]])</f>
        <v>0</v>
      </c>
    </row>
    <row r="45" spans="2:24">
      <c r="B45" s="8">
        <v>2022</v>
      </c>
      <c r="C45" s="8">
        <v>1</v>
      </c>
      <c r="D45" s="8">
        <v>24</v>
      </c>
      <c r="E45" s="291">
        <f>DATE(LS[[#This Row],[Year]],LS[[#This Row],[Month]],LS[[#This Row],[Day]])</f>
        <v>44585</v>
      </c>
      <c r="F45" t="str" cm="1">
        <f t="array" ref="F45">INDEX(INVESTORS_LIST[INVESTOR NAME],MATCH(LS[[#This Row],[Investor ID]],INVESTORS_LIST[INVESTOR CODE],0),)</f>
        <v>SAILENDRA SAHA</v>
      </c>
      <c r="G45" s="19" t="s">
        <v>581</v>
      </c>
      <c r="H45" s="8">
        <f>COUNTIF(LS[[#Headers],[Investor ID]]:LS[[#This Row],[Investor ID]],LS[[#This Row],[Investor ID]])</f>
        <v>1</v>
      </c>
      <c r="I45" s="8" t="str">
        <f>CONCATENATE(LS[[#This Row],[Frequency]],LS[[#This Row],[Investor ID]])</f>
        <v>1A00328</v>
      </c>
      <c r="J45" s="8" t="str">
        <f>IF(LS[[#This Row],[B/S]]="B","BUY",(IF(LS[[#This Row],[B/S]]="S","SELL"," ")))</f>
        <v>BUY</v>
      </c>
      <c r="K45" s="8" t="s">
        <v>301</v>
      </c>
      <c r="L45" s="10">
        <v>400000</v>
      </c>
      <c r="M45" s="10"/>
      <c r="N45" s="168">
        <f>LS[[#This Row],[Amount]]/LS[[#This Row],[Unit]]</f>
        <v>10</v>
      </c>
      <c r="O45" s="11">
        <f t="shared" si="0"/>
        <v>40000</v>
      </c>
      <c r="P45" s="11">
        <f>SUMIFS(LS[[#Headers],[Unit]]:LS[[#This Row],[Unit]],LS[[#Headers],[Investor ID]]:LS[[#This Row],[Investor ID]],LS[[#This Row],[Investor ID]])</f>
        <v>40000</v>
      </c>
      <c r="Q45" s="10">
        <v>400000</v>
      </c>
      <c r="R45" s="6">
        <f>LS[[#This Row],[Amount]]-LS[[#This Row],[Unit Capital]]</f>
        <v>0</v>
      </c>
      <c r="S4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5" s="168">
        <f t="shared" si="1"/>
        <v>12.552</v>
      </c>
      <c r="U4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5" s="10" cm="1">
        <f t="array" ref="V45">IF(LS[[#This Row],[B/S]]="S",ABS(LS[[#This Row],[Unit]])*(INDEX(LS[NAV at Cost (Average)],MATCH(CONCATENATE((LS[[#This Row],[Frequency]]-1),LS[[#This Row],[Investor ID]]),LS[Unique Code],0),0)),0)</f>
        <v>0</v>
      </c>
      <c r="W45" s="10">
        <f>IF(LS[[#This Row],[BO Transfer]]="YES",LS[[#This Row],[Unit]],)</f>
        <v>0</v>
      </c>
      <c r="X45" s="3">
        <f>SUMIFS(LS[[#Headers],[BO UNIT TRANSFER]]:LS[[#This Row],[BO UNIT TRANSFER]],LS[[#Headers],[Investor ID]]:LS[[#This Row],[Investor ID]],LS[[#This Row],[Investor ID]])</f>
        <v>0</v>
      </c>
    </row>
    <row r="46" spans="2:24">
      <c r="B46" s="8">
        <v>2022</v>
      </c>
      <c r="C46" s="8">
        <v>1</v>
      </c>
      <c r="D46" s="8">
        <v>25</v>
      </c>
      <c r="E46" s="291">
        <f>DATE(LS[[#This Row],[Year]],LS[[#This Row],[Month]],LS[[#This Row],[Day]])</f>
        <v>44586</v>
      </c>
      <c r="F46" t="str" cm="1">
        <f t="array" ref="F46">INDEX(INVESTORS_LIST[INVESTOR NAME],MATCH(LS[[#This Row],[Investor ID]],INVESTORS_LIST[INVESTOR CODE],0),)</f>
        <v>SHAHED UDDIN MOHAMMED PARVEZ</v>
      </c>
      <c r="G46" s="19" t="s">
        <v>597</v>
      </c>
      <c r="H46" s="8">
        <f>COUNTIF(LS[[#Headers],[Investor ID]]:LS[[#This Row],[Investor ID]],LS[[#This Row],[Investor ID]])</f>
        <v>1</v>
      </c>
      <c r="I46" s="8" t="str">
        <f>CONCATENATE(LS[[#This Row],[Frequency]],LS[[#This Row],[Investor ID]])</f>
        <v>1A00335</v>
      </c>
      <c r="J46" s="8" t="str">
        <f>IF(LS[[#This Row],[B/S]]="B","BUY",(IF(LS[[#This Row],[B/S]]="S","SELL"," ")))</f>
        <v>BUY</v>
      </c>
      <c r="K46" s="8" t="s">
        <v>301</v>
      </c>
      <c r="L46" s="10">
        <v>400000</v>
      </c>
      <c r="M46" s="10"/>
      <c r="N46" s="168">
        <f>LS[[#This Row],[Amount]]/LS[[#This Row],[Unit]]</f>
        <v>10</v>
      </c>
      <c r="O46" s="11">
        <f t="shared" si="0"/>
        <v>40000</v>
      </c>
      <c r="P46" s="11">
        <f>SUMIFS(LS[[#Headers],[Unit]]:LS[[#This Row],[Unit]],LS[[#Headers],[Investor ID]]:LS[[#This Row],[Investor ID]],LS[[#This Row],[Investor ID]])</f>
        <v>40000</v>
      </c>
      <c r="Q46" s="10">
        <v>400000</v>
      </c>
      <c r="R46" s="6">
        <f>LS[[#This Row],[Amount]]-LS[[#This Row],[Unit Capital]]</f>
        <v>0</v>
      </c>
      <c r="S4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6" s="168">
        <f t="shared" si="1"/>
        <v>12.552</v>
      </c>
      <c r="U4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6" s="10" cm="1">
        <f t="array" ref="V46">IF(LS[[#This Row],[B/S]]="S",ABS(LS[[#This Row],[Unit]])*(INDEX(LS[NAV at Cost (Average)],MATCH(CONCATENATE((LS[[#This Row],[Frequency]]-1),LS[[#This Row],[Investor ID]]),LS[Unique Code],0),0)),0)</f>
        <v>0</v>
      </c>
      <c r="W46" s="10">
        <f>IF(LS[[#This Row],[BO Transfer]]="YES",LS[[#This Row],[Unit]],)</f>
        <v>0</v>
      </c>
      <c r="X46" s="3">
        <f>SUMIFS(LS[[#Headers],[BO UNIT TRANSFER]]:LS[[#This Row],[BO UNIT TRANSFER]],LS[[#Headers],[Investor ID]]:LS[[#This Row],[Investor ID]],LS[[#This Row],[Investor ID]])</f>
        <v>0</v>
      </c>
    </row>
    <row r="47" spans="2:24">
      <c r="B47" s="8">
        <v>2022</v>
      </c>
      <c r="C47" s="8">
        <v>1</v>
      </c>
      <c r="D47" s="8">
        <v>25</v>
      </c>
      <c r="E47" s="291">
        <f>DATE(LS[[#This Row],[Year]],LS[[#This Row],[Month]],LS[[#This Row],[Day]])</f>
        <v>44586</v>
      </c>
      <c r="F47" t="str" cm="1">
        <f t="array" ref="F47">INDEX(INVESTORS_LIST[INVESTOR NAME],MATCH(LS[[#This Row],[Investor ID]],INVESTORS_LIST[INVESTOR CODE],0),)</f>
        <v>SHAHED UDDIN MOHAMMED PARVEZ</v>
      </c>
      <c r="G47" s="19" t="s">
        <v>597</v>
      </c>
      <c r="H47" s="8">
        <f>COUNTIF(LS[[#Headers],[Investor ID]]:LS[[#This Row],[Investor ID]],LS[[#This Row],[Investor ID]])</f>
        <v>2</v>
      </c>
      <c r="I47" s="8" t="str">
        <f>CONCATENATE(LS[[#This Row],[Frequency]],LS[[#This Row],[Investor ID]])</f>
        <v>2A00335</v>
      </c>
      <c r="J47" s="8" t="str">
        <f>IF(LS[[#This Row],[B/S]]="B","BUY",(IF(LS[[#This Row],[B/S]]="S","SELL"," ")))</f>
        <v>BUY</v>
      </c>
      <c r="K47" s="8" t="s">
        <v>301</v>
      </c>
      <c r="L47" s="10">
        <v>400000</v>
      </c>
      <c r="M47" s="10"/>
      <c r="N47" s="168">
        <f>LS[[#This Row],[Amount]]/LS[[#This Row],[Unit]]</f>
        <v>10</v>
      </c>
      <c r="O47" s="11">
        <f t="shared" si="0"/>
        <v>40000</v>
      </c>
      <c r="P47" s="11">
        <f>SUMIFS(LS[[#Headers],[Unit]]:LS[[#This Row],[Unit]],LS[[#Headers],[Investor ID]]:LS[[#This Row],[Investor ID]],LS[[#This Row],[Investor ID]])</f>
        <v>80000</v>
      </c>
      <c r="Q47" s="10">
        <v>400000</v>
      </c>
      <c r="R47" s="6">
        <f>LS[[#This Row],[Amount]]-LS[[#This Row],[Unit Capital]]</f>
        <v>0</v>
      </c>
      <c r="S4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7" s="168">
        <f t="shared" si="1"/>
        <v>12.552</v>
      </c>
      <c r="U4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7" s="10" cm="1">
        <f t="array" ref="V47">IF(LS[[#This Row],[B/S]]="S",ABS(LS[[#This Row],[Unit]])*(INDEX(LS[NAV at Cost (Average)],MATCH(CONCATENATE((LS[[#This Row],[Frequency]]-1),LS[[#This Row],[Investor ID]]),LS[Unique Code],0),0)),0)</f>
        <v>0</v>
      </c>
      <c r="W47" s="10">
        <f>IF(LS[[#This Row],[BO Transfer]]="YES",LS[[#This Row],[Unit]],)</f>
        <v>0</v>
      </c>
      <c r="X47" s="3">
        <f>SUMIFS(LS[[#Headers],[BO UNIT TRANSFER]]:LS[[#This Row],[BO UNIT TRANSFER]],LS[[#Headers],[Investor ID]]:LS[[#This Row],[Investor ID]],LS[[#This Row],[Investor ID]])</f>
        <v>0</v>
      </c>
    </row>
    <row r="48" spans="2:24">
      <c r="B48" s="8">
        <v>2022</v>
      </c>
      <c r="C48" s="8">
        <v>1</v>
      </c>
      <c r="D48" s="8">
        <v>25</v>
      </c>
      <c r="E48" s="291">
        <f>DATE(LS[[#This Row],[Year]],LS[[#This Row],[Month]],LS[[#This Row],[Day]])</f>
        <v>44586</v>
      </c>
      <c r="F48" t="str" cm="1">
        <f t="array" ref="F48">INDEX(INVESTORS_LIST[INVESTOR NAME],MATCH(LS[[#This Row],[Investor ID]],INVESTORS_LIST[INVESTOR CODE],0),)</f>
        <v>MD. JAHIRUL ISLAM</v>
      </c>
      <c r="G48" s="19" t="s">
        <v>570</v>
      </c>
      <c r="H48" s="8">
        <f>COUNTIF(LS[[#Headers],[Investor ID]]:LS[[#This Row],[Investor ID]],LS[[#This Row],[Investor ID]])</f>
        <v>2</v>
      </c>
      <c r="I48" s="8" t="str">
        <f>CONCATENATE(LS[[#This Row],[Frequency]],LS[[#This Row],[Investor ID]])</f>
        <v>2A00321</v>
      </c>
      <c r="J48" s="8" t="str">
        <f>IF(LS[[#This Row],[B/S]]="B","BUY",(IF(LS[[#This Row],[B/S]]="S","SELL"," ")))</f>
        <v>BUY</v>
      </c>
      <c r="K48" s="8" t="s">
        <v>301</v>
      </c>
      <c r="L48" s="10">
        <v>50000</v>
      </c>
      <c r="M48" s="10"/>
      <c r="N48" s="168">
        <f>LS[[#This Row],[Amount]]/LS[[#This Row],[Unit]]</f>
        <v>10</v>
      </c>
      <c r="O48" s="11">
        <f t="shared" si="0"/>
        <v>5000</v>
      </c>
      <c r="P48" s="11">
        <f>SUMIFS(LS[[#Headers],[Unit]]:LS[[#This Row],[Unit]],LS[[#Headers],[Investor ID]]:LS[[#This Row],[Investor ID]],LS[[#This Row],[Investor ID]])</f>
        <v>10000</v>
      </c>
      <c r="Q48" s="10">
        <v>50000</v>
      </c>
      <c r="R48" s="6">
        <f>LS[[#This Row],[Amount]]-LS[[#This Row],[Unit Capital]]</f>
        <v>0</v>
      </c>
      <c r="S4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8" s="168">
        <f t="shared" si="1"/>
        <v>12.552</v>
      </c>
      <c r="U4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8" s="10" cm="1">
        <f t="array" ref="V48">IF(LS[[#This Row],[B/S]]="S",ABS(LS[[#This Row],[Unit]])*(INDEX(LS[NAV at Cost (Average)],MATCH(CONCATENATE((LS[[#This Row],[Frequency]]-1),LS[[#This Row],[Investor ID]]),LS[Unique Code],0),0)),0)</f>
        <v>0</v>
      </c>
      <c r="W48" s="10">
        <f>IF(LS[[#This Row],[BO Transfer]]="YES",LS[[#This Row],[Unit]],)</f>
        <v>0</v>
      </c>
      <c r="X48" s="3">
        <f>SUMIFS(LS[[#Headers],[BO UNIT TRANSFER]]:LS[[#This Row],[BO UNIT TRANSFER]],LS[[#Headers],[Investor ID]]:LS[[#This Row],[Investor ID]],LS[[#This Row],[Investor ID]])</f>
        <v>0</v>
      </c>
    </row>
    <row r="49" spans="2:27">
      <c r="B49" s="8">
        <v>2022</v>
      </c>
      <c r="C49" s="8">
        <v>1</v>
      </c>
      <c r="D49" s="8">
        <v>25</v>
      </c>
      <c r="E49" s="291">
        <f>DATE(LS[[#This Row],[Year]],LS[[#This Row],[Month]],LS[[#This Row],[Day]])</f>
        <v>44586</v>
      </c>
      <c r="F49" t="str" cm="1">
        <f t="array" ref="F49">INDEX(INVESTORS_LIST[INVESTOR NAME],MATCH(LS[[#This Row],[Investor ID]],INVESTORS_LIST[INVESTOR CODE],0),)</f>
        <v>MD MIZANUR RAHMAN</v>
      </c>
      <c r="G49" s="19" t="s">
        <v>177</v>
      </c>
      <c r="H49" s="8">
        <f>COUNTIF(LS[[#Headers],[Investor ID]]:LS[[#This Row],[Investor ID]],LS[[#This Row],[Investor ID]])</f>
        <v>4</v>
      </c>
      <c r="I49" s="8" t="str">
        <f>CONCATENATE(LS[[#This Row],[Frequency]],LS[[#This Row],[Investor ID]])</f>
        <v>4A00144</v>
      </c>
      <c r="J49" s="8" t="str">
        <f>IF(LS[[#This Row],[B/S]]="B","BUY",(IF(LS[[#This Row],[B/S]]="S","SELL"," ")))</f>
        <v>BUY</v>
      </c>
      <c r="K49" s="8" t="s">
        <v>301</v>
      </c>
      <c r="L49" s="10">
        <v>200000</v>
      </c>
      <c r="M49" s="10"/>
      <c r="N49" s="168">
        <f>LS[[#This Row],[Amount]]/LS[[#This Row],[Unit]]</f>
        <v>10</v>
      </c>
      <c r="O49" s="11">
        <f t="shared" si="0"/>
        <v>20000</v>
      </c>
      <c r="P49" s="11">
        <f>SUMIFS(LS[[#Headers],[Unit]]:LS[[#This Row],[Unit]],LS[[#Headers],[Investor ID]]:LS[[#This Row],[Investor ID]],LS[[#This Row],[Investor ID]])</f>
        <v>82650</v>
      </c>
      <c r="Q49" s="10">
        <v>200000</v>
      </c>
      <c r="R49" s="6">
        <f>LS[[#This Row],[Amount]]-LS[[#This Row],[Unit Capital]]</f>
        <v>0</v>
      </c>
      <c r="S4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9" s="168">
        <f t="shared" si="1"/>
        <v>12.552</v>
      </c>
      <c r="U4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9" s="10" cm="1">
        <f t="array" ref="V49">IF(LS[[#This Row],[B/S]]="S",ABS(LS[[#This Row],[Unit]])*(INDEX(LS[NAV at Cost (Average)],MATCH(CONCATENATE((LS[[#This Row],[Frequency]]-1),LS[[#This Row],[Investor ID]]),LS[Unique Code],0),0)),0)</f>
        <v>0</v>
      </c>
      <c r="W49" s="10">
        <f>IF(LS[[#This Row],[BO Transfer]]="YES",LS[[#This Row],[Unit]],)</f>
        <v>0</v>
      </c>
      <c r="X49" s="3">
        <f>SUMIFS(LS[[#Headers],[BO UNIT TRANSFER]]:LS[[#This Row],[BO UNIT TRANSFER]],LS[[#Headers],[Investor ID]]:LS[[#This Row],[Investor ID]],LS[[#This Row],[Investor ID]])</f>
        <v>0</v>
      </c>
    </row>
    <row r="50" spans="2:27">
      <c r="B50" s="8">
        <v>2022</v>
      </c>
      <c r="C50" s="8">
        <v>1</v>
      </c>
      <c r="D50" s="8">
        <v>25</v>
      </c>
      <c r="E50" s="291">
        <f>DATE(LS[[#This Row],[Year]],LS[[#This Row],[Month]],LS[[#This Row],[Day]])</f>
        <v>44586</v>
      </c>
      <c r="F50" t="str" cm="1">
        <f t="array" ref="F50">INDEX(INVESTORS_LIST[INVESTOR NAME],MATCH(LS[[#This Row],[Investor ID]],INVESTORS_LIST[INVESTOR CODE],0),)</f>
        <v>EKUSH WEALTH MANAGEMENT LIMITED</v>
      </c>
      <c r="G50" s="19" t="s">
        <v>4</v>
      </c>
      <c r="H50" s="8">
        <f>COUNTIF(LS[[#Headers],[Investor ID]]:LS[[#This Row],[Investor ID]],LS[[#This Row],[Investor ID]])</f>
        <v>3</v>
      </c>
      <c r="I50" s="8" t="str">
        <f>CONCATENATE(LS[[#This Row],[Frequency]],LS[[#This Row],[Investor ID]])</f>
        <v>3A00003</v>
      </c>
      <c r="J50" s="8" t="str">
        <f>IF(LS[[#This Row],[B/S]]="B","BUY",(IF(LS[[#This Row],[B/S]]="S","SELL"," ")))</f>
        <v>BUY</v>
      </c>
      <c r="K50" s="8" t="s">
        <v>301</v>
      </c>
      <c r="L50" s="10">
        <v>15000000</v>
      </c>
      <c r="M50" s="10"/>
      <c r="N50" s="168">
        <f>LS[[#This Row],[Amount]]/LS[[#This Row],[Unit]]</f>
        <v>10</v>
      </c>
      <c r="O50" s="11">
        <f t="shared" si="0"/>
        <v>1500000</v>
      </c>
      <c r="P50" s="11">
        <f>SUMIFS(LS[[#Headers],[Unit]]:LS[[#This Row],[Unit]],LS[[#Headers],[Investor ID]]:LS[[#This Row],[Investor ID]],LS[[#This Row],[Investor ID]])</f>
        <v>2500100</v>
      </c>
      <c r="Q50" s="10">
        <v>15000000</v>
      </c>
      <c r="R50" s="6">
        <f>LS[[#This Row],[Amount]]-LS[[#This Row],[Unit Capital]]</f>
        <v>0</v>
      </c>
      <c r="S5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50" s="168">
        <f t="shared" si="1"/>
        <v>12.552</v>
      </c>
      <c r="U5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0" s="10" cm="1">
        <f t="array" ref="V50">IF(LS[[#This Row],[B/S]]="S",ABS(LS[[#This Row],[Unit]])*(INDEX(LS[NAV at Cost (Average)],MATCH(CONCATENATE((LS[[#This Row],[Frequency]]-1),LS[[#This Row],[Investor ID]]),LS[Unique Code],0),0)),0)</f>
        <v>0</v>
      </c>
      <c r="W50" s="10">
        <f>IF(LS[[#This Row],[BO Transfer]]="YES",LS[[#This Row],[Unit]],)</f>
        <v>0</v>
      </c>
      <c r="X50" s="3">
        <f>SUMIFS(LS[[#Headers],[BO UNIT TRANSFER]]:LS[[#This Row],[BO UNIT TRANSFER]],LS[[#Headers],[Investor ID]]:LS[[#This Row],[Investor ID]],LS[[#This Row],[Investor ID]])</f>
        <v>0</v>
      </c>
    </row>
    <row r="51" spans="2:27">
      <c r="B51" s="8">
        <v>2022</v>
      </c>
      <c r="C51" s="8">
        <v>1</v>
      </c>
      <c r="D51" s="8">
        <v>25</v>
      </c>
      <c r="E51" s="291">
        <f>DATE(LS[[#This Row],[Year]],LS[[#This Row],[Month]],LS[[#This Row],[Day]])</f>
        <v>44586</v>
      </c>
      <c r="F51" t="str" cm="1">
        <f t="array" ref="F51">INDEX(INVESTORS_LIST[INVESTOR NAME],MATCH(LS[[#This Row],[Investor ID]],INVESTORS_LIST[INVESTOR CODE],0),)</f>
        <v>RAFIQUL ANOWAR</v>
      </c>
      <c r="G51" s="19" t="s">
        <v>190</v>
      </c>
      <c r="H51" s="8">
        <f>COUNTIF(LS[[#Headers],[Investor ID]]:LS[[#This Row],[Investor ID]],LS[[#This Row],[Investor ID]])</f>
        <v>1</v>
      </c>
      <c r="I51" s="8" t="str">
        <f>CONCATENATE(LS[[#This Row],[Frequency]],LS[[#This Row],[Investor ID]])</f>
        <v>1A00157</v>
      </c>
      <c r="J51" s="8" t="str">
        <f>IF(LS[[#This Row],[B/S]]="B","BUY",(IF(LS[[#This Row],[B/S]]="S","SELL"," ")))</f>
        <v>BUY</v>
      </c>
      <c r="K51" s="8" t="s">
        <v>301</v>
      </c>
      <c r="L51" s="10">
        <v>10000000</v>
      </c>
      <c r="M51" s="10"/>
      <c r="N51" s="168">
        <f>LS[[#This Row],[Amount]]/LS[[#This Row],[Unit]]</f>
        <v>10</v>
      </c>
      <c r="O51" s="11">
        <f t="shared" si="0"/>
        <v>1000000</v>
      </c>
      <c r="P51" s="11">
        <f>SUMIFS(LS[[#Headers],[Unit]]:LS[[#This Row],[Unit]],LS[[#Headers],[Investor ID]]:LS[[#This Row],[Investor ID]],LS[[#This Row],[Investor ID]])</f>
        <v>1000000</v>
      </c>
      <c r="Q51" s="10">
        <v>10000000</v>
      </c>
      <c r="R51" s="6">
        <f>LS[[#This Row],[Amount]]-LS[[#This Row],[Unit Capital]]</f>
        <v>0</v>
      </c>
      <c r="S5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51" s="168">
        <f t="shared" si="1"/>
        <v>12.552</v>
      </c>
      <c r="U5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1" s="10" cm="1">
        <f t="array" ref="V51">IF(LS[[#This Row],[B/S]]="S",ABS(LS[[#This Row],[Unit]])*(INDEX(LS[NAV at Cost (Average)],MATCH(CONCATENATE((LS[[#This Row],[Frequency]]-1),LS[[#This Row],[Investor ID]]),LS[Unique Code],0),0)),0)</f>
        <v>0</v>
      </c>
      <c r="W51" s="10">
        <f>IF(LS[[#This Row],[BO Transfer]]="YES",LS[[#This Row],[Unit]],)</f>
        <v>0</v>
      </c>
      <c r="X51" s="3">
        <f>SUMIFS(LS[[#Headers],[BO UNIT TRANSFER]]:LS[[#This Row],[BO UNIT TRANSFER]],LS[[#Headers],[Investor ID]]:LS[[#This Row],[Investor ID]],LS[[#This Row],[Investor ID]])</f>
        <v>0</v>
      </c>
    </row>
    <row r="52" spans="2:27">
      <c r="B52" s="8">
        <v>2022</v>
      </c>
      <c r="C52" s="8">
        <v>1</v>
      </c>
      <c r="D52" s="8">
        <v>25</v>
      </c>
      <c r="E52" s="291">
        <f>DATE(LS[[#This Row],[Year]],LS[[#This Row],[Month]],LS[[#This Row],[Day]])</f>
        <v>44586</v>
      </c>
      <c r="F52" t="str" cm="1">
        <f t="array" ref="F52">INDEX(INVESTORS_LIST[INVESTOR NAME],MATCH(LS[[#This Row],[Investor ID]],INVESTORS_LIST[INVESTOR CODE],0),)</f>
        <v>SHABBIR KHAN</v>
      </c>
      <c r="G52" s="19" t="s">
        <v>702</v>
      </c>
      <c r="H52" s="8">
        <f>COUNTIF(LS[[#Headers],[Investor ID]]:LS[[#This Row],[Investor ID]],LS[[#This Row],[Investor ID]])</f>
        <v>1</v>
      </c>
      <c r="I52" s="8" t="str">
        <f>CONCATENATE(LS[[#This Row],[Frequency]],LS[[#This Row],[Investor ID]])</f>
        <v>1A00378</v>
      </c>
      <c r="J52" s="8" t="str">
        <f>IF(LS[[#This Row],[B/S]]="B","BUY",(IF(LS[[#This Row],[B/S]]="S","SELL"," ")))</f>
        <v>BUY</v>
      </c>
      <c r="K52" s="8" t="s">
        <v>301</v>
      </c>
      <c r="L52" s="10">
        <v>1000000</v>
      </c>
      <c r="M52" s="10"/>
      <c r="N52" s="168">
        <f>LS[[#This Row],[Amount]]/LS[[#This Row],[Unit]]</f>
        <v>10</v>
      </c>
      <c r="O52" s="11">
        <f t="shared" si="0"/>
        <v>100000</v>
      </c>
      <c r="P52" s="11">
        <f>SUMIFS(LS[[#Headers],[Unit]]:LS[[#This Row],[Unit]],LS[[#Headers],[Investor ID]]:LS[[#This Row],[Investor ID]],LS[[#This Row],[Investor ID]])</f>
        <v>100000</v>
      </c>
      <c r="Q52" s="10">
        <v>1000000</v>
      </c>
      <c r="R52" s="6">
        <f>LS[[#This Row],[Amount]]-LS[[#This Row],[Unit Capital]]</f>
        <v>0</v>
      </c>
      <c r="S5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52" s="168">
        <f t="shared" si="1"/>
        <v>12.552</v>
      </c>
      <c r="U5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2" s="10" cm="1">
        <f t="array" ref="V52">IF(LS[[#This Row],[B/S]]="S",ABS(LS[[#This Row],[Unit]])*(INDEX(LS[NAV at Cost (Average)],MATCH(CONCATENATE((LS[[#This Row],[Frequency]]-1),LS[[#This Row],[Investor ID]]),LS[Unique Code],0),0)),0)</f>
        <v>0</v>
      </c>
      <c r="W52" s="10">
        <f>IF(LS[[#This Row],[BO Transfer]]="YES",LS[[#This Row],[Unit]],)</f>
        <v>0</v>
      </c>
      <c r="X52" s="3">
        <f>SUMIFS(LS[[#Headers],[BO UNIT TRANSFER]]:LS[[#This Row],[BO UNIT TRANSFER]],LS[[#Headers],[Investor ID]]:LS[[#This Row],[Investor ID]],LS[[#This Row],[Investor ID]])</f>
        <v>0</v>
      </c>
    </row>
    <row r="53" spans="2:27">
      <c r="B53" s="8">
        <v>2022</v>
      </c>
      <c r="C53" s="8">
        <v>1</v>
      </c>
      <c r="D53" s="8">
        <v>25</v>
      </c>
      <c r="E53" s="291">
        <f>DATE(LS[[#This Row],[Year]],LS[[#This Row],[Month]],LS[[#This Row],[Day]])</f>
        <v>44586</v>
      </c>
      <c r="F53" t="str" cm="1">
        <f t="array" ref="F53">INDEX(INVESTORS_LIST[INVESTOR NAME],MATCH(LS[[#This Row],[Investor ID]],INVESTORS_LIST[INVESTOR CODE],0),)</f>
        <v>AMARSTOCK LTD. EMP. PF.</v>
      </c>
      <c r="G53" s="19" t="s">
        <v>700</v>
      </c>
      <c r="H53" s="8">
        <f>COUNTIF(LS[[#Headers],[Investor ID]]:LS[[#This Row],[Investor ID]],LS[[#This Row],[Investor ID]])</f>
        <v>1</v>
      </c>
      <c r="I53" s="8" t="str">
        <f>CONCATENATE(LS[[#This Row],[Frequency]],LS[[#This Row],[Investor ID]])</f>
        <v>1A00377</v>
      </c>
      <c r="J53" s="8" t="str">
        <f>IF(LS[[#This Row],[B/S]]="B","BUY",(IF(LS[[#This Row],[B/S]]="S","SELL"," ")))</f>
        <v>BUY</v>
      </c>
      <c r="K53" s="8" t="s">
        <v>301</v>
      </c>
      <c r="L53" s="10">
        <v>1000000</v>
      </c>
      <c r="M53" s="10"/>
      <c r="N53" s="168">
        <f>LS[[#This Row],[Amount]]/LS[[#This Row],[Unit]]</f>
        <v>10</v>
      </c>
      <c r="O53" s="11">
        <f t="shared" si="0"/>
        <v>100000</v>
      </c>
      <c r="P53" s="11">
        <f>SUMIFS(LS[[#Headers],[Unit]]:LS[[#This Row],[Unit]],LS[[#Headers],[Investor ID]]:LS[[#This Row],[Investor ID]],LS[[#This Row],[Investor ID]])</f>
        <v>100000</v>
      </c>
      <c r="Q53" s="10">
        <v>1000000</v>
      </c>
      <c r="R53" s="6">
        <f>LS[[#This Row],[Amount]]-LS[[#This Row],[Unit Capital]]</f>
        <v>0</v>
      </c>
      <c r="S5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53" s="168">
        <f t="shared" si="1"/>
        <v>12.552</v>
      </c>
      <c r="U5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3" s="10" cm="1">
        <f t="array" ref="V53">IF(LS[[#This Row],[B/S]]="S",ABS(LS[[#This Row],[Unit]])*(INDEX(LS[NAV at Cost (Average)],MATCH(CONCATENATE((LS[[#This Row],[Frequency]]-1),LS[[#This Row],[Investor ID]]),LS[Unique Code],0),0)),0)</f>
        <v>0</v>
      </c>
      <c r="W53" s="10">
        <f>IF(LS[[#This Row],[BO Transfer]]="YES",LS[[#This Row],[Unit]],)</f>
        <v>0</v>
      </c>
      <c r="X53" s="3">
        <f>SUMIFS(LS[[#Headers],[BO UNIT TRANSFER]]:LS[[#This Row],[BO UNIT TRANSFER]],LS[[#Headers],[Investor ID]]:LS[[#This Row],[Investor ID]],LS[[#This Row],[Investor ID]])</f>
        <v>0</v>
      </c>
    </row>
    <row r="54" spans="2:27">
      <c r="B54" s="8">
        <v>2022</v>
      </c>
      <c r="C54" s="8">
        <v>1</v>
      </c>
      <c r="D54" s="8">
        <v>25</v>
      </c>
      <c r="E54" s="291">
        <f>DATE(LS[[#This Row],[Year]],LS[[#This Row],[Month]],LS[[#This Row],[Day]])</f>
        <v>44586</v>
      </c>
      <c r="F54" t="str" cm="1">
        <f t="array" ref="F54">INDEX(INVESTORS_LIST[INVESTOR NAME],MATCH(LS[[#This Row],[Investor ID]],INVESTORS_LIST[INVESTOR CODE],0),)</f>
        <v>SAILA SATTER</v>
      </c>
      <c r="G54" s="19" t="s">
        <v>203</v>
      </c>
      <c r="H54" s="8">
        <f>COUNTIF(LS[[#Headers],[Investor ID]]:LS[[#This Row],[Investor ID]],LS[[#This Row],[Investor ID]])</f>
        <v>1</v>
      </c>
      <c r="I54" s="8" t="str">
        <f>CONCATENATE(LS[[#This Row],[Frequency]],LS[[#This Row],[Investor ID]])</f>
        <v>1A00170</v>
      </c>
      <c r="J54" s="8" t="str">
        <f>IF(LS[[#This Row],[B/S]]="B","BUY",(IF(LS[[#This Row],[B/S]]="S","SELL"," ")))</f>
        <v>BUY</v>
      </c>
      <c r="K54" s="8" t="s">
        <v>301</v>
      </c>
      <c r="L54" s="10">
        <v>500000</v>
      </c>
      <c r="M54" s="10"/>
      <c r="N54" s="168">
        <f>LS[[#This Row],[Amount]]/LS[[#This Row],[Unit]]</f>
        <v>10</v>
      </c>
      <c r="O54" s="11">
        <f t="shared" si="0"/>
        <v>50000</v>
      </c>
      <c r="P54" s="11">
        <f>SUMIFS(LS[[#Headers],[Unit]]:LS[[#This Row],[Unit]],LS[[#Headers],[Investor ID]]:LS[[#This Row],[Investor ID]],LS[[#This Row],[Investor ID]])</f>
        <v>50000</v>
      </c>
      <c r="Q54" s="10">
        <v>500000</v>
      </c>
      <c r="R54" s="6">
        <f>LS[[#This Row],[Amount]]-LS[[#This Row],[Unit Capital]]</f>
        <v>0</v>
      </c>
      <c r="S5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54" s="168">
        <f t="shared" si="1"/>
        <v>12.552</v>
      </c>
      <c r="U5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4" s="10" cm="1">
        <f t="array" ref="V54">IF(LS[[#This Row],[B/S]]="S",ABS(LS[[#This Row],[Unit]])*(INDEX(LS[NAV at Cost (Average)],MATCH(CONCATENATE((LS[[#This Row],[Frequency]]-1),LS[[#This Row],[Investor ID]]),LS[Unique Code],0),0)),0)</f>
        <v>0</v>
      </c>
      <c r="W54" s="10">
        <f>IF(LS[[#This Row],[BO Transfer]]="YES",LS[[#This Row],[Unit]],)</f>
        <v>0</v>
      </c>
      <c r="X54" s="3">
        <f>SUMIFS(LS[[#Headers],[BO UNIT TRANSFER]]:LS[[#This Row],[BO UNIT TRANSFER]],LS[[#Headers],[Investor ID]]:LS[[#This Row],[Investor ID]],LS[[#This Row],[Investor ID]])</f>
        <v>0</v>
      </c>
    </row>
    <row r="55" spans="2:27">
      <c r="B55" s="8">
        <v>2022</v>
      </c>
      <c r="C55" s="8">
        <v>1</v>
      </c>
      <c r="D55" s="8">
        <v>26</v>
      </c>
      <c r="E55" s="291">
        <f>DATE(LS[[#This Row],[Year]],LS[[#This Row],[Month]],LS[[#This Row],[Day]])</f>
        <v>44587</v>
      </c>
      <c r="F55" t="str" cm="1">
        <f t="array" ref="F55">INDEX(INVESTORS_LIST[INVESTOR NAME],MATCH(LS[[#This Row],[Investor ID]],INVESTORS_LIST[INVESTOR CODE],0),)</f>
        <v>B.M. MIRAZ HOSSAIN</v>
      </c>
      <c r="G55" s="19" t="s">
        <v>694</v>
      </c>
      <c r="H55" s="8">
        <f>COUNTIF(LS[[#Headers],[Investor ID]]:LS[[#This Row],[Investor ID]],LS[[#This Row],[Investor ID]])</f>
        <v>1</v>
      </c>
      <c r="I55" s="8" t="str">
        <f>CONCATENATE(LS[[#This Row],[Frequency]],LS[[#This Row],[Investor ID]])</f>
        <v>1A00374</v>
      </c>
      <c r="J55" s="8" t="str">
        <f>IF(LS[[#This Row],[B/S]]="B","BUY",(IF(LS[[#This Row],[B/S]]="S","SELL"," ")))</f>
        <v>BUY</v>
      </c>
      <c r="K55" s="8" t="s">
        <v>301</v>
      </c>
      <c r="L55" s="10">
        <v>300000</v>
      </c>
      <c r="M55" s="10"/>
      <c r="N55" s="168">
        <f>LS[[#This Row],[Amount]]/LS[[#This Row],[Unit]]</f>
        <v>10</v>
      </c>
      <c r="O55" s="11">
        <f t="shared" si="0"/>
        <v>30000</v>
      </c>
      <c r="P55" s="11">
        <f>SUMIFS(LS[[#Headers],[Unit]]:LS[[#This Row],[Unit]],LS[[#Headers],[Investor ID]]:LS[[#This Row],[Investor ID]],LS[[#This Row],[Investor ID]])</f>
        <v>30000</v>
      </c>
      <c r="Q55" s="10">
        <v>300000</v>
      </c>
      <c r="R55" s="6">
        <f>LS[[#This Row],[Amount]]-LS[[#This Row],[Unit Capital]]</f>
        <v>0</v>
      </c>
      <c r="S5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55" s="168">
        <f t="shared" si="1"/>
        <v>12.552</v>
      </c>
      <c r="U5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5" s="10" cm="1">
        <f t="array" ref="V55">IF(LS[[#This Row],[B/S]]="S",ABS(LS[[#This Row],[Unit]])*(INDEX(LS[NAV at Cost (Average)],MATCH(CONCATENATE((LS[[#This Row],[Frequency]]-1),LS[[#This Row],[Investor ID]]),LS[Unique Code],0),0)),0)</f>
        <v>0</v>
      </c>
      <c r="W55" s="10">
        <f>IF(LS[[#This Row],[BO Transfer]]="YES",LS[[#This Row],[Unit]],)</f>
        <v>0</v>
      </c>
      <c r="X55" s="3">
        <f>SUMIFS(LS[[#Headers],[BO UNIT TRANSFER]]:LS[[#This Row],[BO UNIT TRANSFER]],LS[[#Headers],[Investor ID]]:LS[[#This Row],[Investor ID]],LS[[#This Row],[Investor ID]])</f>
        <v>0</v>
      </c>
    </row>
    <row r="56" spans="2:27">
      <c r="B56" s="8">
        <v>2022</v>
      </c>
      <c r="C56" s="8">
        <v>1</v>
      </c>
      <c r="D56" s="8">
        <v>26</v>
      </c>
      <c r="E56" s="291">
        <f>DATE(LS[[#This Row],[Year]],LS[[#This Row],[Month]],LS[[#This Row],[Day]])</f>
        <v>44587</v>
      </c>
      <c r="F56" t="str" cm="1">
        <f t="array" ref="F56">INDEX(INVESTORS_LIST[INVESTOR NAME],MATCH(LS[[#This Row],[Investor ID]],INVESTORS_LIST[INVESTOR CODE],0),)</f>
        <v>MOHAMMED FUAD ZIBRAN</v>
      </c>
      <c r="G56" s="19" t="s">
        <v>591</v>
      </c>
      <c r="H56" s="8">
        <f>COUNTIF(LS[[#Headers],[Investor ID]]:LS[[#This Row],[Investor ID]],LS[[#This Row],[Investor ID]])</f>
        <v>1</v>
      </c>
      <c r="I56" s="8" t="str">
        <f>CONCATENATE(LS[[#This Row],[Frequency]],LS[[#This Row],[Investor ID]])</f>
        <v>1A00332</v>
      </c>
      <c r="J56" s="8" t="str">
        <f>IF(LS[[#This Row],[B/S]]="B","BUY",(IF(LS[[#This Row],[B/S]]="S","SELL"," ")))</f>
        <v>BUY</v>
      </c>
      <c r="K56" s="8" t="s">
        <v>301</v>
      </c>
      <c r="L56" s="10">
        <v>50000</v>
      </c>
      <c r="M56" s="10"/>
      <c r="N56" s="168">
        <f>LS[[#This Row],[Amount]]/LS[[#This Row],[Unit]]</f>
        <v>10</v>
      </c>
      <c r="O56" s="11">
        <f t="shared" si="0"/>
        <v>5000</v>
      </c>
      <c r="P56" s="11">
        <f>SUMIFS(LS[[#Headers],[Unit]]:LS[[#This Row],[Unit]],LS[[#Headers],[Investor ID]]:LS[[#This Row],[Investor ID]],LS[[#This Row],[Investor ID]])</f>
        <v>5000</v>
      </c>
      <c r="Q56" s="10">
        <v>50000</v>
      </c>
      <c r="R56" s="6">
        <f>LS[[#This Row],[Amount]]-LS[[#This Row],[Unit Capital]]</f>
        <v>0</v>
      </c>
      <c r="S5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56" s="168">
        <f t="shared" si="1"/>
        <v>12.552</v>
      </c>
      <c r="U5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6" s="10" cm="1">
        <f t="array" ref="V56">IF(LS[[#This Row],[B/S]]="S",ABS(LS[[#This Row],[Unit]])*(INDEX(LS[NAV at Cost (Average)],MATCH(CONCATENATE((LS[[#This Row],[Frequency]]-1),LS[[#This Row],[Investor ID]]),LS[Unique Code],0),0)),0)</f>
        <v>0</v>
      </c>
      <c r="W56" s="10">
        <f>IF(LS[[#This Row],[BO Transfer]]="YES",LS[[#This Row],[Unit]],)</f>
        <v>0</v>
      </c>
      <c r="X56" s="3">
        <f>SUMIFS(LS[[#Headers],[BO UNIT TRANSFER]]:LS[[#This Row],[BO UNIT TRANSFER]],LS[[#Headers],[Investor ID]]:LS[[#This Row],[Investor ID]],LS[[#This Row],[Investor ID]])</f>
        <v>0</v>
      </c>
    </row>
    <row r="57" spans="2:27">
      <c r="B57" s="8">
        <v>2022</v>
      </c>
      <c r="C57" s="8">
        <v>1</v>
      </c>
      <c r="D57" s="8">
        <v>26</v>
      </c>
      <c r="E57" s="291">
        <f>DATE(LS[[#This Row],[Year]],LS[[#This Row],[Month]],LS[[#This Row],[Day]])</f>
        <v>44587</v>
      </c>
      <c r="F57" t="str" cm="1">
        <f t="array" ref="F57">INDEX(INVESTORS_LIST[INVESTOR NAME],MATCH(LS[[#This Row],[Investor ID]],INVESTORS_LIST[INVESTOR CODE],0),)</f>
        <v>RAHNUMA SULTANA</v>
      </c>
      <c r="G57" s="19" t="s">
        <v>86</v>
      </c>
      <c r="H57" s="8">
        <f>COUNTIF(LS[[#Headers],[Investor ID]]:LS[[#This Row],[Investor ID]],LS[[#This Row],[Investor ID]])</f>
        <v>1</v>
      </c>
      <c r="I57" s="8" t="str">
        <f>CONCATENATE(LS[[#This Row],[Frequency]],LS[[#This Row],[Investor ID]])</f>
        <v>1A00078</v>
      </c>
      <c r="J57" s="8" t="str">
        <f>IF(LS[[#This Row],[B/S]]="B","BUY",(IF(LS[[#This Row],[B/S]]="S","SELL"," ")))</f>
        <v>BUY</v>
      </c>
      <c r="K57" s="8" t="s">
        <v>301</v>
      </c>
      <c r="L57" s="10">
        <v>200000</v>
      </c>
      <c r="M57" s="10"/>
      <c r="N57" s="168">
        <f>LS[[#This Row],[Amount]]/LS[[#This Row],[Unit]]</f>
        <v>10</v>
      </c>
      <c r="O57" s="11">
        <f t="shared" si="0"/>
        <v>20000</v>
      </c>
      <c r="P57" s="11">
        <f>SUMIFS(LS[[#Headers],[Unit]]:LS[[#This Row],[Unit]],LS[[#Headers],[Investor ID]]:LS[[#This Row],[Investor ID]],LS[[#This Row],[Investor ID]])</f>
        <v>20000</v>
      </c>
      <c r="Q57" s="10">
        <v>200000</v>
      </c>
      <c r="R57" s="6">
        <f>LS[[#This Row],[Amount]]-LS[[#This Row],[Unit Capital]]</f>
        <v>0</v>
      </c>
      <c r="S5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57" s="168">
        <f t="shared" si="1"/>
        <v>12.552</v>
      </c>
      <c r="U5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7" s="10" cm="1">
        <f t="array" ref="V57">IF(LS[[#This Row],[B/S]]="S",ABS(LS[[#This Row],[Unit]])*(INDEX(LS[NAV at Cost (Average)],MATCH(CONCATENATE((LS[[#This Row],[Frequency]]-1),LS[[#This Row],[Investor ID]]),LS[Unique Code],0),0)),0)</f>
        <v>0</v>
      </c>
      <c r="W57" s="10">
        <f>IF(LS[[#This Row],[BO Transfer]]="YES",LS[[#This Row],[Unit]],)</f>
        <v>0</v>
      </c>
      <c r="X57" s="3">
        <f>SUMIFS(LS[[#Headers],[BO UNIT TRANSFER]]:LS[[#This Row],[BO UNIT TRANSFER]],LS[[#Headers],[Investor ID]]:LS[[#This Row],[Investor ID]],LS[[#This Row],[Investor ID]])</f>
        <v>0</v>
      </c>
    </row>
    <row r="58" spans="2:27">
      <c r="B58" s="8">
        <v>2022</v>
      </c>
      <c r="C58" s="8">
        <v>1</v>
      </c>
      <c r="D58" s="8">
        <v>26</v>
      </c>
      <c r="E58" s="291">
        <f>DATE(LS[[#This Row],[Year]],LS[[#This Row],[Month]],LS[[#This Row],[Day]])</f>
        <v>44587</v>
      </c>
      <c r="F58" t="str" cm="1">
        <f t="array" ref="F58">INDEX(INVESTORS_LIST[INVESTOR NAME],MATCH(LS[[#This Row],[Investor ID]],INVESTORS_LIST[INVESTOR CODE],0),)</f>
        <v>BABITA RANI BARMAN</v>
      </c>
      <c r="G58" s="19" t="s">
        <v>78</v>
      </c>
      <c r="H58" s="8">
        <f>COUNTIF(LS[[#Headers],[Investor ID]]:LS[[#This Row],[Investor ID]],LS[[#This Row],[Investor ID]])</f>
        <v>1</v>
      </c>
      <c r="I58" s="8" t="str">
        <f>CONCATENATE(LS[[#This Row],[Frequency]],LS[[#This Row],[Investor ID]])</f>
        <v>1A00070</v>
      </c>
      <c r="J58" s="8" t="str">
        <f>IF(LS[[#This Row],[B/S]]="B","BUY",(IF(LS[[#This Row],[B/S]]="S","SELL"," ")))</f>
        <v>BUY</v>
      </c>
      <c r="K58" s="8" t="s">
        <v>301</v>
      </c>
      <c r="L58" s="10">
        <v>50000</v>
      </c>
      <c r="M58" s="10"/>
      <c r="N58" s="168">
        <f>LS[[#This Row],[Amount]]/LS[[#This Row],[Unit]]</f>
        <v>10</v>
      </c>
      <c r="O58" s="11">
        <f t="shared" si="0"/>
        <v>5000</v>
      </c>
      <c r="P58" s="11">
        <f>SUMIFS(LS[[#Headers],[Unit]]:LS[[#This Row],[Unit]],LS[[#Headers],[Investor ID]]:LS[[#This Row],[Investor ID]],LS[[#This Row],[Investor ID]])</f>
        <v>5000</v>
      </c>
      <c r="Q58" s="10">
        <v>50000</v>
      </c>
      <c r="R58" s="6">
        <f>LS[[#This Row],[Amount]]-LS[[#This Row],[Unit Capital]]</f>
        <v>0</v>
      </c>
      <c r="S5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58" s="168">
        <f t="shared" si="1"/>
        <v>12.552</v>
      </c>
      <c r="U5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8" s="10" cm="1">
        <f t="array" ref="V58">IF(LS[[#This Row],[B/S]]="S",ABS(LS[[#This Row],[Unit]])*(INDEX(LS[NAV at Cost (Average)],MATCH(CONCATENATE((LS[[#This Row],[Frequency]]-1),LS[[#This Row],[Investor ID]]),LS[Unique Code],0),0)),0)</f>
        <v>0</v>
      </c>
      <c r="W58" s="10">
        <f>IF(LS[[#This Row],[BO Transfer]]="YES",LS[[#This Row],[Unit]],)</f>
        <v>0</v>
      </c>
      <c r="X58" s="3">
        <f>SUMIFS(LS[[#Headers],[BO UNIT TRANSFER]]:LS[[#This Row],[BO UNIT TRANSFER]],LS[[#Headers],[Investor ID]]:LS[[#This Row],[Investor ID]],LS[[#This Row],[Investor ID]])</f>
        <v>0</v>
      </c>
    </row>
    <row r="59" spans="2:27">
      <c r="B59" s="8">
        <v>2022</v>
      </c>
      <c r="C59" s="8">
        <v>1</v>
      </c>
      <c r="D59" s="8">
        <v>26</v>
      </c>
      <c r="E59" s="291">
        <f>DATE(LS[[#This Row],[Year]],LS[[#This Row],[Month]],LS[[#This Row],[Day]])</f>
        <v>44587</v>
      </c>
      <c r="F59" t="str" cm="1">
        <f t="array" ref="F59">INDEX(INVESTORS_LIST[INVESTOR NAME],MATCH(LS[[#This Row],[Investor ID]],INVESTORS_LIST[INVESTOR CODE],0),)</f>
        <v>UCB STOCK BROKERAGE LIMITED</v>
      </c>
      <c r="G59" s="19" t="s">
        <v>50</v>
      </c>
      <c r="H59" s="8">
        <f>COUNTIF(LS[[#Headers],[Investor ID]]:LS[[#This Row],[Investor ID]],LS[[#This Row],[Investor ID]])</f>
        <v>1</v>
      </c>
      <c r="I59" s="8" t="str">
        <f>CONCATENATE(LS[[#This Row],[Frequency]],LS[[#This Row],[Investor ID]])</f>
        <v>1A00043</v>
      </c>
      <c r="J59" s="8" t="str">
        <f>IF(LS[[#This Row],[B/S]]="B","BUY",(IF(LS[[#This Row],[B/S]]="S","SELL"," ")))</f>
        <v>BUY</v>
      </c>
      <c r="K59" s="8" t="s">
        <v>301</v>
      </c>
      <c r="L59" s="10">
        <v>2500000</v>
      </c>
      <c r="M59" s="10"/>
      <c r="N59" s="168">
        <f>LS[[#This Row],[Amount]]/LS[[#This Row],[Unit]]</f>
        <v>10</v>
      </c>
      <c r="O59" s="11">
        <f t="shared" si="0"/>
        <v>250000</v>
      </c>
      <c r="P59" s="11">
        <f>SUMIFS(LS[[#Headers],[Unit]]:LS[[#This Row],[Unit]],LS[[#Headers],[Investor ID]]:LS[[#This Row],[Investor ID]],LS[[#This Row],[Investor ID]])</f>
        <v>250000</v>
      </c>
      <c r="Q59" s="10">
        <v>2500000</v>
      </c>
      <c r="R59" s="6">
        <f>LS[[#This Row],[Amount]]-LS[[#This Row],[Unit Capital]]</f>
        <v>0</v>
      </c>
      <c r="S5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59" s="168">
        <f t="shared" si="1"/>
        <v>12.552</v>
      </c>
      <c r="U5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9" s="10" cm="1">
        <f t="array" ref="V59">IF(LS[[#This Row],[B/S]]="S",ABS(LS[[#This Row],[Unit]])*(INDEX(LS[NAV at Cost (Average)],MATCH(CONCATENATE((LS[[#This Row],[Frequency]]-1),LS[[#This Row],[Investor ID]]),LS[Unique Code],0),0)),0)</f>
        <v>0</v>
      </c>
      <c r="W59" s="10">
        <f>IF(LS[[#This Row],[BO Transfer]]="YES",LS[[#This Row],[Unit]],)</f>
        <v>0</v>
      </c>
      <c r="X59" s="3">
        <f>SUMIFS(LS[[#Headers],[BO UNIT TRANSFER]]:LS[[#This Row],[BO UNIT TRANSFER]],LS[[#Headers],[Investor ID]]:LS[[#This Row],[Investor ID]],LS[[#This Row],[Investor ID]])</f>
        <v>0</v>
      </c>
    </row>
    <row r="60" spans="2:27">
      <c r="B60" s="8">
        <v>2022</v>
      </c>
      <c r="C60" s="8">
        <v>1</v>
      </c>
      <c r="D60" s="8">
        <v>26</v>
      </c>
      <c r="E60" s="291">
        <f>DATE(LS[[#This Row],[Year]],LS[[#This Row],[Month]],LS[[#This Row],[Day]])</f>
        <v>44587</v>
      </c>
      <c r="F60" t="str" cm="1">
        <f t="array" ref="F60">INDEX(INVESTORS_LIST[INVESTOR NAME],MATCH(LS[[#This Row],[Investor ID]],INVESTORS_LIST[INVESTOR CODE],0),)</f>
        <v>ANJANA SAHA</v>
      </c>
      <c r="G60" s="19" t="s">
        <v>21</v>
      </c>
      <c r="H60" s="8">
        <f>COUNTIF(LS[[#Headers],[Investor ID]]:LS[[#This Row],[Investor ID]],LS[[#This Row],[Investor ID]])</f>
        <v>1</v>
      </c>
      <c r="I60" s="8" t="str">
        <f>CONCATENATE(LS[[#This Row],[Frequency]],LS[[#This Row],[Investor ID]])</f>
        <v>1A00014</v>
      </c>
      <c r="J60" s="8" t="str">
        <f>IF(LS[[#This Row],[B/S]]="B","BUY",(IF(LS[[#This Row],[B/S]]="S","SELL"," ")))</f>
        <v>BUY</v>
      </c>
      <c r="K60" s="8" t="s">
        <v>301</v>
      </c>
      <c r="L60" s="10">
        <v>1500000</v>
      </c>
      <c r="M60" s="10"/>
      <c r="N60" s="168">
        <f>LS[[#This Row],[Amount]]/LS[[#This Row],[Unit]]</f>
        <v>10</v>
      </c>
      <c r="O60" s="11">
        <f t="shared" si="0"/>
        <v>150000</v>
      </c>
      <c r="P60" s="11">
        <f>SUMIFS(LS[[#Headers],[Unit]]:LS[[#This Row],[Unit]],LS[[#Headers],[Investor ID]]:LS[[#This Row],[Investor ID]],LS[[#This Row],[Investor ID]])</f>
        <v>150000</v>
      </c>
      <c r="Q60" s="10">
        <v>1500000</v>
      </c>
      <c r="R60" s="6">
        <f>LS[[#This Row],[Amount]]-LS[[#This Row],[Unit Capital]]</f>
        <v>0</v>
      </c>
      <c r="S6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60" s="168">
        <f t="shared" si="1"/>
        <v>12.552</v>
      </c>
      <c r="U6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0" s="10" cm="1">
        <f t="array" ref="V60">IF(LS[[#This Row],[B/S]]="S",ABS(LS[[#This Row],[Unit]])*(INDEX(LS[NAV at Cost (Average)],MATCH(CONCATENATE((LS[[#This Row],[Frequency]]-1),LS[[#This Row],[Investor ID]]),LS[Unique Code],0),0)),0)</f>
        <v>0</v>
      </c>
      <c r="W60" s="10">
        <f>IF(LS[[#This Row],[BO Transfer]]="YES",LS[[#This Row],[Unit]],)</f>
        <v>0</v>
      </c>
      <c r="X60" s="3">
        <f>SUMIFS(LS[[#Headers],[BO UNIT TRANSFER]]:LS[[#This Row],[BO UNIT TRANSFER]],LS[[#Headers],[Investor ID]]:LS[[#This Row],[Investor ID]],LS[[#This Row],[Investor ID]])</f>
        <v>0</v>
      </c>
    </row>
    <row r="61" spans="2:27">
      <c r="B61" s="8">
        <v>2022</v>
      </c>
      <c r="C61" s="8">
        <v>1</v>
      </c>
      <c r="D61" s="8">
        <v>26</v>
      </c>
      <c r="E61" s="291">
        <f>DATE(LS[[#This Row],[Year]],LS[[#This Row],[Month]],LS[[#This Row],[Day]])</f>
        <v>44587</v>
      </c>
      <c r="F61" t="str" cm="1">
        <f t="array" ref="F61">INDEX(INVESTORS_LIST[INVESTOR NAME],MATCH(LS[[#This Row],[Investor ID]],INVESTORS_LIST[INVESTOR CODE],0),)</f>
        <v>MD. NAHIDUR RASHID</v>
      </c>
      <c r="G61" s="19" t="s">
        <v>575</v>
      </c>
      <c r="H61" s="8">
        <f>COUNTIF(LS[[#Headers],[Investor ID]]:LS[[#This Row],[Investor ID]],LS[[#This Row],[Investor ID]])</f>
        <v>1</v>
      </c>
      <c r="I61" s="8" t="str">
        <f>CONCATENATE(LS[[#This Row],[Frequency]],LS[[#This Row],[Investor ID]])</f>
        <v>1A00324</v>
      </c>
      <c r="J61" s="8" t="str">
        <f>IF(LS[[#This Row],[B/S]]="B","BUY",(IF(LS[[#This Row],[B/S]]="S","SELL"," ")))</f>
        <v>BUY</v>
      </c>
      <c r="K61" s="8" t="s">
        <v>301</v>
      </c>
      <c r="L61" s="10">
        <v>1000000</v>
      </c>
      <c r="M61" s="10"/>
      <c r="N61" s="168">
        <f>LS[[#This Row],[Amount]]/LS[[#This Row],[Unit]]</f>
        <v>10</v>
      </c>
      <c r="O61" s="11">
        <f t="shared" si="0"/>
        <v>100000</v>
      </c>
      <c r="P61" s="11">
        <f>SUMIFS(LS[[#Headers],[Unit]]:LS[[#This Row],[Unit]],LS[[#Headers],[Investor ID]]:LS[[#This Row],[Investor ID]],LS[[#This Row],[Investor ID]])</f>
        <v>100000</v>
      </c>
      <c r="Q61" s="10">
        <v>1000000</v>
      </c>
      <c r="R61" s="6">
        <f>LS[[#This Row],[Amount]]-LS[[#This Row],[Unit Capital]]</f>
        <v>0</v>
      </c>
      <c r="S6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61" s="168">
        <f t="shared" si="1"/>
        <v>12.552</v>
      </c>
      <c r="U6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1" s="10" cm="1">
        <f t="array" ref="V61">IF(LS[[#This Row],[B/S]]="S",ABS(LS[[#This Row],[Unit]])*(INDEX(LS[NAV at Cost (Average)],MATCH(CONCATENATE((LS[[#This Row],[Frequency]]-1),LS[[#This Row],[Investor ID]]),LS[Unique Code],0),0)),0)</f>
        <v>0</v>
      </c>
      <c r="W61" s="10">
        <f>IF(LS[[#This Row],[BO Transfer]]="YES",LS[[#This Row],[Unit]],)</f>
        <v>0</v>
      </c>
      <c r="X61" s="3">
        <f>SUMIFS(LS[[#Headers],[BO UNIT TRANSFER]]:LS[[#This Row],[BO UNIT TRANSFER]],LS[[#Headers],[Investor ID]]:LS[[#This Row],[Investor ID]],LS[[#This Row],[Investor ID]])</f>
        <v>0</v>
      </c>
    </row>
    <row r="62" spans="2:27">
      <c r="B62" s="8">
        <v>2022</v>
      </c>
      <c r="C62" s="8">
        <v>1</v>
      </c>
      <c r="D62" s="8">
        <v>26</v>
      </c>
      <c r="E62" s="291">
        <f>DATE(LS[[#This Row],[Year]],LS[[#This Row],[Month]],LS[[#This Row],[Day]])</f>
        <v>44587</v>
      </c>
      <c r="F62" t="str" cm="1">
        <f t="array" ref="F62">INDEX(INVESTORS_LIST[INVESTOR NAME],MATCH(LS[[#This Row],[Investor ID]],INVESTORS_LIST[INVESTOR CODE],0),)</f>
        <v>BIPLAB SAHA</v>
      </c>
      <c r="G62" s="19" t="s">
        <v>598</v>
      </c>
      <c r="H62" s="8">
        <f>COUNTIF(LS[[#Headers],[Investor ID]]:LS[[#This Row],[Investor ID]],LS[[#This Row],[Investor ID]])</f>
        <v>1</v>
      </c>
      <c r="I62" s="8" t="str">
        <f>CONCATENATE(LS[[#This Row],[Frequency]],LS[[#This Row],[Investor ID]])</f>
        <v>1A00336</v>
      </c>
      <c r="J62" s="8" t="str">
        <f>IF(LS[[#This Row],[B/S]]="B","BUY",(IF(LS[[#This Row],[B/S]]="S","SELL"," ")))</f>
        <v>BUY</v>
      </c>
      <c r="K62" s="8" t="s">
        <v>301</v>
      </c>
      <c r="L62" s="10">
        <v>600000</v>
      </c>
      <c r="M62" s="10"/>
      <c r="N62" s="168">
        <f>LS[[#This Row],[Amount]]/LS[[#This Row],[Unit]]</f>
        <v>10</v>
      </c>
      <c r="O62" s="11">
        <f t="shared" si="0"/>
        <v>60000</v>
      </c>
      <c r="P62" s="11">
        <f>SUMIFS(LS[[#Headers],[Unit]]:LS[[#This Row],[Unit]],LS[[#Headers],[Investor ID]]:LS[[#This Row],[Investor ID]],LS[[#This Row],[Investor ID]])</f>
        <v>60000</v>
      </c>
      <c r="Q62" s="10">
        <v>600000</v>
      </c>
      <c r="R62" s="6">
        <f>LS[[#This Row],[Amount]]-LS[[#This Row],[Unit Capital]]</f>
        <v>0</v>
      </c>
      <c r="S6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62" s="168">
        <f t="shared" si="1"/>
        <v>12.552</v>
      </c>
      <c r="U6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2" s="10" cm="1">
        <f t="array" ref="V62">IF(LS[[#This Row],[B/S]]="S",ABS(LS[[#This Row],[Unit]])*(INDEX(LS[NAV at Cost (Average)],MATCH(CONCATENATE((LS[[#This Row],[Frequency]]-1),LS[[#This Row],[Investor ID]]),LS[Unique Code],0),0)),0)</f>
        <v>0</v>
      </c>
      <c r="W62" s="10">
        <f>IF(LS[[#This Row],[BO Transfer]]="YES",LS[[#This Row],[Unit]],)</f>
        <v>0</v>
      </c>
      <c r="X62" s="3">
        <f>SUMIFS(LS[[#Headers],[BO UNIT TRANSFER]]:LS[[#This Row],[BO UNIT TRANSFER]],LS[[#Headers],[Investor ID]]:LS[[#This Row],[Investor ID]],LS[[#This Row],[Investor ID]])</f>
        <v>0</v>
      </c>
    </row>
    <row r="63" spans="2:27">
      <c r="B63" s="8">
        <v>2022</v>
      </c>
      <c r="C63" s="8">
        <v>1</v>
      </c>
      <c r="D63" s="8">
        <v>26</v>
      </c>
      <c r="E63" s="291">
        <f>DATE(LS[[#This Row],[Year]],LS[[#This Row],[Month]],LS[[#This Row],[Day]])</f>
        <v>44587</v>
      </c>
      <c r="F63" t="str" cm="1">
        <f t="array" ref="F63">INDEX(INVESTORS_LIST[INVESTOR NAME],MATCH(LS[[#This Row],[Investor ID]],INVESTORS_LIST[INVESTOR CODE],0),)</f>
        <v>BIPLAB SAHA</v>
      </c>
      <c r="G63" s="19" t="s">
        <v>598</v>
      </c>
      <c r="H63" s="8">
        <f>COUNTIF(LS[[#Headers],[Investor ID]]:LS[[#This Row],[Investor ID]],LS[[#This Row],[Investor ID]])</f>
        <v>2</v>
      </c>
      <c r="I63" s="8" t="str">
        <f>CONCATENATE(LS[[#This Row],[Frequency]],LS[[#This Row],[Investor ID]])</f>
        <v>2A00336</v>
      </c>
      <c r="J63" s="8" t="str">
        <f>IF(LS[[#This Row],[B/S]]="B","BUY",(IF(LS[[#This Row],[B/S]]="S","SELL"," ")))</f>
        <v>BUY</v>
      </c>
      <c r="K63" s="8" t="s">
        <v>301</v>
      </c>
      <c r="L63" s="10">
        <v>600000</v>
      </c>
      <c r="M63" s="10"/>
      <c r="N63" s="168">
        <f>LS[[#This Row],[Amount]]/LS[[#This Row],[Unit]]</f>
        <v>10</v>
      </c>
      <c r="O63" s="11">
        <f t="shared" si="0"/>
        <v>60000</v>
      </c>
      <c r="P63" s="11">
        <f>SUMIFS(LS[[#Headers],[Unit]]:LS[[#This Row],[Unit]],LS[[#Headers],[Investor ID]]:LS[[#This Row],[Investor ID]],LS[[#This Row],[Investor ID]])</f>
        <v>120000</v>
      </c>
      <c r="Q63" s="10">
        <v>600000</v>
      </c>
      <c r="R63" s="6">
        <f>LS[[#This Row],[Amount]]-LS[[#This Row],[Unit Capital]]</f>
        <v>0</v>
      </c>
      <c r="S6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63" s="168">
        <f t="shared" si="1"/>
        <v>12.552</v>
      </c>
      <c r="U6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3" s="10" cm="1">
        <f t="array" ref="V63">IF(LS[[#This Row],[B/S]]="S",ABS(LS[[#This Row],[Unit]])*(INDEX(LS[NAV at Cost (Average)],MATCH(CONCATENATE((LS[[#This Row],[Frequency]]-1),LS[[#This Row],[Investor ID]]),LS[Unique Code],0),0)),0)</f>
        <v>0</v>
      </c>
      <c r="W63" s="10">
        <f>IF(LS[[#This Row],[BO Transfer]]="YES",LS[[#This Row],[Unit]],)</f>
        <v>0</v>
      </c>
      <c r="X63" s="3">
        <f>SUMIFS(LS[[#Headers],[BO UNIT TRANSFER]]:LS[[#This Row],[BO UNIT TRANSFER]],LS[[#Headers],[Investor ID]]:LS[[#This Row],[Investor ID]],LS[[#This Row],[Investor ID]])</f>
        <v>0</v>
      </c>
      <c r="AA63" s="7"/>
    </row>
    <row r="64" spans="2:27">
      <c r="B64" s="8">
        <v>2022</v>
      </c>
      <c r="C64" s="8">
        <v>1</v>
      </c>
      <c r="D64" s="8">
        <v>26</v>
      </c>
      <c r="E64" s="291">
        <f>DATE(LS[[#This Row],[Year]],LS[[#This Row],[Month]],LS[[#This Row],[Day]])</f>
        <v>44587</v>
      </c>
      <c r="F64" t="str" cm="1">
        <f t="array" ref="F64">INDEX(INVESTORS_LIST[INVESTOR NAME],MATCH(LS[[#This Row],[Investor ID]],INVESTORS_LIST[INVESTOR CODE],0),)</f>
        <v>DELTA BRAC HOUSING FINANCE CORPORATION LTD</v>
      </c>
      <c r="G64" s="19" t="s">
        <v>696</v>
      </c>
      <c r="H64" s="8">
        <f>COUNTIF(LS[[#Headers],[Investor ID]]:LS[[#This Row],[Investor ID]],LS[[#This Row],[Investor ID]])</f>
        <v>1</v>
      </c>
      <c r="I64" s="8" t="str">
        <f>CONCATENATE(LS[[#This Row],[Frequency]],LS[[#This Row],[Investor ID]])</f>
        <v>1A00375</v>
      </c>
      <c r="J64" s="8" t="str">
        <f>IF(LS[[#This Row],[B/S]]="B","BUY",(IF(LS[[#This Row],[B/S]]="S","SELL"," ")))</f>
        <v>BUY</v>
      </c>
      <c r="K64" s="8" t="s">
        <v>301</v>
      </c>
      <c r="L64" s="10">
        <v>10000000</v>
      </c>
      <c r="M64" s="10"/>
      <c r="N64" s="168">
        <f>LS[[#This Row],[Amount]]/LS[[#This Row],[Unit]]</f>
        <v>10</v>
      </c>
      <c r="O64" s="11">
        <f t="shared" si="0"/>
        <v>1000000</v>
      </c>
      <c r="P64" s="11">
        <f>SUMIFS(LS[[#Headers],[Unit]]:LS[[#This Row],[Unit]],LS[[#Headers],[Investor ID]]:LS[[#This Row],[Investor ID]],LS[[#This Row],[Investor ID]])</f>
        <v>1000000</v>
      </c>
      <c r="Q64" s="10">
        <v>10000000</v>
      </c>
      <c r="R64" s="6">
        <f>LS[[#This Row],[Amount]]-LS[[#This Row],[Unit Capital]]</f>
        <v>0</v>
      </c>
      <c r="S6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64" s="168">
        <f t="shared" si="1"/>
        <v>12.552</v>
      </c>
      <c r="U6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4" s="10" cm="1">
        <f t="array" ref="V64">IF(LS[[#This Row],[B/S]]="S",ABS(LS[[#This Row],[Unit]])*(INDEX(LS[NAV at Cost (Average)],MATCH(CONCATENATE((LS[[#This Row],[Frequency]]-1),LS[[#This Row],[Investor ID]]),LS[Unique Code],0),0)),0)</f>
        <v>0</v>
      </c>
      <c r="W64" s="10">
        <f>IF(LS[[#This Row],[BO Transfer]]="YES",LS[[#This Row],[Unit]],)</f>
        <v>0</v>
      </c>
      <c r="X64" s="3">
        <f>SUMIFS(LS[[#Headers],[BO UNIT TRANSFER]]:LS[[#This Row],[BO UNIT TRANSFER]],LS[[#Headers],[Investor ID]]:LS[[#This Row],[Investor ID]],LS[[#This Row],[Investor ID]])</f>
        <v>0</v>
      </c>
      <c r="AA64" s="7"/>
    </row>
    <row r="65" spans="2:27">
      <c r="B65" s="8">
        <v>2022</v>
      </c>
      <c r="C65" s="8">
        <v>1</v>
      </c>
      <c r="D65" s="8">
        <v>26</v>
      </c>
      <c r="E65" s="291">
        <f>DATE(LS[[#This Row],[Year]],LS[[#This Row],[Month]],LS[[#This Row],[Day]])</f>
        <v>44587</v>
      </c>
      <c r="F65" t="str" cm="1">
        <f t="array" ref="F65">INDEX(INVESTORS_LIST[INVESTOR NAME],MATCH(LS[[#This Row],[Investor ID]],INVESTORS_LIST[INVESTOR CODE],0),)</f>
        <v>SK FEROZ ALAM</v>
      </c>
      <c r="G65" s="19" t="s">
        <v>110</v>
      </c>
      <c r="H65" s="8">
        <f>COUNTIF(LS[[#Headers],[Investor ID]]:LS[[#This Row],[Investor ID]],LS[[#This Row],[Investor ID]])</f>
        <v>1</v>
      </c>
      <c r="I65" s="8" t="str">
        <f>CONCATENATE(LS[[#This Row],[Frequency]],LS[[#This Row],[Investor ID]])</f>
        <v>1A00096</v>
      </c>
      <c r="J65" s="8" t="str">
        <f>IF(LS[[#This Row],[B/S]]="B","BUY",(IF(LS[[#This Row],[B/S]]="S","SELL"," ")))</f>
        <v>BUY</v>
      </c>
      <c r="K65" s="8" t="s">
        <v>301</v>
      </c>
      <c r="L65" s="10">
        <v>300000</v>
      </c>
      <c r="M65" s="10"/>
      <c r="N65" s="168">
        <f>LS[[#This Row],[Amount]]/LS[[#This Row],[Unit]]</f>
        <v>10</v>
      </c>
      <c r="O65" s="11">
        <f t="shared" si="0"/>
        <v>30000</v>
      </c>
      <c r="P65" s="11">
        <f>SUMIFS(LS[[#Headers],[Unit]]:LS[[#This Row],[Unit]],LS[[#Headers],[Investor ID]]:LS[[#This Row],[Investor ID]],LS[[#This Row],[Investor ID]])</f>
        <v>30000</v>
      </c>
      <c r="Q65" s="10">
        <v>300000</v>
      </c>
      <c r="R65" s="6">
        <f>LS[[#This Row],[Amount]]-LS[[#This Row],[Unit Capital]]</f>
        <v>0</v>
      </c>
      <c r="S6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65" s="168">
        <f t="shared" si="1"/>
        <v>12.552</v>
      </c>
      <c r="U6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5" s="10" cm="1">
        <f t="array" ref="V65">IF(LS[[#This Row],[B/S]]="S",ABS(LS[[#This Row],[Unit]])*(INDEX(LS[NAV at Cost (Average)],MATCH(CONCATENATE((LS[[#This Row],[Frequency]]-1),LS[[#This Row],[Investor ID]]),LS[Unique Code],0),0)),0)</f>
        <v>0</v>
      </c>
      <c r="W65" s="10">
        <f>IF(LS[[#This Row],[BO Transfer]]="YES",LS[[#This Row],[Unit]],)</f>
        <v>0</v>
      </c>
      <c r="X65" s="3">
        <f>SUMIFS(LS[[#Headers],[BO UNIT TRANSFER]]:LS[[#This Row],[BO UNIT TRANSFER]],LS[[#Headers],[Investor ID]]:LS[[#This Row],[Investor ID]],LS[[#This Row],[Investor ID]])</f>
        <v>0</v>
      </c>
      <c r="AA65" s="7"/>
    </row>
    <row r="66" spans="2:27">
      <c r="B66" s="8">
        <v>2022</v>
      </c>
      <c r="C66" s="8">
        <v>1</v>
      </c>
      <c r="D66" s="8">
        <v>26</v>
      </c>
      <c r="E66" s="291">
        <f>DATE(LS[[#This Row],[Year]],LS[[#This Row],[Month]],LS[[#This Row],[Day]])</f>
        <v>44587</v>
      </c>
      <c r="F66" t="str" cm="1">
        <f t="array" ref="F66">INDEX(INVESTORS_LIST[INVESTOR NAME],MATCH(LS[[#This Row],[Investor ID]],INVESTORS_LIST[INVESTOR CODE],0),)</f>
        <v>SK FEROZ ALAM &amp; MD BULBUL ISLAM</v>
      </c>
      <c r="G66" s="19" t="s">
        <v>272</v>
      </c>
      <c r="H66" s="8">
        <f>COUNTIF(LS[[#Headers],[Investor ID]]:LS[[#This Row],[Investor ID]],LS[[#This Row],[Investor ID]])</f>
        <v>1</v>
      </c>
      <c r="I66" s="8" t="str">
        <f>CONCATENATE(LS[[#This Row],[Frequency]],LS[[#This Row],[Investor ID]])</f>
        <v>1A00216</v>
      </c>
      <c r="J66" s="8" t="str">
        <f>IF(LS[[#This Row],[B/S]]="B","BUY",(IF(LS[[#This Row],[B/S]]="S","SELL"," ")))</f>
        <v>BUY</v>
      </c>
      <c r="K66" s="8" t="s">
        <v>301</v>
      </c>
      <c r="L66" s="10">
        <v>200000</v>
      </c>
      <c r="M66" s="10"/>
      <c r="N66" s="168">
        <f>LS[[#This Row],[Amount]]/LS[[#This Row],[Unit]]</f>
        <v>10</v>
      </c>
      <c r="O66" s="11">
        <f t="shared" si="0"/>
        <v>20000</v>
      </c>
      <c r="P66" s="11">
        <f>SUMIFS(LS[[#Headers],[Unit]]:LS[[#This Row],[Unit]],LS[[#Headers],[Investor ID]]:LS[[#This Row],[Investor ID]],LS[[#This Row],[Investor ID]])</f>
        <v>20000</v>
      </c>
      <c r="Q66" s="10">
        <v>200000</v>
      </c>
      <c r="R66" s="6">
        <f>LS[[#This Row],[Amount]]-LS[[#This Row],[Unit Capital]]</f>
        <v>0</v>
      </c>
      <c r="S6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66" s="168">
        <f t="shared" si="1"/>
        <v>12.552</v>
      </c>
      <c r="U6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6" s="10" cm="1">
        <f t="array" ref="V66">IF(LS[[#This Row],[B/S]]="S",ABS(LS[[#This Row],[Unit]])*(INDEX(LS[NAV at Cost (Average)],MATCH(CONCATENATE((LS[[#This Row],[Frequency]]-1),LS[[#This Row],[Investor ID]]),LS[Unique Code],0),0)),0)</f>
        <v>0</v>
      </c>
      <c r="W66" s="10">
        <f>IF(LS[[#This Row],[BO Transfer]]="YES",LS[[#This Row],[Unit]],)</f>
        <v>0</v>
      </c>
      <c r="X66" s="3">
        <f>SUMIFS(LS[[#Headers],[BO UNIT TRANSFER]]:LS[[#This Row],[BO UNIT TRANSFER]],LS[[#Headers],[Investor ID]]:LS[[#This Row],[Investor ID]],LS[[#This Row],[Investor ID]])</f>
        <v>0</v>
      </c>
      <c r="AA66" s="7"/>
    </row>
    <row r="67" spans="2:27">
      <c r="B67" s="8">
        <v>2022</v>
      </c>
      <c r="C67" s="8">
        <v>1</v>
      </c>
      <c r="D67" s="8">
        <v>26</v>
      </c>
      <c r="E67" s="291">
        <f>DATE(LS[[#This Row],[Year]],LS[[#This Row],[Month]],LS[[#This Row],[Day]])</f>
        <v>44587</v>
      </c>
      <c r="F67" t="str" cm="1">
        <f t="array" ref="F67">INDEX(INVESTORS_LIST[INVESTOR NAME],MATCH(LS[[#This Row],[Investor ID]],INVESTORS_LIST[INVESTOR CODE],0),)</f>
        <v>FATEMA-TUZ JOHURA NILA</v>
      </c>
      <c r="G67" s="19" t="s">
        <v>309</v>
      </c>
      <c r="H67" s="8">
        <f>COUNTIF(LS[[#Headers],[Investor ID]]:LS[[#This Row],[Investor ID]],LS[[#This Row],[Investor ID]])</f>
        <v>1</v>
      </c>
      <c r="I67" s="8" t="str">
        <f>CONCATENATE(LS[[#This Row],[Frequency]],LS[[#This Row],[Investor ID]])</f>
        <v>1A00226</v>
      </c>
      <c r="J67" s="8" t="str">
        <f>IF(LS[[#This Row],[B/S]]="B","BUY",(IF(LS[[#This Row],[B/S]]="S","SELL"," ")))</f>
        <v>BUY</v>
      </c>
      <c r="K67" s="8" t="s">
        <v>301</v>
      </c>
      <c r="L67" s="10">
        <v>200000</v>
      </c>
      <c r="M67" s="10"/>
      <c r="N67" s="168">
        <f>LS[[#This Row],[Amount]]/LS[[#This Row],[Unit]]</f>
        <v>10</v>
      </c>
      <c r="O67" s="11">
        <f t="shared" ref="O67:O130" si="2">Q67/10</f>
        <v>20000</v>
      </c>
      <c r="P67" s="11">
        <f>SUMIFS(LS[[#Headers],[Unit]]:LS[[#This Row],[Unit]],LS[[#Headers],[Investor ID]]:LS[[#This Row],[Investor ID]],LS[[#This Row],[Investor ID]])</f>
        <v>20000</v>
      </c>
      <c r="Q67" s="10">
        <v>200000</v>
      </c>
      <c r="R67" s="6">
        <f>LS[[#This Row],[Amount]]-LS[[#This Row],[Unit Capital]]</f>
        <v>0</v>
      </c>
      <c r="S6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67" s="168">
        <f t="shared" ref="T67:T130" si="3">IFERROR(NAV_MKT,0)</f>
        <v>12.552</v>
      </c>
      <c r="U6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7" s="10" cm="1">
        <f t="array" ref="V67">IF(LS[[#This Row],[B/S]]="S",ABS(LS[[#This Row],[Unit]])*(INDEX(LS[NAV at Cost (Average)],MATCH(CONCATENATE((LS[[#This Row],[Frequency]]-1),LS[[#This Row],[Investor ID]]),LS[Unique Code],0),0)),0)</f>
        <v>0</v>
      </c>
      <c r="W67" s="10">
        <f>IF(LS[[#This Row],[BO Transfer]]="YES",LS[[#This Row],[Unit]],)</f>
        <v>0</v>
      </c>
      <c r="X67" s="3">
        <f>SUMIFS(LS[[#Headers],[BO UNIT TRANSFER]]:LS[[#This Row],[BO UNIT TRANSFER]],LS[[#Headers],[Investor ID]]:LS[[#This Row],[Investor ID]],LS[[#This Row],[Investor ID]])</f>
        <v>0</v>
      </c>
      <c r="AA67" s="7"/>
    </row>
    <row r="68" spans="2:27">
      <c r="B68" s="8">
        <v>2022</v>
      </c>
      <c r="C68" s="8">
        <v>1</v>
      </c>
      <c r="D68" s="8">
        <v>27</v>
      </c>
      <c r="E68" s="291">
        <f>DATE(LS[[#This Row],[Year]],LS[[#This Row],[Month]],LS[[#This Row],[Day]])</f>
        <v>44588</v>
      </c>
      <c r="F68" t="str" cm="1">
        <f t="array" ref="F68">INDEX(INVESTORS_LIST[INVESTOR NAME],MATCH(LS[[#This Row],[Investor ID]],INVESTORS_LIST[INVESTOR CODE],0),)</f>
        <v>MOHAMMAD MONJUR ALAM</v>
      </c>
      <c r="G68" s="19" t="s">
        <v>70</v>
      </c>
      <c r="H68" s="8">
        <f>COUNTIF(LS[[#Headers],[Investor ID]]:LS[[#This Row],[Investor ID]],LS[[#This Row],[Investor ID]])</f>
        <v>1</v>
      </c>
      <c r="I68" s="8" t="str">
        <f>CONCATENATE(LS[[#This Row],[Frequency]],LS[[#This Row],[Investor ID]])</f>
        <v>1A00063</v>
      </c>
      <c r="J68" s="8" t="str">
        <f>IF(LS[[#This Row],[B/S]]="B","BUY",(IF(LS[[#This Row],[B/S]]="S","SELL"," ")))</f>
        <v>BUY</v>
      </c>
      <c r="K68" s="8" t="s">
        <v>301</v>
      </c>
      <c r="L68" s="10">
        <v>100000</v>
      </c>
      <c r="M68" s="10"/>
      <c r="N68" s="168">
        <f>LS[[#This Row],[Amount]]/LS[[#This Row],[Unit]]</f>
        <v>10</v>
      </c>
      <c r="O68" s="11">
        <f t="shared" si="2"/>
        <v>10000</v>
      </c>
      <c r="P68" s="11">
        <f>SUMIFS(LS[[#Headers],[Unit]]:LS[[#This Row],[Unit]],LS[[#Headers],[Investor ID]]:LS[[#This Row],[Investor ID]],LS[[#This Row],[Investor ID]])</f>
        <v>10000</v>
      </c>
      <c r="Q68" s="10">
        <v>100000</v>
      </c>
      <c r="R68" s="6">
        <f>LS[[#This Row],[Amount]]-LS[[#This Row],[Unit Capital]]</f>
        <v>0</v>
      </c>
      <c r="S6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68" s="168">
        <f t="shared" si="3"/>
        <v>12.552</v>
      </c>
      <c r="U6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8" s="10" cm="1">
        <f t="array" ref="V68">IF(LS[[#This Row],[B/S]]="S",ABS(LS[[#This Row],[Unit]])*(INDEX(LS[NAV at Cost (Average)],MATCH(CONCATENATE((LS[[#This Row],[Frequency]]-1),LS[[#This Row],[Investor ID]]),LS[Unique Code],0),0)),0)</f>
        <v>0</v>
      </c>
      <c r="W68" s="10">
        <f>IF(LS[[#This Row],[BO Transfer]]="YES",LS[[#This Row],[Unit]],)</f>
        <v>0</v>
      </c>
      <c r="X68" s="3">
        <f>SUMIFS(LS[[#Headers],[BO UNIT TRANSFER]]:LS[[#This Row],[BO UNIT TRANSFER]],LS[[#Headers],[Investor ID]]:LS[[#This Row],[Investor ID]],LS[[#This Row],[Investor ID]])</f>
        <v>0</v>
      </c>
      <c r="AA68" s="7"/>
    </row>
    <row r="69" spans="2:27">
      <c r="B69" s="8">
        <v>2022</v>
      </c>
      <c r="C69" s="8">
        <v>1</v>
      </c>
      <c r="D69" s="8">
        <v>27</v>
      </c>
      <c r="E69" s="291">
        <f>DATE(LS[[#This Row],[Year]],LS[[#This Row],[Month]],LS[[#This Row],[Day]])</f>
        <v>44588</v>
      </c>
      <c r="F69" t="str" cm="1">
        <f t="array" ref="F69">INDEX(INVESTORS_LIST[INVESTOR NAME],MATCH(LS[[#This Row],[Investor ID]],INVESTORS_LIST[INVESTOR CODE],0),)</f>
        <v>MOHAMMAD MONJUR ALAM</v>
      </c>
      <c r="G69" s="19" t="s">
        <v>70</v>
      </c>
      <c r="H69" s="8">
        <f>COUNTIF(LS[[#Headers],[Investor ID]]:LS[[#This Row],[Investor ID]],LS[[#This Row],[Investor ID]])</f>
        <v>2</v>
      </c>
      <c r="I69" s="8" t="str">
        <f>CONCATENATE(LS[[#This Row],[Frequency]],LS[[#This Row],[Investor ID]])</f>
        <v>2A00063</v>
      </c>
      <c r="J69" s="8" t="str">
        <f>IF(LS[[#This Row],[B/S]]="B","BUY",(IF(LS[[#This Row],[B/S]]="S","SELL"," ")))</f>
        <v>BUY</v>
      </c>
      <c r="K69" s="8" t="s">
        <v>301</v>
      </c>
      <c r="L69" s="10">
        <v>200000</v>
      </c>
      <c r="M69" s="10"/>
      <c r="N69" s="168">
        <f>LS[[#This Row],[Amount]]/LS[[#This Row],[Unit]]</f>
        <v>10</v>
      </c>
      <c r="O69" s="11">
        <f t="shared" si="2"/>
        <v>20000</v>
      </c>
      <c r="P69" s="11">
        <f>SUMIFS(LS[[#Headers],[Unit]]:LS[[#This Row],[Unit]],LS[[#Headers],[Investor ID]]:LS[[#This Row],[Investor ID]],LS[[#This Row],[Investor ID]])</f>
        <v>30000</v>
      </c>
      <c r="Q69" s="10">
        <v>200000</v>
      </c>
      <c r="R69" s="6">
        <f>LS[[#This Row],[Amount]]-LS[[#This Row],[Unit Capital]]</f>
        <v>0</v>
      </c>
      <c r="S6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69" s="168">
        <f t="shared" si="3"/>
        <v>12.552</v>
      </c>
      <c r="U6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9" s="10" cm="1">
        <f t="array" ref="V69">IF(LS[[#This Row],[B/S]]="S",ABS(LS[[#This Row],[Unit]])*(INDEX(LS[NAV at Cost (Average)],MATCH(CONCATENATE((LS[[#This Row],[Frequency]]-1),LS[[#This Row],[Investor ID]]),LS[Unique Code],0),0)),0)</f>
        <v>0</v>
      </c>
      <c r="W69" s="10">
        <f>IF(LS[[#This Row],[BO Transfer]]="YES",LS[[#This Row],[Unit]],)</f>
        <v>0</v>
      </c>
      <c r="X69" s="3">
        <f>SUMIFS(LS[[#Headers],[BO UNIT TRANSFER]]:LS[[#This Row],[BO UNIT TRANSFER]],LS[[#Headers],[Investor ID]]:LS[[#This Row],[Investor ID]],LS[[#This Row],[Investor ID]])</f>
        <v>0</v>
      </c>
      <c r="AA69" s="7"/>
    </row>
    <row r="70" spans="2:27">
      <c r="B70" s="8">
        <v>2022</v>
      </c>
      <c r="C70" s="8">
        <v>1</v>
      </c>
      <c r="D70" s="8">
        <v>27</v>
      </c>
      <c r="E70" s="291">
        <f>DATE(LS[[#This Row],[Year]],LS[[#This Row],[Month]],LS[[#This Row],[Day]])</f>
        <v>44588</v>
      </c>
      <c r="F70" t="str" cm="1">
        <f t="array" ref="F70">INDEX(INVESTORS_LIST[INVESTOR NAME],MATCH(LS[[#This Row],[Investor ID]],INVESTORS_LIST[INVESTOR CODE],0),)</f>
        <v>MOHAMMAD MONJUR ALAM</v>
      </c>
      <c r="G70" s="19" t="s">
        <v>70</v>
      </c>
      <c r="H70" s="8">
        <f>COUNTIF(LS[[#Headers],[Investor ID]]:LS[[#This Row],[Investor ID]],LS[[#This Row],[Investor ID]])</f>
        <v>3</v>
      </c>
      <c r="I70" s="8" t="str">
        <f>CONCATENATE(LS[[#This Row],[Frequency]],LS[[#This Row],[Investor ID]])</f>
        <v>3A00063</v>
      </c>
      <c r="J70" s="8" t="str">
        <f>IF(LS[[#This Row],[B/S]]="B","BUY",(IF(LS[[#This Row],[B/S]]="S","SELL"," ")))</f>
        <v>BUY</v>
      </c>
      <c r="K70" s="8" t="s">
        <v>301</v>
      </c>
      <c r="L70" s="10">
        <v>200000</v>
      </c>
      <c r="M70" s="10"/>
      <c r="N70" s="168">
        <f>LS[[#This Row],[Amount]]/LS[[#This Row],[Unit]]</f>
        <v>10</v>
      </c>
      <c r="O70" s="11">
        <f>Q70/10</f>
        <v>20000</v>
      </c>
      <c r="P70" s="11">
        <f>SUMIFS(LS[[#Headers],[Unit]]:LS[[#This Row],[Unit]],LS[[#Headers],[Investor ID]]:LS[[#This Row],[Investor ID]],LS[[#This Row],[Investor ID]])</f>
        <v>50000</v>
      </c>
      <c r="Q70" s="10">
        <v>200000</v>
      </c>
      <c r="R70" s="6">
        <f>LS[[#This Row],[Amount]]-LS[[#This Row],[Unit Capital]]</f>
        <v>0</v>
      </c>
      <c r="S7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70" s="168">
        <f t="shared" si="3"/>
        <v>12.552</v>
      </c>
      <c r="U7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0" s="10" cm="1">
        <f t="array" ref="V70">IF(LS[[#This Row],[B/S]]="S",ABS(LS[[#This Row],[Unit]])*(INDEX(LS[NAV at Cost (Average)],MATCH(CONCATENATE((LS[[#This Row],[Frequency]]-1),LS[[#This Row],[Investor ID]]),LS[Unique Code],0),0)),0)</f>
        <v>0</v>
      </c>
      <c r="W70" s="10">
        <f>IF(LS[[#This Row],[BO Transfer]]="YES",LS[[#This Row],[Unit]],)</f>
        <v>0</v>
      </c>
      <c r="X70" s="3">
        <f>SUMIFS(LS[[#Headers],[BO UNIT TRANSFER]]:LS[[#This Row],[BO UNIT TRANSFER]],LS[[#Headers],[Investor ID]]:LS[[#This Row],[Investor ID]],LS[[#This Row],[Investor ID]])</f>
        <v>0</v>
      </c>
      <c r="AA70" s="7"/>
    </row>
    <row r="71" spans="2:27">
      <c r="B71" s="8">
        <v>2022</v>
      </c>
      <c r="C71" s="8">
        <v>1</v>
      </c>
      <c r="D71" s="8">
        <v>27</v>
      </c>
      <c r="E71" s="291">
        <f>DATE(LS[[#This Row],[Year]],LS[[#This Row],[Month]],LS[[#This Row],[Day]])</f>
        <v>44588</v>
      </c>
      <c r="F71" t="str" cm="1">
        <f t="array" ref="F71">INDEX(INVESTORS_LIST[INVESTOR NAME],MATCH(LS[[#This Row],[Investor ID]],INVESTORS_LIST[INVESTOR CODE],0),)</f>
        <v>GOURI TOSH PAUL</v>
      </c>
      <c r="G71" s="19" t="s">
        <v>416</v>
      </c>
      <c r="H71" s="8">
        <f>COUNTIF(LS[[#Headers],[Investor ID]]:LS[[#This Row],[Investor ID]],LS[[#This Row],[Investor ID]])</f>
        <v>1</v>
      </c>
      <c r="I71" s="8" t="str">
        <f>CONCATENATE(LS[[#This Row],[Frequency]],LS[[#This Row],[Investor ID]])</f>
        <v>1A00279</v>
      </c>
      <c r="J71" s="8" t="str">
        <f>IF(LS[[#This Row],[B/S]]="B","BUY",(IF(LS[[#This Row],[B/S]]="S","SELL"," ")))</f>
        <v>BUY</v>
      </c>
      <c r="K71" s="8" t="s">
        <v>301</v>
      </c>
      <c r="L71" s="10">
        <v>400000</v>
      </c>
      <c r="M71" s="10"/>
      <c r="N71" s="168">
        <f>LS[[#This Row],[Amount]]/LS[[#This Row],[Unit]]</f>
        <v>10</v>
      </c>
      <c r="O71" s="11">
        <f t="shared" si="2"/>
        <v>40000</v>
      </c>
      <c r="P71" s="11">
        <f>SUMIFS(LS[[#Headers],[Unit]]:LS[[#This Row],[Unit]],LS[[#Headers],[Investor ID]]:LS[[#This Row],[Investor ID]],LS[[#This Row],[Investor ID]])</f>
        <v>40000</v>
      </c>
      <c r="Q71" s="10">
        <v>400000</v>
      </c>
      <c r="R71" s="6">
        <f>LS[[#This Row],[Amount]]-LS[[#This Row],[Unit Capital]]</f>
        <v>0</v>
      </c>
      <c r="S7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71" s="168">
        <f t="shared" si="3"/>
        <v>12.552</v>
      </c>
      <c r="U7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1" s="10" cm="1">
        <f t="array" ref="V71">IF(LS[[#This Row],[B/S]]="S",ABS(LS[[#This Row],[Unit]])*(INDEX(LS[NAV at Cost (Average)],MATCH(CONCATENATE((LS[[#This Row],[Frequency]]-1),LS[[#This Row],[Investor ID]]),LS[Unique Code],0),0)),0)</f>
        <v>0</v>
      </c>
      <c r="W71" s="10">
        <f>IF(LS[[#This Row],[BO Transfer]]="YES",LS[[#This Row],[Unit]],)</f>
        <v>0</v>
      </c>
      <c r="X71" s="3">
        <f>SUMIFS(LS[[#Headers],[BO UNIT TRANSFER]]:LS[[#This Row],[BO UNIT TRANSFER]],LS[[#Headers],[Investor ID]]:LS[[#This Row],[Investor ID]],LS[[#This Row],[Investor ID]])</f>
        <v>0</v>
      </c>
      <c r="AA71" s="7"/>
    </row>
    <row r="72" spans="2:27">
      <c r="B72" s="8">
        <v>2022</v>
      </c>
      <c r="C72" s="8">
        <v>1</v>
      </c>
      <c r="D72" s="8">
        <v>27</v>
      </c>
      <c r="E72" s="291">
        <f>DATE(LS[[#This Row],[Year]],LS[[#This Row],[Month]],LS[[#This Row],[Day]])</f>
        <v>44588</v>
      </c>
      <c r="F72" t="str" cm="1">
        <f t="array" ref="F72">INDEX(INVESTORS_LIST[INVESTOR NAME],MATCH(LS[[#This Row],[Investor ID]],INVESTORS_LIST[INVESTOR CODE],0),)</f>
        <v>SHAHED UDDIN MOHAMMED PARVEZ</v>
      </c>
      <c r="G72" s="19" t="s">
        <v>597</v>
      </c>
      <c r="H72" s="8">
        <f>COUNTIF(LS[[#Headers],[Investor ID]]:LS[[#This Row],[Investor ID]],LS[[#This Row],[Investor ID]])</f>
        <v>3</v>
      </c>
      <c r="I72" s="8" t="str">
        <f>CONCATENATE(LS[[#This Row],[Frequency]],LS[[#This Row],[Investor ID]])</f>
        <v>3A00335</v>
      </c>
      <c r="J72" s="8" t="str">
        <f>IF(LS[[#This Row],[B/S]]="B","BUY",(IF(LS[[#This Row],[B/S]]="S","SELL"," ")))</f>
        <v>BUY</v>
      </c>
      <c r="K72" s="8" t="s">
        <v>301</v>
      </c>
      <c r="L72" s="10">
        <v>200000</v>
      </c>
      <c r="M72" s="10"/>
      <c r="N72" s="168">
        <f>LS[[#This Row],[Amount]]/LS[[#This Row],[Unit]]</f>
        <v>10</v>
      </c>
      <c r="O72" s="11">
        <f t="shared" si="2"/>
        <v>20000</v>
      </c>
      <c r="P72" s="11">
        <f>SUMIFS(LS[[#Headers],[Unit]]:LS[[#This Row],[Unit]],LS[[#Headers],[Investor ID]]:LS[[#This Row],[Investor ID]],LS[[#This Row],[Investor ID]])</f>
        <v>100000</v>
      </c>
      <c r="Q72" s="10">
        <v>200000</v>
      </c>
      <c r="R72" s="6">
        <f>LS[[#This Row],[Amount]]-LS[[#This Row],[Unit Capital]]</f>
        <v>0</v>
      </c>
      <c r="S7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72" s="168">
        <f t="shared" si="3"/>
        <v>12.552</v>
      </c>
      <c r="U7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2" s="10" cm="1">
        <f t="array" ref="V72">IF(LS[[#This Row],[B/S]]="S",ABS(LS[[#This Row],[Unit]])*(INDEX(LS[NAV at Cost (Average)],MATCH(CONCATENATE((LS[[#This Row],[Frequency]]-1),LS[[#This Row],[Investor ID]]),LS[Unique Code],0),0)),0)</f>
        <v>0</v>
      </c>
      <c r="W72" s="10">
        <f>IF(LS[[#This Row],[BO Transfer]]="YES",LS[[#This Row],[Unit]],)</f>
        <v>0</v>
      </c>
      <c r="X72" s="3">
        <f>SUMIFS(LS[[#Headers],[BO UNIT TRANSFER]]:LS[[#This Row],[BO UNIT TRANSFER]],LS[[#Headers],[Investor ID]]:LS[[#This Row],[Investor ID]],LS[[#This Row],[Investor ID]])</f>
        <v>0</v>
      </c>
      <c r="AA72" s="7"/>
    </row>
    <row r="73" spans="2:27">
      <c r="B73" s="8">
        <v>2022</v>
      </c>
      <c r="C73" s="8">
        <v>1</v>
      </c>
      <c r="D73" s="8">
        <v>27</v>
      </c>
      <c r="E73" s="291">
        <f>DATE(LS[[#This Row],[Year]],LS[[#This Row],[Month]],LS[[#This Row],[Day]])</f>
        <v>44588</v>
      </c>
      <c r="F73" t="str" cm="1">
        <f t="array" ref="F73">INDEX(INVESTORS_LIST[INVESTOR NAME],MATCH(LS[[#This Row],[Investor ID]],INVESTORS_LIST[INVESTOR CODE],0),)</f>
        <v>UNICAP SECURITIES LIMITED</v>
      </c>
      <c r="G73" s="19" t="s">
        <v>37</v>
      </c>
      <c r="H73" s="8">
        <f>COUNTIF(LS[[#Headers],[Investor ID]]:LS[[#This Row],[Investor ID]],LS[[#This Row],[Investor ID]])</f>
        <v>1</v>
      </c>
      <c r="I73" s="8" t="str">
        <f>CONCATENATE(LS[[#This Row],[Frequency]],LS[[#This Row],[Investor ID]])</f>
        <v>1A00030</v>
      </c>
      <c r="J73" s="8" t="str">
        <f>IF(LS[[#This Row],[B/S]]="B","BUY",(IF(LS[[#This Row],[B/S]]="S","SELL"," ")))</f>
        <v>BUY</v>
      </c>
      <c r="K73" s="8" t="s">
        <v>301</v>
      </c>
      <c r="L73" s="10">
        <v>5000000</v>
      </c>
      <c r="M73" s="10"/>
      <c r="N73" s="168">
        <f>LS[[#This Row],[Amount]]/LS[[#This Row],[Unit]]</f>
        <v>10</v>
      </c>
      <c r="O73" s="11">
        <f t="shared" si="2"/>
        <v>500000</v>
      </c>
      <c r="P73" s="11">
        <f>SUMIFS(LS[[#Headers],[Unit]]:LS[[#This Row],[Unit]],LS[[#Headers],[Investor ID]]:LS[[#This Row],[Investor ID]],LS[[#This Row],[Investor ID]])</f>
        <v>500000</v>
      </c>
      <c r="Q73" s="10">
        <v>5000000</v>
      </c>
      <c r="R73" s="6">
        <f>LS[[#This Row],[Amount]]-LS[[#This Row],[Unit Capital]]</f>
        <v>0</v>
      </c>
      <c r="S7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73" s="168">
        <f t="shared" si="3"/>
        <v>12.552</v>
      </c>
      <c r="U7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3" s="10" cm="1">
        <f t="array" ref="V73">IF(LS[[#This Row],[B/S]]="S",ABS(LS[[#This Row],[Unit]])*(INDEX(LS[NAV at Cost (Average)],MATCH(CONCATENATE((LS[[#This Row],[Frequency]]-1),LS[[#This Row],[Investor ID]]),LS[Unique Code],0),0)),0)</f>
        <v>0</v>
      </c>
      <c r="W73" s="10">
        <f>IF(LS[[#This Row],[BO Transfer]]="YES",LS[[#This Row],[Unit]],)</f>
        <v>0</v>
      </c>
      <c r="X73" s="3">
        <f>SUMIFS(LS[[#Headers],[BO UNIT TRANSFER]]:LS[[#This Row],[BO UNIT TRANSFER]],LS[[#Headers],[Investor ID]]:LS[[#This Row],[Investor ID]],LS[[#This Row],[Investor ID]])</f>
        <v>0</v>
      </c>
      <c r="AA73" s="7"/>
    </row>
    <row r="74" spans="2:27">
      <c r="B74" s="8">
        <v>2022</v>
      </c>
      <c r="C74" s="8">
        <v>1</v>
      </c>
      <c r="D74" s="8">
        <v>27</v>
      </c>
      <c r="E74" s="291">
        <f>DATE(LS[[#This Row],[Year]],LS[[#This Row],[Month]],LS[[#This Row],[Day]])</f>
        <v>44588</v>
      </c>
      <c r="F74" t="str" cm="1">
        <f t="array" ref="F74">INDEX(INVESTORS_LIST[INVESTOR NAME],MATCH(LS[[#This Row],[Investor ID]],INVESTORS_LIST[INVESTOR CODE],0),)</f>
        <v>ANJAN MALLIK</v>
      </c>
      <c r="G74" s="19" t="s">
        <v>353</v>
      </c>
      <c r="H74" s="8">
        <f>COUNTIF(LS[[#Headers],[Investor ID]]:LS[[#This Row],[Investor ID]],LS[[#This Row],[Investor ID]])</f>
        <v>1</v>
      </c>
      <c r="I74" s="8" t="str">
        <f>CONCATENATE(LS[[#This Row],[Frequency]],LS[[#This Row],[Investor ID]])</f>
        <v>1A00248</v>
      </c>
      <c r="J74" s="8" t="str">
        <f>IF(LS[[#This Row],[B/S]]="B","BUY",(IF(LS[[#This Row],[B/S]]="S","SELL"," ")))</f>
        <v>BUY</v>
      </c>
      <c r="K74" s="8" t="s">
        <v>301</v>
      </c>
      <c r="L74" s="10">
        <v>2500000</v>
      </c>
      <c r="M74" s="10"/>
      <c r="N74" s="168">
        <f>LS[[#This Row],[Amount]]/LS[[#This Row],[Unit]]</f>
        <v>10</v>
      </c>
      <c r="O74" s="11">
        <f t="shared" si="2"/>
        <v>250000</v>
      </c>
      <c r="P74" s="11">
        <f>SUMIFS(LS[[#Headers],[Unit]]:LS[[#This Row],[Unit]],LS[[#Headers],[Investor ID]]:LS[[#This Row],[Investor ID]],LS[[#This Row],[Investor ID]])</f>
        <v>250000</v>
      </c>
      <c r="Q74" s="10">
        <v>2500000</v>
      </c>
      <c r="R74" s="6">
        <f>LS[[#This Row],[Amount]]-LS[[#This Row],[Unit Capital]]</f>
        <v>0</v>
      </c>
      <c r="S7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74" s="168">
        <f t="shared" si="3"/>
        <v>12.552</v>
      </c>
      <c r="U7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4" s="10" cm="1">
        <f t="array" ref="V74">IF(LS[[#This Row],[B/S]]="S",ABS(LS[[#This Row],[Unit]])*(INDEX(LS[NAV at Cost (Average)],MATCH(CONCATENATE((LS[[#This Row],[Frequency]]-1),LS[[#This Row],[Investor ID]]),LS[Unique Code],0),0)),0)</f>
        <v>0</v>
      </c>
      <c r="W74" s="10">
        <f>IF(LS[[#This Row],[BO Transfer]]="YES",LS[[#This Row],[Unit]],)</f>
        <v>0</v>
      </c>
      <c r="X74" s="3">
        <f>SUMIFS(LS[[#Headers],[BO UNIT TRANSFER]]:LS[[#This Row],[BO UNIT TRANSFER]],LS[[#Headers],[Investor ID]]:LS[[#This Row],[Investor ID]],LS[[#This Row],[Investor ID]])</f>
        <v>0</v>
      </c>
      <c r="AA74" s="7"/>
    </row>
    <row r="75" spans="2:27">
      <c r="B75" s="8">
        <v>2022</v>
      </c>
      <c r="C75" s="8">
        <v>1</v>
      </c>
      <c r="D75" s="8">
        <v>27</v>
      </c>
      <c r="E75" s="291">
        <f>DATE(LS[[#This Row],[Year]],LS[[#This Row],[Month]],LS[[#This Row],[Day]])</f>
        <v>44588</v>
      </c>
      <c r="F75" t="str" cm="1">
        <f t="array" ref="F75">INDEX(INVESTORS_LIST[INVESTOR NAME],MATCH(LS[[#This Row],[Investor ID]],INVESTORS_LIST[INVESTOR CODE],0),)</f>
        <v>FARUQUE AHMED &amp; ZAHEDA BEGUM HENA</v>
      </c>
      <c r="G75" s="19" t="s">
        <v>260</v>
      </c>
      <c r="H75" s="8">
        <f>COUNTIF(LS[[#Headers],[Investor ID]]:LS[[#This Row],[Investor ID]],LS[[#This Row],[Investor ID]])</f>
        <v>1</v>
      </c>
      <c r="I75" s="8" t="str">
        <f>CONCATENATE(LS[[#This Row],[Frequency]],LS[[#This Row],[Investor ID]])</f>
        <v>1A00210</v>
      </c>
      <c r="J75" s="8" t="str">
        <f>IF(LS[[#This Row],[B/S]]="B","BUY",(IF(LS[[#This Row],[B/S]]="S","SELL"," ")))</f>
        <v>BUY</v>
      </c>
      <c r="K75" s="8" t="s">
        <v>301</v>
      </c>
      <c r="L75" s="10">
        <v>2000000</v>
      </c>
      <c r="M75" s="10"/>
      <c r="N75" s="168">
        <f>LS[[#This Row],[Amount]]/LS[[#This Row],[Unit]]</f>
        <v>10</v>
      </c>
      <c r="O75" s="11">
        <f t="shared" si="2"/>
        <v>200000</v>
      </c>
      <c r="P75" s="11">
        <f>SUMIFS(LS[[#Headers],[Unit]]:LS[[#This Row],[Unit]],LS[[#Headers],[Investor ID]]:LS[[#This Row],[Investor ID]],LS[[#This Row],[Investor ID]])</f>
        <v>200000</v>
      </c>
      <c r="Q75" s="10">
        <v>2000000</v>
      </c>
      <c r="R75" s="6">
        <f>LS[[#This Row],[Amount]]-LS[[#This Row],[Unit Capital]]</f>
        <v>0</v>
      </c>
      <c r="S7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75" s="168">
        <f t="shared" si="3"/>
        <v>12.552</v>
      </c>
      <c r="U7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5" s="10" cm="1">
        <f t="array" ref="V75">IF(LS[[#This Row],[B/S]]="S",ABS(LS[[#This Row],[Unit]])*(INDEX(LS[NAV at Cost (Average)],MATCH(CONCATENATE((LS[[#This Row],[Frequency]]-1),LS[[#This Row],[Investor ID]]),LS[Unique Code],0),0)),0)</f>
        <v>0</v>
      </c>
      <c r="W75" s="10">
        <f>IF(LS[[#This Row],[BO Transfer]]="YES",LS[[#This Row],[Unit]],)</f>
        <v>0</v>
      </c>
      <c r="X75" s="3">
        <f>SUMIFS(LS[[#Headers],[BO UNIT TRANSFER]]:LS[[#This Row],[BO UNIT TRANSFER]],LS[[#Headers],[Investor ID]]:LS[[#This Row],[Investor ID]],LS[[#This Row],[Investor ID]])</f>
        <v>0</v>
      </c>
      <c r="Y75" s="6"/>
      <c r="Z75" s="6"/>
      <c r="AA75" s="7"/>
    </row>
    <row r="76" spans="2:27">
      <c r="B76" s="8">
        <v>2022</v>
      </c>
      <c r="C76" s="8">
        <v>1</v>
      </c>
      <c r="D76" s="8">
        <v>27</v>
      </c>
      <c r="E76" s="291">
        <f>DATE(LS[[#This Row],[Year]],LS[[#This Row],[Month]],LS[[#This Row],[Day]])</f>
        <v>44588</v>
      </c>
      <c r="F76" t="str" cm="1">
        <f t="array" ref="F76">INDEX(INVESTORS_LIST[INVESTOR NAME],MATCH(LS[[#This Row],[Investor ID]],INVESTORS_LIST[INVESTOR CODE],0),)</f>
        <v>NEXXEN EQUITY MANAGEMENT LIMITED</v>
      </c>
      <c r="G76" s="19" t="s">
        <v>639</v>
      </c>
      <c r="H76" s="8">
        <f>COUNTIF(LS[[#Headers],[Investor ID]]:LS[[#This Row],[Investor ID]],LS[[#This Row],[Investor ID]])</f>
        <v>1</v>
      </c>
      <c r="I76" s="8" t="str">
        <f>CONCATENATE(LS[[#This Row],[Frequency]],LS[[#This Row],[Investor ID]])</f>
        <v>1A00346</v>
      </c>
      <c r="J76" s="8" t="str">
        <f>IF(LS[[#This Row],[B/S]]="B","BUY",(IF(LS[[#This Row],[B/S]]="S","SELL"," ")))</f>
        <v>BUY</v>
      </c>
      <c r="K76" s="8" t="s">
        <v>301</v>
      </c>
      <c r="L76" s="10">
        <v>2000000</v>
      </c>
      <c r="M76" s="10"/>
      <c r="N76" s="168">
        <f>LS[[#This Row],[Amount]]/LS[[#This Row],[Unit]]</f>
        <v>10</v>
      </c>
      <c r="O76" s="11">
        <f t="shared" si="2"/>
        <v>200000</v>
      </c>
      <c r="P76" s="11">
        <f>SUMIFS(LS[[#Headers],[Unit]]:LS[[#This Row],[Unit]],LS[[#Headers],[Investor ID]]:LS[[#This Row],[Investor ID]],LS[[#This Row],[Investor ID]])</f>
        <v>200000</v>
      </c>
      <c r="Q76" s="10">
        <v>2000000</v>
      </c>
      <c r="R76" s="6">
        <f>LS[[#This Row],[Amount]]-LS[[#This Row],[Unit Capital]]</f>
        <v>0</v>
      </c>
      <c r="S7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76" s="168">
        <f t="shared" si="3"/>
        <v>12.552</v>
      </c>
      <c r="U7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6" s="10" cm="1">
        <f t="array" ref="V76">IF(LS[[#This Row],[B/S]]="S",ABS(LS[[#This Row],[Unit]])*(INDEX(LS[NAV at Cost (Average)],MATCH(CONCATENATE((LS[[#This Row],[Frequency]]-1),LS[[#This Row],[Investor ID]]),LS[Unique Code],0),0)),0)</f>
        <v>0</v>
      </c>
      <c r="W76" s="10">
        <f>IF(LS[[#This Row],[BO Transfer]]="YES",LS[[#This Row],[Unit]],)</f>
        <v>0</v>
      </c>
      <c r="X76" s="3">
        <f>SUMIFS(LS[[#Headers],[BO UNIT TRANSFER]]:LS[[#This Row],[BO UNIT TRANSFER]],LS[[#Headers],[Investor ID]]:LS[[#This Row],[Investor ID]],LS[[#This Row],[Investor ID]])</f>
        <v>0</v>
      </c>
      <c r="AA76" s="7"/>
    </row>
    <row r="77" spans="2:27">
      <c r="B77" s="8">
        <v>2022</v>
      </c>
      <c r="C77" s="8">
        <v>1</v>
      </c>
      <c r="D77" s="8">
        <v>27</v>
      </c>
      <c r="E77" s="291">
        <f>DATE(LS[[#This Row],[Year]],LS[[#This Row],[Month]],LS[[#This Row],[Day]])</f>
        <v>44588</v>
      </c>
      <c r="F77" t="str" cm="1">
        <f t="array" ref="F77">INDEX(INVESTORS_LIST[INVESTOR NAME],MATCH(LS[[#This Row],[Investor ID]],INVESTORS_LIST[INVESTOR CODE],0),)</f>
        <v>GOURI TOSH PAUL</v>
      </c>
      <c r="G77" s="19" t="s">
        <v>416</v>
      </c>
      <c r="H77" s="8">
        <f>COUNTIF(LS[[#Headers],[Investor ID]]:LS[[#This Row],[Investor ID]],LS[[#This Row],[Investor ID]])</f>
        <v>2</v>
      </c>
      <c r="I77" s="8" t="str">
        <f>CONCATENATE(LS[[#This Row],[Frequency]],LS[[#This Row],[Investor ID]])</f>
        <v>2A00279</v>
      </c>
      <c r="J77" s="8" t="str">
        <f>IF(LS[[#This Row],[B/S]]="B","BUY",(IF(LS[[#This Row],[B/S]]="S","SELL"," ")))</f>
        <v>BUY</v>
      </c>
      <c r="K77" s="8" t="s">
        <v>301</v>
      </c>
      <c r="L77" s="10">
        <v>1000000</v>
      </c>
      <c r="M77" s="10"/>
      <c r="N77" s="168">
        <f>LS[[#This Row],[Amount]]/LS[[#This Row],[Unit]]</f>
        <v>10</v>
      </c>
      <c r="O77" s="11">
        <f t="shared" si="2"/>
        <v>100000</v>
      </c>
      <c r="P77" s="11">
        <f>SUMIFS(LS[[#Headers],[Unit]]:LS[[#This Row],[Unit]],LS[[#Headers],[Investor ID]]:LS[[#This Row],[Investor ID]],LS[[#This Row],[Investor ID]])</f>
        <v>140000</v>
      </c>
      <c r="Q77" s="10">
        <v>1000000</v>
      </c>
      <c r="R77" s="6">
        <f>LS[[#This Row],[Amount]]-LS[[#This Row],[Unit Capital]]</f>
        <v>0</v>
      </c>
      <c r="S7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77" s="168">
        <f t="shared" si="3"/>
        <v>12.552</v>
      </c>
      <c r="U7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7" s="10" cm="1">
        <f t="array" ref="V77">IF(LS[[#This Row],[B/S]]="S",ABS(LS[[#This Row],[Unit]])*(INDEX(LS[NAV at Cost (Average)],MATCH(CONCATENATE((LS[[#This Row],[Frequency]]-1),LS[[#This Row],[Investor ID]]),LS[Unique Code],0),0)),0)</f>
        <v>0</v>
      </c>
      <c r="W77" s="10">
        <f>IF(LS[[#This Row],[BO Transfer]]="YES",LS[[#This Row],[Unit]],)</f>
        <v>0</v>
      </c>
      <c r="X77" s="3">
        <f>SUMIFS(LS[[#Headers],[BO UNIT TRANSFER]]:LS[[#This Row],[BO UNIT TRANSFER]],LS[[#Headers],[Investor ID]]:LS[[#This Row],[Investor ID]],LS[[#This Row],[Investor ID]])</f>
        <v>0</v>
      </c>
      <c r="AA77" s="7"/>
    </row>
    <row r="78" spans="2:27">
      <c r="B78" s="8">
        <v>2022</v>
      </c>
      <c r="C78" s="8">
        <v>1</v>
      </c>
      <c r="D78" s="8">
        <v>27</v>
      </c>
      <c r="E78" s="291">
        <f>DATE(LS[[#This Row],[Year]],LS[[#This Row],[Month]],LS[[#This Row],[Day]])</f>
        <v>44588</v>
      </c>
      <c r="F78" t="str" cm="1">
        <f t="array" ref="F78">INDEX(INVESTORS_LIST[INVESTOR NAME],MATCH(LS[[#This Row],[Investor ID]],INVESTORS_LIST[INVESTOR CODE],0),)</f>
        <v>SHANTA PAUL</v>
      </c>
      <c r="G78" s="19" t="s">
        <v>351</v>
      </c>
      <c r="H78" s="8">
        <f>COUNTIF(LS[[#Headers],[Investor ID]]:LS[[#This Row],[Investor ID]],LS[[#This Row],[Investor ID]])</f>
        <v>1</v>
      </c>
      <c r="I78" s="8" t="str">
        <f>CONCATENATE(LS[[#This Row],[Frequency]],LS[[#This Row],[Investor ID]])</f>
        <v>1A00247</v>
      </c>
      <c r="J78" s="8" t="str">
        <f>IF(LS[[#This Row],[B/S]]="B","BUY",(IF(LS[[#This Row],[B/S]]="S","SELL"," ")))</f>
        <v>BUY</v>
      </c>
      <c r="K78" s="8" t="s">
        <v>301</v>
      </c>
      <c r="L78" s="10">
        <v>1000000</v>
      </c>
      <c r="M78" s="10"/>
      <c r="N78" s="168">
        <f>LS[[#This Row],[Amount]]/LS[[#This Row],[Unit]]</f>
        <v>10</v>
      </c>
      <c r="O78" s="11">
        <f t="shared" si="2"/>
        <v>100000</v>
      </c>
      <c r="P78" s="11">
        <f>SUMIFS(LS[[#Headers],[Unit]]:LS[[#This Row],[Unit]],LS[[#Headers],[Investor ID]]:LS[[#This Row],[Investor ID]],LS[[#This Row],[Investor ID]])</f>
        <v>100000</v>
      </c>
      <c r="Q78" s="10">
        <v>1000000</v>
      </c>
      <c r="R78" s="6">
        <f>LS[[#This Row],[Amount]]-LS[[#This Row],[Unit Capital]]</f>
        <v>0</v>
      </c>
      <c r="S7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78" s="168">
        <f t="shared" si="3"/>
        <v>12.552</v>
      </c>
      <c r="U7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8" s="10" cm="1">
        <f t="array" ref="V78">IF(LS[[#This Row],[B/S]]="S",ABS(LS[[#This Row],[Unit]])*(INDEX(LS[NAV at Cost (Average)],MATCH(CONCATENATE((LS[[#This Row],[Frequency]]-1),LS[[#This Row],[Investor ID]]),LS[Unique Code],0),0)),0)</f>
        <v>0</v>
      </c>
      <c r="W78" s="10">
        <f>IF(LS[[#This Row],[BO Transfer]]="YES",LS[[#This Row],[Unit]],)</f>
        <v>0</v>
      </c>
      <c r="X78" s="3">
        <f>SUMIFS(LS[[#Headers],[BO UNIT TRANSFER]]:LS[[#This Row],[BO UNIT TRANSFER]],LS[[#Headers],[Investor ID]]:LS[[#This Row],[Investor ID]],LS[[#This Row],[Investor ID]])</f>
        <v>0</v>
      </c>
      <c r="AA78" s="7"/>
    </row>
    <row r="79" spans="2:27">
      <c r="B79" s="8">
        <v>2022</v>
      </c>
      <c r="C79" s="8">
        <v>1</v>
      </c>
      <c r="D79" s="8">
        <v>27</v>
      </c>
      <c r="E79" s="291">
        <f>DATE(LS[[#This Row],[Year]],LS[[#This Row],[Month]],LS[[#This Row],[Day]])</f>
        <v>44588</v>
      </c>
      <c r="F79" t="str" cm="1">
        <f t="array" ref="F79">INDEX(INVESTORS_LIST[INVESTOR NAME],MATCH(LS[[#This Row],[Investor ID]],INVESTORS_LIST[INVESTOR CODE],0),)</f>
        <v>EVEREST PHARMACEUTICALS LTD. EMPLOYEES CONTRIBUTORY PROVIDENT FUND</v>
      </c>
      <c r="G79" s="19" t="s">
        <v>641</v>
      </c>
      <c r="H79" s="8">
        <f>COUNTIF(LS[[#Headers],[Investor ID]]:LS[[#This Row],[Investor ID]],LS[[#This Row],[Investor ID]])</f>
        <v>1</v>
      </c>
      <c r="I79" s="8" t="str">
        <f>CONCATENATE(LS[[#This Row],[Frequency]],LS[[#This Row],[Investor ID]])</f>
        <v>1A00347</v>
      </c>
      <c r="J79" s="8" t="str">
        <f>IF(LS[[#This Row],[B/S]]="B","BUY",(IF(LS[[#This Row],[B/S]]="S","SELL"," ")))</f>
        <v>BUY</v>
      </c>
      <c r="K79" s="8" t="s">
        <v>301</v>
      </c>
      <c r="L79" s="10">
        <v>1000000</v>
      </c>
      <c r="M79" s="10"/>
      <c r="N79" s="168">
        <f>LS[[#This Row],[Amount]]/LS[[#This Row],[Unit]]</f>
        <v>10</v>
      </c>
      <c r="O79" s="11">
        <f t="shared" si="2"/>
        <v>100000</v>
      </c>
      <c r="P79" s="11">
        <f>SUMIFS(LS[[#Headers],[Unit]]:LS[[#This Row],[Unit]],LS[[#Headers],[Investor ID]]:LS[[#This Row],[Investor ID]],LS[[#This Row],[Investor ID]])</f>
        <v>100000</v>
      </c>
      <c r="Q79" s="10">
        <v>1000000</v>
      </c>
      <c r="R79" s="6">
        <f>LS[[#This Row],[Amount]]-LS[[#This Row],[Unit Capital]]</f>
        <v>0</v>
      </c>
      <c r="S7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79" s="168">
        <f t="shared" si="3"/>
        <v>12.552</v>
      </c>
      <c r="U7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9" s="10" cm="1">
        <f t="array" ref="V79">IF(LS[[#This Row],[B/S]]="S",ABS(LS[[#This Row],[Unit]])*(INDEX(LS[NAV at Cost (Average)],MATCH(CONCATENATE((LS[[#This Row],[Frequency]]-1),LS[[#This Row],[Investor ID]]),LS[Unique Code],0),0)),0)</f>
        <v>0</v>
      </c>
      <c r="W79" s="10">
        <f>IF(LS[[#This Row],[BO Transfer]]="YES",LS[[#This Row],[Unit]],)</f>
        <v>0</v>
      </c>
      <c r="X79" s="3">
        <f>SUMIFS(LS[[#Headers],[BO UNIT TRANSFER]]:LS[[#This Row],[BO UNIT TRANSFER]],LS[[#Headers],[Investor ID]]:LS[[#This Row],[Investor ID]],LS[[#This Row],[Investor ID]])</f>
        <v>0</v>
      </c>
      <c r="AA79" s="7"/>
    </row>
    <row r="80" spans="2:27">
      <c r="B80" s="8">
        <v>2022</v>
      </c>
      <c r="C80" s="8">
        <v>1</v>
      </c>
      <c r="D80" s="8">
        <v>27</v>
      </c>
      <c r="E80" s="291">
        <f>DATE(LS[[#This Row],[Year]],LS[[#This Row],[Month]],LS[[#This Row],[Day]])</f>
        <v>44588</v>
      </c>
      <c r="F80" t="str" cm="1">
        <f t="array" ref="F80">INDEX(INVESTORS_LIST[INVESTOR NAME],MATCH(LS[[#This Row],[Investor ID]],INVESTORS_LIST[INVESTOR CODE],0),)</f>
        <v>A.K.M. ANWARUL HOQ</v>
      </c>
      <c r="G80" s="19" t="s">
        <v>643</v>
      </c>
      <c r="H80" s="8">
        <f>COUNTIF(LS[[#Headers],[Investor ID]]:LS[[#This Row],[Investor ID]],LS[[#This Row],[Investor ID]])</f>
        <v>1</v>
      </c>
      <c r="I80" s="8" t="str">
        <f>CONCATENATE(LS[[#This Row],[Frequency]],LS[[#This Row],[Investor ID]])</f>
        <v>1A00348</v>
      </c>
      <c r="J80" s="8" t="str">
        <f>IF(LS[[#This Row],[B/S]]="B","BUY",(IF(LS[[#This Row],[B/S]]="S","SELL"," ")))</f>
        <v>BUY</v>
      </c>
      <c r="K80" s="8" t="s">
        <v>301</v>
      </c>
      <c r="L80" s="10">
        <v>1000000</v>
      </c>
      <c r="M80" s="10"/>
      <c r="N80" s="168">
        <f>LS[[#This Row],[Amount]]/LS[[#This Row],[Unit]]</f>
        <v>10</v>
      </c>
      <c r="O80" s="11">
        <f t="shared" si="2"/>
        <v>100000</v>
      </c>
      <c r="P80" s="11">
        <f>SUMIFS(LS[[#Headers],[Unit]]:LS[[#This Row],[Unit]],LS[[#Headers],[Investor ID]]:LS[[#This Row],[Investor ID]],LS[[#This Row],[Investor ID]])</f>
        <v>100000</v>
      </c>
      <c r="Q80" s="10">
        <v>1000000</v>
      </c>
      <c r="R80" s="6">
        <f>LS[[#This Row],[Amount]]-LS[[#This Row],[Unit Capital]]</f>
        <v>0</v>
      </c>
      <c r="S8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80" s="168">
        <f t="shared" si="3"/>
        <v>12.552</v>
      </c>
      <c r="U8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80" s="10" cm="1">
        <f t="array" ref="V80">IF(LS[[#This Row],[B/S]]="S",ABS(LS[[#This Row],[Unit]])*(INDEX(LS[NAV at Cost (Average)],MATCH(CONCATENATE((LS[[#This Row],[Frequency]]-1),LS[[#This Row],[Investor ID]]),LS[Unique Code],0),0)),0)</f>
        <v>0</v>
      </c>
      <c r="W80" s="10">
        <f>IF(LS[[#This Row],[BO Transfer]]="YES",LS[[#This Row],[Unit]],)</f>
        <v>0</v>
      </c>
      <c r="X80" s="3">
        <f>SUMIFS(LS[[#Headers],[BO UNIT TRANSFER]]:LS[[#This Row],[BO UNIT TRANSFER]],LS[[#Headers],[Investor ID]]:LS[[#This Row],[Investor ID]],LS[[#This Row],[Investor ID]])</f>
        <v>0</v>
      </c>
      <c r="AA80" s="7"/>
    </row>
    <row r="81" spans="2:27">
      <c r="B81" s="8">
        <v>2022</v>
      </c>
      <c r="C81" s="8">
        <v>1</v>
      </c>
      <c r="D81" s="8">
        <v>27</v>
      </c>
      <c r="E81" s="291">
        <f>DATE(LS[[#This Row],[Year]],LS[[#This Row],[Month]],LS[[#This Row],[Day]])</f>
        <v>44588</v>
      </c>
      <c r="F81" t="str" cm="1">
        <f t="array" ref="F81">INDEX(INVESTORS_LIST[INVESTOR NAME],MATCH(LS[[#This Row],[Investor ID]],INVESTORS_LIST[INVESTOR CODE],0),)</f>
        <v>MOHAMMAD MOZNU MOLLAH</v>
      </c>
      <c r="G81" s="19" t="s">
        <v>645</v>
      </c>
      <c r="H81" s="8">
        <f>COUNTIF(LS[[#Headers],[Investor ID]]:LS[[#This Row],[Investor ID]],LS[[#This Row],[Investor ID]])</f>
        <v>1</v>
      </c>
      <c r="I81" s="8" t="str">
        <f>CONCATENATE(LS[[#This Row],[Frequency]],LS[[#This Row],[Investor ID]])</f>
        <v>1A00349</v>
      </c>
      <c r="J81" s="8" t="str">
        <f>IF(LS[[#This Row],[B/S]]="B","BUY",(IF(LS[[#This Row],[B/S]]="S","SELL"," ")))</f>
        <v>BUY</v>
      </c>
      <c r="K81" s="8" t="s">
        <v>301</v>
      </c>
      <c r="L81" s="10">
        <v>1000000</v>
      </c>
      <c r="M81" s="10"/>
      <c r="N81" s="168">
        <f>LS[[#This Row],[Amount]]/LS[[#This Row],[Unit]]</f>
        <v>10</v>
      </c>
      <c r="O81" s="11">
        <f t="shared" si="2"/>
        <v>100000</v>
      </c>
      <c r="P81" s="11">
        <f>SUMIFS(LS[[#Headers],[Unit]]:LS[[#This Row],[Unit]],LS[[#Headers],[Investor ID]]:LS[[#This Row],[Investor ID]],LS[[#This Row],[Investor ID]])</f>
        <v>100000</v>
      </c>
      <c r="Q81" s="10">
        <v>1000000</v>
      </c>
      <c r="R81" s="6">
        <f>LS[[#This Row],[Amount]]-LS[[#This Row],[Unit Capital]]</f>
        <v>0</v>
      </c>
      <c r="S8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81" s="168">
        <f t="shared" si="3"/>
        <v>12.552</v>
      </c>
      <c r="U8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81" s="10" cm="1">
        <f t="array" ref="V81">IF(LS[[#This Row],[B/S]]="S",ABS(LS[[#This Row],[Unit]])*(INDEX(LS[NAV at Cost (Average)],MATCH(CONCATENATE((LS[[#This Row],[Frequency]]-1),LS[[#This Row],[Investor ID]]),LS[Unique Code],0),0)),0)</f>
        <v>0</v>
      </c>
      <c r="W81" s="10">
        <f>IF(LS[[#This Row],[BO Transfer]]="YES",LS[[#This Row],[Unit]],)</f>
        <v>0</v>
      </c>
      <c r="X81" s="3">
        <f>SUMIFS(LS[[#Headers],[BO UNIT TRANSFER]]:LS[[#This Row],[BO UNIT TRANSFER]],LS[[#Headers],[Investor ID]]:LS[[#This Row],[Investor ID]],LS[[#This Row],[Investor ID]])</f>
        <v>0</v>
      </c>
      <c r="AA81" s="7"/>
    </row>
    <row r="82" spans="2:27">
      <c r="B82" s="8">
        <v>2022</v>
      </c>
      <c r="C82" s="8">
        <v>1</v>
      </c>
      <c r="D82" s="8">
        <v>27</v>
      </c>
      <c r="E82" s="291">
        <f>DATE(LS[[#This Row],[Year]],LS[[#This Row],[Month]],LS[[#This Row],[Day]])</f>
        <v>44588</v>
      </c>
      <c r="F82" t="str" cm="1">
        <f t="array" ref="F82">INDEX(INVESTORS_LIST[INVESTOR NAME],MATCH(LS[[#This Row],[Investor ID]],INVESTORS_LIST[INVESTOR CODE],0),)</f>
        <v>MD. ZAKIR HOSSAIN</v>
      </c>
      <c r="G82" s="19" t="s">
        <v>647</v>
      </c>
      <c r="H82" s="8">
        <f>COUNTIF(LS[[#Headers],[Investor ID]]:LS[[#This Row],[Investor ID]],LS[[#This Row],[Investor ID]])</f>
        <v>1</v>
      </c>
      <c r="I82" s="8" t="str">
        <f>CONCATENATE(LS[[#This Row],[Frequency]],LS[[#This Row],[Investor ID]])</f>
        <v>1A00350</v>
      </c>
      <c r="J82" s="8" t="str">
        <f>IF(LS[[#This Row],[B/S]]="B","BUY",(IF(LS[[#This Row],[B/S]]="S","SELL"," ")))</f>
        <v>BUY</v>
      </c>
      <c r="K82" s="8" t="s">
        <v>301</v>
      </c>
      <c r="L82" s="10">
        <v>1000000</v>
      </c>
      <c r="M82" s="10"/>
      <c r="N82" s="168">
        <f>LS[[#This Row],[Amount]]/LS[[#This Row],[Unit]]</f>
        <v>10</v>
      </c>
      <c r="O82" s="11">
        <f t="shared" si="2"/>
        <v>100000</v>
      </c>
      <c r="P82" s="11">
        <f>SUMIFS(LS[[#Headers],[Unit]]:LS[[#This Row],[Unit]],LS[[#Headers],[Investor ID]]:LS[[#This Row],[Investor ID]],LS[[#This Row],[Investor ID]])</f>
        <v>100000</v>
      </c>
      <c r="Q82" s="10">
        <v>1000000</v>
      </c>
      <c r="R82" s="6">
        <f>LS[[#This Row],[Amount]]-LS[[#This Row],[Unit Capital]]</f>
        <v>0</v>
      </c>
      <c r="S8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82" s="168">
        <f t="shared" si="3"/>
        <v>12.552</v>
      </c>
      <c r="U8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82" s="10" cm="1">
        <f t="array" ref="V82">IF(LS[[#This Row],[B/S]]="S",ABS(LS[[#This Row],[Unit]])*(INDEX(LS[NAV at Cost (Average)],MATCH(CONCATENATE((LS[[#This Row],[Frequency]]-1),LS[[#This Row],[Investor ID]]),LS[Unique Code],0),0)),0)</f>
        <v>0</v>
      </c>
      <c r="W82" s="10">
        <f>IF(LS[[#This Row],[BO Transfer]]="YES",LS[[#This Row],[Unit]],)</f>
        <v>0</v>
      </c>
      <c r="X82" s="3">
        <f>SUMIFS(LS[[#Headers],[BO UNIT TRANSFER]]:LS[[#This Row],[BO UNIT TRANSFER]],LS[[#Headers],[Investor ID]]:LS[[#This Row],[Investor ID]],LS[[#This Row],[Investor ID]])</f>
        <v>0</v>
      </c>
      <c r="AA82" s="7"/>
    </row>
    <row r="83" spans="2:27">
      <c r="B83" s="8">
        <v>2022</v>
      </c>
      <c r="C83" s="8">
        <v>1</v>
      </c>
      <c r="D83" s="8">
        <v>27</v>
      </c>
      <c r="E83" s="291">
        <f>DATE(LS[[#This Row],[Year]],LS[[#This Row],[Month]],LS[[#This Row],[Day]])</f>
        <v>44588</v>
      </c>
      <c r="F83" t="str" cm="1">
        <f t="array" ref="F83">INDEX(INVESTORS_LIST[INVESTOR NAME],MATCH(LS[[#This Row],[Investor ID]],INVESTORS_LIST[INVESTOR CODE],0),)</f>
        <v>MOHAMMAD SAIFUL ISLAM</v>
      </c>
      <c r="G83" s="19" t="s">
        <v>649</v>
      </c>
      <c r="H83" s="8">
        <f>COUNTIF(LS[[#Headers],[Investor ID]]:LS[[#This Row],[Investor ID]],LS[[#This Row],[Investor ID]])</f>
        <v>1</v>
      </c>
      <c r="I83" s="8" t="str">
        <f>CONCATENATE(LS[[#This Row],[Frequency]],LS[[#This Row],[Investor ID]])</f>
        <v>1A00351</v>
      </c>
      <c r="J83" s="8" t="str">
        <f>IF(LS[[#This Row],[B/S]]="B","BUY",(IF(LS[[#This Row],[B/S]]="S","SELL"," ")))</f>
        <v>BUY</v>
      </c>
      <c r="K83" s="8" t="s">
        <v>301</v>
      </c>
      <c r="L83" s="10">
        <v>1000000</v>
      </c>
      <c r="M83" s="10"/>
      <c r="N83" s="168">
        <f>LS[[#This Row],[Amount]]/LS[[#This Row],[Unit]]</f>
        <v>10</v>
      </c>
      <c r="O83" s="11">
        <f t="shared" si="2"/>
        <v>100000</v>
      </c>
      <c r="P83" s="11">
        <f>SUMIFS(LS[[#Headers],[Unit]]:LS[[#This Row],[Unit]],LS[[#Headers],[Investor ID]]:LS[[#This Row],[Investor ID]],LS[[#This Row],[Investor ID]])</f>
        <v>100000</v>
      </c>
      <c r="Q83" s="10">
        <v>1000000</v>
      </c>
      <c r="R83" s="6">
        <f>LS[[#This Row],[Amount]]-LS[[#This Row],[Unit Capital]]</f>
        <v>0</v>
      </c>
      <c r="S8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83" s="168">
        <f t="shared" si="3"/>
        <v>12.552</v>
      </c>
      <c r="U8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83" s="10" cm="1">
        <f t="array" ref="V83">IF(LS[[#This Row],[B/S]]="S",ABS(LS[[#This Row],[Unit]])*(INDEX(LS[NAV at Cost (Average)],MATCH(CONCATENATE((LS[[#This Row],[Frequency]]-1),LS[[#This Row],[Investor ID]]),LS[Unique Code],0),0)),0)</f>
        <v>0</v>
      </c>
      <c r="W83" s="10">
        <f>IF(LS[[#This Row],[BO Transfer]]="YES",LS[[#This Row],[Unit]],)</f>
        <v>0</v>
      </c>
      <c r="X83" s="3">
        <f>SUMIFS(LS[[#Headers],[BO UNIT TRANSFER]]:LS[[#This Row],[BO UNIT TRANSFER]],LS[[#Headers],[Investor ID]]:LS[[#This Row],[Investor ID]],LS[[#This Row],[Investor ID]])</f>
        <v>0</v>
      </c>
      <c r="AA83" s="7"/>
    </row>
    <row r="84" spans="2:27">
      <c r="B84" s="8">
        <v>2022</v>
      </c>
      <c r="C84" s="8">
        <v>1</v>
      </c>
      <c r="D84" s="8">
        <v>27</v>
      </c>
      <c r="E84" s="291">
        <f>DATE(LS[[#This Row],[Year]],LS[[#This Row],[Month]],LS[[#This Row],[Day]])</f>
        <v>44588</v>
      </c>
      <c r="F84" t="str" cm="1">
        <f t="array" ref="F84">INDEX(INVESTORS_LIST[INVESTOR NAME],MATCH(LS[[#This Row],[Investor ID]],INVESTORS_LIST[INVESTOR CODE],0),)</f>
        <v>MD. GOLAM MORTAZA</v>
      </c>
      <c r="G84" s="19" t="s">
        <v>593</v>
      </c>
      <c r="H84" s="8">
        <f>COUNTIF(LS[[#Headers],[Investor ID]]:LS[[#This Row],[Investor ID]],LS[[#This Row],[Investor ID]])</f>
        <v>1</v>
      </c>
      <c r="I84" s="8" t="str">
        <f>CONCATENATE(LS[[#This Row],[Frequency]],LS[[#This Row],[Investor ID]])</f>
        <v>1A00333</v>
      </c>
      <c r="J84" s="8" t="str">
        <f>IF(LS[[#This Row],[B/S]]="B","BUY",(IF(LS[[#This Row],[B/S]]="S","SELL"," ")))</f>
        <v>BUY</v>
      </c>
      <c r="K84" s="8" t="s">
        <v>301</v>
      </c>
      <c r="L84" s="10">
        <v>500000</v>
      </c>
      <c r="M84" s="10"/>
      <c r="N84" s="168">
        <f>LS[[#This Row],[Amount]]/LS[[#This Row],[Unit]]</f>
        <v>10</v>
      </c>
      <c r="O84" s="11">
        <f t="shared" si="2"/>
        <v>50000</v>
      </c>
      <c r="P84" s="11">
        <f>SUMIFS(LS[[#Headers],[Unit]]:LS[[#This Row],[Unit]],LS[[#Headers],[Investor ID]]:LS[[#This Row],[Investor ID]],LS[[#This Row],[Investor ID]])</f>
        <v>50000</v>
      </c>
      <c r="Q84" s="10">
        <v>500000</v>
      </c>
      <c r="R84" s="6">
        <f>LS[[#This Row],[Amount]]-LS[[#This Row],[Unit Capital]]</f>
        <v>0</v>
      </c>
      <c r="S8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84" s="168">
        <f t="shared" si="3"/>
        <v>12.552</v>
      </c>
      <c r="U8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84" s="10" cm="1">
        <f t="array" ref="V84">IF(LS[[#This Row],[B/S]]="S",ABS(LS[[#This Row],[Unit]])*(INDEX(LS[NAV at Cost (Average)],MATCH(CONCATENATE((LS[[#This Row],[Frequency]]-1),LS[[#This Row],[Investor ID]]),LS[Unique Code],0),0)),0)</f>
        <v>0</v>
      </c>
      <c r="W84" s="10">
        <f>IF(LS[[#This Row],[BO Transfer]]="YES",LS[[#This Row],[Unit]],)</f>
        <v>0</v>
      </c>
      <c r="X84" s="3">
        <f>SUMIFS(LS[[#Headers],[BO UNIT TRANSFER]]:LS[[#This Row],[BO UNIT TRANSFER]],LS[[#Headers],[Investor ID]]:LS[[#This Row],[Investor ID]],LS[[#This Row],[Investor ID]])</f>
        <v>0</v>
      </c>
      <c r="AA84" s="7"/>
    </row>
    <row r="85" spans="2:27">
      <c r="B85" s="8">
        <v>2022</v>
      </c>
      <c r="C85" s="8">
        <v>1</v>
      </c>
      <c r="D85" s="8">
        <v>27</v>
      </c>
      <c r="E85" s="291">
        <f>DATE(LS[[#This Row],[Year]],LS[[#This Row],[Month]],LS[[#This Row],[Day]])</f>
        <v>44588</v>
      </c>
      <c r="F85" t="str" cm="1">
        <f t="array" ref="F85">INDEX(INVESTORS_LIST[INVESTOR NAME],MATCH(LS[[#This Row],[Investor ID]],INVESTORS_LIST[INVESTOR CODE],0),)</f>
        <v>LILY RANI PAUL</v>
      </c>
      <c r="G85" s="19" t="s">
        <v>91</v>
      </c>
      <c r="H85" s="8">
        <f>COUNTIF(LS[[#Headers],[Investor ID]]:LS[[#This Row],[Investor ID]],LS[[#This Row],[Investor ID]])</f>
        <v>1</v>
      </c>
      <c r="I85" s="8" t="str">
        <f>CONCATENATE(LS[[#This Row],[Frequency]],LS[[#This Row],[Investor ID]])</f>
        <v>1A00083</v>
      </c>
      <c r="J85" s="8" t="str">
        <f>IF(LS[[#This Row],[B/S]]="B","BUY",(IF(LS[[#This Row],[B/S]]="S","SELL"," ")))</f>
        <v>BUY</v>
      </c>
      <c r="K85" s="8" t="s">
        <v>301</v>
      </c>
      <c r="L85" s="10">
        <v>800000</v>
      </c>
      <c r="M85" s="10"/>
      <c r="N85" s="168">
        <f>LS[[#This Row],[Amount]]/LS[[#This Row],[Unit]]</f>
        <v>10</v>
      </c>
      <c r="O85" s="11">
        <f t="shared" si="2"/>
        <v>80000</v>
      </c>
      <c r="P85" s="11">
        <f>SUMIFS(LS[[#Headers],[Unit]]:LS[[#This Row],[Unit]],LS[[#Headers],[Investor ID]]:LS[[#This Row],[Investor ID]],LS[[#This Row],[Investor ID]])</f>
        <v>80000</v>
      </c>
      <c r="Q85" s="10">
        <v>800000</v>
      </c>
      <c r="R85" s="6">
        <f>LS[[#This Row],[Amount]]-LS[[#This Row],[Unit Capital]]</f>
        <v>0</v>
      </c>
      <c r="S8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85" s="168">
        <f t="shared" si="3"/>
        <v>12.552</v>
      </c>
      <c r="U8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85" s="10" cm="1">
        <f t="array" ref="V85">IF(LS[[#This Row],[B/S]]="S",ABS(LS[[#This Row],[Unit]])*(INDEX(LS[NAV at Cost (Average)],MATCH(CONCATENATE((LS[[#This Row],[Frequency]]-1),LS[[#This Row],[Investor ID]]),LS[Unique Code],0),0)),0)</f>
        <v>0</v>
      </c>
      <c r="W85" s="10">
        <f>IF(LS[[#This Row],[BO Transfer]]="YES",LS[[#This Row],[Unit]],)</f>
        <v>0</v>
      </c>
      <c r="X85" s="3">
        <f>SUMIFS(LS[[#Headers],[BO UNIT TRANSFER]]:LS[[#This Row],[BO UNIT TRANSFER]],LS[[#Headers],[Investor ID]]:LS[[#This Row],[Investor ID]],LS[[#This Row],[Investor ID]])</f>
        <v>0</v>
      </c>
      <c r="AA85" s="7"/>
    </row>
    <row r="86" spans="2:27">
      <c r="B86" s="8">
        <v>2022</v>
      </c>
      <c r="C86" s="8">
        <v>1</v>
      </c>
      <c r="D86" s="8">
        <v>27</v>
      </c>
      <c r="E86" s="291">
        <f>DATE(LS[[#This Row],[Year]],LS[[#This Row],[Month]],LS[[#This Row],[Day]])</f>
        <v>44588</v>
      </c>
      <c r="F86" t="str" cm="1">
        <f t="array" ref="F86">INDEX(INVESTORS_LIST[INVESTOR NAME],MATCH(LS[[#This Row],[Investor ID]],INVESTORS_LIST[INVESTOR CODE],0),)</f>
        <v>SHIULI RANI SAHA</v>
      </c>
      <c r="G86" s="19" t="s">
        <v>651</v>
      </c>
      <c r="H86" s="8">
        <f>COUNTIF(LS[[#Headers],[Investor ID]]:LS[[#This Row],[Investor ID]],LS[[#This Row],[Investor ID]])</f>
        <v>1</v>
      </c>
      <c r="I86" s="8" t="str">
        <f>CONCATENATE(LS[[#This Row],[Frequency]],LS[[#This Row],[Investor ID]])</f>
        <v>1A00352</v>
      </c>
      <c r="J86" s="8" t="str">
        <f>IF(LS[[#This Row],[B/S]]="B","BUY",(IF(LS[[#This Row],[B/S]]="S","SELL"," ")))</f>
        <v>BUY</v>
      </c>
      <c r="K86" s="8" t="s">
        <v>301</v>
      </c>
      <c r="L86" s="10">
        <v>100000</v>
      </c>
      <c r="M86" s="10"/>
      <c r="N86" s="168">
        <f>LS[[#This Row],[Amount]]/LS[[#This Row],[Unit]]</f>
        <v>10</v>
      </c>
      <c r="O86" s="11">
        <f t="shared" si="2"/>
        <v>10000</v>
      </c>
      <c r="P86" s="11">
        <f>SUMIFS(LS[[#Headers],[Unit]]:LS[[#This Row],[Unit]],LS[[#Headers],[Investor ID]]:LS[[#This Row],[Investor ID]],LS[[#This Row],[Investor ID]])</f>
        <v>10000</v>
      </c>
      <c r="Q86" s="10">
        <v>100000</v>
      </c>
      <c r="R86" s="6">
        <f>LS[[#This Row],[Amount]]-LS[[#This Row],[Unit Capital]]</f>
        <v>0</v>
      </c>
      <c r="S8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86" s="168">
        <f t="shared" si="3"/>
        <v>12.552</v>
      </c>
      <c r="U8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86" s="10" cm="1">
        <f t="array" ref="V86">IF(LS[[#This Row],[B/S]]="S",ABS(LS[[#This Row],[Unit]])*(INDEX(LS[NAV at Cost (Average)],MATCH(CONCATENATE((LS[[#This Row],[Frequency]]-1),LS[[#This Row],[Investor ID]]),LS[Unique Code],0),0)),0)</f>
        <v>0</v>
      </c>
      <c r="W86" s="10">
        <f>IF(LS[[#This Row],[BO Transfer]]="YES",LS[[#This Row],[Unit]],)</f>
        <v>0</v>
      </c>
      <c r="X86" s="3">
        <f>SUMIFS(LS[[#Headers],[BO UNIT TRANSFER]]:LS[[#This Row],[BO UNIT TRANSFER]],LS[[#Headers],[Investor ID]]:LS[[#This Row],[Investor ID]],LS[[#This Row],[Investor ID]])</f>
        <v>0</v>
      </c>
      <c r="AA86" s="7"/>
    </row>
    <row r="87" spans="2:27">
      <c r="B87" s="8">
        <v>2022</v>
      </c>
      <c r="C87" s="8">
        <v>1</v>
      </c>
      <c r="D87" s="8">
        <v>27</v>
      </c>
      <c r="E87" s="291">
        <f>DATE(LS[[#This Row],[Year]],LS[[#This Row],[Month]],LS[[#This Row],[Day]])</f>
        <v>44588</v>
      </c>
      <c r="F87" t="str" cm="1">
        <f t="array" ref="F87">INDEX(INVESTORS_LIST[INVESTOR NAME],MATCH(LS[[#This Row],[Investor ID]],INVESTORS_LIST[INVESTOR CODE],0),)</f>
        <v>LILY RANI PAUL</v>
      </c>
      <c r="G87" s="19" t="s">
        <v>91</v>
      </c>
      <c r="H87" s="8">
        <f>COUNTIF(LS[[#Headers],[Investor ID]]:LS[[#This Row],[Investor ID]],LS[[#This Row],[Investor ID]])</f>
        <v>2</v>
      </c>
      <c r="I87" s="8" t="str">
        <f>CONCATENATE(LS[[#This Row],[Frequency]],LS[[#This Row],[Investor ID]])</f>
        <v>2A00083</v>
      </c>
      <c r="J87" s="8" t="str">
        <f>IF(LS[[#This Row],[B/S]]="B","BUY",(IF(LS[[#This Row],[B/S]]="S","SELL"," ")))</f>
        <v>BUY</v>
      </c>
      <c r="K87" s="8" t="s">
        <v>301</v>
      </c>
      <c r="L87" s="10">
        <v>300000</v>
      </c>
      <c r="M87" s="10"/>
      <c r="N87" s="168">
        <f>LS[[#This Row],[Amount]]/LS[[#This Row],[Unit]]</f>
        <v>10</v>
      </c>
      <c r="O87" s="11">
        <f t="shared" si="2"/>
        <v>30000</v>
      </c>
      <c r="P87" s="11">
        <f>SUMIFS(LS[[#Headers],[Unit]]:LS[[#This Row],[Unit]],LS[[#Headers],[Investor ID]]:LS[[#This Row],[Investor ID]],LS[[#This Row],[Investor ID]])</f>
        <v>110000</v>
      </c>
      <c r="Q87" s="10">
        <v>300000</v>
      </c>
      <c r="R87" s="6">
        <f>LS[[#This Row],[Amount]]-LS[[#This Row],[Unit Capital]]</f>
        <v>0</v>
      </c>
      <c r="S8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87" s="168">
        <f t="shared" si="3"/>
        <v>12.552</v>
      </c>
      <c r="U8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87" s="10" cm="1">
        <f t="array" ref="V87">IF(LS[[#This Row],[B/S]]="S",ABS(LS[[#This Row],[Unit]])*(INDEX(LS[NAV at Cost (Average)],MATCH(CONCATENATE((LS[[#This Row],[Frequency]]-1),LS[[#This Row],[Investor ID]]),LS[Unique Code],0),0)),0)</f>
        <v>0</v>
      </c>
      <c r="W87" s="10">
        <f>IF(LS[[#This Row],[BO Transfer]]="YES",LS[[#This Row],[Unit]],)</f>
        <v>0</v>
      </c>
      <c r="X87" s="3">
        <f>SUMIFS(LS[[#Headers],[BO UNIT TRANSFER]]:LS[[#This Row],[BO UNIT TRANSFER]],LS[[#Headers],[Investor ID]]:LS[[#This Row],[Investor ID]],LS[[#This Row],[Investor ID]])</f>
        <v>0</v>
      </c>
      <c r="AA87" s="7"/>
    </row>
    <row r="88" spans="2:27">
      <c r="B88" s="8">
        <v>2022</v>
      </c>
      <c r="C88" s="8">
        <v>1</v>
      </c>
      <c r="D88" s="8">
        <v>27</v>
      </c>
      <c r="E88" s="291">
        <f>DATE(LS[[#This Row],[Year]],LS[[#This Row],[Month]],LS[[#This Row],[Day]])</f>
        <v>44588</v>
      </c>
      <c r="F88" t="str" cm="1">
        <f t="array" ref="F88">INDEX(INVESTORS_LIST[INVESTOR NAME],MATCH(LS[[#This Row],[Investor ID]],INVESTORS_LIST[INVESTOR CODE],0),)</f>
        <v>VANGUARD AML GROWTH FUND</v>
      </c>
      <c r="G88" s="19" t="s">
        <v>653</v>
      </c>
      <c r="H88" s="8">
        <f>COUNTIF(LS[[#Headers],[Investor ID]]:LS[[#This Row],[Investor ID]],LS[[#This Row],[Investor ID]])</f>
        <v>1</v>
      </c>
      <c r="I88" s="8" t="str">
        <f>CONCATENATE(LS[[#This Row],[Frequency]],LS[[#This Row],[Investor ID]])</f>
        <v>1A00353</v>
      </c>
      <c r="J88" s="8" t="str">
        <f>IF(LS[[#This Row],[B/S]]="B","BUY",(IF(LS[[#This Row],[B/S]]="S","SELL"," ")))</f>
        <v>BUY</v>
      </c>
      <c r="K88" s="8" t="s">
        <v>301</v>
      </c>
      <c r="L88" s="10">
        <v>5000000</v>
      </c>
      <c r="M88" s="10"/>
      <c r="N88" s="168">
        <f>LS[[#This Row],[Amount]]/LS[[#This Row],[Unit]]</f>
        <v>10</v>
      </c>
      <c r="O88" s="11">
        <f t="shared" si="2"/>
        <v>500000</v>
      </c>
      <c r="P88" s="11">
        <f>SUMIFS(LS[[#Headers],[Unit]]:LS[[#This Row],[Unit]],LS[[#Headers],[Investor ID]]:LS[[#This Row],[Investor ID]],LS[[#This Row],[Investor ID]])</f>
        <v>500000</v>
      </c>
      <c r="Q88" s="10">
        <v>5000000</v>
      </c>
      <c r="R88" s="6">
        <f>LS[[#This Row],[Amount]]-LS[[#This Row],[Unit Capital]]</f>
        <v>0</v>
      </c>
      <c r="S8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88" s="168">
        <f t="shared" si="3"/>
        <v>12.552</v>
      </c>
      <c r="U8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88" s="10" cm="1">
        <f t="array" ref="V88">IF(LS[[#This Row],[B/S]]="S",ABS(LS[[#This Row],[Unit]])*(INDEX(LS[NAV at Cost (Average)],MATCH(CONCATENATE((LS[[#This Row],[Frequency]]-1),LS[[#This Row],[Investor ID]]),LS[Unique Code],0),0)),0)</f>
        <v>0</v>
      </c>
      <c r="W88" s="10">
        <f>IF(LS[[#This Row],[BO Transfer]]="YES",LS[[#This Row],[Unit]],)</f>
        <v>0</v>
      </c>
      <c r="X88" s="3">
        <f>SUMIFS(LS[[#Headers],[BO UNIT TRANSFER]]:LS[[#This Row],[BO UNIT TRANSFER]],LS[[#Headers],[Investor ID]]:LS[[#This Row],[Investor ID]],LS[[#This Row],[Investor ID]])</f>
        <v>0</v>
      </c>
      <c r="AA88" s="7"/>
    </row>
    <row r="89" spans="2:27">
      <c r="B89" s="8">
        <v>2022</v>
      </c>
      <c r="C89" s="8">
        <v>1</v>
      </c>
      <c r="D89" s="8">
        <v>27</v>
      </c>
      <c r="E89" s="291">
        <f>DATE(LS[[#This Row],[Year]],LS[[#This Row],[Month]],LS[[#This Row],[Day]])</f>
        <v>44588</v>
      </c>
      <c r="F89" t="str" cm="1">
        <f t="array" ref="F89">INDEX(INVESTORS_LIST[INVESTOR NAME],MATCH(LS[[#This Row],[Investor ID]],INVESTORS_LIST[INVESTOR CODE],0),)</f>
        <v>FAKARUDDIN ALI AHMED</v>
      </c>
      <c r="G89" s="19" t="s">
        <v>98</v>
      </c>
      <c r="H89" s="8">
        <f>COUNTIF(LS[[#Headers],[Investor ID]]:LS[[#This Row],[Investor ID]],LS[[#This Row],[Investor ID]])</f>
        <v>1</v>
      </c>
      <c r="I89" s="8" t="str">
        <f>CONCATENATE(LS[[#This Row],[Frequency]],LS[[#This Row],[Investor ID]])</f>
        <v>1A00090</v>
      </c>
      <c r="J89" s="8" t="str">
        <f>IF(LS[[#This Row],[B/S]]="B","BUY",(IF(LS[[#This Row],[B/S]]="S","SELL"," ")))</f>
        <v>BUY</v>
      </c>
      <c r="K89" s="8" t="s">
        <v>301</v>
      </c>
      <c r="L89" s="10">
        <v>1000000</v>
      </c>
      <c r="M89" s="10"/>
      <c r="N89" s="168">
        <f>LS[[#This Row],[Amount]]/LS[[#This Row],[Unit]]</f>
        <v>10</v>
      </c>
      <c r="O89" s="11">
        <f t="shared" si="2"/>
        <v>100000</v>
      </c>
      <c r="P89" s="11">
        <f>SUMIFS(LS[[#Headers],[Unit]]:LS[[#This Row],[Unit]],LS[[#Headers],[Investor ID]]:LS[[#This Row],[Investor ID]],LS[[#This Row],[Investor ID]])</f>
        <v>100000</v>
      </c>
      <c r="Q89" s="10">
        <v>1000000</v>
      </c>
      <c r="R89" s="6">
        <f>LS[[#This Row],[Amount]]-LS[[#This Row],[Unit Capital]]</f>
        <v>0</v>
      </c>
      <c r="S8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89" s="168">
        <f t="shared" si="3"/>
        <v>12.552</v>
      </c>
      <c r="U8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89" s="10" cm="1">
        <f t="array" ref="V89">IF(LS[[#This Row],[B/S]]="S",ABS(LS[[#This Row],[Unit]])*(INDEX(LS[NAV at Cost (Average)],MATCH(CONCATENATE((LS[[#This Row],[Frequency]]-1),LS[[#This Row],[Investor ID]]),LS[Unique Code],0),0)),0)</f>
        <v>0</v>
      </c>
      <c r="W89" s="10">
        <f>IF(LS[[#This Row],[BO Transfer]]="YES",LS[[#This Row],[Unit]],)</f>
        <v>0</v>
      </c>
      <c r="X89" s="3">
        <f>SUMIFS(LS[[#Headers],[BO UNIT TRANSFER]]:LS[[#This Row],[BO UNIT TRANSFER]],LS[[#Headers],[Investor ID]]:LS[[#This Row],[Investor ID]],LS[[#This Row],[Investor ID]])</f>
        <v>0</v>
      </c>
      <c r="AA89" s="7"/>
    </row>
    <row r="90" spans="2:27">
      <c r="B90" s="8">
        <v>2022</v>
      </c>
      <c r="C90" s="8">
        <v>1</v>
      </c>
      <c r="D90" s="8">
        <v>27</v>
      </c>
      <c r="E90" s="291">
        <f>DATE(LS[[#This Row],[Year]],LS[[#This Row],[Month]],LS[[#This Row],[Day]])</f>
        <v>44588</v>
      </c>
      <c r="F90" t="str" cm="1">
        <f t="array" ref="F90">INDEX(INVESTORS_LIST[INVESTOR NAME],MATCH(LS[[#This Row],[Investor ID]],INVESTORS_LIST[INVESTOR CODE],0),)</f>
        <v>RAIS UDDIN AHMAD</v>
      </c>
      <c r="G90" s="19" t="s">
        <v>442</v>
      </c>
      <c r="H90" s="8">
        <f>COUNTIF(LS[[#Headers],[Investor ID]]:LS[[#This Row],[Investor ID]],LS[[#This Row],[Investor ID]])</f>
        <v>1</v>
      </c>
      <c r="I90" s="8" t="str">
        <f>CONCATENATE(LS[[#This Row],[Frequency]],LS[[#This Row],[Investor ID]])</f>
        <v>1A00292</v>
      </c>
      <c r="J90" s="8" t="str">
        <f>IF(LS[[#This Row],[B/S]]="B","BUY",(IF(LS[[#This Row],[B/S]]="S","SELL"," ")))</f>
        <v>BUY</v>
      </c>
      <c r="K90" s="8" t="s">
        <v>301</v>
      </c>
      <c r="L90" s="10">
        <v>500000</v>
      </c>
      <c r="M90" s="10"/>
      <c r="N90" s="168">
        <f>LS[[#This Row],[Amount]]/LS[[#This Row],[Unit]]</f>
        <v>10</v>
      </c>
      <c r="O90" s="11">
        <f t="shared" si="2"/>
        <v>50000</v>
      </c>
      <c r="P90" s="11">
        <f>SUMIFS(LS[[#Headers],[Unit]]:LS[[#This Row],[Unit]],LS[[#Headers],[Investor ID]]:LS[[#This Row],[Investor ID]],LS[[#This Row],[Investor ID]])</f>
        <v>50000</v>
      </c>
      <c r="Q90" s="10">
        <v>500000</v>
      </c>
      <c r="R90" s="6">
        <f>LS[[#This Row],[Amount]]-LS[[#This Row],[Unit Capital]]</f>
        <v>0</v>
      </c>
      <c r="S9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90" s="168">
        <f t="shared" si="3"/>
        <v>12.552</v>
      </c>
      <c r="U9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90" s="10" cm="1">
        <f t="array" ref="V90">IF(LS[[#This Row],[B/S]]="S",ABS(LS[[#This Row],[Unit]])*(INDEX(LS[NAV at Cost (Average)],MATCH(CONCATENATE((LS[[#This Row],[Frequency]]-1),LS[[#This Row],[Investor ID]]),LS[Unique Code],0),0)),0)</f>
        <v>0</v>
      </c>
      <c r="W90" s="10">
        <f>IF(LS[[#This Row],[BO Transfer]]="YES",LS[[#This Row],[Unit]],)</f>
        <v>0</v>
      </c>
      <c r="X90" s="3">
        <f>SUMIFS(LS[[#Headers],[BO UNIT TRANSFER]]:LS[[#This Row],[BO UNIT TRANSFER]],LS[[#Headers],[Investor ID]]:LS[[#This Row],[Investor ID]],LS[[#This Row],[Investor ID]])</f>
        <v>0</v>
      </c>
      <c r="AA90" s="7"/>
    </row>
    <row r="91" spans="2:27">
      <c r="B91" s="8">
        <v>2022</v>
      </c>
      <c r="C91" s="8">
        <v>1</v>
      </c>
      <c r="D91" s="8">
        <v>27</v>
      </c>
      <c r="E91" s="291">
        <f>DATE(LS[[#This Row],[Year]],LS[[#This Row],[Month]],LS[[#This Row],[Day]])</f>
        <v>44588</v>
      </c>
      <c r="F91" t="str" cm="1">
        <f t="array" ref="F91">INDEX(INVESTORS_LIST[INVESTOR NAME],MATCH(LS[[#This Row],[Investor ID]],INVESTORS_LIST[INVESTOR CODE],0),)</f>
        <v>ABACI INVESTMENTS LTD. EC PROVIDENT FUND</v>
      </c>
      <c r="G91" s="19" t="s">
        <v>349</v>
      </c>
      <c r="H91" s="8">
        <f>COUNTIF(LS[[#Headers],[Investor ID]]:LS[[#This Row],[Investor ID]],LS[[#This Row],[Investor ID]])</f>
        <v>1</v>
      </c>
      <c r="I91" s="8" t="str">
        <f>CONCATENATE(LS[[#This Row],[Frequency]],LS[[#This Row],[Investor ID]])</f>
        <v>1A00246</v>
      </c>
      <c r="J91" s="8" t="str">
        <f>IF(LS[[#This Row],[B/S]]="B","BUY",(IF(LS[[#This Row],[B/S]]="S","SELL"," ")))</f>
        <v>BUY</v>
      </c>
      <c r="K91" s="8" t="s">
        <v>301</v>
      </c>
      <c r="L91" s="10">
        <v>2000000</v>
      </c>
      <c r="M91" s="10"/>
      <c r="N91" s="168">
        <f>LS[[#This Row],[Amount]]/LS[[#This Row],[Unit]]</f>
        <v>10</v>
      </c>
      <c r="O91" s="11">
        <f t="shared" si="2"/>
        <v>200000</v>
      </c>
      <c r="P91" s="11">
        <f>SUMIFS(LS[[#Headers],[Unit]]:LS[[#This Row],[Unit]],LS[[#Headers],[Investor ID]]:LS[[#This Row],[Investor ID]],LS[[#This Row],[Investor ID]])</f>
        <v>200000</v>
      </c>
      <c r="Q91" s="10">
        <v>2000000</v>
      </c>
      <c r="R91" s="6">
        <f>LS[[#This Row],[Amount]]-LS[[#This Row],[Unit Capital]]</f>
        <v>0</v>
      </c>
      <c r="S9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91" s="168">
        <f t="shared" si="3"/>
        <v>12.552</v>
      </c>
      <c r="U9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91" s="10" cm="1">
        <f t="array" ref="V91">IF(LS[[#This Row],[B/S]]="S",ABS(LS[[#This Row],[Unit]])*(INDEX(LS[NAV at Cost (Average)],MATCH(CONCATENATE((LS[[#This Row],[Frequency]]-1),LS[[#This Row],[Investor ID]]),LS[Unique Code],0),0)),0)</f>
        <v>0</v>
      </c>
      <c r="W91" s="10">
        <f>IF(LS[[#This Row],[BO Transfer]]="YES",LS[[#This Row],[Unit]],)</f>
        <v>0</v>
      </c>
      <c r="X91" s="3">
        <f>SUMIFS(LS[[#Headers],[BO UNIT TRANSFER]]:LS[[#This Row],[BO UNIT TRANSFER]],LS[[#Headers],[Investor ID]]:LS[[#This Row],[Investor ID]],LS[[#This Row],[Investor ID]])</f>
        <v>0</v>
      </c>
      <c r="AA91" s="7"/>
    </row>
    <row r="92" spans="2:27">
      <c r="B92" s="8">
        <v>2022</v>
      </c>
      <c r="C92" s="8">
        <v>1</v>
      </c>
      <c r="D92" s="8">
        <v>30</v>
      </c>
      <c r="E92" s="291">
        <f>DATE(LS[[#This Row],[Year]],LS[[#This Row],[Month]],LS[[#This Row],[Day]])</f>
        <v>44591</v>
      </c>
      <c r="F92" t="str" cm="1">
        <f t="array" ref="F92">INDEX(INVESTORS_LIST[INVESTOR NAME],MATCH(LS[[#This Row],[Investor ID]],INVESTORS_LIST[INVESTOR CODE],0),)</f>
        <v>RELIANCE INSURANCE lIMITED</v>
      </c>
      <c r="G92" s="19" t="s">
        <v>83</v>
      </c>
      <c r="H92" s="8">
        <f>COUNTIF(LS[[#Headers],[Investor ID]]:LS[[#This Row],[Investor ID]],LS[[#This Row],[Investor ID]])</f>
        <v>1</v>
      </c>
      <c r="I92" s="8" t="str">
        <f>CONCATENATE(LS[[#This Row],[Frequency]],LS[[#This Row],[Investor ID]])</f>
        <v>1A00075</v>
      </c>
      <c r="J92" s="8" t="str">
        <f>IF(LS[[#This Row],[B/S]]="B","BUY",(IF(LS[[#This Row],[B/S]]="S","SELL"," ")))</f>
        <v>BUY</v>
      </c>
      <c r="K92" s="8" t="s">
        <v>301</v>
      </c>
      <c r="L92" s="10">
        <v>2500000</v>
      </c>
      <c r="M92" s="10"/>
      <c r="N92" s="168">
        <f>LS[[#This Row],[Amount]]/LS[[#This Row],[Unit]]</f>
        <v>10</v>
      </c>
      <c r="O92" s="11">
        <f t="shared" si="2"/>
        <v>250000</v>
      </c>
      <c r="P92" s="11">
        <f>SUMIFS(LS[[#Headers],[Unit]]:LS[[#This Row],[Unit]],LS[[#Headers],[Investor ID]]:LS[[#This Row],[Investor ID]],LS[[#This Row],[Investor ID]])</f>
        <v>250000</v>
      </c>
      <c r="Q92" s="10">
        <v>2500000</v>
      </c>
      <c r="R92" s="6">
        <f>LS[[#This Row],[Amount]]-LS[[#This Row],[Unit Capital]]</f>
        <v>0</v>
      </c>
      <c r="S9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92" s="168">
        <f t="shared" si="3"/>
        <v>12.552</v>
      </c>
      <c r="U9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92" s="10" cm="1">
        <f t="array" ref="V92">IF(LS[[#This Row],[B/S]]="S",ABS(LS[[#This Row],[Unit]])*(INDEX(LS[NAV at Cost (Average)],MATCH(CONCATENATE((LS[[#This Row],[Frequency]]-1),LS[[#This Row],[Investor ID]]),LS[Unique Code],0),0)),0)</f>
        <v>0</v>
      </c>
      <c r="W92" s="10">
        <f>IF(LS[[#This Row],[BO Transfer]]="YES",LS[[#This Row],[Unit]],)</f>
        <v>0</v>
      </c>
      <c r="X92" s="3">
        <f>SUMIFS(LS[[#Headers],[BO UNIT TRANSFER]]:LS[[#This Row],[BO UNIT TRANSFER]],LS[[#Headers],[Investor ID]]:LS[[#This Row],[Investor ID]],LS[[#This Row],[Investor ID]])</f>
        <v>0</v>
      </c>
      <c r="AA92" s="7"/>
    </row>
    <row r="93" spans="2:27">
      <c r="B93" s="8">
        <v>2022</v>
      </c>
      <c r="C93" s="8">
        <v>1</v>
      </c>
      <c r="D93" s="8">
        <v>30</v>
      </c>
      <c r="E93" s="291">
        <f>DATE(LS[[#This Row],[Year]],LS[[#This Row],[Month]],LS[[#This Row],[Day]])</f>
        <v>44591</v>
      </c>
      <c r="F93" t="str" cm="1">
        <f t="array" ref="F93">INDEX(INVESTORS_LIST[INVESTOR NAME],MATCH(LS[[#This Row],[Investor ID]],INVESTORS_LIST[INVESTOR CODE],0),)</f>
        <v>MD. ZAHID HOSSAIN</v>
      </c>
      <c r="G93" s="19" t="s">
        <v>160</v>
      </c>
      <c r="H93" s="8">
        <f>COUNTIF(LS[[#Headers],[Investor ID]]:LS[[#This Row],[Investor ID]],LS[[#This Row],[Investor ID]])</f>
        <v>1</v>
      </c>
      <c r="I93" s="8" t="str">
        <f>CONCATENATE(LS[[#This Row],[Frequency]],LS[[#This Row],[Investor ID]])</f>
        <v>1A00127</v>
      </c>
      <c r="J93" s="8" t="str">
        <f>IF(LS[[#This Row],[B/S]]="B","BUY",(IF(LS[[#This Row],[B/S]]="S","SELL"," ")))</f>
        <v>BUY</v>
      </c>
      <c r="K93" s="8" t="s">
        <v>301</v>
      </c>
      <c r="L93" s="10">
        <v>500000</v>
      </c>
      <c r="M93" s="10"/>
      <c r="N93" s="168">
        <f>LS[[#This Row],[Amount]]/LS[[#This Row],[Unit]]</f>
        <v>10</v>
      </c>
      <c r="O93" s="11">
        <f t="shared" si="2"/>
        <v>50000</v>
      </c>
      <c r="P93" s="11">
        <f>SUMIFS(LS[[#Headers],[Unit]]:LS[[#This Row],[Unit]],LS[[#Headers],[Investor ID]]:LS[[#This Row],[Investor ID]],LS[[#This Row],[Investor ID]])</f>
        <v>50000</v>
      </c>
      <c r="Q93" s="10">
        <v>500000</v>
      </c>
      <c r="R93" s="6">
        <f>LS[[#This Row],[Amount]]-LS[[#This Row],[Unit Capital]]</f>
        <v>0</v>
      </c>
      <c r="S9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93" s="168">
        <f t="shared" si="3"/>
        <v>12.552</v>
      </c>
      <c r="U9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93" s="10" cm="1">
        <f t="array" ref="V93">IF(LS[[#This Row],[B/S]]="S",ABS(LS[[#This Row],[Unit]])*(INDEX(LS[NAV at Cost (Average)],MATCH(CONCATENATE((LS[[#This Row],[Frequency]]-1),LS[[#This Row],[Investor ID]]),LS[Unique Code],0),0)),0)</f>
        <v>0</v>
      </c>
      <c r="W93" s="10">
        <f>IF(LS[[#This Row],[BO Transfer]]="YES",LS[[#This Row],[Unit]],)</f>
        <v>0</v>
      </c>
      <c r="X93" s="3">
        <f>SUMIFS(LS[[#Headers],[BO UNIT TRANSFER]]:LS[[#This Row],[BO UNIT TRANSFER]],LS[[#Headers],[Investor ID]]:LS[[#This Row],[Investor ID]],LS[[#This Row],[Investor ID]])</f>
        <v>0</v>
      </c>
      <c r="AA93" s="7"/>
    </row>
    <row r="94" spans="2:27">
      <c r="B94" s="8">
        <v>2022</v>
      </c>
      <c r="C94" s="8">
        <v>1</v>
      </c>
      <c r="D94" s="8">
        <v>30</v>
      </c>
      <c r="E94" s="291">
        <f>DATE(LS[[#This Row],[Year]],LS[[#This Row],[Month]],LS[[#This Row],[Day]])</f>
        <v>44591</v>
      </c>
      <c r="F94" t="str" cm="1">
        <f t="array" ref="F94">INDEX(INVESTORS_LIST[INVESTOR NAME],MATCH(LS[[#This Row],[Investor ID]],INVESTORS_LIST[INVESTOR CODE],0),)</f>
        <v>HOSNEARA ISLAM</v>
      </c>
      <c r="G94" s="19" t="s">
        <v>659</v>
      </c>
      <c r="H94" s="8">
        <f>COUNTIF(LS[[#Headers],[Investor ID]]:LS[[#This Row],[Investor ID]],LS[[#This Row],[Investor ID]])</f>
        <v>1</v>
      </c>
      <c r="I94" s="8" t="str">
        <f>CONCATENATE(LS[[#This Row],[Frequency]],LS[[#This Row],[Investor ID]])</f>
        <v>1A00356</v>
      </c>
      <c r="J94" s="8" t="str">
        <f>IF(LS[[#This Row],[B/S]]="B","BUY",(IF(LS[[#This Row],[B/S]]="S","SELL"," ")))</f>
        <v>BUY</v>
      </c>
      <c r="K94" s="8" t="s">
        <v>301</v>
      </c>
      <c r="L94" s="10">
        <v>4500000</v>
      </c>
      <c r="M94" s="10"/>
      <c r="N94" s="168">
        <f>LS[[#This Row],[Amount]]/LS[[#This Row],[Unit]]</f>
        <v>10</v>
      </c>
      <c r="O94" s="11">
        <f t="shared" si="2"/>
        <v>450000</v>
      </c>
      <c r="P94" s="11">
        <f>SUMIFS(LS[[#Headers],[Unit]]:LS[[#This Row],[Unit]],LS[[#Headers],[Investor ID]]:LS[[#This Row],[Investor ID]],LS[[#This Row],[Investor ID]])</f>
        <v>450000</v>
      </c>
      <c r="Q94" s="10">
        <v>4500000</v>
      </c>
      <c r="R94" s="6">
        <f>LS[[#This Row],[Amount]]-LS[[#This Row],[Unit Capital]]</f>
        <v>0</v>
      </c>
      <c r="S9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94" s="168">
        <f t="shared" si="3"/>
        <v>12.552</v>
      </c>
      <c r="U9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94" s="10" cm="1">
        <f t="array" ref="V94">IF(LS[[#This Row],[B/S]]="S",ABS(LS[[#This Row],[Unit]])*(INDEX(LS[NAV at Cost (Average)],MATCH(CONCATENATE((LS[[#This Row],[Frequency]]-1),LS[[#This Row],[Investor ID]]),LS[Unique Code],0),0)),0)</f>
        <v>0</v>
      </c>
      <c r="W94" s="10">
        <f>IF(LS[[#This Row],[BO Transfer]]="YES",LS[[#This Row],[Unit]],)</f>
        <v>0</v>
      </c>
      <c r="X94" s="3">
        <f>SUMIFS(LS[[#Headers],[BO UNIT TRANSFER]]:LS[[#This Row],[BO UNIT TRANSFER]],LS[[#Headers],[Investor ID]]:LS[[#This Row],[Investor ID]],LS[[#This Row],[Investor ID]])</f>
        <v>0</v>
      </c>
      <c r="AA94" s="7"/>
    </row>
    <row r="95" spans="2:27">
      <c r="B95" s="8">
        <v>2022</v>
      </c>
      <c r="C95" s="8">
        <v>1</v>
      </c>
      <c r="D95" s="8">
        <v>30</v>
      </c>
      <c r="E95" s="291">
        <f>DATE(LS[[#This Row],[Year]],LS[[#This Row],[Month]],LS[[#This Row],[Day]])</f>
        <v>44591</v>
      </c>
      <c r="F95" t="str" cm="1">
        <f t="array" ref="F95">INDEX(INVESTORS_LIST[INVESTOR NAME],MATCH(LS[[#This Row],[Investor ID]],INVESTORS_LIST[INVESTOR CODE],0),)</f>
        <v>MOHAMMAD MOINUL ISLAM</v>
      </c>
      <c r="G95" s="19" t="s">
        <v>661</v>
      </c>
      <c r="H95" s="8">
        <f>COUNTIF(LS[[#Headers],[Investor ID]]:LS[[#This Row],[Investor ID]],LS[[#This Row],[Investor ID]])</f>
        <v>1</v>
      </c>
      <c r="I95" s="8" t="str">
        <f>CONCATENATE(LS[[#This Row],[Frequency]],LS[[#This Row],[Investor ID]])</f>
        <v>1A00357</v>
      </c>
      <c r="J95" s="8" t="str">
        <f>IF(LS[[#This Row],[B/S]]="B","BUY",(IF(LS[[#This Row],[B/S]]="S","SELL"," ")))</f>
        <v>BUY</v>
      </c>
      <c r="K95" s="8" t="s">
        <v>301</v>
      </c>
      <c r="L95" s="10">
        <v>500000</v>
      </c>
      <c r="M95" s="10"/>
      <c r="N95" s="168">
        <f>LS[[#This Row],[Amount]]/LS[[#This Row],[Unit]]</f>
        <v>10</v>
      </c>
      <c r="O95" s="11">
        <f t="shared" si="2"/>
        <v>50000</v>
      </c>
      <c r="P95" s="11">
        <f>SUMIFS(LS[[#Headers],[Unit]]:LS[[#This Row],[Unit]],LS[[#Headers],[Investor ID]]:LS[[#This Row],[Investor ID]],LS[[#This Row],[Investor ID]])</f>
        <v>50000</v>
      </c>
      <c r="Q95" s="10">
        <v>500000</v>
      </c>
      <c r="R95" s="6">
        <f>LS[[#This Row],[Amount]]-LS[[#This Row],[Unit Capital]]</f>
        <v>0</v>
      </c>
      <c r="S9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95" s="168">
        <f t="shared" si="3"/>
        <v>12.552</v>
      </c>
      <c r="U9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95" s="10" cm="1">
        <f t="array" ref="V95">IF(LS[[#This Row],[B/S]]="S",ABS(LS[[#This Row],[Unit]])*(INDEX(LS[NAV at Cost (Average)],MATCH(CONCATENATE((LS[[#This Row],[Frequency]]-1),LS[[#This Row],[Investor ID]]),LS[Unique Code],0),0)),0)</f>
        <v>0</v>
      </c>
      <c r="W95" s="10">
        <f>IF(LS[[#This Row],[BO Transfer]]="YES",LS[[#This Row],[Unit]],)</f>
        <v>0</v>
      </c>
      <c r="X95" s="3">
        <f>SUMIFS(LS[[#Headers],[BO UNIT TRANSFER]]:LS[[#This Row],[BO UNIT TRANSFER]],LS[[#Headers],[Investor ID]]:LS[[#This Row],[Investor ID]],LS[[#This Row],[Investor ID]])</f>
        <v>0</v>
      </c>
      <c r="AA95" s="7"/>
    </row>
    <row r="96" spans="2:27">
      <c r="B96" s="8">
        <v>2022</v>
      </c>
      <c r="C96" s="8">
        <v>1</v>
      </c>
      <c r="D96" s="8">
        <v>30</v>
      </c>
      <c r="E96" s="291">
        <f>DATE(LS[[#This Row],[Year]],LS[[#This Row],[Month]],LS[[#This Row],[Day]])</f>
        <v>44591</v>
      </c>
      <c r="F96" t="str" cm="1">
        <f t="array" ref="F96">INDEX(INVESTORS_LIST[INVESTOR NAME],MATCH(LS[[#This Row],[Investor ID]],INVESTORS_LIST[INVESTOR CODE],0),)</f>
        <v>UNICAP INVESTMENTS LIMITED</v>
      </c>
      <c r="G96" s="19" t="s">
        <v>77</v>
      </c>
      <c r="H96" s="8">
        <f>COUNTIF(LS[[#Headers],[Investor ID]]:LS[[#This Row],[Investor ID]],LS[[#This Row],[Investor ID]])</f>
        <v>1</v>
      </c>
      <c r="I96" s="8" t="str">
        <f>CONCATENATE(LS[[#This Row],[Frequency]],LS[[#This Row],[Investor ID]])</f>
        <v>1A00069</v>
      </c>
      <c r="J96" s="8" t="str">
        <f>IF(LS[[#This Row],[B/S]]="B","BUY",(IF(LS[[#This Row],[B/S]]="S","SELL"," ")))</f>
        <v>BUY</v>
      </c>
      <c r="K96" s="8" t="s">
        <v>301</v>
      </c>
      <c r="L96" s="10">
        <v>1000000</v>
      </c>
      <c r="M96" s="10"/>
      <c r="N96" s="168">
        <f>LS[[#This Row],[Amount]]/LS[[#This Row],[Unit]]</f>
        <v>10</v>
      </c>
      <c r="O96" s="11">
        <f t="shared" si="2"/>
        <v>100000</v>
      </c>
      <c r="P96" s="11">
        <f>SUMIFS(LS[[#Headers],[Unit]]:LS[[#This Row],[Unit]],LS[[#Headers],[Investor ID]]:LS[[#This Row],[Investor ID]],LS[[#This Row],[Investor ID]])</f>
        <v>100000</v>
      </c>
      <c r="Q96" s="10">
        <v>1000000</v>
      </c>
      <c r="R96" s="6">
        <f>LS[[#This Row],[Amount]]-LS[[#This Row],[Unit Capital]]</f>
        <v>0</v>
      </c>
      <c r="S9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96" s="168">
        <f t="shared" si="3"/>
        <v>12.552</v>
      </c>
      <c r="U9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96" s="10" cm="1">
        <f t="array" ref="V96">IF(LS[[#This Row],[B/S]]="S",ABS(LS[[#This Row],[Unit]])*(INDEX(LS[NAV at Cost (Average)],MATCH(CONCATENATE((LS[[#This Row],[Frequency]]-1),LS[[#This Row],[Investor ID]]),LS[Unique Code],0),0)),0)</f>
        <v>0</v>
      </c>
      <c r="W96" s="10">
        <f>IF(LS[[#This Row],[BO Transfer]]="YES",LS[[#This Row],[Unit]],)</f>
        <v>0</v>
      </c>
      <c r="X96" s="3">
        <f>SUMIFS(LS[[#Headers],[BO UNIT TRANSFER]]:LS[[#This Row],[BO UNIT TRANSFER]],LS[[#Headers],[Investor ID]]:LS[[#This Row],[Investor ID]],LS[[#This Row],[Investor ID]])</f>
        <v>0</v>
      </c>
      <c r="AA96" s="7"/>
    </row>
    <row r="97" spans="2:27">
      <c r="B97" s="8">
        <v>2022</v>
      </c>
      <c r="C97" s="8">
        <v>1</v>
      </c>
      <c r="D97" s="8">
        <v>30</v>
      </c>
      <c r="E97" s="291">
        <f>DATE(LS[[#This Row],[Year]],LS[[#This Row],[Month]],LS[[#This Row],[Day]])</f>
        <v>44591</v>
      </c>
      <c r="F97" t="str" cm="1">
        <f t="array" ref="F97">INDEX(INVESTORS_LIST[INVESTOR NAME],MATCH(LS[[#This Row],[Investor ID]],INVESTORS_LIST[INVESTOR CODE],0),)</f>
        <v>MOHAMMAD AMDADUL HOQUE</v>
      </c>
      <c r="G97" s="19" t="s">
        <v>663</v>
      </c>
      <c r="H97" s="8">
        <f>COUNTIF(LS[[#Headers],[Investor ID]]:LS[[#This Row],[Investor ID]],LS[[#This Row],[Investor ID]])</f>
        <v>1</v>
      </c>
      <c r="I97" s="8" t="str">
        <f>CONCATENATE(LS[[#This Row],[Frequency]],LS[[#This Row],[Investor ID]])</f>
        <v>1A00358</v>
      </c>
      <c r="J97" s="8" t="str">
        <f>IF(LS[[#This Row],[B/S]]="B","BUY",(IF(LS[[#This Row],[B/S]]="S","SELL"," ")))</f>
        <v>BUY</v>
      </c>
      <c r="K97" s="8" t="s">
        <v>301</v>
      </c>
      <c r="L97" s="10">
        <v>1000000</v>
      </c>
      <c r="M97" s="10"/>
      <c r="N97" s="168">
        <f>LS[[#This Row],[Amount]]/LS[[#This Row],[Unit]]</f>
        <v>10</v>
      </c>
      <c r="O97" s="11">
        <f t="shared" si="2"/>
        <v>100000</v>
      </c>
      <c r="P97" s="11">
        <f>SUMIFS(LS[[#Headers],[Unit]]:LS[[#This Row],[Unit]],LS[[#Headers],[Investor ID]]:LS[[#This Row],[Investor ID]],LS[[#This Row],[Investor ID]])</f>
        <v>100000</v>
      </c>
      <c r="Q97" s="10">
        <v>1000000</v>
      </c>
      <c r="R97" s="6">
        <f>LS[[#This Row],[Amount]]-LS[[#This Row],[Unit Capital]]</f>
        <v>0</v>
      </c>
      <c r="S9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97" s="168">
        <f t="shared" si="3"/>
        <v>12.552</v>
      </c>
      <c r="U9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97" s="10" cm="1">
        <f t="array" ref="V97">IF(LS[[#This Row],[B/S]]="S",ABS(LS[[#This Row],[Unit]])*(INDEX(LS[NAV at Cost (Average)],MATCH(CONCATENATE((LS[[#This Row],[Frequency]]-1),LS[[#This Row],[Investor ID]]),LS[Unique Code],0),0)),0)</f>
        <v>0</v>
      </c>
      <c r="W97" s="10">
        <f>IF(LS[[#This Row],[BO Transfer]]="YES",LS[[#This Row],[Unit]],)</f>
        <v>0</v>
      </c>
      <c r="X97" s="3">
        <f>SUMIFS(LS[[#Headers],[BO UNIT TRANSFER]]:LS[[#This Row],[BO UNIT TRANSFER]],LS[[#Headers],[Investor ID]]:LS[[#This Row],[Investor ID]],LS[[#This Row],[Investor ID]])</f>
        <v>0</v>
      </c>
      <c r="AA97" s="7"/>
    </row>
    <row r="98" spans="2:27">
      <c r="B98" s="8">
        <v>2022</v>
      </c>
      <c r="C98" s="8">
        <v>1</v>
      </c>
      <c r="D98" s="8">
        <v>30</v>
      </c>
      <c r="E98" s="291">
        <f>DATE(LS[[#This Row],[Year]],LS[[#This Row],[Month]],LS[[#This Row],[Day]])</f>
        <v>44591</v>
      </c>
      <c r="F98" t="str" cm="1">
        <f t="array" ref="F98">INDEX(INVESTORS_LIST[INVESTOR NAME],MATCH(LS[[#This Row],[Investor ID]],INVESTORS_LIST[INVESTOR CODE],0),)</f>
        <v>HAFIZA AFRIN TONNY</v>
      </c>
      <c r="G98" s="19" t="s">
        <v>665</v>
      </c>
      <c r="H98" s="8">
        <f>COUNTIF(LS[[#Headers],[Investor ID]]:LS[[#This Row],[Investor ID]],LS[[#This Row],[Investor ID]])</f>
        <v>1</v>
      </c>
      <c r="I98" s="8" t="str">
        <f>CONCATENATE(LS[[#This Row],[Frequency]],LS[[#This Row],[Investor ID]])</f>
        <v>1A00359</v>
      </c>
      <c r="J98" s="8" t="str">
        <f>IF(LS[[#This Row],[B/S]]="B","BUY",(IF(LS[[#This Row],[B/S]]="S","SELL"," ")))</f>
        <v>BUY</v>
      </c>
      <c r="K98" s="8" t="s">
        <v>301</v>
      </c>
      <c r="L98" s="10">
        <v>50000</v>
      </c>
      <c r="M98" s="10"/>
      <c r="N98" s="168">
        <f>LS[[#This Row],[Amount]]/LS[[#This Row],[Unit]]</f>
        <v>10</v>
      </c>
      <c r="O98" s="11">
        <f t="shared" si="2"/>
        <v>5000</v>
      </c>
      <c r="P98" s="11">
        <f>SUMIFS(LS[[#Headers],[Unit]]:LS[[#This Row],[Unit]],LS[[#Headers],[Investor ID]]:LS[[#This Row],[Investor ID]],LS[[#This Row],[Investor ID]])</f>
        <v>5000</v>
      </c>
      <c r="Q98" s="10">
        <v>50000</v>
      </c>
      <c r="R98" s="6">
        <f>LS[[#This Row],[Amount]]-LS[[#This Row],[Unit Capital]]</f>
        <v>0</v>
      </c>
      <c r="S9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98" s="168">
        <f t="shared" si="3"/>
        <v>12.552</v>
      </c>
      <c r="U9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98" s="10" cm="1">
        <f t="array" ref="V98">IF(LS[[#This Row],[B/S]]="S",ABS(LS[[#This Row],[Unit]])*(INDEX(LS[NAV at Cost (Average)],MATCH(CONCATENATE((LS[[#This Row],[Frequency]]-1),LS[[#This Row],[Investor ID]]),LS[Unique Code],0),0)),0)</f>
        <v>0</v>
      </c>
      <c r="W98" s="10">
        <f>IF(LS[[#This Row],[BO Transfer]]="YES",LS[[#This Row],[Unit]],)</f>
        <v>0</v>
      </c>
      <c r="X98" s="3">
        <f>SUMIFS(LS[[#Headers],[BO UNIT TRANSFER]]:LS[[#This Row],[BO UNIT TRANSFER]],LS[[#Headers],[Investor ID]]:LS[[#This Row],[Investor ID]],LS[[#This Row],[Investor ID]])</f>
        <v>0</v>
      </c>
      <c r="AA98" s="7"/>
    </row>
    <row r="99" spans="2:27">
      <c r="B99" s="8">
        <v>2022</v>
      </c>
      <c r="C99" s="8">
        <v>1</v>
      </c>
      <c r="D99" s="8">
        <v>30</v>
      </c>
      <c r="E99" s="291">
        <f>DATE(LS[[#This Row],[Year]],LS[[#This Row],[Month]],LS[[#This Row],[Day]])</f>
        <v>44591</v>
      </c>
      <c r="F99" t="str" cm="1">
        <f t="array" ref="F99">INDEX(INVESTORS_LIST[INVESTOR NAME],MATCH(LS[[#This Row],[Investor ID]],INVESTORS_LIST[INVESTOR CODE],0),)</f>
        <v>MUQIT-AL RAHMAN</v>
      </c>
      <c r="G99" s="19" t="s">
        <v>154</v>
      </c>
      <c r="H99" s="8">
        <f>COUNTIF(LS[[#Headers],[Investor ID]]:LS[[#This Row],[Investor ID]],LS[[#This Row],[Investor ID]])</f>
        <v>1</v>
      </c>
      <c r="I99" s="8" t="str">
        <f>CONCATENATE(LS[[#This Row],[Frequency]],LS[[#This Row],[Investor ID]])</f>
        <v>1A00121</v>
      </c>
      <c r="J99" s="8" t="str">
        <f>IF(LS[[#This Row],[B/S]]="B","BUY",(IF(LS[[#This Row],[B/S]]="S","SELL"," ")))</f>
        <v>BUY</v>
      </c>
      <c r="K99" s="8" t="s">
        <v>301</v>
      </c>
      <c r="L99" s="10">
        <v>600000</v>
      </c>
      <c r="M99" s="10"/>
      <c r="N99" s="168">
        <f>LS[[#This Row],[Amount]]/LS[[#This Row],[Unit]]</f>
        <v>10</v>
      </c>
      <c r="O99" s="11">
        <f t="shared" si="2"/>
        <v>60000</v>
      </c>
      <c r="P99" s="11">
        <f>SUMIFS(LS[[#Headers],[Unit]]:LS[[#This Row],[Unit]],LS[[#Headers],[Investor ID]]:LS[[#This Row],[Investor ID]],LS[[#This Row],[Investor ID]])</f>
        <v>60000</v>
      </c>
      <c r="Q99" s="10">
        <v>600000</v>
      </c>
      <c r="R99" s="6">
        <f>LS[[#This Row],[Amount]]-LS[[#This Row],[Unit Capital]]</f>
        <v>0</v>
      </c>
      <c r="S9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99" s="168">
        <f t="shared" si="3"/>
        <v>12.552</v>
      </c>
      <c r="U9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99" s="10" cm="1">
        <f t="array" ref="V99">IF(LS[[#This Row],[B/S]]="S",ABS(LS[[#This Row],[Unit]])*(INDEX(LS[NAV at Cost (Average)],MATCH(CONCATENATE((LS[[#This Row],[Frequency]]-1),LS[[#This Row],[Investor ID]]),LS[Unique Code],0),0)),0)</f>
        <v>0</v>
      </c>
      <c r="W99" s="10">
        <f>IF(LS[[#This Row],[BO Transfer]]="YES",LS[[#This Row],[Unit]],)</f>
        <v>0</v>
      </c>
      <c r="X99" s="3">
        <f>SUMIFS(LS[[#Headers],[BO UNIT TRANSFER]]:LS[[#This Row],[BO UNIT TRANSFER]],LS[[#Headers],[Investor ID]]:LS[[#This Row],[Investor ID]],LS[[#This Row],[Investor ID]])</f>
        <v>0</v>
      </c>
      <c r="AA99" s="7"/>
    </row>
    <row r="100" spans="2:27">
      <c r="B100" s="8">
        <v>2022</v>
      </c>
      <c r="C100" s="8">
        <v>1</v>
      </c>
      <c r="D100" s="8">
        <v>30</v>
      </c>
      <c r="E100" s="291">
        <f>DATE(LS[[#This Row],[Year]],LS[[#This Row],[Month]],LS[[#This Row],[Day]])</f>
        <v>44591</v>
      </c>
      <c r="F100" t="str" cm="1">
        <f t="array" ref="F100">INDEX(INVESTORS_LIST[INVESTOR NAME],MATCH(LS[[#This Row],[Investor ID]],INVESTORS_LIST[INVESTOR CODE],0),)</f>
        <v>PHOENIX FINANCE &amp; INVESTMENTS LTD</v>
      </c>
      <c r="G100" s="19" t="s">
        <v>205</v>
      </c>
      <c r="H100" s="8">
        <f>COUNTIF(LS[[#Headers],[Investor ID]]:LS[[#This Row],[Investor ID]],LS[[#This Row],[Investor ID]])</f>
        <v>1</v>
      </c>
      <c r="I100" s="8" t="str">
        <f>CONCATENATE(LS[[#This Row],[Frequency]],LS[[#This Row],[Investor ID]])</f>
        <v>1A00172</v>
      </c>
      <c r="J100" s="8" t="str">
        <f>IF(LS[[#This Row],[B/S]]="B","BUY",(IF(LS[[#This Row],[B/S]]="S","SELL"," ")))</f>
        <v>BUY</v>
      </c>
      <c r="K100" s="8" t="s">
        <v>301</v>
      </c>
      <c r="L100" s="10">
        <v>10000000</v>
      </c>
      <c r="M100" s="10"/>
      <c r="N100" s="168">
        <f>LS[[#This Row],[Amount]]/LS[[#This Row],[Unit]]</f>
        <v>10</v>
      </c>
      <c r="O100" s="11">
        <f t="shared" si="2"/>
        <v>1000000</v>
      </c>
      <c r="P100" s="11">
        <f>SUMIFS(LS[[#Headers],[Unit]]:LS[[#This Row],[Unit]],LS[[#Headers],[Investor ID]]:LS[[#This Row],[Investor ID]],LS[[#This Row],[Investor ID]])</f>
        <v>1000000</v>
      </c>
      <c r="Q100" s="10">
        <v>10000000</v>
      </c>
      <c r="R100" s="6">
        <f>LS[[#This Row],[Amount]]-LS[[#This Row],[Unit Capital]]</f>
        <v>0</v>
      </c>
      <c r="S10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00" s="168">
        <f t="shared" si="3"/>
        <v>12.552</v>
      </c>
      <c r="U10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00" s="10" cm="1">
        <f t="array" ref="V100">IF(LS[[#This Row],[B/S]]="S",ABS(LS[[#This Row],[Unit]])*(INDEX(LS[NAV at Cost (Average)],MATCH(CONCATENATE((LS[[#This Row],[Frequency]]-1),LS[[#This Row],[Investor ID]]),LS[Unique Code],0),0)),0)</f>
        <v>0</v>
      </c>
      <c r="W100" s="10">
        <f>IF(LS[[#This Row],[BO Transfer]]="YES",LS[[#This Row],[Unit]],)</f>
        <v>0</v>
      </c>
      <c r="X100" s="3">
        <f>SUMIFS(LS[[#Headers],[BO UNIT TRANSFER]]:LS[[#This Row],[BO UNIT TRANSFER]],LS[[#Headers],[Investor ID]]:LS[[#This Row],[Investor ID]],LS[[#This Row],[Investor ID]])</f>
        <v>0</v>
      </c>
      <c r="AA100" s="7"/>
    </row>
    <row r="101" spans="2:27">
      <c r="B101" s="8">
        <v>2022</v>
      </c>
      <c r="C101" s="8">
        <v>1</v>
      </c>
      <c r="D101" s="8">
        <v>30</v>
      </c>
      <c r="E101" s="291">
        <f>DATE(LS[[#This Row],[Year]],LS[[#This Row],[Month]],LS[[#This Row],[Day]])</f>
        <v>44591</v>
      </c>
      <c r="F101" t="str" cm="1">
        <f t="array" ref="F101">INDEX(INVESTORS_LIST[INVESTOR NAME],MATCH(LS[[#This Row],[Investor ID]],INVESTORS_LIST[INVESTOR CODE],0),)</f>
        <v>MD. SHEFATH-UL-ISLAM</v>
      </c>
      <c r="G101" s="19" t="s">
        <v>589</v>
      </c>
      <c r="H101" s="8">
        <f>COUNTIF(LS[[#Headers],[Investor ID]]:LS[[#This Row],[Investor ID]],LS[[#This Row],[Investor ID]])</f>
        <v>1</v>
      </c>
      <c r="I101" s="8" t="str">
        <f>CONCATENATE(LS[[#This Row],[Frequency]],LS[[#This Row],[Investor ID]])</f>
        <v>1A00331</v>
      </c>
      <c r="J101" s="8" t="str">
        <f>IF(LS[[#This Row],[B/S]]="B","BUY",(IF(LS[[#This Row],[B/S]]="S","SELL"," ")))</f>
        <v>BUY</v>
      </c>
      <c r="K101" s="8" t="s">
        <v>301</v>
      </c>
      <c r="L101" s="10">
        <v>200000</v>
      </c>
      <c r="M101" s="10"/>
      <c r="N101" s="168">
        <f>LS[[#This Row],[Amount]]/LS[[#This Row],[Unit]]</f>
        <v>10</v>
      </c>
      <c r="O101" s="11">
        <f t="shared" si="2"/>
        <v>20000</v>
      </c>
      <c r="P101" s="11">
        <f>SUMIFS(LS[[#Headers],[Unit]]:LS[[#This Row],[Unit]],LS[[#Headers],[Investor ID]]:LS[[#This Row],[Investor ID]],LS[[#This Row],[Investor ID]])</f>
        <v>20000</v>
      </c>
      <c r="Q101" s="10">
        <v>200000</v>
      </c>
      <c r="R101" s="6">
        <f>LS[[#This Row],[Amount]]-LS[[#This Row],[Unit Capital]]</f>
        <v>0</v>
      </c>
      <c r="S10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01" s="168">
        <f t="shared" si="3"/>
        <v>12.552</v>
      </c>
      <c r="U10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01" s="10" cm="1">
        <f t="array" ref="V101">IF(LS[[#This Row],[B/S]]="S",ABS(LS[[#This Row],[Unit]])*(INDEX(LS[NAV at Cost (Average)],MATCH(CONCATENATE((LS[[#This Row],[Frequency]]-1),LS[[#This Row],[Investor ID]]),LS[Unique Code],0),0)),0)</f>
        <v>0</v>
      </c>
      <c r="W101" s="10">
        <f>IF(LS[[#This Row],[BO Transfer]]="YES",LS[[#This Row],[Unit]],)</f>
        <v>0</v>
      </c>
      <c r="X101" s="3">
        <f>SUMIFS(LS[[#Headers],[BO UNIT TRANSFER]]:LS[[#This Row],[BO UNIT TRANSFER]],LS[[#Headers],[Investor ID]]:LS[[#This Row],[Investor ID]],LS[[#This Row],[Investor ID]])</f>
        <v>0</v>
      </c>
      <c r="AA101" s="7"/>
    </row>
    <row r="102" spans="2:27">
      <c r="B102" s="8">
        <v>2022</v>
      </c>
      <c r="C102" s="8">
        <v>1</v>
      </c>
      <c r="D102" s="8">
        <v>30</v>
      </c>
      <c r="E102" s="291">
        <f>DATE(LS[[#This Row],[Year]],LS[[#This Row],[Month]],LS[[#This Row],[Day]])</f>
        <v>44591</v>
      </c>
      <c r="F102" t="str" cm="1">
        <f t="array" ref="F102">INDEX(INVESTORS_LIST[INVESTOR NAME],MATCH(LS[[#This Row],[Investor ID]],INVESTORS_LIST[INVESTOR CODE],0),)</f>
        <v>FARDINA HAFIZ</v>
      </c>
      <c r="G102" s="19" t="s">
        <v>59</v>
      </c>
      <c r="H102" s="8">
        <f>COUNTIF(LS[[#Headers],[Investor ID]]:LS[[#This Row],[Investor ID]],LS[[#This Row],[Investor ID]])</f>
        <v>1</v>
      </c>
      <c r="I102" s="8" t="str">
        <f>CONCATENATE(LS[[#This Row],[Frequency]],LS[[#This Row],[Investor ID]])</f>
        <v>1A00052</v>
      </c>
      <c r="J102" s="8" t="str">
        <f>IF(LS[[#This Row],[B/S]]="B","BUY",(IF(LS[[#This Row],[B/S]]="S","SELL"," ")))</f>
        <v>BUY</v>
      </c>
      <c r="K102" s="8" t="s">
        <v>301</v>
      </c>
      <c r="L102" s="10">
        <v>200000</v>
      </c>
      <c r="M102" s="10"/>
      <c r="N102" s="168">
        <f>LS[[#This Row],[Amount]]/LS[[#This Row],[Unit]]</f>
        <v>10</v>
      </c>
      <c r="O102" s="11">
        <f t="shared" si="2"/>
        <v>20000</v>
      </c>
      <c r="P102" s="11">
        <f>SUMIFS(LS[[#Headers],[Unit]]:LS[[#This Row],[Unit]],LS[[#Headers],[Investor ID]]:LS[[#This Row],[Investor ID]],LS[[#This Row],[Investor ID]])</f>
        <v>20000</v>
      </c>
      <c r="Q102" s="10">
        <v>200000</v>
      </c>
      <c r="R102" s="6">
        <f>LS[[#This Row],[Amount]]-LS[[#This Row],[Unit Capital]]</f>
        <v>0</v>
      </c>
      <c r="S10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02" s="168">
        <f t="shared" si="3"/>
        <v>12.552</v>
      </c>
      <c r="U10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02" s="10" cm="1">
        <f t="array" ref="V102">IF(LS[[#This Row],[B/S]]="S",ABS(LS[[#This Row],[Unit]])*(INDEX(LS[NAV at Cost (Average)],MATCH(CONCATENATE((LS[[#This Row],[Frequency]]-1),LS[[#This Row],[Investor ID]]),LS[Unique Code],0),0)),0)</f>
        <v>0</v>
      </c>
      <c r="W102" s="10">
        <f>IF(LS[[#This Row],[BO Transfer]]="YES",LS[[#This Row],[Unit]],)</f>
        <v>0</v>
      </c>
      <c r="X102" s="3">
        <f>SUMIFS(LS[[#Headers],[BO UNIT TRANSFER]]:LS[[#This Row],[BO UNIT TRANSFER]],LS[[#Headers],[Investor ID]]:LS[[#This Row],[Investor ID]],LS[[#This Row],[Investor ID]])</f>
        <v>0</v>
      </c>
      <c r="AA102" s="7"/>
    </row>
    <row r="103" spans="2:27">
      <c r="B103" s="8">
        <v>2022</v>
      </c>
      <c r="C103" s="8">
        <v>1</v>
      </c>
      <c r="D103" s="8">
        <v>30</v>
      </c>
      <c r="E103" s="291">
        <f>DATE(LS[[#This Row],[Year]],LS[[#This Row],[Month]],LS[[#This Row],[Day]])</f>
        <v>44591</v>
      </c>
      <c r="F103" t="str" cm="1">
        <f t="array" ref="F103">INDEX(INVESTORS_LIST[INVESTOR NAME],MATCH(LS[[#This Row],[Investor ID]],INVESTORS_LIST[INVESTOR CODE],0),)</f>
        <v>TANVIR AHMED SIDDIQUI</v>
      </c>
      <c r="G103" s="19" t="s">
        <v>39</v>
      </c>
      <c r="H103" s="8">
        <f>COUNTIF(LS[[#Headers],[Investor ID]]:LS[[#This Row],[Investor ID]],LS[[#This Row],[Investor ID]])</f>
        <v>1</v>
      </c>
      <c r="I103" s="8" t="str">
        <f>CONCATENATE(LS[[#This Row],[Frequency]],LS[[#This Row],[Investor ID]])</f>
        <v>1A00032</v>
      </c>
      <c r="J103" s="8" t="str">
        <f>IF(LS[[#This Row],[B/S]]="B","BUY",(IF(LS[[#This Row],[B/S]]="S","SELL"," ")))</f>
        <v>BUY</v>
      </c>
      <c r="K103" s="8" t="s">
        <v>301</v>
      </c>
      <c r="L103" s="10">
        <v>50000</v>
      </c>
      <c r="M103" s="10"/>
      <c r="N103" s="168">
        <f>LS[[#This Row],[Amount]]/LS[[#This Row],[Unit]]</f>
        <v>10</v>
      </c>
      <c r="O103" s="11">
        <f t="shared" si="2"/>
        <v>5000</v>
      </c>
      <c r="P103" s="11">
        <f>SUMIFS(LS[[#Headers],[Unit]]:LS[[#This Row],[Unit]],LS[[#Headers],[Investor ID]]:LS[[#This Row],[Investor ID]],LS[[#This Row],[Investor ID]])</f>
        <v>5000</v>
      </c>
      <c r="Q103" s="10">
        <v>50000</v>
      </c>
      <c r="R103" s="6">
        <f>LS[[#This Row],[Amount]]-LS[[#This Row],[Unit Capital]]</f>
        <v>0</v>
      </c>
      <c r="S10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03" s="168">
        <f t="shared" si="3"/>
        <v>12.552</v>
      </c>
      <c r="U10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03" s="10" cm="1">
        <f t="array" ref="V103">IF(LS[[#This Row],[B/S]]="S",ABS(LS[[#This Row],[Unit]])*(INDEX(LS[NAV at Cost (Average)],MATCH(CONCATENATE((LS[[#This Row],[Frequency]]-1),LS[[#This Row],[Investor ID]]),LS[Unique Code],0),0)),0)</f>
        <v>0</v>
      </c>
      <c r="W103" s="10">
        <f>IF(LS[[#This Row],[BO Transfer]]="YES",LS[[#This Row],[Unit]],)</f>
        <v>0</v>
      </c>
      <c r="X103" s="3">
        <f>SUMIFS(LS[[#Headers],[BO UNIT TRANSFER]]:LS[[#This Row],[BO UNIT TRANSFER]],LS[[#Headers],[Investor ID]]:LS[[#This Row],[Investor ID]],LS[[#This Row],[Investor ID]])</f>
        <v>0</v>
      </c>
      <c r="AA103" s="7"/>
    </row>
    <row r="104" spans="2:27">
      <c r="B104" s="8">
        <v>2022</v>
      </c>
      <c r="C104" s="8">
        <v>1</v>
      </c>
      <c r="D104" s="8">
        <v>30</v>
      </c>
      <c r="E104" s="291">
        <f>DATE(LS[[#This Row],[Year]],LS[[#This Row],[Month]],LS[[#This Row],[Day]])</f>
        <v>44591</v>
      </c>
      <c r="F104" t="str" cm="1">
        <f t="array" ref="F104">INDEX(INVESTORS_LIST[INVESTOR NAME],MATCH(LS[[#This Row],[Investor ID]],INVESTORS_LIST[INVESTOR CODE],0),)</f>
        <v>JOY SHREE SAHA</v>
      </c>
      <c r="G104" s="19" t="s">
        <v>383</v>
      </c>
      <c r="H104" s="8">
        <f>COUNTIF(LS[[#Headers],[Investor ID]]:LS[[#This Row],[Investor ID]],LS[[#This Row],[Investor ID]])</f>
        <v>1</v>
      </c>
      <c r="I104" s="8" t="str">
        <f>CONCATENATE(LS[[#This Row],[Frequency]],LS[[#This Row],[Investor ID]])</f>
        <v>1A00263</v>
      </c>
      <c r="J104" s="8" t="str">
        <f>IF(LS[[#This Row],[B/S]]="B","BUY",(IF(LS[[#This Row],[B/S]]="S","SELL"," ")))</f>
        <v>BUY</v>
      </c>
      <c r="K104" s="8" t="s">
        <v>301</v>
      </c>
      <c r="L104" s="10">
        <v>1500000</v>
      </c>
      <c r="M104" s="10"/>
      <c r="N104" s="168">
        <f>LS[[#This Row],[Amount]]/LS[[#This Row],[Unit]]</f>
        <v>10</v>
      </c>
      <c r="O104" s="11">
        <f t="shared" si="2"/>
        <v>150000</v>
      </c>
      <c r="P104" s="11">
        <f>SUMIFS(LS[[#Headers],[Unit]]:LS[[#This Row],[Unit]],LS[[#Headers],[Investor ID]]:LS[[#This Row],[Investor ID]],LS[[#This Row],[Investor ID]])</f>
        <v>150000</v>
      </c>
      <c r="Q104" s="10">
        <v>1500000</v>
      </c>
      <c r="R104" s="6">
        <f>LS[[#This Row],[Amount]]-LS[[#This Row],[Unit Capital]]</f>
        <v>0</v>
      </c>
      <c r="S10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04" s="168">
        <f t="shared" si="3"/>
        <v>12.552</v>
      </c>
      <c r="U10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04" s="10" cm="1">
        <f t="array" ref="V104">IF(LS[[#This Row],[B/S]]="S",ABS(LS[[#This Row],[Unit]])*(INDEX(LS[NAV at Cost (Average)],MATCH(CONCATENATE((LS[[#This Row],[Frequency]]-1),LS[[#This Row],[Investor ID]]),LS[Unique Code],0),0)),0)</f>
        <v>0</v>
      </c>
      <c r="W104" s="10">
        <f>IF(LS[[#This Row],[BO Transfer]]="YES",LS[[#This Row],[Unit]],)</f>
        <v>0</v>
      </c>
      <c r="X104" s="3">
        <f>SUMIFS(LS[[#Headers],[BO UNIT TRANSFER]]:LS[[#This Row],[BO UNIT TRANSFER]],LS[[#Headers],[Investor ID]]:LS[[#This Row],[Investor ID]],LS[[#This Row],[Investor ID]])</f>
        <v>0</v>
      </c>
      <c r="AA104" s="7"/>
    </row>
    <row r="105" spans="2:27">
      <c r="B105" s="8">
        <v>2022</v>
      </c>
      <c r="C105" s="8">
        <v>1</v>
      </c>
      <c r="D105" s="8">
        <v>30</v>
      </c>
      <c r="E105" s="291">
        <f>DATE(LS[[#This Row],[Year]],LS[[#This Row],[Month]],LS[[#This Row],[Day]])</f>
        <v>44591</v>
      </c>
      <c r="F105" t="str" cm="1">
        <f t="array" ref="F105">INDEX(INVESTORS_LIST[INVESTOR NAME],MATCH(LS[[#This Row],[Investor ID]],INVESTORS_LIST[INVESTOR CODE],0),)</f>
        <v>JOY SHREE SAHA</v>
      </c>
      <c r="G105" s="19" t="s">
        <v>383</v>
      </c>
      <c r="H105" s="8">
        <f>COUNTIF(LS[[#Headers],[Investor ID]]:LS[[#This Row],[Investor ID]],LS[[#This Row],[Investor ID]])</f>
        <v>2</v>
      </c>
      <c r="I105" s="8" t="str">
        <f>CONCATENATE(LS[[#This Row],[Frequency]],LS[[#This Row],[Investor ID]])</f>
        <v>2A00263</v>
      </c>
      <c r="J105" s="8" t="str">
        <f>IF(LS[[#This Row],[B/S]]="B","BUY",(IF(LS[[#This Row],[B/S]]="S","SELL"," ")))</f>
        <v>BUY</v>
      </c>
      <c r="K105" s="8" t="s">
        <v>301</v>
      </c>
      <c r="L105" s="10">
        <v>2000000</v>
      </c>
      <c r="M105" s="10"/>
      <c r="N105" s="168">
        <f>LS[[#This Row],[Amount]]/LS[[#This Row],[Unit]]</f>
        <v>10</v>
      </c>
      <c r="O105" s="11">
        <f t="shared" si="2"/>
        <v>200000</v>
      </c>
      <c r="P105" s="11">
        <f>SUMIFS(LS[[#Headers],[Unit]]:LS[[#This Row],[Unit]],LS[[#Headers],[Investor ID]]:LS[[#This Row],[Investor ID]],LS[[#This Row],[Investor ID]])</f>
        <v>350000</v>
      </c>
      <c r="Q105" s="10">
        <v>2000000</v>
      </c>
      <c r="R105" s="6">
        <f>LS[[#This Row],[Amount]]-LS[[#This Row],[Unit Capital]]</f>
        <v>0</v>
      </c>
      <c r="S10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05" s="168">
        <f t="shared" si="3"/>
        <v>12.552</v>
      </c>
      <c r="U10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05" s="10" cm="1">
        <f t="array" ref="V105">IF(LS[[#This Row],[B/S]]="S",ABS(LS[[#This Row],[Unit]])*(INDEX(LS[NAV at Cost (Average)],MATCH(CONCATENATE((LS[[#This Row],[Frequency]]-1),LS[[#This Row],[Investor ID]]),LS[Unique Code],0),0)),0)</f>
        <v>0</v>
      </c>
      <c r="W105" s="10">
        <f>IF(LS[[#This Row],[BO Transfer]]="YES",LS[[#This Row],[Unit]],)</f>
        <v>0</v>
      </c>
      <c r="X105" s="3">
        <f>SUMIFS(LS[[#Headers],[BO UNIT TRANSFER]]:LS[[#This Row],[BO UNIT TRANSFER]],LS[[#Headers],[Investor ID]]:LS[[#This Row],[Investor ID]],LS[[#This Row],[Investor ID]])</f>
        <v>0</v>
      </c>
      <c r="AA105" s="7"/>
    </row>
    <row r="106" spans="2:27">
      <c r="B106" s="8">
        <v>2022</v>
      </c>
      <c r="C106" s="8">
        <v>1</v>
      </c>
      <c r="D106" s="8">
        <v>30</v>
      </c>
      <c r="E106" s="291">
        <f>DATE(LS[[#This Row],[Year]],LS[[#This Row],[Month]],LS[[#This Row],[Day]])</f>
        <v>44591</v>
      </c>
      <c r="F106" t="str" cm="1">
        <f t="array" ref="F106">INDEX(INVESTORS_LIST[INVESTOR NAME],MATCH(LS[[#This Row],[Investor ID]],INVESTORS_LIST[INVESTOR CODE],0),)</f>
        <v>RAIS-UR-RUBBI</v>
      </c>
      <c r="G106" s="19" t="s">
        <v>307</v>
      </c>
      <c r="H106" s="8">
        <f>COUNTIF(LS[[#Headers],[Investor ID]]:LS[[#This Row],[Investor ID]],LS[[#This Row],[Investor ID]])</f>
        <v>1</v>
      </c>
      <c r="I106" s="8" t="str">
        <f>CONCATENATE(LS[[#This Row],[Frequency]],LS[[#This Row],[Investor ID]])</f>
        <v>1A00225</v>
      </c>
      <c r="J106" s="8" t="str">
        <f>IF(LS[[#This Row],[B/S]]="B","BUY",(IF(LS[[#This Row],[B/S]]="S","SELL"," ")))</f>
        <v>BUY</v>
      </c>
      <c r="K106" s="8" t="s">
        <v>301</v>
      </c>
      <c r="L106" s="10">
        <v>200000</v>
      </c>
      <c r="M106" s="10"/>
      <c r="N106" s="168">
        <f>LS[[#This Row],[Amount]]/LS[[#This Row],[Unit]]</f>
        <v>10</v>
      </c>
      <c r="O106" s="11">
        <f t="shared" si="2"/>
        <v>20000</v>
      </c>
      <c r="P106" s="11">
        <f>SUMIFS(LS[[#Headers],[Unit]]:LS[[#This Row],[Unit]],LS[[#Headers],[Investor ID]]:LS[[#This Row],[Investor ID]],LS[[#This Row],[Investor ID]])</f>
        <v>20000</v>
      </c>
      <c r="Q106" s="10">
        <v>200000</v>
      </c>
      <c r="R106" s="6">
        <f>LS[[#This Row],[Amount]]-LS[[#This Row],[Unit Capital]]</f>
        <v>0</v>
      </c>
      <c r="S10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06" s="168">
        <f t="shared" si="3"/>
        <v>12.552</v>
      </c>
      <c r="U10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06" s="10" cm="1">
        <f t="array" ref="V106">IF(LS[[#This Row],[B/S]]="S",ABS(LS[[#This Row],[Unit]])*(INDEX(LS[NAV at Cost (Average)],MATCH(CONCATENATE((LS[[#This Row],[Frequency]]-1),LS[[#This Row],[Investor ID]]),LS[Unique Code],0),0)),0)</f>
        <v>0</v>
      </c>
      <c r="W106" s="10">
        <f>IF(LS[[#This Row],[BO Transfer]]="YES",LS[[#This Row],[Unit]],)</f>
        <v>0</v>
      </c>
      <c r="X106" s="3">
        <f>SUMIFS(LS[[#Headers],[BO UNIT TRANSFER]]:LS[[#This Row],[BO UNIT TRANSFER]],LS[[#Headers],[Investor ID]]:LS[[#This Row],[Investor ID]],LS[[#This Row],[Investor ID]])</f>
        <v>0</v>
      </c>
      <c r="AA106" s="7"/>
    </row>
    <row r="107" spans="2:27">
      <c r="B107" s="8">
        <v>2022</v>
      </c>
      <c r="C107" s="8">
        <v>1</v>
      </c>
      <c r="D107" s="8">
        <v>30</v>
      </c>
      <c r="E107" s="291">
        <f>DATE(LS[[#This Row],[Year]],LS[[#This Row],[Month]],LS[[#This Row],[Day]])</f>
        <v>44591</v>
      </c>
      <c r="F107" t="str" cm="1">
        <f t="array" ref="F107">INDEX(INVESTORS_LIST[INVESTOR NAME],MATCH(LS[[#This Row],[Investor ID]],INVESTORS_LIST[INVESTOR CODE],0),)</f>
        <v>SAIDA HOMAIRA</v>
      </c>
      <c r="G107" s="19" t="s">
        <v>603</v>
      </c>
      <c r="H107" s="8">
        <f>COUNTIF(LS[[#Headers],[Investor ID]]:LS[[#This Row],[Investor ID]],LS[[#This Row],[Investor ID]])</f>
        <v>1</v>
      </c>
      <c r="I107" s="8" t="str">
        <f>CONCATENATE(LS[[#This Row],[Frequency]],LS[[#This Row],[Investor ID]])</f>
        <v>1A00339</v>
      </c>
      <c r="J107" s="8" t="str">
        <f>IF(LS[[#This Row],[B/S]]="B","BUY",(IF(LS[[#This Row],[B/S]]="S","SELL"," ")))</f>
        <v>BUY</v>
      </c>
      <c r="K107" s="8" t="s">
        <v>301</v>
      </c>
      <c r="L107" s="10">
        <v>500000</v>
      </c>
      <c r="M107" s="10"/>
      <c r="N107" s="168">
        <f>LS[[#This Row],[Amount]]/LS[[#This Row],[Unit]]</f>
        <v>10</v>
      </c>
      <c r="O107" s="11">
        <f t="shared" si="2"/>
        <v>50000</v>
      </c>
      <c r="P107" s="11">
        <f>SUMIFS(LS[[#Headers],[Unit]]:LS[[#This Row],[Unit]],LS[[#Headers],[Investor ID]]:LS[[#This Row],[Investor ID]],LS[[#This Row],[Investor ID]])</f>
        <v>50000</v>
      </c>
      <c r="Q107" s="10">
        <v>500000</v>
      </c>
      <c r="R107" s="6">
        <f>LS[[#This Row],[Amount]]-LS[[#This Row],[Unit Capital]]</f>
        <v>0</v>
      </c>
      <c r="S10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07" s="168">
        <f t="shared" si="3"/>
        <v>12.552</v>
      </c>
      <c r="U10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07" s="10" cm="1">
        <f t="array" ref="V107">IF(LS[[#This Row],[B/S]]="S",ABS(LS[[#This Row],[Unit]])*(INDEX(LS[NAV at Cost (Average)],MATCH(CONCATENATE((LS[[#This Row],[Frequency]]-1),LS[[#This Row],[Investor ID]]),LS[Unique Code],0),0)),0)</f>
        <v>0</v>
      </c>
      <c r="W107" s="10">
        <f>IF(LS[[#This Row],[BO Transfer]]="YES",LS[[#This Row],[Unit]],)</f>
        <v>0</v>
      </c>
      <c r="X107" s="3">
        <f>SUMIFS(LS[[#Headers],[BO UNIT TRANSFER]]:LS[[#This Row],[BO UNIT TRANSFER]],LS[[#Headers],[Investor ID]]:LS[[#This Row],[Investor ID]],LS[[#This Row],[Investor ID]])</f>
        <v>0</v>
      </c>
      <c r="AA107" s="7"/>
    </row>
    <row r="108" spans="2:27">
      <c r="B108" s="8">
        <v>2022</v>
      </c>
      <c r="C108" s="8">
        <v>1</v>
      </c>
      <c r="D108" s="8">
        <v>30</v>
      </c>
      <c r="E108" s="291">
        <f>DATE(LS[[#This Row],[Year]],LS[[#This Row],[Month]],LS[[#This Row],[Day]])</f>
        <v>44591</v>
      </c>
      <c r="F108" t="str" cm="1">
        <f t="array" ref="F108">INDEX(INVESTORS_LIST[INVESTOR NAME],MATCH(LS[[#This Row],[Investor ID]],INVESTORS_LIST[INVESTOR CODE],0),)</f>
        <v>ASIF AHMED</v>
      </c>
      <c r="G108" s="19" t="s">
        <v>69</v>
      </c>
      <c r="H108" s="8">
        <f>COUNTIF(LS[[#Headers],[Investor ID]]:LS[[#This Row],[Investor ID]],LS[[#This Row],[Investor ID]])</f>
        <v>1</v>
      </c>
      <c r="I108" s="8" t="str">
        <f>CONCATENATE(LS[[#This Row],[Frequency]],LS[[#This Row],[Investor ID]])</f>
        <v>1A00062</v>
      </c>
      <c r="J108" s="8" t="str">
        <f>IF(LS[[#This Row],[B/S]]="B","BUY",(IF(LS[[#This Row],[B/S]]="S","SELL"," ")))</f>
        <v>BUY</v>
      </c>
      <c r="K108" s="8" t="s">
        <v>301</v>
      </c>
      <c r="L108" s="10">
        <v>150000</v>
      </c>
      <c r="M108" s="10"/>
      <c r="N108" s="168">
        <f>LS[[#This Row],[Amount]]/LS[[#This Row],[Unit]]</f>
        <v>10</v>
      </c>
      <c r="O108" s="11">
        <f t="shared" si="2"/>
        <v>15000</v>
      </c>
      <c r="P108" s="11">
        <f>SUMIFS(LS[[#Headers],[Unit]]:LS[[#This Row],[Unit]],LS[[#Headers],[Investor ID]]:LS[[#This Row],[Investor ID]],LS[[#This Row],[Investor ID]])</f>
        <v>15000</v>
      </c>
      <c r="Q108" s="10">
        <v>150000</v>
      </c>
      <c r="R108" s="6">
        <f>LS[[#This Row],[Amount]]-LS[[#This Row],[Unit Capital]]</f>
        <v>0</v>
      </c>
      <c r="S10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08" s="168">
        <f t="shared" si="3"/>
        <v>12.552</v>
      </c>
      <c r="U10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08" s="10" cm="1">
        <f t="array" ref="V108">IF(LS[[#This Row],[B/S]]="S",ABS(LS[[#This Row],[Unit]])*(INDEX(LS[NAV at Cost (Average)],MATCH(CONCATENATE((LS[[#This Row],[Frequency]]-1),LS[[#This Row],[Investor ID]]),LS[Unique Code],0),0)),0)</f>
        <v>0</v>
      </c>
      <c r="W108" s="10">
        <f>IF(LS[[#This Row],[BO Transfer]]="YES",LS[[#This Row],[Unit]],)</f>
        <v>0</v>
      </c>
      <c r="X108" s="3">
        <f>SUMIFS(LS[[#Headers],[BO UNIT TRANSFER]]:LS[[#This Row],[BO UNIT TRANSFER]],LS[[#Headers],[Investor ID]]:LS[[#This Row],[Investor ID]],LS[[#This Row],[Investor ID]])</f>
        <v>0</v>
      </c>
      <c r="AA108" s="7"/>
    </row>
    <row r="109" spans="2:27">
      <c r="B109" s="8">
        <v>2022</v>
      </c>
      <c r="C109" s="8">
        <v>1</v>
      </c>
      <c r="D109" s="8">
        <v>30</v>
      </c>
      <c r="E109" s="291">
        <f>DATE(LS[[#This Row],[Year]],LS[[#This Row],[Month]],LS[[#This Row],[Day]])</f>
        <v>44591</v>
      </c>
      <c r="F109" t="str" cm="1">
        <f t="array" ref="F109">INDEX(INVESTORS_LIST[INVESTOR NAME],MATCH(LS[[#This Row],[Investor ID]],INVESTORS_LIST[INVESTOR CODE],0),)</f>
        <v>SUHAIEB CHOWDHURY</v>
      </c>
      <c r="G109" s="19" t="s">
        <v>153</v>
      </c>
      <c r="H109" s="8">
        <f>COUNTIF(LS[[#Headers],[Investor ID]]:LS[[#This Row],[Investor ID]],LS[[#This Row],[Investor ID]])</f>
        <v>1</v>
      </c>
      <c r="I109" s="8" t="str">
        <f>CONCATENATE(LS[[#This Row],[Frequency]],LS[[#This Row],[Investor ID]])</f>
        <v>1A00120</v>
      </c>
      <c r="J109" s="8" t="str">
        <f>IF(LS[[#This Row],[B/S]]="B","BUY",(IF(LS[[#This Row],[B/S]]="S","SELL"," ")))</f>
        <v>BUY</v>
      </c>
      <c r="K109" s="8" t="s">
        <v>301</v>
      </c>
      <c r="L109" s="10">
        <v>120000</v>
      </c>
      <c r="M109" s="10"/>
      <c r="N109" s="168">
        <f>LS[[#This Row],[Amount]]/LS[[#This Row],[Unit]]</f>
        <v>10</v>
      </c>
      <c r="O109" s="11">
        <f t="shared" si="2"/>
        <v>12000</v>
      </c>
      <c r="P109" s="11">
        <f>SUMIFS(LS[[#Headers],[Unit]]:LS[[#This Row],[Unit]],LS[[#Headers],[Investor ID]]:LS[[#This Row],[Investor ID]],LS[[#This Row],[Investor ID]])</f>
        <v>12000</v>
      </c>
      <c r="Q109" s="10">
        <v>120000</v>
      </c>
      <c r="R109" s="6">
        <f>LS[[#This Row],[Amount]]-LS[[#This Row],[Unit Capital]]</f>
        <v>0</v>
      </c>
      <c r="S10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09" s="168">
        <f t="shared" si="3"/>
        <v>12.552</v>
      </c>
      <c r="U10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09" s="10" cm="1">
        <f t="array" ref="V109">IF(LS[[#This Row],[B/S]]="S",ABS(LS[[#This Row],[Unit]])*(INDEX(LS[NAV at Cost (Average)],MATCH(CONCATENATE((LS[[#This Row],[Frequency]]-1),LS[[#This Row],[Investor ID]]),LS[Unique Code],0),0)),0)</f>
        <v>0</v>
      </c>
      <c r="W109" s="10">
        <f>IF(LS[[#This Row],[BO Transfer]]="YES",LS[[#This Row],[Unit]],)</f>
        <v>0</v>
      </c>
      <c r="X109" s="3">
        <f>SUMIFS(LS[[#Headers],[BO UNIT TRANSFER]]:LS[[#This Row],[BO UNIT TRANSFER]],LS[[#Headers],[Investor ID]]:LS[[#This Row],[Investor ID]],LS[[#This Row],[Investor ID]])</f>
        <v>0</v>
      </c>
      <c r="AA109" s="7"/>
    </row>
    <row r="110" spans="2:27">
      <c r="B110" s="8">
        <v>2022</v>
      </c>
      <c r="C110" s="8">
        <v>1</v>
      </c>
      <c r="D110" s="8">
        <v>31</v>
      </c>
      <c r="E110" s="291">
        <f>DATE(LS[[#This Row],[Year]],LS[[#This Row],[Month]],LS[[#This Row],[Day]])</f>
        <v>44592</v>
      </c>
      <c r="F110" t="str" cm="1">
        <f t="array" ref="F110">INDEX(INVESTORS_LIST[INVESTOR NAME],MATCH(LS[[#This Row],[Investor ID]],INVESTORS_LIST[INVESTOR CODE],0),)</f>
        <v>GREEN DELTA SECURITIES LIMITED</v>
      </c>
      <c r="G110" s="19" t="s">
        <v>310</v>
      </c>
      <c r="H110" s="8">
        <f>COUNTIF(LS[[#Headers],[Investor ID]]:LS[[#This Row],[Investor ID]],LS[[#This Row],[Investor ID]])</f>
        <v>1</v>
      </c>
      <c r="I110" s="8" t="str">
        <f>CONCATENATE(LS[[#This Row],[Frequency]],LS[[#This Row],[Investor ID]])</f>
        <v>1A00227</v>
      </c>
      <c r="J110" s="8" t="str">
        <f>IF(LS[[#This Row],[B/S]]="B","BUY",(IF(LS[[#This Row],[B/S]]="S","SELL"," ")))</f>
        <v>BUY</v>
      </c>
      <c r="K110" s="8" t="s">
        <v>301</v>
      </c>
      <c r="L110" s="10">
        <v>1500000</v>
      </c>
      <c r="M110" s="10"/>
      <c r="N110" s="168">
        <f>LS[[#This Row],[Amount]]/LS[[#This Row],[Unit]]</f>
        <v>10</v>
      </c>
      <c r="O110" s="11">
        <f t="shared" si="2"/>
        <v>150000</v>
      </c>
      <c r="P110" s="11">
        <f>SUMIFS(LS[[#Headers],[Unit]]:LS[[#This Row],[Unit]],LS[[#Headers],[Investor ID]]:LS[[#This Row],[Investor ID]],LS[[#This Row],[Investor ID]])</f>
        <v>150000</v>
      </c>
      <c r="Q110" s="10">
        <v>1500000</v>
      </c>
      <c r="R110" s="6">
        <f>LS[[#This Row],[Amount]]-LS[[#This Row],[Unit Capital]]</f>
        <v>0</v>
      </c>
      <c r="S11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10" s="168">
        <f t="shared" si="3"/>
        <v>12.552</v>
      </c>
      <c r="U11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10" s="10" cm="1">
        <f t="array" ref="V110">IF(LS[[#This Row],[B/S]]="S",ABS(LS[[#This Row],[Unit]])*(INDEX(LS[NAV at Cost (Average)],MATCH(CONCATENATE((LS[[#This Row],[Frequency]]-1),LS[[#This Row],[Investor ID]]),LS[Unique Code],0),0)),0)</f>
        <v>0</v>
      </c>
      <c r="W110" s="10">
        <f>IF(LS[[#This Row],[BO Transfer]]="YES",LS[[#This Row],[Unit]],)</f>
        <v>0</v>
      </c>
      <c r="X110" s="3">
        <f>SUMIFS(LS[[#Headers],[BO UNIT TRANSFER]]:LS[[#This Row],[BO UNIT TRANSFER]],LS[[#Headers],[Investor ID]]:LS[[#This Row],[Investor ID]],LS[[#This Row],[Investor ID]])</f>
        <v>0</v>
      </c>
      <c r="AA110" s="7"/>
    </row>
    <row r="111" spans="2:27">
      <c r="B111" s="8">
        <v>2022</v>
      </c>
      <c r="C111" s="8">
        <v>1</v>
      </c>
      <c r="D111" s="8">
        <v>31</v>
      </c>
      <c r="E111" s="291">
        <f>DATE(LS[[#This Row],[Year]],LS[[#This Row],[Month]],LS[[#This Row],[Day]])</f>
        <v>44592</v>
      </c>
      <c r="F111" t="str" cm="1">
        <f t="array" ref="F111">INDEX(INVESTORS_LIST[INVESTOR NAME],MATCH(LS[[#This Row],[Investor ID]],INVESTORS_LIST[INVESTOR CODE],0),)</f>
        <v>EDGE VENTURES LIMITED</v>
      </c>
      <c r="G111" s="19" t="s">
        <v>704</v>
      </c>
      <c r="H111" s="8">
        <f>COUNTIF(LS[[#Headers],[Investor ID]]:LS[[#This Row],[Investor ID]],LS[[#This Row],[Investor ID]])</f>
        <v>1</v>
      </c>
      <c r="I111" s="8" t="str">
        <f>CONCATENATE(LS[[#This Row],[Frequency]],LS[[#This Row],[Investor ID]])</f>
        <v>1A00379</v>
      </c>
      <c r="J111" s="8" t="str">
        <f>IF(LS[[#This Row],[B/S]]="B","BUY",(IF(LS[[#This Row],[B/S]]="S","SELL"," ")))</f>
        <v>BUY</v>
      </c>
      <c r="K111" s="8" t="s">
        <v>301</v>
      </c>
      <c r="L111" s="10">
        <v>2300000</v>
      </c>
      <c r="M111" s="10"/>
      <c r="N111" s="168">
        <f>LS[[#This Row],[Amount]]/LS[[#This Row],[Unit]]</f>
        <v>10</v>
      </c>
      <c r="O111" s="11">
        <f t="shared" si="2"/>
        <v>230000</v>
      </c>
      <c r="P111" s="11">
        <f>SUMIFS(LS[[#Headers],[Unit]]:LS[[#This Row],[Unit]],LS[[#Headers],[Investor ID]]:LS[[#This Row],[Investor ID]],LS[[#This Row],[Investor ID]])</f>
        <v>230000</v>
      </c>
      <c r="Q111" s="10">
        <v>2300000</v>
      </c>
      <c r="R111" s="6">
        <f>LS[[#This Row],[Amount]]-LS[[#This Row],[Unit Capital]]</f>
        <v>0</v>
      </c>
      <c r="S11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11" s="168">
        <f t="shared" si="3"/>
        <v>12.552</v>
      </c>
      <c r="U11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11" s="10" cm="1">
        <f t="array" ref="V111">IF(LS[[#This Row],[B/S]]="S",ABS(LS[[#This Row],[Unit]])*(INDEX(LS[NAV at Cost (Average)],MATCH(CONCATENATE((LS[[#This Row],[Frequency]]-1),LS[[#This Row],[Investor ID]]),LS[Unique Code],0),0)),0)</f>
        <v>0</v>
      </c>
      <c r="W111" s="10">
        <f>IF(LS[[#This Row],[BO Transfer]]="YES",LS[[#This Row],[Unit]],)</f>
        <v>0</v>
      </c>
      <c r="X111" s="3">
        <f>SUMIFS(LS[[#Headers],[BO UNIT TRANSFER]]:LS[[#This Row],[BO UNIT TRANSFER]],LS[[#Headers],[Investor ID]]:LS[[#This Row],[Investor ID]],LS[[#This Row],[Investor ID]])</f>
        <v>0</v>
      </c>
      <c r="AA111" s="7"/>
    </row>
    <row r="112" spans="2:27">
      <c r="B112" s="8">
        <v>2022</v>
      </c>
      <c r="C112" s="8">
        <v>1</v>
      </c>
      <c r="D112" s="8">
        <v>31</v>
      </c>
      <c r="E112" s="291">
        <f>DATE(LS[[#This Row],[Year]],LS[[#This Row],[Month]],LS[[#This Row],[Day]])</f>
        <v>44592</v>
      </c>
      <c r="F112" t="str" cm="1">
        <f t="array" ref="F112">INDEX(INVESTORS_LIST[INVESTOR NAME],MATCH(LS[[#This Row],[Investor ID]],INVESTORS_LIST[INVESTOR CODE],0),)</f>
        <v>FAIYEAD AHMEDUL HYE</v>
      </c>
      <c r="G112" s="19" t="s">
        <v>193</v>
      </c>
      <c r="H112" s="8">
        <f>COUNTIF(LS[[#Headers],[Investor ID]]:LS[[#This Row],[Investor ID]],LS[[#This Row],[Investor ID]])</f>
        <v>1</v>
      </c>
      <c r="I112" s="8" t="str">
        <f>CONCATENATE(LS[[#This Row],[Frequency]],LS[[#This Row],[Investor ID]])</f>
        <v>1A00160</v>
      </c>
      <c r="J112" s="8" t="str">
        <f>IF(LS[[#This Row],[B/S]]="B","BUY",(IF(LS[[#This Row],[B/S]]="S","SELL"," ")))</f>
        <v>BUY</v>
      </c>
      <c r="K112" s="8" t="s">
        <v>301</v>
      </c>
      <c r="L112" s="10">
        <v>50000</v>
      </c>
      <c r="M112" s="10"/>
      <c r="N112" s="168">
        <f>LS[[#This Row],[Amount]]/LS[[#This Row],[Unit]]</f>
        <v>10</v>
      </c>
      <c r="O112" s="11">
        <f t="shared" si="2"/>
        <v>5000</v>
      </c>
      <c r="P112" s="11">
        <f>SUMIFS(LS[[#Headers],[Unit]]:LS[[#This Row],[Unit]],LS[[#Headers],[Investor ID]]:LS[[#This Row],[Investor ID]],LS[[#This Row],[Investor ID]])</f>
        <v>5000</v>
      </c>
      <c r="Q112" s="10">
        <v>50000</v>
      </c>
      <c r="R112" s="6">
        <f>LS[[#This Row],[Amount]]-LS[[#This Row],[Unit Capital]]</f>
        <v>0</v>
      </c>
      <c r="S11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12" s="168">
        <f t="shared" si="3"/>
        <v>12.552</v>
      </c>
      <c r="U11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12" s="10" cm="1">
        <f t="array" ref="V112">IF(LS[[#This Row],[B/S]]="S",ABS(LS[[#This Row],[Unit]])*(INDEX(LS[NAV at Cost (Average)],MATCH(CONCATENATE((LS[[#This Row],[Frequency]]-1),LS[[#This Row],[Investor ID]]),LS[Unique Code],0),0)),0)</f>
        <v>0</v>
      </c>
      <c r="W112" s="10">
        <f>IF(LS[[#This Row],[BO Transfer]]="YES",LS[[#This Row],[Unit]],)</f>
        <v>0</v>
      </c>
      <c r="X112" s="3">
        <f>SUMIFS(LS[[#Headers],[BO UNIT TRANSFER]]:LS[[#This Row],[BO UNIT TRANSFER]],LS[[#Headers],[Investor ID]]:LS[[#This Row],[Investor ID]],LS[[#This Row],[Investor ID]])</f>
        <v>0</v>
      </c>
      <c r="AA112" s="7"/>
    </row>
    <row r="113" spans="2:27">
      <c r="B113" s="8">
        <v>2022</v>
      </c>
      <c r="C113" s="8">
        <v>1</v>
      </c>
      <c r="D113" s="8">
        <v>31</v>
      </c>
      <c r="E113" s="291">
        <f>DATE(LS[[#This Row],[Year]],LS[[#This Row],[Month]],LS[[#This Row],[Day]])</f>
        <v>44592</v>
      </c>
      <c r="F113" t="str" cm="1">
        <f t="array" ref="F113">INDEX(INVESTORS_LIST[INVESTOR NAME],MATCH(LS[[#This Row],[Investor ID]],INVESTORS_LIST[INVESTOR CODE],0),)</f>
        <v>MR. NAYAN KUMAR CHOWDHURY</v>
      </c>
      <c r="G113" s="19" t="s">
        <v>357</v>
      </c>
      <c r="H113" s="8">
        <f>COUNTIF(LS[[#Headers],[Investor ID]]:LS[[#This Row],[Investor ID]],LS[[#This Row],[Investor ID]])</f>
        <v>1</v>
      </c>
      <c r="I113" s="8" t="str">
        <f>CONCATENATE(LS[[#This Row],[Frequency]],LS[[#This Row],[Investor ID]])</f>
        <v>1A00250</v>
      </c>
      <c r="J113" s="8" t="str">
        <f>IF(LS[[#This Row],[B/S]]="B","BUY",(IF(LS[[#This Row],[B/S]]="S","SELL"," ")))</f>
        <v>BUY</v>
      </c>
      <c r="K113" s="8" t="s">
        <v>301</v>
      </c>
      <c r="L113" s="10">
        <v>100000</v>
      </c>
      <c r="M113" s="10"/>
      <c r="N113" s="168">
        <f>LS[[#This Row],[Amount]]/LS[[#This Row],[Unit]]</f>
        <v>10</v>
      </c>
      <c r="O113" s="11">
        <f t="shared" si="2"/>
        <v>10000</v>
      </c>
      <c r="P113" s="11">
        <f>SUMIFS(LS[[#Headers],[Unit]]:LS[[#This Row],[Unit]],LS[[#Headers],[Investor ID]]:LS[[#This Row],[Investor ID]],LS[[#This Row],[Investor ID]])</f>
        <v>10000</v>
      </c>
      <c r="Q113" s="10">
        <v>100000</v>
      </c>
      <c r="R113" s="6">
        <f>LS[[#This Row],[Amount]]-LS[[#This Row],[Unit Capital]]</f>
        <v>0</v>
      </c>
      <c r="S11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13" s="168">
        <f t="shared" si="3"/>
        <v>12.552</v>
      </c>
      <c r="U11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13" s="10" cm="1">
        <f t="array" ref="V113">IF(LS[[#This Row],[B/S]]="S",ABS(LS[[#This Row],[Unit]])*(INDEX(LS[NAV at Cost (Average)],MATCH(CONCATENATE((LS[[#This Row],[Frequency]]-1),LS[[#This Row],[Investor ID]]),LS[Unique Code],0),0)),0)</f>
        <v>0</v>
      </c>
      <c r="W113" s="10">
        <f>IF(LS[[#This Row],[BO Transfer]]="YES",LS[[#This Row],[Unit]],)</f>
        <v>0</v>
      </c>
      <c r="X113" s="3">
        <f>SUMIFS(LS[[#Headers],[BO UNIT TRANSFER]]:LS[[#This Row],[BO UNIT TRANSFER]],LS[[#Headers],[Investor ID]]:LS[[#This Row],[Investor ID]],LS[[#This Row],[Investor ID]])</f>
        <v>0</v>
      </c>
      <c r="AA113" s="7"/>
    </row>
    <row r="114" spans="2:27">
      <c r="B114" s="8">
        <v>2022</v>
      </c>
      <c r="C114" s="8">
        <v>1</v>
      </c>
      <c r="D114" s="8">
        <v>31</v>
      </c>
      <c r="E114" s="291">
        <f>DATE(LS[[#This Row],[Year]],LS[[#This Row],[Month]],LS[[#This Row],[Day]])</f>
        <v>44592</v>
      </c>
      <c r="F114" t="str" cm="1">
        <f t="array" ref="F114">INDEX(INVESTORS_LIST[INVESTOR NAME],MATCH(LS[[#This Row],[Investor ID]],INVESTORS_LIST[INVESTOR CODE],0),)</f>
        <v>SATCOM IT LTD. PROVIDENT FUND</v>
      </c>
      <c r="G114" s="19" t="s">
        <v>58</v>
      </c>
      <c r="H114" s="8">
        <f>COUNTIF(LS[[#Headers],[Investor ID]]:LS[[#This Row],[Investor ID]],LS[[#This Row],[Investor ID]])</f>
        <v>1</v>
      </c>
      <c r="I114" s="8" t="str">
        <f>CONCATENATE(LS[[#This Row],[Frequency]],LS[[#This Row],[Investor ID]])</f>
        <v>1A00051</v>
      </c>
      <c r="J114" s="8" t="str">
        <f>IF(LS[[#This Row],[B/S]]="B","BUY",(IF(LS[[#This Row],[B/S]]="S","SELL"," ")))</f>
        <v>BUY</v>
      </c>
      <c r="K114" s="8" t="s">
        <v>301</v>
      </c>
      <c r="L114" s="10">
        <v>1000000</v>
      </c>
      <c r="M114" s="10"/>
      <c r="N114" s="168">
        <f>LS[[#This Row],[Amount]]/LS[[#This Row],[Unit]]</f>
        <v>10</v>
      </c>
      <c r="O114" s="11">
        <f t="shared" si="2"/>
        <v>100000</v>
      </c>
      <c r="P114" s="11">
        <f>SUMIFS(LS[[#Headers],[Unit]]:LS[[#This Row],[Unit]],LS[[#Headers],[Investor ID]]:LS[[#This Row],[Investor ID]],LS[[#This Row],[Investor ID]])</f>
        <v>100000</v>
      </c>
      <c r="Q114" s="10">
        <v>1000000</v>
      </c>
      <c r="R114" s="6">
        <f>LS[[#This Row],[Amount]]-LS[[#This Row],[Unit Capital]]</f>
        <v>0</v>
      </c>
      <c r="S11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14" s="168">
        <f t="shared" si="3"/>
        <v>12.552</v>
      </c>
      <c r="U11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14" s="10" cm="1">
        <f t="array" ref="V114">IF(LS[[#This Row],[B/S]]="S",ABS(LS[[#This Row],[Unit]])*(INDEX(LS[NAV at Cost (Average)],MATCH(CONCATENATE((LS[[#This Row],[Frequency]]-1),LS[[#This Row],[Investor ID]]),LS[Unique Code],0),0)),0)</f>
        <v>0</v>
      </c>
      <c r="W114" s="10">
        <f>IF(LS[[#This Row],[BO Transfer]]="YES",LS[[#This Row],[Unit]],)</f>
        <v>0</v>
      </c>
      <c r="X114" s="3">
        <f>SUMIFS(LS[[#Headers],[BO UNIT TRANSFER]]:LS[[#This Row],[BO UNIT TRANSFER]],LS[[#Headers],[Investor ID]]:LS[[#This Row],[Investor ID]],LS[[#This Row],[Investor ID]])</f>
        <v>0</v>
      </c>
      <c r="AA114" s="7"/>
    </row>
    <row r="115" spans="2:27">
      <c r="B115" s="8">
        <v>2022</v>
      </c>
      <c r="C115" s="8">
        <v>1</v>
      </c>
      <c r="D115" s="8">
        <v>31</v>
      </c>
      <c r="E115" s="291">
        <f>DATE(LS[[#This Row],[Year]],LS[[#This Row],[Month]],LS[[#This Row],[Day]])</f>
        <v>44592</v>
      </c>
      <c r="F115" t="str" cm="1">
        <f t="array" ref="F115">INDEX(INVESTORS_LIST[INVESTOR NAME],MATCH(LS[[#This Row],[Investor ID]],INVESTORS_LIST[INVESTOR CODE],0),)</f>
        <v>BRAC BANK LIMITED</v>
      </c>
      <c r="G115" s="19" t="s">
        <v>655</v>
      </c>
      <c r="H115" s="8">
        <f>COUNTIF(LS[[#Headers],[Investor ID]]:LS[[#This Row],[Investor ID]],LS[[#This Row],[Investor ID]])</f>
        <v>1</v>
      </c>
      <c r="I115" s="8" t="str">
        <f>CONCATENATE(LS[[#This Row],[Frequency]],LS[[#This Row],[Investor ID]])</f>
        <v>1A00354</v>
      </c>
      <c r="J115" s="8" t="str">
        <f>IF(LS[[#This Row],[B/S]]="B","BUY",(IF(LS[[#This Row],[B/S]]="S","SELL"," ")))</f>
        <v>BUY</v>
      </c>
      <c r="K115" s="8" t="s">
        <v>301</v>
      </c>
      <c r="L115" s="10">
        <v>25000000</v>
      </c>
      <c r="M115" s="10"/>
      <c r="N115" s="168">
        <f>LS[[#This Row],[Amount]]/LS[[#This Row],[Unit]]</f>
        <v>10</v>
      </c>
      <c r="O115" s="11">
        <f t="shared" si="2"/>
        <v>2500000</v>
      </c>
      <c r="P115" s="11">
        <f>SUMIFS(LS[[#Headers],[Unit]]:LS[[#This Row],[Unit]],LS[[#Headers],[Investor ID]]:LS[[#This Row],[Investor ID]],LS[[#This Row],[Investor ID]])</f>
        <v>2500000</v>
      </c>
      <c r="Q115" s="10">
        <v>25000000</v>
      </c>
      <c r="R115" s="6">
        <f>LS[[#This Row],[Amount]]-LS[[#This Row],[Unit Capital]]</f>
        <v>0</v>
      </c>
      <c r="S11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15" s="168">
        <f t="shared" si="3"/>
        <v>12.552</v>
      </c>
      <c r="U11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15" s="10" cm="1">
        <f t="array" ref="V115">IF(LS[[#This Row],[B/S]]="S",ABS(LS[[#This Row],[Unit]])*(INDEX(LS[NAV at Cost (Average)],MATCH(CONCATENATE((LS[[#This Row],[Frequency]]-1),LS[[#This Row],[Investor ID]]),LS[Unique Code],0),0)),0)</f>
        <v>0</v>
      </c>
      <c r="W115" s="10">
        <f>IF(LS[[#This Row],[BO Transfer]]="YES",LS[[#This Row],[Unit]],)</f>
        <v>0</v>
      </c>
      <c r="X115" s="3">
        <f>SUMIFS(LS[[#Headers],[BO UNIT TRANSFER]]:LS[[#This Row],[BO UNIT TRANSFER]],LS[[#Headers],[Investor ID]]:LS[[#This Row],[Investor ID]],LS[[#This Row],[Investor ID]])</f>
        <v>0</v>
      </c>
      <c r="AA115" s="7"/>
    </row>
    <row r="116" spans="2:27">
      <c r="B116" s="8">
        <v>2022</v>
      </c>
      <c r="C116" s="8">
        <v>1</v>
      </c>
      <c r="D116" s="8">
        <v>31</v>
      </c>
      <c r="E116" s="291">
        <f>DATE(LS[[#This Row],[Year]],LS[[#This Row],[Month]],LS[[#This Row],[Day]])</f>
        <v>44592</v>
      </c>
      <c r="F116" t="str" cm="1">
        <f t="array" ref="F116">INDEX(INVESTORS_LIST[INVESTOR NAME],MATCH(LS[[#This Row],[Investor ID]],INVESTORS_LIST[INVESTOR CODE],0),)</f>
        <v>MD MIZANUR RAHMAN</v>
      </c>
      <c r="G116" s="19" t="s">
        <v>177</v>
      </c>
      <c r="H116" s="8">
        <f>COUNTIF(LS[[#Headers],[Investor ID]]:LS[[#This Row],[Investor ID]],LS[[#This Row],[Investor ID]])</f>
        <v>5</v>
      </c>
      <c r="I116" s="8" t="str">
        <f>CONCATENATE(LS[[#This Row],[Frequency]],LS[[#This Row],[Investor ID]])</f>
        <v>5A00144</v>
      </c>
      <c r="J116" s="8" t="str">
        <f>IF(LS[[#This Row],[B/S]]="B","BUY",(IF(LS[[#This Row],[B/S]]="S","SELL"," ")))</f>
        <v>BUY</v>
      </c>
      <c r="K116" s="8" t="s">
        <v>301</v>
      </c>
      <c r="L116" s="10">
        <v>5000</v>
      </c>
      <c r="M116" s="10"/>
      <c r="N116" s="168">
        <f>LS[[#This Row],[Amount]]/LS[[#This Row],[Unit]]</f>
        <v>10</v>
      </c>
      <c r="O116" s="11">
        <f t="shared" si="2"/>
        <v>500</v>
      </c>
      <c r="P116" s="11">
        <f>SUMIFS(LS[[#Headers],[Unit]]:LS[[#This Row],[Unit]],LS[[#Headers],[Investor ID]]:LS[[#This Row],[Investor ID]],LS[[#This Row],[Investor ID]])</f>
        <v>83150</v>
      </c>
      <c r="Q116" s="10">
        <v>5000</v>
      </c>
      <c r="R116" s="6">
        <f>LS[[#This Row],[Amount]]-LS[[#This Row],[Unit Capital]]</f>
        <v>0</v>
      </c>
      <c r="S11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9.9999999999999982</v>
      </c>
      <c r="T116" s="168">
        <f t="shared" si="3"/>
        <v>12.552</v>
      </c>
      <c r="U11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16" s="10" cm="1">
        <f t="array" ref="V116">IF(LS[[#This Row],[B/S]]="S",ABS(LS[[#This Row],[Unit]])*(INDEX(LS[NAV at Cost (Average)],MATCH(CONCATENATE((LS[[#This Row],[Frequency]]-1),LS[[#This Row],[Investor ID]]),LS[Unique Code],0),0)),0)</f>
        <v>0</v>
      </c>
      <c r="W116" s="10">
        <f>IF(LS[[#This Row],[BO Transfer]]="YES",LS[[#This Row],[Unit]],)</f>
        <v>0</v>
      </c>
      <c r="X116" s="3">
        <f>SUMIFS(LS[[#Headers],[BO UNIT TRANSFER]]:LS[[#This Row],[BO UNIT TRANSFER]],LS[[#Headers],[Investor ID]]:LS[[#This Row],[Investor ID]],LS[[#This Row],[Investor ID]])</f>
        <v>0</v>
      </c>
      <c r="AA116" s="7"/>
    </row>
    <row r="117" spans="2:27">
      <c r="B117" s="8">
        <v>2022</v>
      </c>
      <c r="C117" s="8">
        <v>1</v>
      </c>
      <c r="D117" s="8">
        <v>31</v>
      </c>
      <c r="E117" s="291">
        <f>DATE(LS[[#This Row],[Year]],LS[[#This Row],[Month]],LS[[#This Row],[Day]])</f>
        <v>44592</v>
      </c>
      <c r="F117" t="str" cm="1">
        <f t="array" ref="F117">INDEX(INVESTORS_LIST[INVESTOR NAME],MATCH(LS[[#This Row],[Investor ID]],INVESTORS_LIST[INVESTOR CODE],0),)</f>
        <v>SUJAN BARUA</v>
      </c>
      <c r="G117" s="19" t="s">
        <v>74</v>
      </c>
      <c r="H117" s="8">
        <f>COUNTIF(LS[[#Headers],[Investor ID]]:LS[[#This Row],[Investor ID]],LS[[#This Row],[Investor ID]])</f>
        <v>1</v>
      </c>
      <c r="I117" s="8" t="str">
        <f>CONCATENATE(LS[[#This Row],[Frequency]],LS[[#This Row],[Investor ID]])</f>
        <v>1A00066</v>
      </c>
      <c r="J117" s="8" t="str">
        <f>IF(LS[[#This Row],[B/S]]="B","BUY",(IF(LS[[#This Row],[B/S]]="S","SELL"," ")))</f>
        <v>BUY</v>
      </c>
      <c r="K117" s="8" t="s">
        <v>301</v>
      </c>
      <c r="L117" s="10">
        <v>100000</v>
      </c>
      <c r="M117" s="10"/>
      <c r="N117" s="168">
        <f>LS[[#This Row],[Amount]]/LS[[#This Row],[Unit]]</f>
        <v>10</v>
      </c>
      <c r="O117" s="11">
        <f t="shared" si="2"/>
        <v>10000</v>
      </c>
      <c r="P117" s="11">
        <f>SUMIFS(LS[[#Headers],[Unit]]:LS[[#This Row],[Unit]],LS[[#Headers],[Investor ID]]:LS[[#This Row],[Investor ID]],LS[[#This Row],[Investor ID]])</f>
        <v>10000</v>
      </c>
      <c r="Q117" s="10">
        <v>100000</v>
      </c>
      <c r="R117" s="6">
        <f>LS[[#This Row],[Amount]]-LS[[#This Row],[Unit Capital]]</f>
        <v>0</v>
      </c>
      <c r="S11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17" s="168">
        <f t="shared" si="3"/>
        <v>12.552</v>
      </c>
      <c r="U11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17" s="10" cm="1">
        <f t="array" ref="V117">IF(LS[[#This Row],[B/S]]="S",ABS(LS[[#This Row],[Unit]])*(INDEX(LS[NAV at Cost (Average)],MATCH(CONCATENATE((LS[[#This Row],[Frequency]]-1),LS[[#This Row],[Investor ID]]),LS[Unique Code],0),0)),0)</f>
        <v>0</v>
      </c>
      <c r="W117" s="10">
        <f>IF(LS[[#This Row],[BO Transfer]]="YES",LS[[#This Row],[Unit]],)</f>
        <v>0</v>
      </c>
      <c r="X117" s="3">
        <f>SUMIFS(LS[[#Headers],[BO UNIT TRANSFER]]:LS[[#This Row],[BO UNIT TRANSFER]],LS[[#Headers],[Investor ID]]:LS[[#This Row],[Investor ID]],LS[[#This Row],[Investor ID]])</f>
        <v>0</v>
      </c>
      <c r="AA117" s="7"/>
    </row>
    <row r="118" spans="2:27">
      <c r="B118" s="8">
        <v>2022</v>
      </c>
      <c r="C118" s="8">
        <v>1</v>
      </c>
      <c r="D118" s="8">
        <v>31</v>
      </c>
      <c r="E118" s="291">
        <f>DATE(LS[[#This Row],[Year]],LS[[#This Row],[Month]],LS[[#This Row],[Day]])</f>
        <v>44592</v>
      </c>
      <c r="F118" t="str" cm="1">
        <f t="array" ref="F118">INDEX(INVESTORS_LIST[INVESTOR NAME],MATCH(LS[[#This Row],[Investor ID]],INVESTORS_LIST[INVESTOR CODE],0),)</f>
        <v>SUSMITA DHAR</v>
      </c>
      <c r="G118" s="19" t="s">
        <v>595</v>
      </c>
      <c r="H118" s="8">
        <f>COUNTIF(LS[[#Headers],[Investor ID]]:LS[[#This Row],[Investor ID]],LS[[#This Row],[Investor ID]])</f>
        <v>1</v>
      </c>
      <c r="I118" s="8" t="str">
        <f>CONCATENATE(LS[[#This Row],[Frequency]],LS[[#This Row],[Investor ID]])</f>
        <v>1A00334</v>
      </c>
      <c r="J118" s="8" t="str">
        <f>IF(LS[[#This Row],[B/S]]="B","BUY",(IF(LS[[#This Row],[B/S]]="S","SELL"," ")))</f>
        <v>BUY</v>
      </c>
      <c r="K118" s="8" t="s">
        <v>301</v>
      </c>
      <c r="L118" s="10">
        <v>50000</v>
      </c>
      <c r="M118" s="10"/>
      <c r="N118" s="168">
        <f>LS[[#This Row],[Amount]]/LS[[#This Row],[Unit]]</f>
        <v>10</v>
      </c>
      <c r="O118" s="11">
        <f t="shared" si="2"/>
        <v>5000</v>
      </c>
      <c r="P118" s="11">
        <f>SUMIFS(LS[[#Headers],[Unit]]:LS[[#This Row],[Unit]],LS[[#Headers],[Investor ID]]:LS[[#This Row],[Investor ID]],LS[[#This Row],[Investor ID]])</f>
        <v>5000</v>
      </c>
      <c r="Q118" s="10">
        <v>50000</v>
      </c>
      <c r="R118" s="6">
        <f>LS[[#This Row],[Amount]]-LS[[#This Row],[Unit Capital]]</f>
        <v>0</v>
      </c>
      <c r="S11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18" s="168">
        <f t="shared" si="3"/>
        <v>12.552</v>
      </c>
      <c r="U11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18" s="10" cm="1">
        <f t="array" ref="V118">IF(LS[[#This Row],[B/S]]="S",ABS(LS[[#This Row],[Unit]])*(INDEX(LS[NAV at Cost (Average)],MATCH(CONCATENATE((LS[[#This Row],[Frequency]]-1),LS[[#This Row],[Investor ID]]),LS[Unique Code],0),0)),0)</f>
        <v>0</v>
      </c>
      <c r="W118" s="10">
        <f>IF(LS[[#This Row],[BO Transfer]]="YES",LS[[#This Row],[Unit]],)</f>
        <v>0</v>
      </c>
      <c r="X118" s="3">
        <f>SUMIFS(LS[[#Headers],[BO UNIT TRANSFER]]:LS[[#This Row],[BO UNIT TRANSFER]],LS[[#Headers],[Investor ID]]:LS[[#This Row],[Investor ID]],LS[[#This Row],[Investor ID]])</f>
        <v>0</v>
      </c>
      <c r="AA118" s="7"/>
    </row>
    <row r="119" spans="2:27">
      <c r="B119" s="8">
        <v>2022</v>
      </c>
      <c r="C119" s="8">
        <v>1</v>
      </c>
      <c r="D119" s="8">
        <v>31</v>
      </c>
      <c r="E119" s="291">
        <f>DATE(LS[[#This Row],[Year]],LS[[#This Row],[Month]],LS[[#This Row],[Day]])</f>
        <v>44592</v>
      </c>
      <c r="F119" t="str" cm="1">
        <f t="array" ref="F119">INDEX(INVESTORS_LIST[INVESTOR NAME],MATCH(LS[[#This Row],[Investor ID]],INVESTORS_LIST[INVESTOR CODE],0),)</f>
        <v>SAIDA HOMAIRA</v>
      </c>
      <c r="G119" s="19" t="s">
        <v>603</v>
      </c>
      <c r="H119" s="8">
        <f>COUNTIF(LS[[#Headers],[Investor ID]]:LS[[#This Row],[Investor ID]],LS[[#This Row],[Investor ID]])</f>
        <v>2</v>
      </c>
      <c r="I119" s="8" t="str">
        <f>CONCATENATE(LS[[#This Row],[Frequency]],LS[[#This Row],[Investor ID]])</f>
        <v>2A00339</v>
      </c>
      <c r="J119" s="8" t="str">
        <f>IF(LS[[#This Row],[B/S]]="B","BUY",(IF(LS[[#This Row],[B/S]]="S","SELL"," ")))</f>
        <v>BUY</v>
      </c>
      <c r="K119" s="8" t="s">
        <v>301</v>
      </c>
      <c r="L119" s="10">
        <v>300000</v>
      </c>
      <c r="M119" s="10"/>
      <c r="N119" s="168">
        <f>LS[[#This Row],[Amount]]/LS[[#This Row],[Unit]]</f>
        <v>10</v>
      </c>
      <c r="O119" s="11">
        <f t="shared" si="2"/>
        <v>30000</v>
      </c>
      <c r="P119" s="11">
        <f>SUMIFS(LS[[#Headers],[Unit]]:LS[[#This Row],[Unit]],LS[[#Headers],[Investor ID]]:LS[[#This Row],[Investor ID]],LS[[#This Row],[Investor ID]])</f>
        <v>80000</v>
      </c>
      <c r="Q119" s="10">
        <v>300000</v>
      </c>
      <c r="R119" s="6">
        <f>LS[[#This Row],[Amount]]-LS[[#This Row],[Unit Capital]]</f>
        <v>0</v>
      </c>
      <c r="S11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19" s="168">
        <f t="shared" si="3"/>
        <v>12.552</v>
      </c>
      <c r="U11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19" s="10" cm="1">
        <f t="array" ref="V119">IF(LS[[#This Row],[B/S]]="S",ABS(LS[[#This Row],[Unit]])*(INDEX(LS[NAV at Cost (Average)],MATCH(CONCATENATE((LS[[#This Row],[Frequency]]-1),LS[[#This Row],[Investor ID]]),LS[Unique Code],0),0)),0)</f>
        <v>0</v>
      </c>
      <c r="W119" s="10">
        <f>IF(LS[[#This Row],[BO Transfer]]="YES",LS[[#This Row],[Unit]],)</f>
        <v>0</v>
      </c>
      <c r="X119" s="3">
        <f>SUMIFS(LS[[#Headers],[BO UNIT TRANSFER]]:LS[[#This Row],[BO UNIT TRANSFER]],LS[[#Headers],[Investor ID]]:LS[[#This Row],[Investor ID]],LS[[#This Row],[Investor ID]])</f>
        <v>0</v>
      </c>
      <c r="AA119" s="7"/>
    </row>
    <row r="120" spans="2:27">
      <c r="B120" s="8">
        <v>2022</v>
      </c>
      <c r="C120" s="8">
        <v>1</v>
      </c>
      <c r="D120" s="8">
        <v>31</v>
      </c>
      <c r="E120" s="291">
        <f>DATE(LS[[#This Row],[Year]],LS[[#This Row],[Month]],LS[[#This Row],[Day]])</f>
        <v>44592</v>
      </c>
      <c r="F120" t="str" cm="1">
        <f t="array" ref="F120">INDEX(INVESTORS_LIST[INVESTOR NAME],MATCH(LS[[#This Row],[Investor ID]],INVESTORS_LIST[INVESTOR CODE],0),)</f>
        <v>PHOENIX INSURANCE CO. LTD. EMPL. P.F.</v>
      </c>
      <c r="G120" s="19" t="s">
        <v>56</v>
      </c>
      <c r="H120" s="8">
        <f>COUNTIF(LS[[#Headers],[Investor ID]]:LS[[#This Row],[Investor ID]],LS[[#This Row],[Investor ID]])</f>
        <v>1</v>
      </c>
      <c r="I120" s="8" t="str">
        <f>CONCATENATE(LS[[#This Row],[Frequency]],LS[[#This Row],[Investor ID]])</f>
        <v>1A00049</v>
      </c>
      <c r="J120" s="8" t="str">
        <f>IF(LS[[#This Row],[B/S]]="B","BUY",(IF(LS[[#This Row],[B/S]]="S","SELL"," ")))</f>
        <v>BUY</v>
      </c>
      <c r="K120" s="8" t="s">
        <v>301</v>
      </c>
      <c r="L120" s="10">
        <v>1000000</v>
      </c>
      <c r="M120" s="10"/>
      <c r="N120" s="168">
        <f>LS[[#This Row],[Amount]]/LS[[#This Row],[Unit]]</f>
        <v>10</v>
      </c>
      <c r="O120" s="11">
        <f t="shared" si="2"/>
        <v>100000</v>
      </c>
      <c r="P120" s="11">
        <f>SUMIFS(LS[[#Headers],[Unit]]:LS[[#This Row],[Unit]],LS[[#Headers],[Investor ID]]:LS[[#This Row],[Investor ID]],LS[[#This Row],[Investor ID]])</f>
        <v>100000</v>
      </c>
      <c r="Q120" s="10">
        <v>1000000</v>
      </c>
      <c r="R120" s="6">
        <f>LS[[#This Row],[Amount]]-LS[[#This Row],[Unit Capital]]</f>
        <v>0</v>
      </c>
      <c r="S12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20" s="168">
        <f t="shared" si="3"/>
        <v>12.552</v>
      </c>
      <c r="U12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20" s="10" cm="1">
        <f t="array" ref="V120">IF(LS[[#This Row],[B/S]]="S",ABS(LS[[#This Row],[Unit]])*(INDEX(LS[NAV at Cost (Average)],MATCH(CONCATENATE((LS[[#This Row],[Frequency]]-1),LS[[#This Row],[Investor ID]]),LS[Unique Code],0),0)),0)</f>
        <v>0</v>
      </c>
      <c r="W120" s="10">
        <f>IF(LS[[#This Row],[BO Transfer]]="YES",LS[[#This Row],[Unit]],)</f>
        <v>0</v>
      </c>
      <c r="X120" s="3">
        <f>SUMIFS(LS[[#Headers],[BO UNIT TRANSFER]]:LS[[#This Row],[BO UNIT TRANSFER]],LS[[#Headers],[Investor ID]]:LS[[#This Row],[Investor ID]],LS[[#This Row],[Investor ID]])</f>
        <v>0</v>
      </c>
      <c r="AA120" s="7"/>
    </row>
    <row r="121" spans="2:27">
      <c r="B121" s="8">
        <v>2022</v>
      </c>
      <c r="C121" s="8">
        <v>1</v>
      </c>
      <c r="D121" s="8">
        <v>31</v>
      </c>
      <c r="E121" s="291">
        <f>DATE(LS[[#This Row],[Year]],LS[[#This Row],[Month]],LS[[#This Row],[Day]])</f>
        <v>44592</v>
      </c>
      <c r="F121" t="str" cm="1">
        <f t="array" ref="F121">INDEX(INVESTORS_LIST[INVESTOR NAME],MATCH(LS[[#This Row],[Investor ID]],INVESTORS_LIST[INVESTOR CODE],0),)</f>
        <v>JOY SHREE SAHA</v>
      </c>
      <c r="G121" s="19" t="s">
        <v>383</v>
      </c>
      <c r="H121" s="8">
        <f>COUNTIF(LS[[#Headers],[Investor ID]]:LS[[#This Row],[Investor ID]],LS[[#This Row],[Investor ID]])</f>
        <v>3</v>
      </c>
      <c r="I121" s="8" t="str">
        <f>CONCATENATE(LS[[#This Row],[Frequency]],LS[[#This Row],[Investor ID]])</f>
        <v>3A00263</v>
      </c>
      <c r="J121" s="8" t="str">
        <f>IF(LS[[#This Row],[B/S]]="B","BUY",(IF(LS[[#This Row],[B/S]]="S","SELL"," ")))</f>
        <v>BUY</v>
      </c>
      <c r="K121" s="8" t="s">
        <v>301</v>
      </c>
      <c r="L121" s="10">
        <v>1500000</v>
      </c>
      <c r="M121" s="10"/>
      <c r="N121" s="168">
        <f>LS[[#This Row],[Amount]]/LS[[#This Row],[Unit]]</f>
        <v>10</v>
      </c>
      <c r="O121" s="11">
        <f t="shared" si="2"/>
        <v>150000</v>
      </c>
      <c r="P121" s="11">
        <f>SUMIFS(LS[[#Headers],[Unit]]:LS[[#This Row],[Unit]],LS[[#Headers],[Investor ID]]:LS[[#This Row],[Investor ID]],LS[[#This Row],[Investor ID]])</f>
        <v>500000</v>
      </c>
      <c r="Q121" s="10">
        <v>1500000</v>
      </c>
      <c r="R121" s="6">
        <f>LS[[#This Row],[Amount]]-LS[[#This Row],[Unit Capital]]</f>
        <v>0</v>
      </c>
      <c r="S12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21" s="168">
        <f t="shared" si="3"/>
        <v>12.552</v>
      </c>
      <c r="U12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21" s="10" cm="1">
        <f t="array" ref="V121">IF(LS[[#This Row],[B/S]]="S",ABS(LS[[#This Row],[Unit]])*(INDEX(LS[NAV at Cost (Average)],MATCH(CONCATENATE((LS[[#This Row],[Frequency]]-1),LS[[#This Row],[Investor ID]]),LS[Unique Code],0),0)),0)</f>
        <v>0</v>
      </c>
      <c r="W121" s="10">
        <f>IF(LS[[#This Row],[BO Transfer]]="YES",LS[[#This Row],[Unit]],)</f>
        <v>0</v>
      </c>
      <c r="X121" s="3">
        <f>SUMIFS(LS[[#Headers],[BO UNIT TRANSFER]]:LS[[#This Row],[BO UNIT TRANSFER]],LS[[#Headers],[Investor ID]]:LS[[#This Row],[Investor ID]],LS[[#This Row],[Investor ID]])</f>
        <v>0</v>
      </c>
    </row>
    <row r="122" spans="2:27">
      <c r="B122" s="8">
        <v>2022</v>
      </c>
      <c r="C122" s="8">
        <v>1</v>
      </c>
      <c r="D122" s="8">
        <v>31</v>
      </c>
      <c r="E122" s="291">
        <f>DATE(LS[[#This Row],[Year]],LS[[#This Row],[Month]],LS[[#This Row],[Day]])</f>
        <v>44592</v>
      </c>
      <c r="F122" t="str" cm="1">
        <f t="array" ref="F122">INDEX(INVESTORS_LIST[INVESTOR NAME],MATCH(LS[[#This Row],[Investor ID]],INVESTORS_LIST[INVESTOR CODE],0),)</f>
        <v>PHOENIX INSURANCE CO. LTD.</v>
      </c>
      <c r="G122" s="19" t="s">
        <v>76</v>
      </c>
      <c r="H122" s="8">
        <f>COUNTIF(LS[[#Headers],[Investor ID]]:LS[[#This Row],[Investor ID]],LS[[#This Row],[Investor ID]])</f>
        <v>1</v>
      </c>
      <c r="I122" s="8" t="str">
        <f>CONCATENATE(LS[[#This Row],[Frequency]],LS[[#This Row],[Investor ID]])</f>
        <v>1A00068</v>
      </c>
      <c r="J122" s="8" t="str">
        <f>IF(LS[[#This Row],[B/S]]="B","BUY",(IF(LS[[#This Row],[B/S]]="S","SELL"," ")))</f>
        <v>BUY</v>
      </c>
      <c r="K122" s="8" t="s">
        <v>301</v>
      </c>
      <c r="L122" s="10">
        <v>2000000</v>
      </c>
      <c r="M122" s="10"/>
      <c r="N122" s="168">
        <f>LS[[#This Row],[Amount]]/LS[[#This Row],[Unit]]</f>
        <v>10</v>
      </c>
      <c r="O122" s="11">
        <f t="shared" si="2"/>
        <v>200000</v>
      </c>
      <c r="P122" s="11">
        <f>SUMIFS(LS[[#Headers],[Unit]]:LS[[#This Row],[Unit]],LS[[#Headers],[Investor ID]]:LS[[#This Row],[Investor ID]],LS[[#This Row],[Investor ID]])</f>
        <v>200000</v>
      </c>
      <c r="Q122" s="10">
        <v>2000000</v>
      </c>
      <c r="R122" s="6">
        <f>LS[[#This Row],[Amount]]-LS[[#This Row],[Unit Capital]]</f>
        <v>0</v>
      </c>
      <c r="S12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22" s="168">
        <f t="shared" si="3"/>
        <v>12.552</v>
      </c>
      <c r="U12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22" s="10" cm="1">
        <f t="array" ref="V122">IF(LS[[#This Row],[B/S]]="S",ABS(LS[[#This Row],[Unit]])*(INDEX(LS[NAV at Cost (Average)],MATCH(CONCATENATE((LS[[#This Row],[Frequency]]-1),LS[[#This Row],[Investor ID]]),LS[Unique Code],0),0)),0)</f>
        <v>0</v>
      </c>
      <c r="W122" s="10">
        <f>IF(LS[[#This Row],[BO Transfer]]="YES",LS[[#This Row],[Unit]],)</f>
        <v>0</v>
      </c>
      <c r="X122" s="3">
        <f>SUMIFS(LS[[#Headers],[BO UNIT TRANSFER]]:LS[[#This Row],[BO UNIT TRANSFER]],LS[[#Headers],[Investor ID]]:LS[[#This Row],[Investor ID]],LS[[#This Row],[Investor ID]])</f>
        <v>0</v>
      </c>
    </row>
    <row r="123" spans="2:27">
      <c r="B123" s="8">
        <v>2022</v>
      </c>
      <c r="C123" s="8">
        <v>1</v>
      </c>
      <c r="D123" s="8">
        <v>31</v>
      </c>
      <c r="E123" s="291">
        <f>DATE(LS[[#This Row],[Year]],LS[[#This Row],[Month]],LS[[#This Row],[Day]])</f>
        <v>44592</v>
      </c>
      <c r="F123" t="str" cm="1">
        <f t="array" ref="F123">INDEX(INVESTORS_LIST[INVESTOR NAME],MATCH(LS[[#This Row],[Investor ID]],INVESTORS_LIST[INVESTOR CODE],0),)</f>
        <v>MD. ARIFUL ISLAM</v>
      </c>
      <c r="G123" s="19" t="s">
        <v>95</v>
      </c>
      <c r="H123" s="8">
        <f>COUNTIF(LS[[#Headers],[Investor ID]]:LS[[#This Row],[Investor ID]],LS[[#This Row],[Investor ID]])</f>
        <v>1</v>
      </c>
      <c r="I123" s="8" t="str">
        <f>CONCATENATE(LS[[#This Row],[Frequency]],LS[[#This Row],[Investor ID]])</f>
        <v>1A00087</v>
      </c>
      <c r="J123" s="8" t="str">
        <f>IF(LS[[#This Row],[B/S]]="B","BUY",(IF(LS[[#This Row],[B/S]]="S","SELL"," ")))</f>
        <v>BUY</v>
      </c>
      <c r="K123" s="8" t="s">
        <v>301</v>
      </c>
      <c r="L123" s="10">
        <v>5000000</v>
      </c>
      <c r="M123" s="10"/>
      <c r="N123" s="168">
        <f>LS[[#This Row],[Amount]]/LS[[#This Row],[Unit]]</f>
        <v>10</v>
      </c>
      <c r="O123" s="11">
        <f t="shared" si="2"/>
        <v>500000</v>
      </c>
      <c r="P123" s="11">
        <f>SUMIFS(LS[[#Headers],[Unit]]:LS[[#This Row],[Unit]],LS[[#Headers],[Investor ID]]:LS[[#This Row],[Investor ID]],LS[[#This Row],[Investor ID]])</f>
        <v>500000</v>
      </c>
      <c r="Q123" s="10">
        <v>5000000</v>
      </c>
      <c r="R123" s="6">
        <f>LS[[#This Row],[Amount]]-LS[[#This Row],[Unit Capital]]</f>
        <v>0</v>
      </c>
      <c r="S12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23" s="168">
        <f t="shared" si="3"/>
        <v>12.552</v>
      </c>
      <c r="U12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23" s="10" cm="1">
        <f t="array" ref="V123">IF(LS[[#This Row],[B/S]]="S",ABS(LS[[#This Row],[Unit]])*(INDEX(LS[NAV at Cost (Average)],MATCH(CONCATENATE((LS[[#This Row],[Frequency]]-1),LS[[#This Row],[Investor ID]]),LS[Unique Code],0),0)),0)</f>
        <v>0</v>
      </c>
      <c r="W123" s="10">
        <f>IF(LS[[#This Row],[BO Transfer]]="YES",LS[[#This Row],[Unit]],)</f>
        <v>0</v>
      </c>
      <c r="X123" s="3">
        <f>SUMIFS(LS[[#Headers],[BO UNIT TRANSFER]]:LS[[#This Row],[BO UNIT TRANSFER]],LS[[#Headers],[Investor ID]]:LS[[#This Row],[Investor ID]],LS[[#This Row],[Investor ID]])</f>
        <v>0</v>
      </c>
    </row>
    <row r="124" spans="2:27">
      <c r="B124" s="8">
        <v>2022</v>
      </c>
      <c r="C124" s="8">
        <v>1</v>
      </c>
      <c r="D124" s="8">
        <v>31</v>
      </c>
      <c r="E124" s="291">
        <f>DATE(LS[[#This Row],[Year]],LS[[#This Row],[Month]],LS[[#This Row],[Day]])</f>
        <v>44592</v>
      </c>
      <c r="F124" t="str" cm="1">
        <f t="array" ref="F124">INDEX(INVESTORS_LIST[INVESTOR NAME],MATCH(LS[[#This Row],[Investor ID]],INVESTORS_LIST[INVESTOR CODE],0),)</f>
        <v>NRB COMMERCIAL BANK LIMITED</v>
      </c>
      <c r="G124" s="19" t="s">
        <v>657</v>
      </c>
      <c r="H124" s="8">
        <f>COUNTIF(LS[[#Headers],[Investor ID]]:LS[[#This Row],[Investor ID]],LS[[#This Row],[Investor ID]])</f>
        <v>1</v>
      </c>
      <c r="I124" s="8" t="str">
        <f>CONCATENATE(LS[[#This Row],[Frequency]],LS[[#This Row],[Investor ID]])</f>
        <v>1A00355</v>
      </c>
      <c r="J124" s="8" t="str">
        <f>IF(LS[[#This Row],[B/S]]="B","BUY",(IF(LS[[#This Row],[B/S]]="S","SELL"," ")))</f>
        <v>BUY</v>
      </c>
      <c r="K124" s="8" t="s">
        <v>301</v>
      </c>
      <c r="L124" s="10">
        <v>10000000</v>
      </c>
      <c r="M124" s="10"/>
      <c r="N124" s="168">
        <f>LS[[#This Row],[Amount]]/LS[[#This Row],[Unit]]</f>
        <v>10</v>
      </c>
      <c r="O124" s="11">
        <f t="shared" si="2"/>
        <v>1000000</v>
      </c>
      <c r="P124" s="11">
        <f>SUMIFS(LS[[#Headers],[Unit]]:LS[[#This Row],[Unit]],LS[[#Headers],[Investor ID]]:LS[[#This Row],[Investor ID]],LS[[#This Row],[Investor ID]])</f>
        <v>1000000</v>
      </c>
      <c r="Q124" s="10">
        <v>10000000</v>
      </c>
      <c r="R124" s="6">
        <f>LS[[#This Row],[Amount]]-LS[[#This Row],[Unit Capital]]</f>
        <v>0</v>
      </c>
      <c r="S12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24" s="168">
        <f t="shared" si="3"/>
        <v>12.552</v>
      </c>
      <c r="U12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24" s="10" cm="1">
        <f t="array" ref="V124">IF(LS[[#This Row],[B/S]]="S",ABS(LS[[#This Row],[Unit]])*(INDEX(LS[NAV at Cost (Average)],MATCH(CONCATENATE((LS[[#This Row],[Frequency]]-1),LS[[#This Row],[Investor ID]]),LS[Unique Code],0),0)),0)</f>
        <v>0</v>
      </c>
      <c r="W124" s="10">
        <f>IF(LS[[#This Row],[BO Transfer]]="YES",LS[[#This Row],[Unit]],)</f>
        <v>0</v>
      </c>
      <c r="X124" s="3">
        <f>SUMIFS(LS[[#Headers],[BO UNIT TRANSFER]]:LS[[#This Row],[BO UNIT TRANSFER]],LS[[#Headers],[Investor ID]]:LS[[#This Row],[Investor ID]],LS[[#This Row],[Investor ID]])</f>
        <v>0</v>
      </c>
    </row>
    <row r="125" spans="2:27">
      <c r="B125" s="8">
        <v>2022</v>
      </c>
      <c r="C125" s="8">
        <v>1</v>
      </c>
      <c r="D125" s="8">
        <v>31</v>
      </c>
      <c r="E125" s="291">
        <f>DATE(LS[[#This Row],[Year]],LS[[#This Row],[Month]],LS[[#This Row],[Day]])</f>
        <v>44592</v>
      </c>
      <c r="F125" t="str" cm="1">
        <f t="array" ref="F125">INDEX(INVESTORS_LIST[INVESTOR NAME],MATCH(LS[[#This Row],[Investor ID]],INVESTORS_LIST[INVESTOR CODE],0),)</f>
        <v>SYED ADNAN HUDA</v>
      </c>
      <c r="G125" s="19" t="s">
        <v>106</v>
      </c>
      <c r="H125" s="8">
        <f>COUNTIF(LS[[#Headers],[Investor ID]]:LS[[#This Row],[Investor ID]],LS[[#This Row],[Investor ID]])</f>
        <v>1</v>
      </c>
      <c r="I125" s="8" t="str">
        <f>CONCATENATE(LS[[#This Row],[Frequency]],LS[[#This Row],[Investor ID]])</f>
        <v>1A00094</v>
      </c>
      <c r="J125" s="8" t="str">
        <f>IF(LS[[#This Row],[B/S]]="B","BUY",(IF(LS[[#This Row],[B/S]]="S","SELL"," ")))</f>
        <v>BUY</v>
      </c>
      <c r="K125" s="8" t="s">
        <v>301</v>
      </c>
      <c r="L125" s="10">
        <v>3000000</v>
      </c>
      <c r="M125" s="10"/>
      <c r="N125" s="168">
        <f>LS[[#This Row],[Amount]]/LS[[#This Row],[Unit]]</f>
        <v>10</v>
      </c>
      <c r="O125" s="11">
        <f t="shared" si="2"/>
        <v>300000</v>
      </c>
      <c r="P125" s="11">
        <f>SUMIFS(LS[[#Headers],[Unit]]:LS[[#This Row],[Unit]],LS[[#Headers],[Investor ID]]:LS[[#This Row],[Investor ID]],LS[[#This Row],[Investor ID]])</f>
        <v>300000</v>
      </c>
      <c r="Q125" s="10">
        <v>3000000</v>
      </c>
      <c r="R125" s="6">
        <f>LS[[#This Row],[Amount]]-LS[[#This Row],[Unit Capital]]</f>
        <v>0</v>
      </c>
      <c r="S12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25" s="168">
        <f t="shared" si="3"/>
        <v>12.552</v>
      </c>
      <c r="U12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25" s="10" cm="1">
        <f t="array" ref="V125">IF(LS[[#This Row],[B/S]]="S",ABS(LS[[#This Row],[Unit]])*(INDEX(LS[NAV at Cost (Average)],MATCH(CONCATENATE((LS[[#This Row],[Frequency]]-1),LS[[#This Row],[Investor ID]]),LS[Unique Code],0),0)),0)</f>
        <v>0</v>
      </c>
      <c r="W125" s="10">
        <f>IF(LS[[#This Row],[BO Transfer]]="YES",LS[[#This Row],[Unit]],)</f>
        <v>0</v>
      </c>
      <c r="X125" s="3">
        <f>SUMIFS(LS[[#Headers],[BO UNIT TRANSFER]]:LS[[#This Row],[BO UNIT TRANSFER]],LS[[#Headers],[Investor ID]]:LS[[#This Row],[Investor ID]],LS[[#This Row],[Investor ID]])</f>
        <v>0</v>
      </c>
    </row>
    <row r="126" spans="2:27">
      <c r="B126" s="8">
        <v>2022</v>
      </c>
      <c r="C126" s="8">
        <v>1</v>
      </c>
      <c r="D126" s="8">
        <v>31</v>
      </c>
      <c r="E126" s="291">
        <f>DATE(LS[[#This Row],[Year]],LS[[#This Row],[Month]],LS[[#This Row],[Day]])</f>
        <v>44592</v>
      </c>
      <c r="F126" t="str" cm="1">
        <f t="array" ref="F126">INDEX(INVESTORS_LIST[INVESTOR NAME],MATCH(LS[[#This Row],[Investor ID]],INVESTORS_LIST[INVESTOR CODE],0),)</f>
        <v>HASIB MUSTABSIR</v>
      </c>
      <c r="G126" s="19" t="s">
        <v>230</v>
      </c>
      <c r="H126" s="8">
        <f>COUNTIF(LS[[#Headers],[Investor ID]]:LS[[#This Row],[Investor ID]],LS[[#This Row],[Investor ID]])</f>
        <v>2</v>
      </c>
      <c r="I126" s="8" t="str">
        <f>CONCATENATE(LS[[#This Row],[Frequency]],LS[[#This Row],[Investor ID]])</f>
        <v>2A00194</v>
      </c>
      <c r="J126" s="8" t="str">
        <f>IF(LS[[#This Row],[B/S]]="B","BUY",(IF(LS[[#This Row],[B/S]]="S","SELL"," ")))</f>
        <v>BUY</v>
      </c>
      <c r="K126" s="8" t="s">
        <v>301</v>
      </c>
      <c r="L126" s="10">
        <v>2000000</v>
      </c>
      <c r="M126" s="10"/>
      <c r="N126" s="168">
        <f>LS[[#This Row],[Amount]]/LS[[#This Row],[Unit]]</f>
        <v>10</v>
      </c>
      <c r="O126" s="11">
        <f t="shared" si="2"/>
        <v>200000</v>
      </c>
      <c r="P126" s="12">
        <f>SUMIFS(LS[[#Headers],[Unit]]:LS[[#This Row],[Unit]],LS[[#Headers],[Investor ID]]:LS[[#This Row],[Investor ID]],LS[[#This Row],[Investor ID]])</f>
        <v>300000</v>
      </c>
      <c r="Q126" s="10">
        <v>2000000</v>
      </c>
      <c r="R126" s="6">
        <f>LS[[#This Row],[Amount]]-LS[[#This Row],[Unit Capital]]</f>
        <v>0</v>
      </c>
      <c r="S12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26" s="168">
        <f t="shared" si="3"/>
        <v>12.552</v>
      </c>
      <c r="U12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26" s="10" cm="1">
        <f t="array" ref="V126">IF(LS[[#This Row],[B/S]]="S",ABS(LS[[#This Row],[Unit]])*(INDEX(LS[NAV at Cost (Average)],MATCH(CONCATENATE((LS[[#This Row],[Frequency]]-1),LS[[#This Row],[Investor ID]]),LS[Unique Code],0),0)),0)</f>
        <v>0</v>
      </c>
      <c r="W126" s="10">
        <f>IF(LS[[#This Row],[BO Transfer]]="YES",LS[[#This Row],[Unit]],)</f>
        <v>0</v>
      </c>
      <c r="X126" s="3">
        <f>SUMIFS(LS[[#Headers],[BO UNIT TRANSFER]]:LS[[#This Row],[BO UNIT TRANSFER]],LS[[#Headers],[Investor ID]]:LS[[#This Row],[Investor ID]],LS[[#This Row],[Investor ID]])</f>
        <v>0</v>
      </c>
    </row>
    <row r="127" spans="2:27">
      <c r="B127" s="8">
        <v>2022</v>
      </c>
      <c r="C127" s="8">
        <v>1</v>
      </c>
      <c r="D127" s="8">
        <v>31</v>
      </c>
      <c r="E127" s="291">
        <f>DATE(LS[[#This Row],[Year]],LS[[#This Row],[Month]],LS[[#This Row],[Day]])</f>
        <v>44592</v>
      </c>
      <c r="F127" t="str" cm="1">
        <f t="array" ref="F127">INDEX(INVESTORS_LIST[INVESTOR NAME],MATCH(LS[[#This Row],[Investor ID]],INVESTORS_LIST[INVESTOR CODE],0),)</f>
        <v>MAYA RANI SAHA</v>
      </c>
      <c r="G127" s="19" t="s">
        <v>96</v>
      </c>
      <c r="H127" s="8">
        <f>COUNTIF(LS[[#Headers],[Investor ID]]:LS[[#This Row],[Investor ID]],LS[[#This Row],[Investor ID]])</f>
        <v>1</v>
      </c>
      <c r="I127" s="8" t="str">
        <f>CONCATENATE(LS[[#This Row],[Frequency]],LS[[#This Row],[Investor ID]])</f>
        <v>1A00088</v>
      </c>
      <c r="J127" s="8" t="str">
        <f>IF(LS[[#This Row],[B/S]]="B","BUY",(IF(LS[[#This Row],[B/S]]="S","SELL"," ")))</f>
        <v>BUY</v>
      </c>
      <c r="K127" s="8" t="s">
        <v>301</v>
      </c>
      <c r="L127" s="10">
        <v>2000000</v>
      </c>
      <c r="M127" s="10"/>
      <c r="N127" s="168">
        <f>LS[[#This Row],[Amount]]/LS[[#This Row],[Unit]]</f>
        <v>10</v>
      </c>
      <c r="O127" s="11">
        <f t="shared" si="2"/>
        <v>200000</v>
      </c>
      <c r="P127" s="11">
        <f>SUMIFS(LS[[#Headers],[Unit]]:LS[[#This Row],[Unit]],LS[[#Headers],[Investor ID]]:LS[[#This Row],[Investor ID]],LS[[#This Row],[Investor ID]])</f>
        <v>200000</v>
      </c>
      <c r="Q127" s="10">
        <v>2000000</v>
      </c>
      <c r="R127" s="6">
        <f>LS[[#This Row],[Amount]]-LS[[#This Row],[Unit Capital]]</f>
        <v>0</v>
      </c>
      <c r="S12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27" s="168">
        <f t="shared" si="3"/>
        <v>12.552</v>
      </c>
      <c r="U12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27" s="10" cm="1">
        <f t="array" ref="V127">IF(LS[[#This Row],[B/S]]="S",ABS(LS[[#This Row],[Unit]])*(INDEX(LS[NAV at Cost (Average)],MATCH(CONCATENATE((LS[[#This Row],[Frequency]]-1),LS[[#This Row],[Investor ID]]),LS[Unique Code],0),0)),0)</f>
        <v>0</v>
      </c>
      <c r="W127" s="10">
        <f>IF(LS[[#This Row],[BO Transfer]]="YES",LS[[#This Row],[Unit]],)</f>
        <v>0</v>
      </c>
      <c r="X127" s="3">
        <f>SUMIFS(LS[[#Headers],[BO UNIT TRANSFER]]:LS[[#This Row],[BO UNIT TRANSFER]],LS[[#Headers],[Investor ID]]:LS[[#This Row],[Investor ID]],LS[[#This Row],[Investor ID]])</f>
        <v>0</v>
      </c>
    </row>
    <row r="128" spans="2:27">
      <c r="B128" s="8">
        <v>2022</v>
      </c>
      <c r="C128" s="8">
        <v>1</v>
      </c>
      <c r="D128" s="8">
        <v>31</v>
      </c>
      <c r="E128" s="291">
        <f>DATE(LS[[#This Row],[Year]],LS[[#This Row],[Month]],LS[[#This Row],[Day]])</f>
        <v>44592</v>
      </c>
      <c r="F128" t="str" cm="1">
        <f t="array" ref="F128">INDEX(INVESTORS_LIST[INVESTOR NAME],MATCH(LS[[#This Row],[Investor ID]],INVESTORS_LIST[INVESTOR CODE],0),)</f>
        <v>NATIONAL BANK LTD</v>
      </c>
      <c r="G128" s="19" t="s">
        <v>54</v>
      </c>
      <c r="H128" s="8">
        <f>COUNTIF(LS[[#Headers],[Investor ID]]:LS[[#This Row],[Investor ID]],LS[[#This Row],[Investor ID]])</f>
        <v>1</v>
      </c>
      <c r="I128" s="8" t="str">
        <f>CONCATENATE(LS[[#This Row],[Frequency]],LS[[#This Row],[Investor ID]])</f>
        <v>1A00047</v>
      </c>
      <c r="J128" s="8" t="str">
        <f>IF(LS[[#This Row],[B/S]]="B","BUY",(IF(LS[[#This Row],[B/S]]="S","SELL"," ")))</f>
        <v>BUY</v>
      </c>
      <c r="K128" s="8" t="s">
        <v>301</v>
      </c>
      <c r="L128" s="10">
        <v>2500000</v>
      </c>
      <c r="M128" s="10"/>
      <c r="N128" s="168">
        <f>LS[[#This Row],[Amount]]/LS[[#This Row],[Unit]]</f>
        <v>10</v>
      </c>
      <c r="O128" s="11">
        <f t="shared" si="2"/>
        <v>250000</v>
      </c>
      <c r="P128" s="11">
        <f>SUMIFS(LS[[#Headers],[Unit]]:LS[[#This Row],[Unit]],LS[[#Headers],[Investor ID]]:LS[[#This Row],[Investor ID]],LS[[#This Row],[Investor ID]])</f>
        <v>250000</v>
      </c>
      <c r="Q128" s="10">
        <v>2500000</v>
      </c>
      <c r="R128" s="6">
        <f>LS[[#This Row],[Amount]]-LS[[#This Row],[Unit Capital]]</f>
        <v>0</v>
      </c>
      <c r="S12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28" s="168">
        <f t="shared" si="3"/>
        <v>12.552</v>
      </c>
      <c r="U12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28" s="10" cm="1">
        <f t="array" ref="V128">IF(LS[[#This Row],[B/S]]="S",ABS(LS[[#This Row],[Unit]])*(INDEX(LS[NAV at Cost (Average)],MATCH(CONCATENATE((LS[[#This Row],[Frequency]]-1),LS[[#This Row],[Investor ID]]),LS[Unique Code],0),0)),0)</f>
        <v>0</v>
      </c>
      <c r="W128" s="10">
        <f>IF(LS[[#This Row],[BO Transfer]]="YES",LS[[#This Row],[Unit]],)</f>
        <v>0</v>
      </c>
      <c r="X128" s="3">
        <f>SUMIFS(LS[[#Headers],[BO UNIT TRANSFER]]:LS[[#This Row],[BO UNIT TRANSFER]],LS[[#Headers],[Investor ID]]:LS[[#This Row],[Investor ID]],LS[[#This Row],[Investor ID]])</f>
        <v>0</v>
      </c>
    </row>
    <row r="129" spans="2:24">
      <c r="B129" s="8">
        <v>2022</v>
      </c>
      <c r="C129" s="8">
        <v>1</v>
      </c>
      <c r="D129" s="8">
        <v>31</v>
      </c>
      <c r="E129" s="291">
        <f>DATE(LS[[#This Row],[Year]],LS[[#This Row],[Month]],LS[[#This Row],[Day]])</f>
        <v>44592</v>
      </c>
      <c r="F129" t="str" cm="1">
        <f t="array" ref="F129">INDEX(INVESTORS_LIST[INVESTOR NAME],MATCH(LS[[#This Row],[Investor ID]],INVESTORS_LIST[INVESTOR CODE],0),)</f>
        <v>NBL CAPITAL AND EQUITY MANAGEMENT LTD</v>
      </c>
      <c r="G129" s="19" t="s">
        <v>667</v>
      </c>
      <c r="H129" s="8">
        <f>COUNTIF(LS[[#Headers],[Investor ID]]:LS[[#This Row],[Investor ID]],LS[[#This Row],[Investor ID]])</f>
        <v>1</v>
      </c>
      <c r="I129" s="8" t="str">
        <f>CONCATENATE(LS[[#This Row],[Frequency]],LS[[#This Row],[Investor ID]])</f>
        <v>1A00360</v>
      </c>
      <c r="J129" s="8" t="str">
        <f>IF(LS[[#This Row],[B/S]]="B","BUY",(IF(LS[[#This Row],[B/S]]="S","SELL"," ")))</f>
        <v>BUY</v>
      </c>
      <c r="K129" s="8" t="s">
        <v>301</v>
      </c>
      <c r="L129" s="10">
        <v>500000</v>
      </c>
      <c r="M129" s="3" t="s">
        <v>957</v>
      </c>
      <c r="N129" s="168">
        <f>LS[[#This Row],[Amount]]/LS[[#This Row],[Unit]]</f>
        <v>10</v>
      </c>
      <c r="O129" s="11">
        <f t="shared" si="2"/>
        <v>50000</v>
      </c>
      <c r="P129" s="11">
        <f>SUMIFS(LS[[#Headers],[Unit]]:LS[[#This Row],[Unit]],LS[[#Headers],[Investor ID]]:LS[[#This Row],[Investor ID]],LS[[#This Row],[Investor ID]])</f>
        <v>50000</v>
      </c>
      <c r="Q129" s="10">
        <v>500000</v>
      </c>
      <c r="R129" s="6">
        <f>LS[[#This Row],[Amount]]-LS[[#This Row],[Unit Capital]]</f>
        <v>0</v>
      </c>
      <c r="S12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29" s="168">
        <f t="shared" si="3"/>
        <v>12.552</v>
      </c>
      <c r="U12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29" s="10" cm="1">
        <f t="array" ref="V129">IF(LS[[#This Row],[B/S]]="S",ABS(LS[[#This Row],[Unit]])*(INDEX(LS[NAV at Cost (Average)],MATCH(CONCATENATE((LS[[#This Row],[Frequency]]-1),LS[[#This Row],[Investor ID]]),LS[Unique Code],0),0)),0)</f>
        <v>0</v>
      </c>
      <c r="W129" s="10">
        <f>IF(LS[[#This Row],[BO Transfer]]="YES",LS[[#This Row],[Unit]],)</f>
        <v>50000</v>
      </c>
      <c r="X129" s="3">
        <f>SUMIFS(LS[[#Headers],[BO UNIT TRANSFER]]:LS[[#This Row],[BO UNIT TRANSFER]],LS[[#Headers],[Investor ID]]:LS[[#This Row],[Investor ID]],LS[[#This Row],[Investor ID]])</f>
        <v>50000</v>
      </c>
    </row>
    <row r="130" spans="2:24">
      <c r="B130" s="8">
        <v>2022</v>
      </c>
      <c r="C130" s="8">
        <v>1</v>
      </c>
      <c r="D130" s="8">
        <v>31</v>
      </c>
      <c r="E130" s="291">
        <f>DATE(LS[[#This Row],[Year]],LS[[#This Row],[Month]],LS[[#This Row],[Day]])</f>
        <v>44592</v>
      </c>
      <c r="F130" t="str" cm="1">
        <f t="array" ref="F130">INDEX(INVESTORS_LIST[INVESTOR NAME],MATCH(LS[[#This Row],[Investor ID]],INVESTORS_LIST[INVESTOR CODE],0),)</f>
        <v>MD. WALI ULLAH</v>
      </c>
      <c r="G130" s="19" t="s">
        <v>236</v>
      </c>
      <c r="H130" s="8">
        <f>COUNTIF(LS[[#Headers],[Investor ID]]:LS[[#This Row],[Investor ID]],LS[[#This Row],[Investor ID]])</f>
        <v>1</v>
      </c>
      <c r="I130" s="8" t="str">
        <f>CONCATENATE(LS[[#This Row],[Frequency]],LS[[#This Row],[Investor ID]])</f>
        <v>1A00197</v>
      </c>
      <c r="J130" s="8" t="str">
        <f>IF(LS[[#This Row],[B/S]]="B","BUY",(IF(LS[[#This Row],[B/S]]="S","SELL"," ")))</f>
        <v>BUY</v>
      </c>
      <c r="K130" s="8" t="s">
        <v>301</v>
      </c>
      <c r="L130" s="10">
        <v>100000</v>
      </c>
      <c r="M130" s="10"/>
      <c r="N130" s="168">
        <f>LS[[#This Row],[Amount]]/LS[[#This Row],[Unit]]</f>
        <v>10</v>
      </c>
      <c r="O130" s="11">
        <f t="shared" si="2"/>
        <v>10000</v>
      </c>
      <c r="P130" s="11">
        <f>SUMIFS(LS[[#Headers],[Unit]]:LS[[#This Row],[Unit]],LS[[#Headers],[Investor ID]]:LS[[#This Row],[Investor ID]],LS[[#This Row],[Investor ID]])</f>
        <v>10000</v>
      </c>
      <c r="Q130" s="10">
        <v>100000</v>
      </c>
      <c r="R130" s="6">
        <f>LS[[#This Row],[Amount]]-LS[[#This Row],[Unit Capital]]</f>
        <v>0</v>
      </c>
      <c r="S13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30" s="168">
        <f t="shared" si="3"/>
        <v>12.552</v>
      </c>
      <c r="U13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30" s="10" cm="1">
        <f t="array" ref="V130">IF(LS[[#This Row],[B/S]]="S",ABS(LS[[#This Row],[Unit]])*(INDEX(LS[NAV at Cost (Average)],MATCH(CONCATENATE((LS[[#This Row],[Frequency]]-1),LS[[#This Row],[Investor ID]]),LS[Unique Code],0),0)),0)</f>
        <v>0</v>
      </c>
      <c r="W130" s="10">
        <f>IF(LS[[#This Row],[BO Transfer]]="YES",LS[[#This Row],[Unit]],)</f>
        <v>0</v>
      </c>
      <c r="X130" s="3">
        <f>SUMIFS(LS[[#Headers],[BO UNIT TRANSFER]]:LS[[#This Row],[BO UNIT TRANSFER]],LS[[#Headers],[Investor ID]]:LS[[#This Row],[Investor ID]],LS[[#This Row],[Investor ID]])</f>
        <v>0</v>
      </c>
    </row>
    <row r="131" spans="2:24">
      <c r="B131" s="8">
        <v>2022</v>
      </c>
      <c r="C131" s="8">
        <v>1</v>
      </c>
      <c r="D131" s="8">
        <v>31</v>
      </c>
      <c r="E131" s="291">
        <f>DATE(LS[[#This Row],[Year]],LS[[#This Row],[Month]],LS[[#This Row],[Day]])</f>
        <v>44592</v>
      </c>
      <c r="F131" t="str" cm="1">
        <f t="array" ref="F131">INDEX(INVESTORS_LIST[INVESTOR NAME],MATCH(LS[[#This Row],[Investor ID]],INVESTORS_LIST[INVESTOR CODE],0),)</f>
        <v>ARIF AHMED</v>
      </c>
      <c r="G131" s="19" t="s">
        <v>669</v>
      </c>
      <c r="H131" s="8">
        <f>COUNTIF(LS[[#Headers],[Investor ID]]:LS[[#This Row],[Investor ID]],LS[[#This Row],[Investor ID]])</f>
        <v>1</v>
      </c>
      <c r="I131" s="8" t="str">
        <f>CONCATENATE(LS[[#This Row],[Frequency]],LS[[#This Row],[Investor ID]])</f>
        <v>1A00361</v>
      </c>
      <c r="J131" s="8" t="str">
        <f>IF(LS[[#This Row],[B/S]]="B","BUY",(IF(LS[[#This Row],[B/S]]="S","SELL"," ")))</f>
        <v>BUY</v>
      </c>
      <c r="K131" s="8" t="s">
        <v>301</v>
      </c>
      <c r="L131" s="10">
        <v>100000</v>
      </c>
      <c r="M131" s="10"/>
      <c r="N131" s="168">
        <f>LS[[#This Row],[Amount]]/LS[[#This Row],[Unit]]</f>
        <v>10</v>
      </c>
      <c r="O131" s="11">
        <f t="shared" ref="O131:O171" si="4">Q131/10</f>
        <v>10000</v>
      </c>
      <c r="P131" s="11">
        <f>SUMIFS(LS[[#Headers],[Unit]]:LS[[#This Row],[Unit]],LS[[#Headers],[Investor ID]]:LS[[#This Row],[Investor ID]],LS[[#This Row],[Investor ID]])</f>
        <v>10000</v>
      </c>
      <c r="Q131" s="10">
        <v>100000</v>
      </c>
      <c r="R131" s="6">
        <f>LS[[#This Row],[Amount]]-LS[[#This Row],[Unit Capital]]</f>
        <v>0</v>
      </c>
      <c r="S13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31" s="168">
        <f t="shared" ref="T131:T171" si="5">IFERROR(NAV_MKT,0)</f>
        <v>12.552</v>
      </c>
      <c r="U13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31" s="10" cm="1">
        <f t="array" ref="V131">IF(LS[[#This Row],[B/S]]="S",ABS(LS[[#This Row],[Unit]])*(INDEX(LS[NAV at Cost (Average)],MATCH(CONCATENATE((LS[[#This Row],[Frequency]]-1),LS[[#This Row],[Investor ID]]),LS[Unique Code],0),0)),0)</f>
        <v>0</v>
      </c>
      <c r="W131" s="10">
        <f>IF(LS[[#This Row],[BO Transfer]]="YES",LS[[#This Row],[Unit]],)</f>
        <v>0</v>
      </c>
      <c r="X131" s="3">
        <f>SUMIFS(LS[[#Headers],[BO UNIT TRANSFER]]:LS[[#This Row],[BO UNIT TRANSFER]],LS[[#Headers],[Investor ID]]:LS[[#This Row],[Investor ID]],LS[[#This Row],[Investor ID]])</f>
        <v>0</v>
      </c>
    </row>
    <row r="132" spans="2:24">
      <c r="B132" s="8">
        <v>2022</v>
      </c>
      <c r="C132" s="8">
        <v>1</v>
      </c>
      <c r="D132" s="8">
        <v>31</v>
      </c>
      <c r="E132" s="291">
        <f>DATE(LS[[#This Row],[Year]],LS[[#This Row],[Month]],LS[[#This Row],[Day]])</f>
        <v>44592</v>
      </c>
      <c r="F132" t="str" cm="1">
        <f t="array" ref="F132">INDEX(INVESTORS_LIST[INVESTOR NAME],MATCH(LS[[#This Row],[Investor ID]],INVESTORS_LIST[INVESTOR CODE],0),)</f>
        <v>SWADESH RANJAN SAHA</v>
      </c>
      <c r="G132" s="19" t="s">
        <v>104</v>
      </c>
      <c r="H132" s="8">
        <f>COUNTIF(LS[[#Headers],[Investor ID]]:LS[[#This Row],[Investor ID]],LS[[#This Row],[Investor ID]])</f>
        <v>1</v>
      </c>
      <c r="I132" s="8" t="str">
        <f>CONCATENATE(LS[[#This Row],[Frequency]],LS[[#This Row],[Investor ID]])</f>
        <v>1A00093</v>
      </c>
      <c r="J132" s="8" t="str">
        <f>IF(LS[[#This Row],[B/S]]="B","BUY",(IF(LS[[#This Row],[B/S]]="S","SELL"," ")))</f>
        <v>BUY</v>
      </c>
      <c r="K132" s="8" t="s">
        <v>301</v>
      </c>
      <c r="L132" s="10">
        <v>200000</v>
      </c>
      <c r="M132" s="10"/>
      <c r="N132" s="168">
        <f>LS[[#This Row],[Amount]]/LS[[#This Row],[Unit]]</f>
        <v>10</v>
      </c>
      <c r="O132" s="11">
        <f t="shared" si="4"/>
        <v>20000</v>
      </c>
      <c r="P132" s="11">
        <f>SUMIFS(LS[[#Headers],[Unit]]:LS[[#This Row],[Unit]],LS[[#Headers],[Investor ID]]:LS[[#This Row],[Investor ID]],LS[[#This Row],[Investor ID]])</f>
        <v>20000</v>
      </c>
      <c r="Q132" s="10">
        <v>200000</v>
      </c>
      <c r="R132" s="6">
        <f>LS[[#This Row],[Amount]]-LS[[#This Row],[Unit Capital]]</f>
        <v>0</v>
      </c>
      <c r="S13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32" s="168">
        <f t="shared" si="5"/>
        <v>12.552</v>
      </c>
      <c r="U13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32" s="10" cm="1">
        <f t="array" ref="V132">IF(LS[[#This Row],[B/S]]="S",ABS(LS[[#This Row],[Unit]])*(INDEX(LS[NAV at Cost (Average)],MATCH(CONCATENATE((LS[[#This Row],[Frequency]]-1),LS[[#This Row],[Investor ID]]),LS[Unique Code],0),0)),0)</f>
        <v>0</v>
      </c>
      <c r="W132" s="10">
        <f>IF(LS[[#This Row],[BO Transfer]]="YES",LS[[#This Row],[Unit]],)</f>
        <v>0</v>
      </c>
      <c r="X132" s="3">
        <f>SUMIFS(LS[[#Headers],[BO UNIT TRANSFER]]:LS[[#This Row],[BO UNIT TRANSFER]],LS[[#Headers],[Investor ID]]:LS[[#This Row],[Investor ID]],LS[[#This Row],[Investor ID]])</f>
        <v>0</v>
      </c>
    </row>
    <row r="133" spans="2:24">
      <c r="B133" s="8">
        <v>2022</v>
      </c>
      <c r="C133" s="8">
        <v>1</v>
      </c>
      <c r="D133" s="8">
        <v>31</v>
      </c>
      <c r="E133" s="291">
        <f>DATE(LS[[#This Row],[Year]],LS[[#This Row],[Month]],LS[[#This Row],[Day]])</f>
        <v>44592</v>
      </c>
      <c r="F133" t="str" cm="1">
        <f t="array" ref="F133">INDEX(INVESTORS_LIST[INVESTOR NAME],MATCH(LS[[#This Row],[Investor ID]],INVESTORS_LIST[INVESTOR CODE],0),)</f>
        <v>MOHAMMAD YASEEN</v>
      </c>
      <c r="G133" s="19" t="s">
        <v>671</v>
      </c>
      <c r="H133" s="8">
        <f>COUNTIF(LS[[#Headers],[Investor ID]]:LS[[#This Row],[Investor ID]],LS[[#This Row],[Investor ID]])</f>
        <v>1</v>
      </c>
      <c r="I133" s="8" t="str">
        <f>CONCATENATE(LS[[#This Row],[Frequency]],LS[[#This Row],[Investor ID]])</f>
        <v>1A00362</v>
      </c>
      <c r="J133" s="8" t="str">
        <f>IF(LS[[#This Row],[B/S]]="B","BUY",(IF(LS[[#This Row],[B/S]]="S","SELL"," ")))</f>
        <v>BUY</v>
      </c>
      <c r="K133" s="8" t="s">
        <v>301</v>
      </c>
      <c r="L133" s="10">
        <v>20000</v>
      </c>
      <c r="M133" s="10"/>
      <c r="N133" s="168">
        <f>LS[[#This Row],[Amount]]/LS[[#This Row],[Unit]]</f>
        <v>10</v>
      </c>
      <c r="O133" s="11">
        <f t="shared" si="4"/>
        <v>2000</v>
      </c>
      <c r="P133" s="11">
        <f>SUMIFS(LS[[#Headers],[Unit]]:LS[[#This Row],[Unit]],LS[[#Headers],[Investor ID]]:LS[[#This Row],[Investor ID]],LS[[#This Row],[Investor ID]])</f>
        <v>2000</v>
      </c>
      <c r="Q133" s="10">
        <v>20000</v>
      </c>
      <c r="R133" s="6">
        <f>LS[[#This Row],[Amount]]-LS[[#This Row],[Unit Capital]]</f>
        <v>0</v>
      </c>
      <c r="S13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33" s="168">
        <f t="shared" si="5"/>
        <v>12.552</v>
      </c>
      <c r="U13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33" s="10" cm="1">
        <f t="array" ref="V133">IF(LS[[#This Row],[B/S]]="S",ABS(LS[[#This Row],[Unit]])*(INDEX(LS[NAV at Cost (Average)],MATCH(CONCATENATE((LS[[#This Row],[Frequency]]-1),LS[[#This Row],[Investor ID]]),LS[Unique Code],0),0)),0)</f>
        <v>0</v>
      </c>
      <c r="W133" s="10">
        <f>IF(LS[[#This Row],[BO Transfer]]="YES",LS[[#This Row],[Unit]],)</f>
        <v>0</v>
      </c>
      <c r="X133" s="3">
        <f>SUMIFS(LS[[#Headers],[BO UNIT TRANSFER]]:LS[[#This Row],[BO UNIT TRANSFER]],LS[[#Headers],[Investor ID]]:LS[[#This Row],[Investor ID]],LS[[#This Row],[Investor ID]])</f>
        <v>0</v>
      </c>
    </row>
    <row r="134" spans="2:24">
      <c r="B134" s="8">
        <v>2022</v>
      </c>
      <c r="C134" s="8">
        <v>1</v>
      </c>
      <c r="D134" s="8">
        <v>31</v>
      </c>
      <c r="E134" s="291">
        <f>DATE(LS[[#This Row],[Year]],LS[[#This Row],[Month]],LS[[#This Row],[Day]])</f>
        <v>44592</v>
      </c>
      <c r="F134" t="str" cm="1">
        <f t="array" ref="F134">INDEX(INVESTORS_LIST[INVESTOR NAME],MATCH(LS[[#This Row],[Investor ID]],INVESTORS_LIST[INVESTOR CODE],0),)</f>
        <v>MD. TARIF AZAD KHAN</v>
      </c>
      <c r="G134" s="19" t="s">
        <v>673</v>
      </c>
      <c r="H134" s="8">
        <f>COUNTIF(LS[[#Headers],[Investor ID]]:LS[[#This Row],[Investor ID]],LS[[#This Row],[Investor ID]])</f>
        <v>1</v>
      </c>
      <c r="I134" s="8" t="str">
        <f>CONCATENATE(LS[[#This Row],[Frequency]],LS[[#This Row],[Investor ID]])</f>
        <v>1A00363</v>
      </c>
      <c r="J134" s="8" t="str">
        <f>IF(LS[[#This Row],[B/S]]="B","BUY",(IF(LS[[#This Row],[B/S]]="S","SELL"," ")))</f>
        <v>BUY</v>
      </c>
      <c r="K134" s="8" t="s">
        <v>301</v>
      </c>
      <c r="L134" s="10">
        <v>20000</v>
      </c>
      <c r="M134" s="10"/>
      <c r="N134" s="168">
        <f>LS[[#This Row],[Amount]]/LS[[#This Row],[Unit]]</f>
        <v>10</v>
      </c>
      <c r="O134" s="11">
        <f t="shared" si="4"/>
        <v>2000</v>
      </c>
      <c r="P134" s="11">
        <f>SUMIFS(LS[[#Headers],[Unit]]:LS[[#This Row],[Unit]],LS[[#Headers],[Investor ID]]:LS[[#This Row],[Investor ID]],LS[[#This Row],[Investor ID]])</f>
        <v>2000</v>
      </c>
      <c r="Q134" s="10">
        <v>20000</v>
      </c>
      <c r="R134" s="6">
        <f>LS[[#This Row],[Amount]]-LS[[#This Row],[Unit Capital]]</f>
        <v>0</v>
      </c>
      <c r="S13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34" s="168">
        <f t="shared" si="5"/>
        <v>12.552</v>
      </c>
      <c r="U13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34" s="10" cm="1">
        <f t="array" ref="V134">IF(LS[[#This Row],[B/S]]="S",ABS(LS[[#This Row],[Unit]])*(INDEX(LS[NAV at Cost (Average)],MATCH(CONCATENATE((LS[[#This Row],[Frequency]]-1),LS[[#This Row],[Investor ID]]),LS[Unique Code],0),0)),0)</f>
        <v>0</v>
      </c>
      <c r="W134" s="10">
        <f>IF(LS[[#This Row],[BO Transfer]]="YES",LS[[#This Row],[Unit]],)</f>
        <v>0</v>
      </c>
      <c r="X134" s="3">
        <f>SUMIFS(LS[[#Headers],[BO UNIT TRANSFER]]:LS[[#This Row],[BO UNIT TRANSFER]],LS[[#Headers],[Investor ID]]:LS[[#This Row],[Investor ID]],LS[[#This Row],[Investor ID]])</f>
        <v>0</v>
      </c>
    </row>
    <row r="135" spans="2:24">
      <c r="B135" s="8">
        <v>2022</v>
      </c>
      <c r="C135" s="8">
        <v>1</v>
      </c>
      <c r="D135" s="8">
        <v>31</v>
      </c>
      <c r="E135" s="291">
        <f>DATE(LS[[#This Row],[Year]],LS[[#This Row],[Month]],LS[[#This Row],[Day]])</f>
        <v>44592</v>
      </c>
      <c r="F135" t="str" cm="1">
        <f t="array" ref="F135">INDEX(INVESTORS_LIST[INVESTOR NAME],MATCH(LS[[#This Row],[Investor ID]],INVESTORS_LIST[INVESTOR CODE],0),)</f>
        <v>MD. AZHARUL KARIM</v>
      </c>
      <c r="G135" s="19" t="s">
        <v>675</v>
      </c>
      <c r="H135" s="8">
        <f>COUNTIF(LS[[#Headers],[Investor ID]]:LS[[#This Row],[Investor ID]],LS[[#This Row],[Investor ID]])</f>
        <v>1</v>
      </c>
      <c r="I135" s="8" t="str">
        <f>CONCATENATE(LS[[#This Row],[Frequency]],LS[[#This Row],[Investor ID]])</f>
        <v>1A00364</v>
      </c>
      <c r="J135" s="8" t="str">
        <f>IF(LS[[#This Row],[B/S]]="B","BUY",(IF(LS[[#This Row],[B/S]]="S","SELL"," ")))</f>
        <v>BUY</v>
      </c>
      <c r="K135" s="8" t="s">
        <v>301</v>
      </c>
      <c r="L135" s="10">
        <v>20000</v>
      </c>
      <c r="M135" s="10"/>
      <c r="N135" s="168">
        <f>LS[[#This Row],[Amount]]/LS[[#This Row],[Unit]]</f>
        <v>10</v>
      </c>
      <c r="O135" s="11">
        <f t="shared" si="4"/>
        <v>2000</v>
      </c>
      <c r="P135" s="11">
        <f>SUMIFS(LS[[#Headers],[Unit]]:LS[[#This Row],[Unit]],LS[[#Headers],[Investor ID]]:LS[[#This Row],[Investor ID]],LS[[#This Row],[Investor ID]])</f>
        <v>2000</v>
      </c>
      <c r="Q135" s="10">
        <v>20000</v>
      </c>
      <c r="R135" s="6">
        <f>LS[[#This Row],[Amount]]-LS[[#This Row],[Unit Capital]]</f>
        <v>0</v>
      </c>
      <c r="S13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35" s="168">
        <f t="shared" si="5"/>
        <v>12.552</v>
      </c>
      <c r="U13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35" s="10" cm="1">
        <f t="array" ref="V135">IF(LS[[#This Row],[B/S]]="S",ABS(LS[[#This Row],[Unit]])*(INDEX(LS[NAV at Cost (Average)],MATCH(CONCATENATE((LS[[#This Row],[Frequency]]-1),LS[[#This Row],[Investor ID]]),LS[Unique Code],0),0)),0)</f>
        <v>0</v>
      </c>
      <c r="W135" s="10">
        <f>IF(LS[[#This Row],[BO Transfer]]="YES",LS[[#This Row],[Unit]],)</f>
        <v>0</v>
      </c>
      <c r="X135" s="3">
        <f>SUMIFS(LS[[#Headers],[BO UNIT TRANSFER]]:LS[[#This Row],[BO UNIT TRANSFER]],LS[[#Headers],[Investor ID]]:LS[[#This Row],[Investor ID]],LS[[#This Row],[Investor ID]])</f>
        <v>0</v>
      </c>
    </row>
    <row r="136" spans="2:24">
      <c r="B136" s="8">
        <v>2022</v>
      </c>
      <c r="C136" s="8">
        <v>1</v>
      </c>
      <c r="D136" s="8">
        <v>31</v>
      </c>
      <c r="E136" s="291">
        <f>DATE(LS[[#This Row],[Year]],LS[[#This Row],[Month]],LS[[#This Row],[Day]])</f>
        <v>44592</v>
      </c>
      <c r="F136" t="str" cm="1">
        <f t="array" ref="F136">INDEX(INVESTORS_LIST[INVESTOR NAME],MATCH(LS[[#This Row],[Investor ID]],INVESTORS_LIST[INVESTOR CODE],0),)</f>
        <v>MUNTASIR MAHMUD RAHMAN</v>
      </c>
      <c r="G136" s="19" t="s">
        <v>573</v>
      </c>
      <c r="H136" s="8">
        <f>COUNTIF(LS[[#Headers],[Investor ID]]:LS[[#This Row],[Investor ID]],LS[[#This Row],[Investor ID]])</f>
        <v>1</v>
      </c>
      <c r="I136" s="8" t="str">
        <f>CONCATENATE(LS[[#This Row],[Frequency]],LS[[#This Row],[Investor ID]])</f>
        <v>1A00323</v>
      </c>
      <c r="J136" s="8" t="str">
        <f>IF(LS[[#This Row],[B/S]]="B","BUY",(IF(LS[[#This Row],[B/S]]="S","SELL"," ")))</f>
        <v>BUY</v>
      </c>
      <c r="K136" s="8" t="s">
        <v>301</v>
      </c>
      <c r="L136" s="10">
        <v>150000</v>
      </c>
      <c r="M136" s="10"/>
      <c r="N136" s="168">
        <f>LS[[#This Row],[Amount]]/LS[[#This Row],[Unit]]</f>
        <v>10</v>
      </c>
      <c r="O136" s="11">
        <f t="shared" si="4"/>
        <v>15000</v>
      </c>
      <c r="P136" s="11">
        <f>SUMIFS(LS[[#Headers],[Unit]]:LS[[#This Row],[Unit]],LS[[#Headers],[Investor ID]]:LS[[#This Row],[Investor ID]],LS[[#This Row],[Investor ID]])</f>
        <v>15000</v>
      </c>
      <c r="Q136" s="10">
        <v>150000</v>
      </c>
      <c r="R136" s="6">
        <f>LS[[#This Row],[Amount]]-LS[[#This Row],[Unit Capital]]</f>
        <v>0</v>
      </c>
      <c r="S13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36" s="168">
        <f t="shared" si="5"/>
        <v>12.552</v>
      </c>
      <c r="U13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36" s="10" cm="1">
        <f t="array" ref="V136">IF(LS[[#This Row],[B/S]]="S",ABS(LS[[#This Row],[Unit]])*(INDEX(LS[NAV at Cost (Average)],MATCH(CONCATENATE((LS[[#This Row],[Frequency]]-1),LS[[#This Row],[Investor ID]]),LS[Unique Code],0),0)),0)</f>
        <v>0</v>
      </c>
      <c r="W136" s="10">
        <f>IF(LS[[#This Row],[BO Transfer]]="YES",LS[[#This Row],[Unit]],)</f>
        <v>0</v>
      </c>
      <c r="X136" s="3">
        <f>SUMIFS(LS[[#Headers],[BO UNIT TRANSFER]]:LS[[#This Row],[BO UNIT TRANSFER]],LS[[#Headers],[Investor ID]]:LS[[#This Row],[Investor ID]],LS[[#This Row],[Investor ID]])</f>
        <v>0</v>
      </c>
    </row>
    <row r="137" spans="2:24">
      <c r="B137" s="8">
        <v>2022</v>
      </c>
      <c r="C137" s="8">
        <v>1</v>
      </c>
      <c r="D137" s="8">
        <v>31</v>
      </c>
      <c r="E137" s="291">
        <f>DATE(LS[[#This Row],[Year]],LS[[#This Row],[Month]],LS[[#This Row],[Day]])</f>
        <v>44592</v>
      </c>
      <c r="F137" t="str" cm="1">
        <f t="array" ref="F137">INDEX(INVESTORS_LIST[INVESTOR NAME],MATCH(LS[[#This Row],[Investor ID]],INVESTORS_LIST[INVESTOR CODE],0),)</f>
        <v>MOHAMMAD SAYDUZZAMAN</v>
      </c>
      <c r="G137" s="19" t="s">
        <v>84</v>
      </c>
      <c r="H137" s="8">
        <f>COUNTIF(LS[[#Headers],[Investor ID]]:LS[[#This Row],[Investor ID]],LS[[#This Row],[Investor ID]])</f>
        <v>1</v>
      </c>
      <c r="I137" s="8" t="str">
        <f>CONCATENATE(LS[[#This Row],[Frequency]],LS[[#This Row],[Investor ID]])</f>
        <v>1A00076</v>
      </c>
      <c r="J137" s="8" t="str">
        <f>IF(LS[[#This Row],[B/S]]="B","BUY",(IF(LS[[#This Row],[B/S]]="S","SELL"," ")))</f>
        <v>BUY</v>
      </c>
      <c r="K137" s="8" t="s">
        <v>301</v>
      </c>
      <c r="L137" s="10">
        <v>300000</v>
      </c>
      <c r="M137" s="10"/>
      <c r="N137" s="168">
        <f>LS[[#This Row],[Amount]]/LS[[#This Row],[Unit]]</f>
        <v>10</v>
      </c>
      <c r="O137" s="11">
        <f t="shared" si="4"/>
        <v>30000</v>
      </c>
      <c r="P137" s="11">
        <f>SUMIFS(LS[[#Headers],[Unit]]:LS[[#This Row],[Unit]],LS[[#Headers],[Investor ID]]:LS[[#This Row],[Investor ID]],LS[[#This Row],[Investor ID]])</f>
        <v>30000</v>
      </c>
      <c r="Q137" s="10">
        <v>300000</v>
      </c>
      <c r="R137" s="6">
        <f>LS[[#This Row],[Amount]]-LS[[#This Row],[Unit Capital]]</f>
        <v>0</v>
      </c>
      <c r="S13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37" s="168">
        <f t="shared" si="5"/>
        <v>12.552</v>
      </c>
      <c r="U13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37" s="10" cm="1">
        <f t="array" ref="V137">IF(LS[[#This Row],[B/S]]="S",ABS(LS[[#This Row],[Unit]])*(INDEX(LS[NAV at Cost (Average)],MATCH(CONCATENATE((LS[[#This Row],[Frequency]]-1),LS[[#This Row],[Investor ID]]),LS[Unique Code],0),0)),0)</f>
        <v>0</v>
      </c>
      <c r="W137" s="10">
        <f>IF(LS[[#This Row],[BO Transfer]]="YES",LS[[#This Row],[Unit]],)</f>
        <v>0</v>
      </c>
      <c r="X137" s="3">
        <f>SUMIFS(LS[[#Headers],[BO UNIT TRANSFER]]:LS[[#This Row],[BO UNIT TRANSFER]],LS[[#Headers],[Investor ID]]:LS[[#This Row],[Investor ID]],LS[[#This Row],[Investor ID]])</f>
        <v>0</v>
      </c>
    </row>
    <row r="138" spans="2:24">
      <c r="B138" s="8">
        <v>2022</v>
      </c>
      <c r="C138" s="8">
        <v>1</v>
      </c>
      <c r="D138" s="8">
        <v>31</v>
      </c>
      <c r="E138" s="291">
        <f>DATE(LS[[#This Row],[Year]],LS[[#This Row],[Month]],LS[[#This Row],[Day]])</f>
        <v>44592</v>
      </c>
      <c r="F138" t="str" cm="1">
        <f t="array" ref="F138">INDEX(INVESTORS_LIST[INVESTOR NAME],MATCH(LS[[#This Row],[Investor ID]],INVESTORS_LIST[INVESTOR CODE],0),)</f>
        <v>FAISAL BIN MALEQUE</v>
      </c>
      <c r="G138" s="19" t="s">
        <v>608</v>
      </c>
      <c r="H138" s="8">
        <f>COUNTIF(LS[[#Headers],[Investor ID]]:LS[[#This Row],[Investor ID]],LS[[#This Row],[Investor ID]])</f>
        <v>1</v>
      </c>
      <c r="I138" s="8" t="str">
        <f>CONCATENATE(LS[[#This Row],[Frequency]],LS[[#This Row],[Investor ID]])</f>
        <v>1A00342</v>
      </c>
      <c r="J138" s="8" t="str">
        <f>IF(LS[[#This Row],[B/S]]="B","BUY",(IF(LS[[#This Row],[B/S]]="S","SELL"," ")))</f>
        <v>BUY</v>
      </c>
      <c r="K138" s="8" t="s">
        <v>301</v>
      </c>
      <c r="L138" s="10">
        <v>500000</v>
      </c>
      <c r="M138" s="10"/>
      <c r="N138" s="168">
        <f>LS[[#This Row],[Amount]]/LS[[#This Row],[Unit]]</f>
        <v>10</v>
      </c>
      <c r="O138" s="11">
        <f t="shared" si="4"/>
        <v>50000</v>
      </c>
      <c r="P138" s="11">
        <f>SUMIFS(LS[[#Headers],[Unit]]:LS[[#This Row],[Unit]],LS[[#Headers],[Investor ID]]:LS[[#This Row],[Investor ID]],LS[[#This Row],[Investor ID]])</f>
        <v>50000</v>
      </c>
      <c r="Q138" s="10">
        <v>500000</v>
      </c>
      <c r="R138" s="6">
        <f>LS[[#This Row],[Amount]]-LS[[#This Row],[Unit Capital]]</f>
        <v>0</v>
      </c>
      <c r="S13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38" s="168">
        <f t="shared" si="5"/>
        <v>12.552</v>
      </c>
      <c r="U13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38" s="10" cm="1">
        <f t="array" ref="V138">IF(LS[[#This Row],[B/S]]="S",ABS(LS[[#This Row],[Unit]])*(INDEX(LS[NAV at Cost (Average)],MATCH(CONCATENATE((LS[[#This Row],[Frequency]]-1),LS[[#This Row],[Investor ID]]),LS[Unique Code],0),0)),0)</f>
        <v>0</v>
      </c>
      <c r="W138" s="10">
        <f>IF(LS[[#This Row],[BO Transfer]]="YES",LS[[#This Row],[Unit]],)</f>
        <v>0</v>
      </c>
      <c r="X138" s="3">
        <f>SUMIFS(LS[[#Headers],[BO UNIT TRANSFER]]:LS[[#This Row],[BO UNIT TRANSFER]],LS[[#Headers],[Investor ID]]:LS[[#This Row],[Investor ID]],LS[[#This Row],[Investor ID]])</f>
        <v>0</v>
      </c>
    </row>
    <row r="139" spans="2:24">
      <c r="B139" s="8">
        <v>2022</v>
      </c>
      <c r="C139" s="8">
        <v>1</v>
      </c>
      <c r="D139" s="8">
        <v>31</v>
      </c>
      <c r="E139" s="291">
        <f>DATE(LS[[#This Row],[Year]],LS[[#This Row],[Month]],LS[[#This Row],[Day]])</f>
        <v>44592</v>
      </c>
      <c r="F139" t="str" cm="1">
        <f t="array" ref="F139">INDEX(INVESTORS_LIST[INVESTOR NAME],MATCH(LS[[#This Row],[Investor ID]],INVESTORS_LIST[INVESTOR CODE],0),)</f>
        <v>PRATIMA DEV</v>
      </c>
      <c r="G139" s="19" t="s">
        <v>35</v>
      </c>
      <c r="H139" s="8">
        <f>COUNTIF(LS[[#Headers],[Investor ID]]:LS[[#This Row],[Investor ID]],LS[[#This Row],[Investor ID]])</f>
        <v>1</v>
      </c>
      <c r="I139" s="8" t="str">
        <f>CONCATENATE(LS[[#This Row],[Frequency]],LS[[#This Row],[Investor ID]])</f>
        <v>1A00028</v>
      </c>
      <c r="J139" s="8" t="str">
        <f>IF(LS[[#This Row],[B/S]]="B","BUY",(IF(LS[[#This Row],[B/S]]="S","SELL"," ")))</f>
        <v>BUY</v>
      </c>
      <c r="K139" s="8" t="s">
        <v>301</v>
      </c>
      <c r="L139" s="10">
        <v>1000000</v>
      </c>
      <c r="M139" s="10"/>
      <c r="N139" s="168">
        <f>LS[[#This Row],[Amount]]/LS[[#This Row],[Unit]]</f>
        <v>10</v>
      </c>
      <c r="O139" s="11">
        <f t="shared" si="4"/>
        <v>100000</v>
      </c>
      <c r="P139" s="11">
        <f>SUMIFS(LS[[#Headers],[Unit]]:LS[[#This Row],[Unit]],LS[[#Headers],[Investor ID]]:LS[[#This Row],[Investor ID]],LS[[#This Row],[Investor ID]])</f>
        <v>100000</v>
      </c>
      <c r="Q139" s="10">
        <v>1000000</v>
      </c>
      <c r="R139" s="6">
        <f>LS[[#This Row],[Amount]]-LS[[#This Row],[Unit Capital]]</f>
        <v>0</v>
      </c>
      <c r="S13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39" s="168">
        <f t="shared" si="5"/>
        <v>12.552</v>
      </c>
      <c r="U13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39" s="10" cm="1">
        <f t="array" ref="V139">IF(LS[[#This Row],[B/S]]="S",ABS(LS[[#This Row],[Unit]])*(INDEX(LS[NAV at Cost (Average)],MATCH(CONCATENATE((LS[[#This Row],[Frequency]]-1),LS[[#This Row],[Investor ID]]),LS[Unique Code],0),0)),0)</f>
        <v>0</v>
      </c>
      <c r="W139" s="10">
        <f>IF(LS[[#This Row],[BO Transfer]]="YES",LS[[#This Row],[Unit]],)</f>
        <v>0</v>
      </c>
      <c r="X139" s="3">
        <f>SUMIFS(LS[[#Headers],[BO UNIT TRANSFER]]:LS[[#This Row],[BO UNIT TRANSFER]],LS[[#Headers],[Investor ID]]:LS[[#This Row],[Investor ID]],LS[[#This Row],[Investor ID]])</f>
        <v>0</v>
      </c>
    </row>
    <row r="140" spans="2:24">
      <c r="B140" s="8">
        <v>2022</v>
      </c>
      <c r="C140" s="8">
        <v>2</v>
      </c>
      <c r="D140" s="8">
        <v>1</v>
      </c>
      <c r="E140" s="291">
        <f>DATE(LS[[#This Row],[Year]],LS[[#This Row],[Month]],LS[[#This Row],[Day]])</f>
        <v>44593</v>
      </c>
      <c r="F140" t="str" cm="1">
        <f t="array" ref="F140">INDEX(INVESTORS_LIST[INVESTOR NAME],MATCH(LS[[#This Row],[Investor ID]],INVESTORS_LIST[INVESTOR CODE],0),)</f>
        <v>MOHAMMED ZAHID HOSSAIN</v>
      </c>
      <c r="G140" s="19" t="s">
        <v>602</v>
      </c>
      <c r="H140" s="8">
        <f>COUNTIF(LS[[#Headers],[Investor ID]]:LS[[#This Row],[Investor ID]],LS[[#This Row],[Investor ID]])</f>
        <v>1</v>
      </c>
      <c r="I140" s="8" t="str">
        <f>CONCATENATE(LS[[#This Row],[Frequency]],LS[[#This Row],[Investor ID]])</f>
        <v>1A00338</v>
      </c>
      <c r="J140" s="8" t="str">
        <f>IF(LS[[#This Row],[B/S]]="B","BUY",(IF(LS[[#This Row],[B/S]]="S","SELL"," ")))</f>
        <v>BUY</v>
      </c>
      <c r="K140" s="8" t="s">
        <v>301</v>
      </c>
      <c r="L140" s="10">
        <v>100000</v>
      </c>
      <c r="M140" s="10"/>
      <c r="N140" s="168">
        <f>LS[[#This Row],[Amount]]/LS[[#This Row],[Unit]]</f>
        <v>10</v>
      </c>
      <c r="O140" s="11">
        <f t="shared" si="4"/>
        <v>10000</v>
      </c>
      <c r="P140" s="11">
        <f>SUMIFS(LS[[#Headers],[Unit]]:LS[[#This Row],[Unit]],LS[[#Headers],[Investor ID]]:LS[[#This Row],[Investor ID]],LS[[#This Row],[Investor ID]])</f>
        <v>10000</v>
      </c>
      <c r="Q140" s="10">
        <v>100000</v>
      </c>
      <c r="R140" s="6">
        <f>LS[[#This Row],[Amount]]-LS[[#This Row],[Unit Capital]]</f>
        <v>0</v>
      </c>
      <c r="S14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40" s="168">
        <f t="shared" si="5"/>
        <v>12.552</v>
      </c>
      <c r="U14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40" s="10" cm="1">
        <f t="array" ref="V140">IF(LS[[#This Row],[B/S]]="S",ABS(LS[[#This Row],[Unit]])*(INDEX(LS[NAV at Cost (Average)],MATCH(CONCATENATE((LS[[#This Row],[Frequency]]-1),LS[[#This Row],[Investor ID]]),LS[Unique Code],0),0)),0)</f>
        <v>0</v>
      </c>
      <c r="W140" s="10">
        <f>IF(LS[[#This Row],[BO Transfer]]="YES",LS[[#This Row],[Unit]],)</f>
        <v>0</v>
      </c>
      <c r="X140" s="3">
        <f>SUMIFS(LS[[#Headers],[BO UNIT TRANSFER]]:LS[[#This Row],[BO UNIT TRANSFER]],LS[[#Headers],[Investor ID]]:LS[[#This Row],[Investor ID]],LS[[#This Row],[Investor ID]])</f>
        <v>0</v>
      </c>
    </row>
    <row r="141" spans="2:24">
      <c r="B141" s="8">
        <v>2022</v>
      </c>
      <c r="C141" s="8">
        <v>2</v>
      </c>
      <c r="D141" s="8">
        <v>1</v>
      </c>
      <c r="E141" s="291">
        <f>DATE(LS[[#This Row],[Year]],LS[[#This Row],[Month]],LS[[#This Row],[Day]])</f>
        <v>44593</v>
      </c>
      <c r="F141" t="str" cm="1">
        <f t="array" ref="F141">INDEX(INVESTORS_LIST[INVESTOR NAME],MATCH(LS[[#This Row],[Investor ID]],INVESTORS_LIST[INVESTOR CODE],0),)</f>
        <v>FAIYEAD AHMEDUL HYE</v>
      </c>
      <c r="G141" s="19" t="s">
        <v>193</v>
      </c>
      <c r="H141" s="8">
        <f>COUNTIF(LS[[#Headers],[Investor ID]]:LS[[#This Row],[Investor ID]],LS[[#This Row],[Investor ID]])</f>
        <v>2</v>
      </c>
      <c r="I141" s="8" t="str">
        <f>CONCATENATE(LS[[#This Row],[Frequency]],LS[[#This Row],[Investor ID]])</f>
        <v>2A00160</v>
      </c>
      <c r="J141" s="8" t="str">
        <f>IF(LS[[#This Row],[B/S]]="B","BUY",(IF(LS[[#This Row],[B/S]]="S","SELL"," ")))</f>
        <v>BUY</v>
      </c>
      <c r="K141" s="8" t="s">
        <v>301</v>
      </c>
      <c r="L141" s="10">
        <v>50000</v>
      </c>
      <c r="M141" s="10"/>
      <c r="N141" s="168">
        <f>LS[[#This Row],[Amount]]/LS[[#This Row],[Unit]]</f>
        <v>10</v>
      </c>
      <c r="O141" s="11">
        <f t="shared" si="4"/>
        <v>5000</v>
      </c>
      <c r="P141" s="11">
        <f>SUMIFS(LS[[#Headers],[Unit]]:LS[[#This Row],[Unit]],LS[[#Headers],[Investor ID]]:LS[[#This Row],[Investor ID]],LS[[#This Row],[Investor ID]])</f>
        <v>10000</v>
      </c>
      <c r="Q141" s="10">
        <v>50000</v>
      </c>
      <c r="R141" s="6">
        <f>LS[[#This Row],[Amount]]-LS[[#This Row],[Unit Capital]]</f>
        <v>0</v>
      </c>
      <c r="S14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41" s="168">
        <f t="shared" si="5"/>
        <v>12.552</v>
      </c>
      <c r="U14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41" s="10" cm="1">
        <f t="array" ref="V141">IF(LS[[#This Row],[B/S]]="S",ABS(LS[[#This Row],[Unit]])*(INDEX(LS[NAV at Cost (Average)],MATCH(CONCATENATE((LS[[#This Row],[Frequency]]-1),LS[[#This Row],[Investor ID]]),LS[Unique Code],0),0)),0)</f>
        <v>0</v>
      </c>
      <c r="W141" s="10">
        <f>IF(LS[[#This Row],[BO Transfer]]="YES",LS[[#This Row],[Unit]],)</f>
        <v>0</v>
      </c>
      <c r="X141" s="3">
        <f>SUMIFS(LS[[#Headers],[BO UNIT TRANSFER]]:LS[[#This Row],[BO UNIT TRANSFER]],LS[[#Headers],[Investor ID]]:LS[[#This Row],[Investor ID]],LS[[#This Row],[Investor ID]])</f>
        <v>0</v>
      </c>
    </row>
    <row r="142" spans="2:24">
      <c r="B142" s="8">
        <v>2022</v>
      </c>
      <c r="C142" s="8">
        <v>2</v>
      </c>
      <c r="D142" s="8">
        <v>1</v>
      </c>
      <c r="E142" s="291">
        <f>DATE(LS[[#This Row],[Year]],LS[[#This Row],[Month]],LS[[#This Row],[Day]])</f>
        <v>44593</v>
      </c>
      <c r="F142" t="str" cm="1">
        <f t="array" ref="F142">INDEX(INVESTORS_LIST[INVESTOR NAME],MATCH(LS[[#This Row],[Investor ID]],INVESTORS_LIST[INVESTOR CODE],0),)</f>
        <v>COMMUNITY BANK BANGLADESH LIMITED</v>
      </c>
      <c r="G142" s="19" t="s">
        <v>89</v>
      </c>
      <c r="H142" s="8">
        <f>COUNTIF(LS[[#Headers],[Investor ID]]:LS[[#This Row],[Investor ID]],LS[[#This Row],[Investor ID]])</f>
        <v>1</v>
      </c>
      <c r="I142" s="8" t="str">
        <f>CONCATENATE(LS[[#This Row],[Frequency]],LS[[#This Row],[Investor ID]])</f>
        <v>1A00081</v>
      </c>
      <c r="J142" s="8" t="str">
        <f>IF(LS[[#This Row],[B/S]]="B","BUY",(IF(LS[[#This Row],[B/S]]="S","SELL"," ")))</f>
        <v>BUY</v>
      </c>
      <c r="K142" s="8" t="s">
        <v>301</v>
      </c>
      <c r="L142" s="10">
        <v>10000000</v>
      </c>
      <c r="M142" s="10"/>
      <c r="N142" s="168">
        <f>LS[[#This Row],[Amount]]/LS[[#This Row],[Unit]]</f>
        <v>10</v>
      </c>
      <c r="O142" s="11">
        <f t="shared" si="4"/>
        <v>1000000</v>
      </c>
      <c r="P142" s="11">
        <f>SUMIFS(LS[[#Headers],[Unit]]:LS[[#This Row],[Unit]],LS[[#Headers],[Investor ID]]:LS[[#This Row],[Investor ID]],LS[[#This Row],[Investor ID]])</f>
        <v>1000000</v>
      </c>
      <c r="Q142" s="10">
        <v>10000000</v>
      </c>
      <c r="R142" s="6">
        <f>LS[[#This Row],[Amount]]-LS[[#This Row],[Unit Capital]]</f>
        <v>0</v>
      </c>
      <c r="S14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42" s="168">
        <f t="shared" si="5"/>
        <v>12.552</v>
      </c>
      <c r="U14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42" s="10" cm="1">
        <f t="array" ref="V142">IF(LS[[#This Row],[B/S]]="S",ABS(LS[[#This Row],[Unit]])*(INDEX(LS[NAV at Cost (Average)],MATCH(CONCATENATE((LS[[#This Row],[Frequency]]-1),LS[[#This Row],[Investor ID]]),LS[Unique Code],0),0)),0)</f>
        <v>0</v>
      </c>
      <c r="W142" s="10">
        <f>IF(LS[[#This Row],[BO Transfer]]="YES",LS[[#This Row],[Unit]],)</f>
        <v>0</v>
      </c>
      <c r="X142" s="3">
        <f>SUMIFS(LS[[#Headers],[BO UNIT TRANSFER]]:LS[[#This Row],[BO UNIT TRANSFER]],LS[[#Headers],[Investor ID]]:LS[[#This Row],[Investor ID]],LS[[#This Row],[Investor ID]])</f>
        <v>0</v>
      </c>
    </row>
    <row r="143" spans="2:24">
      <c r="B143" s="8">
        <v>2022</v>
      </c>
      <c r="C143" s="8">
        <v>2</v>
      </c>
      <c r="D143" s="8">
        <v>1</v>
      </c>
      <c r="E143" s="291">
        <f>DATE(LS[[#This Row],[Year]],LS[[#This Row],[Month]],LS[[#This Row],[Day]])</f>
        <v>44593</v>
      </c>
      <c r="F143" t="str" cm="1">
        <f t="array" ref="F143">INDEX(INVESTORS_LIST[INVESTOR NAME],MATCH(LS[[#This Row],[Investor ID]],INVESTORS_LIST[INVESTOR CODE],0),)</f>
        <v>DHAKA IMPERIAL COLLEGE TEACHERS STAFF MULTIPURPOSE CO-OPERATIVE SOCIETY LTD.</v>
      </c>
      <c r="G143" s="19" t="s">
        <v>611</v>
      </c>
      <c r="H143" s="8">
        <f>COUNTIF(LS[[#Headers],[Investor ID]]:LS[[#This Row],[Investor ID]],LS[[#This Row],[Investor ID]])</f>
        <v>1</v>
      </c>
      <c r="I143" s="8" t="str">
        <f>CONCATENATE(LS[[#This Row],[Frequency]],LS[[#This Row],[Investor ID]])</f>
        <v>1A00344</v>
      </c>
      <c r="J143" s="8" t="str">
        <f>IF(LS[[#This Row],[B/S]]="B","BUY",(IF(LS[[#This Row],[B/S]]="S","SELL"," ")))</f>
        <v>BUY</v>
      </c>
      <c r="K143" s="8" t="s">
        <v>301</v>
      </c>
      <c r="L143" s="10">
        <v>500000</v>
      </c>
      <c r="M143" s="10"/>
      <c r="N143" s="168">
        <f>LS[[#This Row],[Amount]]/LS[[#This Row],[Unit]]</f>
        <v>10</v>
      </c>
      <c r="O143" s="11">
        <f t="shared" si="4"/>
        <v>50000</v>
      </c>
      <c r="P143" s="11">
        <f>SUMIFS(LS[[#Headers],[Unit]]:LS[[#This Row],[Unit]],LS[[#Headers],[Investor ID]]:LS[[#This Row],[Investor ID]],LS[[#This Row],[Investor ID]])</f>
        <v>50000</v>
      </c>
      <c r="Q143" s="10">
        <v>500000</v>
      </c>
      <c r="R143" s="6">
        <f>LS[[#This Row],[Amount]]-LS[[#This Row],[Unit Capital]]</f>
        <v>0</v>
      </c>
      <c r="S14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43" s="168">
        <f t="shared" si="5"/>
        <v>12.552</v>
      </c>
      <c r="U14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43" s="10" cm="1">
        <f t="array" ref="V143">IF(LS[[#This Row],[B/S]]="S",ABS(LS[[#This Row],[Unit]])*(INDEX(LS[NAV at Cost (Average)],MATCH(CONCATENATE((LS[[#This Row],[Frequency]]-1),LS[[#This Row],[Investor ID]]),LS[Unique Code],0),0)),0)</f>
        <v>0</v>
      </c>
      <c r="W143" s="10">
        <f>IF(LS[[#This Row],[BO Transfer]]="YES",LS[[#This Row],[Unit]],)</f>
        <v>0</v>
      </c>
      <c r="X143" s="3">
        <f>SUMIFS(LS[[#Headers],[BO UNIT TRANSFER]]:LS[[#This Row],[BO UNIT TRANSFER]],LS[[#Headers],[Investor ID]]:LS[[#This Row],[Investor ID]],LS[[#This Row],[Investor ID]])</f>
        <v>0</v>
      </c>
    </row>
    <row r="144" spans="2:24">
      <c r="B144" s="8">
        <v>2022</v>
      </c>
      <c r="C144" s="8">
        <v>2</v>
      </c>
      <c r="D144" s="8">
        <v>1</v>
      </c>
      <c r="E144" s="291">
        <f>DATE(LS[[#This Row],[Year]],LS[[#This Row],[Month]],LS[[#This Row],[Day]])</f>
        <v>44593</v>
      </c>
      <c r="F144" t="str" cm="1">
        <f t="array" ref="F144">INDEX(INVESTORS_LIST[INVESTOR NAME],MATCH(LS[[#This Row],[Investor ID]],INVESTORS_LIST[INVESTOR CODE],0),)</f>
        <v>CITY BROKERAGE LIMITED</v>
      </c>
      <c r="G144" s="19" t="s">
        <v>706</v>
      </c>
      <c r="H144" s="8">
        <f>COUNTIF(LS[[#Headers],[Investor ID]]:LS[[#This Row],[Investor ID]],LS[[#This Row],[Investor ID]])</f>
        <v>1</v>
      </c>
      <c r="I144" s="8" t="str">
        <f>CONCATENATE(LS[[#This Row],[Frequency]],LS[[#This Row],[Investor ID]])</f>
        <v>1A00380</v>
      </c>
      <c r="J144" s="8" t="str">
        <f>IF(LS[[#This Row],[B/S]]="B","BUY",(IF(LS[[#This Row],[B/S]]="S","SELL"," ")))</f>
        <v>BUY</v>
      </c>
      <c r="K144" s="8" t="s">
        <v>301</v>
      </c>
      <c r="L144" s="10">
        <v>2000000</v>
      </c>
      <c r="M144" s="10"/>
      <c r="N144" s="168">
        <f>LS[[#This Row],[Amount]]/LS[[#This Row],[Unit]]</f>
        <v>10</v>
      </c>
      <c r="O144" s="11">
        <f t="shared" si="4"/>
        <v>200000</v>
      </c>
      <c r="P144" s="11">
        <f>SUMIFS(LS[[#Headers],[Unit]]:LS[[#This Row],[Unit]],LS[[#Headers],[Investor ID]]:LS[[#This Row],[Investor ID]],LS[[#This Row],[Investor ID]])</f>
        <v>200000</v>
      </c>
      <c r="Q144" s="10">
        <v>2000000</v>
      </c>
      <c r="R144" s="6">
        <f>LS[[#This Row],[Amount]]-LS[[#This Row],[Unit Capital]]</f>
        <v>0</v>
      </c>
      <c r="S14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44" s="168">
        <f t="shared" si="5"/>
        <v>12.552</v>
      </c>
      <c r="U14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44" s="10" cm="1">
        <f t="array" ref="V144">IF(LS[[#This Row],[B/S]]="S",ABS(LS[[#This Row],[Unit]])*(INDEX(LS[NAV at Cost (Average)],MATCH(CONCATENATE((LS[[#This Row],[Frequency]]-1),LS[[#This Row],[Investor ID]]),LS[Unique Code],0),0)),0)</f>
        <v>0</v>
      </c>
      <c r="W144" s="10">
        <f>IF(LS[[#This Row],[BO Transfer]]="YES",LS[[#This Row],[Unit]],)</f>
        <v>0</v>
      </c>
      <c r="X144" s="3">
        <f>SUMIFS(LS[[#Headers],[BO UNIT TRANSFER]]:LS[[#This Row],[BO UNIT TRANSFER]],LS[[#Headers],[Investor ID]]:LS[[#This Row],[Investor ID]],LS[[#This Row],[Investor ID]])</f>
        <v>0</v>
      </c>
    </row>
    <row r="145" spans="1:25">
      <c r="B145" s="8">
        <v>2022</v>
      </c>
      <c r="C145" s="8">
        <v>2</v>
      </c>
      <c r="D145" s="8">
        <v>1</v>
      </c>
      <c r="E145" s="291">
        <f>DATE(LS[[#This Row],[Year]],LS[[#This Row],[Month]],LS[[#This Row],[Day]])</f>
        <v>44593</v>
      </c>
      <c r="F145" t="str" cm="1">
        <f t="array" ref="F145">INDEX(INVESTORS_LIST[INVESTOR NAME],MATCH(LS[[#This Row],[Investor ID]],INVESTORS_LIST[INVESTOR CODE],0),)</f>
        <v>MD. AL AMIN SARKER</v>
      </c>
      <c r="G145" s="19" t="s">
        <v>688</v>
      </c>
      <c r="H145" s="8">
        <f>COUNTIF(LS[[#Headers],[Investor ID]]:LS[[#This Row],[Investor ID]],LS[[#This Row],[Investor ID]])</f>
        <v>1</v>
      </c>
      <c r="I145" s="8" t="str">
        <f>CONCATENATE(LS[[#This Row],[Frequency]],LS[[#This Row],[Investor ID]])</f>
        <v>1A00371</v>
      </c>
      <c r="J145" s="8" t="str">
        <f>IF(LS[[#This Row],[B/S]]="B","BUY",(IF(LS[[#This Row],[B/S]]="S","SELL"," ")))</f>
        <v>BUY</v>
      </c>
      <c r="K145" s="8" t="s">
        <v>301</v>
      </c>
      <c r="L145" s="10">
        <v>600000</v>
      </c>
      <c r="M145" s="10"/>
      <c r="N145" s="168">
        <f>LS[[#This Row],[Amount]]/LS[[#This Row],[Unit]]</f>
        <v>10</v>
      </c>
      <c r="O145" s="11">
        <f t="shared" si="4"/>
        <v>60000</v>
      </c>
      <c r="P145" s="11">
        <f>SUMIFS(LS[[#Headers],[Unit]]:LS[[#This Row],[Unit]],LS[[#Headers],[Investor ID]]:LS[[#This Row],[Investor ID]],LS[[#This Row],[Investor ID]])</f>
        <v>60000</v>
      </c>
      <c r="Q145" s="10">
        <v>600000</v>
      </c>
      <c r="R145" s="6">
        <f>LS[[#This Row],[Amount]]-LS[[#This Row],[Unit Capital]]</f>
        <v>0</v>
      </c>
      <c r="S14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45" s="168">
        <f t="shared" si="5"/>
        <v>12.552</v>
      </c>
      <c r="U14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45" s="10" cm="1">
        <f t="array" ref="V145">IF(LS[[#This Row],[B/S]]="S",ABS(LS[[#This Row],[Unit]])*(INDEX(LS[NAV at Cost (Average)],MATCH(CONCATENATE((LS[[#This Row],[Frequency]]-1),LS[[#This Row],[Investor ID]]),LS[Unique Code],0),0)),0)</f>
        <v>0</v>
      </c>
      <c r="W145" s="10">
        <f>IF(LS[[#This Row],[BO Transfer]]="YES",LS[[#This Row],[Unit]],)</f>
        <v>0</v>
      </c>
      <c r="X145" s="3">
        <f>SUMIFS(LS[[#Headers],[BO UNIT TRANSFER]]:LS[[#This Row],[BO UNIT TRANSFER]],LS[[#Headers],[Investor ID]]:LS[[#This Row],[Investor ID]],LS[[#This Row],[Investor ID]])</f>
        <v>0</v>
      </c>
    </row>
    <row r="146" spans="1:25">
      <c r="A146" t="s">
        <v>302</v>
      </c>
      <c r="B146" s="8">
        <v>2022</v>
      </c>
      <c r="C146" s="8">
        <v>2</v>
      </c>
      <c r="D146" s="8">
        <v>1</v>
      </c>
      <c r="E146" s="291">
        <f>DATE(LS[[#This Row],[Year]],LS[[#This Row],[Month]],LS[[#This Row],[Day]])</f>
        <v>44593</v>
      </c>
      <c r="F146" t="str" cm="1">
        <f t="array" ref="F146">INDEX(INVESTORS_LIST[INVESTOR NAME],MATCH(LS[[#This Row],[Investor ID]],INVESTORS_LIST[INVESTOR CODE],0),)</f>
        <v>MD. SHAHIDUL ISLAM</v>
      </c>
      <c r="G146" s="19" t="s">
        <v>34</v>
      </c>
      <c r="H146" s="8">
        <f>COUNTIF(LS[[#Headers],[Investor ID]]:LS[[#This Row],[Investor ID]],LS[[#This Row],[Investor ID]])</f>
        <v>1</v>
      </c>
      <c r="I146" s="8" t="str">
        <f>CONCATENATE(LS[[#This Row],[Frequency]],LS[[#This Row],[Investor ID]])</f>
        <v>1A00027</v>
      </c>
      <c r="J146" s="8" t="str">
        <f>IF(LS[[#This Row],[B/S]]="B","BUY",(IF(LS[[#This Row],[B/S]]="S","SELL"," ")))</f>
        <v>BUY</v>
      </c>
      <c r="K146" s="8" t="s">
        <v>301</v>
      </c>
      <c r="L146" s="10">
        <v>2000000</v>
      </c>
      <c r="M146" s="10"/>
      <c r="N146" s="168">
        <f>LS[[#This Row],[Amount]]/LS[[#This Row],[Unit]]</f>
        <v>10</v>
      </c>
      <c r="O146" s="11">
        <f t="shared" si="4"/>
        <v>200000</v>
      </c>
      <c r="P146" s="11">
        <f>SUMIFS(LS[[#Headers],[Unit]]:LS[[#This Row],[Unit]],LS[[#Headers],[Investor ID]]:LS[[#This Row],[Investor ID]],LS[[#This Row],[Investor ID]])</f>
        <v>200000</v>
      </c>
      <c r="Q146" s="10">
        <v>2000000</v>
      </c>
      <c r="R146" s="6">
        <f>LS[[#This Row],[Amount]]-LS[[#This Row],[Unit Capital]]</f>
        <v>0</v>
      </c>
      <c r="S14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46" s="168">
        <f t="shared" si="5"/>
        <v>12.552</v>
      </c>
      <c r="U14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46" s="10" cm="1">
        <f t="array" ref="V146">IF(LS[[#This Row],[B/S]]="S",ABS(LS[[#This Row],[Unit]])*(INDEX(LS[NAV at Cost (Average)],MATCH(CONCATENATE((LS[[#This Row],[Frequency]]-1),LS[[#This Row],[Investor ID]]),LS[Unique Code],0),0)),0)</f>
        <v>0</v>
      </c>
      <c r="W146" s="10">
        <f>IF(LS[[#This Row],[BO Transfer]]="YES",LS[[#This Row],[Unit]],)</f>
        <v>0</v>
      </c>
      <c r="X146" s="3">
        <f>SUMIFS(LS[[#Headers],[BO UNIT TRANSFER]]:LS[[#This Row],[BO UNIT TRANSFER]],LS[[#Headers],[Investor ID]]:LS[[#This Row],[Investor ID]],LS[[#This Row],[Investor ID]])</f>
        <v>0</v>
      </c>
    </row>
    <row r="147" spans="1:25">
      <c r="B147" s="8">
        <v>2022</v>
      </c>
      <c r="C147" s="8">
        <v>2</v>
      </c>
      <c r="D147" s="8">
        <v>1</v>
      </c>
      <c r="E147" s="291">
        <f>DATE(LS[[#This Row],[Year]],LS[[#This Row],[Month]],LS[[#This Row],[Day]])</f>
        <v>44593</v>
      </c>
      <c r="F147" t="str" cm="1">
        <f t="array" ref="F147">INDEX(INVESTORS_LIST[INVESTOR NAME],MATCH(LS[[#This Row],[Investor ID]],INVESTORS_LIST[INVESTOR CODE],0),)</f>
        <v>TANIZA MAZED</v>
      </c>
      <c r="G147" s="19" t="s">
        <v>26</v>
      </c>
      <c r="H147" s="8">
        <f>COUNTIF(LS[[#Headers],[Investor ID]]:LS[[#This Row],[Investor ID]],LS[[#This Row],[Investor ID]])</f>
        <v>1</v>
      </c>
      <c r="I147" s="8" t="str">
        <f>CONCATENATE(LS[[#This Row],[Frequency]],LS[[#This Row],[Investor ID]])</f>
        <v>1A00019</v>
      </c>
      <c r="J147" s="8" t="str">
        <f>IF(LS[[#This Row],[B/S]]="B","BUY",(IF(LS[[#This Row],[B/S]]="S","SELL"," ")))</f>
        <v>BUY</v>
      </c>
      <c r="K147" s="8" t="s">
        <v>301</v>
      </c>
      <c r="L147" s="10">
        <v>1000000</v>
      </c>
      <c r="M147" s="10"/>
      <c r="N147" s="168">
        <f>LS[[#This Row],[Amount]]/LS[[#This Row],[Unit]]</f>
        <v>10</v>
      </c>
      <c r="O147" s="11">
        <f t="shared" si="4"/>
        <v>100000</v>
      </c>
      <c r="P147" s="11">
        <f>SUMIFS(LS[[#Headers],[Unit]]:LS[[#This Row],[Unit]],LS[[#Headers],[Investor ID]]:LS[[#This Row],[Investor ID]],LS[[#This Row],[Investor ID]])</f>
        <v>100000</v>
      </c>
      <c r="Q147" s="10">
        <v>1000000</v>
      </c>
      <c r="R147" s="6">
        <f>LS[[#This Row],[Amount]]-LS[[#This Row],[Unit Capital]]</f>
        <v>0</v>
      </c>
      <c r="S14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47" s="168">
        <f t="shared" si="5"/>
        <v>12.552</v>
      </c>
      <c r="U14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47" s="10" cm="1">
        <f t="array" ref="V147">IF(LS[[#This Row],[B/S]]="S",ABS(LS[[#This Row],[Unit]])*(INDEX(LS[NAV at Cost (Average)],MATCH(CONCATENATE((LS[[#This Row],[Frequency]]-1),LS[[#This Row],[Investor ID]]),LS[Unique Code],0),0)),0)</f>
        <v>0</v>
      </c>
      <c r="W147" s="10">
        <f>IF(LS[[#This Row],[BO Transfer]]="YES",LS[[#This Row],[Unit]],)</f>
        <v>0</v>
      </c>
      <c r="X147" s="3">
        <f>SUMIFS(LS[[#Headers],[BO UNIT TRANSFER]]:LS[[#This Row],[BO UNIT TRANSFER]],LS[[#Headers],[Investor ID]]:LS[[#This Row],[Investor ID]],LS[[#This Row],[Investor ID]])</f>
        <v>0</v>
      </c>
    </row>
    <row r="148" spans="1:25">
      <c r="B148" s="8">
        <v>2022</v>
      </c>
      <c r="C148" s="8">
        <v>2</v>
      </c>
      <c r="D148" s="8">
        <v>1</v>
      </c>
      <c r="E148" s="291">
        <f>DATE(LS[[#This Row],[Year]],LS[[#This Row],[Month]],LS[[#This Row],[Day]])</f>
        <v>44593</v>
      </c>
      <c r="F148" t="str" cm="1">
        <f t="array" ref="F148">INDEX(INVESTORS_LIST[INVESTOR NAME],MATCH(LS[[#This Row],[Investor ID]],INVESTORS_LIST[INVESTOR CODE],0),)</f>
        <v>MD. ATIQUR RAHMAN</v>
      </c>
      <c r="G148" s="19" t="s">
        <v>364</v>
      </c>
      <c r="H148" s="8">
        <f>COUNTIF(LS[[#Headers],[Investor ID]]:LS[[#This Row],[Investor ID]],LS[[#This Row],[Investor ID]])</f>
        <v>1</v>
      </c>
      <c r="I148" s="8" t="str">
        <f>CONCATENATE(LS[[#This Row],[Frequency]],LS[[#This Row],[Investor ID]])</f>
        <v>1A00254</v>
      </c>
      <c r="J148" s="8" t="str">
        <f>IF(LS[[#This Row],[B/S]]="B","BUY",(IF(LS[[#This Row],[B/S]]="S","SELL"," ")))</f>
        <v>BUY</v>
      </c>
      <c r="K148" s="8" t="s">
        <v>301</v>
      </c>
      <c r="L148" s="10">
        <v>700000</v>
      </c>
      <c r="M148" s="10"/>
      <c r="N148" s="168">
        <f>LS[[#This Row],[Amount]]/LS[[#This Row],[Unit]]</f>
        <v>10</v>
      </c>
      <c r="O148" s="11">
        <f t="shared" si="4"/>
        <v>70000</v>
      </c>
      <c r="P148" s="11">
        <f>SUMIFS(LS[[#Headers],[Unit]]:LS[[#This Row],[Unit]],LS[[#Headers],[Investor ID]]:LS[[#This Row],[Investor ID]],LS[[#This Row],[Investor ID]])</f>
        <v>70000</v>
      </c>
      <c r="Q148" s="10">
        <v>700000</v>
      </c>
      <c r="R148" s="6">
        <f>LS[[#This Row],[Amount]]-LS[[#This Row],[Unit Capital]]</f>
        <v>0</v>
      </c>
      <c r="S14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48" s="168">
        <f t="shared" si="5"/>
        <v>12.552</v>
      </c>
      <c r="U14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48" s="10" cm="1">
        <f t="array" ref="V148">IF(LS[[#This Row],[B/S]]="S",ABS(LS[[#This Row],[Unit]])*(INDEX(LS[NAV at Cost (Average)],MATCH(CONCATENATE((LS[[#This Row],[Frequency]]-1),LS[[#This Row],[Investor ID]]),LS[Unique Code],0),0)),0)</f>
        <v>0</v>
      </c>
      <c r="W148" s="10">
        <f>IF(LS[[#This Row],[BO Transfer]]="YES",LS[[#This Row],[Unit]],)</f>
        <v>0</v>
      </c>
      <c r="X148" s="3">
        <f>SUMIFS(LS[[#Headers],[BO UNIT TRANSFER]]:LS[[#This Row],[BO UNIT TRANSFER]],LS[[#Headers],[Investor ID]]:LS[[#This Row],[Investor ID]],LS[[#This Row],[Investor ID]])</f>
        <v>0</v>
      </c>
    </row>
    <row r="149" spans="1:25">
      <c r="B149" s="8">
        <v>2022</v>
      </c>
      <c r="C149" s="8">
        <v>2</v>
      </c>
      <c r="D149" s="8">
        <v>1</v>
      </c>
      <c r="E149" s="291">
        <f>DATE(LS[[#This Row],[Year]],LS[[#This Row],[Month]],LS[[#This Row],[Day]])</f>
        <v>44593</v>
      </c>
      <c r="F149" t="str" cm="1">
        <f t="array" ref="F149">INDEX(INVESTORS_LIST[INVESTOR NAME],MATCH(LS[[#This Row],[Investor ID]],INVESTORS_LIST[INVESTOR CODE],0),)</f>
        <v>MD. ATIQUR RAHMAN</v>
      </c>
      <c r="G149" s="19" t="s">
        <v>364</v>
      </c>
      <c r="H149" s="8">
        <f>COUNTIF(LS[[#Headers],[Investor ID]]:LS[[#This Row],[Investor ID]],LS[[#This Row],[Investor ID]])</f>
        <v>2</v>
      </c>
      <c r="I149" s="8" t="str">
        <f>CONCATENATE(LS[[#This Row],[Frequency]],LS[[#This Row],[Investor ID]])</f>
        <v>2A00254</v>
      </c>
      <c r="J149" s="8" t="str">
        <f>IF(LS[[#This Row],[B/S]]="B","BUY",(IF(LS[[#This Row],[B/S]]="S","SELL"," ")))</f>
        <v>BUY</v>
      </c>
      <c r="K149" s="8" t="s">
        <v>301</v>
      </c>
      <c r="L149" s="10">
        <v>1300000</v>
      </c>
      <c r="M149" s="10"/>
      <c r="N149" s="168">
        <f>LS[[#This Row],[Amount]]/LS[[#This Row],[Unit]]</f>
        <v>10</v>
      </c>
      <c r="O149" s="11">
        <f t="shared" si="4"/>
        <v>130000</v>
      </c>
      <c r="P149" s="11">
        <f>SUMIFS(LS[[#Headers],[Unit]]:LS[[#This Row],[Unit]],LS[[#Headers],[Investor ID]]:LS[[#This Row],[Investor ID]],LS[[#This Row],[Investor ID]])</f>
        <v>200000</v>
      </c>
      <c r="Q149" s="10">
        <v>1300000</v>
      </c>
      <c r="R149" s="6">
        <f>LS[[#This Row],[Amount]]-LS[[#This Row],[Unit Capital]]</f>
        <v>0</v>
      </c>
      <c r="S14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49" s="168">
        <f t="shared" si="5"/>
        <v>12.552</v>
      </c>
      <c r="U14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49" s="10" cm="1">
        <f t="array" ref="V149">IF(LS[[#This Row],[B/S]]="S",ABS(LS[[#This Row],[Unit]])*(INDEX(LS[NAV at Cost (Average)],MATCH(CONCATENATE((LS[[#This Row],[Frequency]]-1),LS[[#This Row],[Investor ID]]),LS[Unique Code],0),0)),0)</f>
        <v>0</v>
      </c>
      <c r="W149" s="10">
        <f>IF(LS[[#This Row],[BO Transfer]]="YES",LS[[#This Row],[Unit]],)</f>
        <v>0</v>
      </c>
      <c r="X149" s="3">
        <f>SUMIFS(LS[[#Headers],[BO UNIT TRANSFER]]:LS[[#This Row],[BO UNIT TRANSFER]],LS[[#Headers],[Investor ID]]:LS[[#This Row],[Investor ID]],LS[[#This Row],[Investor ID]])</f>
        <v>0</v>
      </c>
    </row>
    <row r="150" spans="1:25">
      <c r="B150" s="8">
        <v>2022</v>
      </c>
      <c r="C150" s="8">
        <v>2</v>
      </c>
      <c r="D150" s="8">
        <v>1</v>
      </c>
      <c r="E150" s="291">
        <f>DATE(LS[[#This Row],[Year]],LS[[#This Row],[Month]],LS[[#This Row],[Day]])</f>
        <v>44593</v>
      </c>
      <c r="F150" t="str" cm="1">
        <f t="array" ref="F150">INDEX(INVESTORS_LIST[INVESTOR NAME],MATCH(LS[[#This Row],[Investor ID]],INVESTORS_LIST[INVESTOR CODE],0),)</f>
        <v>THE GSP FINANCE COMPANY (BANGLADESH) LIMITED EMPLOYEES PROVIDENT FUND</v>
      </c>
      <c r="G150" s="19" t="s">
        <v>579</v>
      </c>
      <c r="H150" s="8">
        <f>COUNTIF(LS[[#Headers],[Investor ID]]:LS[[#This Row],[Investor ID]],LS[[#This Row],[Investor ID]])</f>
        <v>2</v>
      </c>
      <c r="I150" s="8" t="str">
        <f>CONCATENATE(LS[[#This Row],[Frequency]],LS[[#This Row],[Investor ID]])</f>
        <v>2A00326</v>
      </c>
      <c r="J150" s="8" t="str">
        <f>IF(LS[[#This Row],[B/S]]="B","BUY",(IF(LS[[#This Row],[B/S]]="S","SELL"," ")))</f>
        <v>BUY</v>
      </c>
      <c r="K150" s="8" t="s">
        <v>301</v>
      </c>
      <c r="L150" s="10">
        <v>2000000</v>
      </c>
      <c r="M150" s="10"/>
      <c r="N150" s="168">
        <f>LS[[#This Row],[Amount]]/LS[[#This Row],[Unit]]</f>
        <v>10</v>
      </c>
      <c r="O150" s="11">
        <f t="shared" si="4"/>
        <v>200000</v>
      </c>
      <c r="P150" s="11">
        <f>SUMIFS(LS[[#Headers],[Unit]]:LS[[#This Row],[Unit]],LS[[#Headers],[Investor ID]]:LS[[#This Row],[Investor ID]],LS[[#This Row],[Investor ID]])</f>
        <v>300000</v>
      </c>
      <c r="Q150" s="10">
        <v>2000000</v>
      </c>
      <c r="R150" s="6">
        <f>LS[[#This Row],[Amount]]-LS[[#This Row],[Unit Capital]]</f>
        <v>0</v>
      </c>
      <c r="S15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50" s="168">
        <f t="shared" si="5"/>
        <v>12.552</v>
      </c>
      <c r="U15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50" s="10" cm="1">
        <f t="array" ref="V150">IF(LS[[#This Row],[B/S]]="S",ABS(LS[[#This Row],[Unit]])*(INDEX(LS[NAV at Cost (Average)],MATCH(CONCATENATE((LS[[#This Row],[Frequency]]-1),LS[[#This Row],[Investor ID]]),LS[Unique Code],0),0)),0)</f>
        <v>0</v>
      </c>
      <c r="W150" s="10">
        <f>IF(LS[[#This Row],[BO Transfer]]="YES",LS[[#This Row],[Unit]],)</f>
        <v>0</v>
      </c>
      <c r="X150" s="3">
        <f>SUMIFS(LS[[#Headers],[BO UNIT TRANSFER]]:LS[[#This Row],[BO UNIT TRANSFER]],LS[[#Headers],[Investor ID]]:LS[[#This Row],[Investor ID]],LS[[#This Row],[Investor ID]])</f>
        <v>0</v>
      </c>
    </row>
    <row r="151" spans="1:25">
      <c r="B151" s="8">
        <v>2022</v>
      </c>
      <c r="C151" s="8">
        <v>2</v>
      </c>
      <c r="D151" s="8">
        <v>1</v>
      </c>
      <c r="E151" s="291">
        <f>DATE(LS[[#This Row],[Year]],LS[[#This Row],[Month]],LS[[#This Row],[Day]])</f>
        <v>44593</v>
      </c>
      <c r="F151" t="str" cm="1">
        <f t="array" ref="F151">INDEX(INVESTORS_LIST[INVESTOR NAME],MATCH(LS[[#This Row],[Investor ID]],INVESTORS_LIST[INVESTOR CODE],0),)</f>
        <v>ASMAR OSMAN</v>
      </c>
      <c r="G151" s="19" t="s">
        <v>605</v>
      </c>
      <c r="H151" s="8">
        <f>COUNTIF(LS[[#Headers],[Investor ID]]:LS[[#This Row],[Investor ID]],LS[[#This Row],[Investor ID]])</f>
        <v>1</v>
      </c>
      <c r="I151" s="8" t="str">
        <f>CONCATENATE(LS[[#This Row],[Frequency]],LS[[#This Row],[Investor ID]])</f>
        <v>1A00340</v>
      </c>
      <c r="J151" s="8" t="str">
        <f>IF(LS[[#This Row],[B/S]]="B","BUY",(IF(LS[[#This Row],[B/S]]="S","SELL"," ")))</f>
        <v>BUY</v>
      </c>
      <c r="K151" s="8" t="s">
        <v>301</v>
      </c>
      <c r="L151" s="10">
        <v>1000000</v>
      </c>
      <c r="M151" s="10"/>
      <c r="N151" s="168">
        <f>LS[[#This Row],[Amount]]/LS[[#This Row],[Unit]]</f>
        <v>10</v>
      </c>
      <c r="O151" s="11">
        <f t="shared" si="4"/>
        <v>100000</v>
      </c>
      <c r="P151" s="11">
        <f>SUMIFS(LS[[#Headers],[Unit]]:LS[[#This Row],[Unit]],LS[[#Headers],[Investor ID]]:LS[[#This Row],[Investor ID]],LS[[#This Row],[Investor ID]])</f>
        <v>100000</v>
      </c>
      <c r="Q151" s="10">
        <v>1000000</v>
      </c>
      <c r="R151" s="6">
        <f>LS[[#This Row],[Amount]]-LS[[#This Row],[Unit Capital]]</f>
        <v>0</v>
      </c>
      <c r="S15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51" s="168">
        <f t="shared" si="5"/>
        <v>12.552</v>
      </c>
      <c r="U15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51" s="10" cm="1">
        <f t="array" ref="V151">IF(LS[[#This Row],[B/S]]="S",ABS(LS[[#This Row],[Unit]])*(INDEX(LS[NAV at Cost (Average)],MATCH(CONCATENATE((LS[[#This Row],[Frequency]]-1),LS[[#This Row],[Investor ID]]),LS[Unique Code],0),0)),0)</f>
        <v>0</v>
      </c>
      <c r="W151" s="10">
        <f>IF(LS[[#This Row],[BO Transfer]]="YES",LS[[#This Row],[Unit]],)</f>
        <v>0</v>
      </c>
      <c r="X151" s="3">
        <f>SUMIFS(LS[[#Headers],[BO UNIT TRANSFER]]:LS[[#This Row],[BO UNIT TRANSFER]],LS[[#Headers],[Investor ID]]:LS[[#This Row],[Investor ID]],LS[[#This Row],[Investor ID]])</f>
        <v>0</v>
      </c>
      <c r="Y151" s="13"/>
    </row>
    <row r="152" spans="1:25">
      <c r="B152" s="8">
        <v>2022</v>
      </c>
      <c r="C152" s="8">
        <v>2</v>
      </c>
      <c r="D152" s="8">
        <v>1</v>
      </c>
      <c r="E152" s="291">
        <f>DATE(LS[[#This Row],[Year]],LS[[#This Row],[Month]],LS[[#This Row],[Day]])</f>
        <v>44593</v>
      </c>
      <c r="F152" t="str" cm="1">
        <f t="array" ref="F152">INDEX(INVESTORS_LIST[INVESTOR NAME],MATCH(LS[[#This Row],[Investor ID]],INVESTORS_LIST[INVESTOR CODE],0),)</f>
        <v>K.M SAKIB AHMED</v>
      </c>
      <c r="G152" s="19" t="s">
        <v>270</v>
      </c>
      <c r="H152" s="8">
        <f>COUNTIF(LS[[#Headers],[Investor ID]]:LS[[#This Row],[Investor ID]],LS[[#This Row],[Investor ID]])</f>
        <v>1</v>
      </c>
      <c r="I152" s="8" t="str">
        <f>CONCATENATE(LS[[#This Row],[Frequency]],LS[[#This Row],[Investor ID]])</f>
        <v>1A00215</v>
      </c>
      <c r="J152" s="8" t="str">
        <f>IF(LS[[#This Row],[B/S]]="B","BUY",(IF(LS[[#This Row],[B/S]]="S","SELL"," ")))</f>
        <v>BUY</v>
      </c>
      <c r="K152" s="8" t="s">
        <v>301</v>
      </c>
      <c r="L152" s="10">
        <v>900000</v>
      </c>
      <c r="M152" s="10"/>
      <c r="N152" s="168">
        <f>LS[[#This Row],[Amount]]/LS[[#This Row],[Unit]]</f>
        <v>10</v>
      </c>
      <c r="O152" s="11">
        <f t="shared" si="4"/>
        <v>90000</v>
      </c>
      <c r="P152" s="11">
        <f>SUMIFS(LS[[#Headers],[Unit]]:LS[[#This Row],[Unit]],LS[[#Headers],[Investor ID]]:LS[[#This Row],[Investor ID]],LS[[#This Row],[Investor ID]])</f>
        <v>90000</v>
      </c>
      <c r="Q152" s="10">
        <v>900000</v>
      </c>
      <c r="R152" s="6">
        <f>LS[[#This Row],[Amount]]-LS[[#This Row],[Unit Capital]]</f>
        <v>0</v>
      </c>
      <c r="S15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52" s="168">
        <f t="shared" si="5"/>
        <v>12.552</v>
      </c>
      <c r="U15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52" s="10" cm="1">
        <f t="array" ref="V152">IF(LS[[#This Row],[B/S]]="S",ABS(LS[[#This Row],[Unit]])*(INDEX(LS[NAV at Cost (Average)],MATCH(CONCATENATE((LS[[#This Row],[Frequency]]-1),LS[[#This Row],[Investor ID]]),LS[Unique Code],0),0)),0)</f>
        <v>0</v>
      </c>
      <c r="W152" s="10">
        <f>IF(LS[[#This Row],[BO Transfer]]="YES",LS[[#This Row],[Unit]],)</f>
        <v>0</v>
      </c>
      <c r="X152" s="3">
        <f>SUMIFS(LS[[#Headers],[BO UNIT TRANSFER]]:LS[[#This Row],[BO UNIT TRANSFER]],LS[[#Headers],[Investor ID]]:LS[[#This Row],[Investor ID]],LS[[#This Row],[Investor ID]])</f>
        <v>0</v>
      </c>
    </row>
    <row r="153" spans="1:25">
      <c r="B153" s="8">
        <v>2022</v>
      </c>
      <c r="C153" s="8">
        <v>2</v>
      </c>
      <c r="D153" s="8">
        <v>1</v>
      </c>
      <c r="E153" s="291">
        <f>DATE(LS[[#This Row],[Year]],LS[[#This Row],[Month]],LS[[#This Row],[Day]])</f>
        <v>44593</v>
      </c>
      <c r="F153" t="str" cm="1">
        <f t="array" ref="F153">INDEX(INVESTORS_LIST[INVESTOR NAME],MATCH(LS[[#This Row],[Investor ID]],INVESTORS_LIST[INVESTOR CODE],0),)</f>
        <v>BANGLADESH FUND</v>
      </c>
      <c r="G153" s="19" t="s">
        <v>677</v>
      </c>
      <c r="H153" s="8">
        <f>COUNTIF(LS[[#Headers],[Investor ID]]:LS[[#This Row],[Investor ID]],LS[[#This Row],[Investor ID]])</f>
        <v>1</v>
      </c>
      <c r="I153" s="8" t="str">
        <f>CONCATENATE(LS[[#This Row],[Frequency]],LS[[#This Row],[Investor ID]])</f>
        <v>1A00365</v>
      </c>
      <c r="J153" s="8" t="str">
        <f>IF(LS[[#This Row],[B/S]]="B","BUY",(IF(LS[[#This Row],[B/S]]="S","SELL"," ")))</f>
        <v>BUY</v>
      </c>
      <c r="K153" s="8" t="s">
        <v>301</v>
      </c>
      <c r="L153" s="10">
        <v>5000000</v>
      </c>
      <c r="M153" s="10"/>
      <c r="N153" s="168">
        <f>LS[[#This Row],[Amount]]/LS[[#This Row],[Unit]]</f>
        <v>10</v>
      </c>
      <c r="O153" s="11">
        <f t="shared" si="4"/>
        <v>500000</v>
      </c>
      <c r="P153" s="11">
        <f>SUMIFS(LS[[#Headers],[Unit]]:LS[[#This Row],[Unit]],LS[[#Headers],[Investor ID]]:LS[[#This Row],[Investor ID]],LS[[#This Row],[Investor ID]])</f>
        <v>500000</v>
      </c>
      <c r="Q153" s="10">
        <v>5000000</v>
      </c>
      <c r="R153" s="6">
        <f>LS[[#This Row],[Amount]]-LS[[#This Row],[Unit Capital]]</f>
        <v>0</v>
      </c>
      <c r="S15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53" s="168">
        <f t="shared" si="5"/>
        <v>12.552</v>
      </c>
      <c r="U15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53" s="10" cm="1">
        <f t="array" ref="V153">IF(LS[[#This Row],[B/S]]="S",ABS(LS[[#This Row],[Unit]])*(INDEX(LS[NAV at Cost (Average)],MATCH(CONCATENATE((LS[[#This Row],[Frequency]]-1),LS[[#This Row],[Investor ID]]),LS[Unique Code],0),0)),0)</f>
        <v>0</v>
      </c>
      <c r="W153" s="10">
        <f>IF(LS[[#This Row],[BO Transfer]]="YES",LS[[#This Row],[Unit]],)</f>
        <v>0</v>
      </c>
      <c r="X153" s="3">
        <f>SUMIFS(LS[[#Headers],[BO UNIT TRANSFER]]:LS[[#This Row],[BO UNIT TRANSFER]],LS[[#Headers],[Investor ID]]:LS[[#This Row],[Investor ID]],LS[[#This Row],[Investor ID]])</f>
        <v>0</v>
      </c>
    </row>
    <row r="154" spans="1:25">
      <c r="B154" s="8">
        <v>2022</v>
      </c>
      <c r="C154" s="8">
        <v>2</v>
      </c>
      <c r="D154" s="8">
        <v>1</v>
      </c>
      <c r="E154" s="291">
        <f>DATE(LS[[#This Row],[Year]],LS[[#This Row],[Month]],LS[[#This Row],[Day]])</f>
        <v>44593</v>
      </c>
      <c r="F154" t="str" cm="1">
        <f t="array" ref="F154">INDEX(INVESTORS_LIST[INVESTOR NAME],MATCH(LS[[#This Row],[Investor ID]],INVESTORS_LIST[INVESTOR CODE],0),)</f>
        <v>ZAIN MOHAMMAD YASEEN</v>
      </c>
      <c r="G154" s="19" t="s">
        <v>686</v>
      </c>
      <c r="H154" s="8">
        <f>COUNTIF(LS[[#Headers],[Investor ID]]:LS[[#This Row],[Investor ID]],LS[[#This Row],[Investor ID]])</f>
        <v>1</v>
      </c>
      <c r="I154" s="8" t="str">
        <f>CONCATENATE(LS[[#This Row],[Frequency]],LS[[#This Row],[Investor ID]])</f>
        <v>1A00370</v>
      </c>
      <c r="J154" s="8" t="str">
        <f>IF(LS[[#This Row],[B/S]]="B","BUY",(IF(LS[[#This Row],[B/S]]="S","SELL"," ")))</f>
        <v>BUY</v>
      </c>
      <c r="K154" s="8" t="s">
        <v>301</v>
      </c>
      <c r="L154" s="10">
        <v>20000</v>
      </c>
      <c r="M154" s="10"/>
      <c r="N154" s="168">
        <f>LS[[#This Row],[Amount]]/LS[[#This Row],[Unit]]</f>
        <v>10</v>
      </c>
      <c r="O154" s="11">
        <f t="shared" si="4"/>
        <v>2000</v>
      </c>
      <c r="P154" s="11">
        <f>SUMIFS(LS[[#Headers],[Unit]]:LS[[#This Row],[Unit]],LS[[#Headers],[Investor ID]]:LS[[#This Row],[Investor ID]],LS[[#This Row],[Investor ID]])</f>
        <v>2000</v>
      </c>
      <c r="Q154" s="10">
        <v>20000</v>
      </c>
      <c r="R154" s="6">
        <f>LS[[#This Row],[Amount]]-LS[[#This Row],[Unit Capital]]</f>
        <v>0</v>
      </c>
      <c r="S15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54" s="168">
        <f t="shared" si="5"/>
        <v>12.552</v>
      </c>
      <c r="U15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54" s="10" cm="1">
        <f t="array" ref="V154">IF(LS[[#This Row],[B/S]]="S",ABS(LS[[#This Row],[Unit]])*(INDEX(LS[NAV at Cost (Average)],MATCH(CONCATENATE((LS[[#This Row],[Frequency]]-1),LS[[#This Row],[Investor ID]]),LS[Unique Code],0),0)),0)</f>
        <v>0</v>
      </c>
      <c r="W154" s="10">
        <f>IF(LS[[#This Row],[BO Transfer]]="YES",LS[[#This Row],[Unit]],)</f>
        <v>0</v>
      </c>
      <c r="X154" s="3">
        <f>SUMIFS(LS[[#Headers],[BO UNIT TRANSFER]]:LS[[#This Row],[BO UNIT TRANSFER]],LS[[#Headers],[Investor ID]]:LS[[#This Row],[Investor ID]],LS[[#This Row],[Investor ID]])</f>
        <v>0</v>
      </c>
    </row>
    <row r="155" spans="1:25">
      <c r="B155" s="8">
        <v>2022</v>
      </c>
      <c r="C155" s="8">
        <v>2</v>
      </c>
      <c r="D155" s="8">
        <v>1</v>
      </c>
      <c r="E155" s="291">
        <f>DATE(LS[[#This Row],[Year]],LS[[#This Row],[Month]],LS[[#This Row],[Day]])</f>
        <v>44593</v>
      </c>
      <c r="F155" t="str" cm="1">
        <f t="array" ref="F155">INDEX(INVESTORS_LIST[INVESTOR NAME],MATCH(LS[[#This Row],[Investor ID]],INVESTORS_LIST[INVESTOR CODE],0),)</f>
        <v>ASRAAR HOSSAIN</v>
      </c>
      <c r="G155" s="19" t="s">
        <v>684</v>
      </c>
      <c r="H155" s="8">
        <f>COUNTIF(LS[[#Headers],[Investor ID]]:LS[[#This Row],[Investor ID]],LS[[#This Row],[Investor ID]])</f>
        <v>1</v>
      </c>
      <c r="I155" s="8" t="str">
        <f>CONCATENATE(LS[[#This Row],[Frequency]],LS[[#This Row],[Investor ID]])</f>
        <v>1A00369</v>
      </c>
      <c r="J155" s="8" t="str">
        <f>IF(LS[[#This Row],[B/S]]="B","BUY",(IF(LS[[#This Row],[B/S]]="S","SELL"," ")))</f>
        <v>BUY</v>
      </c>
      <c r="K155" s="8" t="s">
        <v>301</v>
      </c>
      <c r="L155" s="10">
        <v>20000</v>
      </c>
      <c r="M155" s="3" t="s">
        <v>957</v>
      </c>
      <c r="N155" s="168">
        <f>LS[[#This Row],[Amount]]/LS[[#This Row],[Unit]]</f>
        <v>10</v>
      </c>
      <c r="O155" s="11">
        <f t="shared" si="4"/>
        <v>2000</v>
      </c>
      <c r="P155" s="11">
        <f>SUMIFS(LS[[#Headers],[Unit]]:LS[[#This Row],[Unit]],LS[[#Headers],[Investor ID]]:LS[[#This Row],[Investor ID]],LS[[#This Row],[Investor ID]])</f>
        <v>2000</v>
      </c>
      <c r="Q155" s="10">
        <v>20000</v>
      </c>
      <c r="R155" s="6">
        <f>LS[[#This Row],[Amount]]-LS[[#This Row],[Unit Capital]]</f>
        <v>0</v>
      </c>
      <c r="S15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55" s="168">
        <f t="shared" si="5"/>
        <v>12.552</v>
      </c>
      <c r="U15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55" s="10" cm="1">
        <f t="array" ref="V155">IF(LS[[#This Row],[B/S]]="S",ABS(LS[[#This Row],[Unit]])*(INDEX(LS[NAV at Cost (Average)],MATCH(CONCATENATE((LS[[#This Row],[Frequency]]-1),LS[[#This Row],[Investor ID]]),LS[Unique Code],0),0)),0)</f>
        <v>0</v>
      </c>
      <c r="W155" s="10">
        <f>IF(LS[[#This Row],[BO Transfer]]="YES",LS[[#This Row],[Unit]],)</f>
        <v>2000</v>
      </c>
      <c r="X155" s="3">
        <f>SUMIFS(LS[[#Headers],[BO UNIT TRANSFER]]:LS[[#This Row],[BO UNIT TRANSFER]],LS[[#Headers],[Investor ID]]:LS[[#This Row],[Investor ID]],LS[[#This Row],[Investor ID]])</f>
        <v>2000</v>
      </c>
    </row>
    <row r="156" spans="1:25">
      <c r="B156" s="8">
        <v>2022</v>
      </c>
      <c r="C156" s="8">
        <v>2</v>
      </c>
      <c r="D156" s="8">
        <v>1</v>
      </c>
      <c r="E156" s="291">
        <f>DATE(LS[[#This Row],[Year]],LS[[#This Row],[Month]],LS[[#This Row],[Day]])</f>
        <v>44593</v>
      </c>
      <c r="F156" t="str" cm="1">
        <f t="array" ref="F156">INDEX(INVESTORS_LIST[INVESTOR NAME],MATCH(LS[[#This Row],[Investor ID]],INVESTORS_LIST[INVESTOR CODE],0),)</f>
        <v>MOHAMMAD DELOWAR HOSSAIN MRIDHA</v>
      </c>
      <c r="G156" s="19" t="s">
        <v>680</v>
      </c>
      <c r="H156" s="8">
        <f>COUNTIF(LS[[#Headers],[Investor ID]]:LS[[#This Row],[Investor ID]],LS[[#This Row],[Investor ID]])</f>
        <v>1</v>
      </c>
      <c r="I156" s="8" t="str">
        <f>CONCATENATE(LS[[#This Row],[Frequency]],LS[[#This Row],[Investor ID]])</f>
        <v>1A00367</v>
      </c>
      <c r="J156" s="8" t="str">
        <f>IF(LS[[#This Row],[B/S]]="B","BUY",(IF(LS[[#This Row],[B/S]]="S","SELL"," ")))</f>
        <v>BUY</v>
      </c>
      <c r="K156" s="8" t="s">
        <v>301</v>
      </c>
      <c r="L156" s="10">
        <v>100000</v>
      </c>
      <c r="M156" s="10"/>
      <c r="N156" s="168">
        <f>LS[[#This Row],[Amount]]/LS[[#This Row],[Unit]]</f>
        <v>10</v>
      </c>
      <c r="O156" s="11">
        <f t="shared" si="4"/>
        <v>10000</v>
      </c>
      <c r="P156" s="11">
        <f>SUMIFS(LS[[#Headers],[Unit]]:LS[[#This Row],[Unit]],LS[[#Headers],[Investor ID]]:LS[[#This Row],[Investor ID]],LS[[#This Row],[Investor ID]])</f>
        <v>10000</v>
      </c>
      <c r="Q156" s="10">
        <v>100000</v>
      </c>
      <c r="R156" s="6">
        <f>LS[[#This Row],[Amount]]-LS[[#This Row],[Unit Capital]]</f>
        <v>0</v>
      </c>
      <c r="S15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56" s="168">
        <f t="shared" si="5"/>
        <v>12.552</v>
      </c>
      <c r="U15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56" s="10" cm="1">
        <f t="array" ref="V156">IF(LS[[#This Row],[B/S]]="S",ABS(LS[[#This Row],[Unit]])*(INDEX(LS[NAV at Cost (Average)],MATCH(CONCATENATE((LS[[#This Row],[Frequency]]-1),LS[[#This Row],[Investor ID]]),LS[Unique Code],0),0)),0)</f>
        <v>0</v>
      </c>
      <c r="W156" s="10">
        <f>IF(LS[[#This Row],[BO Transfer]]="YES",LS[[#This Row],[Unit]],)</f>
        <v>0</v>
      </c>
      <c r="X156" s="3">
        <f>SUMIFS(LS[[#Headers],[BO UNIT TRANSFER]]:LS[[#This Row],[BO UNIT TRANSFER]],LS[[#Headers],[Investor ID]]:LS[[#This Row],[Investor ID]],LS[[#This Row],[Investor ID]])</f>
        <v>0</v>
      </c>
    </row>
    <row r="157" spans="1:25">
      <c r="B157" s="8">
        <v>2022</v>
      </c>
      <c r="C157" s="8">
        <v>2</v>
      </c>
      <c r="D157" s="8">
        <v>1</v>
      </c>
      <c r="E157" s="291">
        <f>DATE(LS[[#This Row],[Year]],LS[[#This Row],[Month]],LS[[#This Row],[Day]])</f>
        <v>44593</v>
      </c>
      <c r="F157" t="str" cm="1">
        <f t="array" ref="F157">INDEX(INVESTORS_LIST[INVESTOR NAME],MATCH(LS[[#This Row],[Investor ID]],INVESTORS_LIST[INVESTOR CODE],0),)</f>
        <v>MD. NAZIMUL HAQUE HAQUANNI</v>
      </c>
      <c r="G157" s="19" t="s">
        <v>682</v>
      </c>
      <c r="H157" s="8">
        <f>COUNTIF(LS[[#Headers],[Investor ID]]:LS[[#This Row],[Investor ID]],LS[[#This Row],[Investor ID]])</f>
        <v>1</v>
      </c>
      <c r="I157" s="8" t="str">
        <f>CONCATENATE(LS[[#This Row],[Frequency]],LS[[#This Row],[Investor ID]])</f>
        <v>1A00368</v>
      </c>
      <c r="J157" s="8" t="str">
        <f>IF(LS[[#This Row],[B/S]]="B","BUY",(IF(LS[[#This Row],[B/S]]="S","SELL"," ")))</f>
        <v>BUY</v>
      </c>
      <c r="K157" s="8" t="s">
        <v>301</v>
      </c>
      <c r="L157" s="10">
        <v>100000</v>
      </c>
      <c r="M157" s="10"/>
      <c r="N157" s="168">
        <f>LS[[#This Row],[Amount]]/LS[[#This Row],[Unit]]</f>
        <v>10</v>
      </c>
      <c r="O157" s="11">
        <f t="shared" si="4"/>
        <v>10000</v>
      </c>
      <c r="P157" s="11">
        <f>SUMIFS(LS[[#Headers],[Unit]]:LS[[#This Row],[Unit]],LS[[#Headers],[Investor ID]]:LS[[#This Row],[Investor ID]],LS[[#This Row],[Investor ID]])</f>
        <v>10000</v>
      </c>
      <c r="Q157" s="10">
        <v>100000</v>
      </c>
      <c r="R157" s="6">
        <f>LS[[#This Row],[Amount]]-LS[[#This Row],[Unit Capital]]</f>
        <v>0</v>
      </c>
      <c r="S15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57" s="168">
        <f t="shared" si="5"/>
        <v>12.552</v>
      </c>
      <c r="U15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57" s="10" cm="1">
        <f t="array" ref="V157">IF(LS[[#This Row],[B/S]]="S",ABS(LS[[#This Row],[Unit]])*(INDEX(LS[NAV at Cost (Average)],MATCH(CONCATENATE((LS[[#This Row],[Frequency]]-1),LS[[#This Row],[Investor ID]]),LS[Unique Code],0),0)),0)</f>
        <v>0</v>
      </c>
      <c r="W157" s="10">
        <f>IF(LS[[#This Row],[BO Transfer]]="YES",LS[[#This Row],[Unit]],)</f>
        <v>0</v>
      </c>
      <c r="X157" s="3">
        <f>SUMIFS(LS[[#Headers],[BO UNIT TRANSFER]]:LS[[#This Row],[BO UNIT TRANSFER]],LS[[#Headers],[Investor ID]]:LS[[#This Row],[Investor ID]],LS[[#This Row],[Investor ID]])</f>
        <v>0</v>
      </c>
    </row>
    <row r="158" spans="1:25">
      <c r="B158" s="8">
        <v>2022</v>
      </c>
      <c r="C158" s="8">
        <v>2</v>
      </c>
      <c r="D158" s="8">
        <v>1</v>
      </c>
      <c r="E158" s="291">
        <f>DATE(LS[[#This Row],[Year]],LS[[#This Row],[Month]],LS[[#This Row],[Day]])</f>
        <v>44593</v>
      </c>
      <c r="F158" t="str" cm="1">
        <f t="array" ref="F158">INDEX(INVESTORS_LIST[INVESTOR NAME],MATCH(LS[[#This Row],[Investor ID]],INVESTORS_LIST[INVESTOR CODE],0),)</f>
        <v>MD. ASIF RAIHAN</v>
      </c>
      <c r="G158" s="19" t="s">
        <v>690</v>
      </c>
      <c r="H158" s="8">
        <f>COUNTIF(LS[[#Headers],[Investor ID]]:LS[[#This Row],[Investor ID]],LS[[#This Row],[Investor ID]])</f>
        <v>1</v>
      </c>
      <c r="I158" s="8" t="str">
        <f>CONCATENATE(LS[[#This Row],[Frequency]],LS[[#This Row],[Investor ID]])</f>
        <v>1A00372</v>
      </c>
      <c r="J158" s="8" t="str">
        <f>IF(LS[[#This Row],[B/S]]="B","BUY",(IF(LS[[#This Row],[B/S]]="S","SELL"," ")))</f>
        <v>BUY</v>
      </c>
      <c r="K158" s="8" t="s">
        <v>301</v>
      </c>
      <c r="L158" s="10">
        <v>100000</v>
      </c>
      <c r="M158" s="10"/>
      <c r="N158" s="168">
        <f>LS[[#This Row],[Amount]]/LS[[#This Row],[Unit]]</f>
        <v>10</v>
      </c>
      <c r="O158" s="11">
        <f t="shared" si="4"/>
        <v>10000</v>
      </c>
      <c r="P158" s="11">
        <f>SUMIFS(LS[[#Headers],[Unit]]:LS[[#This Row],[Unit]],LS[[#Headers],[Investor ID]]:LS[[#This Row],[Investor ID]],LS[[#This Row],[Investor ID]])</f>
        <v>10000</v>
      </c>
      <c r="Q158" s="10">
        <v>100000</v>
      </c>
      <c r="R158" s="6">
        <f>LS[[#This Row],[Amount]]-LS[[#This Row],[Unit Capital]]</f>
        <v>0</v>
      </c>
      <c r="S15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58" s="168">
        <f t="shared" si="5"/>
        <v>12.552</v>
      </c>
      <c r="U15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58" s="10" cm="1">
        <f t="array" ref="V158">IF(LS[[#This Row],[B/S]]="S",ABS(LS[[#This Row],[Unit]])*(INDEX(LS[NAV at Cost (Average)],MATCH(CONCATENATE((LS[[#This Row],[Frequency]]-1),LS[[#This Row],[Investor ID]]),LS[Unique Code],0),0)),0)</f>
        <v>0</v>
      </c>
      <c r="W158" s="10">
        <f>IF(LS[[#This Row],[BO Transfer]]="YES",LS[[#This Row],[Unit]],)</f>
        <v>0</v>
      </c>
      <c r="X158" s="3">
        <f>SUMIFS(LS[[#Headers],[BO UNIT TRANSFER]]:LS[[#This Row],[BO UNIT TRANSFER]],LS[[#Headers],[Investor ID]]:LS[[#This Row],[Investor ID]],LS[[#This Row],[Investor ID]])</f>
        <v>0</v>
      </c>
    </row>
    <row r="159" spans="1:25">
      <c r="B159" s="8">
        <v>2022</v>
      </c>
      <c r="C159" s="8">
        <v>2</v>
      </c>
      <c r="D159" s="8">
        <v>1</v>
      </c>
      <c r="E159" s="291">
        <f>DATE(LS[[#This Row],[Year]],LS[[#This Row],[Month]],LS[[#This Row],[Day]])</f>
        <v>44593</v>
      </c>
      <c r="F159" t="str" cm="1">
        <f t="array" ref="F159">INDEX(INVESTORS_LIST[INVESTOR NAME],MATCH(LS[[#This Row],[Investor ID]],INVESTORS_LIST[INVESTOR CODE],0),)</f>
        <v>SHAHRIAR MAHMOOD</v>
      </c>
      <c r="G159" s="19" t="s">
        <v>158</v>
      </c>
      <c r="H159" s="8">
        <f>COUNTIF(LS[[#Headers],[Investor ID]]:LS[[#This Row],[Investor ID]],LS[[#This Row],[Investor ID]])</f>
        <v>1</v>
      </c>
      <c r="I159" s="8" t="str">
        <f>CONCATENATE(LS[[#This Row],[Frequency]],LS[[#This Row],[Investor ID]])</f>
        <v>1A00125</v>
      </c>
      <c r="J159" s="8" t="str">
        <f>IF(LS[[#This Row],[B/S]]="B","BUY",(IF(LS[[#This Row],[B/S]]="S","SELL"," ")))</f>
        <v>BUY</v>
      </c>
      <c r="K159" s="8" t="s">
        <v>301</v>
      </c>
      <c r="L159" s="10">
        <v>150000</v>
      </c>
      <c r="M159" s="10"/>
      <c r="N159" s="168">
        <f>LS[[#This Row],[Amount]]/LS[[#This Row],[Unit]]</f>
        <v>10</v>
      </c>
      <c r="O159" s="11">
        <f t="shared" si="4"/>
        <v>15000</v>
      </c>
      <c r="P159" s="11">
        <f>SUMIFS(LS[[#Headers],[Unit]]:LS[[#This Row],[Unit]],LS[[#Headers],[Investor ID]]:LS[[#This Row],[Investor ID]],LS[[#This Row],[Investor ID]])</f>
        <v>15000</v>
      </c>
      <c r="Q159" s="10">
        <v>150000</v>
      </c>
      <c r="R159" s="6">
        <f>LS[[#This Row],[Amount]]-LS[[#This Row],[Unit Capital]]</f>
        <v>0</v>
      </c>
      <c r="S15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59" s="168">
        <f t="shared" si="5"/>
        <v>12.552</v>
      </c>
      <c r="U15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59" s="10" cm="1">
        <f t="array" ref="V159">IF(LS[[#This Row],[B/S]]="S",ABS(LS[[#This Row],[Unit]])*(INDEX(LS[NAV at Cost (Average)],MATCH(CONCATENATE((LS[[#This Row],[Frequency]]-1),LS[[#This Row],[Investor ID]]),LS[Unique Code],0),0)),0)</f>
        <v>0</v>
      </c>
      <c r="W159" s="10">
        <f>IF(LS[[#This Row],[BO Transfer]]="YES",LS[[#This Row],[Unit]],)</f>
        <v>0</v>
      </c>
      <c r="X159" s="3">
        <f>SUMIFS(LS[[#Headers],[BO UNIT TRANSFER]]:LS[[#This Row],[BO UNIT TRANSFER]],LS[[#Headers],[Investor ID]]:LS[[#This Row],[Investor ID]],LS[[#This Row],[Investor ID]])</f>
        <v>0</v>
      </c>
    </row>
    <row r="160" spans="1:25">
      <c r="B160" s="8">
        <v>2022</v>
      </c>
      <c r="C160" s="8">
        <v>2</v>
      </c>
      <c r="D160" s="8">
        <v>1</v>
      </c>
      <c r="E160" s="291">
        <f>DATE(LS[[#This Row],[Year]],LS[[#This Row],[Month]],LS[[#This Row],[Day]])</f>
        <v>44593</v>
      </c>
      <c r="F160" t="str" cm="1">
        <f t="array" ref="F160">INDEX(INVESTORS_LIST[INVESTOR NAME],MATCH(LS[[#This Row],[Investor ID]],INVESTORS_LIST[INVESTOR CODE],0),)</f>
        <v>ZINAT MAHRUKH BANU</v>
      </c>
      <c r="G160" s="19" t="s">
        <v>692</v>
      </c>
      <c r="H160" s="8">
        <f>COUNTIF(LS[[#Headers],[Investor ID]]:LS[[#This Row],[Investor ID]],LS[[#This Row],[Investor ID]])</f>
        <v>1</v>
      </c>
      <c r="I160" s="8" t="str">
        <f>CONCATENATE(LS[[#This Row],[Frequency]],LS[[#This Row],[Investor ID]])</f>
        <v>1A00373</v>
      </c>
      <c r="J160" s="8" t="str">
        <f>IF(LS[[#This Row],[B/S]]="B","BUY",(IF(LS[[#This Row],[B/S]]="S","SELL"," ")))</f>
        <v>BUY</v>
      </c>
      <c r="K160" s="8" t="s">
        <v>301</v>
      </c>
      <c r="L160" s="10">
        <v>200000</v>
      </c>
      <c r="M160" s="10"/>
      <c r="N160" s="168">
        <f>LS[[#This Row],[Amount]]/LS[[#This Row],[Unit]]</f>
        <v>10</v>
      </c>
      <c r="O160" s="11">
        <f t="shared" si="4"/>
        <v>20000</v>
      </c>
      <c r="P160" s="11">
        <f>SUMIFS(LS[[#Headers],[Unit]]:LS[[#This Row],[Unit]],LS[[#Headers],[Investor ID]]:LS[[#This Row],[Investor ID]],LS[[#This Row],[Investor ID]])</f>
        <v>20000</v>
      </c>
      <c r="Q160" s="10">
        <v>200000</v>
      </c>
      <c r="R160" s="6">
        <f>LS[[#This Row],[Amount]]-LS[[#This Row],[Unit Capital]]</f>
        <v>0</v>
      </c>
      <c r="S16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60" s="168">
        <f t="shared" si="5"/>
        <v>12.552</v>
      </c>
      <c r="U16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60" s="10" cm="1">
        <f t="array" ref="V160">IF(LS[[#This Row],[B/S]]="S",ABS(LS[[#This Row],[Unit]])*(INDEX(LS[NAV at Cost (Average)],MATCH(CONCATENATE((LS[[#This Row],[Frequency]]-1),LS[[#This Row],[Investor ID]]),LS[Unique Code],0),0)),0)</f>
        <v>0</v>
      </c>
      <c r="W160" s="10">
        <f>IF(LS[[#This Row],[BO Transfer]]="YES",LS[[#This Row],[Unit]],)</f>
        <v>0</v>
      </c>
      <c r="X160" s="3">
        <f>SUMIFS(LS[[#Headers],[BO UNIT TRANSFER]]:LS[[#This Row],[BO UNIT TRANSFER]],LS[[#Headers],[Investor ID]]:LS[[#This Row],[Investor ID]],LS[[#This Row],[Investor ID]])</f>
        <v>0</v>
      </c>
    </row>
    <row r="161" spans="2:24">
      <c r="B161" s="8">
        <v>2022</v>
      </c>
      <c r="C161" s="8">
        <v>2</v>
      </c>
      <c r="D161" s="8">
        <v>1</v>
      </c>
      <c r="E161" s="291">
        <f>DATE(LS[[#This Row],[Year]],LS[[#This Row],[Month]],LS[[#This Row],[Day]])</f>
        <v>44593</v>
      </c>
      <c r="F161" t="str" cm="1">
        <f t="array" ref="F161">INDEX(INVESTORS_LIST[INVESTOR NAME],MATCH(LS[[#This Row],[Investor ID]],INVESTORS_LIST[INVESTOR CODE],0),)</f>
        <v>FOUZIA RAHMAN</v>
      </c>
      <c r="G161" s="19" t="s">
        <v>853</v>
      </c>
      <c r="H161" s="8">
        <f>COUNTIF(LS[[#Headers],[Investor ID]]:LS[[#This Row],[Investor ID]],LS[[#This Row],[Investor ID]])</f>
        <v>1</v>
      </c>
      <c r="I161" s="8" t="str">
        <f>CONCATENATE(LS[[#This Row],[Frequency]],LS[[#This Row],[Investor ID]])</f>
        <v>1A00389</v>
      </c>
      <c r="J161" s="8" t="str">
        <f>IF(LS[[#This Row],[B/S]]="B","BUY",(IF(LS[[#This Row],[B/S]]="S","SELL"," ")))</f>
        <v>BUY</v>
      </c>
      <c r="K161" s="8" t="s">
        <v>301</v>
      </c>
      <c r="L161" s="10">
        <v>150000</v>
      </c>
      <c r="M161" s="10"/>
      <c r="N161" s="168">
        <f>LS[[#This Row],[Amount]]/LS[[#This Row],[Unit]]</f>
        <v>10</v>
      </c>
      <c r="O161" s="11">
        <f t="shared" si="4"/>
        <v>15000</v>
      </c>
      <c r="P161" s="11">
        <f>SUMIFS(LS[[#Headers],[Unit]]:LS[[#This Row],[Unit]],LS[[#Headers],[Investor ID]]:LS[[#This Row],[Investor ID]],LS[[#This Row],[Investor ID]])</f>
        <v>15000</v>
      </c>
      <c r="Q161" s="10">
        <v>150000</v>
      </c>
      <c r="R161" s="6">
        <f>LS[[#This Row],[Amount]]-LS[[#This Row],[Unit Capital]]</f>
        <v>0</v>
      </c>
      <c r="S16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61" s="168">
        <f t="shared" si="5"/>
        <v>12.552</v>
      </c>
      <c r="U16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61" s="10" cm="1">
        <f t="array" ref="V161">IF(LS[[#This Row],[B/S]]="S",ABS(LS[[#This Row],[Unit]])*(INDEX(LS[NAV at Cost (Average)],MATCH(CONCATENATE((LS[[#This Row],[Frequency]]-1),LS[[#This Row],[Investor ID]]),LS[Unique Code],0),0)),0)</f>
        <v>0</v>
      </c>
      <c r="W161" s="10">
        <f>IF(LS[[#This Row],[BO Transfer]]="YES",LS[[#This Row],[Unit]],)</f>
        <v>0</v>
      </c>
      <c r="X161" s="3">
        <f>SUMIFS(LS[[#Headers],[BO UNIT TRANSFER]]:LS[[#This Row],[BO UNIT TRANSFER]],LS[[#Headers],[Investor ID]]:LS[[#This Row],[Investor ID]],LS[[#This Row],[Investor ID]])</f>
        <v>0</v>
      </c>
    </row>
    <row r="162" spans="2:24">
      <c r="B162" s="8">
        <v>2022</v>
      </c>
      <c r="C162" s="8">
        <v>2</v>
      </c>
      <c r="D162" s="8">
        <v>1</v>
      </c>
      <c r="E162" s="291">
        <f>DATE(LS[[#This Row],[Year]],LS[[#This Row],[Month]],LS[[#This Row],[Day]])</f>
        <v>44593</v>
      </c>
      <c r="F162" t="str" cm="1">
        <f t="array" ref="F162">INDEX(INVESTORS_LIST[INVESTOR NAME],MATCH(LS[[#This Row],[Investor ID]],INVESTORS_LIST[INVESTOR CODE],0),)</f>
        <v>MD. SHAHIDUL ISLAM</v>
      </c>
      <c r="G162" s="19" t="s">
        <v>709</v>
      </c>
      <c r="H162" s="8">
        <f>COUNTIF(LS[[#Headers],[Investor ID]]:LS[[#This Row],[Investor ID]],LS[[#This Row],[Investor ID]])</f>
        <v>1</v>
      </c>
      <c r="I162" s="8" t="str">
        <f>CONCATENATE(LS[[#This Row],[Frequency]],LS[[#This Row],[Investor ID]])</f>
        <v>1A00382</v>
      </c>
      <c r="J162" s="8" t="str">
        <f>IF(LS[[#This Row],[B/S]]="B","BUY",(IF(LS[[#This Row],[B/S]]="S","SELL"," ")))</f>
        <v>BUY</v>
      </c>
      <c r="K162" s="8" t="s">
        <v>301</v>
      </c>
      <c r="L162" s="10">
        <v>2000</v>
      </c>
      <c r="M162" s="10"/>
      <c r="N162" s="168">
        <f>LS[[#This Row],[Amount]]/LS[[#This Row],[Unit]]</f>
        <v>10</v>
      </c>
      <c r="O162" s="11">
        <f t="shared" si="4"/>
        <v>200</v>
      </c>
      <c r="P162" s="11">
        <f>SUMIFS(LS[[#Headers],[Unit]]:LS[[#This Row],[Unit]],LS[[#Headers],[Investor ID]]:LS[[#This Row],[Investor ID]],LS[[#This Row],[Investor ID]])</f>
        <v>200</v>
      </c>
      <c r="Q162" s="10">
        <v>2000</v>
      </c>
      <c r="R162" s="6">
        <f>LS[[#This Row],[Amount]]-LS[[#This Row],[Unit Capital]]</f>
        <v>0</v>
      </c>
      <c r="S16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62" s="168">
        <f t="shared" si="5"/>
        <v>12.552</v>
      </c>
      <c r="U16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62" s="10" cm="1">
        <f t="array" ref="V162">IF(LS[[#This Row],[B/S]]="S",ABS(LS[[#This Row],[Unit]])*(INDEX(LS[NAV at Cost (Average)],MATCH(CONCATENATE((LS[[#This Row],[Frequency]]-1),LS[[#This Row],[Investor ID]]),LS[Unique Code],0),0)),0)</f>
        <v>0</v>
      </c>
      <c r="W162" s="10">
        <f>IF(LS[[#This Row],[BO Transfer]]="YES",LS[[#This Row],[Unit]],)</f>
        <v>0</v>
      </c>
      <c r="X162" s="3">
        <f>SUMIFS(LS[[#Headers],[BO UNIT TRANSFER]]:LS[[#This Row],[BO UNIT TRANSFER]],LS[[#Headers],[Investor ID]]:LS[[#This Row],[Investor ID]],LS[[#This Row],[Investor ID]])</f>
        <v>0</v>
      </c>
    </row>
    <row r="163" spans="2:24">
      <c r="B163" s="8">
        <v>2022</v>
      </c>
      <c r="C163" s="8">
        <v>2</v>
      </c>
      <c r="D163" s="8">
        <v>1</v>
      </c>
      <c r="E163" s="291">
        <f>DATE(LS[[#This Row],[Year]],LS[[#This Row],[Month]],LS[[#This Row],[Day]])</f>
        <v>44593</v>
      </c>
      <c r="F163" t="str" cm="1">
        <f t="array" ref="F163">INDEX(INVESTORS_LIST[INVESTOR NAME],MATCH(LS[[#This Row],[Investor ID]],INVESTORS_LIST[INVESTOR CODE],0),)</f>
        <v>ANIK KUMAR GUPTA</v>
      </c>
      <c r="G163" s="19" t="s">
        <v>708</v>
      </c>
      <c r="H163" s="8">
        <f>COUNTIF(LS[[#Headers],[Investor ID]]:LS[[#This Row],[Investor ID]],LS[[#This Row],[Investor ID]])</f>
        <v>1</v>
      </c>
      <c r="I163" s="8" t="str">
        <f>CONCATENATE(LS[[#This Row],[Frequency]],LS[[#This Row],[Investor ID]])</f>
        <v>1A00381</v>
      </c>
      <c r="J163" s="8" t="str">
        <f>IF(LS[[#This Row],[B/S]]="B","BUY",(IF(LS[[#This Row],[B/S]]="S","SELL"," ")))</f>
        <v>BUY</v>
      </c>
      <c r="K163" s="8" t="s">
        <v>301</v>
      </c>
      <c r="L163" s="10">
        <v>5000</v>
      </c>
      <c r="M163" s="10"/>
      <c r="N163" s="168">
        <f>LS[[#This Row],[Amount]]/LS[[#This Row],[Unit]]</f>
        <v>10</v>
      </c>
      <c r="O163" s="11">
        <f t="shared" si="4"/>
        <v>500</v>
      </c>
      <c r="P163" s="11">
        <f>SUMIFS(LS[[#Headers],[Unit]]:LS[[#This Row],[Unit]],LS[[#Headers],[Investor ID]]:LS[[#This Row],[Investor ID]],LS[[#This Row],[Investor ID]])</f>
        <v>500</v>
      </c>
      <c r="Q163" s="10">
        <v>5000</v>
      </c>
      <c r="R163" s="6">
        <f>LS[[#This Row],[Amount]]-LS[[#This Row],[Unit Capital]]</f>
        <v>0</v>
      </c>
      <c r="S16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63" s="168">
        <f t="shared" si="5"/>
        <v>12.552</v>
      </c>
      <c r="U16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63" s="10" cm="1">
        <f t="array" ref="V163">IF(LS[[#This Row],[B/S]]="S",ABS(LS[[#This Row],[Unit]])*(INDEX(LS[NAV at Cost (Average)],MATCH(CONCATENATE((LS[[#This Row],[Frequency]]-1),LS[[#This Row],[Investor ID]]),LS[Unique Code],0),0)),0)</f>
        <v>0</v>
      </c>
      <c r="W163" s="10">
        <f>IF(LS[[#This Row],[BO Transfer]]="YES",LS[[#This Row],[Unit]],)</f>
        <v>0</v>
      </c>
      <c r="X163" s="3">
        <f>SUMIFS(LS[[#Headers],[BO UNIT TRANSFER]]:LS[[#This Row],[BO UNIT TRANSFER]],LS[[#Headers],[Investor ID]]:LS[[#This Row],[Investor ID]],LS[[#This Row],[Investor ID]])</f>
        <v>0</v>
      </c>
    </row>
    <row r="164" spans="2:24">
      <c r="B164" s="8">
        <v>2022</v>
      </c>
      <c r="C164" s="8">
        <v>2</v>
      </c>
      <c r="D164" s="8">
        <v>1</v>
      </c>
      <c r="E164" s="291">
        <f>DATE(LS[[#This Row],[Year]],LS[[#This Row],[Month]],LS[[#This Row],[Day]])</f>
        <v>44593</v>
      </c>
      <c r="F164" t="str" cm="1">
        <f t="array" ref="F164">INDEX(INVESTORS_LIST[INVESTOR NAME],MATCH(LS[[#This Row],[Investor ID]],INVESTORS_LIST[INVESTOR CODE],0),)</f>
        <v>MD. IMRAN HOSSAIN</v>
      </c>
      <c r="G164" s="19" t="s">
        <v>610</v>
      </c>
      <c r="H164" s="8">
        <f>COUNTIF(LS[[#Headers],[Investor ID]]:LS[[#This Row],[Investor ID]],LS[[#This Row],[Investor ID]])</f>
        <v>1</v>
      </c>
      <c r="I164" s="8" t="str">
        <f>CONCATENATE(LS[[#This Row],[Frequency]],LS[[#This Row],[Investor ID]])</f>
        <v>1A00343</v>
      </c>
      <c r="J164" s="8" t="str">
        <f>IF(LS[[#This Row],[B/S]]="B","BUY",(IF(LS[[#This Row],[B/S]]="S","SELL"," ")))</f>
        <v>BUY</v>
      </c>
      <c r="K164" s="8" t="s">
        <v>301</v>
      </c>
      <c r="L164" s="10">
        <v>50000</v>
      </c>
      <c r="M164" s="10"/>
      <c r="N164" s="168">
        <f>LS[[#This Row],[Amount]]/LS[[#This Row],[Unit]]</f>
        <v>10</v>
      </c>
      <c r="O164" s="11">
        <f t="shared" si="4"/>
        <v>5000</v>
      </c>
      <c r="P164" s="11">
        <f>SUMIFS(LS[[#Headers],[Unit]]:LS[[#This Row],[Unit]],LS[[#Headers],[Investor ID]]:LS[[#This Row],[Investor ID]],LS[[#This Row],[Investor ID]])</f>
        <v>5000</v>
      </c>
      <c r="Q164" s="10">
        <v>50000</v>
      </c>
      <c r="R164" s="6">
        <f>LS[[#This Row],[Amount]]-LS[[#This Row],[Unit Capital]]</f>
        <v>0</v>
      </c>
      <c r="S16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64" s="168">
        <f t="shared" si="5"/>
        <v>12.552</v>
      </c>
      <c r="U16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64" s="10" cm="1">
        <f t="array" ref="V164">IF(LS[[#This Row],[B/S]]="S",ABS(LS[[#This Row],[Unit]])*(INDEX(LS[NAV at Cost (Average)],MATCH(CONCATENATE((LS[[#This Row],[Frequency]]-1),LS[[#This Row],[Investor ID]]),LS[Unique Code],0),0)),0)</f>
        <v>0</v>
      </c>
      <c r="W164" s="10">
        <f>IF(LS[[#This Row],[BO Transfer]]="YES",LS[[#This Row],[Unit]],)</f>
        <v>0</v>
      </c>
      <c r="X164" s="3">
        <f>SUMIFS(LS[[#Headers],[BO UNIT TRANSFER]]:LS[[#This Row],[BO UNIT TRANSFER]],LS[[#Headers],[Investor ID]]:LS[[#This Row],[Investor ID]],LS[[#This Row],[Investor ID]])</f>
        <v>0</v>
      </c>
    </row>
    <row r="165" spans="2:24">
      <c r="B165" s="8">
        <v>2022</v>
      </c>
      <c r="C165" s="8">
        <v>2</v>
      </c>
      <c r="D165" s="8">
        <v>2</v>
      </c>
      <c r="E165" s="291">
        <f>DATE(LS[[#This Row],[Year]],LS[[#This Row],[Month]],LS[[#This Row],[Day]])</f>
        <v>44594</v>
      </c>
      <c r="F165" t="str" cm="1">
        <f t="array" ref="F165">INDEX(INVESTORS_LIST[INVESTOR NAME],MATCH(LS[[#This Row],[Investor ID]],INVESTORS_LIST[INVESTOR CODE],0),)</f>
        <v>MONSURUL MOHAMMAD SHAHRIAR</v>
      </c>
      <c r="G165" s="19" t="s">
        <v>561</v>
      </c>
      <c r="H165" s="8">
        <f>COUNTIF(LS[[#Headers],[Investor ID]]:LS[[#This Row],[Investor ID]],LS[[#This Row],[Investor ID]])</f>
        <v>1</v>
      </c>
      <c r="I165" s="8" t="str">
        <f>CONCATENATE(LS[[#This Row],[Frequency]],LS[[#This Row],[Investor ID]])</f>
        <v>1A00317</v>
      </c>
      <c r="J165" s="8" t="str">
        <f>IF(LS[[#This Row],[B/S]]="B","BUY",(IF(LS[[#This Row],[B/S]]="S","SELL"," ")))</f>
        <v>BUY</v>
      </c>
      <c r="K165" s="8" t="s">
        <v>301</v>
      </c>
      <c r="L165" s="10">
        <v>100000</v>
      </c>
      <c r="M165" s="10"/>
      <c r="N165" s="168">
        <f>LS[[#This Row],[Amount]]/LS[[#This Row],[Unit]]</f>
        <v>10</v>
      </c>
      <c r="O165" s="11">
        <f t="shared" si="4"/>
        <v>10000</v>
      </c>
      <c r="P165" s="11">
        <f>SUMIFS(LS[[#Headers],[Unit]]:LS[[#This Row],[Unit]],LS[[#Headers],[Investor ID]]:LS[[#This Row],[Investor ID]],LS[[#This Row],[Investor ID]])</f>
        <v>10000</v>
      </c>
      <c r="Q165" s="10">
        <v>100000</v>
      </c>
      <c r="R165" s="6">
        <f>LS[[#This Row],[Amount]]-LS[[#This Row],[Unit Capital]]</f>
        <v>0</v>
      </c>
      <c r="S16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65" s="168">
        <f t="shared" si="5"/>
        <v>12.552</v>
      </c>
      <c r="U16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65" s="10" cm="1">
        <f t="array" ref="V165">IF(LS[[#This Row],[B/S]]="S",ABS(LS[[#This Row],[Unit]])*(INDEX(LS[NAV at Cost (Average)],MATCH(CONCATENATE((LS[[#This Row],[Frequency]]-1),LS[[#This Row],[Investor ID]]),LS[Unique Code],0),0)),0)</f>
        <v>0</v>
      </c>
      <c r="W165" s="10">
        <f>IF(LS[[#This Row],[BO Transfer]]="YES",LS[[#This Row],[Unit]],)</f>
        <v>0</v>
      </c>
      <c r="X165" s="3">
        <f>SUMIFS(LS[[#Headers],[BO UNIT TRANSFER]]:LS[[#This Row],[BO UNIT TRANSFER]],LS[[#Headers],[Investor ID]]:LS[[#This Row],[Investor ID]],LS[[#This Row],[Investor ID]])</f>
        <v>0</v>
      </c>
    </row>
    <row r="166" spans="2:24">
      <c r="B166" s="8">
        <v>2022</v>
      </c>
      <c r="C166" s="8">
        <v>2</v>
      </c>
      <c r="D166" s="8">
        <v>2</v>
      </c>
      <c r="E166" s="291">
        <f>DATE(LS[[#This Row],[Year]],LS[[#This Row],[Month]],LS[[#This Row],[Day]])</f>
        <v>44594</v>
      </c>
      <c r="F166" t="str" cm="1">
        <f t="array" ref="F166">INDEX(INVESTORS_LIST[INVESTOR NAME],MATCH(LS[[#This Row],[Investor ID]],INVESTORS_LIST[INVESTOR CODE],0),)</f>
        <v>AZIZUL ISLAM</v>
      </c>
      <c r="G166" s="19" t="s">
        <v>711</v>
      </c>
      <c r="H166" s="8">
        <f>COUNTIF(LS[[#Headers],[Investor ID]]:LS[[#This Row],[Investor ID]],LS[[#This Row],[Investor ID]])</f>
        <v>1</v>
      </c>
      <c r="I166" s="8" t="str">
        <f>CONCATENATE(LS[[#This Row],[Frequency]],LS[[#This Row],[Investor ID]])</f>
        <v>1A00383</v>
      </c>
      <c r="J166" s="8" t="str">
        <f>IF(LS[[#This Row],[B/S]]="B","BUY",(IF(LS[[#This Row],[B/S]]="S","SELL"," ")))</f>
        <v>BUY</v>
      </c>
      <c r="K166" s="8" t="s">
        <v>301</v>
      </c>
      <c r="L166" s="10">
        <v>2500000</v>
      </c>
      <c r="M166" s="10"/>
      <c r="N166" s="168">
        <f>LS[[#This Row],[Amount]]/LS[[#This Row],[Unit]]</f>
        <v>10</v>
      </c>
      <c r="O166" s="11">
        <f t="shared" si="4"/>
        <v>250000</v>
      </c>
      <c r="P166" s="11">
        <f>SUMIFS(LS[[#Headers],[Unit]]:LS[[#This Row],[Unit]],LS[[#Headers],[Investor ID]]:LS[[#This Row],[Investor ID]],LS[[#This Row],[Investor ID]])</f>
        <v>250000</v>
      </c>
      <c r="Q166" s="10">
        <v>2500000</v>
      </c>
      <c r="R166" s="6">
        <f>LS[[#This Row],[Amount]]-LS[[#This Row],[Unit Capital]]</f>
        <v>0</v>
      </c>
      <c r="S16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66" s="168">
        <f t="shared" si="5"/>
        <v>12.552</v>
      </c>
      <c r="U16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66" s="10" cm="1">
        <f t="array" ref="V166">IF(LS[[#This Row],[B/S]]="S",ABS(LS[[#This Row],[Unit]])*(INDEX(LS[NAV at Cost (Average)],MATCH(CONCATENATE((LS[[#This Row],[Frequency]]-1),LS[[#This Row],[Investor ID]]),LS[Unique Code],0),0)),0)</f>
        <v>0</v>
      </c>
      <c r="W166" s="10">
        <f>IF(LS[[#This Row],[BO Transfer]]="YES",LS[[#This Row],[Unit]],)</f>
        <v>0</v>
      </c>
      <c r="X166" s="3">
        <f>SUMIFS(LS[[#Headers],[BO UNIT TRANSFER]]:LS[[#This Row],[BO UNIT TRANSFER]],LS[[#Headers],[Investor ID]]:LS[[#This Row],[Investor ID]],LS[[#This Row],[Investor ID]])</f>
        <v>0</v>
      </c>
    </row>
    <row r="167" spans="2:24">
      <c r="B167" s="8">
        <v>2022</v>
      </c>
      <c r="C167" s="8">
        <v>2</v>
      </c>
      <c r="D167" s="8">
        <v>2</v>
      </c>
      <c r="E167" s="291">
        <f>DATE(LS[[#This Row],[Year]],LS[[#This Row],[Month]],LS[[#This Row],[Day]])</f>
        <v>44594</v>
      </c>
      <c r="F167" t="str" cm="1">
        <f t="array" ref="F167">INDEX(INVESTORS_LIST[INVESTOR NAME],MATCH(LS[[#This Row],[Investor ID]],INVESTORS_LIST[INVESTOR CODE],0),)</f>
        <v>MD. NIZAM UDDIN</v>
      </c>
      <c r="G167" s="19" t="s">
        <v>712</v>
      </c>
      <c r="H167" s="8">
        <f>COUNTIF(LS[[#Headers],[Investor ID]]:LS[[#This Row],[Investor ID]],LS[[#This Row],[Investor ID]])</f>
        <v>1</v>
      </c>
      <c r="I167" s="8" t="str">
        <f>CONCATENATE(LS[[#This Row],[Frequency]],LS[[#This Row],[Investor ID]])</f>
        <v>1A00384</v>
      </c>
      <c r="J167" s="8" t="str">
        <f>IF(LS[[#This Row],[B/S]]="B","BUY",(IF(LS[[#This Row],[B/S]]="S","SELL"," ")))</f>
        <v>BUY</v>
      </c>
      <c r="K167" s="8" t="s">
        <v>301</v>
      </c>
      <c r="L167" s="10">
        <v>40000</v>
      </c>
      <c r="M167" s="10"/>
      <c r="N167" s="168">
        <f>LS[[#This Row],[Amount]]/LS[[#This Row],[Unit]]</f>
        <v>10</v>
      </c>
      <c r="O167" s="11">
        <f t="shared" si="4"/>
        <v>4000</v>
      </c>
      <c r="P167" s="11">
        <f>SUMIFS(LS[[#Headers],[Unit]]:LS[[#This Row],[Unit]],LS[[#Headers],[Investor ID]]:LS[[#This Row],[Investor ID]],LS[[#This Row],[Investor ID]])</f>
        <v>4000</v>
      </c>
      <c r="Q167" s="10">
        <v>40000</v>
      </c>
      <c r="R167" s="6">
        <f>LS[[#This Row],[Amount]]-LS[[#This Row],[Unit Capital]]</f>
        <v>0</v>
      </c>
      <c r="S16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67" s="168">
        <f t="shared" si="5"/>
        <v>12.552</v>
      </c>
      <c r="U16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67" s="10" cm="1">
        <f t="array" ref="V167">IF(LS[[#This Row],[B/S]]="S",ABS(LS[[#This Row],[Unit]])*(INDEX(LS[NAV at Cost (Average)],MATCH(CONCATENATE((LS[[#This Row],[Frequency]]-1),LS[[#This Row],[Investor ID]]),LS[Unique Code],0),0)),0)</f>
        <v>0</v>
      </c>
      <c r="W167" s="10">
        <f>IF(LS[[#This Row],[BO Transfer]]="YES",LS[[#This Row],[Unit]],)</f>
        <v>0</v>
      </c>
      <c r="X167" s="3">
        <f>SUMIFS(LS[[#Headers],[BO UNIT TRANSFER]]:LS[[#This Row],[BO UNIT TRANSFER]],LS[[#Headers],[Investor ID]]:LS[[#This Row],[Investor ID]],LS[[#This Row],[Investor ID]])</f>
        <v>0</v>
      </c>
    </row>
    <row r="168" spans="2:24">
      <c r="B168" s="8">
        <v>2022</v>
      </c>
      <c r="C168" s="8">
        <v>2</v>
      </c>
      <c r="D168" s="8">
        <v>8</v>
      </c>
      <c r="E168" s="291">
        <f>DATE(LS[[#This Row],[Year]],LS[[#This Row],[Month]],LS[[#This Row],[Day]])</f>
        <v>44600</v>
      </c>
      <c r="F168" t="str" cm="1">
        <f t="array" ref="F168">INDEX(INVESTORS_LIST[INVESTOR NAME],MATCH(LS[[#This Row],[Investor ID]],INVESTORS_LIST[INVESTOR CODE],0),)</f>
        <v>NAYEEMA TASNEEM</v>
      </c>
      <c r="G168" s="19" t="s">
        <v>679</v>
      </c>
      <c r="H168" s="8">
        <f>COUNTIF(LS[[#Headers],[Investor ID]]:LS[[#This Row],[Investor ID]],LS[[#This Row],[Investor ID]])</f>
        <v>1</v>
      </c>
      <c r="I168" s="8" t="str">
        <f>CONCATENATE(LS[[#This Row],[Frequency]],LS[[#This Row],[Investor ID]])</f>
        <v>1A00366</v>
      </c>
      <c r="J168" s="8" t="str">
        <f>IF(LS[[#This Row],[B/S]]="B","BUY",(IF(LS[[#This Row],[B/S]]="S","SELL"," ")))</f>
        <v>BUY</v>
      </c>
      <c r="K168" s="8" t="s">
        <v>301</v>
      </c>
      <c r="L168" s="10">
        <v>600000</v>
      </c>
      <c r="M168" s="10"/>
      <c r="N168" s="168">
        <f>LS[[#This Row],[Amount]]/LS[[#This Row],[Unit]]</f>
        <v>10</v>
      </c>
      <c r="O168" s="11">
        <f t="shared" si="4"/>
        <v>60000</v>
      </c>
      <c r="P168" s="11">
        <f>SUMIFS(LS[[#Headers],[Unit]]:LS[[#This Row],[Unit]],LS[[#Headers],[Investor ID]]:LS[[#This Row],[Investor ID]],LS[[#This Row],[Investor ID]])</f>
        <v>60000</v>
      </c>
      <c r="Q168" s="10">
        <v>600000</v>
      </c>
      <c r="R168" s="6">
        <f>LS[[#This Row],[Amount]]-LS[[#This Row],[Unit Capital]]</f>
        <v>0</v>
      </c>
      <c r="S16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68" s="168">
        <f t="shared" si="5"/>
        <v>12.552</v>
      </c>
      <c r="U16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68" s="10" cm="1">
        <f t="array" ref="V168">IF(LS[[#This Row],[B/S]]="S",ABS(LS[[#This Row],[Unit]])*(INDEX(LS[NAV at Cost (Average)],MATCH(CONCATENATE((LS[[#This Row],[Frequency]]-1),LS[[#This Row],[Investor ID]]),LS[Unique Code],0),0)),0)</f>
        <v>0</v>
      </c>
      <c r="W168" s="10">
        <f>IF(LS[[#This Row],[BO Transfer]]="YES",LS[[#This Row],[Unit]],)</f>
        <v>0</v>
      </c>
      <c r="X168" s="3">
        <f>SUMIFS(LS[[#Headers],[BO UNIT TRANSFER]]:LS[[#This Row],[BO UNIT TRANSFER]],LS[[#Headers],[Investor ID]]:LS[[#This Row],[Investor ID]],LS[[#This Row],[Investor ID]])</f>
        <v>0</v>
      </c>
    </row>
    <row r="169" spans="2:24">
      <c r="B169" s="8">
        <v>2022</v>
      </c>
      <c r="C169" s="8">
        <v>2</v>
      </c>
      <c r="D169" s="8">
        <v>10</v>
      </c>
      <c r="E169" s="291">
        <f>DATE(LS[[#This Row],[Year]],LS[[#This Row],[Month]],LS[[#This Row],[Day]])</f>
        <v>44602</v>
      </c>
      <c r="F169" t="str" cm="1">
        <f t="array" ref="F169">INDEX(INVESTORS_LIST[INVESTOR NAME],MATCH(LS[[#This Row],[Investor ID]],INVESTORS_LIST[INVESTOR CODE],0),)</f>
        <v>B.M. MIRAZ HOSSAIN</v>
      </c>
      <c r="G169" s="19" t="s">
        <v>694</v>
      </c>
      <c r="H169" s="8">
        <f>COUNTIF(LS[[#Headers],[Investor ID]]:LS[[#This Row],[Investor ID]],LS[[#This Row],[Investor ID]])</f>
        <v>2</v>
      </c>
      <c r="I169" s="8" t="str">
        <f>CONCATENATE(LS[[#This Row],[Frequency]],LS[[#This Row],[Investor ID]])</f>
        <v>2A00374</v>
      </c>
      <c r="J169" s="8" t="str">
        <f>IF(LS[[#This Row],[B/S]]="B","BUY",(IF(LS[[#This Row],[B/S]]="S","SELL"," ")))</f>
        <v>SELL</v>
      </c>
      <c r="K169" s="8" t="s">
        <v>866</v>
      </c>
      <c r="L169" s="10">
        <v>-200000</v>
      </c>
      <c r="M169" s="10"/>
      <c r="N169" s="168">
        <f>LS[[#This Row],[Amount]]/LS[[#This Row],[Unit]]</f>
        <v>10</v>
      </c>
      <c r="O169" s="11">
        <f>Q169/10</f>
        <v>-20000</v>
      </c>
      <c r="P169" s="11">
        <f>SUMIFS(LS[[#Headers],[Unit]]:LS[[#This Row],[Unit]],LS[[#Headers],[Investor ID]]:LS[[#This Row],[Investor ID]],LS[[#This Row],[Investor ID]])</f>
        <v>10000</v>
      </c>
      <c r="Q169" s="10">
        <v>-200000</v>
      </c>
      <c r="R169" s="6">
        <f>LS[[#This Row],[Amount]]-LS[[#This Row],[Unit Capital]]</f>
        <v>0</v>
      </c>
      <c r="S16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69" s="168">
        <f>IFERROR(NAV_MKT,0)</f>
        <v>12.552</v>
      </c>
      <c r="U16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69" s="10" cm="1">
        <f t="array" ref="V169">IF(LS[[#This Row],[B/S]]="S",ABS(LS[[#This Row],[Unit]])*(INDEX(LS[NAV at Cost (Average)],MATCH(CONCATENATE((LS[[#This Row],[Frequency]]-1),LS[[#This Row],[Investor ID]]),LS[Unique Code],0),0)),0)</f>
        <v>200000</v>
      </c>
      <c r="W169" s="10">
        <f>IF(LS[[#This Row],[BO Transfer]]="YES",LS[[#This Row],[Unit]],)</f>
        <v>0</v>
      </c>
      <c r="X169" s="3">
        <f>SUMIFS(LS[[#Headers],[BO UNIT TRANSFER]]:LS[[#This Row],[BO UNIT TRANSFER]],LS[[#Headers],[Investor ID]]:LS[[#This Row],[Investor ID]],LS[[#This Row],[Investor ID]])</f>
        <v>0</v>
      </c>
    </row>
    <row r="170" spans="2:24">
      <c r="B170" s="8">
        <v>2022</v>
      </c>
      <c r="C170" s="8">
        <v>2</v>
      </c>
      <c r="D170" s="8">
        <v>13</v>
      </c>
      <c r="E170" s="291">
        <f>DATE(LS[[#This Row],[Year]],LS[[#This Row],[Month]],LS[[#This Row],[Day]])</f>
        <v>44605</v>
      </c>
      <c r="F170" t="str" cm="1">
        <f t="array" ref="F170">INDEX(INVESTORS_LIST[INVESTOR NAME],MATCH(LS[[#This Row],[Investor ID]],INVESTORS_LIST[INVESTOR CODE],0),)</f>
        <v>MD. TANZIRUL AMIN</v>
      </c>
      <c r="G170" s="19" t="s">
        <v>715</v>
      </c>
      <c r="H170" s="8">
        <f>COUNTIF(LS[[#Headers],[Investor ID]]:LS[[#This Row],[Investor ID]],LS[[#This Row],[Investor ID]])</f>
        <v>1</v>
      </c>
      <c r="I170" s="8" t="str">
        <f>CONCATENATE(LS[[#This Row],[Frequency]],LS[[#This Row],[Investor ID]])</f>
        <v>1A00386</v>
      </c>
      <c r="J170" s="8" t="str">
        <f>IF(LS[[#This Row],[B/S]]="B","BUY",(IF(LS[[#This Row],[B/S]]="S","SELL"," ")))</f>
        <v>BUY</v>
      </c>
      <c r="K170" s="8" t="s">
        <v>301</v>
      </c>
      <c r="L170" s="10">
        <v>100000</v>
      </c>
      <c r="M170" s="10"/>
      <c r="N170" s="168">
        <f>LS[[#This Row],[Amount]]/LS[[#This Row],[Unit]]</f>
        <v>10</v>
      </c>
      <c r="O170" s="11">
        <f t="shared" si="4"/>
        <v>10000</v>
      </c>
      <c r="P170" s="11">
        <f>SUMIFS(LS[[#Headers],[Unit]]:LS[[#This Row],[Unit]],LS[[#Headers],[Investor ID]]:LS[[#This Row],[Investor ID]],LS[[#This Row],[Investor ID]])</f>
        <v>10000</v>
      </c>
      <c r="Q170" s="10">
        <v>100000</v>
      </c>
      <c r="R170" s="6">
        <f>LS[[#This Row],[Amount]]-LS[[#This Row],[Unit Capital]]</f>
        <v>0</v>
      </c>
      <c r="S17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70" s="168">
        <f t="shared" si="5"/>
        <v>12.552</v>
      </c>
      <c r="U17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70" s="10" cm="1">
        <f t="array" ref="V170">IF(LS[[#This Row],[B/S]]="S",ABS(LS[[#This Row],[Unit]])*(INDEX(LS[NAV at Cost (Average)],MATCH(CONCATENATE((LS[[#This Row],[Frequency]]-1),LS[[#This Row],[Investor ID]]),LS[Unique Code],0),0)),0)</f>
        <v>0</v>
      </c>
      <c r="W170" s="10">
        <f>IF(LS[[#This Row],[BO Transfer]]="YES",LS[[#This Row],[Unit]],)</f>
        <v>0</v>
      </c>
      <c r="X170" s="3">
        <f>SUMIFS(LS[[#Headers],[BO UNIT TRANSFER]]:LS[[#This Row],[BO UNIT TRANSFER]],LS[[#Headers],[Investor ID]]:LS[[#This Row],[Investor ID]],LS[[#This Row],[Investor ID]])</f>
        <v>0</v>
      </c>
    </row>
    <row r="171" spans="2:24">
      <c r="B171" s="8">
        <v>2022</v>
      </c>
      <c r="C171" s="8">
        <v>2</v>
      </c>
      <c r="D171" s="8">
        <v>13</v>
      </c>
      <c r="E171" s="291">
        <f>DATE(LS[[#This Row],[Year]],LS[[#This Row],[Month]],LS[[#This Row],[Day]])</f>
        <v>44605</v>
      </c>
      <c r="F171" t="str" cm="1">
        <f t="array" ref="F171">INDEX(INVESTORS_LIST[INVESTOR NAME],MATCH(LS[[#This Row],[Investor ID]],INVESTORS_LIST[INVESTOR CODE],0),)</f>
        <v>RAIS-UR-RUBBI</v>
      </c>
      <c r="G171" s="19" t="s">
        <v>307</v>
      </c>
      <c r="H171" s="8">
        <f>COUNTIF(LS[[#Headers],[Investor ID]]:LS[[#This Row],[Investor ID]],LS[[#This Row],[Investor ID]])</f>
        <v>2</v>
      </c>
      <c r="I171" s="8" t="str">
        <f>CONCATENATE(LS[[#This Row],[Frequency]],LS[[#This Row],[Investor ID]])</f>
        <v>2A00225</v>
      </c>
      <c r="J171" s="8" t="str">
        <f>IF(LS[[#This Row],[B/S]]="B","BUY",(IF(LS[[#This Row],[B/S]]="S","SELL"," ")))</f>
        <v>BUY</v>
      </c>
      <c r="K171" s="8" t="s">
        <v>301</v>
      </c>
      <c r="L171" s="10">
        <v>200000</v>
      </c>
      <c r="M171" s="10"/>
      <c r="N171" s="168">
        <f>LS[[#This Row],[Amount]]/LS[[#This Row],[Unit]]</f>
        <v>10</v>
      </c>
      <c r="O171" s="11">
        <f t="shared" si="4"/>
        <v>20000</v>
      </c>
      <c r="P171" s="11">
        <f>SUMIFS(LS[[#Headers],[Unit]]:LS[[#This Row],[Unit]],LS[[#Headers],[Investor ID]]:LS[[#This Row],[Investor ID]],LS[[#This Row],[Investor ID]])</f>
        <v>40000</v>
      </c>
      <c r="Q171" s="10">
        <v>200000</v>
      </c>
      <c r="R171" s="6">
        <f>LS[[#This Row],[Amount]]-LS[[#This Row],[Unit Capital]]</f>
        <v>0</v>
      </c>
      <c r="S17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71" s="168">
        <f t="shared" si="5"/>
        <v>12.552</v>
      </c>
      <c r="U17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71" s="10" cm="1">
        <f t="array" ref="V171">IF(LS[[#This Row],[B/S]]="S",ABS(LS[[#This Row],[Unit]])*(INDEX(LS[NAV at Cost (Average)],MATCH(CONCATENATE((LS[[#This Row],[Frequency]]-1),LS[[#This Row],[Investor ID]]),LS[Unique Code],0),0)),0)</f>
        <v>0</v>
      </c>
      <c r="W171" s="10">
        <f>IF(LS[[#This Row],[BO Transfer]]="YES",LS[[#This Row],[Unit]],)</f>
        <v>0</v>
      </c>
      <c r="X171" s="3">
        <f>SUMIFS(LS[[#Headers],[BO UNIT TRANSFER]]:LS[[#This Row],[BO UNIT TRANSFER]],LS[[#Headers],[Investor ID]]:LS[[#This Row],[Investor ID]],LS[[#This Row],[Investor ID]])</f>
        <v>0</v>
      </c>
    </row>
    <row r="172" spans="2:24">
      <c r="B172" s="72">
        <v>2022</v>
      </c>
      <c r="C172" s="72">
        <v>2</v>
      </c>
      <c r="D172" s="72">
        <v>16</v>
      </c>
      <c r="E172" s="292">
        <f>DATE(LS[[#This Row],[Year]],LS[[#This Row],[Month]],LS[[#This Row],[Day]])</f>
        <v>44608</v>
      </c>
      <c r="F172" s="73" t="str" cm="1">
        <f t="array" ref="F172">INDEX(INVESTORS_LIST[INVESTOR NAME],MATCH(LS[[#This Row],[Investor ID]],INVESTORS_LIST[INVESTOR CODE],0),)</f>
        <v>SULTANA RAZIA</v>
      </c>
      <c r="G172" s="19" t="s">
        <v>320</v>
      </c>
      <c r="H172" s="72">
        <f>COUNTIF(LS[[#Headers],[Investor ID]]:LS[[#This Row],[Investor ID]],LS[[#This Row],[Investor ID]])</f>
        <v>2</v>
      </c>
      <c r="I172" s="72" t="str">
        <f>CONCATENATE(LS[[#This Row],[Frequency]],LS[[#This Row],[Investor ID]])</f>
        <v>2A00231</v>
      </c>
      <c r="J172" s="72" t="str">
        <f>IF(LS[[#This Row],[B/S]]="B","BUY",(IF(LS[[#This Row],[B/S]]="S","SELL"," ")))</f>
        <v>SELL</v>
      </c>
      <c r="K172" s="8" t="s">
        <v>866</v>
      </c>
      <c r="L172" s="74">
        <v>-700000</v>
      </c>
      <c r="M172" s="74"/>
      <c r="N172" s="169">
        <f>LS[[#This Row],[Amount]]/LS[[#This Row],[Unit]]</f>
        <v>10</v>
      </c>
      <c r="O172" s="75">
        <f t="shared" ref="O172:O178" si="6">Q172/10</f>
        <v>-70000</v>
      </c>
      <c r="P172" s="75">
        <f>SUMIFS(LS[[#Headers],[Unit]]:LS[[#This Row],[Unit]],LS[[#Headers],[Investor ID]]:LS[[#This Row],[Investor ID]],LS[[#This Row],[Investor ID]])</f>
        <v>0</v>
      </c>
      <c r="Q172" s="74">
        <v>-700000</v>
      </c>
      <c r="R172" s="76">
        <f>LS[[#This Row],[Amount]]-LS[[#This Row],[Unit Capital]]</f>
        <v>0</v>
      </c>
      <c r="S172" s="169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172" s="169">
        <f t="shared" ref="T172:T178" si="7">IFERROR(NAV_MKT,0)</f>
        <v>12.552</v>
      </c>
      <c r="U172" s="74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72" s="74" cm="1">
        <f t="array" ref="V172">IF(LS[[#This Row],[B/S]]="S",ABS(LS[[#This Row],[Unit]])*(INDEX(LS[NAV at Cost (Average)],MATCH(CONCATENATE((LS[[#This Row],[Frequency]]-1),LS[[#This Row],[Investor ID]]),LS[Unique Code],0),0)),0)</f>
        <v>700000</v>
      </c>
      <c r="W172" s="74">
        <f>IF(LS[[#This Row],[BO Transfer]]="YES",LS[[#This Row],[Unit]],)</f>
        <v>0</v>
      </c>
      <c r="X172" s="3">
        <f>SUMIFS(LS[[#Headers],[BO UNIT TRANSFER]]:LS[[#This Row],[BO UNIT TRANSFER]],LS[[#Headers],[Investor ID]]:LS[[#This Row],[Investor ID]],LS[[#This Row],[Investor ID]])</f>
        <v>0</v>
      </c>
    </row>
    <row r="173" spans="2:24">
      <c r="B173" s="72">
        <v>2022</v>
      </c>
      <c r="C173" s="72">
        <v>2</v>
      </c>
      <c r="D173" s="72">
        <v>17</v>
      </c>
      <c r="E173" s="292">
        <f>DATE(LS[[#This Row],[Year]],LS[[#This Row],[Month]],LS[[#This Row],[Day]])</f>
        <v>44609</v>
      </c>
      <c r="F173" s="73" t="str" cm="1">
        <f t="array" ref="F173">INDEX(INVESTORS_LIST[INVESTOR NAME],MATCH(LS[[#This Row],[Investor ID]],INVESTORS_LIST[INVESTOR CODE],0),)</f>
        <v>JOY SHREE SAHA</v>
      </c>
      <c r="G173" s="19" t="s">
        <v>383</v>
      </c>
      <c r="H173" s="72">
        <f>COUNTIF(LS[[#Headers],[Investor ID]]:LS[[#This Row],[Investor ID]],LS[[#This Row],[Investor ID]])</f>
        <v>4</v>
      </c>
      <c r="I173" s="72" t="str">
        <f>CONCATENATE(LS[[#This Row],[Frequency]],LS[[#This Row],[Investor ID]])</f>
        <v>4A00263</v>
      </c>
      <c r="J173" s="72" t="str">
        <f>IF(LS[[#This Row],[B/S]]="B","BUY",(IF(LS[[#This Row],[B/S]]="S","SELL"," ")))</f>
        <v>SELL</v>
      </c>
      <c r="K173" s="8" t="s">
        <v>866</v>
      </c>
      <c r="L173" s="74">
        <v>-4000000</v>
      </c>
      <c r="M173" s="74"/>
      <c r="N173" s="169">
        <f>LS[[#This Row],[Amount]]/LS[[#This Row],[Unit]]</f>
        <v>10</v>
      </c>
      <c r="O173" s="75">
        <f t="shared" si="6"/>
        <v>-400000</v>
      </c>
      <c r="P173" s="75">
        <f>SUMIFS(LS[[#Headers],[Unit]]:LS[[#This Row],[Unit]],LS[[#Headers],[Investor ID]]:LS[[#This Row],[Investor ID]],LS[[#This Row],[Investor ID]])</f>
        <v>100000</v>
      </c>
      <c r="Q173" s="74">
        <v>-4000000</v>
      </c>
      <c r="R173" s="76">
        <f>LS[[#This Row],[Amount]]-LS[[#This Row],[Unit Capital]]</f>
        <v>0</v>
      </c>
      <c r="S173" s="169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73" s="169">
        <f t="shared" si="7"/>
        <v>12.552</v>
      </c>
      <c r="U173" s="74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73" s="74" cm="1">
        <f t="array" ref="V173">IF(LS[[#This Row],[B/S]]="S",ABS(LS[[#This Row],[Unit]])*(INDEX(LS[NAV at Cost (Average)],MATCH(CONCATENATE((LS[[#This Row],[Frequency]]-1),LS[[#This Row],[Investor ID]]),LS[Unique Code],0),0)),0)</f>
        <v>4000000</v>
      </c>
      <c r="W173" s="74">
        <f>IF(LS[[#This Row],[BO Transfer]]="YES",LS[[#This Row],[Unit]],)</f>
        <v>0</v>
      </c>
      <c r="X173" s="3">
        <f>SUMIFS(LS[[#Headers],[BO UNIT TRANSFER]]:LS[[#This Row],[BO UNIT TRANSFER]],LS[[#Headers],[Investor ID]]:LS[[#This Row],[Investor ID]],LS[[#This Row],[Investor ID]])</f>
        <v>0</v>
      </c>
    </row>
    <row r="174" spans="2:24">
      <c r="B174" s="72">
        <v>2022</v>
      </c>
      <c r="C174" s="72">
        <v>2</v>
      </c>
      <c r="D174" s="72">
        <v>17</v>
      </c>
      <c r="E174" s="292">
        <f>DATE(LS[[#This Row],[Year]],LS[[#This Row],[Month]],LS[[#This Row],[Day]])</f>
        <v>44609</v>
      </c>
      <c r="F174" s="73" t="str" cm="1">
        <f t="array" ref="F174">INDEX(INVESTORS_LIST[INVESTOR NAME],MATCH(LS[[#This Row],[Investor ID]],INVESTORS_LIST[INVESTOR CODE],0),)</f>
        <v>ZAIN MOHAMMAD YASEEN</v>
      </c>
      <c r="G174" s="19" t="s">
        <v>686</v>
      </c>
      <c r="H174" s="72">
        <f>COUNTIF(LS[[#Headers],[Investor ID]]:LS[[#This Row],[Investor ID]],LS[[#This Row],[Investor ID]])</f>
        <v>2</v>
      </c>
      <c r="I174" s="72" t="str">
        <f>CONCATENATE(LS[[#This Row],[Frequency]],LS[[#This Row],[Investor ID]])</f>
        <v>2A00370</v>
      </c>
      <c r="J174" s="72" t="str">
        <f>IF(LS[[#This Row],[B/S]]="B","BUY",(IF(LS[[#This Row],[B/S]]="S","SELL"," ")))</f>
        <v>BUY</v>
      </c>
      <c r="K174" s="8" t="s">
        <v>301</v>
      </c>
      <c r="L174" s="74">
        <v>11111</v>
      </c>
      <c r="M174" s="74"/>
      <c r="N174" s="169">
        <f>LS[[#This Row],[Amount]]/LS[[#This Row],[Unit]]</f>
        <v>10.000900090009001</v>
      </c>
      <c r="O174" s="75">
        <f t="shared" si="6"/>
        <v>1111</v>
      </c>
      <c r="P174" s="75">
        <f>SUMIFS(LS[[#Headers],[Unit]]:LS[[#This Row],[Unit]],LS[[#Headers],[Investor ID]]:LS[[#This Row],[Investor ID]],LS[[#This Row],[Investor ID]])</f>
        <v>3111</v>
      </c>
      <c r="Q174" s="74">
        <v>11110</v>
      </c>
      <c r="R174" s="76">
        <f>LS[[#This Row],[Amount]]-LS[[#This Row],[Unit Capital]]</f>
        <v>1</v>
      </c>
      <c r="S174" s="169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10.00032144005143</v>
      </c>
      <c r="T174" s="169">
        <f t="shared" si="7"/>
        <v>12.552</v>
      </c>
      <c r="U174" s="74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74" s="74" cm="1">
        <f t="array" ref="V174">IF(LS[[#This Row],[B/S]]="S",ABS(LS[[#This Row],[Unit]])*(INDEX(LS[NAV at Cost (Average)],MATCH(CONCATENATE((LS[[#This Row],[Frequency]]-1),LS[[#This Row],[Investor ID]]),LS[Unique Code],0),0)),0)</f>
        <v>0</v>
      </c>
      <c r="W174" s="74">
        <f>IF(LS[[#This Row],[BO Transfer]]="YES",LS[[#This Row],[Unit]],)</f>
        <v>0</v>
      </c>
      <c r="X174" s="3">
        <f>SUMIFS(LS[[#Headers],[BO UNIT TRANSFER]]:LS[[#This Row],[BO UNIT TRANSFER]],LS[[#Headers],[Investor ID]]:LS[[#This Row],[Investor ID]],LS[[#This Row],[Investor ID]])</f>
        <v>0</v>
      </c>
    </row>
    <row r="175" spans="2:24">
      <c r="B175" s="72">
        <v>2022</v>
      </c>
      <c r="C175" s="72">
        <v>2</v>
      </c>
      <c r="D175" s="72">
        <v>17</v>
      </c>
      <c r="E175" s="292">
        <f>DATE(LS[[#This Row],[Year]],LS[[#This Row],[Month]],LS[[#This Row],[Day]])</f>
        <v>44609</v>
      </c>
      <c r="F175" s="73" t="str" cm="1">
        <f t="array" ref="F175">INDEX(INVESTORS_LIST[INVESTOR NAME],MATCH(LS[[#This Row],[Investor ID]],INVESTORS_LIST[INVESTOR CODE],0),)</f>
        <v>MD. MUKIT MURSHED</v>
      </c>
      <c r="G175" s="19" t="s">
        <v>861</v>
      </c>
      <c r="H175" s="72">
        <f>COUNTIF(LS[[#Headers],[Investor ID]]:LS[[#This Row],[Investor ID]],LS[[#This Row],[Investor ID]])</f>
        <v>1</v>
      </c>
      <c r="I175" s="72" t="str">
        <f>CONCATENATE(LS[[#This Row],[Frequency]],LS[[#This Row],[Investor ID]])</f>
        <v>1A00393</v>
      </c>
      <c r="J175" s="72" t="str">
        <f>IF(LS[[#This Row],[B/S]]="B","BUY",(IF(LS[[#This Row],[B/S]]="S","SELL"," ")))</f>
        <v>BUY</v>
      </c>
      <c r="K175" s="8" t="s">
        <v>301</v>
      </c>
      <c r="L175" s="74">
        <v>100000</v>
      </c>
      <c r="M175" s="74"/>
      <c r="N175" s="169">
        <f>LS[[#This Row],[Amount]]/LS[[#This Row],[Unit]]</f>
        <v>10</v>
      </c>
      <c r="O175" s="75">
        <f t="shared" si="6"/>
        <v>10000</v>
      </c>
      <c r="P175" s="75">
        <f>SUMIFS(LS[[#Headers],[Unit]]:LS[[#This Row],[Unit]],LS[[#Headers],[Investor ID]]:LS[[#This Row],[Investor ID]],LS[[#This Row],[Investor ID]])</f>
        <v>10000</v>
      </c>
      <c r="Q175" s="74">
        <v>100000</v>
      </c>
      <c r="R175" s="76">
        <f>LS[[#This Row],[Amount]]-LS[[#This Row],[Unit Capital]]</f>
        <v>0</v>
      </c>
      <c r="S175" s="169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75" s="169">
        <f t="shared" si="7"/>
        <v>12.552</v>
      </c>
      <c r="U175" s="74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75" s="74" cm="1">
        <f t="array" ref="V175">IF(LS[[#This Row],[B/S]]="S",ABS(LS[[#This Row],[Unit]])*(INDEX(LS[NAV at Cost (Average)],MATCH(CONCATENATE((LS[[#This Row],[Frequency]]-1),LS[[#This Row],[Investor ID]]),LS[Unique Code],0),0)),0)</f>
        <v>0</v>
      </c>
      <c r="W175" s="74">
        <f>IF(LS[[#This Row],[BO Transfer]]="YES",LS[[#This Row],[Unit]],)</f>
        <v>0</v>
      </c>
      <c r="X175" s="3">
        <f>SUMIFS(LS[[#Headers],[BO UNIT TRANSFER]]:LS[[#This Row],[BO UNIT TRANSFER]],LS[[#Headers],[Investor ID]]:LS[[#This Row],[Investor ID]],LS[[#This Row],[Investor ID]])</f>
        <v>0</v>
      </c>
    </row>
    <row r="176" spans="2:24">
      <c r="B176" s="8">
        <v>2022</v>
      </c>
      <c r="C176" s="8">
        <v>2</v>
      </c>
      <c r="D176" s="8">
        <v>20</v>
      </c>
      <c r="E176" s="291">
        <f>DATE(LS[[#This Row],[Year]],LS[[#This Row],[Month]],LS[[#This Row],[Day]])</f>
        <v>44612</v>
      </c>
      <c r="F176" t="str" cm="1">
        <f t="array" ref="F176">INDEX(INVESTORS_LIST[INVESTOR NAME],MATCH(LS[[#This Row],[Investor ID]],INVESTORS_LIST[INVESTOR CODE],0),)</f>
        <v>MD. WABAIDULLAH RAHAMAN</v>
      </c>
      <c r="G176" s="19" t="s">
        <v>863</v>
      </c>
      <c r="H176" s="8">
        <f>COUNTIF(LS[[#Headers],[Investor ID]]:LS[[#This Row],[Investor ID]],LS[[#This Row],[Investor ID]])</f>
        <v>1</v>
      </c>
      <c r="I176" s="8" t="str">
        <f>CONCATENATE(LS[[#This Row],[Frequency]],LS[[#This Row],[Investor ID]])</f>
        <v>1A00394</v>
      </c>
      <c r="J176" s="8" t="str">
        <f>IF(LS[[#This Row],[B/S]]="B","BUY",(IF(LS[[#This Row],[B/S]]="S","SELL"," ")))</f>
        <v>BUY</v>
      </c>
      <c r="K176" s="8" t="s">
        <v>301</v>
      </c>
      <c r="L176" s="10">
        <v>50000</v>
      </c>
      <c r="M176" s="10"/>
      <c r="N176" s="168">
        <f>LS[[#This Row],[Amount]]/LS[[#This Row],[Unit]]</f>
        <v>9.9900099900099892</v>
      </c>
      <c r="O176" s="11">
        <f t="shared" si="6"/>
        <v>5005</v>
      </c>
      <c r="P176" s="11">
        <f>SUMIFS(LS[[#Headers],[Unit]]:LS[[#This Row],[Unit]],LS[[#Headers],[Investor ID]]:LS[[#This Row],[Investor ID]],LS[[#This Row],[Investor ID]])</f>
        <v>5005</v>
      </c>
      <c r="Q176" s="10">
        <v>50050</v>
      </c>
      <c r="R176" s="6">
        <f>LS[[#This Row],[Amount]]-LS[[#This Row],[Unit Capital]]</f>
        <v>-50</v>
      </c>
      <c r="S17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9.9900099900099892</v>
      </c>
      <c r="T176" s="168">
        <f t="shared" si="7"/>
        <v>12.552</v>
      </c>
      <c r="U17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76" s="10" cm="1">
        <f t="array" ref="V176">IF(LS[[#This Row],[B/S]]="S",ABS(LS[[#This Row],[Unit]])*(INDEX(LS[NAV at Cost (Average)],MATCH(CONCATENATE((LS[[#This Row],[Frequency]]-1),LS[[#This Row],[Investor ID]]),LS[Unique Code],0),0)),0)</f>
        <v>0</v>
      </c>
      <c r="W176" s="10">
        <f>IF(LS[[#This Row],[BO Transfer]]="YES",LS[[#This Row],[Unit]],)</f>
        <v>0</v>
      </c>
      <c r="X176" s="3">
        <f>SUMIFS(LS[[#Headers],[BO UNIT TRANSFER]]:LS[[#This Row],[BO UNIT TRANSFER]],LS[[#Headers],[Investor ID]]:LS[[#This Row],[Investor ID]],LS[[#This Row],[Investor ID]])</f>
        <v>0</v>
      </c>
    </row>
    <row r="177" spans="2:27">
      <c r="B177" s="8">
        <v>2022</v>
      </c>
      <c r="C177" s="8">
        <v>2</v>
      </c>
      <c r="D177" s="8">
        <v>27</v>
      </c>
      <c r="E177" s="291">
        <f>DATE(LS[[#This Row],[Year]],LS[[#This Row],[Month]],LS[[#This Row],[Day]])</f>
        <v>44619</v>
      </c>
      <c r="F177" t="str" cm="1">
        <f t="array" ref="F177">INDEX(INVESTORS_LIST[INVESTOR NAME],MATCH(LS[[#This Row],[Investor ID]],INVESTORS_LIST[INVESTOR CODE],0),)</f>
        <v>LILY RANI PAUL</v>
      </c>
      <c r="G177" s="19" t="s">
        <v>91</v>
      </c>
      <c r="H177" s="8">
        <f>COUNTIF(LS[[#Headers],[Investor ID]]:LS[[#This Row],[Investor ID]],LS[[#This Row],[Investor ID]])</f>
        <v>3</v>
      </c>
      <c r="I177" s="8" t="str">
        <f>CONCATENATE(LS[[#This Row],[Frequency]],LS[[#This Row],[Investor ID]])</f>
        <v>3A00083</v>
      </c>
      <c r="J177" s="8" t="str">
        <f>IF(LS[[#This Row],[B/S]]="B","BUY",(IF(LS[[#This Row],[B/S]]="S","SELL"," ")))</f>
        <v>SELL</v>
      </c>
      <c r="K177" s="8" t="s">
        <v>866</v>
      </c>
      <c r="L177" s="10">
        <v>-1098900</v>
      </c>
      <c r="M177" s="10"/>
      <c r="N177" s="168">
        <f>LS[[#This Row],[Amount]]/LS[[#This Row],[Unit]]</f>
        <v>9.99</v>
      </c>
      <c r="O177" s="11">
        <f t="shared" si="6"/>
        <v>-110000</v>
      </c>
      <c r="P177" s="11">
        <f>SUMIFS(LS[[#Headers],[Unit]]:LS[[#This Row],[Unit]],LS[[#Headers],[Investor ID]]:LS[[#This Row],[Investor ID]],LS[[#This Row],[Investor ID]])</f>
        <v>0</v>
      </c>
      <c r="Q177" s="10">
        <v>-1100000</v>
      </c>
      <c r="R177" s="6">
        <f>LS[[#This Row],[Amount]]-LS[[#This Row],[Unit Capital]]</f>
        <v>1100</v>
      </c>
      <c r="S17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177" s="168">
        <f t="shared" si="7"/>
        <v>12.552</v>
      </c>
      <c r="U177" s="10">
        <f>IF(LS[[#This Row],[B/S]]="B",0,ABS(LS[[#This Row],[Unit]])*(LS[[#This Row],[NAV (Strike Rate)]]-INDEX(LS[NAV at Cost (Average)],MATCH(CONCATENATE(LS[[#This Row],[Frequency]]-1,LS[[#This Row],[Investor ID]]),LS[Unique Code],0),)))</f>
        <v>-1099.9999999999766</v>
      </c>
      <c r="V177" s="10" cm="1">
        <f t="array" ref="V177">IF(LS[[#This Row],[B/S]]="S",ABS(LS[[#This Row],[Unit]])*(INDEX(LS[NAV at Cost (Average)],MATCH(CONCATENATE((LS[[#This Row],[Frequency]]-1),LS[[#This Row],[Investor ID]]),LS[Unique Code],0),0)),0)</f>
        <v>1100000</v>
      </c>
      <c r="W177" s="10">
        <f>IF(LS[[#This Row],[BO Transfer]]="YES",LS[[#This Row],[Unit]],)</f>
        <v>0</v>
      </c>
      <c r="X177" s="3">
        <f>SUMIFS(LS[[#Headers],[BO UNIT TRANSFER]]:LS[[#This Row],[BO UNIT TRANSFER]],LS[[#Headers],[Investor ID]]:LS[[#This Row],[Investor ID]],LS[[#This Row],[Investor ID]])</f>
        <v>0</v>
      </c>
    </row>
    <row r="178" spans="2:27">
      <c r="B178" s="8">
        <v>2022</v>
      </c>
      <c r="C178" s="8">
        <v>2</v>
      </c>
      <c r="D178" s="8">
        <v>27</v>
      </c>
      <c r="E178" s="291">
        <f>DATE(LS[[#This Row],[Year]],LS[[#This Row],[Month]],LS[[#This Row],[Day]])</f>
        <v>44619</v>
      </c>
      <c r="F178" t="str" cm="1">
        <f t="array" ref="F178">INDEX(INVESTORS_LIST[INVESTOR NAME],MATCH(LS[[#This Row],[Investor ID]],INVESTORS_LIST[INVESTOR CODE],0),)</f>
        <v>GOURI TOSH PAUL</v>
      </c>
      <c r="G178" s="19" t="s">
        <v>416</v>
      </c>
      <c r="H178" s="8">
        <f>COUNTIF(LS[[#Headers],[Investor ID]]:LS[[#This Row],[Investor ID]],LS[[#This Row],[Investor ID]])</f>
        <v>3</v>
      </c>
      <c r="I178" s="8" t="str">
        <f>CONCATENATE(LS[[#This Row],[Frequency]],LS[[#This Row],[Investor ID]])</f>
        <v>3A00279</v>
      </c>
      <c r="J178" s="8" t="str">
        <f>IF(LS[[#This Row],[B/S]]="B","BUY",(IF(LS[[#This Row],[B/S]]="S","SELL"," ")))</f>
        <v>SELL</v>
      </c>
      <c r="K178" s="8" t="s">
        <v>866</v>
      </c>
      <c r="L178" s="10">
        <v>-1398600</v>
      </c>
      <c r="M178" s="10"/>
      <c r="N178" s="168">
        <f>LS[[#This Row],[Amount]]/LS[[#This Row],[Unit]]</f>
        <v>9.99</v>
      </c>
      <c r="O178" s="11">
        <f t="shared" si="6"/>
        <v>-140000</v>
      </c>
      <c r="P178" s="11">
        <f>SUMIFS(LS[[#Headers],[Unit]]:LS[[#This Row],[Unit]],LS[[#Headers],[Investor ID]]:LS[[#This Row],[Investor ID]],LS[[#This Row],[Investor ID]])</f>
        <v>0</v>
      </c>
      <c r="Q178" s="10">
        <v>-1400000</v>
      </c>
      <c r="R178" s="6">
        <f>LS[[#This Row],[Amount]]-LS[[#This Row],[Unit Capital]]</f>
        <v>1400</v>
      </c>
      <c r="S17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178" s="168">
        <f t="shared" si="7"/>
        <v>12.552</v>
      </c>
      <c r="U178" s="10">
        <f>IF(LS[[#This Row],[B/S]]="B",0,ABS(LS[[#This Row],[Unit]])*(LS[[#This Row],[NAV (Strike Rate)]]-INDEX(LS[NAV at Cost (Average)],MATCH(CONCATENATE(LS[[#This Row],[Frequency]]-1,LS[[#This Row],[Investor ID]]),LS[Unique Code],0),)))</f>
        <v>-1399.9999999999702</v>
      </c>
      <c r="V178" s="10" cm="1">
        <f t="array" ref="V178">IF(LS[[#This Row],[B/S]]="S",ABS(LS[[#This Row],[Unit]])*(INDEX(LS[NAV at Cost (Average)],MATCH(CONCATENATE((LS[[#This Row],[Frequency]]-1),LS[[#This Row],[Investor ID]]),LS[Unique Code],0),0)),0)</f>
        <v>1400000</v>
      </c>
      <c r="W178" s="10">
        <f>IF(LS[[#This Row],[BO Transfer]]="YES",LS[[#This Row],[Unit]],)</f>
        <v>0</v>
      </c>
      <c r="X178" s="3">
        <f>SUMIFS(LS[[#Headers],[BO UNIT TRANSFER]]:LS[[#This Row],[BO UNIT TRANSFER]],LS[[#Headers],[Investor ID]]:LS[[#This Row],[Investor ID]],LS[[#This Row],[Investor ID]])</f>
        <v>0</v>
      </c>
    </row>
    <row r="179" spans="2:27">
      <c r="B179" s="8">
        <v>2022</v>
      </c>
      <c r="C179" s="8">
        <v>2</v>
      </c>
      <c r="D179" s="8">
        <v>27</v>
      </c>
      <c r="E179" s="291">
        <f>DATE(LS[[#This Row],[Year]],LS[[#This Row],[Month]],LS[[#This Row],[Day]])</f>
        <v>44619</v>
      </c>
      <c r="F179" t="str" cm="1">
        <f t="array" ref="F179">INDEX(INVESTORS_LIST[INVESTOR NAME],MATCH(LS[[#This Row],[Investor ID]],INVESTORS_LIST[INVESTOR CODE],0),)</f>
        <v>JOY SHREE SAHA</v>
      </c>
      <c r="G179" s="19" t="s">
        <v>383</v>
      </c>
      <c r="H179" s="8">
        <f>COUNTIF(LS[[#Headers],[Investor ID]]:LS[[#This Row],[Investor ID]],LS[[#This Row],[Investor ID]])</f>
        <v>5</v>
      </c>
      <c r="I179" s="8" t="str">
        <f>CONCATENATE(LS[[#This Row],[Frequency]],LS[[#This Row],[Investor ID]])</f>
        <v>5A00263</v>
      </c>
      <c r="J179" s="8" t="str">
        <f>IF(LS[[#This Row],[B/S]]="B","BUY",(IF(LS[[#This Row],[B/S]]="S","SELL"," ")))</f>
        <v>SELL</v>
      </c>
      <c r="K179" s="8" t="s">
        <v>866</v>
      </c>
      <c r="L179" s="10">
        <v>-997610</v>
      </c>
      <c r="M179" s="10"/>
      <c r="N179" s="168">
        <f>LS[[#This Row],[Amount]]/LS[[#This Row],[Unit]]</f>
        <v>9.9761000000000006</v>
      </c>
      <c r="O179" s="11">
        <f t="shared" ref="O179:O180" si="8">Q179/10</f>
        <v>-100000</v>
      </c>
      <c r="P179" s="11">
        <f>SUMIFS(LS[[#Headers],[Unit]]:LS[[#This Row],[Unit]],LS[[#Headers],[Investor ID]]:LS[[#This Row],[Investor ID]],LS[[#This Row],[Investor ID]])</f>
        <v>0</v>
      </c>
      <c r="Q179" s="10">
        <v>-1000000</v>
      </c>
      <c r="R179" s="6">
        <f>LS[[#This Row],[Amount]]-LS[[#This Row],[Unit Capital]]</f>
        <v>2390</v>
      </c>
      <c r="S17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179" s="168">
        <f t="shared" ref="T179:T185" si="9">IFERROR(NAV_MKT,0)</f>
        <v>12.552</v>
      </c>
      <c r="U179" s="10">
        <f>IF(LS[[#This Row],[B/S]]="B",0,ABS(LS[[#This Row],[Unit]])*(LS[[#This Row],[NAV (Strike Rate)]]-INDEX(LS[NAV at Cost (Average)],MATCH(CONCATENATE(LS[[#This Row],[Frequency]]-1,LS[[#This Row],[Investor ID]]),LS[Unique Code],0),)))</f>
        <v>-2389.9999999999368</v>
      </c>
      <c r="V179" s="10" cm="1">
        <f t="array" ref="V179">IF(LS[[#This Row],[B/S]]="S",ABS(LS[[#This Row],[Unit]])*(INDEX(LS[NAV at Cost (Average)],MATCH(CONCATENATE((LS[[#This Row],[Frequency]]-1),LS[[#This Row],[Investor ID]]),LS[Unique Code],0),0)),0)</f>
        <v>1000000</v>
      </c>
      <c r="W179" s="10">
        <f>IF(LS[[#This Row],[BO Transfer]]="YES",LS[[#This Row],[Unit]],)</f>
        <v>0</v>
      </c>
      <c r="X179" s="3">
        <f>SUMIFS(LS[[#Headers],[BO UNIT TRANSFER]]:LS[[#This Row],[BO UNIT TRANSFER]],LS[[#Headers],[Investor ID]]:LS[[#This Row],[Investor ID]],LS[[#This Row],[Investor ID]])</f>
        <v>0</v>
      </c>
    </row>
    <row r="180" spans="2:27">
      <c r="B180" s="8">
        <v>2022</v>
      </c>
      <c r="C180" s="8">
        <v>3</v>
      </c>
      <c r="D180" s="8">
        <v>2</v>
      </c>
      <c r="E180" s="291">
        <f>DATE(LS[[#This Row],[Year]],LS[[#This Row],[Month]],LS[[#This Row],[Day]])</f>
        <v>44622</v>
      </c>
      <c r="F180" t="str" cm="1">
        <f t="array" ref="F180">INDEX(INVESTORS_LIST[INVESTOR NAME],MATCH(LS[[#This Row],[Investor ID]],INVESTORS_LIST[INVESTOR CODE],0),)</f>
        <v>B.M. MIRAZ HOSSAIN</v>
      </c>
      <c r="G180" s="19" t="s">
        <v>694</v>
      </c>
      <c r="H180" s="8">
        <f>COUNTIF(LS[[#Headers],[Investor ID]]:LS[[#This Row],[Investor ID]],LS[[#This Row],[Investor ID]])</f>
        <v>3</v>
      </c>
      <c r="I180" s="8" t="str">
        <f>CONCATENATE(LS[[#This Row],[Frequency]],LS[[#This Row],[Investor ID]])</f>
        <v>3A00374</v>
      </c>
      <c r="J180" s="8" t="str">
        <f>IF(LS[[#This Row],[B/S]]="B","BUY",(IF(LS[[#This Row],[B/S]]="S","SELL"," ")))</f>
        <v>SELL</v>
      </c>
      <c r="K180" s="8" t="s">
        <v>866</v>
      </c>
      <c r="L180" s="10">
        <v>-99700</v>
      </c>
      <c r="M180" s="10"/>
      <c r="N180" s="168">
        <f>LS[[#This Row],[Amount]]/LS[[#This Row],[Unit]]</f>
        <v>9.9700000000000006</v>
      </c>
      <c r="O180" s="11">
        <f t="shared" si="8"/>
        <v>-10000</v>
      </c>
      <c r="P180" s="11">
        <f>SUMIFS(LS[[#Headers],[Unit]]:LS[[#This Row],[Unit]],LS[[#Headers],[Investor ID]]:LS[[#This Row],[Investor ID]],LS[[#This Row],[Investor ID]])</f>
        <v>0</v>
      </c>
      <c r="Q180" s="10">
        <v>-100000</v>
      </c>
      <c r="R180" s="6">
        <f>LS[[#This Row],[Amount]]-LS[[#This Row],[Unit Capital]]</f>
        <v>300</v>
      </c>
      <c r="S18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180" s="168">
        <f t="shared" si="9"/>
        <v>12.552</v>
      </c>
      <c r="U180" s="10">
        <f>IF(LS[[#This Row],[B/S]]="B",0,ABS(LS[[#This Row],[Unit]])*(LS[[#This Row],[NAV (Strike Rate)]]-INDEX(LS[NAV at Cost (Average)],MATCH(CONCATENATE(LS[[#This Row],[Frequency]]-1,LS[[#This Row],[Investor ID]]),LS[Unique Code],0),)))</f>
        <v>-299.99999999999363</v>
      </c>
      <c r="V180" s="10" cm="1">
        <f t="array" ref="V180">IF(LS[[#This Row],[B/S]]="S",ABS(LS[[#This Row],[Unit]])*(INDEX(LS[NAV at Cost (Average)],MATCH(CONCATENATE((LS[[#This Row],[Frequency]]-1),LS[[#This Row],[Investor ID]]),LS[Unique Code],0),0)),0)</f>
        <v>100000</v>
      </c>
      <c r="W180" s="10">
        <f>IF(LS[[#This Row],[BO Transfer]]="YES",LS[[#This Row],[Unit]],)</f>
        <v>0</v>
      </c>
      <c r="X180" s="3">
        <f>SUMIFS(LS[[#Headers],[BO UNIT TRANSFER]]:LS[[#This Row],[BO UNIT TRANSFER]],LS[[#Headers],[Investor ID]]:LS[[#This Row],[Investor ID]],LS[[#This Row],[Investor ID]])</f>
        <v>0</v>
      </c>
    </row>
    <row r="181" spans="2:27">
      <c r="B181" s="8">
        <v>2022</v>
      </c>
      <c r="C181" s="8">
        <v>3</v>
      </c>
      <c r="D181" s="8">
        <v>3</v>
      </c>
      <c r="E181" s="291">
        <f>DATE(LS[[#This Row],[Year]],LS[[#This Row],[Month]],LS[[#This Row],[Day]])</f>
        <v>44623</v>
      </c>
      <c r="F181" t="str" cm="1">
        <f t="array" ref="F181">INDEX(INVESTORS_LIST[INVESTOR NAME],MATCH(LS[[#This Row],[Investor ID]],INVESTORS_LIST[INVESTOR CODE],0),)</f>
        <v>K.M SAKIB AHMED</v>
      </c>
      <c r="G181" s="19" t="s">
        <v>270</v>
      </c>
      <c r="H181" s="8">
        <f>COUNTIF(LS[[#Headers],[Investor ID]]:LS[[#This Row],[Investor ID]],LS[[#This Row],[Investor ID]])</f>
        <v>2</v>
      </c>
      <c r="I181" s="8" t="str">
        <f>CONCATENATE(LS[[#This Row],[Frequency]],LS[[#This Row],[Investor ID]])</f>
        <v>2A00215</v>
      </c>
      <c r="J181" s="8" t="str">
        <f>IF(LS[[#This Row],[B/S]]="B","BUY",(IF(LS[[#This Row],[B/S]]="S","SELL"," ")))</f>
        <v>SELL</v>
      </c>
      <c r="K181" s="8" t="s">
        <v>866</v>
      </c>
      <c r="L181" s="10">
        <v>-897300</v>
      </c>
      <c r="M181" s="10"/>
      <c r="N181" s="168">
        <f>LS[[#This Row],[Amount]]/LS[[#This Row],[Unit]]</f>
        <v>9.9700000000000006</v>
      </c>
      <c r="O181" s="11">
        <f t="shared" ref="O181:O186" si="10">Q181/10</f>
        <v>-90000</v>
      </c>
      <c r="P181" s="11">
        <f>SUMIFS(LS[[#Headers],[Unit]]:LS[[#This Row],[Unit]],LS[[#Headers],[Investor ID]]:LS[[#This Row],[Investor ID]],LS[[#This Row],[Investor ID]])</f>
        <v>0</v>
      </c>
      <c r="Q181" s="10">
        <v>-900000</v>
      </c>
      <c r="R181" s="6">
        <f>LS[[#This Row],[Amount]]-LS[[#This Row],[Unit Capital]]</f>
        <v>2700</v>
      </c>
      <c r="S18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181" s="168">
        <f t="shared" si="9"/>
        <v>12.552</v>
      </c>
      <c r="U181" s="10">
        <f>IF(LS[[#This Row],[B/S]]="B",0,ABS(LS[[#This Row],[Unit]])*(LS[[#This Row],[NAV (Strike Rate)]]-INDEX(LS[NAV at Cost (Average)],MATCH(CONCATENATE(LS[[#This Row],[Frequency]]-1,LS[[#This Row],[Investor ID]]),LS[Unique Code],0),)))</f>
        <v>-2699.9999999999422</v>
      </c>
      <c r="V181" s="10" cm="1">
        <f t="array" ref="V181">IF(LS[[#This Row],[B/S]]="S",ABS(LS[[#This Row],[Unit]])*(INDEX(LS[NAV at Cost (Average)],MATCH(CONCATENATE((LS[[#This Row],[Frequency]]-1),LS[[#This Row],[Investor ID]]),LS[Unique Code],0),0)),0)</f>
        <v>900000</v>
      </c>
      <c r="W181" s="10">
        <f>IF(LS[[#This Row],[BO Transfer]]="YES",LS[[#This Row],[Unit]],)</f>
        <v>0</v>
      </c>
      <c r="X181" s="3">
        <f>SUMIFS(LS[[#Headers],[BO UNIT TRANSFER]]:LS[[#This Row],[BO UNIT TRANSFER]],LS[[#Headers],[Investor ID]]:LS[[#This Row],[Investor ID]],LS[[#This Row],[Investor ID]])</f>
        <v>0</v>
      </c>
    </row>
    <row r="182" spans="2:27">
      <c r="B182" s="8">
        <v>2022</v>
      </c>
      <c r="C182" s="8">
        <v>3</v>
      </c>
      <c r="D182" s="8">
        <v>3</v>
      </c>
      <c r="E182" s="291">
        <f>DATE(LS[[#This Row],[Year]],LS[[#This Row],[Month]],LS[[#This Row],[Day]])</f>
        <v>44623</v>
      </c>
      <c r="F182" t="str" cm="1">
        <f t="array" ref="F182">INDEX(INVESTORS_LIST[INVESTOR NAME],MATCH(LS[[#This Row],[Investor ID]],INVESTORS_LIST[INVESTOR CODE],0),)</f>
        <v>BISWAS ARIFUR RAHMAN</v>
      </c>
      <c r="G182" s="19" t="s">
        <v>14</v>
      </c>
      <c r="H182" s="8">
        <f>COUNTIF(LS[[#Headers],[Investor ID]]:LS[[#This Row],[Investor ID]],LS[[#This Row],[Investor ID]])</f>
        <v>2</v>
      </c>
      <c r="I182" s="8" t="str">
        <f>CONCATENATE(LS[[#This Row],[Frequency]],LS[[#This Row],[Investor ID]])</f>
        <v>2A00007</v>
      </c>
      <c r="J182" s="8" t="str">
        <f>IF(LS[[#This Row],[B/S]]="B","BUY",(IF(LS[[#This Row],[B/S]]="S","SELL"," ")))</f>
        <v>SELL</v>
      </c>
      <c r="K182" s="8" t="s">
        <v>866</v>
      </c>
      <c r="L182" s="10">
        <v>-199000</v>
      </c>
      <c r="M182" s="10"/>
      <c r="N182" s="168">
        <f>LS[[#This Row],[Amount]]/LS[[#This Row],[Unit]]</f>
        <v>9.9499999999999993</v>
      </c>
      <c r="O182" s="11">
        <f t="shared" si="10"/>
        <v>-20000</v>
      </c>
      <c r="P182" s="11">
        <f>SUMIFS(LS[[#Headers],[Unit]]:LS[[#This Row],[Unit]],LS[[#Headers],[Investor ID]]:LS[[#This Row],[Investor ID]],LS[[#This Row],[Investor ID]])</f>
        <v>0</v>
      </c>
      <c r="Q182" s="10">
        <v>-200000</v>
      </c>
      <c r="R182" s="6">
        <f>LS[[#This Row],[Amount]]-LS[[#This Row],[Unit Capital]]</f>
        <v>1000</v>
      </c>
      <c r="S18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182" s="168">
        <f t="shared" si="9"/>
        <v>12.552</v>
      </c>
      <c r="U182" s="10">
        <f>IF(LS[[#This Row],[B/S]]="B",0,ABS(LS[[#This Row],[Unit]])*(LS[[#This Row],[NAV (Strike Rate)]]-INDEX(LS[NAV at Cost (Average)],MATCH(CONCATENATE(LS[[#This Row],[Frequency]]-1,LS[[#This Row],[Investor ID]]),LS[Unique Code],0),)))</f>
        <v>-1000.0000000000142</v>
      </c>
      <c r="V182" s="10" cm="1">
        <f t="array" ref="V182">IF(LS[[#This Row],[B/S]]="S",ABS(LS[[#This Row],[Unit]])*(INDEX(LS[NAV at Cost (Average)],MATCH(CONCATENATE((LS[[#This Row],[Frequency]]-1),LS[[#This Row],[Investor ID]]),LS[Unique Code],0),0)),0)</f>
        <v>200000</v>
      </c>
      <c r="W182" s="10">
        <f>IF(LS[[#This Row],[BO Transfer]]="YES",LS[[#This Row],[Unit]],)</f>
        <v>0</v>
      </c>
      <c r="X182" s="3">
        <f>SUMIFS(LS[[#Headers],[BO UNIT TRANSFER]]:LS[[#This Row],[BO UNIT TRANSFER]],LS[[#Headers],[Investor ID]]:LS[[#This Row],[Investor ID]],LS[[#This Row],[Investor ID]])</f>
        <v>0</v>
      </c>
    </row>
    <row r="183" spans="2:27">
      <c r="B183" s="8">
        <v>2022</v>
      </c>
      <c r="C183" s="8">
        <v>3</v>
      </c>
      <c r="D183" s="8">
        <v>15</v>
      </c>
      <c r="E183" s="291">
        <f>DATE(LS[[#This Row],[Year]],LS[[#This Row],[Month]],LS[[#This Row],[Day]])</f>
        <v>44635</v>
      </c>
      <c r="F183" t="str" cm="1">
        <f t="array" ref="F183">INDEX(INVESTORS_LIST[INVESTOR NAME],MATCH(LS[[#This Row],[Investor ID]],INVESTORS_LIST[INVESTOR CODE],0),)</f>
        <v>FAHMIDA HAQUE</v>
      </c>
      <c r="G183" s="19" t="s">
        <v>33</v>
      </c>
      <c r="H183" s="8">
        <f>COUNTIF(LS[[#Headers],[Investor ID]]:LS[[#This Row],[Investor ID]],LS[[#This Row],[Investor ID]])</f>
        <v>1</v>
      </c>
      <c r="I183" s="8" t="str">
        <f>CONCATENATE(LS[[#This Row],[Frequency]],LS[[#This Row],[Investor ID]])</f>
        <v>1A00026</v>
      </c>
      <c r="J183" s="8" t="str">
        <f>IF(LS[[#This Row],[B/S]]="B","BUY",(IF(LS[[#This Row],[B/S]]="S","SELL"," ")))</f>
        <v>BUY</v>
      </c>
      <c r="K183" s="8" t="s">
        <v>301</v>
      </c>
      <c r="L183" s="10">
        <v>500000</v>
      </c>
      <c r="M183" s="10"/>
      <c r="N183" s="168">
        <f>LS[[#This Row],[Amount]]/LS[[#This Row],[Unit]]</f>
        <v>9.9000099000099002</v>
      </c>
      <c r="O183" s="11">
        <f t="shared" si="10"/>
        <v>50505</v>
      </c>
      <c r="P183" s="11">
        <f>SUMIFS(LS[[#Headers],[Unit]]:LS[[#This Row],[Unit]],LS[[#Headers],[Investor ID]]:LS[[#This Row],[Investor ID]],LS[[#This Row],[Investor ID]])</f>
        <v>50505</v>
      </c>
      <c r="Q183" s="10">
        <v>505050</v>
      </c>
      <c r="R183" s="6">
        <f>LS[[#This Row],[Amount]]-LS[[#This Row],[Unit Capital]]</f>
        <v>-5050</v>
      </c>
      <c r="S18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9.9000099000099002</v>
      </c>
      <c r="T183" s="168">
        <f t="shared" si="9"/>
        <v>12.552</v>
      </c>
      <c r="U18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83" s="10" cm="1">
        <f t="array" ref="V183">IF(LS[[#This Row],[B/S]]="S",ABS(LS[[#This Row],[Unit]])*(INDEX(LS[NAV at Cost (Average)],MATCH(CONCATENATE((LS[[#This Row],[Frequency]]-1),LS[[#This Row],[Investor ID]]),LS[Unique Code],0),0)),0)</f>
        <v>0</v>
      </c>
      <c r="W183" s="10">
        <f>IF(LS[[#This Row],[BO Transfer]]="YES",LS[[#This Row],[Unit]],)</f>
        <v>0</v>
      </c>
      <c r="X183" s="3">
        <f>SUMIFS(LS[[#Headers],[BO UNIT TRANSFER]]:LS[[#This Row],[BO UNIT TRANSFER]],LS[[#Headers],[Investor ID]]:LS[[#This Row],[Investor ID]],LS[[#This Row],[Investor ID]])</f>
        <v>0</v>
      </c>
    </row>
    <row r="184" spans="2:27">
      <c r="B184" s="8">
        <v>2022</v>
      </c>
      <c r="C184" s="8">
        <v>3</v>
      </c>
      <c r="D184" s="8">
        <v>20</v>
      </c>
      <c r="E184" s="291">
        <f>DATE(LS[[#This Row],[Year]],LS[[#This Row],[Month]],LS[[#This Row],[Day]])</f>
        <v>44640</v>
      </c>
      <c r="F184" t="str" cm="1">
        <f t="array" ref="F184">INDEX(INVESTORS_LIST[INVESTOR NAME],MATCH(LS[[#This Row],[Investor ID]],INVESTORS_LIST[INVESTOR CODE],0),)</f>
        <v>MUTUAL TRUST BANK LIMITED</v>
      </c>
      <c r="G184" s="19" t="s">
        <v>876</v>
      </c>
      <c r="H184" s="8">
        <f>COUNTIF(LS[[#Headers],[Investor ID]]:LS[[#This Row],[Investor ID]],LS[[#This Row],[Investor ID]])</f>
        <v>1</v>
      </c>
      <c r="I184" s="8" t="str">
        <f>CONCATENATE(LS[[#This Row],[Frequency]],LS[[#This Row],[Investor ID]])</f>
        <v>1A00400</v>
      </c>
      <c r="J184" s="8" t="str">
        <f>IF(LS[[#This Row],[B/S]]="B","BUY",(IF(LS[[#This Row],[B/S]]="S","SELL"," ")))</f>
        <v>BUY</v>
      </c>
      <c r="K184" s="8" t="s">
        <v>301</v>
      </c>
      <c r="L184" s="10">
        <v>10000000</v>
      </c>
      <c r="M184" s="10"/>
      <c r="N184" s="168">
        <f>LS[[#This Row],[Amount]]/LS[[#This Row],[Unit]]</f>
        <v>9.9000000990000014</v>
      </c>
      <c r="O184" s="11">
        <f t="shared" si="10"/>
        <v>1010101</v>
      </c>
      <c r="P184" s="11">
        <f>SUMIFS(LS[[#Headers],[Unit]]:LS[[#This Row],[Unit]],LS[[#Headers],[Investor ID]]:LS[[#This Row],[Investor ID]],LS[[#This Row],[Investor ID]])</f>
        <v>1010101</v>
      </c>
      <c r="Q184" s="10">
        <v>10101010</v>
      </c>
      <c r="R184" s="6">
        <f>LS[[#This Row],[Amount]]-LS[[#This Row],[Unit Capital]]</f>
        <v>-101010</v>
      </c>
      <c r="S18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9.9000000990000014</v>
      </c>
      <c r="T184" s="168">
        <f t="shared" si="9"/>
        <v>12.552</v>
      </c>
      <c r="U18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84" s="10" cm="1">
        <f t="array" ref="V184">IF(LS[[#This Row],[B/S]]="S",ABS(LS[[#This Row],[Unit]])*(INDEX(LS[NAV at Cost (Average)],MATCH(CONCATENATE((LS[[#This Row],[Frequency]]-1),LS[[#This Row],[Investor ID]]),LS[Unique Code],0),0)),0)</f>
        <v>0</v>
      </c>
      <c r="W184" s="10">
        <f>IF(LS[[#This Row],[BO Transfer]]="YES",LS[[#This Row],[Unit]],)</f>
        <v>0</v>
      </c>
      <c r="X184" s="3">
        <f>SUMIFS(LS[[#Headers],[BO UNIT TRANSFER]]:LS[[#This Row],[BO UNIT TRANSFER]],LS[[#Headers],[Investor ID]]:LS[[#This Row],[Investor ID]],LS[[#This Row],[Investor ID]])</f>
        <v>0</v>
      </c>
    </row>
    <row r="185" spans="2:27">
      <c r="B185" s="81">
        <v>2022</v>
      </c>
      <c r="C185" s="81">
        <v>3</v>
      </c>
      <c r="D185" s="81">
        <v>20</v>
      </c>
      <c r="E185" s="293">
        <f>DATE(LS[[#This Row],[Year]],LS[[#This Row],[Month]],LS[[#This Row],[Day]])</f>
        <v>44640</v>
      </c>
      <c r="F185" s="82" t="str" cm="1">
        <f t="array" ref="F185">INDEX(INVESTORS_LIST[INVESTOR NAME],MATCH(LS[[#This Row],[Investor ID]],INVESTORS_LIST[INVESTOR CODE],0),)</f>
        <v>REAZ UDDIN AHMED</v>
      </c>
      <c r="G185" s="19" t="s">
        <v>73</v>
      </c>
      <c r="H185" s="81">
        <f>COUNTIF(LS[[#Headers],[Investor ID]]:LS[[#This Row],[Investor ID]],LS[[#This Row],[Investor ID]])</f>
        <v>1</v>
      </c>
      <c r="I185" s="81" t="str">
        <f>CONCATENATE(LS[[#This Row],[Frequency]],LS[[#This Row],[Investor ID]])</f>
        <v>1A00065</v>
      </c>
      <c r="J185" s="81" t="str">
        <f>IF(LS[[#This Row],[B/S]]="B","BUY",(IF(LS[[#This Row],[B/S]]="S","SELL"," ")))</f>
        <v>BUY</v>
      </c>
      <c r="K185" s="8" t="s">
        <v>301</v>
      </c>
      <c r="L185" s="83">
        <v>9900</v>
      </c>
      <c r="M185" s="83"/>
      <c r="N185" s="170">
        <f>LS[[#This Row],[Amount]]/LS[[#This Row],[Unit]]</f>
        <v>9.9</v>
      </c>
      <c r="O185" s="84">
        <f t="shared" si="10"/>
        <v>1000</v>
      </c>
      <c r="P185" s="84">
        <f>SUMIFS(LS[[#Headers],[Unit]]:LS[[#This Row],[Unit]],LS[[#Headers],[Investor ID]]:LS[[#This Row],[Investor ID]],LS[[#This Row],[Investor ID]])</f>
        <v>1000</v>
      </c>
      <c r="Q185" s="83">
        <v>10000</v>
      </c>
      <c r="R185" s="85">
        <f>LS[[#This Row],[Amount]]-LS[[#This Row],[Unit Capital]]</f>
        <v>-100</v>
      </c>
      <c r="S185" s="170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</v>
      </c>
      <c r="T185" s="170">
        <f t="shared" si="9"/>
        <v>12.552</v>
      </c>
      <c r="U185" s="8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85" s="83" cm="1">
        <f t="array" ref="V185">IF(LS[[#This Row],[B/S]]="S",ABS(LS[[#This Row],[Unit]])*(INDEX(LS[NAV at Cost (Average)],MATCH(CONCATENATE((LS[[#This Row],[Frequency]]-1),LS[[#This Row],[Investor ID]]),LS[Unique Code],0),0)),0)</f>
        <v>0</v>
      </c>
      <c r="W185" s="83">
        <f>IF(LS[[#This Row],[BO Transfer]]="YES",LS[[#This Row],[Unit]],)</f>
        <v>0</v>
      </c>
      <c r="X185" s="3">
        <f>SUMIFS(LS[[#Headers],[BO UNIT TRANSFER]]:LS[[#This Row],[BO UNIT TRANSFER]],LS[[#Headers],[Investor ID]]:LS[[#This Row],[Investor ID]],LS[[#This Row],[Investor ID]])</f>
        <v>0</v>
      </c>
    </row>
    <row r="186" spans="2:27">
      <c r="B186" s="8">
        <v>2022</v>
      </c>
      <c r="C186" s="8">
        <v>3</v>
      </c>
      <c r="D186" s="8">
        <v>20</v>
      </c>
      <c r="E186" s="291">
        <f>DATE(LS[[#This Row],[Year]],LS[[#This Row],[Month]],LS[[#This Row],[Day]])</f>
        <v>44640</v>
      </c>
      <c r="F186" t="str" cm="1">
        <f t="array" ref="F186">INDEX(INVESTORS_LIST[INVESTOR NAME],MATCH(LS[[#This Row],[Investor ID]],INVESTORS_LIST[INVESTOR CODE],0),)</f>
        <v>BILKISS ARA</v>
      </c>
      <c r="G186" s="19" t="s">
        <v>81</v>
      </c>
      <c r="H186" s="8">
        <f>COUNTIF(LS[[#Headers],[Investor ID]]:LS[[#This Row],[Investor ID]],LS[[#This Row],[Investor ID]])</f>
        <v>2</v>
      </c>
      <c r="I186" s="8" t="str">
        <f>CONCATENATE(LS[[#This Row],[Frequency]],LS[[#This Row],[Investor ID]])</f>
        <v>2A00073</v>
      </c>
      <c r="J186" s="8" t="str">
        <f>IF(LS[[#This Row],[B/S]]="B","BUY",(IF(LS[[#This Row],[B/S]]="S","SELL"," ")))</f>
        <v>SELL</v>
      </c>
      <c r="K186" s="8" t="s">
        <v>866</v>
      </c>
      <c r="L186" s="10">
        <v>-350004.36</v>
      </c>
      <c r="M186" s="3" t="s">
        <v>957</v>
      </c>
      <c r="N186" s="168">
        <f>LS[[#This Row],[Amount]]/LS[[#This Row],[Unit]]</f>
        <v>9.9599999999999991</v>
      </c>
      <c r="O186" s="11">
        <f t="shared" si="10"/>
        <v>-35141</v>
      </c>
      <c r="P186" s="11">
        <f>SUMIFS(LS[[#Headers],[Unit]]:LS[[#This Row],[Unit]],LS[[#Headers],[Investor ID]]:LS[[#This Row],[Investor ID]],LS[[#This Row],[Investor ID]])</f>
        <v>9859</v>
      </c>
      <c r="Q186" s="10">
        <v>-351410</v>
      </c>
      <c r="R186" s="6">
        <f>LS[[#This Row],[Amount]]-LS[[#This Row],[Unit Capital]]</f>
        <v>1405.640000000014</v>
      </c>
      <c r="S18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86" s="168">
        <f t="shared" ref="T186:T192" si="11">IFERROR(NAV_MKT,0)</f>
        <v>12.552</v>
      </c>
      <c r="U186" s="10">
        <f>IF(LS[[#This Row],[B/S]]="B",0,ABS(LS[[#This Row],[Unit]])*(LS[[#This Row],[NAV (Strike Rate)]]-INDEX(LS[NAV at Cost (Average)],MATCH(CONCATENATE(LS[[#This Row],[Frequency]]-1,LS[[#This Row],[Investor ID]]),LS[Unique Code],0),)))</f>
        <v>-1405.6400000000324</v>
      </c>
      <c r="V186" s="10" cm="1">
        <f t="array" ref="V186">IF(LS[[#This Row],[B/S]]="S",ABS(LS[[#This Row],[Unit]])*(INDEX(LS[NAV at Cost (Average)],MATCH(CONCATENATE((LS[[#This Row],[Frequency]]-1),LS[[#This Row],[Investor ID]]),LS[Unique Code],0),0)),0)</f>
        <v>351410</v>
      </c>
      <c r="W186" s="10">
        <f>IF(LS[[#This Row],[BO Transfer]]="YES",LS[[#This Row],[Unit]],)</f>
        <v>-35141</v>
      </c>
      <c r="X186" s="3">
        <f>SUMIFS(LS[[#Headers],[BO UNIT TRANSFER]]:LS[[#This Row],[BO UNIT TRANSFER]],LS[[#Headers],[Investor ID]]:LS[[#This Row],[Investor ID]],LS[[#This Row],[Investor ID]])</f>
        <v>9859</v>
      </c>
    </row>
    <row r="187" spans="2:27">
      <c r="B187" s="8">
        <v>2022</v>
      </c>
      <c r="C187" s="8">
        <v>3</v>
      </c>
      <c r="D187" s="8">
        <v>29</v>
      </c>
      <c r="E187" s="291">
        <f>DATE(LS[[#This Row],[Year]],LS[[#This Row],[Month]],LS[[#This Row],[Day]])</f>
        <v>44649</v>
      </c>
      <c r="F187" t="str" cm="1">
        <f t="array" ref="F187">INDEX(INVESTORS_LIST[INVESTOR NAME],MATCH(LS[[#This Row],[Investor ID]],INVESTORS_LIST[INVESTOR CODE],0),)</f>
        <v>EDGE VENTURES LIMITED</v>
      </c>
      <c r="G187" s="19" t="s">
        <v>704</v>
      </c>
      <c r="H187" s="8">
        <f>COUNTIF(LS[[#Headers],[Investor ID]]:LS[[#This Row],[Investor ID]],LS[[#This Row],[Investor ID]])</f>
        <v>2</v>
      </c>
      <c r="I187" s="8" t="str">
        <f>CONCATENATE(LS[[#This Row],[Frequency]],LS[[#This Row],[Investor ID]])</f>
        <v>2A00379</v>
      </c>
      <c r="J187" s="8" t="str">
        <f>IF(LS[[#This Row],[B/S]]="B","BUY",(IF(LS[[#This Row],[B/S]]="S","SELL"," ")))</f>
        <v>SELL</v>
      </c>
      <c r="K187" s="8" t="s">
        <v>866</v>
      </c>
      <c r="L187" s="10">
        <v>-2293100</v>
      </c>
      <c r="M187" s="10"/>
      <c r="N187" s="168">
        <f>LS[[#This Row],[Amount]]/LS[[#This Row],[Unit]]</f>
        <v>9.9700000000000006</v>
      </c>
      <c r="O187" s="11">
        <f t="shared" ref="O187:O192" si="12">Q187/10</f>
        <v>-230000</v>
      </c>
      <c r="P187" s="11">
        <f>SUMIFS(LS[[#Headers],[Unit]]:LS[[#This Row],[Unit]],LS[[#Headers],[Investor ID]]:LS[[#This Row],[Investor ID]],LS[[#This Row],[Investor ID]])</f>
        <v>0</v>
      </c>
      <c r="Q187" s="10">
        <v>-2300000</v>
      </c>
      <c r="R187" s="6">
        <f>LS[[#This Row],[Amount]]-LS[[#This Row],[Unit Capital]]</f>
        <v>6900</v>
      </c>
      <c r="S18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187" s="168">
        <f t="shared" si="11"/>
        <v>12.552</v>
      </c>
      <c r="U187" s="10">
        <f>IF(LS[[#This Row],[B/S]]="B",0,ABS(LS[[#This Row],[Unit]])*(LS[[#This Row],[NAV (Strike Rate)]]-INDEX(LS[NAV at Cost (Average)],MATCH(CONCATENATE(LS[[#This Row],[Frequency]]-1,LS[[#This Row],[Investor ID]]),LS[Unique Code],0),)))</f>
        <v>-6899.9999999998527</v>
      </c>
      <c r="V187" s="10" cm="1">
        <f t="array" ref="V187">IF(LS[[#This Row],[B/S]]="S",ABS(LS[[#This Row],[Unit]])*(INDEX(LS[NAV at Cost (Average)],MATCH(CONCATENATE((LS[[#This Row],[Frequency]]-1),LS[[#This Row],[Investor ID]]),LS[Unique Code],0),0)),0)</f>
        <v>2300000</v>
      </c>
      <c r="W187" s="10">
        <f>IF(LS[[#This Row],[BO Transfer]]="YES",LS[[#This Row],[Unit]],)</f>
        <v>0</v>
      </c>
      <c r="X187" s="3">
        <f>SUMIFS(LS[[#Headers],[BO UNIT TRANSFER]]:LS[[#This Row],[BO UNIT TRANSFER]],LS[[#Headers],[Investor ID]]:LS[[#This Row],[Investor ID]],LS[[#This Row],[Investor ID]])</f>
        <v>0</v>
      </c>
    </row>
    <row r="188" spans="2:27">
      <c r="B188" s="8">
        <v>2022</v>
      </c>
      <c r="C188" s="8">
        <v>3</v>
      </c>
      <c r="D188" s="8">
        <v>30</v>
      </c>
      <c r="E188" s="291">
        <f>DATE(LS[[#This Row],[Year]],LS[[#This Row],[Month]],LS[[#This Row],[Day]])</f>
        <v>44650</v>
      </c>
      <c r="F188" t="str" cm="1">
        <f t="array" ref="F188">INDEX(INVESTORS_LIST[INVESTOR NAME],MATCH(LS[[#This Row],[Investor ID]],INVESTORS_LIST[INVESTOR CODE],0),)</f>
        <v>EKUSH WEALTH MANAGEMENT LIMITED</v>
      </c>
      <c r="G188" s="19" t="s">
        <v>4</v>
      </c>
      <c r="H188" s="8">
        <f>COUNTIF(LS[[#Headers],[Investor ID]]:LS[[#This Row],[Investor ID]],LS[[#This Row],[Investor ID]])</f>
        <v>4</v>
      </c>
      <c r="I188" s="8" t="str">
        <f>CONCATENATE(LS[[#This Row],[Frequency]],LS[[#This Row],[Investor ID]])</f>
        <v>4A00003</v>
      </c>
      <c r="J188" s="8" t="str">
        <f>IF(LS[[#This Row],[B/S]]="B","BUY",(IF(LS[[#This Row],[B/S]]="S","SELL"," ")))</f>
        <v>BUY</v>
      </c>
      <c r="K188" s="8" t="s">
        <v>301</v>
      </c>
      <c r="L188" s="10">
        <v>49000</v>
      </c>
      <c r="M188" s="10"/>
      <c r="N188" s="168">
        <f>LS[[#This Row],[Amount]]/LS[[#This Row],[Unit]]</f>
        <v>9.9593495934959346</v>
      </c>
      <c r="O188" s="11">
        <f t="shared" si="12"/>
        <v>4920</v>
      </c>
      <c r="P188" s="11">
        <f>SUMIFS(LS[[#Headers],[Unit]]:LS[[#This Row],[Unit]],LS[[#Headers],[Investor ID]]:LS[[#This Row],[Investor ID]],LS[[#This Row],[Investor ID]])</f>
        <v>2505020</v>
      </c>
      <c r="Q188" s="10">
        <v>49200</v>
      </c>
      <c r="R188" s="6">
        <f>LS[[#This Row],[Amount]]-LS[[#This Row],[Unit Capital]]</f>
        <v>-200</v>
      </c>
      <c r="S18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9.9999201603180818</v>
      </c>
      <c r="T188" s="168">
        <f t="shared" si="11"/>
        <v>12.552</v>
      </c>
      <c r="U18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88" s="10" cm="1">
        <f t="array" ref="V188">IF(LS[[#This Row],[B/S]]="S",ABS(LS[[#This Row],[Unit]])*(INDEX(LS[NAV at Cost (Average)],MATCH(CONCATENATE((LS[[#This Row],[Frequency]]-1),LS[[#This Row],[Investor ID]]),LS[Unique Code],0),0)),0)</f>
        <v>0</v>
      </c>
      <c r="W188" s="10">
        <f>IF(LS[[#This Row],[BO Transfer]]="YES",LS[[#This Row],[Unit]],)</f>
        <v>0</v>
      </c>
      <c r="X188" s="3">
        <f>SUMIFS(LS[[#Headers],[BO UNIT TRANSFER]]:LS[[#This Row],[BO UNIT TRANSFER]],LS[[#Headers],[Investor ID]]:LS[[#This Row],[Investor ID]],LS[[#This Row],[Investor ID]])</f>
        <v>0</v>
      </c>
      <c r="AA188" s="4"/>
    </row>
    <row r="189" spans="2:27">
      <c r="B189" s="8">
        <v>2022</v>
      </c>
      <c r="C189" s="8">
        <v>3</v>
      </c>
      <c r="D189" s="8">
        <v>31</v>
      </c>
      <c r="E189" s="291">
        <f>DATE(LS[[#This Row],[Year]],LS[[#This Row],[Month]],LS[[#This Row],[Day]])</f>
        <v>44651</v>
      </c>
      <c r="F189" t="str" cm="1">
        <f t="array" ref="F189">INDEX(INVESTORS_LIST[INVESTOR NAME],MATCH(LS[[#This Row],[Investor ID]],INVESTORS_LIST[INVESTOR CODE],0),)</f>
        <v>MOHAMMED ALI XAHANGIR</v>
      </c>
      <c r="G189" s="19" t="s">
        <v>165</v>
      </c>
      <c r="H189" s="8">
        <f>COUNTIF(LS[[#Headers],[Investor ID]]:LS[[#This Row],[Investor ID]],LS[[#This Row],[Investor ID]])</f>
        <v>2</v>
      </c>
      <c r="I189" s="8" t="str">
        <f>CONCATENATE(LS[[#This Row],[Frequency]],LS[[#This Row],[Investor ID]])</f>
        <v>2A00132</v>
      </c>
      <c r="J189" s="8" t="str">
        <f>IF(LS[[#This Row],[B/S]]="B","BUY",(IF(LS[[#This Row],[B/S]]="S","SELL"," ")))</f>
        <v>SELL</v>
      </c>
      <c r="K189" s="8" t="s">
        <v>866</v>
      </c>
      <c r="L189" s="10">
        <v>-875000</v>
      </c>
      <c r="M189" s="10"/>
      <c r="N189" s="168">
        <f>LS[[#This Row],[Amount]]/LS[[#This Row],[Unit]]</f>
        <v>9.9600459869551852</v>
      </c>
      <c r="O189" s="11">
        <f t="shared" si="12"/>
        <v>-87851</v>
      </c>
      <c r="P189" s="11">
        <f>SUMIFS(LS[[#Headers],[Unit]]:LS[[#This Row],[Unit]],LS[[#Headers],[Investor ID]]:LS[[#This Row],[Investor ID]],LS[[#This Row],[Investor ID]])</f>
        <v>152149</v>
      </c>
      <c r="Q189" s="10">
        <v>-878510</v>
      </c>
      <c r="R189" s="6">
        <f>LS[[#This Row],[Amount]]-LS[[#This Row],[Unit Capital]]</f>
        <v>3510</v>
      </c>
      <c r="S18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89" s="168">
        <f t="shared" si="11"/>
        <v>12.552</v>
      </c>
      <c r="U189" s="10">
        <f>IF(LS[[#This Row],[B/S]]="B",0,ABS(LS[[#This Row],[Unit]])*(LS[[#This Row],[NAV (Strike Rate)]]-INDEX(LS[NAV at Cost (Average)],MATCH(CONCATENATE(LS[[#This Row],[Frequency]]-1,LS[[#This Row],[Investor ID]]),LS[Unique Code],0),)))</f>
        <v>-3510.0000000000277</v>
      </c>
      <c r="V189" s="10" cm="1">
        <f t="array" ref="V189">IF(LS[[#This Row],[B/S]]="S",ABS(LS[[#This Row],[Unit]])*(INDEX(LS[NAV at Cost (Average)],MATCH(CONCATENATE((LS[[#This Row],[Frequency]]-1),LS[[#This Row],[Investor ID]]),LS[Unique Code],0),0)),0)</f>
        <v>878510</v>
      </c>
      <c r="W189" s="10">
        <f>IF(LS[[#This Row],[BO Transfer]]="YES",LS[[#This Row],[Unit]],)</f>
        <v>0</v>
      </c>
      <c r="X189" s="3">
        <f>SUMIFS(LS[[#Headers],[BO UNIT TRANSFER]]:LS[[#This Row],[BO UNIT TRANSFER]],LS[[#Headers],[Investor ID]]:LS[[#This Row],[Investor ID]],LS[[#This Row],[Investor ID]])</f>
        <v>0</v>
      </c>
    </row>
    <row r="190" spans="2:27">
      <c r="B190" s="8">
        <v>2022</v>
      </c>
      <c r="C190" s="8">
        <v>4</v>
      </c>
      <c r="D190" s="8">
        <v>3</v>
      </c>
      <c r="E190" s="291">
        <f>DATE(LS[[#This Row],[Year]],LS[[#This Row],[Month]],LS[[#This Row],[Day]])</f>
        <v>44654</v>
      </c>
      <c r="F190" t="str" cm="1">
        <f t="array" ref="F190">INDEX(INVESTORS_LIST[INVESTOR NAME],MATCH(LS[[#This Row],[Investor ID]],INVESTORS_LIST[INVESTOR CODE],0),)</f>
        <v>M.A. MALEK SIDDIQUE WALI &amp; CO.</v>
      </c>
      <c r="G190" s="19" t="s">
        <v>580</v>
      </c>
      <c r="H190" s="8">
        <f>COUNTIF(LS[[#Headers],[Investor ID]]:LS[[#This Row],[Investor ID]],LS[[#This Row],[Investor ID]])</f>
        <v>2</v>
      </c>
      <c r="I190" s="8" t="str">
        <f>CONCATENATE(LS[[#This Row],[Frequency]],LS[[#This Row],[Investor ID]])</f>
        <v>2A00327</v>
      </c>
      <c r="J190" s="8" t="str">
        <f>IF(LS[[#This Row],[B/S]]="B","BUY",(IF(LS[[#This Row],[B/S]]="S","SELL"," ")))</f>
        <v>SELL</v>
      </c>
      <c r="K190" s="8" t="s">
        <v>866</v>
      </c>
      <c r="L190" s="10">
        <v>-298800</v>
      </c>
      <c r="M190" s="10"/>
      <c r="N190" s="168">
        <f>LS[[#This Row],[Amount]]/LS[[#This Row],[Unit]]</f>
        <v>9.9600000000000009</v>
      </c>
      <c r="O190" s="11">
        <f t="shared" si="12"/>
        <v>-30000</v>
      </c>
      <c r="P190" s="11">
        <f>SUMIFS(LS[[#Headers],[Unit]]:LS[[#This Row],[Unit]],LS[[#Headers],[Investor ID]]:LS[[#This Row],[Investor ID]],LS[[#This Row],[Investor ID]])</f>
        <v>0</v>
      </c>
      <c r="Q190" s="10">
        <v>-300000</v>
      </c>
      <c r="R190" s="6">
        <f>LS[[#This Row],[Amount]]-LS[[#This Row],[Unit Capital]]</f>
        <v>1200</v>
      </c>
      <c r="S19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190" s="168">
        <f t="shared" si="11"/>
        <v>12.552</v>
      </c>
      <c r="U190" s="10">
        <f>IF(LS[[#This Row],[B/S]]="B",0,ABS(LS[[#This Row],[Unit]])*(LS[[#This Row],[NAV (Strike Rate)]]-INDEX(LS[NAV at Cost (Average)],MATCH(CONCATENATE(LS[[#This Row],[Frequency]]-1,LS[[#This Row],[Investor ID]]),LS[Unique Code],0),)))</f>
        <v>-1199.9999999999745</v>
      </c>
      <c r="V190" s="10" cm="1">
        <f t="array" ref="V190">IF(LS[[#This Row],[B/S]]="S",ABS(LS[[#This Row],[Unit]])*(INDEX(LS[NAV at Cost (Average)],MATCH(CONCATENATE((LS[[#This Row],[Frequency]]-1),LS[[#This Row],[Investor ID]]),LS[Unique Code],0),0)),0)</f>
        <v>300000</v>
      </c>
      <c r="W190" s="10">
        <f>IF(LS[[#This Row],[BO Transfer]]="YES",LS[[#This Row],[Unit]],)</f>
        <v>0</v>
      </c>
      <c r="X190" s="3">
        <f>SUMIFS(LS[[#Headers],[BO UNIT TRANSFER]]:LS[[#This Row],[BO UNIT TRANSFER]],LS[[#Headers],[Investor ID]]:LS[[#This Row],[Investor ID]],LS[[#This Row],[Investor ID]])</f>
        <v>0</v>
      </c>
    </row>
    <row r="191" spans="2:27">
      <c r="B191" s="8">
        <v>2022</v>
      </c>
      <c r="C191" s="8">
        <v>4</v>
      </c>
      <c r="D191" s="8">
        <v>3</v>
      </c>
      <c r="E191" s="291">
        <f>DATE(LS[[#This Row],[Year]],LS[[#This Row],[Month]],LS[[#This Row],[Day]])</f>
        <v>44654</v>
      </c>
      <c r="F191" t="str" cm="1">
        <f t="array" ref="F191">INDEX(INVESTORS_LIST[INVESTOR NAME],MATCH(LS[[#This Row],[Investor ID]],INVESTORS_LIST[INVESTOR CODE],0),)</f>
        <v>MD MIZANUR RAHMAN</v>
      </c>
      <c r="G191" s="19" t="s">
        <v>177</v>
      </c>
      <c r="H191" s="8">
        <f>COUNTIF(LS[[#Headers],[Investor ID]]:LS[[#This Row],[Investor ID]],LS[[#This Row],[Investor ID]])</f>
        <v>6</v>
      </c>
      <c r="I191" s="8" t="str">
        <f>CONCATENATE(LS[[#This Row],[Frequency]],LS[[#This Row],[Investor ID]])</f>
        <v>6A00144</v>
      </c>
      <c r="J191" s="8" t="str">
        <f>IF(LS[[#This Row],[B/S]]="B","BUY",(IF(LS[[#This Row],[B/S]]="S","SELL"," ")))</f>
        <v>BUY</v>
      </c>
      <c r="K191" s="8" t="s">
        <v>301</v>
      </c>
      <c r="L191" s="10">
        <v>37000</v>
      </c>
      <c r="M191" s="10"/>
      <c r="N191" s="168">
        <f>LS[[#This Row],[Amount]]/LS[[#This Row],[Unit]]</f>
        <v>9.9596231493943481</v>
      </c>
      <c r="O191" s="11">
        <f t="shared" si="12"/>
        <v>3715</v>
      </c>
      <c r="P191" s="11">
        <f>SUMIFS(LS[[#Headers],[Unit]]:LS[[#This Row],[Unit]],LS[[#Headers],[Investor ID]]:LS[[#This Row],[Investor ID]],LS[[#This Row],[Investor ID]])</f>
        <v>86865</v>
      </c>
      <c r="Q191" s="10">
        <v>37150</v>
      </c>
      <c r="R191" s="6">
        <f>LS[[#This Row],[Amount]]-LS[[#This Row],[Unit Capital]]</f>
        <v>-150</v>
      </c>
      <c r="S19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9.9982731825246063</v>
      </c>
      <c r="T191" s="168">
        <f t="shared" si="11"/>
        <v>12.552</v>
      </c>
      <c r="U19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91" s="10" cm="1">
        <f t="array" ref="V191">IF(LS[[#This Row],[B/S]]="S",ABS(LS[[#This Row],[Unit]])*(INDEX(LS[NAV at Cost (Average)],MATCH(CONCATENATE((LS[[#This Row],[Frequency]]-1),LS[[#This Row],[Investor ID]]),LS[Unique Code],0),0)),0)</f>
        <v>0</v>
      </c>
      <c r="W191" s="10">
        <f>IF(LS[[#This Row],[BO Transfer]]="YES",LS[[#This Row],[Unit]],)</f>
        <v>0</v>
      </c>
      <c r="X191" s="3">
        <f>SUMIFS(LS[[#Headers],[BO UNIT TRANSFER]]:LS[[#This Row],[BO UNIT TRANSFER]],LS[[#Headers],[Investor ID]]:LS[[#This Row],[Investor ID]],LS[[#This Row],[Investor ID]])</f>
        <v>0</v>
      </c>
    </row>
    <row r="192" spans="2:27">
      <c r="B192" s="8">
        <v>2022</v>
      </c>
      <c r="C192" s="8">
        <v>4</v>
      </c>
      <c r="D192" s="8">
        <v>3</v>
      </c>
      <c r="E192" s="291">
        <f>DATE(LS[[#This Row],[Year]],LS[[#This Row],[Month]],LS[[#This Row],[Day]])</f>
        <v>44654</v>
      </c>
      <c r="F192" t="str" cm="1">
        <f t="array" ref="F192">INDEX(INVESTORS_LIST[INVESTOR NAME],MATCH(LS[[#This Row],[Investor ID]],INVESTORS_LIST[INVESTOR CODE],0),)</f>
        <v>ANIK KUMAR GUPTA</v>
      </c>
      <c r="G192" s="19" t="s">
        <v>708</v>
      </c>
      <c r="H192" s="8">
        <f>COUNTIF(LS[[#Headers],[Investor ID]]:LS[[#This Row],[Investor ID]],LS[[#This Row],[Investor ID]])</f>
        <v>2</v>
      </c>
      <c r="I192" s="8" t="str">
        <f>CONCATENATE(LS[[#This Row],[Frequency]],LS[[#This Row],[Investor ID]])</f>
        <v>2A00381</v>
      </c>
      <c r="J192" s="8" t="str">
        <f>IF(LS[[#This Row],[B/S]]="B","BUY",(IF(LS[[#This Row],[B/S]]="S","SELL"," ")))</f>
        <v>BUY</v>
      </c>
      <c r="K192" s="8" t="s">
        <v>301</v>
      </c>
      <c r="L192" s="10">
        <v>5000</v>
      </c>
      <c r="M192" s="10"/>
      <c r="N192" s="168">
        <f>LS[[#This Row],[Amount]]/LS[[#This Row],[Unit]]</f>
        <v>9.9601593625498008</v>
      </c>
      <c r="O192" s="11">
        <f t="shared" si="12"/>
        <v>502</v>
      </c>
      <c r="P192" s="11">
        <f>SUMIFS(LS[[#Headers],[Unit]]:LS[[#This Row],[Unit]],LS[[#Headers],[Investor ID]]:LS[[#This Row],[Investor ID]],LS[[#This Row],[Investor ID]])</f>
        <v>1002</v>
      </c>
      <c r="Q192" s="10">
        <v>5020</v>
      </c>
      <c r="R192" s="6">
        <f>LS[[#This Row],[Amount]]-LS[[#This Row],[Unit Capital]]</f>
        <v>-20</v>
      </c>
      <c r="S19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9.9800399201596797</v>
      </c>
      <c r="T192" s="168">
        <f t="shared" si="11"/>
        <v>12.552</v>
      </c>
      <c r="U19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92" s="10" cm="1">
        <f t="array" ref="V192">IF(LS[[#This Row],[B/S]]="S",ABS(LS[[#This Row],[Unit]])*(INDEX(LS[NAV at Cost (Average)],MATCH(CONCATENATE((LS[[#This Row],[Frequency]]-1),LS[[#This Row],[Investor ID]]),LS[Unique Code],0),0)),0)</f>
        <v>0</v>
      </c>
      <c r="W192" s="10">
        <f>IF(LS[[#This Row],[BO Transfer]]="YES",LS[[#This Row],[Unit]],)</f>
        <v>0</v>
      </c>
      <c r="X192" s="3">
        <f>SUMIFS(LS[[#Headers],[BO UNIT TRANSFER]]:LS[[#This Row],[BO UNIT TRANSFER]],LS[[#Headers],[Investor ID]]:LS[[#This Row],[Investor ID]],LS[[#This Row],[Investor ID]])</f>
        <v>0</v>
      </c>
    </row>
    <row r="193" spans="2:24">
      <c r="B193" s="8">
        <v>2022</v>
      </c>
      <c r="C193" s="8">
        <v>4</v>
      </c>
      <c r="D193" s="8">
        <v>7</v>
      </c>
      <c r="E193" s="291">
        <f>DATE(LS[[#This Row],[Year]],LS[[#This Row],[Month]],LS[[#This Row],[Day]])</f>
        <v>44658</v>
      </c>
      <c r="F193" t="str" cm="1">
        <f t="array" ref="F193">INDEX(INVESTORS_LIST[INVESTOR NAME],MATCH(LS[[#This Row],[Investor ID]],INVESTORS_LIST[INVESTOR CODE],0),)</f>
        <v>MD. IMRAN HOSSAIN</v>
      </c>
      <c r="G193" s="19" t="s">
        <v>610</v>
      </c>
      <c r="H193" s="8">
        <f>COUNTIF(LS[[#Headers],[Investor ID]]:LS[[#This Row],[Investor ID]],LS[[#This Row],[Investor ID]])</f>
        <v>2</v>
      </c>
      <c r="I193" s="8" t="str">
        <f>CONCATENATE(LS[[#This Row],[Frequency]],LS[[#This Row],[Investor ID]])</f>
        <v>2A00343</v>
      </c>
      <c r="J193" s="8" t="str">
        <f>IF(LS[[#This Row],[B/S]]="B","BUY",(IF(LS[[#This Row],[B/S]]="S","SELL"," ")))</f>
        <v>SELL</v>
      </c>
      <c r="K193" s="8" t="s">
        <v>866</v>
      </c>
      <c r="L193" s="10">
        <v>-49800</v>
      </c>
      <c r="M193" s="10"/>
      <c r="N193" s="168">
        <f>LS[[#This Row],[Amount]]/LS[[#This Row],[Unit]]</f>
        <v>9.9600000000000009</v>
      </c>
      <c r="O193" s="11">
        <f t="shared" ref="O193:O198" si="13">Q193/10</f>
        <v>-5000</v>
      </c>
      <c r="P193" s="11">
        <f>SUMIFS(LS[[#Headers],[Unit]]:LS[[#This Row],[Unit]],LS[[#Headers],[Investor ID]]:LS[[#This Row],[Investor ID]],LS[[#This Row],[Investor ID]])</f>
        <v>0</v>
      </c>
      <c r="Q193" s="10">
        <v>-50000</v>
      </c>
      <c r="R193" s="6">
        <f>LS[[#This Row],[Amount]]-LS[[#This Row],[Unit Capital]]</f>
        <v>200</v>
      </c>
      <c r="S19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193" s="168">
        <f t="shared" ref="T193:T198" si="14">IFERROR(NAV_MKT,0)</f>
        <v>12.552</v>
      </c>
      <c r="U193" s="10">
        <f>IF(LS[[#This Row],[B/S]]="B",0,ABS(LS[[#This Row],[Unit]])*(LS[[#This Row],[NAV (Strike Rate)]]-INDEX(LS[NAV at Cost (Average)],MATCH(CONCATENATE(LS[[#This Row],[Frequency]]-1,LS[[#This Row],[Investor ID]]),LS[Unique Code],0),)))</f>
        <v>-199.99999999999574</v>
      </c>
      <c r="V193" s="10" cm="1">
        <f t="array" ref="V193">IF(LS[[#This Row],[B/S]]="S",ABS(LS[[#This Row],[Unit]])*(INDEX(LS[NAV at Cost (Average)],MATCH(CONCATENATE((LS[[#This Row],[Frequency]]-1),LS[[#This Row],[Investor ID]]),LS[Unique Code],0),0)),0)</f>
        <v>50000</v>
      </c>
      <c r="W193" s="10">
        <f>IF(LS[[#This Row],[BO Transfer]]="YES",LS[[#This Row],[Unit]],)</f>
        <v>0</v>
      </c>
      <c r="X193" s="3">
        <f>SUMIFS(LS[[#Headers],[BO UNIT TRANSFER]]:LS[[#This Row],[BO UNIT TRANSFER]],LS[[#Headers],[Investor ID]]:LS[[#This Row],[Investor ID]],LS[[#This Row],[Investor ID]])</f>
        <v>0</v>
      </c>
    </row>
    <row r="194" spans="2:24">
      <c r="B194" s="8">
        <v>2022</v>
      </c>
      <c r="C194" s="8">
        <v>4</v>
      </c>
      <c r="D194" s="8">
        <v>7</v>
      </c>
      <c r="E194" s="291">
        <f>DATE(LS[[#This Row],[Year]],LS[[#This Row],[Month]],LS[[#This Row],[Day]])</f>
        <v>44658</v>
      </c>
      <c r="F194" t="str" cm="1">
        <f t="array" ref="F194">INDEX(INVESTORS_LIST[INVESTOR NAME],MATCH(LS[[#This Row],[Investor ID]],INVESTORS_LIST[INVESTOR CODE],0),)</f>
        <v>HASIB MUSTABSIR</v>
      </c>
      <c r="G194" s="19" t="s">
        <v>230</v>
      </c>
      <c r="H194" s="8">
        <f>COUNTIF(LS[[#Headers],[Investor ID]]:LS[[#This Row],[Investor ID]],LS[[#This Row],[Investor ID]])</f>
        <v>3</v>
      </c>
      <c r="I194" s="8" t="str">
        <f>CONCATENATE(LS[[#This Row],[Frequency]],LS[[#This Row],[Investor ID]])</f>
        <v>3A00194</v>
      </c>
      <c r="J194" s="8" t="str">
        <f>IF(LS[[#This Row],[B/S]]="B","BUY",(IF(LS[[#This Row],[B/S]]="S","SELL"," ")))</f>
        <v>SELL</v>
      </c>
      <c r="K194" s="8" t="s">
        <v>866</v>
      </c>
      <c r="L194" s="10">
        <v>-1000000</v>
      </c>
      <c r="M194" s="10"/>
      <c r="N194" s="168">
        <f>LS[[#This Row],[Amount]]/LS[[#This Row],[Unit]]</f>
        <v>9.9599609569530489</v>
      </c>
      <c r="O194" s="11">
        <f t="shared" si="13"/>
        <v>-100402</v>
      </c>
      <c r="P194" s="11">
        <f>SUMIFS(LS[[#Headers],[Unit]]:LS[[#This Row],[Unit]],LS[[#Headers],[Investor ID]]:LS[[#This Row],[Investor ID]],LS[[#This Row],[Investor ID]])</f>
        <v>199598</v>
      </c>
      <c r="Q194" s="10">
        <v>-1004020</v>
      </c>
      <c r="R194" s="6">
        <f>LS[[#This Row],[Amount]]-LS[[#This Row],[Unit Capital]]</f>
        <v>4020</v>
      </c>
      <c r="S19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194" s="168">
        <f t="shared" si="14"/>
        <v>12.552</v>
      </c>
      <c r="U194" s="10">
        <f>IF(LS[[#This Row],[B/S]]="B",0,ABS(LS[[#This Row],[Unit]])*(LS[[#This Row],[NAV (Strike Rate)]]-INDEX(LS[NAV at Cost (Average)],MATCH(CONCATENATE(LS[[#This Row],[Frequency]]-1,LS[[#This Row],[Investor ID]]),LS[Unique Code],0),)))</f>
        <v>-4019.9999999999795</v>
      </c>
      <c r="V194" s="10" cm="1">
        <f t="array" ref="V194">IF(LS[[#This Row],[B/S]]="S",ABS(LS[[#This Row],[Unit]])*(INDEX(LS[NAV at Cost (Average)],MATCH(CONCATENATE((LS[[#This Row],[Frequency]]-1),LS[[#This Row],[Investor ID]]),LS[Unique Code],0),0)),0)</f>
        <v>1004020</v>
      </c>
      <c r="W194" s="10">
        <f>IF(LS[[#This Row],[BO Transfer]]="YES",LS[[#This Row],[Unit]],)</f>
        <v>0</v>
      </c>
      <c r="X194" s="3">
        <f>SUMIFS(LS[[#Headers],[BO UNIT TRANSFER]]:LS[[#This Row],[BO UNIT TRANSFER]],LS[[#Headers],[Investor ID]]:LS[[#This Row],[Investor ID]],LS[[#This Row],[Investor ID]])</f>
        <v>0</v>
      </c>
    </row>
    <row r="195" spans="2:24">
      <c r="B195" s="8">
        <v>2022</v>
      </c>
      <c r="C195" s="8">
        <v>4</v>
      </c>
      <c r="D195" s="8">
        <v>19</v>
      </c>
      <c r="E195" s="291">
        <f>DATE(LS[[#This Row],[Year]],LS[[#This Row],[Month]],LS[[#This Row],[Day]])</f>
        <v>44670</v>
      </c>
      <c r="F195" t="str" cm="1">
        <f t="array" ref="F195">INDEX(INVESTORS_LIST[INVESTOR NAME],MATCH(LS[[#This Row],[Investor ID]],INVESTORS_LIST[INVESTOR CODE],0),)</f>
        <v>MOHAMMAD MONJUR ALAM</v>
      </c>
      <c r="G195" s="19" t="s">
        <v>70</v>
      </c>
      <c r="H195" s="8">
        <f>COUNTIF(LS[[#Headers],[Investor ID]]:LS[[#This Row],[Investor ID]],LS[[#This Row],[Investor ID]])</f>
        <v>4</v>
      </c>
      <c r="I195" s="8" t="str">
        <f>CONCATENATE(LS[[#This Row],[Frequency]],LS[[#This Row],[Investor ID]])</f>
        <v>4A00063</v>
      </c>
      <c r="J195" s="8" t="str">
        <f>IF(LS[[#This Row],[B/S]]="B","BUY",(IF(LS[[#This Row],[B/S]]="S","SELL"," ")))</f>
        <v>SELL</v>
      </c>
      <c r="K195" s="8" t="s">
        <v>866</v>
      </c>
      <c r="L195" s="10">
        <v>-499500</v>
      </c>
      <c r="M195" s="10"/>
      <c r="N195" s="168">
        <f>LS[[#This Row],[Amount]]/LS[[#This Row],[Unit]]</f>
        <v>9.99</v>
      </c>
      <c r="O195" s="11">
        <f t="shared" si="13"/>
        <v>-50000</v>
      </c>
      <c r="P195" s="11">
        <f>SUMIFS(LS[[#Headers],[Unit]]:LS[[#This Row],[Unit]],LS[[#Headers],[Investor ID]]:LS[[#This Row],[Investor ID]],LS[[#This Row],[Investor ID]])</f>
        <v>0</v>
      </c>
      <c r="Q195" s="10">
        <v>-500000</v>
      </c>
      <c r="R195" s="6">
        <f>LS[[#This Row],[Amount]]-LS[[#This Row],[Unit Capital]]</f>
        <v>500</v>
      </c>
      <c r="S19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195" s="168">
        <f t="shared" si="14"/>
        <v>12.552</v>
      </c>
      <c r="U195" s="10">
        <f>IF(LS[[#This Row],[B/S]]="B",0,ABS(LS[[#This Row],[Unit]])*(LS[[#This Row],[NAV (Strike Rate)]]-INDEX(LS[NAV at Cost (Average)],MATCH(CONCATENATE(LS[[#This Row],[Frequency]]-1,LS[[#This Row],[Investor ID]]),LS[Unique Code],0),)))</f>
        <v>-499.99999999998931</v>
      </c>
      <c r="V195" s="10" cm="1">
        <f t="array" ref="V195">IF(LS[[#This Row],[B/S]]="S",ABS(LS[[#This Row],[Unit]])*(INDEX(LS[NAV at Cost (Average)],MATCH(CONCATENATE((LS[[#This Row],[Frequency]]-1),LS[[#This Row],[Investor ID]]),LS[Unique Code],0),0)),0)</f>
        <v>500000</v>
      </c>
      <c r="W195" s="10">
        <f>IF(LS[[#This Row],[BO Transfer]]="YES",LS[[#This Row],[Unit]],)</f>
        <v>0</v>
      </c>
      <c r="X195" s="3">
        <f>SUMIFS(LS[[#Headers],[BO UNIT TRANSFER]]:LS[[#This Row],[BO UNIT TRANSFER]],LS[[#Headers],[Investor ID]]:LS[[#This Row],[Investor ID]],LS[[#This Row],[Investor ID]])</f>
        <v>0</v>
      </c>
    </row>
    <row r="196" spans="2:24">
      <c r="B196" s="8">
        <v>2022</v>
      </c>
      <c r="C196" s="8">
        <v>4</v>
      </c>
      <c r="D196" s="8">
        <v>21</v>
      </c>
      <c r="E196" s="291">
        <f>DATE(LS[[#This Row],[Year]],LS[[#This Row],[Month]],LS[[#This Row],[Day]])</f>
        <v>44672</v>
      </c>
      <c r="F196" t="str" cm="1">
        <f t="array" ref="F196">INDEX(INVESTORS_LIST[INVESTOR NAME],MATCH(LS[[#This Row],[Investor ID]],INVESTORS_LIST[INVESTOR CODE],0),)</f>
        <v>RAHNUMA SULTANA</v>
      </c>
      <c r="G196" s="19" t="s">
        <v>86</v>
      </c>
      <c r="H196" s="8">
        <f>COUNTIF(LS[[#Headers],[Investor ID]]:LS[[#This Row],[Investor ID]],LS[[#This Row],[Investor ID]])</f>
        <v>2</v>
      </c>
      <c r="I196" s="8" t="str">
        <f>CONCATENATE(LS[[#This Row],[Frequency]],LS[[#This Row],[Investor ID]])</f>
        <v>2A00078</v>
      </c>
      <c r="J196" s="8" t="str">
        <f>IF(LS[[#This Row],[B/S]]="B","BUY",(IF(LS[[#This Row],[B/S]]="S","SELL"," ")))</f>
        <v>BUY</v>
      </c>
      <c r="K196" s="8" t="s">
        <v>301</v>
      </c>
      <c r="L196" s="10">
        <v>100000</v>
      </c>
      <c r="M196" s="10"/>
      <c r="N196" s="168">
        <f>LS[[#This Row],[Amount]]/LS[[#This Row],[Unit]]</f>
        <v>9.9900099900099892</v>
      </c>
      <c r="O196" s="11">
        <f t="shared" si="13"/>
        <v>10010</v>
      </c>
      <c r="P196" s="11">
        <f>SUMIFS(LS[[#Headers],[Unit]]:LS[[#This Row],[Unit]],LS[[#Headers],[Investor ID]]:LS[[#This Row],[Investor ID]],LS[[#This Row],[Investor ID]])</f>
        <v>30010</v>
      </c>
      <c r="Q196" s="10">
        <v>100100</v>
      </c>
      <c r="R196" s="6">
        <f>LS[[#This Row],[Amount]]-LS[[#This Row],[Unit Capital]]</f>
        <v>-100</v>
      </c>
      <c r="S19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9.9966677774075308</v>
      </c>
      <c r="T196" s="168">
        <f t="shared" si="14"/>
        <v>12.552</v>
      </c>
      <c r="U19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96" s="10" cm="1">
        <f t="array" ref="V196">IF(LS[[#This Row],[B/S]]="S",ABS(LS[[#This Row],[Unit]])*(INDEX(LS[NAV at Cost (Average)],MATCH(CONCATENATE((LS[[#This Row],[Frequency]]-1),LS[[#This Row],[Investor ID]]),LS[Unique Code],0),0)),0)</f>
        <v>0</v>
      </c>
      <c r="W196" s="10">
        <f>IF(LS[[#This Row],[BO Transfer]]="YES",LS[[#This Row],[Unit]],)</f>
        <v>0</v>
      </c>
      <c r="X196" s="3">
        <f>SUMIFS(LS[[#Headers],[BO UNIT TRANSFER]]:LS[[#This Row],[BO UNIT TRANSFER]],LS[[#Headers],[Investor ID]]:LS[[#This Row],[Investor ID]],LS[[#This Row],[Investor ID]])</f>
        <v>0</v>
      </c>
    </row>
    <row r="197" spans="2:24">
      <c r="B197" s="8">
        <v>2022</v>
      </c>
      <c r="C197" s="8">
        <v>4</v>
      </c>
      <c r="D197" s="8">
        <v>21</v>
      </c>
      <c r="E197" s="291">
        <f>DATE(LS[[#This Row],[Year]],LS[[#This Row],[Month]],LS[[#This Row],[Day]])</f>
        <v>44672</v>
      </c>
      <c r="F197" t="str" cm="1">
        <f t="array" ref="F197">INDEX(INVESTORS_LIST[INVESTOR NAME],MATCH(LS[[#This Row],[Investor ID]],INVESTORS_LIST[INVESTOR CODE],0),)</f>
        <v>SHAHINOOR KHANUM</v>
      </c>
      <c r="G197" s="19" t="s">
        <v>883</v>
      </c>
      <c r="H197" s="8">
        <f>COUNTIF(LS[[#Headers],[Investor ID]]:LS[[#This Row],[Investor ID]],LS[[#This Row],[Investor ID]])</f>
        <v>1</v>
      </c>
      <c r="I197" s="8" t="str">
        <f>CONCATENATE(LS[[#This Row],[Frequency]],LS[[#This Row],[Investor ID]])</f>
        <v>1A00405</v>
      </c>
      <c r="J197" s="8" t="str">
        <f>IF(LS[[#This Row],[B/S]]="B","BUY",(IF(LS[[#This Row],[B/S]]="S","SELL"," ")))</f>
        <v>BUY</v>
      </c>
      <c r="K197" s="8" t="s">
        <v>301</v>
      </c>
      <c r="L197" s="10">
        <v>105000</v>
      </c>
      <c r="M197" s="10"/>
      <c r="N197" s="168">
        <f>LS[[#This Row],[Amount]]/LS[[#This Row],[Unit]]</f>
        <v>9.9895347730948529</v>
      </c>
      <c r="O197" s="11">
        <f t="shared" si="13"/>
        <v>10511</v>
      </c>
      <c r="P197" s="11">
        <f>SUMIFS(LS[[#Headers],[Unit]]:LS[[#This Row],[Unit]],LS[[#Headers],[Investor ID]]:LS[[#This Row],[Investor ID]],LS[[#This Row],[Investor ID]])</f>
        <v>10511</v>
      </c>
      <c r="Q197" s="10">
        <v>105110</v>
      </c>
      <c r="R197" s="6">
        <f>LS[[#This Row],[Amount]]-LS[[#This Row],[Unit Capital]]</f>
        <v>-110</v>
      </c>
      <c r="S19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9.9895347730948529</v>
      </c>
      <c r="T197" s="168">
        <f t="shared" si="14"/>
        <v>12.552</v>
      </c>
      <c r="U19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97" s="10" cm="1">
        <f t="array" ref="V197">IF(LS[[#This Row],[B/S]]="S",ABS(LS[[#This Row],[Unit]])*(INDEX(LS[NAV at Cost (Average)],MATCH(CONCATENATE((LS[[#This Row],[Frequency]]-1),LS[[#This Row],[Investor ID]]),LS[Unique Code],0),0)),0)</f>
        <v>0</v>
      </c>
      <c r="W197" s="10">
        <f>IF(LS[[#This Row],[BO Transfer]]="YES",LS[[#This Row],[Unit]],)</f>
        <v>0</v>
      </c>
      <c r="X197" s="3">
        <f>SUMIFS(LS[[#Headers],[BO UNIT TRANSFER]]:LS[[#This Row],[BO UNIT TRANSFER]],LS[[#Headers],[Investor ID]]:LS[[#This Row],[Investor ID]],LS[[#This Row],[Investor ID]])</f>
        <v>0</v>
      </c>
    </row>
    <row r="198" spans="2:24">
      <c r="B198" s="8">
        <v>2022</v>
      </c>
      <c r="C198" s="8">
        <v>4</v>
      </c>
      <c r="D198" s="8">
        <v>24</v>
      </c>
      <c r="E198" s="291">
        <f>DATE(LS[[#This Row],[Year]],LS[[#This Row],[Month]],LS[[#This Row],[Day]])</f>
        <v>44675</v>
      </c>
      <c r="F198" t="str" cm="1">
        <f t="array" ref="F198">INDEX(INVESTORS_LIST[INVESTOR NAME],MATCH(LS[[#This Row],[Investor ID]],INVESTORS_LIST[INVESTOR CODE],0),)</f>
        <v>EKUSH WEALTH MANAGEMENT LIMITED</v>
      </c>
      <c r="G198" s="19" t="s">
        <v>4</v>
      </c>
      <c r="H198" s="8">
        <f>COUNTIF(LS[[#Headers],[Investor ID]]:LS[[#This Row],[Investor ID]],LS[[#This Row],[Investor ID]])</f>
        <v>5</v>
      </c>
      <c r="I198" s="8" t="str">
        <f>CONCATENATE(LS[[#This Row],[Frequency]],LS[[#This Row],[Investor ID]])</f>
        <v>5A00003</v>
      </c>
      <c r="J198" s="8" t="str">
        <f>IF(LS[[#This Row],[B/S]]="B","BUY",(IF(LS[[#This Row],[B/S]]="S","SELL"," ")))</f>
        <v>BUY</v>
      </c>
      <c r="K198" s="8" t="s">
        <v>301</v>
      </c>
      <c r="L198" s="10">
        <v>1400000</v>
      </c>
      <c r="M198" s="10"/>
      <c r="N198" s="168">
        <f>LS[[#This Row],[Amount]]/LS[[#This Row],[Unit]]</f>
        <v>10.06000071857148</v>
      </c>
      <c r="O198" s="11">
        <f t="shared" si="13"/>
        <v>139165</v>
      </c>
      <c r="P198" s="11">
        <f>SUMIFS(LS[[#Headers],[Unit]]:LS[[#This Row],[Unit]],LS[[#Headers],[Investor ID]]:LS[[#This Row],[Investor ID]],LS[[#This Row],[Investor ID]])</f>
        <v>2644185</v>
      </c>
      <c r="Q198" s="10">
        <v>1391650</v>
      </c>
      <c r="R198" s="6">
        <f>LS[[#This Row],[Amount]]-LS[[#This Row],[Unit Capital]]</f>
        <v>8350</v>
      </c>
      <c r="S19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10.00308223516887</v>
      </c>
      <c r="T198" s="168">
        <f t="shared" si="14"/>
        <v>12.552</v>
      </c>
      <c r="U19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198" s="10" cm="1">
        <f t="array" ref="V198">IF(LS[[#This Row],[B/S]]="S",ABS(LS[[#This Row],[Unit]])*(INDEX(LS[NAV at Cost (Average)],MATCH(CONCATENATE((LS[[#This Row],[Frequency]]-1),LS[[#This Row],[Investor ID]]),LS[Unique Code],0),0)),0)</f>
        <v>0</v>
      </c>
      <c r="W198" s="10">
        <f>IF(LS[[#This Row],[BO Transfer]]="YES",LS[[#This Row],[Unit]],)</f>
        <v>0</v>
      </c>
      <c r="X198" s="3">
        <f>SUMIFS(LS[[#Headers],[BO UNIT TRANSFER]]:LS[[#This Row],[BO UNIT TRANSFER]],LS[[#Headers],[Investor ID]]:LS[[#This Row],[Investor ID]],LS[[#This Row],[Investor ID]])</f>
        <v>0</v>
      </c>
    </row>
    <row r="199" spans="2:24">
      <c r="B199" s="8">
        <v>2022</v>
      </c>
      <c r="C199" s="87">
        <v>5</v>
      </c>
      <c r="D199" s="87">
        <v>11</v>
      </c>
      <c r="E199" s="294">
        <f>DATE(LS[[#This Row],[Year]],LS[[#This Row],[Month]],LS[[#This Row],[Day]])</f>
        <v>44692</v>
      </c>
      <c r="F199" s="88" t="str" cm="1">
        <f t="array" ref="F199">INDEX(INVESTORS_LIST[INVESTOR NAME],MATCH(LS[[#This Row],[Investor ID]],INVESTORS_LIST[INVESTOR CODE],0),)</f>
        <v>BILKISS ARA</v>
      </c>
      <c r="G199" s="89" t="s">
        <v>81</v>
      </c>
      <c r="H199" s="87">
        <f>COUNTIF(LS[[#Headers],[Investor ID]]:LS[[#This Row],[Investor ID]],LS[[#This Row],[Investor ID]])</f>
        <v>3</v>
      </c>
      <c r="I199" s="87" t="str">
        <f>CONCATENATE(LS[[#This Row],[Frequency]],LS[[#This Row],[Investor ID]])</f>
        <v>3A00073</v>
      </c>
      <c r="J199" s="87" t="str">
        <f>IF(LS[[#This Row],[B/S]]="B","BUY",(IF(LS[[#This Row],[B/S]]="S","SELL"," ")))</f>
        <v>SELL</v>
      </c>
      <c r="K199" s="8" t="s">
        <v>866</v>
      </c>
      <c r="L199" s="90">
        <v>-99378.72</v>
      </c>
      <c r="M199" s="3" t="s">
        <v>957</v>
      </c>
      <c r="N199" s="171">
        <f>LS[[#This Row],[Amount]]/LS[[#This Row],[Unit]]</f>
        <v>10.08</v>
      </c>
      <c r="O199" s="91">
        <f t="shared" ref="O199:O206" si="15">Q199/10</f>
        <v>-9859</v>
      </c>
      <c r="P199" s="91">
        <f>SUMIFS(LS[[#Headers],[Unit]]:LS[[#This Row],[Unit]],LS[[#Headers],[Investor ID]]:LS[[#This Row],[Investor ID]],LS[[#This Row],[Investor ID]])</f>
        <v>0</v>
      </c>
      <c r="Q199" s="90">
        <v>-98590</v>
      </c>
      <c r="R199" s="92">
        <f>LS[[#This Row],[Amount]]-LS[[#This Row],[Unit Capital]]</f>
        <v>-788.72000000000116</v>
      </c>
      <c r="S199" s="171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199" s="171">
        <f t="shared" ref="T199:T206" si="16">IFERROR(NAV_MKT,0)</f>
        <v>12.552</v>
      </c>
      <c r="U199" s="90">
        <f>IF(LS[[#This Row],[B/S]]="B",0,ABS(LS[[#This Row],[Unit]])*(LS[[#This Row],[NAV (Strike Rate)]]-INDEX(LS[NAV at Cost (Average)],MATCH(CONCATENATE(LS[[#This Row],[Frequency]]-1,LS[[#This Row],[Investor ID]]),LS[Unique Code],0),)))</f>
        <v>788.72000000000071</v>
      </c>
      <c r="V199" s="90" cm="1">
        <f t="array" ref="V199">IF(LS[[#This Row],[B/S]]="S",ABS(LS[[#This Row],[Unit]])*(INDEX(LS[NAV at Cost (Average)],MATCH(CONCATENATE((LS[[#This Row],[Frequency]]-1),LS[[#This Row],[Investor ID]]),LS[Unique Code],0),0)),0)</f>
        <v>98590</v>
      </c>
      <c r="W199" s="90">
        <f>IF(LS[[#This Row],[BO Transfer]]="YES",LS[[#This Row],[Unit]],)</f>
        <v>-9859</v>
      </c>
      <c r="X199" s="3">
        <f>SUMIFS(LS[[#Headers],[BO UNIT TRANSFER]]:LS[[#This Row],[BO UNIT TRANSFER]],LS[[#Headers],[Investor ID]]:LS[[#This Row],[Investor ID]],LS[[#This Row],[Investor ID]])</f>
        <v>0</v>
      </c>
    </row>
    <row r="200" spans="2:24">
      <c r="B200" s="8">
        <v>2022</v>
      </c>
      <c r="C200" s="87">
        <v>5</v>
      </c>
      <c r="D200" s="87">
        <v>12</v>
      </c>
      <c r="E200" s="294">
        <f>DATE(LS[[#This Row],[Year]],LS[[#This Row],[Month]],LS[[#This Row],[Day]])</f>
        <v>44693</v>
      </c>
      <c r="F200" s="88" t="str" cm="1">
        <f t="array" ref="F200">INDEX(INVESTORS_LIST[INVESTOR NAME],MATCH(LS[[#This Row],[Investor ID]],INVESTORS_LIST[INVESTOR CODE],0),)</f>
        <v>SYED SADEK HUSSAIN</v>
      </c>
      <c r="G200" s="89" t="s">
        <v>900</v>
      </c>
      <c r="H200" s="87">
        <f>COUNTIF(LS[[#Headers],[Investor ID]]:LS[[#This Row],[Investor ID]],LS[[#This Row],[Investor ID]])</f>
        <v>1</v>
      </c>
      <c r="I200" s="87" t="str">
        <f>CONCATENATE(LS[[#This Row],[Frequency]],LS[[#This Row],[Investor ID]])</f>
        <v>1A00415</v>
      </c>
      <c r="J200" s="87" t="str">
        <f>IF(LS[[#This Row],[B/S]]="B","BUY",(IF(LS[[#This Row],[B/S]]="S","SELL"," ")))</f>
        <v>BUY</v>
      </c>
      <c r="K200" s="8" t="s">
        <v>301</v>
      </c>
      <c r="L200" s="90">
        <v>453600</v>
      </c>
      <c r="M200" s="90"/>
      <c r="N200" s="171">
        <f>LS[[#This Row],[Amount]]/LS[[#This Row],[Unit]]</f>
        <v>10.040062861063769</v>
      </c>
      <c r="O200" s="91">
        <f t="shared" si="15"/>
        <v>45179</v>
      </c>
      <c r="P200" s="91">
        <f>SUMIFS(LS[[#Headers],[Unit]]:LS[[#This Row],[Unit]],LS[[#Headers],[Investor ID]]:LS[[#This Row],[Investor ID]],LS[[#This Row],[Investor ID]])</f>
        <v>45179</v>
      </c>
      <c r="Q200" s="90">
        <v>451790</v>
      </c>
      <c r="R200" s="92">
        <f>LS[[#This Row],[Amount]]-LS[[#This Row],[Unit Capital]]</f>
        <v>1810</v>
      </c>
      <c r="S200" s="171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10.040062861063769</v>
      </c>
      <c r="T200" s="171">
        <f t="shared" si="16"/>
        <v>12.552</v>
      </c>
      <c r="U200" s="9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00" s="90" cm="1">
        <f t="array" ref="V200">IF(LS[[#This Row],[B/S]]="S",ABS(LS[[#This Row],[Unit]])*(INDEX(LS[NAV at Cost (Average)],MATCH(CONCATENATE((LS[[#This Row],[Frequency]]-1),LS[[#This Row],[Investor ID]]),LS[Unique Code],0),0)),0)</f>
        <v>0</v>
      </c>
      <c r="W200" s="90">
        <f>IF(LS[[#This Row],[BO Transfer]]="YES",LS[[#This Row],[Unit]],)</f>
        <v>0</v>
      </c>
      <c r="X200" s="3">
        <f>SUMIFS(LS[[#Headers],[BO UNIT TRANSFER]]:LS[[#This Row],[BO UNIT TRANSFER]],LS[[#Headers],[Investor ID]]:LS[[#This Row],[Investor ID]],LS[[#This Row],[Investor ID]])</f>
        <v>0</v>
      </c>
    </row>
    <row r="201" spans="2:24">
      <c r="B201" s="8">
        <v>2022</v>
      </c>
      <c r="C201" s="87">
        <v>5</v>
      </c>
      <c r="D201" s="8">
        <v>16</v>
      </c>
      <c r="E201" s="291">
        <f>DATE(LS[[#This Row],[Year]],LS[[#This Row],[Month]],LS[[#This Row],[Day]])</f>
        <v>44697</v>
      </c>
      <c r="F201" t="str" cm="1">
        <f t="array" ref="F201">INDEX(INVESTORS_LIST[INVESTOR NAME],MATCH(LS[[#This Row],[Investor ID]],INVESTORS_LIST[INVESTOR CODE],0),)</f>
        <v>SK FEROZ ALAM</v>
      </c>
      <c r="G201" s="19" t="s">
        <v>110</v>
      </c>
      <c r="H201" s="8">
        <f>COUNTIF(LS[[#Headers],[Investor ID]]:LS[[#This Row],[Investor ID]],LS[[#This Row],[Investor ID]])</f>
        <v>2</v>
      </c>
      <c r="I201" s="8" t="str">
        <f>CONCATENATE(LS[[#This Row],[Frequency]],LS[[#This Row],[Investor ID]])</f>
        <v>2A00096</v>
      </c>
      <c r="J201" s="8" t="str">
        <f>IF(LS[[#This Row],[B/S]]="B","BUY",(IF(LS[[#This Row],[B/S]]="S","SELL"," ")))</f>
        <v>SELL</v>
      </c>
      <c r="K201" s="8" t="s">
        <v>866</v>
      </c>
      <c r="L201" s="10">
        <v>-302400</v>
      </c>
      <c r="M201" s="10"/>
      <c r="N201" s="168">
        <f>LS[[#This Row],[Amount]]/LS[[#This Row],[Unit]]</f>
        <v>10.08</v>
      </c>
      <c r="O201" s="11">
        <f t="shared" si="15"/>
        <v>-30000</v>
      </c>
      <c r="P201" s="11">
        <f>SUMIFS(LS[[#Headers],[Unit]]:LS[[#This Row],[Unit]],LS[[#Headers],[Investor ID]]:LS[[#This Row],[Investor ID]],LS[[#This Row],[Investor ID]])</f>
        <v>0</v>
      </c>
      <c r="Q201" s="10">
        <v>-300000</v>
      </c>
      <c r="R201" s="6">
        <f>LS[[#This Row],[Amount]]-LS[[#This Row],[Unit Capital]]</f>
        <v>-2400</v>
      </c>
      <c r="S20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01" s="168">
        <f t="shared" si="16"/>
        <v>12.552</v>
      </c>
      <c r="U201" s="10">
        <f>IF(LS[[#This Row],[B/S]]="B",0,ABS(LS[[#This Row],[Unit]])*(LS[[#This Row],[NAV (Strike Rate)]]-INDEX(LS[NAV at Cost (Average)],MATCH(CONCATENATE(LS[[#This Row],[Frequency]]-1,LS[[#This Row],[Investor ID]]),LS[Unique Code],0),)))</f>
        <v>2400.0000000000023</v>
      </c>
      <c r="V201" s="10" cm="1">
        <f t="array" ref="V201">IF(LS[[#This Row],[B/S]]="S",ABS(LS[[#This Row],[Unit]])*(INDEX(LS[NAV at Cost (Average)],MATCH(CONCATENATE((LS[[#This Row],[Frequency]]-1),LS[[#This Row],[Investor ID]]),LS[Unique Code],0),0)),0)</f>
        <v>300000</v>
      </c>
      <c r="W201" s="10">
        <f>IF(LS[[#This Row],[BO Transfer]]="YES",LS[[#This Row],[Unit]],)</f>
        <v>0</v>
      </c>
      <c r="X201" s="3">
        <f>SUMIFS(LS[[#Headers],[BO UNIT TRANSFER]]:LS[[#This Row],[BO UNIT TRANSFER]],LS[[#Headers],[Investor ID]]:LS[[#This Row],[Investor ID]],LS[[#This Row],[Investor ID]])</f>
        <v>0</v>
      </c>
    </row>
    <row r="202" spans="2:24">
      <c r="B202" s="8">
        <v>2022</v>
      </c>
      <c r="C202" s="87">
        <v>5</v>
      </c>
      <c r="D202" s="8">
        <v>16</v>
      </c>
      <c r="E202" s="291">
        <f>DATE(LS[[#This Row],[Year]],LS[[#This Row],[Month]],LS[[#This Row],[Day]])</f>
        <v>44697</v>
      </c>
      <c r="F202" t="str" cm="1">
        <f t="array" ref="F202">INDEX(INVESTORS_LIST[INVESTOR NAME],MATCH(LS[[#This Row],[Investor ID]],INVESTORS_LIST[INVESTOR CODE],0),)</f>
        <v>SK FEROZ ALAM &amp; MD BULBUL ISLAM</v>
      </c>
      <c r="G202" s="19" t="s">
        <v>272</v>
      </c>
      <c r="H202" s="8">
        <f>COUNTIF(LS[[#Headers],[Investor ID]]:LS[[#This Row],[Investor ID]],LS[[#This Row],[Investor ID]])</f>
        <v>2</v>
      </c>
      <c r="I202" s="8" t="str">
        <f>CONCATENATE(LS[[#This Row],[Frequency]],LS[[#This Row],[Investor ID]])</f>
        <v>2A00216</v>
      </c>
      <c r="J202" s="8" t="str">
        <f>IF(LS[[#This Row],[B/S]]="B","BUY",(IF(LS[[#This Row],[B/S]]="S","SELL"," ")))</f>
        <v>SELL</v>
      </c>
      <c r="K202" s="8" t="s">
        <v>866</v>
      </c>
      <c r="L202" s="10">
        <v>-201600</v>
      </c>
      <c r="M202" s="10"/>
      <c r="N202" s="168">
        <f>LS[[#This Row],[Amount]]/LS[[#This Row],[Unit]]</f>
        <v>10.08</v>
      </c>
      <c r="O202" s="11">
        <f t="shared" si="15"/>
        <v>-20000</v>
      </c>
      <c r="P202" s="11">
        <f>SUMIFS(LS[[#Headers],[Unit]]:LS[[#This Row],[Unit]],LS[[#Headers],[Investor ID]]:LS[[#This Row],[Investor ID]],LS[[#This Row],[Investor ID]])</f>
        <v>0</v>
      </c>
      <c r="Q202" s="10">
        <v>-200000</v>
      </c>
      <c r="R202" s="6">
        <f>LS[[#This Row],[Amount]]-LS[[#This Row],[Unit Capital]]</f>
        <v>-1600</v>
      </c>
      <c r="S20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02" s="168">
        <f t="shared" si="16"/>
        <v>12.552</v>
      </c>
      <c r="U202" s="10">
        <f>IF(LS[[#This Row],[B/S]]="B",0,ABS(LS[[#This Row],[Unit]])*(LS[[#This Row],[NAV (Strike Rate)]]-INDEX(LS[NAV at Cost (Average)],MATCH(CONCATENATE(LS[[#This Row],[Frequency]]-1,LS[[#This Row],[Investor ID]]),LS[Unique Code],0),)))</f>
        <v>1600.0000000000014</v>
      </c>
      <c r="V202" s="10" cm="1">
        <f t="array" ref="V202">IF(LS[[#This Row],[B/S]]="S",ABS(LS[[#This Row],[Unit]])*(INDEX(LS[NAV at Cost (Average)],MATCH(CONCATENATE((LS[[#This Row],[Frequency]]-1),LS[[#This Row],[Investor ID]]),LS[Unique Code],0),0)),0)</f>
        <v>200000</v>
      </c>
      <c r="W202" s="10">
        <f>IF(LS[[#This Row],[BO Transfer]]="YES",LS[[#This Row],[Unit]],)</f>
        <v>0</v>
      </c>
      <c r="X202" s="3">
        <f>SUMIFS(LS[[#Headers],[BO UNIT TRANSFER]]:LS[[#This Row],[BO UNIT TRANSFER]],LS[[#Headers],[Investor ID]]:LS[[#This Row],[Investor ID]],LS[[#This Row],[Investor ID]])</f>
        <v>0</v>
      </c>
    </row>
    <row r="203" spans="2:24">
      <c r="B203" s="8">
        <v>2022</v>
      </c>
      <c r="C203" s="87">
        <v>5</v>
      </c>
      <c r="D203" s="8">
        <v>18</v>
      </c>
      <c r="E203" s="295">
        <f>DATE(LS[[#This Row],[Year]],LS[[#This Row],[Month]],LS[[#This Row],[Day]])</f>
        <v>44699</v>
      </c>
      <c r="F203" s="93" t="str" cm="1">
        <f t="array" ref="F203">INDEX(INVESTORS_LIST[INVESTOR NAME],MATCH(LS[[#This Row],[Investor ID]],INVESTORS_LIST[INVESTOR CODE],0),)</f>
        <v>MOHAMMED ALI XAHANGIR</v>
      </c>
      <c r="G203" s="94" t="s">
        <v>165</v>
      </c>
      <c r="H203" s="95">
        <f>COUNTIF(LS[[#Headers],[Investor ID]]:LS[[#This Row],[Investor ID]],LS[[#This Row],[Investor ID]])</f>
        <v>3</v>
      </c>
      <c r="I203" s="95" t="str">
        <f>CONCATENATE(LS[[#This Row],[Frequency]],LS[[#This Row],[Investor ID]])</f>
        <v>3A00132</v>
      </c>
      <c r="J203" s="95" t="str">
        <f>IF(LS[[#This Row],[B/S]]="B","BUY",(IF(LS[[#This Row],[B/S]]="S","SELL"," ")))</f>
        <v>SELL</v>
      </c>
      <c r="K203" s="8" t="s">
        <v>866</v>
      </c>
      <c r="L203" s="96">
        <v>-1533661.92</v>
      </c>
      <c r="M203" s="96"/>
      <c r="N203" s="172">
        <f>LS[[#This Row],[Amount]]/LS[[#This Row],[Unit]]</f>
        <v>10.08</v>
      </c>
      <c r="O203" s="97">
        <f t="shared" si="15"/>
        <v>-152149</v>
      </c>
      <c r="P203" s="97">
        <f>SUMIFS(LS[[#Headers],[Unit]]:LS[[#This Row],[Unit]],LS[[#Headers],[Investor ID]]:LS[[#This Row],[Investor ID]],LS[[#This Row],[Investor ID]])</f>
        <v>0</v>
      </c>
      <c r="Q203" s="96">
        <v>-1521490</v>
      </c>
      <c r="R203" s="98">
        <f>LS[[#This Row],[Amount]]-LS[[#This Row],[Unit Capital]]</f>
        <v>-12171.919999999925</v>
      </c>
      <c r="S203" s="17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03" s="172">
        <f t="shared" si="16"/>
        <v>12.552</v>
      </c>
      <c r="U203" s="96">
        <f>IF(LS[[#This Row],[B/S]]="B",0,ABS(LS[[#This Row],[Unit]])*(LS[[#This Row],[NAV (Strike Rate)]]-INDEX(LS[NAV at Cost (Average)],MATCH(CONCATENATE(LS[[#This Row],[Frequency]]-1,LS[[#This Row],[Investor ID]]),LS[Unique Code],0),)))</f>
        <v>12171.920000000011</v>
      </c>
      <c r="V203" s="96" cm="1">
        <f t="array" ref="V203">IF(LS[[#This Row],[B/S]]="S",ABS(LS[[#This Row],[Unit]])*(INDEX(LS[NAV at Cost (Average)],MATCH(CONCATENATE((LS[[#This Row],[Frequency]]-1),LS[[#This Row],[Investor ID]]),LS[Unique Code],0),0)),0)</f>
        <v>1521490</v>
      </c>
      <c r="W203" s="96">
        <f>IF(LS[[#This Row],[BO Transfer]]="YES",LS[[#This Row],[Unit]],)</f>
        <v>0</v>
      </c>
      <c r="X203" s="3">
        <f>SUMIFS(LS[[#Headers],[BO UNIT TRANSFER]]:LS[[#This Row],[BO UNIT TRANSFER]],LS[[#Headers],[Investor ID]]:LS[[#This Row],[Investor ID]],LS[[#This Row],[Investor ID]])</f>
        <v>0</v>
      </c>
    </row>
    <row r="204" spans="2:24">
      <c r="B204" s="8">
        <v>2022</v>
      </c>
      <c r="C204" s="87">
        <v>5</v>
      </c>
      <c r="D204" s="8">
        <v>18</v>
      </c>
      <c r="E204" s="295">
        <f>DATE(LS[[#This Row],[Year]],LS[[#This Row],[Month]],LS[[#This Row],[Day]])</f>
        <v>44699</v>
      </c>
      <c r="F204" s="93" t="str" cm="1">
        <f t="array" ref="F204">INDEX(INVESTORS_LIST[INVESTOR NAME],MATCH(LS[[#This Row],[Investor ID]],INVESTORS_LIST[INVESTOR CODE],0),)</f>
        <v>FAISAL BIN MALEQUE</v>
      </c>
      <c r="G204" s="94" t="s">
        <v>608</v>
      </c>
      <c r="H204" s="95">
        <f>COUNTIF(LS[[#Headers],[Investor ID]]:LS[[#This Row],[Investor ID]],LS[[#This Row],[Investor ID]])</f>
        <v>2</v>
      </c>
      <c r="I204" s="95" t="str">
        <f>CONCATENATE(LS[[#This Row],[Frequency]],LS[[#This Row],[Investor ID]])</f>
        <v>2A00342</v>
      </c>
      <c r="J204" s="95" t="str">
        <f>IF(LS[[#This Row],[B/S]]="B","BUY",(IF(LS[[#This Row],[B/S]]="S","SELL"," ")))</f>
        <v>SELL</v>
      </c>
      <c r="K204" s="8" t="s">
        <v>866</v>
      </c>
      <c r="L204" s="96">
        <v>-502000</v>
      </c>
      <c r="M204" s="96"/>
      <c r="N204" s="172">
        <f>LS[[#This Row],[Amount]]/LS[[#This Row],[Unit]]</f>
        <v>10.039999999999999</v>
      </c>
      <c r="O204" s="97">
        <f t="shared" si="15"/>
        <v>-50000</v>
      </c>
      <c r="P204" s="97">
        <f>SUMIFS(LS[[#Headers],[Unit]]:LS[[#This Row],[Unit]],LS[[#Headers],[Investor ID]]:LS[[#This Row],[Investor ID]],LS[[#This Row],[Investor ID]])</f>
        <v>0</v>
      </c>
      <c r="Q204" s="96">
        <v>-500000</v>
      </c>
      <c r="R204" s="98">
        <f>LS[[#This Row],[Amount]]-LS[[#This Row],[Unit Capital]]</f>
        <v>-2000</v>
      </c>
      <c r="S204" s="17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04" s="172">
        <f t="shared" si="16"/>
        <v>12.552</v>
      </c>
      <c r="U204" s="96">
        <f>IF(LS[[#This Row],[B/S]]="B",0,ABS(LS[[#This Row],[Unit]])*(LS[[#This Row],[NAV (Strike Rate)]]-INDEX(LS[NAV at Cost (Average)],MATCH(CONCATENATE(LS[[#This Row],[Frequency]]-1,LS[[#This Row],[Investor ID]]),LS[Unique Code],0),)))</f>
        <v>1999.9999999999573</v>
      </c>
      <c r="V204" s="96" cm="1">
        <f t="array" ref="V204">IF(LS[[#This Row],[B/S]]="S",ABS(LS[[#This Row],[Unit]])*(INDEX(LS[NAV at Cost (Average)],MATCH(CONCATENATE((LS[[#This Row],[Frequency]]-1),LS[[#This Row],[Investor ID]]),LS[Unique Code],0),0)),0)</f>
        <v>500000</v>
      </c>
      <c r="W204" s="96">
        <f>IF(LS[[#This Row],[BO Transfer]]="YES",LS[[#This Row],[Unit]],)</f>
        <v>0</v>
      </c>
      <c r="X204" s="3">
        <f>SUMIFS(LS[[#Headers],[BO UNIT TRANSFER]]:LS[[#This Row],[BO UNIT TRANSFER]],LS[[#Headers],[Investor ID]]:LS[[#This Row],[Investor ID]],LS[[#This Row],[Investor ID]])</f>
        <v>0</v>
      </c>
    </row>
    <row r="205" spans="2:24">
      <c r="B205" s="8">
        <v>2022</v>
      </c>
      <c r="C205" s="87">
        <v>5</v>
      </c>
      <c r="D205" s="8">
        <v>18</v>
      </c>
      <c r="E205" s="295">
        <f>DATE(LS[[#This Row],[Year]],LS[[#This Row],[Month]],LS[[#This Row],[Day]])</f>
        <v>44699</v>
      </c>
      <c r="F205" s="93" t="str" cm="1">
        <f t="array" ref="F205">INDEX(INVESTORS_LIST[INVESTOR NAME],MATCH(LS[[#This Row],[Investor ID]],INVESTORS_LIST[INVESTOR CODE],0),)</f>
        <v>AMARSTOCK LTD. EMP. PF.</v>
      </c>
      <c r="G205" s="19" t="s">
        <v>700</v>
      </c>
      <c r="H205" s="95">
        <f>COUNTIF(LS[[#Headers],[Investor ID]]:LS[[#This Row],[Investor ID]],LS[[#This Row],[Investor ID]])</f>
        <v>2</v>
      </c>
      <c r="I205" s="95" t="str">
        <f>CONCATENATE(LS[[#This Row],[Frequency]],LS[[#This Row],[Investor ID]])</f>
        <v>2A00377</v>
      </c>
      <c r="J205" s="95" t="str">
        <f>IF(LS[[#This Row],[B/S]]="B","BUY",(IF(LS[[#This Row],[B/S]]="S","SELL"," ")))</f>
        <v>SELL</v>
      </c>
      <c r="K205" s="8" t="s">
        <v>866</v>
      </c>
      <c r="L205" s="96">
        <v>-1004000</v>
      </c>
      <c r="M205" s="96"/>
      <c r="N205" s="172">
        <f>LS[[#This Row],[Amount]]/LS[[#This Row],[Unit]]</f>
        <v>10.039999999999999</v>
      </c>
      <c r="O205" s="97">
        <f t="shared" si="15"/>
        <v>-100000</v>
      </c>
      <c r="P205" s="97">
        <f>SUMIFS(LS[[#Headers],[Unit]]:LS[[#This Row],[Unit]],LS[[#Headers],[Investor ID]]:LS[[#This Row],[Investor ID]],LS[[#This Row],[Investor ID]])</f>
        <v>0</v>
      </c>
      <c r="Q205" s="96">
        <v>-1000000</v>
      </c>
      <c r="R205" s="98">
        <f>LS[[#This Row],[Amount]]-LS[[#This Row],[Unit Capital]]</f>
        <v>-4000</v>
      </c>
      <c r="S205" s="17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05" s="172">
        <f t="shared" si="16"/>
        <v>12.552</v>
      </c>
      <c r="U205" s="96">
        <f>IF(LS[[#This Row],[B/S]]="B",0,ABS(LS[[#This Row],[Unit]])*(LS[[#This Row],[NAV (Strike Rate)]]-INDEX(LS[NAV at Cost (Average)],MATCH(CONCATENATE(LS[[#This Row],[Frequency]]-1,LS[[#This Row],[Investor ID]]),LS[Unique Code],0),)))</f>
        <v>3999.9999999999145</v>
      </c>
      <c r="V205" s="96" cm="1">
        <f t="array" ref="V205">IF(LS[[#This Row],[B/S]]="S",ABS(LS[[#This Row],[Unit]])*(INDEX(LS[NAV at Cost (Average)],MATCH(CONCATENATE((LS[[#This Row],[Frequency]]-1),LS[[#This Row],[Investor ID]]),LS[Unique Code],0),0)),0)</f>
        <v>1000000</v>
      </c>
      <c r="W205" s="96">
        <f>IF(LS[[#This Row],[BO Transfer]]="YES",LS[[#This Row],[Unit]],)</f>
        <v>0</v>
      </c>
      <c r="X205" s="3">
        <f>SUMIFS(LS[[#Headers],[BO UNIT TRANSFER]]:LS[[#This Row],[BO UNIT TRANSFER]],LS[[#Headers],[Investor ID]]:LS[[#This Row],[Investor ID]],LS[[#This Row],[Investor ID]])</f>
        <v>0</v>
      </c>
    </row>
    <row r="206" spans="2:24">
      <c r="B206" s="8">
        <v>2022</v>
      </c>
      <c r="C206" s="87">
        <v>5</v>
      </c>
      <c r="D206" s="8">
        <v>18</v>
      </c>
      <c r="E206" s="295">
        <f>DATE(LS[[#This Row],[Year]],LS[[#This Row],[Month]],LS[[#This Row],[Day]])</f>
        <v>44699</v>
      </c>
      <c r="F206" s="93" t="str" cm="1">
        <f t="array" ref="F206">INDEX(INVESTORS_LIST[INVESTOR NAME],MATCH(LS[[#This Row],[Investor ID]],INVESTORS_LIST[INVESTOR CODE],0),)</f>
        <v>SHABBIR KHAN</v>
      </c>
      <c r="G206" s="94" t="s">
        <v>702</v>
      </c>
      <c r="H206" s="95">
        <f>COUNTIF(LS[[#Headers],[Investor ID]]:LS[[#This Row],[Investor ID]],LS[[#This Row],[Investor ID]])</f>
        <v>2</v>
      </c>
      <c r="I206" s="95" t="str">
        <f>CONCATENATE(LS[[#This Row],[Frequency]],LS[[#This Row],[Investor ID]])</f>
        <v>2A00378</v>
      </c>
      <c r="J206" s="95" t="str">
        <f>IF(LS[[#This Row],[B/S]]="B","BUY",(IF(LS[[#This Row],[B/S]]="S","SELL"," ")))</f>
        <v>SELL</v>
      </c>
      <c r="K206" s="8" t="s">
        <v>866</v>
      </c>
      <c r="L206" s="96">
        <v>-1004000</v>
      </c>
      <c r="M206" s="96"/>
      <c r="N206" s="172">
        <f>LS[[#This Row],[Amount]]/LS[[#This Row],[Unit]]</f>
        <v>10.039999999999999</v>
      </c>
      <c r="O206" s="97">
        <f t="shared" si="15"/>
        <v>-100000</v>
      </c>
      <c r="P206" s="97">
        <f>SUMIFS(LS[[#Headers],[Unit]]:LS[[#This Row],[Unit]],LS[[#Headers],[Investor ID]]:LS[[#This Row],[Investor ID]],LS[[#This Row],[Investor ID]])</f>
        <v>0</v>
      </c>
      <c r="Q206" s="96">
        <v>-1000000</v>
      </c>
      <c r="R206" s="98">
        <f>LS[[#This Row],[Amount]]-LS[[#This Row],[Unit Capital]]</f>
        <v>-4000</v>
      </c>
      <c r="S206" s="172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06" s="172">
        <f t="shared" si="16"/>
        <v>12.552</v>
      </c>
      <c r="U206" s="96">
        <f>IF(LS[[#This Row],[B/S]]="B",0,ABS(LS[[#This Row],[Unit]])*(LS[[#This Row],[NAV (Strike Rate)]]-INDEX(LS[NAV at Cost (Average)],MATCH(CONCATENATE(LS[[#This Row],[Frequency]]-1,LS[[#This Row],[Investor ID]]),LS[Unique Code],0),)))</f>
        <v>3999.9999999999145</v>
      </c>
      <c r="V206" s="96" cm="1">
        <f t="array" ref="V206">IF(LS[[#This Row],[B/S]]="S",ABS(LS[[#This Row],[Unit]])*(INDEX(LS[NAV at Cost (Average)],MATCH(CONCATENATE((LS[[#This Row],[Frequency]]-1),LS[[#This Row],[Investor ID]]),LS[Unique Code],0),0)),0)</f>
        <v>1000000</v>
      </c>
      <c r="W206" s="96">
        <f>IF(LS[[#This Row],[BO Transfer]]="YES",LS[[#This Row],[Unit]],)</f>
        <v>0</v>
      </c>
      <c r="X206" s="3">
        <f>SUMIFS(LS[[#Headers],[BO UNIT TRANSFER]]:LS[[#This Row],[BO UNIT TRANSFER]],LS[[#Headers],[Investor ID]]:LS[[#This Row],[Investor ID]],LS[[#This Row],[Investor ID]])</f>
        <v>0</v>
      </c>
    </row>
    <row r="207" spans="2:24">
      <c r="B207" s="8">
        <v>2022</v>
      </c>
      <c r="C207" s="8">
        <v>5</v>
      </c>
      <c r="D207" s="8">
        <v>24</v>
      </c>
      <c r="E207" s="291">
        <f>DATE(LS[[#This Row],[Year]],LS[[#This Row],[Month]],LS[[#This Row],[Day]])</f>
        <v>44705</v>
      </c>
      <c r="F207" t="str" cm="1">
        <f t="array" ref="F207">INDEX(INVESTORS_LIST[INVESTOR NAME],MATCH(LS[[#This Row],[Investor ID]],INVESTORS_LIST[INVESTOR CODE],0),)</f>
        <v>SYED SADEK HUSSAIN</v>
      </c>
      <c r="G207" s="19" t="s">
        <v>900</v>
      </c>
      <c r="H207" s="8">
        <f>COUNTIF(LS[[#Headers],[Investor ID]]:LS[[#This Row],[Investor ID]],LS[[#This Row],[Investor ID]])</f>
        <v>2</v>
      </c>
      <c r="I207" s="8" t="str">
        <f>CONCATENATE(LS[[#This Row],[Frequency]],LS[[#This Row],[Investor ID]])</f>
        <v>2A00415</v>
      </c>
      <c r="J207" s="8" t="str">
        <f>IF(LS[[#This Row],[B/S]]="B","BUY",(IF(LS[[#This Row],[B/S]]="S","SELL"," ")))</f>
        <v>SELL</v>
      </c>
      <c r="K207" s="8" t="s">
        <v>866</v>
      </c>
      <c r="L207" s="10">
        <v>-453600</v>
      </c>
      <c r="M207" s="10"/>
      <c r="N207" s="168">
        <f>LS[[#This Row],[Amount]]/LS[[#This Row],[Unit]]</f>
        <v>10.040062861063769</v>
      </c>
      <c r="O207" s="11">
        <f t="shared" ref="O207:O212" si="17">Q207/10</f>
        <v>-45179</v>
      </c>
      <c r="P207" s="11">
        <f>SUMIFS(LS[[#Headers],[Unit]]:LS[[#This Row],[Unit]],LS[[#Headers],[Investor ID]]:LS[[#This Row],[Investor ID]],LS[[#This Row],[Investor ID]])</f>
        <v>0</v>
      </c>
      <c r="Q207" s="10">
        <v>-451790</v>
      </c>
      <c r="R207" s="6">
        <f>LS[[#This Row],[Amount]]-LS[[#This Row],[Unit Capital]]</f>
        <v>-1810</v>
      </c>
      <c r="S20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07" s="168">
        <f t="shared" ref="T207:T212" si="18">IFERROR(NAV_MKT,0)</f>
        <v>12.552</v>
      </c>
      <c r="U20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07" s="10" cm="1">
        <f t="array" ref="V207">IF(LS[[#This Row],[B/S]]="S",ABS(LS[[#This Row],[Unit]])*(INDEX(LS[NAV at Cost (Average)],MATCH(CONCATENATE((LS[[#This Row],[Frequency]]-1),LS[[#This Row],[Investor ID]]),LS[Unique Code],0),0)),0)</f>
        <v>453600</v>
      </c>
      <c r="W207" s="10">
        <f>IF(LS[[#This Row],[BO Transfer]]="YES",LS[[#This Row],[Unit]],)</f>
        <v>0</v>
      </c>
      <c r="X207" s="3">
        <f>SUMIFS(LS[[#Headers],[BO UNIT TRANSFER]]:LS[[#This Row],[BO UNIT TRANSFER]],LS[[#Headers],[Investor ID]]:LS[[#This Row],[Investor ID]],LS[[#This Row],[Investor ID]])</f>
        <v>0</v>
      </c>
    </row>
    <row r="208" spans="2:24">
      <c r="B208" s="8">
        <v>2022</v>
      </c>
      <c r="C208" s="8">
        <v>5</v>
      </c>
      <c r="D208" s="8">
        <v>25</v>
      </c>
      <c r="E208" s="291">
        <f>DATE(LS[[#This Row],[Year]],LS[[#This Row],[Month]],LS[[#This Row],[Day]])</f>
        <v>44706</v>
      </c>
      <c r="F208" t="str" cm="1">
        <f t="array" ref="F208">INDEX(INVESTORS_LIST[INVESTOR NAME],MATCH(LS[[#This Row],[Investor ID]],INVESTORS_LIST[INVESTOR CODE],0),)</f>
        <v>MD. SHAHIDUL ISLAM</v>
      </c>
      <c r="G208" s="19" t="s">
        <v>34</v>
      </c>
      <c r="H208" s="8">
        <f>COUNTIF(LS[[#Headers],[Investor ID]]:LS[[#This Row],[Investor ID]],LS[[#This Row],[Investor ID]])</f>
        <v>2</v>
      </c>
      <c r="I208" s="8" t="str">
        <f>CONCATENATE(LS[[#This Row],[Frequency]],LS[[#This Row],[Investor ID]])</f>
        <v>2A00027</v>
      </c>
      <c r="J208" s="8" t="str">
        <f>IF(LS[[#This Row],[B/S]]="B","BUY",(IF(LS[[#This Row],[B/S]]="S","SELL"," ")))</f>
        <v>SELL</v>
      </c>
      <c r="K208" s="8" t="s">
        <v>866</v>
      </c>
      <c r="L208" s="10">
        <v>-2008000</v>
      </c>
      <c r="M208" s="10"/>
      <c r="N208" s="168">
        <f>LS[[#This Row],[Amount]]/LS[[#This Row],[Unit]]</f>
        <v>10.039999999999999</v>
      </c>
      <c r="O208" s="11">
        <f t="shared" si="17"/>
        <v>-200000</v>
      </c>
      <c r="P208" s="11">
        <f>SUMIFS(LS[[#Headers],[Unit]]:LS[[#This Row],[Unit]],LS[[#Headers],[Investor ID]]:LS[[#This Row],[Investor ID]],LS[[#This Row],[Investor ID]])</f>
        <v>0</v>
      </c>
      <c r="Q208" s="10">
        <v>-2000000</v>
      </c>
      <c r="R208" s="6">
        <f>LS[[#This Row],[Amount]]-LS[[#This Row],[Unit Capital]]</f>
        <v>-8000</v>
      </c>
      <c r="S20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08" s="168">
        <f t="shared" si="18"/>
        <v>12.552</v>
      </c>
      <c r="U208" s="10">
        <f>IF(LS[[#This Row],[B/S]]="B",0,ABS(LS[[#This Row],[Unit]])*(LS[[#This Row],[NAV (Strike Rate)]]-INDEX(LS[NAV at Cost (Average)],MATCH(CONCATENATE(LS[[#This Row],[Frequency]]-1,LS[[#This Row],[Investor ID]]),LS[Unique Code],0),)))</f>
        <v>7999.999999999829</v>
      </c>
      <c r="V208" s="10" cm="1">
        <f t="array" ref="V208">IF(LS[[#This Row],[B/S]]="S",ABS(LS[[#This Row],[Unit]])*(INDEX(LS[NAV at Cost (Average)],MATCH(CONCATENATE((LS[[#This Row],[Frequency]]-1),LS[[#This Row],[Investor ID]]),LS[Unique Code],0),0)),0)</f>
        <v>2000000</v>
      </c>
      <c r="W208" s="10">
        <f>IF(LS[[#This Row],[BO Transfer]]="YES",LS[[#This Row],[Unit]],)</f>
        <v>0</v>
      </c>
      <c r="X208" s="3">
        <f>SUMIFS(LS[[#Headers],[BO UNIT TRANSFER]]:LS[[#This Row],[BO UNIT TRANSFER]],LS[[#Headers],[Investor ID]]:LS[[#This Row],[Investor ID]],LS[[#This Row],[Investor ID]])</f>
        <v>0</v>
      </c>
    </row>
    <row r="209" spans="2:26">
      <c r="B209" s="8">
        <v>2022</v>
      </c>
      <c r="C209" s="8">
        <v>5</v>
      </c>
      <c r="D209" s="8">
        <v>25</v>
      </c>
      <c r="E209" s="291">
        <f>DATE(LS[[#This Row],[Year]],LS[[#This Row],[Month]],LS[[#This Row],[Day]])</f>
        <v>44706</v>
      </c>
      <c r="F209" t="str" cm="1">
        <f t="array" ref="F209">INDEX(INVESTORS_LIST[INVESTOR NAME],MATCH(LS[[#This Row],[Investor ID]],INVESTORS_LIST[INVESTOR CODE],0),)</f>
        <v>RAIS-UR-RUBBI</v>
      </c>
      <c r="G209" s="19" t="s">
        <v>307</v>
      </c>
      <c r="H209" s="8">
        <f>COUNTIF(LS[[#Headers],[Investor ID]]:LS[[#This Row],[Investor ID]],LS[[#This Row],[Investor ID]])</f>
        <v>3</v>
      </c>
      <c r="I209" s="8" t="str">
        <f>CONCATENATE(LS[[#This Row],[Frequency]],LS[[#This Row],[Investor ID]])</f>
        <v>3A00225</v>
      </c>
      <c r="J209" s="8" t="str">
        <f>IF(LS[[#This Row],[B/S]]="B","BUY",(IF(LS[[#This Row],[B/S]]="S","SELL"," ")))</f>
        <v>SELL</v>
      </c>
      <c r="K209" s="8" t="s">
        <v>866</v>
      </c>
      <c r="L209" s="10">
        <v>-401600</v>
      </c>
      <c r="M209" s="10"/>
      <c r="N209" s="168">
        <f>LS[[#This Row],[Amount]]/LS[[#This Row],[Unit]]</f>
        <v>10.039999999999999</v>
      </c>
      <c r="O209" s="11">
        <f t="shared" si="17"/>
        <v>-40000</v>
      </c>
      <c r="P209" s="11">
        <f>SUMIFS(LS[[#Headers],[Unit]]:LS[[#This Row],[Unit]],LS[[#Headers],[Investor ID]]:LS[[#This Row],[Investor ID]],LS[[#This Row],[Investor ID]])</f>
        <v>0</v>
      </c>
      <c r="Q209" s="10">
        <v>-400000</v>
      </c>
      <c r="R209" s="6">
        <f>LS[[#This Row],[Amount]]-LS[[#This Row],[Unit Capital]]</f>
        <v>-1600</v>
      </c>
      <c r="S20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09" s="168">
        <f t="shared" si="18"/>
        <v>12.552</v>
      </c>
      <c r="U209" s="10">
        <f>IF(LS[[#This Row],[B/S]]="B",0,ABS(LS[[#This Row],[Unit]])*(LS[[#This Row],[NAV (Strike Rate)]]-INDEX(LS[NAV at Cost (Average)],MATCH(CONCATENATE(LS[[#This Row],[Frequency]]-1,LS[[#This Row],[Investor ID]]),LS[Unique Code],0),)))</f>
        <v>1599.9999999999659</v>
      </c>
      <c r="V209" s="10" cm="1">
        <f t="array" ref="V209">IF(LS[[#This Row],[B/S]]="S",ABS(LS[[#This Row],[Unit]])*(INDEX(LS[NAV at Cost (Average)],MATCH(CONCATENATE((LS[[#This Row],[Frequency]]-1),LS[[#This Row],[Investor ID]]),LS[Unique Code],0),0)),0)</f>
        <v>400000</v>
      </c>
      <c r="W209" s="10">
        <f>IF(LS[[#This Row],[BO Transfer]]="YES",LS[[#This Row],[Unit]],)</f>
        <v>0</v>
      </c>
      <c r="X209" s="3">
        <f>SUMIFS(LS[[#Headers],[BO UNIT TRANSFER]]:LS[[#This Row],[BO UNIT TRANSFER]],LS[[#Headers],[Investor ID]]:LS[[#This Row],[Investor ID]],LS[[#This Row],[Investor ID]])</f>
        <v>0</v>
      </c>
    </row>
    <row r="210" spans="2:26">
      <c r="B210" s="8">
        <v>2022</v>
      </c>
      <c r="C210" s="8">
        <v>5</v>
      </c>
      <c r="D210" s="8">
        <v>25</v>
      </c>
      <c r="E210" s="291">
        <f>DATE(LS[[#This Row],[Year]],LS[[#This Row],[Month]],LS[[#This Row],[Day]])</f>
        <v>44706</v>
      </c>
      <c r="F210" t="str" cm="1">
        <f t="array" ref="F210">INDEX(INVESTORS_LIST[INVESTOR NAME],MATCH(LS[[#This Row],[Investor ID]],INVESTORS_LIST[INVESTOR CODE],0),)</f>
        <v>MONSURUL MOHAMMAD SHAHRIAR</v>
      </c>
      <c r="G210" s="19" t="s">
        <v>561</v>
      </c>
      <c r="H210" s="8">
        <f>COUNTIF(LS[[#Headers],[Investor ID]]:LS[[#This Row],[Investor ID]],LS[[#This Row],[Investor ID]])</f>
        <v>2</v>
      </c>
      <c r="I210" s="8" t="str">
        <f>CONCATENATE(LS[[#This Row],[Frequency]],LS[[#This Row],[Investor ID]])</f>
        <v>2A00317</v>
      </c>
      <c r="J210" s="8" t="str">
        <f>IF(LS[[#This Row],[B/S]]="B","BUY",(IF(LS[[#This Row],[B/S]]="S","SELL"," ")))</f>
        <v>SELL</v>
      </c>
      <c r="K210" s="8" t="s">
        <v>866</v>
      </c>
      <c r="L210" s="10">
        <v>-100400</v>
      </c>
      <c r="M210" s="10"/>
      <c r="N210" s="168">
        <f>LS[[#This Row],[Amount]]/LS[[#This Row],[Unit]]</f>
        <v>10.039999999999999</v>
      </c>
      <c r="O210" s="11">
        <f t="shared" si="17"/>
        <v>-10000</v>
      </c>
      <c r="P210" s="11">
        <f>SUMIFS(LS[[#Headers],[Unit]]:LS[[#This Row],[Unit]],LS[[#Headers],[Investor ID]]:LS[[#This Row],[Investor ID]],LS[[#This Row],[Investor ID]])</f>
        <v>0</v>
      </c>
      <c r="Q210" s="10">
        <v>-100000</v>
      </c>
      <c r="R210" s="6">
        <f>LS[[#This Row],[Amount]]-LS[[#This Row],[Unit Capital]]</f>
        <v>-400</v>
      </c>
      <c r="S21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10" s="168">
        <f t="shared" si="18"/>
        <v>12.552</v>
      </c>
      <c r="U210" s="10">
        <f>IF(LS[[#This Row],[B/S]]="B",0,ABS(LS[[#This Row],[Unit]])*(LS[[#This Row],[NAV (Strike Rate)]]-INDEX(LS[NAV at Cost (Average)],MATCH(CONCATENATE(LS[[#This Row],[Frequency]]-1,LS[[#This Row],[Investor ID]]),LS[Unique Code],0),)))</f>
        <v>399.99999999999147</v>
      </c>
      <c r="V210" s="10" cm="1">
        <f t="array" ref="V210">IF(LS[[#This Row],[B/S]]="S",ABS(LS[[#This Row],[Unit]])*(INDEX(LS[NAV at Cost (Average)],MATCH(CONCATENATE((LS[[#This Row],[Frequency]]-1),LS[[#This Row],[Investor ID]]),LS[Unique Code],0),0)),0)</f>
        <v>100000</v>
      </c>
      <c r="W210" s="10">
        <f>IF(LS[[#This Row],[BO Transfer]]="YES",LS[[#This Row],[Unit]],)</f>
        <v>0</v>
      </c>
      <c r="X210" s="3">
        <f>SUMIFS(LS[[#Headers],[BO UNIT TRANSFER]]:LS[[#This Row],[BO UNIT TRANSFER]],LS[[#Headers],[Investor ID]]:LS[[#This Row],[Investor ID]],LS[[#This Row],[Investor ID]])</f>
        <v>0</v>
      </c>
    </row>
    <row r="211" spans="2:26">
      <c r="B211" s="8">
        <v>2022</v>
      </c>
      <c r="C211" s="8">
        <v>5</v>
      </c>
      <c r="D211" s="8">
        <v>25</v>
      </c>
      <c r="E211" s="296">
        <f>DATE(LS[[#This Row],[Year]],LS[[#This Row],[Month]],LS[[#This Row],[Day]])</f>
        <v>44706</v>
      </c>
      <c r="F211" s="99" t="str" cm="1">
        <f t="array" ref="F211">INDEX(INVESTORS_LIST[INVESTOR NAME],MATCH(LS[[#This Row],[Investor ID]],INVESTORS_LIST[INVESTOR CODE],0),)</f>
        <v>REZIA RAHMAT</v>
      </c>
      <c r="G211" s="100" t="s">
        <v>247</v>
      </c>
      <c r="H211" s="101">
        <f>COUNTIF(LS[[#Headers],[Investor ID]]:LS[[#This Row],[Investor ID]],LS[[#This Row],[Investor ID]])</f>
        <v>1</v>
      </c>
      <c r="I211" s="101" t="str">
        <f>CONCATENATE(LS[[#This Row],[Frequency]],LS[[#This Row],[Investor ID]])</f>
        <v>1A00203</v>
      </c>
      <c r="J211" s="101" t="str">
        <f>IF(LS[[#This Row],[B/S]]="B","BUY",(IF(LS[[#This Row],[B/S]]="S","SELL"," ")))</f>
        <v>BUY</v>
      </c>
      <c r="K211" s="8" t="s">
        <v>301</v>
      </c>
      <c r="L211" s="102">
        <v>1600000</v>
      </c>
      <c r="M211" s="102"/>
      <c r="N211" s="173">
        <f>LS[[#This Row],[Amount]]/LS[[#This Row],[Unit]]</f>
        <v>9.8300023960630849</v>
      </c>
      <c r="O211" s="103">
        <f t="shared" si="17"/>
        <v>162767</v>
      </c>
      <c r="P211" s="103">
        <f>SUMIFS(LS[[#Headers],[Unit]]:LS[[#This Row],[Unit]],LS[[#Headers],[Investor ID]]:LS[[#This Row],[Investor ID]],LS[[#This Row],[Investor ID]])</f>
        <v>162767</v>
      </c>
      <c r="Q211" s="102">
        <v>1627670</v>
      </c>
      <c r="R211" s="104">
        <f>LS[[#This Row],[Amount]]-LS[[#This Row],[Unit Capital]]</f>
        <v>-27670</v>
      </c>
      <c r="S211" s="173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9.8300023960630849</v>
      </c>
      <c r="T211" s="173">
        <f t="shared" si="18"/>
        <v>12.552</v>
      </c>
      <c r="U211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11" s="102" cm="1">
        <f t="array" ref="V211">IF(LS[[#This Row],[B/S]]="S",ABS(LS[[#This Row],[Unit]])*(INDEX(LS[NAV at Cost (Average)],MATCH(CONCATENATE((LS[[#This Row],[Frequency]]-1),LS[[#This Row],[Investor ID]]),LS[Unique Code],0),0)),0)</f>
        <v>0</v>
      </c>
      <c r="W211" s="102">
        <f>IF(LS[[#This Row],[BO Transfer]]="YES",LS[[#This Row],[Unit]],)</f>
        <v>0</v>
      </c>
      <c r="X211" s="3">
        <f>SUMIFS(LS[[#Headers],[BO UNIT TRANSFER]]:LS[[#This Row],[BO UNIT TRANSFER]],LS[[#Headers],[Investor ID]]:LS[[#This Row],[Investor ID]],LS[[#This Row],[Investor ID]])</f>
        <v>0</v>
      </c>
    </row>
    <row r="212" spans="2:26">
      <c r="B212" s="8">
        <v>2022</v>
      </c>
      <c r="C212" s="8">
        <v>5</v>
      </c>
      <c r="D212" s="8">
        <v>25</v>
      </c>
      <c r="E212" s="296">
        <f>DATE(LS[[#This Row],[Year]],LS[[#This Row],[Month]],LS[[#This Row],[Day]])</f>
        <v>44706</v>
      </c>
      <c r="F212" s="99" t="str" cm="1">
        <f t="array" ref="F212">INDEX(INVESTORS_LIST[INVESTOR NAME],MATCH(LS[[#This Row],[Investor ID]],INVESTORS_LIST[INVESTOR CODE],0),)</f>
        <v>NATEQ BE NAZIR IBN MINAR</v>
      </c>
      <c r="G212" s="100" t="s">
        <v>911</v>
      </c>
      <c r="H212" s="101">
        <f>COUNTIF(LS[[#Headers],[Investor ID]]:LS[[#This Row],[Investor ID]],LS[[#This Row],[Investor ID]])</f>
        <v>1</v>
      </c>
      <c r="I212" s="101" t="str">
        <f>CONCATENATE(LS[[#This Row],[Frequency]],LS[[#This Row],[Investor ID]])</f>
        <v>1A00416</v>
      </c>
      <c r="J212" s="101" t="str">
        <f>IF(LS[[#This Row],[B/S]]="B","BUY",(IF(LS[[#This Row],[B/S]]="S","SELL"," ")))</f>
        <v>BUY</v>
      </c>
      <c r="K212" s="8" t="s">
        <v>301</v>
      </c>
      <c r="L212" s="102">
        <v>1500000</v>
      </c>
      <c r="M212" s="102"/>
      <c r="N212" s="173">
        <f>LS[[#This Row],[Amount]]/LS[[#This Row],[Unit]]</f>
        <v>9.8300064222708627</v>
      </c>
      <c r="O212" s="103">
        <f t="shared" si="17"/>
        <v>152594</v>
      </c>
      <c r="P212" s="103">
        <f>SUMIFS(LS[[#Headers],[Unit]]:LS[[#This Row],[Unit]],LS[[#Headers],[Investor ID]]:LS[[#This Row],[Investor ID]],LS[[#This Row],[Investor ID]])</f>
        <v>152594</v>
      </c>
      <c r="Q212" s="102">
        <v>1525940</v>
      </c>
      <c r="R212" s="104">
        <f>LS[[#This Row],[Amount]]-LS[[#This Row],[Unit Capital]]</f>
        <v>-25940</v>
      </c>
      <c r="S212" s="173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9.8300064222708627</v>
      </c>
      <c r="T212" s="173">
        <f t="shared" si="18"/>
        <v>12.552</v>
      </c>
      <c r="U212" s="102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12" s="102" cm="1">
        <f t="array" ref="V212">IF(LS[[#This Row],[B/S]]="S",ABS(LS[[#This Row],[Unit]])*(INDEX(LS[NAV at Cost (Average)],MATCH(CONCATENATE((LS[[#This Row],[Frequency]]-1),LS[[#This Row],[Investor ID]]),LS[Unique Code],0),0)),0)</f>
        <v>0</v>
      </c>
      <c r="W212" s="102">
        <f>IF(LS[[#This Row],[BO Transfer]]="YES",LS[[#This Row],[Unit]],)</f>
        <v>0</v>
      </c>
      <c r="X212" s="3">
        <f>SUMIFS(LS[[#Headers],[BO UNIT TRANSFER]]:LS[[#This Row],[BO UNIT TRANSFER]],LS[[#Headers],[Investor ID]]:LS[[#This Row],[Investor ID]],LS[[#This Row],[Investor ID]])</f>
        <v>0</v>
      </c>
    </row>
    <row r="213" spans="2:26">
      <c r="B213" s="8">
        <v>2022</v>
      </c>
      <c r="C213" s="8">
        <v>5</v>
      </c>
      <c r="D213" s="8">
        <v>25</v>
      </c>
      <c r="E213" s="291">
        <f>DATE(LS[[#This Row],[Year]],LS[[#This Row],[Month]],LS[[#This Row],[Day]])</f>
        <v>44706</v>
      </c>
      <c r="F213" t="str" cm="1">
        <f t="array" ref="F213">INDEX(INVESTORS_LIST[INVESTOR NAME],MATCH(LS[[#This Row],[Investor ID]],INVESTORS_LIST[INVESTOR CODE],0),)</f>
        <v>EKUSH WEALTH MANAGEMENT LIMITED</v>
      </c>
      <c r="G213" s="19" t="s">
        <v>4</v>
      </c>
      <c r="H213" s="8">
        <f>COUNTIF(LS[[#Headers],[Investor ID]]:LS[[#This Row],[Investor ID]],LS[[#This Row],[Investor ID]])</f>
        <v>6</v>
      </c>
      <c r="I213" s="8" t="str">
        <f>CONCATENATE(LS[[#This Row],[Frequency]],LS[[#This Row],[Investor ID]])</f>
        <v>6A00003</v>
      </c>
      <c r="J213" s="8" t="str">
        <f>IF(LS[[#This Row],[B/S]]="B","BUY",(IF(LS[[#This Row],[B/S]]="S","SELL"," ")))</f>
        <v>BUY</v>
      </c>
      <c r="K213" s="8" t="s">
        <v>301</v>
      </c>
      <c r="L213" s="10">
        <v>9000000</v>
      </c>
      <c r="M213" s="10"/>
      <c r="N213" s="168">
        <f>LS[[#This Row],[Amount]]/LS[[#This Row],[Unit]]</f>
        <v>9.8900012087779263</v>
      </c>
      <c r="O213" s="11">
        <f t="shared" ref="O213:O219" si="19">Q213/10</f>
        <v>910010</v>
      </c>
      <c r="P213" s="11">
        <f>SUMIFS(LS[[#Headers],[Unit]]:LS[[#This Row],[Unit]],LS[[#Headers],[Investor ID]]:LS[[#This Row],[Investor ID]],LS[[#This Row],[Investor ID]])</f>
        <v>3554195</v>
      </c>
      <c r="Q213" s="10">
        <v>9100100</v>
      </c>
      <c r="R213" s="6">
        <f>LS[[#This Row],[Amount]]-LS[[#This Row],[Unit Capital]]</f>
        <v>-100100</v>
      </c>
      <c r="S21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9.9741291628624751</v>
      </c>
      <c r="T213" s="168">
        <f t="shared" ref="T213:T219" si="20">IFERROR(NAV_MKT,0)</f>
        <v>12.552</v>
      </c>
      <c r="U21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13" s="10" cm="1">
        <f t="array" ref="V213">IF(LS[[#This Row],[B/S]]="S",ABS(LS[[#This Row],[Unit]])*(INDEX(LS[NAV at Cost (Average)],MATCH(CONCATENATE((LS[[#This Row],[Frequency]]-1),LS[[#This Row],[Investor ID]]),LS[Unique Code],0),0)),0)</f>
        <v>0</v>
      </c>
      <c r="W213" s="10">
        <f>IF(LS[[#This Row],[BO Transfer]]="YES",LS[[#This Row],[Unit]],)</f>
        <v>0</v>
      </c>
      <c r="X213" s="3">
        <f>SUMIFS(LS[[#Headers],[BO UNIT TRANSFER]]:LS[[#This Row],[BO UNIT TRANSFER]],LS[[#Headers],[Investor ID]]:LS[[#This Row],[Investor ID]],LS[[#This Row],[Investor ID]])</f>
        <v>0</v>
      </c>
    </row>
    <row r="214" spans="2:26">
      <c r="B214" s="8">
        <v>2022</v>
      </c>
      <c r="C214" s="8">
        <v>5</v>
      </c>
      <c r="D214" s="8">
        <v>26</v>
      </c>
      <c r="E214" s="291">
        <f>DATE(LS[[#This Row],[Year]],LS[[#This Row],[Month]],LS[[#This Row],[Day]])</f>
        <v>44707</v>
      </c>
      <c r="F214" t="str" cm="1">
        <f t="array" ref="F214">INDEX(INVESTORS_LIST[INVESTOR NAME],MATCH(LS[[#This Row],[Investor ID]],INVESTORS_LIST[INVESTOR CODE],0),)</f>
        <v>MD. JAHIRUL ISLAM</v>
      </c>
      <c r="G214" s="19" t="s">
        <v>570</v>
      </c>
      <c r="H214" s="8">
        <f>COUNTIF(LS[[#Headers],[Investor ID]]:LS[[#This Row],[Investor ID]],LS[[#This Row],[Investor ID]])</f>
        <v>3</v>
      </c>
      <c r="I214" s="8" t="str">
        <f>CONCATENATE(LS[[#This Row],[Frequency]],LS[[#This Row],[Investor ID]])</f>
        <v>3A00321</v>
      </c>
      <c r="J214" s="8" t="str">
        <f>IF(LS[[#This Row],[B/S]]="B","BUY",(IF(LS[[#This Row],[B/S]]="S","SELL"," ")))</f>
        <v>SELL</v>
      </c>
      <c r="K214" s="8" t="s">
        <v>866</v>
      </c>
      <c r="L214" s="10">
        <v>-98900</v>
      </c>
      <c r="M214" s="10"/>
      <c r="N214" s="168">
        <f>LS[[#This Row],[Amount]]/LS[[#This Row],[Unit]]</f>
        <v>9.89</v>
      </c>
      <c r="O214" s="11">
        <f t="shared" si="19"/>
        <v>-10000</v>
      </c>
      <c r="P214" s="11">
        <f>SUMIFS(LS[[#Headers],[Unit]]:LS[[#This Row],[Unit]],LS[[#Headers],[Investor ID]]:LS[[#This Row],[Investor ID]],LS[[#This Row],[Investor ID]])</f>
        <v>0</v>
      </c>
      <c r="Q214" s="10">
        <v>-100000</v>
      </c>
      <c r="R214" s="6">
        <f>LS[[#This Row],[Amount]]-LS[[#This Row],[Unit Capital]]</f>
        <v>1100</v>
      </c>
      <c r="S21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14" s="168">
        <f t="shared" si="20"/>
        <v>12.552</v>
      </c>
      <c r="U214" s="10">
        <f>IF(LS[[#This Row],[B/S]]="B",0,ABS(LS[[#This Row],[Unit]])*(LS[[#This Row],[NAV (Strike Rate)]]-INDEX(LS[NAV at Cost (Average)],MATCH(CONCATENATE(LS[[#This Row],[Frequency]]-1,LS[[#This Row],[Investor ID]]),LS[Unique Code],0),)))</f>
        <v>-1099.9999999999943</v>
      </c>
      <c r="V214" s="10" cm="1">
        <f t="array" ref="V214">IF(LS[[#This Row],[B/S]]="S",ABS(LS[[#This Row],[Unit]])*(INDEX(LS[NAV at Cost (Average)],MATCH(CONCATENATE((LS[[#This Row],[Frequency]]-1),LS[[#This Row],[Investor ID]]),LS[Unique Code],0),0)),0)</f>
        <v>100000</v>
      </c>
      <c r="W214" s="10">
        <f>IF(LS[[#This Row],[BO Transfer]]="YES",LS[[#This Row],[Unit]],)</f>
        <v>0</v>
      </c>
      <c r="X214" s="3">
        <f>SUMIFS(LS[[#Headers],[BO UNIT TRANSFER]]:LS[[#This Row],[BO UNIT TRANSFER]],LS[[#Headers],[Investor ID]]:LS[[#This Row],[Investor ID]],LS[[#This Row],[Investor ID]])</f>
        <v>0</v>
      </c>
    </row>
    <row r="215" spans="2:26">
      <c r="B215" s="8">
        <v>2022</v>
      </c>
      <c r="C215" s="8">
        <v>5</v>
      </c>
      <c r="D215" s="8">
        <v>29</v>
      </c>
      <c r="E215" s="291">
        <f>DATE(LS[[#This Row],[Year]],LS[[#This Row],[Month]],LS[[#This Row],[Day]])</f>
        <v>44710</v>
      </c>
      <c r="F215" t="str" cm="1">
        <f t="array" ref="F215">INDEX(INVESTORS_LIST[INVESTOR NAME],MATCH(LS[[#This Row],[Investor ID]],INVESTORS_LIST[INVESTOR CODE],0),)</f>
        <v>MD MIZANUR RAHMAN</v>
      </c>
      <c r="G215" s="19" t="s">
        <v>177</v>
      </c>
      <c r="H215" s="8">
        <f>COUNTIF(LS[[#Headers],[Investor ID]]:LS[[#This Row],[Investor ID]],LS[[#This Row],[Investor ID]])</f>
        <v>7</v>
      </c>
      <c r="I215" s="8" t="str">
        <f>CONCATENATE(LS[[#This Row],[Frequency]],LS[[#This Row],[Investor ID]])</f>
        <v>7A00144</v>
      </c>
      <c r="J215" s="8" t="str">
        <f>IF(LS[[#This Row],[B/S]]="B","BUY",(IF(LS[[#This Row],[B/S]]="S","SELL"," ")))</f>
        <v>BUY</v>
      </c>
      <c r="K215" s="8" t="s">
        <v>301</v>
      </c>
      <c r="L215" s="10">
        <v>31500</v>
      </c>
      <c r="M215" s="10"/>
      <c r="N215" s="168">
        <f>LS[[#This Row],[Amount]]/LS[[#This Row],[Unit]]</f>
        <v>9.8314606741573041</v>
      </c>
      <c r="O215" s="11">
        <f t="shared" si="19"/>
        <v>3204</v>
      </c>
      <c r="P215" s="11">
        <f>SUMIFS(LS[[#Headers],[Unit]]:LS[[#This Row],[Unit]],LS[[#Headers],[Investor ID]]:LS[[#This Row],[Investor ID]],LS[[#This Row],[Investor ID]])</f>
        <v>90069</v>
      </c>
      <c r="Q215" s="10">
        <v>32040</v>
      </c>
      <c r="R215" s="6">
        <f>LS[[#This Row],[Amount]]-LS[[#This Row],[Unit Capital]]</f>
        <v>-540</v>
      </c>
      <c r="S21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9.9923392066082677</v>
      </c>
      <c r="T215" s="168">
        <f t="shared" si="20"/>
        <v>12.552</v>
      </c>
      <c r="U21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15" s="10" cm="1">
        <f t="array" ref="V215">IF(LS[[#This Row],[B/S]]="S",ABS(LS[[#This Row],[Unit]])*(INDEX(LS[NAV at Cost (Average)],MATCH(CONCATENATE((LS[[#This Row],[Frequency]]-1),LS[[#This Row],[Investor ID]]),LS[Unique Code],0),0)),0)</f>
        <v>0</v>
      </c>
      <c r="W215" s="10">
        <f>IF(LS[[#This Row],[BO Transfer]]="YES",LS[[#This Row],[Unit]],)</f>
        <v>0</v>
      </c>
      <c r="X215" s="3">
        <f>SUMIFS(LS[[#Headers],[BO UNIT TRANSFER]]:LS[[#This Row],[BO UNIT TRANSFER]],LS[[#Headers],[Investor ID]]:LS[[#This Row],[Investor ID]],LS[[#This Row],[Investor ID]])</f>
        <v>0</v>
      </c>
    </row>
    <row r="216" spans="2:26">
      <c r="B216" s="8">
        <v>2022</v>
      </c>
      <c r="C216" s="8">
        <v>5</v>
      </c>
      <c r="D216" s="8">
        <v>30</v>
      </c>
      <c r="E216" s="291">
        <f>DATE(LS[[#This Row],[Year]],LS[[#This Row],[Month]],LS[[#This Row],[Day]])</f>
        <v>44711</v>
      </c>
      <c r="F216" t="str" cm="1">
        <f t="array" ref="F216">INDEX(INVESTORS_LIST[INVESTOR NAME],MATCH(LS[[#This Row],[Investor ID]],INVESTORS_LIST[INVESTOR CODE],0),)</f>
        <v>NANDA DULAL SAHA</v>
      </c>
      <c r="G216" s="19" t="s">
        <v>912</v>
      </c>
      <c r="H216" s="8">
        <f>COUNTIF(LS[[#Headers],[Investor ID]]:LS[[#This Row],[Investor ID]],LS[[#This Row],[Investor ID]])</f>
        <v>1</v>
      </c>
      <c r="I216" s="8" t="str">
        <f>CONCATENATE(LS[[#This Row],[Frequency]],LS[[#This Row],[Investor ID]])</f>
        <v>1A00417</v>
      </c>
      <c r="J216" s="8" t="str">
        <f>IF(LS[[#This Row],[B/S]]="B","BUY",(IF(LS[[#This Row],[B/S]]="S","SELL"," ")))</f>
        <v>BUY</v>
      </c>
      <c r="K216" s="8" t="s">
        <v>301</v>
      </c>
      <c r="L216" s="10">
        <v>160000</v>
      </c>
      <c r="M216" s="10"/>
      <c r="N216" s="168">
        <f>LS[[#This Row],[Amount]]/LS[[#This Row],[Unit]]</f>
        <v>9.8298212201265596</v>
      </c>
      <c r="O216" s="11">
        <f t="shared" si="19"/>
        <v>16277</v>
      </c>
      <c r="P216" s="11">
        <f>SUMIFS(LS[[#Headers],[Unit]]:LS[[#This Row],[Unit]],LS[[#Headers],[Investor ID]]:LS[[#This Row],[Investor ID]],LS[[#This Row],[Investor ID]])</f>
        <v>16277</v>
      </c>
      <c r="Q216" s="10">
        <v>162770</v>
      </c>
      <c r="R216" s="6">
        <f>LS[[#This Row],[Amount]]-LS[[#This Row],[Unit Capital]]</f>
        <v>-2770</v>
      </c>
      <c r="S21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9.8298212201265596</v>
      </c>
      <c r="T216" s="168">
        <f t="shared" si="20"/>
        <v>12.552</v>
      </c>
      <c r="U21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16" s="10" cm="1">
        <f t="array" ref="V216">IF(LS[[#This Row],[B/S]]="S",ABS(LS[[#This Row],[Unit]])*(INDEX(LS[NAV at Cost (Average)],MATCH(CONCATENATE((LS[[#This Row],[Frequency]]-1),LS[[#This Row],[Investor ID]]),LS[Unique Code],0),0)),0)</f>
        <v>0</v>
      </c>
      <c r="W216" s="10">
        <f>IF(LS[[#This Row],[BO Transfer]]="YES",LS[[#This Row],[Unit]],)</f>
        <v>0</v>
      </c>
      <c r="X216" s="3">
        <f>SUMIFS(LS[[#Headers],[BO UNIT TRANSFER]]:LS[[#This Row],[BO UNIT TRANSFER]],LS[[#Headers],[Investor ID]]:LS[[#This Row],[Investor ID]],LS[[#This Row],[Investor ID]])</f>
        <v>0</v>
      </c>
    </row>
    <row r="217" spans="2:26">
      <c r="B217" s="8">
        <v>2022</v>
      </c>
      <c r="C217" s="8">
        <v>6</v>
      </c>
      <c r="D217" s="8">
        <v>1</v>
      </c>
      <c r="E217" s="291">
        <f>DATE(LS[[#This Row],[Year]],LS[[#This Row],[Month]],LS[[#This Row],[Day]])</f>
        <v>44713</v>
      </c>
      <c r="F217" t="str" cm="1">
        <f t="array" ref="F217">INDEX(INVESTORS_LIST[INVESTOR NAME],MATCH(LS[[#This Row],[Investor ID]],INVESTORS_LIST[INVESTOR CODE],0),)</f>
        <v>MD MIZANUR RAHMAN</v>
      </c>
      <c r="G217" s="19" t="s">
        <v>177</v>
      </c>
      <c r="H217" s="8">
        <f>COUNTIF(LS[[#Headers],[Investor ID]]:LS[[#This Row],[Investor ID]],LS[[#This Row],[Investor ID]])</f>
        <v>8</v>
      </c>
      <c r="I217" s="8" t="str">
        <f>CONCATENATE(LS[[#This Row],[Frequency]],LS[[#This Row],[Investor ID]])</f>
        <v>8A00144</v>
      </c>
      <c r="J217" s="8" t="str">
        <f>IF(LS[[#This Row],[B/S]]="B","BUY",(IF(LS[[#This Row],[B/S]]="S","SELL"," ")))</f>
        <v>SELL</v>
      </c>
      <c r="K217" s="8" t="s">
        <v>866</v>
      </c>
      <c r="L217" s="10">
        <v>-125000</v>
      </c>
      <c r="M217" s="10"/>
      <c r="N217" s="168">
        <f>LS[[#This Row],[Amount]]/LS[[#This Row],[Unit]]</f>
        <v>9.830135262661214</v>
      </c>
      <c r="O217" s="11">
        <f t="shared" si="19"/>
        <v>-12716</v>
      </c>
      <c r="P217" s="11">
        <f>SUMIFS(LS[[#Headers],[Unit]]:LS[[#This Row],[Unit]],LS[[#Headers],[Investor ID]]:LS[[#This Row],[Investor ID]],LS[[#This Row],[Investor ID]])</f>
        <v>77353</v>
      </c>
      <c r="Q217" s="10">
        <v>-127160</v>
      </c>
      <c r="R217" s="6">
        <f>LS[[#This Row],[Amount]]-LS[[#This Row],[Unit Capital]]</f>
        <v>2160</v>
      </c>
      <c r="S21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9.9923392066082677</v>
      </c>
      <c r="T217" s="168">
        <f t="shared" si="20"/>
        <v>12.552</v>
      </c>
      <c r="U217" s="10">
        <f>IF(LS[[#This Row],[B/S]]="B",0,ABS(LS[[#This Row],[Unit]])*(LS[[#This Row],[NAV (Strike Rate)]]-INDEX(LS[NAV at Cost (Average)],MATCH(CONCATENATE(LS[[#This Row],[Frequency]]-1,LS[[#This Row],[Investor ID]]),LS[Unique Code],0),)))</f>
        <v>-2062.5853512307353</v>
      </c>
      <c r="V217" s="10" cm="1">
        <f t="array" ref="V217">IF(LS[[#This Row],[B/S]]="S",ABS(LS[[#This Row],[Unit]])*(INDEX(LS[NAV at Cost (Average)],MATCH(CONCATENATE((LS[[#This Row],[Frequency]]-1),LS[[#This Row],[Investor ID]]),LS[Unique Code],0),0)),0)</f>
        <v>127062.58535123074</v>
      </c>
      <c r="W217" s="10">
        <f>IF(LS[[#This Row],[BO Transfer]]="YES",LS[[#This Row],[Unit]],)</f>
        <v>0</v>
      </c>
      <c r="X217" s="3">
        <f>SUMIFS(LS[[#Headers],[BO UNIT TRANSFER]]:LS[[#This Row],[BO UNIT TRANSFER]],LS[[#Headers],[Investor ID]]:LS[[#This Row],[Investor ID]],LS[[#This Row],[Investor ID]])</f>
        <v>0</v>
      </c>
    </row>
    <row r="218" spans="2:26">
      <c r="B218" s="8">
        <v>2022</v>
      </c>
      <c r="C218" s="8">
        <v>6</v>
      </c>
      <c r="D218" s="8">
        <v>1</v>
      </c>
      <c r="E218" s="291">
        <f>DATE(LS[[#This Row],[Year]],LS[[#This Row],[Month]],LS[[#This Row],[Day]])</f>
        <v>44713</v>
      </c>
      <c r="F218" t="str" cm="1">
        <f t="array" ref="F218">INDEX(INVESTORS_LIST[INVESTOR NAME],MATCH(LS[[#This Row],[Investor ID]],INVESTORS_LIST[INVESTOR CODE],0),)</f>
        <v>MAZED AHMED ABDULLAH</v>
      </c>
      <c r="G218" s="19" t="s">
        <v>913</v>
      </c>
      <c r="H218" s="8">
        <f>COUNTIF(LS[[#Headers],[Investor ID]]:LS[[#This Row],[Investor ID]],LS[[#This Row],[Investor ID]])</f>
        <v>1</v>
      </c>
      <c r="I218" s="8" t="str">
        <f>CONCATENATE(LS[[#This Row],[Frequency]],LS[[#This Row],[Investor ID]])</f>
        <v>1A00419</v>
      </c>
      <c r="J218" s="8" t="str">
        <f>IF(LS[[#This Row],[B/S]]="B","BUY",(IF(LS[[#This Row],[B/S]]="S","SELL"," ")))</f>
        <v>BUY</v>
      </c>
      <c r="K218" s="8" t="s">
        <v>301</v>
      </c>
      <c r="L218" s="10">
        <v>100000</v>
      </c>
      <c r="M218" s="10"/>
      <c r="N218" s="168">
        <f>LS[[#This Row],[Amount]]/LS[[#This Row],[Unit]]</f>
        <v>9.8299420033421807</v>
      </c>
      <c r="O218" s="11">
        <f t="shared" si="19"/>
        <v>10173</v>
      </c>
      <c r="P218" s="11">
        <f>SUMIFS(LS[[#Headers],[Unit]]:LS[[#This Row],[Unit]],LS[[#Headers],[Investor ID]]:LS[[#This Row],[Investor ID]],LS[[#This Row],[Investor ID]])</f>
        <v>10173</v>
      </c>
      <c r="Q218" s="10">
        <v>101730</v>
      </c>
      <c r="R218" s="6">
        <f>LS[[#This Row],[Amount]]-LS[[#This Row],[Unit Capital]]</f>
        <v>-1730</v>
      </c>
      <c r="S21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9.8299420033421807</v>
      </c>
      <c r="T218" s="168">
        <f t="shared" si="20"/>
        <v>12.552</v>
      </c>
      <c r="U21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18" s="10" cm="1">
        <f t="array" ref="V218">IF(LS[[#This Row],[B/S]]="S",ABS(LS[[#This Row],[Unit]])*(INDEX(LS[NAV at Cost (Average)],MATCH(CONCATENATE((LS[[#This Row],[Frequency]]-1),LS[[#This Row],[Investor ID]]),LS[Unique Code],0),0)),0)</f>
        <v>0</v>
      </c>
      <c r="W218" s="10">
        <f>IF(LS[[#This Row],[BO Transfer]]="YES",LS[[#This Row],[Unit]],)</f>
        <v>0</v>
      </c>
      <c r="X218" s="3">
        <f>SUMIFS(LS[[#Headers],[BO UNIT TRANSFER]]:LS[[#This Row],[BO UNIT TRANSFER]],LS[[#Headers],[Investor ID]]:LS[[#This Row],[Investor ID]],LS[[#This Row],[Investor ID]])</f>
        <v>0</v>
      </c>
    </row>
    <row r="219" spans="2:26">
      <c r="B219" s="8">
        <v>2022</v>
      </c>
      <c r="C219" s="8">
        <v>6</v>
      </c>
      <c r="D219" s="8">
        <v>2</v>
      </c>
      <c r="E219" s="291">
        <f>DATE(LS[[#This Row],[Year]],LS[[#This Row],[Month]],LS[[#This Row],[Day]])</f>
        <v>44714</v>
      </c>
      <c r="F219" t="str" cm="1">
        <f t="array" ref="F219">INDEX(INVESTORS_LIST[INVESTOR NAME],MATCH(LS[[#This Row],[Investor ID]],INVESTORS_LIST[INVESTOR CODE],0),)</f>
        <v>MD. SOHEL ANWAR</v>
      </c>
      <c r="G219" s="19" t="s">
        <v>914</v>
      </c>
      <c r="H219" s="8">
        <f>COUNTIF(LS[[#Headers],[Investor ID]]:LS[[#This Row],[Investor ID]],LS[[#This Row],[Investor ID]])</f>
        <v>1</v>
      </c>
      <c r="I219" s="8" t="str">
        <f>CONCATENATE(LS[[#This Row],[Frequency]],LS[[#This Row],[Investor ID]])</f>
        <v>1A00418</v>
      </c>
      <c r="J219" s="8" t="str">
        <f>IF(LS[[#This Row],[B/S]]="B","BUY",(IF(LS[[#This Row],[B/S]]="S","SELL"," ")))</f>
        <v>BUY</v>
      </c>
      <c r="K219" s="8" t="s">
        <v>301</v>
      </c>
      <c r="L219" s="10">
        <v>500000</v>
      </c>
      <c r="M219" s="10"/>
      <c r="N219" s="168">
        <f>LS[[#This Row],[Amount]]/LS[[#This Row],[Unit]]</f>
        <v>9.8299420033421807</v>
      </c>
      <c r="O219" s="11">
        <f t="shared" si="19"/>
        <v>50865</v>
      </c>
      <c r="P219" s="11">
        <f>SUMIFS(LS[[#Headers],[Unit]]:LS[[#This Row],[Unit]],LS[[#Headers],[Investor ID]]:LS[[#This Row],[Investor ID]],LS[[#This Row],[Investor ID]])</f>
        <v>50865</v>
      </c>
      <c r="Q219" s="10">
        <v>508650</v>
      </c>
      <c r="R219" s="6">
        <f>LS[[#This Row],[Amount]]-LS[[#This Row],[Unit Capital]]</f>
        <v>-8650</v>
      </c>
      <c r="S21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9.8299420033421807</v>
      </c>
      <c r="T219" s="168">
        <f t="shared" si="20"/>
        <v>12.552</v>
      </c>
      <c r="U21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19" s="10" cm="1">
        <f t="array" ref="V219">IF(LS[[#This Row],[B/S]]="S",ABS(LS[[#This Row],[Unit]])*(INDEX(LS[NAV at Cost (Average)],MATCH(CONCATENATE((LS[[#This Row],[Frequency]]-1),LS[[#This Row],[Investor ID]]),LS[Unique Code],0),0)),0)</f>
        <v>0</v>
      </c>
      <c r="W219" s="10">
        <f>IF(LS[[#This Row],[BO Transfer]]="YES",LS[[#This Row],[Unit]],)</f>
        <v>0</v>
      </c>
      <c r="X219" s="3">
        <f>SUMIFS(LS[[#Headers],[BO UNIT TRANSFER]]:LS[[#This Row],[BO UNIT TRANSFER]],LS[[#Headers],[Investor ID]]:LS[[#This Row],[Investor ID]],LS[[#This Row],[Investor ID]])</f>
        <v>0</v>
      </c>
    </row>
    <row r="220" spans="2:26">
      <c r="B220" s="8">
        <v>2022</v>
      </c>
      <c r="C220" s="8">
        <v>6</v>
      </c>
      <c r="D220" s="8">
        <v>5</v>
      </c>
      <c r="E220" s="291">
        <f>DATE(LS[[#This Row],[Year]],LS[[#This Row],[Month]],LS[[#This Row],[Day]])</f>
        <v>44717</v>
      </c>
      <c r="F220" t="str" cm="1">
        <f t="array" ref="F220">INDEX(INVESTORS_LIST[INVESTOR NAME],MATCH(LS[[#This Row],[Investor ID]],INVESTORS_LIST[INVESTOR CODE],0),)</f>
        <v>MD MIZANUR RAHMAN</v>
      </c>
      <c r="G220" s="19" t="s">
        <v>177</v>
      </c>
      <c r="H220" s="8">
        <f>COUNTIF(LS[[#Headers],[Investor ID]]:LS[[#This Row],[Investor ID]],LS[[#This Row],[Investor ID]])</f>
        <v>9</v>
      </c>
      <c r="I220" s="8" t="str">
        <f>CONCATENATE(LS[[#This Row],[Frequency]],LS[[#This Row],[Investor ID]])</f>
        <v>9A00144</v>
      </c>
      <c r="J220" s="8" t="str">
        <f>IF(LS[[#This Row],[B/S]]="B","BUY",(IF(LS[[#This Row],[B/S]]="S","SELL"," ")))</f>
        <v>SELL</v>
      </c>
      <c r="K220" s="8" t="s">
        <v>866</v>
      </c>
      <c r="L220" s="10">
        <v>-96000</v>
      </c>
      <c r="M220" s="10"/>
      <c r="N220" s="168">
        <f>LS[[#This Row],[Amount]]/LS[[#This Row],[Unit]]</f>
        <v>9.8704503392967311</v>
      </c>
      <c r="O220" s="11">
        <f t="shared" ref="O220:O230" si="21">Q220/10</f>
        <v>-9726</v>
      </c>
      <c r="P220" s="11">
        <f>SUMIFS(LS[[#Headers],[Unit]]:LS[[#This Row],[Unit]],LS[[#Headers],[Investor ID]]:LS[[#This Row],[Investor ID]],LS[[#This Row],[Investor ID]])</f>
        <v>67627</v>
      </c>
      <c r="Q220" s="10">
        <v>-97260</v>
      </c>
      <c r="R220" s="6">
        <f>LS[[#This Row],[Amount]]-LS[[#This Row],[Unit Capital]]</f>
        <v>1260</v>
      </c>
      <c r="S22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9.9923392066082677</v>
      </c>
      <c r="T220" s="168">
        <f t="shared" ref="T220:T230" si="22">IFERROR(NAV_MKT,0)</f>
        <v>12.552</v>
      </c>
      <c r="U220" s="10">
        <f>IF(LS[[#This Row],[B/S]]="B",0,ABS(LS[[#This Row],[Unit]])*(LS[[#This Row],[NAV (Strike Rate)]]-INDEX(LS[NAV at Cost (Average)],MATCH(CONCATENATE(LS[[#This Row],[Frequency]]-1,LS[[#This Row],[Investor ID]]),LS[Unique Code],0),)))</f>
        <v>-1185.4911234720048</v>
      </c>
      <c r="V220" s="10" cm="1">
        <f t="array" ref="V220">IF(LS[[#This Row],[B/S]]="S",ABS(LS[[#This Row],[Unit]])*(INDEX(LS[NAV at Cost (Average)],MATCH(CONCATENATE((LS[[#This Row],[Frequency]]-1),LS[[#This Row],[Investor ID]]),LS[Unique Code],0),0)),0)</f>
        <v>97185.491123472006</v>
      </c>
      <c r="W220" s="10">
        <f>IF(LS[[#This Row],[BO Transfer]]="YES",LS[[#This Row],[Unit]],)</f>
        <v>0</v>
      </c>
      <c r="X220" s="3">
        <f>SUMIFS(LS[[#Headers],[BO UNIT TRANSFER]]:LS[[#This Row],[BO UNIT TRANSFER]],LS[[#Headers],[Investor ID]]:LS[[#This Row],[Investor ID]],LS[[#This Row],[Investor ID]])</f>
        <v>0</v>
      </c>
      <c r="Y220" s="33"/>
      <c r="Z220" s="33"/>
    </row>
    <row r="221" spans="2:26">
      <c r="B221" s="8">
        <v>2022</v>
      </c>
      <c r="C221" s="8">
        <v>6</v>
      </c>
      <c r="D221" s="8">
        <v>5</v>
      </c>
      <c r="E221" s="291">
        <f>DATE(LS[[#This Row],[Year]],LS[[#This Row],[Month]],LS[[#This Row],[Day]])</f>
        <v>44717</v>
      </c>
      <c r="F221" t="str" cm="1">
        <f t="array" ref="F221">INDEX(INVESTORS_LIST[INVESTOR NAME],MATCH(LS[[#This Row],[Investor ID]],INVESTORS_LIST[INVESTOR CODE],0),)</f>
        <v>CITY BROKERAGE LIMITED</v>
      </c>
      <c r="G221" s="19" t="s">
        <v>706</v>
      </c>
      <c r="H221" s="8">
        <f>COUNTIF(LS[[#Headers],[Investor ID]]:LS[[#This Row],[Investor ID]],LS[[#This Row],[Investor ID]])</f>
        <v>2</v>
      </c>
      <c r="I221" s="8" t="str">
        <f>CONCATENATE(LS[[#This Row],[Frequency]],LS[[#This Row],[Investor ID]])</f>
        <v>2A00380</v>
      </c>
      <c r="J221" s="8" t="str">
        <f>IF(LS[[#This Row],[B/S]]="B","BUY",(IF(LS[[#This Row],[B/S]]="S","SELL"," ")))</f>
        <v>SELL</v>
      </c>
      <c r="K221" s="8" t="s">
        <v>866</v>
      </c>
      <c r="L221" s="10">
        <v>-1966000</v>
      </c>
      <c r="M221" s="10"/>
      <c r="N221" s="168">
        <f>LS[[#This Row],[Amount]]/LS[[#This Row],[Unit]]</f>
        <v>9.83</v>
      </c>
      <c r="O221" s="11">
        <f t="shared" si="21"/>
        <v>-200000</v>
      </c>
      <c r="P221" s="11">
        <f>SUMIFS(LS[[#Headers],[Unit]]:LS[[#This Row],[Unit]],LS[[#Headers],[Investor ID]]:LS[[#This Row],[Investor ID]],LS[[#This Row],[Investor ID]])</f>
        <v>0</v>
      </c>
      <c r="Q221" s="10">
        <v>-2000000</v>
      </c>
      <c r="R221" s="6">
        <f>LS[[#This Row],[Amount]]-LS[[#This Row],[Unit Capital]]</f>
        <v>34000</v>
      </c>
      <c r="S22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21" s="168">
        <f t="shared" si="22"/>
        <v>12.552</v>
      </c>
      <c r="U221" s="10">
        <f>IF(LS[[#This Row],[B/S]]="B",0,ABS(LS[[#This Row],[Unit]])*(LS[[#This Row],[NAV (Strike Rate)]]-INDEX(LS[NAV at Cost (Average)],MATCH(CONCATENATE(LS[[#This Row],[Frequency]]-1,LS[[#This Row],[Investor ID]]),LS[Unique Code],0),)))</f>
        <v>-33999.999999999985</v>
      </c>
      <c r="V221" s="10" cm="1">
        <f t="array" ref="V221">IF(LS[[#This Row],[B/S]]="S",ABS(LS[[#This Row],[Unit]])*(INDEX(LS[NAV at Cost (Average)],MATCH(CONCATENATE((LS[[#This Row],[Frequency]]-1),LS[[#This Row],[Investor ID]]),LS[Unique Code],0),0)),0)</f>
        <v>2000000</v>
      </c>
      <c r="W221" s="10">
        <f>IF(LS[[#This Row],[BO Transfer]]="YES",LS[[#This Row],[Unit]],)</f>
        <v>0</v>
      </c>
      <c r="X221" s="3">
        <f>SUMIFS(LS[[#Headers],[BO UNIT TRANSFER]]:LS[[#This Row],[BO UNIT TRANSFER]],LS[[#Headers],[Investor ID]]:LS[[#This Row],[Investor ID]],LS[[#This Row],[Investor ID]])</f>
        <v>0</v>
      </c>
      <c r="Y221" s="33"/>
      <c r="Z221" s="33"/>
    </row>
    <row r="222" spans="2:26">
      <c r="B222" s="105">
        <v>2022</v>
      </c>
      <c r="C222" s="105">
        <v>6</v>
      </c>
      <c r="D222" s="105">
        <v>12</v>
      </c>
      <c r="E222" s="297">
        <f>DATE(LS[[#This Row],[Year]],LS[[#This Row],[Month]],LS[[#This Row],[Day]])</f>
        <v>44724</v>
      </c>
      <c r="F222" s="106" t="str" cm="1">
        <f t="array" ref="F222">INDEX(INVESTORS_LIST[INVESTOR NAME],MATCH(LS[[#This Row],[Investor ID]],INVESTORS_LIST[INVESTOR CODE],0),)</f>
        <v>MD MIZANUR RAHMAN</v>
      </c>
      <c r="G222" s="19" t="s">
        <v>177</v>
      </c>
      <c r="H222" s="105">
        <f>COUNTIF(LS[[#Headers],[Investor ID]]:LS[[#This Row],[Investor ID]],LS[[#This Row],[Investor ID]])</f>
        <v>10</v>
      </c>
      <c r="I222" s="105" t="str">
        <f>CONCATENATE(LS[[#This Row],[Frequency]],LS[[#This Row],[Investor ID]])</f>
        <v>10A00144</v>
      </c>
      <c r="J222" s="105" t="str">
        <f>IF(LS[[#This Row],[B/S]]="B","BUY",(IF(LS[[#This Row],[B/S]]="S","SELL"," ")))</f>
        <v>SELL</v>
      </c>
      <c r="K222" s="8" t="s">
        <v>866</v>
      </c>
      <c r="L222" s="107">
        <v>-400000</v>
      </c>
      <c r="M222" s="107"/>
      <c r="N222" s="174">
        <f>LS[[#This Row],[Amount]]/LS[[#This Row],[Unit]]</f>
        <v>9.9599113567889237</v>
      </c>
      <c r="O222" s="108">
        <f t="shared" si="21"/>
        <v>-40161</v>
      </c>
      <c r="P222" s="108">
        <f>SUMIFS(LS[[#Headers],[Unit]]:LS[[#This Row],[Unit]],LS[[#Headers],[Investor ID]]:LS[[#This Row],[Investor ID]],LS[[#This Row],[Investor ID]])</f>
        <v>27466</v>
      </c>
      <c r="Q222" s="107">
        <v>-401610</v>
      </c>
      <c r="R222" s="109">
        <f>LS[[#This Row],[Amount]]-LS[[#This Row],[Unit Capital]]</f>
        <v>1610</v>
      </c>
      <c r="S222" s="174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9.9923392066082677</v>
      </c>
      <c r="T222" s="174">
        <f t="shared" si="22"/>
        <v>12.552</v>
      </c>
      <c r="U222" s="107">
        <f>IF(LS[[#This Row],[B/S]]="B",0,ABS(LS[[#This Row],[Unit]])*(LS[[#This Row],[NAV (Strike Rate)]]-INDEX(LS[NAV at Cost (Average)],MATCH(CONCATENATE(LS[[#This Row],[Frequency]]-1,LS[[#This Row],[Investor ID]]),LS[Unique Code],0),)))</f>
        <v>-1302.3348765946739</v>
      </c>
      <c r="V222" s="107" cm="1">
        <f t="array" ref="V222">IF(LS[[#This Row],[B/S]]="S",ABS(LS[[#This Row],[Unit]])*(INDEX(LS[NAV at Cost (Average)],MATCH(CONCATENATE((LS[[#This Row],[Frequency]]-1),LS[[#This Row],[Investor ID]]),LS[Unique Code],0),0)),0)</f>
        <v>401302.33487659466</v>
      </c>
      <c r="W222" s="107">
        <f>IF(LS[[#This Row],[BO Transfer]]="YES",LS[[#This Row],[Unit]],)</f>
        <v>0</v>
      </c>
      <c r="X222" s="3">
        <f>SUMIFS(LS[[#Headers],[BO UNIT TRANSFER]]:LS[[#This Row],[BO UNIT TRANSFER]],LS[[#Headers],[Investor ID]]:LS[[#This Row],[Investor ID]],LS[[#This Row],[Investor ID]])</f>
        <v>0</v>
      </c>
      <c r="Y222" s="33"/>
      <c r="Z222" s="33"/>
    </row>
    <row r="223" spans="2:26">
      <c r="B223" s="8">
        <v>2022</v>
      </c>
      <c r="C223" s="8">
        <v>6</v>
      </c>
      <c r="D223" s="8">
        <v>15</v>
      </c>
      <c r="E223" s="291">
        <f>DATE(LS[[#This Row],[Year]],LS[[#This Row],[Month]],LS[[#This Row],[Day]])</f>
        <v>44727</v>
      </c>
      <c r="F223" t="str" cm="1">
        <f t="array" ref="F223">INDEX(INVESTORS_LIST[INVESTOR NAME],MATCH(LS[[#This Row],[Investor ID]],INVESTORS_LIST[INVESTOR CODE],0),)</f>
        <v>EKUSH WEALTH MANAGEMENT LIMITED</v>
      </c>
      <c r="G223" s="19" t="s">
        <v>4</v>
      </c>
      <c r="H223" s="8">
        <f>COUNTIF(LS[[#Headers],[Investor ID]]:LS[[#This Row],[Investor ID]],LS[[#This Row],[Investor ID]])</f>
        <v>7</v>
      </c>
      <c r="I223" s="8" t="str">
        <f>CONCATENATE(LS[[#This Row],[Frequency]],LS[[#This Row],[Investor ID]])</f>
        <v>7A00003</v>
      </c>
      <c r="J223" s="8" t="str">
        <f>IF(LS[[#This Row],[B/S]]="B","BUY",(IF(LS[[#This Row],[B/S]]="S","SELL"," ")))</f>
        <v>SELL</v>
      </c>
      <c r="K223" s="8" t="s">
        <v>866</v>
      </c>
      <c r="L223" s="10">
        <v>-10499782</v>
      </c>
      <c r="M223" s="10"/>
      <c r="N223" s="168">
        <f>LS[[#This Row],[Amount]]/LS[[#This Row],[Unit]]</f>
        <v>9.9599998102817793</v>
      </c>
      <c r="O223" s="11">
        <f t="shared" si="21"/>
        <v>-1054195</v>
      </c>
      <c r="P223" s="11">
        <f>SUMIFS(LS[[#Headers],[Unit]]:LS[[#This Row],[Unit]],LS[[#Headers],[Investor ID]]:LS[[#This Row],[Investor ID]],LS[[#This Row],[Investor ID]])</f>
        <v>2500000</v>
      </c>
      <c r="Q223" s="10">
        <v>-10541950</v>
      </c>
      <c r="R223" s="6">
        <f>LS[[#This Row],[Amount]]-LS[[#This Row],[Unit Capital]]</f>
        <v>42168</v>
      </c>
      <c r="S22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9.9741291628624751</v>
      </c>
      <c r="T223" s="168">
        <f t="shared" si="22"/>
        <v>12.552</v>
      </c>
      <c r="U223" s="10">
        <f>IF(LS[[#This Row],[B/S]]="B",0,ABS(LS[[#This Row],[Unit]])*(LS[[#This Row],[NAV (Strike Rate)]]-INDEX(LS[NAV at Cost (Average)],MATCH(CONCATENATE(LS[[#This Row],[Frequency]]-1,LS[[#This Row],[Investor ID]]),LS[Unique Code],0),)))</f>
        <v>-14895.092843806618</v>
      </c>
      <c r="V223" s="10" cm="1">
        <f t="array" ref="V223">IF(LS[[#This Row],[B/S]]="S",ABS(LS[[#This Row],[Unit]])*(INDEX(LS[NAV at Cost (Average)],MATCH(CONCATENATE((LS[[#This Row],[Frequency]]-1),LS[[#This Row],[Investor ID]]),LS[Unique Code],0),0)),0)</f>
        <v>10514677.092843806</v>
      </c>
      <c r="W223" s="10">
        <f>IF(LS[[#This Row],[BO Transfer]]="YES",LS[[#This Row],[Unit]],)</f>
        <v>0</v>
      </c>
      <c r="X223" s="3">
        <f>SUMIFS(LS[[#Headers],[BO UNIT TRANSFER]]:LS[[#This Row],[BO UNIT TRANSFER]],LS[[#Headers],[Investor ID]]:LS[[#This Row],[Investor ID]],LS[[#This Row],[Investor ID]])</f>
        <v>0</v>
      </c>
      <c r="Y223" s="33"/>
      <c r="Z223" s="33"/>
    </row>
    <row r="224" spans="2:26">
      <c r="B224" s="8">
        <v>2022</v>
      </c>
      <c r="C224" s="8">
        <v>6</v>
      </c>
      <c r="D224" s="8">
        <v>16</v>
      </c>
      <c r="E224" s="291">
        <f>DATE(LS[[#This Row],[Year]],LS[[#This Row],[Month]],LS[[#This Row],[Day]])</f>
        <v>44728</v>
      </c>
      <c r="F224" t="str" cm="1">
        <f t="array" ref="F224">INDEX(INVESTORS_LIST[INVESTOR NAME],MATCH(LS[[#This Row],[Investor ID]],INVESTORS_LIST[INVESTOR CODE],0),)</f>
        <v>MD MIZANUR RAHMAN</v>
      </c>
      <c r="G224" s="19" t="s">
        <v>177</v>
      </c>
      <c r="H224" s="8">
        <f>COUNTIF(LS[[#Headers],[Investor ID]]:LS[[#This Row],[Investor ID]],LS[[#This Row],[Investor ID]])</f>
        <v>11</v>
      </c>
      <c r="I224" s="8" t="str">
        <f>CONCATENATE(LS[[#This Row],[Frequency]],LS[[#This Row],[Investor ID]])</f>
        <v>11A00144</v>
      </c>
      <c r="J224" s="8" t="str">
        <f>IF(LS[[#This Row],[B/S]]="B","BUY",(IF(LS[[#This Row],[B/S]]="S","SELL"," ")))</f>
        <v>SELL</v>
      </c>
      <c r="K224" s="8" t="s">
        <v>866</v>
      </c>
      <c r="L224" s="10">
        <v>-273564.92</v>
      </c>
      <c r="M224" s="10"/>
      <c r="N224" s="168">
        <f>LS[[#This Row],[Amount]]/LS[[#This Row],[Unit]]</f>
        <v>9.9601296147964753</v>
      </c>
      <c r="O224" s="11">
        <f t="shared" si="21"/>
        <v>-27466</v>
      </c>
      <c r="P224" s="11">
        <f>SUMIFS(LS[[#Headers],[Unit]]:LS[[#This Row],[Unit]],LS[[#Headers],[Investor ID]]:LS[[#This Row],[Investor ID]],LS[[#This Row],[Investor ID]])</f>
        <v>0</v>
      </c>
      <c r="Q224" s="10">
        <v>-274660</v>
      </c>
      <c r="R224" s="6">
        <f>LS[[#This Row],[Amount]]-LS[[#This Row],[Unit Capital]]</f>
        <v>1095.0800000000163</v>
      </c>
      <c r="S22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24" s="168">
        <f t="shared" si="22"/>
        <v>12.552</v>
      </c>
      <c r="U224" s="10">
        <f>IF(LS[[#This Row],[B/S]]="B",0,ABS(LS[[#This Row],[Unit]])*(LS[[#This Row],[NAV (Strike Rate)]]-INDEX(LS[NAV at Cost (Average)],MATCH(CONCATENATE(LS[[#This Row],[Frequency]]-1,LS[[#This Row],[Investor ID]]),LS[Unique Code],0),)))</f>
        <v>-884.66864870268989</v>
      </c>
      <c r="V224" s="10" cm="1">
        <f t="array" ref="V224">IF(LS[[#This Row],[B/S]]="S",ABS(LS[[#This Row],[Unit]])*(INDEX(LS[NAV at Cost (Average)],MATCH(CONCATENATE((LS[[#This Row],[Frequency]]-1),LS[[#This Row],[Investor ID]]),LS[Unique Code],0),0)),0)</f>
        <v>274449.58864870266</v>
      </c>
      <c r="W224" s="10">
        <f>IF(LS[[#This Row],[BO Transfer]]="YES",LS[[#This Row],[Unit]],)</f>
        <v>0</v>
      </c>
      <c r="X224" s="3">
        <f>SUMIFS(LS[[#Headers],[BO UNIT TRANSFER]]:LS[[#This Row],[BO UNIT TRANSFER]],LS[[#Headers],[Investor ID]]:LS[[#This Row],[Investor ID]],LS[[#This Row],[Investor ID]])</f>
        <v>0</v>
      </c>
      <c r="Y224" s="33"/>
      <c r="Z224" s="33"/>
    </row>
    <row r="225" spans="2:26">
      <c r="B225" s="8">
        <v>2022</v>
      </c>
      <c r="C225" s="8">
        <v>6</v>
      </c>
      <c r="D225" s="8">
        <v>16</v>
      </c>
      <c r="E225" s="291">
        <f>DATE(LS[[#This Row],[Year]],LS[[#This Row],[Month]],LS[[#This Row],[Day]])</f>
        <v>44728</v>
      </c>
      <c r="F225" t="str" cm="1">
        <f t="array" ref="F225">INDEX(INVESTORS_LIST[INVESTOR NAME],MATCH(LS[[#This Row],[Investor ID]],INVESTORS_LIST[INVESTOR CODE],0),)</f>
        <v>AZIZUL ISLAM</v>
      </c>
      <c r="G225" s="19" t="s">
        <v>711</v>
      </c>
      <c r="H225" s="8">
        <f>COUNTIF(LS[[#Headers],[Investor ID]]:LS[[#This Row],[Investor ID]],LS[[#This Row],[Investor ID]])</f>
        <v>2</v>
      </c>
      <c r="I225" s="8" t="str">
        <f>CONCATENATE(LS[[#This Row],[Frequency]],LS[[#This Row],[Investor ID]])</f>
        <v>2A00383</v>
      </c>
      <c r="J225" s="8" t="str">
        <f>IF(LS[[#This Row],[B/S]]="B","BUY",(IF(LS[[#This Row],[B/S]]="S","SELL"," ")))</f>
        <v>SELL</v>
      </c>
      <c r="K225" s="8" t="s">
        <v>866</v>
      </c>
      <c r="L225" s="10">
        <v>-2475000</v>
      </c>
      <c r="M225" s="10"/>
      <c r="N225" s="168">
        <f>LS[[#This Row],[Amount]]/LS[[#This Row],[Unit]]</f>
        <v>9.9</v>
      </c>
      <c r="O225" s="11">
        <f t="shared" si="21"/>
        <v>-250000</v>
      </c>
      <c r="P225" s="11">
        <f>SUMIFS(LS[[#Headers],[Unit]]:LS[[#This Row],[Unit]],LS[[#Headers],[Investor ID]]:LS[[#This Row],[Investor ID]],LS[[#This Row],[Investor ID]])</f>
        <v>0</v>
      </c>
      <c r="Q225" s="10">
        <v>-2500000</v>
      </c>
      <c r="R225" s="6">
        <f>LS[[#This Row],[Amount]]-LS[[#This Row],[Unit Capital]]</f>
        <v>25000</v>
      </c>
      <c r="S22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25" s="168">
        <f t="shared" si="22"/>
        <v>12.552</v>
      </c>
      <c r="U225" s="10">
        <f>IF(LS[[#This Row],[B/S]]="B",0,ABS(LS[[#This Row],[Unit]])*(LS[[#This Row],[NAV (Strike Rate)]]-INDEX(LS[NAV at Cost (Average)],MATCH(CONCATENATE(LS[[#This Row],[Frequency]]-1,LS[[#This Row],[Investor ID]]),LS[Unique Code],0),)))</f>
        <v>-24999.999999999913</v>
      </c>
      <c r="V225" s="10" cm="1">
        <f t="array" ref="V225">IF(LS[[#This Row],[B/S]]="S",ABS(LS[[#This Row],[Unit]])*(INDEX(LS[NAV at Cost (Average)],MATCH(CONCATENATE((LS[[#This Row],[Frequency]]-1),LS[[#This Row],[Investor ID]]),LS[Unique Code],0),0)),0)</f>
        <v>2500000</v>
      </c>
      <c r="W225" s="10">
        <f>IF(LS[[#This Row],[BO Transfer]]="YES",LS[[#This Row],[Unit]],)</f>
        <v>0</v>
      </c>
      <c r="X225" s="3">
        <f>SUMIFS(LS[[#Headers],[BO UNIT TRANSFER]]:LS[[#This Row],[BO UNIT TRANSFER]],LS[[#Headers],[Investor ID]]:LS[[#This Row],[Investor ID]],LS[[#This Row],[Investor ID]])</f>
        <v>0</v>
      </c>
      <c r="Y225" s="33"/>
      <c r="Z225" s="33"/>
    </row>
    <row r="226" spans="2:26">
      <c r="B226" s="8">
        <v>2022</v>
      </c>
      <c r="C226" s="8">
        <v>6</v>
      </c>
      <c r="D226" s="8">
        <v>20</v>
      </c>
      <c r="E226" s="291">
        <f>DATE(LS[[#This Row],[Year]],LS[[#This Row],[Month]],LS[[#This Row],[Day]])</f>
        <v>44732</v>
      </c>
      <c r="F226" t="str" cm="1">
        <f t="array" ref="F226">INDEX(INVESTORS_LIST[INVESTOR NAME],MATCH(LS[[#This Row],[Investor ID]],INVESTORS_LIST[INVESTOR CODE],0),)</f>
        <v>MOHAMMAD MOHIBUL ISLAM</v>
      </c>
      <c r="G226" s="19" t="s">
        <v>169</v>
      </c>
      <c r="H226" s="8">
        <f>COUNTIF(LS[[#Headers],[Investor ID]]:LS[[#This Row],[Investor ID]],LS[[#This Row],[Investor ID]])</f>
        <v>1</v>
      </c>
      <c r="I226" s="8" t="str">
        <f>CONCATENATE(LS[[#This Row],[Frequency]],LS[[#This Row],[Investor ID]])</f>
        <v>1A00136</v>
      </c>
      <c r="J226" s="8" t="str">
        <f>IF(LS[[#This Row],[B/S]]="B","BUY",(IF(LS[[#This Row],[B/S]]="S","SELL"," ")))</f>
        <v>BUY</v>
      </c>
      <c r="K226" s="8" t="s">
        <v>301</v>
      </c>
      <c r="L226" s="10">
        <v>60000</v>
      </c>
      <c r="M226" s="10"/>
      <c r="N226" s="168">
        <f>LS[[#This Row],[Amount]]/LS[[#This Row],[Unit]]</f>
        <v>9.8199672667757767</v>
      </c>
      <c r="O226" s="11">
        <f t="shared" si="21"/>
        <v>6110</v>
      </c>
      <c r="P226" s="11">
        <f>SUMIFS(LS[[#Headers],[Unit]]:LS[[#This Row],[Unit]],LS[[#Headers],[Investor ID]]:LS[[#This Row],[Investor ID]],LS[[#This Row],[Investor ID]])</f>
        <v>6110</v>
      </c>
      <c r="Q226" s="10">
        <v>61100</v>
      </c>
      <c r="R226" s="6">
        <f>LS[[#This Row],[Amount]]-LS[[#This Row],[Unit Capital]]</f>
        <v>-1100</v>
      </c>
      <c r="S22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9.8199672667757767</v>
      </c>
      <c r="T226" s="168">
        <f t="shared" si="22"/>
        <v>12.552</v>
      </c>
      <c r="U22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26" s="10" cm="1">
        <f t="array" ref="V226">IF(LS[[#This Row],[B/S]]="S",ABS(LS[[#This Row],[Unit]])*(INDEX(LS[NAV at Cost (Average)],MATCH(CONCATENATE((LS[[#This Row],[Frequency]]-1),LS[[#This Row],[Investor ID]]),LS[Unique Code],0),0)),0)</f>
        <v>0</v>
      </c>
      <c r="W226" s="10">
        <f>IF(LS[[#This Row],[BO Transfer]]="YES",LS[[#This Row],[Unit]],)</f>
        <v>0</v>
      </c>
      <c r="X226" s="3">
        <f>SUMIFS(LS[[#Headers],[BO UNIT TRANSFER]]:LS[[#This Row],[BO UNIT TRANSFER]],LS[[#Headers],[Investor ID]]:LS[[#This Row],[Investor ID]],LS[[#This Row],[Investor ID]])</f>
        <v>0</v>
      </c>
      <c r="Y226" s="33"/>
      <c r="Z226" s="33"/>
    </row>
    <row r="227" spans="2:26">
      <c r="B227" s="8">
        <v>2022</v>
      </c>
      <c r="C227" s="8">
        <v>6</v>
      </c>
      <c r="D227" s="8">
        <v>21</v>
      </c>
      <c r="E227" s="291">
        <f>DATE(LS[[#This Row],[Year]],LS[[#This Row],[Month]],LS[[#This Row],[Day]])</f>
        <v>44733</v>
      </c>
      <c r="F227" t="str" cm="1">
        <f t="array" ref="F227">INDEX(INVESTORS_LIST[INVESTOR NAME],MATCH(LS[[#This Row],[Investor ID]],INVESTORS_LIST[INVESTOR CODE],0),)</f>
        <v>MD MOHSINUR RAHMAN</v>
      </c>
      <c r="G227" s="19" t="s">
        <v>918</v>
      </c>
      <c r="H227" s="8">
        <f>COUNTIF(LS[[#Headers],[Investor ID]]:LS[[#This Row],[Investor ID]],LS[[#This Row],[Investor ID]])</f>
        <v>1</v>
      </c>
      <c r="I227" s="8" t="str">
        <f>CONCATENATE(LS[[#This Row],[Frequency]],LS[[#This Row],[Investor ID]])</f>
        <v>1A00421</v>
      </c>
      <c r="J227" s="8" t="str">
        <f>IF(LS[[#This Row],[B/S]]="B","BUY",(IF(LS[[#This Row],[B/S]]="S","SELL"," ")))</f>
        <v>BUY</v>
      </c>
      <c r="K227" s="8" t="s">
        <v>301</v>
      </c>
      <c r="L227" s="10">
        <v>250000</v>
      </c>
      <c r="M227" s="10"/>
      <c r="N227" s="168">
        <f>LS[[#This Row],[Amount]]/LS[[#This Row],[Unit]]</f>
        <v>9.8197101221571934</v>
      </c>
      <c r="O227" s="11">
        <f t="shared" si="21"/>
        <v>25459</v>
      </c>
      <c r="P227" s="11">
        <f>SUMIFS(LS[[#Headers],[Unit]]:LS[[#This Row],[Unit]],LS[[#Headers],[Investor ID]]:LS[[#This Row],[Investor ID]],LS[[#This Row],[Investor ID]])</f>
        <v>25459</v>
      </c>
      <c r="Q227" s="10">
        <v>254590</v>
      </c>
      <c r="R227" s="6">
        <f>LS[[#This Row],[Amount]]-LS[[#This Row],[Unit Capital]]</f>
        <v>-4590</v>
      </c>
      <c r="S22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9.8197101221571934</v>
      </c>
      <c r="T227" s="168">
        <f t="shared" si="22"/>
        <v>12.552</v>
      </c>
      <c r="U22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27" s="10" cm="1">
        <f t="array" ref="V227">IF(LS[[#This Row],[B/S]]="S",ABS(LS[[#This Row],[Unit]])*(INDEX(LS[NAV at Cost (Average)],MATCH(CONCATENATE((LS[[#This Row],[Frequency]]-1),LS[[#This Row],[Investor ID]]),LS[Unique Code],0),0)),0)</f>
        <v>0</v>
      </c>
      <c r="W227" s="10">
        <f>IF(LS[[#This Row],[BO Transfer]]="YES",LS[[#This Row],[Unit]],)</f>
        <v>0</v>
      </c>
      <c r="X227" s="3">
        <f>SUMIFS(LS[[#Headers],[BO UNIT TRANSFER]]:LS[[#This Row],[BO UNIT TRANSFER]],LS[[#Headers],[Investor ID]]:LS[[#This Row],[Investor ID]],LS[[#This Row],[Investor ID]])</f>
        <v>0</v>
      </c>
      <c r="Y227" s="33"/>
      <c r="Z227" s="33"/>
    </row>
    <row r="228" spans="2:26">
      <c r="B228" s="8">
        <v>2022</v>
      </c>
      <c r="C228" s="8">
        <v>6</v>
      </c>
      <c r="D228" s="8">
        <v>22</v>
      </c>
      <c r="E228" s="291">
        <f>DATE(LS[[#This Row],[Year]],LS[[#This Row],[Month]],LS[[#This Row],[Day]])</f>
        <v>44734</v>
      </c>
      <c r="F228" t="str" cm="1">
        <f t="array" ref="F228">INDEX(INVESTORS_LIST[INVESTOR NAME],MATCH(LS[[#This Row],[Investor ID]],INVESTORS_LIST[INVESTOR CODE],0),)</f>
        <v>JNANDIP PAUL</v>
      </c>
      <c r="G228" s="19" t="s">
        <v>100</v>
      </c>
      <c r="H228" s="8">
        <f>COUNTIF(LS[[#Headers],[Investor ID]]:LS[[#This Row],[Investor ID]],LS[[#This Row],[Investor ID]])</f>
        <v>1</v>
      </c>
      <c r="I228" s="8" t="str">
        <f>CONCATENATE(LS[[#This Row],[Frequency]],LS[[#This Row],[Investor ID]])</f>
        <v>1A00091</v>
      </c>
      <c r="J228" s="8" t="str">
        <f>IF(LS[[#This Row],[B/S]]="B","BUY",(IF(LS[[#This Row],[B/S]]="S","SELL"," ")))</f>
        <v>BUY</v>
      </c>
      <c r="K228" s="8" t="s">
        <v>301</v>
      </c>
      <c r="L228" s="10">
        <v>300000</v>
      </c>
      <c r="M228" s="10"/>
      <c r="N228" s="168">
        <f>LS[[#This Row],[Amount]]/LS[[#This Row],[Unit]]</f>
        <v>9.820288716488264</v>
      </c>
      <c r="O228" s="11">
        <f t="shared" si="21"/>
        <v>30549</v>
      </c>
      <c r="P228" s="11">
        <f>SUMIFS(LS[[#Headers],[Unit]]:LS[[#This Row],[Unit]],LS[[#Headers],[Investor ID]]:LS[[#This Row],[Investor ID]],LS[[#This Row],[Investor ID]])</f>
        <v>30549</v>
      </c>
      <c r="Q228" s="10">
        <v>305490</v>
      </c>
      <c r="R228" s="6">
        <f>LS[[#This Row],[Amount]]-LS[[#This Row],[Unit Capital]]</f>
        <v>-5490</v>
      </c>
      <c r="S22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9.820288716488264</v>
      </c>
      <c r="T228" s="168">
        <f t="shared" si="22"/>
        <v>12.552</v>
      </c>
      <c r="U22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28" s="10" cm="1">
        <f t="array" ref="V228">IF(LS[[#This Row],[B/S]]="S",ABS(LS[[#This Row],[Unit]])*(INDEX(LS[NAV at Cost (Average)],MATCH(CONCATENATE((LS[[#This Row],[Frequency]]-1),LS[[#This Row],[Investor ID]]),LS[Unique Code],0),0)),0)</f>
        <v>0</v>
      </c>
      <c r="W228" s="10">
        <f>IF(LS[[#This Row],[BO Transfer]]="YES",LS[[#This Row],[Unit]],)</f>
        <v>0</v>
      </c>
      <c r="X228" s="3">
        <f>SUMIFS(LS[[#Headers],[BO UNIT TRANSFER]]:LS[[#This Row],[BO UNIT TRANSFER]],LS[[#Headers],[Investor ID]]:LS[[#This Row],[Investor ID]],LS[[#This Row],[Investor ID]])</f>
        <v>0</v>
      </c>
      <c r="Y228" s="33"/>
      <c r="Z228" s="33"/>
    </row>
    <row r="229" spans="2:26">
      <c r="B229" s="8">
        <v>2022</v>
      </c>
      <c r="C229" s="8">
        <v>6</v>
      </c>
      <c r="D229" s="8">
        <v>22</v>
      </c>
      <c r="E229" s="291">
        <f>DATE(LS[[#This Row],[Year]],LS[[#This Row],[Month]],LS[[#This Row],[Day]])</f>
        <v>44734</v>
      </c>
      <c r="F229" t="str" cm="1">
        <f t="array" ref="F229">INDEX(INVESTORS_LIST[INVESTOR NAME],MATCH(LS[[#This Row],[Investor ID]],INVESTORS_LIST[INVESTOR CODE],0),)</f>
        <v>EKUSH WEALTH MANAGEMENT LIMITED</v>
      </c>
      <c r="G229" s="19" t="s">
        <v>4</v>
      </c>
      <c r="H229" s="8">
        <f>COUNTIF(LS[[#Headers],[Investor ID]]:LS[[#This Row],[Investor ID]],LS[[#This Row],[Investor ID]])</f>
        <v>8</v>
      </c>
      <c r="I229" s="8" t="str">
        <f>CONCATENATE(LS[[#This Row],[Frequency]],LS[[#This Row],[Investor ID]])</f>
        <v>8A00003</v>
      </c>
      <c r="J229" s="8" t="str">
        <f>IF(LS[[#This Row],[B/S]]="B","BUY",(IF(LS[[#This Row],[B/S]]="S","SELL"," ")))</f>
        <v>BUY</v>
      </c>
      <c r="K229" s="8" t="s">
        <v>301</v>
      </c>
      <c r="L229" s="10">
        <v>400000</v>
      </c>
      <c r="M229" s="10"/>
      <c r="N229" s="168">
        <f>LS[[#This Row],[Amount]]/LS[[#This Row],[Unit]]</f>
        <v>9.8200476272309913</v>
      </c>
      <c r="O229" s="11">
        <f t="shared" si="21"/>
        <v>40733</v>
      </c>
      <c r="P229" s="11">
        <f>SUMIFS(LS[[#Headers],[Unit]]:LS[[#This Row],[Unit]],LS[[#Headers],[Investor ID]]:LS[[#This Row],[Investor ID]],LS[[#This Row],[Investor ID]])</f>
        <v>2540733</v>
      </c>
      <c r="Q229" s="10">
        <v>407330</v>
      </c>
      <c r="R229" s="6">
        <f>LS[[#This Row],[Amount]]-LS[[#This Row],[Unit Capital]]</f>
        <v>-7330</v>
      </c>
      <c r="S22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9.9716589295908644</v>
      </c>
      <c r="T229" s="168">
        <f t="shared" si="22"/>
        <v>12.552</v>
      </c>
      <c r="U22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29" s="10" cm="1">
        <f t="array" ref="V229">IF(LS[[#This Row],[B/S]]="S",ABS(LS[[#This Row],[Unit]])*(INDEX(LS[NAV at Cost (Average)],MATCH(CONCATENATE((LS[[#This Row],[Frequency]]-1),LS[[#This Row],[Investor ID]]),LS[Unique Code],0),0)),0)</f>
        <v>0</v>
      </c>
      <c r="W229" s="10">
        <f>IF(LS[[#This Row],[BO Transfer]]="YES",LS[[#This Row],[Unit]],)</f>
        <v>0</v>
      </c>
      <c r="X229" s="3">
        <f>SUMIFS(LS[[#Headers],[BO UNIT TRANSFER]]:LS[[#This Row],[BO UNIT TRANSFER]],LS[[#Headers],[Investor ID]]:LS[[#This Row],[Investor ID]],LS[[#This Row],[Investor ID]])</f>
        <v>0</v>
      </c>
      <c r="Y229" s="33"/>
      <c r="Z229" s="33"/>
    </row>
    <row r="230" spans="2:26">
      <c r="B230" s="8">
        <v>2022</v>
      </c>
      <c r="C230" s="8">
        <v>6</v>
      </c>
      <c r="D230" s="8">
        <v>22</v>
      </c>
      <c r="E230" s="291">
        <f>DATE(LS[[#This Row],[Year]],LS[[#This Row],[Month]],LS[[#This Row],[Day]])</f>
        <v>44734</v>
      </c>
      <c r="F230" t="str" cm="1">
        <f t="array" ref="F230">INDEX(INVESTORS_LIST[INVESTOR NAME],MATCH(LS[[#This Row],[Investor ID]],INVESTORS_LIST[INVESTOR CODE],0),)</f>
        <v>SHUVA SAHA</v>
      </c>
      <c r="G230" s="19" t="s">
        <v>60</v>
      </c>
      <c r="H230" s="8">
        <f>COUNTIF(LS[[#Headers],[Investor ID]]:LS[[#This Row],[Investor ID]],LS[[#This Row],[Investor ID]])</f>
        <v>2</v>
      </c>
      <c r="I230" s="8" t="str">
        <f>CONCATENATE(LS[[#This Row],[Frequency]],LS[[#This Row],[Investor ID]])</f>
        <v>2A00053</v>
      </c>
      <c r="J230" s="8" t="str">
        <f>IF(LS[[#This Row],[B/S]]="B","BUY",(IF(LS[[#This Row],[B/S]]="S","SELL"," ")))</f>
        <v>BUY</v>
      </c>
      <c r="K230" s="8" t="s">
        <v>301</v>
      </c>
      <c r="L230" s="10">
        <v>300000</v>
      </c>
      <c r="M230" s="10"/>
      <c r="N230" s="168">
        <f>LS[[#This Row],[Amount]]/LS[[#This Row],[Unit]]</f>
        <v>9.820288716488264</v>
      </c>
      <c r="O230" s="11">
        <f t="shared" si="21"/>
        <v>30549</v>
      </c>
      <c r="P230" s="11">
        <f>SUMIFS(LS[[#Headers],[Unit]]:LS[[#This Row],[Unit]],LS[[#Headers],[Investor ID]]:LS[[#This Row],[Investor ID]],LS[[#This Row],[Investor ID]])</f>
        <v>150549</v>
      </c>
      <c r="Q230" s="10">
        <v>305490</v>
      </c>
      <c r="R230" s="6">
        <f>LS[[#This Row],[Amount]]-LS[[#This Row],[Unit Capital]]</f>
        <v>-5490</v>
      </c>
      <c r="S23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9.9635334675089169</v>
      </c>
      <c r="T230" s="168">
        <f t="shared" si="22"/>
        <v>12.552</v>
      </c>
      <c r="U23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30" s="10" cm="1">
        <f t="array" ref="V230">IF(LS[[#This Row],[B/S]]="S",ABS(LS[[#This Row],[Unit]])*(INDEX(LS[NAV at Cost (Average)],MATCH(CONCATENATE((LS[[#This Row],[Frequency]]-1),LS[[#This Row],[Investor ID]]),LS[Unique Code],0),0)),0)</f>
        <v>0</v>
      </c>
      <c r="W230" s="10">
        <f>IF(LS[[#This Row],[BO Transfer]]="YES",LS[[#This Row],[Unit]],)</f>
        <v>0</v>
      </c>
      <c r="X230" s="3">
        <f>SUMIFS(LS[[#Headers],[BO UNIT TRANSFER]]:LS[[#This Row],[BO UNIT TRANSFER]],LS[[#Headers],[Investor ID]]:LS[[#This Row],[Investor ID]],LS[[#This Row],[Investor ID]])</f>
        <v>0</v>
      </c>
      <c r="Y230" s="33"/>
      <c r="Z230" s="33"/>
    </row>
    <row r="231" spans="2:26">
      <c r="B231" s="8">
        <v>2022</v>
      </c>
      <c r="C231" s="8">
        <v>6</v>
      </c>
      <c r="D231" s="8">
        <v>26</v>
      </c>
      <c r="E231" s="291">
        <f>DATE(LS[[#This Row],[Year]],LS[[#This Row],[Month]],LS[[#This Row],[Day]])</f>
        <v>44738</v>
      </c>
      <c r="F231" t="str" cm="1">
        <f t="array" ref="F231">INDEX(INVESTORS_LIST[INVESTOR NAME],MATCH(LS[[#This Row],[Investor ID]],INVESTORS_LIST[INVESTOR CODE],0),)</f>
        <v>ASHUTOSH TALUKDER</v>
      </c>
      <c r="G231" s="19" t="s">
        <v>178</v>
      </c>
      <c r="H231" s="8">
        <f>COUNTIF(LS[[#Headers],[Investor ID]]:LS[[#This Row],[Investor ID]],LS[[#This Row],[Investor ID]])</f>
        <v>1</v>
      </c>
      <c r="I231" s="8" t="str">
        <f>CONCATENATE(LS[[#This Row],[Frequency]],LS[[#This Row],[Investor ID]])</f>
        <v>1A00145</v>
      </c>
      <c r="J231" s="8" t="str">
        <f>IF(LS[[#This Row],[B/S]]="B","BUY",(IF(LS[[#This Row],[B/S]]="S","SELL"," ")))</f>
        <v>BUY</v>
      </c>
      <c r="K231" s="8" t="s">
        <v>301</v>
      </c>
      <c r="L231" s="10">
        <v>250000</v>
      </c>
      <c r="M231" s="10"/>
      <c r="N231" s="168">
        <f>LS[[#This Row],[Amount]]/LS[[#This Row],[Unit]]</f>
        <v>9.8200958441354391</v>
      </c>
      <c r="O231" s="11">
        <f t="shared" ref="O231:O250" si="23">Q231/10</f>
        <v>25458</v>
      </c>
      <c r="P231" s="11">
        <f>SUMIFS(LS[[#Headers],[Unit]]:LS[[#This Row],[Unit]],LS[[#Headers],[Investor ID]]:LS[[#This Row],[Investor ID]],LS[[#This Row],[Investor ID]])</f>
        <v>25458</v>
      </c>
      <c r="Q231" s="10">
        <v>254580</v>
      </c>
      <c r="R231" s="6">
        <f>LS[[#This Row],[Amount]]-LS[[#This Row],[Unit Capital]]</f>
        <v>-4580</v>
      </c>
      <c r="S23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9.8200958441354391</v>
      </c>
      <c r="T231" s="168">
        <f t="shared" ref="T231:T250" si="24">IFERROR(NAV_MKT,0)</f>
        <v>12.552</v>
      </c>
      <c r="U23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31" s="10" cm="1">
        <f t="array" ref="V231">IF(LS[[#This Row],[B/S]]="S",ABS(LS[[#This Row],[Unit]])*(INDEX(LS[NAV at Cost (Average)],MATCH(CONCATENATE((LS[[#This Row],[Frequency]]-1),LS[[#This Row],[Investor ID]]),LS[Unique Code],0),0)),0)</f>
        <v>0</v>
      </c>
      <c r="W231" s="10">
        <f>IF(LS[[#This Row],[BO Transfer]]="YES",LS[[#This Row],[Unit]],)</f>
        <v>0</v>
      </c>
      <c r="X231" s="3">
        <f>SUMIFS(LS[[#Headers],[BO UNIT TRANSFER]]:LS[[#This Row],[BO UNIT TRANSFER]],LS[[#Headers],[Investor ID]]:LS[[#This Row],[Investor ID]],LS[[#This Row],[Investor ID]])</f>
        <v>0</v>
      </c>
      <c r="Y231" s="33"/>
      <c r="Z231" s="33"/>
    </row>
    <row r="232" spans="2:26">
      <c r="B232" s="8">
        <v>2022</v>
      </c>
      <c r="C232" s="8">
        <v>6</v>
      </c>
      <c r="D232" s="8">
        <v>26</v>
      </c>
      <c r="E232" s="291">
        <f>DATE(LS[[#This Row],[Year]],LS[[#This Row],[Month]],LS[[#This Row],[Day]])</f>
        <v>44738</v>
      </c>
      <c r="F232" t="str" cm="1">
        <f t="array" ref="F232">INDEX(INVESTORS_LIST[INVESTOR NAME],MATCH(LS[[#This Row],[Investor ID]],INVESTORS_LIST[INVESTOR CODE],0),)</f>
        <v>MINHAJ UDDIN</v>
      </c>
      <c r="G232" s="19" t="s">
        <v>29</v>
      </c>
      <c r="H232" s="8">
        <f>COUNTIF(LS[[#Headers],[Investor ID]]:LS[[#This Row],[Investor ID]],LS[[#This Row],[Investor ID]])</f>
        <v>1</v>
      </c>
      <c r="I232" s="8" t="str">
        <f>CONCATENATE(LS[[#This Row],[Frequency]],LS[[#This Row],[Investor ID]])</f>
        <v>1A00022</v>
      </c>
      <c r="J232" s="8" t="str">
        <f>IF(LS[[#This Row],[B/S]]="B","BUY",(IF(LS[[#This Row],[B/S]]="S","SELL"," ")))</f>
        <v>BUY</v>
      </c>
      <c r="K232" s="8" t="s">
        <v>301</v>
      </c>
      <c r="L232" s="10">
        <v>350000</v>
      </c>
      <c r="M232" s="10"/>
      <c r="N232" s="168">
        <f>LS[[#This Row],[Amount]]/LS[[#This Row],[Unit]]</f>
        <v>9.8201509497488839</v>
      </c>
      <c r="O232" s="11">
        <f t="shared" si="23"/>
        <v>35641</v>
      </c>
      <c r="P232" s="11">
        <f>SUMIFS(LS[[#Headers],[Unit]]:LS[[#This Row],[Unit]],LS[[#Headers],[Investor ID]]:LS[[#This Row],[Investor ID]],LS[[#This Row],[Investor ID]])</f>
        <v>35641</v>
      </c>
      <c r="Q232" s="10">
        <v>356410</v>
      </c>
      <c r="R232" s="6">
        <f>LS[[#This Row],[Amount]]-LS[[#This Row],[Unit Capital]]</f>
        <v>-6410</v>
      </c>
      <c r="S23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9.8201509497488839</v>
      </c>
      <c r="T232" s="168">
        <f t="shared" si="24"/>
        <v>12.552</v>
      </c>
      <c r="U23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32" s="10" cm="1">
        <f t="array" ref="V232">IF(LS[[#This Row],[B/S]]="S",ABS(LS[[#This Row],[Unit]])*(INDEX(LS[NAV at Cost (Average)],MATCH(CONCATENATE((LS[[#This Row],[Frequency]]-1),LS[[#This Row],[Investor ID]]),LS[Unique Code],0),0)),0)</f>
        <v>0</v>
      </c>
      <c r="W232" s="10">
        <f>IF(LS[[#This Row],[BO Transfer]]="YES",LS[[#This Row],[Unit]],)</f>
        <v>0</v>
      </c>
      <c r="X232" s="3">
        <f>SUMIFS(LS[[#Headers],[BO UNIT TRANSFER]]:LS[[#This Row],[BO UNIT TRANSFER]],LS[[#Headers],[Investor ID]]:LS[[#This Row],[Investor ID]],LS[[#This Row],[Investor ID]])</f>
        <v>0</v>
      </c>
      <c r="Y232" s="33"/>
      <c r="Z232" s="33"/>
    </row>
    <row r="233" spans="2:26">
      <c r="B233" s="8">
        <v>2022</v>
      </c>
      <c r="C233" s="8">
        <v>6</v>
      </c>
      <c r="D233" s="8">
        <v>27</v>
      </c>
      <c r="E233" s="291">
        <f>DATE(LS[[#This Row],[Year]],LS[[#This Row],[Month]],LS[[#This Row],[Day]])</f>
        <v>44739</v>
      </c>
      <c r="F233" t="str" cm="1">
        <f t="array" ref="F233">INDEX(INVESTORS_LIST[INVESTOR NAME],MATCH(LS[[#This Row],[Investor ID]],INVESTORS_LIST[INVESTOR CODE],0),)</f>
        <v>JOY SHREE SAHA</v>
      </c>
      <c r="G233" s="19" t="s">
        <v>383</v>
      </c>
      <c r="H233" s="8">
        <f>COUNTIF(LS[[#Headers],[Investor ID]]:LS[[#This Row],[Investor ID]],LS[[#This Row],[Investor ID]])</f>
        <v>6</v>
      </c>
      <c r="I233" s="8" t="str">
        <f>CONCATENATE(LS[[#This Row],[Frequency]],LS[[#This Row],[Investor ID]])</f>
        <v>6A00263</v>
      </c>
      <c r="J233" s="8" t="str">
        <f>IF(LS[[#This Row],[B/S]]="B","BUY",(IF(LS[[#This Row],[B/S]]="S","SELL"," ")))</f>
        <v>BUY</v>
      </c>
      <c r="K233" s="8" t="s">
        <v>301</v>
      </c>
      <c r="L233" s="10">
        <v>1200000</v>
      </c>
      <c r="M233" s="10"/>
      <c r="N233" s="168">
        <f>LS[[#This Row],[Amount]]/LS[[#This Row],[Unit]]</f>
        <v>9.8199672667757767</v>
      </c>
      <c r="O233" s="11">
        <f t="shared" si="23"/>
        <v>122200</v>
      </c>
      <c r="P233" s="11">
        <f>SUMIFS(LS[[#Headers],[Unit]]:LS[[#This Row],[Unit]],LS[[#Headers],[Investor ID]]:LS[[#This Row],[Investor ID]],LS[[#This Row],[Investor ID]])</f>
        <v>122200</v>
      </c>
      <c r="Q233" s="10">
        <v>1222000</v>
      </c>
      <c r="R233" s="6">
        <f>LS[[#This Row],[Amount]]-LS[[#This Row],[Unit Capital]]</f>
        <v>-22000</v>
      </c>
      <c r="S23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9.8199672667757767</v>
      </c>
      <c r="T233" s="168">
        <f t="shared" si="24"/>
        <v>12.552</v>
      </c>
      <c r="U23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33" s="10" cm="1">
        <f t="array" ref="V233">IF(LS[[#This Row],[B/S]]="S",ABS(LS[[#This Row],[Unit]])*(INDEX(LS[NAV at Cost (Average)],MATCH(CONCATENATE((LS[[#This Row],[Frequency]]-1),LS[[#This Row],[Investor ID]]),LS[Unique Code],0),0)),0)</f>
        <v>0</v>
      </c>
      <c r="W233" s="10">
        <f>IF(LS[[#This Row],[BO Transfer]]="YES",LS[[#This Row],[Unit]],)</f>
        <v>0</v>
      </c>
      <c r="X233" s="3">
        <f>SUMIFS(LS[[#Headers],[BO UNIT TRANSFER]]:LS[[#This Row],[BO UNIT TRANSFER]],LS[[#Headers],[Investor ID]]:LS[[#This Row],[Investor ID]],LS[[#This Row],[Investor ID]])</f>
        <v>0</v>
      </c>
      <c r="Y233" s="33"/>
      <c r="Z233" s="33"/>
    </row>
    <row r="234" spans="2:26">
      <c r="B234" s="8">
        <v>2022</v>
      </c>
      <c r="C234" s="8">
        <v>6</v>
      </c>
      <c r="D234" s="8">
        <v>28</v>
      </c>
      <c r="E234" s="291">
        <f>DATE(LS[[#This Row],[Year]],LS[[#This Row],[Month]],LS[[#This Row],[Day]])</f>
        <v>44740</v>
      </c>
      <c r="F234" t="str" cm="1">
        <f t="array" ref="F234">INDEX(INVESTORS_LIST[INVESTOR NAME],MATCH(LS[[#This Row],[Investor ID]],INVESTORS_LIST[INVESTOR CODE],0),)</f>
        <v>MAZED AHMED ABDULLAH</v>
      </c>
      <c r="G234" s="19" t="s">
        <v>913</v>
      </c>
      <c r="H234" s="8">
        <f>COUNTIF(LS[[#Headers],[Investor ID]]:LS[[#This Row],[Investor ID]],LS[[#This Row],[Investor ID]])</f>
        <v>2</v>
      </c>
      <c r="I234" s="8" t="str">
        <f>CONCATENATE(LS[[#This Row],[Frequency]],LS[[#This Row],[Investor ID]])</f>
        <v>2A00419</v>
      </c>
      <c r="J234" s="8" t="str">
        <f>IF(LS[[#This Row],[B/S]]="B","BUY",(IF(LS[[#This Row],[B/S]]="S","SELL"," ")))</f>
        <v>BUY</v>
      </c>
      <c r="K234" s="8" t="s">
        <v>301</v>
      </c>
      <c r="L234" s="10">
        <v>250000</v>
      </c>
      <c r="M234" s="10"/>
      <c r="N234" s="168">
        <f>LS[[#This Row],[Amount]]/LS[[#This Row],[Unit]]</f>
        <v>9.8200958441354391</v>
      </c>
      <c r="O234" s="11">
        <f>Q234/10</f>
        <v>25458</v>
      </c>
      <c r="P234" s="11">
        <f>SUMIFS(LS[[#Headers],[Unit]]:LS[[#This Row],[Unit]],LS[[#Headers],[Investor ID]]:LS[[#This Row],[Investor ID]],LS[[#This Row],[Investor ID]])</f>
        <v>35631</v>
      </c>
      <c r="Q234" s="10">
        <v>254580</v>
      </c>
      <c r="R234" s="6">
        <f>LS[[#This Row],[Amount]]-LS[[#This Row],[Unit Capital]]</f>
        <v>-4580</v>
      </c>
      <c r="S23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9.8229070191687011</v>
      </c>
      <c r="T234" s="168">
        <f>IFERROR(NAV_MKT,0)</f>
        <v>12.552</v>
      </c>
      <c r="U23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34" s="10" cm="1">
        <f t="array" ref="V234">IF(LS[[#This Row],[B/S]]="S",ABS(LS[[#This Row],[Unit]])*(INDEX(LS[NAV at Cost (Average)],MATCH(CONCATENATE((LS[[#This Row],[Frequency]]-1),LS[[#This Row],[Investor ID]]),LS[Unique Code],0),0)),0)</f>
        <v>0</v>
      </c>
      <c r="W234" s="10">
        <f>IF(LS[[#This Row],[BO Transfer]]="YES",LS[[#This Row],[Unit]],)</f>
        <v>0</v>
      </c>
      <c r="X234" s="3">
        <f>SUMIFS(LS[[#Headers],[BO UNIT TRANSFER]]:LS[[#This Row],[BO UNIT TRANSFER]],LS[[#Headers],[Investor ID]]:LS[[#This Row],[Investor ID]],LS[[#This Row],[Investor ID]])</f>
        <v>0</v>
      </c>
      <c r="Y234" s="33"/>
      <c r="Z234" s="33"/>
    </row>
    <row r="235" spans="2:26">
      <c r="B235" s="8">
        <v>2022</v>
      </c>
      <c r="C235" s="8">
        <v>6</v>
      </c>
      <c r="D235" s="8">
        <v>28</v>
      </c>
      <c r="E235" s="291">
        <f>DATE(LS[[#This Row],[Year]],LS[[#This Row],[Month]],LS[[#This Row],[Day]])</f>
        <v>44740</v>
      </c>
      <c r="F235" t="str" cm="1">
        <f t="array" ref="F235">INDEX(INVESTORS_LIST[INVESTOR NAME],MATCH(LS[[#This Row],[Investor ID]],INVESTORS_LIST[INVESTOR CODE],0),)</f>
        <v>ROKSABA KASEM</v>
      </c>
      <c r="G235" s="19" t="s">
        <v>933</v>
      </c>
      <c r="H235" s="8">
        <f>COUNTIF(LS[[#Headers],[Investor ID]]:LS[[#This Row],[Investor ID]],LS[[#This Row],[Investor ID]])</f>
        <v>1</v>
      </c>
      <c r="I235" s="8" t="str">
        <f>CONCATENATE(LS[[#This Row],[Frequency]],LS[[#This Row],[Investor ID]])</f>
        <v>1A00427</v>
      </c>
      <c r="J235" s="8" t="str">
        <f>IF(LS[[#This Row],[B/S]]="B","BUY",(IF(LS[[#This Row],[B/S]]="S","SELL"," ")))</f>
        <v>BUY</v>
      </c>
      <c r="K235" s="8" t="s">
        <v>301</v>
      </c>
      <c r="L235" s="10">
        <v>500000</v>
      </c>
      <c r="M235" s="3" t="s">
        <v>957</v>
      </c>
      <c r="N235" s="168">
        <f>LS[[#This Row],[Amount]]/LS[[#This Row],[Unit]]</f>
        <v>9.8200958441354391</v>
      </c>
      <c r="O235" s="11">
        <f t="shared" si="23"/>
        <v>50916</v>
      </c>
      <c r="P235" s="11">
        <f>SUMIFS(LS[[#Headers],[Unit]]:LS[[#This Row],[Unit]],LS[[#Headers],[Investor ID]]:LS[[#This Row],[Investor ID]],LS[[#This Row],[Investor ID]])</f>
        <v>50916</v>
      </c>
      <c r="Q235" s="10">
        <v>509160</v>
      </c>
      <c r="R235" s="6">
        <f>LS[[#This Row],[Amount]]-LS[[#This Row],[Unit Capital]]</f>
        <v>-9160</v>
      </c>
      <c r="S23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9.8200958441354391</v>
      </c>
      <c r="T235" s="168">
        <f t="shared" si="24"/>
        <v>12.552</v>
      </c>
      <c r="U23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35" s="10" cm="1">
        <f t="array" ref="V235">IF(LS[[#This Row],[B/S]]="S",ABS(LS[[#This Row],[Unit]])*(INDEX(LS[NAV at Cost (Average)],MATCH(CONCATENATE((LS[[#This Row],[Frequency]]-1),LS[[#This Row],[Investor ID]]),LS[Unique Code],0),0)),0)</f>
        <v>0</v>
      </c>
      <c r="W235" s="10">
        <f>IF(LS[[#This Row],[BO Transfer]]="YES",LS[[#This Row],[Unit]],)</f>
        <v>50916</v>
      </c>
      <c r="X235" s="3">
        <f>SUMIFS(LS[[#Headers],[BO UNIT TRANSFER]]:LS[[#This Row],[BO UNIT TRANSFER]],LS[[#Headers],[Investor ID]]:LS[[#This Row],[Investor ID]],LS[[#This Row],[Investor ID]])</f>
        <v>50916</v>
      </c>
      <c r="Y235" s="33"/>
      <c r="Z235" s="33"/>
    </row>
    <row r="236" spans="2:26">
      <c r="B236" s="8">
        <v>2022</v>
      </c>
      <c r="C236" s="8">
        <v>6</v>
      </c>
      <c r="D236" s="8">
        <v>29</v>
      </c>
      <c r="E236" s="291">
        <f>DATE(LS[[#This Row],[Year]],LS[[#This Row],[Month]],LS[[#This Row],[Day]])</f>
        <v>44741</v>
      </c>
      <c r="F236" t="str" cm="1">
        <f t="array" ref="F236">INDEX(INVESTORS_LIST[INVESTOR NAME],MATCH(LS[[#This Row],[Investor ID]],INVESTORS_LIST[INVESTOR CODE],0),)</f>
        <v>MYAT MOE KHAING</v>
      </c>
      <c r="G236" s="19" t="s">
        <v>925</v>
      </c>
      <c r="H236" s="8">
        <f>COUNTIF(LS[[#Headers],[Investor ID]]:LS[[#This Row],[Investor ID]],LS[[#This Row],[Investor ID]])</f>
        <v>1</v>
      </c>
      <c r="I236" s="8" t="str">
        <f>CONCATENATE(LS[[#This Row],[Frequency]],LS[[#This Row],[Investor ID]])</f>
        <v>1A00423</v>
      </c>
      <c r="J236" s="8" t="str">
        <f>IF(LS[[#This Row],[B/S]]="B","BUY",(IF(LS[[#This Row],[B/S]]="S","SELL"," ")))</f>
        <v>BUY</v>
      </c>
      <c r="K236" s="8" t="s">
        <v>301</v>
      </c>
      <c r="L236" s="10">
        <v>500000</v>
      </c>
      <c r="M236" s="10"/>
      <c r="N236" s="168">
        <f>LS[[#This Row],[Amount]]/LS[[#This Row],[Unit]]</f>
        <v>9.8200958441354391</v>
      </c>
      <c r="O236" s="11">
        <f t="shared" si="23"/>
        <v>50916</v>
      </c>
      <c r="P236" s="11">
        <f>SUMIFS(LS[[#Headers],[Unit]]:LS[[#This Row],[Unit]],LS[[#Headers],[Investor ID]]:LS[[#This Row],[Investor ID]],LS[[#This Row],[Investor ID]])</f>
        <v>50916</v>
      </c>
      <c r="Q236" s="10">
        <v>509160</v>
      </c>
      <c r="R236" s="6">
        <f>LS[[#This Row],[Amount]]-LS[[#This Row],[Unit Capital]]</f>
        <v>-9160</v>
      </c>
      <c r="S23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9.8200958441354391</v>
      </c>
      <c r="T236" s="168">
        <f t="shared" si="24"/>
        <v>12.552</v>
      </c>
      <c r="U23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36" s="10" cm="1">
        <f t="array" ref="V236">IF(LS[[#This Row],[B/S]]="S",ABS(LS[[#This Row],[Unit]])*(INDEX(LS[NAV at Cost (Average)],MATCH(CONCATENATE((LS[[#This Row],[Frequency]]-1),LS[[#This Row],[Investor ID]]),LS[Unique Code],0),0)),0)</f>
        <v>0</v>
      </c>
      <c r="W236" s="10">
        <f>IF(LS[[#This Row],[BO Transfer]]="YES",LS[[#This Row],[Unit]],)</f>
        <v>0</v>
      </c>
      <c r="X236" s="3">
        <f>SUMIFS(LS[[#Headers],[BO UNIT TRANSFER]]:LS[[#This Row],[BO UNIT TRANSFER]],LS[[#Headers],[Investor ID]]:LS[[#This Row],[Investor ID]],LS[[#This Row],[Investor ID]])</f>
        <v>0</v>
      </c>
      <c r="Y236" s="33"/>
      <c r="Z236" s="33"/>
    </row>
    <row r="237" spans="2:26">
      <c r="B237" s="8">
        <v>2022</v>
      </c>
      <c r="C237" s="8">
        <v>6</v>
      </c>
      <c r="D237" s="8">
        <v>29</v>
      </c>
      <c r="E237" s="291">
        <f>DATE(LS[[#This Row],[Year]],LS[[#This Row],[Month]],LS[[#This Row],[Day]])</f>
        <v>44741</v>
      </c>
      <c r="F237" t="str" cm="1">
        <f t="array" ref="F237">INDEX(INVESTORS_LIST[INVESTOR NAME],MATCH(LS[[#This Row],[Investor ID]],INVESTORS_LIST[INVESTOR CODE],0),)</f>
        <v>TAMRIN AL DEEN</v>
      </c>
      <c r="G237" s="19" t="s">
        <v>931</v>
      </c>
      <c r="H237" s="8">
        <f>COUNTIF(LS[[#Headers],[Investor ID]]:LS[[#This Row],[Investor ID]],LS[[#This Row],[Investor ID]])</f>
        <v>1</v>
      </c>
      <c r="I237" s="8" t="str">
        <f>CONCATENATE(LS[[#This Row],[Frequency]],LS[[#This Row],[Investor ID]])</f>
        <v>1A00426</v>
      </c>
      <c r="J237" s="8" t="str">
        <f>IF(LS[[#This Row],[B/S]]="B","BUY",(IF(LS[[#This Row],[B/S]]="S","SELL"," ")))</f>
        <v>BUY</v>
      </c>
      <c r="K237" s="8" t="s">
        <v>301</v>
      </c>
      <c r="L237" s="10">
        <v>200000</v>
      </c>
      <c r="M237" s="10"/>
      <c r="N237" s="168">
        <f>LS[[#This Row],[Amount]]/LS[[#This Row],[Unit]]</f>
        <v>9.8198065498109681</v>
      </c>
      <c r="O237" s="11">
        <f t="shared" si="23"/>
        <v>20367</v>
      </c>
      <c r="P237" s="11">
        <f>SUMIFS(LS[[#Headers],[Unit]]:LS[[#This Row],[Unit]],LS[[#Headers],[Investor ID]]:LS[[#This Row],[Investor ID]],LS[[#This Row],[Investor ID]])</f>
        <v>20367</v>
      </c>
      <c r="Q237" s="10">
        <v>203670</v>
      </c>
      <c r="R237" s="6">
        <f>LS[[#This Row],[Amount]]-LS[[#This Row],[Unit Capital]]</f>
        <v>-3670</v>
      </c>
      <c r="S23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9.8198065498109681</v>
      </c>
      <c r="T237" s="168">
        <f t="shared" si="24"/>
        <v>12.552</v>
      </c>
      <c r="U23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37" s="10" cm="1">
        <f t="array" ref="V237">IF(LS[[#This Row],[B/S]]="S",ABS(LS[[#This Row],[Unit]])*(INDEX(LS[NAV at Cost (Average)],MATCH(CONCATENATE((LS[[#This Row],[Frequency]]-1),LS[[#This Row],[Investor ID]]),LS[Unique Code],0),0)),0)</f>
        <v>0</v>
      </c>
      <c r="W237" s="10">
        <f>IF(LS[[#This Row],[BO Transfer]]="YES",LS[[#This Row],[Unit]],)</f>
        <v>0</v>
      </c>
      <c r="X237" s="3">
        <f>SUMIFS(LS[[#Headers],[BO UNIT TRANSFER]]:LS[[#This Row],[BO UNIT TRANSFER]],LS[[#Headers],[Investor ID]]:LS[[#This Row],[Investor ID]],LS[[#This Row],[Investor ID]])</f>
        <v>0</v>
      </c>
      <c r="Y237" s="33"/>
      <c r="Z237" s="33"/>
    </row>
    <row r="238" spans="2:26">
      <c r="B238" s="8">
        <v>2022</v>
      </c>
      <c r="C238" s="8">
        <v>6</v>
      </c>
      <c r="D238" s="8">
        <v>28</v>
      </c>
      <c r="E238" s="291">
        <f>DATE(LS[[#This Row],[Year]],LS[[#This Row],[Month]],LS[[#This Row],[Day]])</f>
        <v>44740</v>
      </c>
      <c r="F238" t="str" cm="1">
        <f t="array" ref="F238">INDEX(INVESTORS_LIST[INVESTOR NAME],MATCH(LS[[#This Row],[Investor ID]],INVESTORS_LIST[INVESTOR CODE],0),)</f>
        <v>SAJJAD CHOWDHURY</v>
      </c>
      <c r="G238" s="19" t="s">
        <v>252</v>
      </c>
      <c r="H238" s="8">
        <f>COUNTIF(LS[[#Headers],[Investor ID]]:LS[[#This Row],[Investor ID]],LS[[#This Row],[Investor ID]])</f>
        <v>1</v>
      </c>
      <c r="I238" s="8" t="str">
        <f>CONCATENATE(LS[[#This Row],[Frequency]],LS[[#This Row],[Investor ID]])</f>
        <v>1A00206</v>
      </c>
      <c r="J238" s="8" t="str">
        <f>IF(LS[[#This Row],[B/S]]="B","BUY",(IF(LS[[#This Row],[B/S]]="S","SELL"," ")))</f>
        <v>BUY</v>
      </c>
      <c r="K238" s="8" t="s">
        <v>301</v>
      </c>
      <c r="L238" s="10">
        <v>50000</v>
      </c>
      <c r="M238" s="10"/>
      <c r="N238" s="168">
        <f>LS[[#This Row],[Amount]]/LS[[#This Row],[Unit]]</f>
        <v>9.8193244304791829</v>
      </c>
      <c r="O238" s="11">
        <f t="shared" si="23"/>
        <v>5092</v>
      </c>
      <c r="P238" s="11">
        <f>SUMIFS(LS[[#Headers],[Unit]]:LS[[#This Row],[Unit]],LS[[#Headers],[Investor ID]]:LS[[#This Row],[Investor ID]],LS[[#This Row],[Investor ID]])</f>
        <v>5092</v>
      </c>
      <c r="Q238" s="10">
        <v>50920</v>
      </c>
      <c r="R238" s="6">
        <f>LS[[#This Row],[Amount]]-LS[[#This Row],[Unit Capital]]</f>
        <v>-920</v>
      </c>
      <c r="S23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9.8193244304791829</v>
      </c>
      <c r="T238" s="168">
        <f t="shared" si="24"/>
        <v>12.552</v>
      </c>
      <c r="U23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38" s="10" cm="1">
        <f t="array" ref="V238">IF(LS[[#This Row],[B/S]]="S",ABS(LS[[#This Row],[Unit]])*(INDEX(LS[NAV at Cost (Average)],MATCH(CONCATENATE((LS[[#This Row],[Frequency]]-1),LS[[#This Row],[Investor ID]]),LS[Unique Code],0),0)),0)</f>
        <v>0</v>
      </c>
      <c r="W238" s="10">
        <f>IF(LS[[#This Row],[BO Transfer]]="YES",LS[[#This Row],[Unit]],)</f>
        <v>0</v>
      </c>
      <c r="X238" s="3">
        <f>SUMIFS(LS[[#Headers],[BO UNIT TRANSFER]]:LS[[#This Row],[BO UNIT TRANSFER]],LS[[#Headers],[Investor ID]]:LS[[#This Row],[Investor ID]],LS[[#This Row],[Investor ID]])</f>
        <v>0</v>
      </c>
      <c r="Y238" s="33"/>
      <c r="Z238" s="33"/>
    </row>
    <row r="239" spans="2:26">
      <c r="B239" s="8">
        <v>2022</v>
      </c>
      <c r="C239" s="8">
        <v>6</v>
      </c>
      <c r="D239" s="8">
        <v>29</v>
      </c>
      <c r="E239" s="291">
        <f>DATE(LS[[#This Row],[Year]],LS[[#This Row],[Month]],LS[[#This Row],[Day]])</f>
        <v>44741</v>
      </c>
      <c r="F239" t="str" cm="1">
        <f t="array" ref="F239">INDEX(INVESTORS_LIST[INVESTOR NAME],MATCH(LS[[#This Row],[Investor ID]],INVESTORS_LIST[INVESTOR CODE],0),)</f>
        <v>KALLANI ISLAM</v>
      </c>
      <c r="G239" s="19" t="s">
        <v>937</v>
      </c>
      <c r="H239" s="8">
        <f>COUNTIF(LS[[#Headers],[Investor ID]]:LS[[#This Row],[Investor ID]],LS[[#This Row],[Investor ID]])</f>
        <v>1</v>
      </c>
      <c r="I239" s="8" t="str">
        <f>CONCATENATE(LS[[#This Row],[Frequency]],LS[[#This Row],[Investor ID]])</f>
        <v>1A00429</v>
      </c>
      <c r="J239" s="8" t="str">
        <f>IF(LS[[#This Row],[B/S]]="B","BUY",(IF(LS[[#This Row],[B/S]]="S","SELL"," ")))</f>
        <v>BUY</v>
      </c>
      <c r="K239" s="8" t="s">
        <v>301</v>
      </c>
      <c r="L239" s="10">
        <v>100000</v>
      </c>
      <c r="M239" s="10"/>
      <c r="N239" s="168">
        <f>LS[[#This Row],[Amount]]/LS[[#This Row],[Unit]]</f>
        <v>9.820288716488264</v>
      </c>
      <c r="O239" s="11">
        <f t="shared" si="23"/>
        <v>10183</v>
      </c>
      <c r="P239" s="11">
        <f>SUMIFS(LS[[#Headers],[Unit]]:LS[[#This Row],[Unit]],LS[[#Headers],[Investor ID]]:LS[[#This Row],[Investor ID]],LS[[#This Row],[Investor ID]])</f>
        <v>10183</v>
      </c>
      <c r="Q239" s="10">
        <v>101830</v>
      </c>
      <c r="R239" s="6">
        <f>LS[[#This Row],[Amount]]-LS[[#This Row],[Unit Capital]]</f>
        <v>-1830</v>
      </c>
      <c r="S23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9.820288716488264</v>
      </c>
      <c r="T239" s="168">
        <f t="shared" si="24"/>
        <v>12.552</v>
      </c>
      <c r="U23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39" s="10" cm="1">
        <f t="array" ref="V239">IF(LS[[#This Row],[B/S]]="S",ABS(LS[[#This Row],[Unit]])*(INDEX(LS[NAV at Cost (Average)],MATCH(CONCATENATE((LS[[#This Row],[Frequency]]-1),LS[[#This Row],[Investor ID]]),LS[Unique Code],0),0)),0)</f>
        <v>0</v>
      </c>
      <c r="W239" s="10">
        <f>IF(LS[[#This Row],[BO Transfer]]="YES",LS[[#This Row],[Unit]],)</f>
        <v>0</v>
      </c>
      <c r="X239" s="3">
        <f>SUMIFS(LS[[#Headers],[BO UNIT TRANSFER]]:LS[[#This Row],[BO UNIT TRANSFER]],LS[[#Headers],[Investor ID]]:LS[[#This Row],[Investor ID]],LS[[#This Row],[Investor ID]])</f>
        <v>0</v>
      </c>
      <c r="Y239" s="33"/>
      <c r="Z239" s="33"/>
    </row>
    <row r="240" spans="2:26">
      <c r="B240" s="8">
        <v>2022</v>
      </c>
      <c r="C240" s="8">
        <v>6</v>
      </c>
      <c r="D240" s="8">
        <v>29</v>
      </c>
      <c r="E240" s="291">
        <f>DATE(LS[[#This Row],[Year]],LS[[#This Row],[Month]],LS[[#This Row],[Day]])</f>
        <v>44741</v>
      </c>
      <c r="F240" t="str" cm="1">
        <f t="array" ref="F240">INDEX(INVESTORS_LIST[INVESTOR NAME],MATCH(LS[[#This Row],[Investor ID]],INVESTORS_LIST[INVESTOR CODE],0),)</f>
        <v>NASRIN AHMED HELA</v>
      </c>
      <c r="G240" s="19" t="s">
        <v>935</v>
      </c>
      <c r="H240" s="8">
        <f>COUNTIF(LS[[#Headers],[Investor ID]]:LS[[#This Row],[Investor ID]],LS[[#This Row],[Investor ID]])</f>
        <v>1</v>
      </c>
      <c r="I240" s="8" t="str">
        <f>CONCATENATE(LS[[#This Row],[Frequency]],LS[[#This Row],[Investor ID]])</f>
        <v>1A00428</v>
      </c>
      <c r="J240" s="8" t="str">
        <f>IF(LS[[#This Row],[B/S]]="B","BUY",(IF(LS[[#This Row],[B/S]]="S","SELL"," ")))</f>
        <v>BUY</v>
      </c>
      <c r="K240" s="8" t="s">
        <v>301</v>
      </c>
      <c r="L240" s="10">
        <v>200000</v>
      </c>
      <c r="M240" s="10"/>
      <c r="N240" s="168">
        <f>LS[[#This Row],[Amount]]/LS[[#This Row],[Unit]]</f>
        <v>9.8198065498109681</v>
      </c>
      <c r="O240" s="11">
        <f t="shared" si="23"/>
        <v>20367</v>
      </c>
      <c r="P240" s="11">
        <f>SUMIFS(LS[[#Headers],[Unit]]:LS[[#This Row],[Unit]],LS[[#Headers],[Investor ID]]:LS[[#This Row],[Investor ID]],LS[[#This Row],[Investor ID]])</f>
        <v>20367</v>
      </c>
      <c r="Q240" s="10">
        <v>203670</v>
      </c>
      <c r="R240" s="6">
        <f>LS[[#This Row],[Amount]]-LS[[#This Row],[Unit Capital]]</f>
        <v>-3670</v>
      </c>
      <c r="S24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9.8198065498109681</v>
      </c>
      <c r="T240" s="168">
        <f t="shared" si="24"/>
        <v>12.552</v>
      </c>
      <c r="U24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40" s="10" cm="1">
        <f t="array" ref="V240">IF(LS[[#This Row],[B/S]]="S",ABS(LS[[#This Row],[Unit]])*(INDEX(LS[NAV at Cost (Average)],MATCH(CONCATENATE((LS[[#This Row],[Frequency]]-1),LS[[#This Row],[Investor ID]]),LS[Unique Code],0),0)),0)</f>
        <v>0</v>
      </c>
      <c r="W240" s="10">
        <f>IF(LS[[#This Row],[BO Transfer]]="YES",LS[[#This Row],[Unit]],)</f>
        <v>0</v>
      </c>
      <c r="X240" s="3">
        <f>SUMIFS(LS[[#Headers],[BO UNIT TRANSFER]]:LS[[#This Row],[BO UNIT TRANSFER]],LS[[#Headers],[Investor ID]]:LS[[#This Row],[Investor ID]],LS[[#This Row],[Investor ID]])</f>
        <v>0</v>
      </c>
      <c r="Y240" s="33"/>
      <c r="Z240" s="33"/>
    </row>
    <row r="241" spans="2:26">
      <c r="B241" s="8">
        <v>2022</v>
      </c>
      <c r="C241" s="8">
        <v>6</v>
      </c>
      <c r="D241" s="8">
        <v>29</v>
      </c>
      <c r="E241" s="291">
        <f>DATE(LS[[#This Row],[Year]],LS[[#This Row],[Month]],LS[[#This Row],[Day]])</f>
        <v>44741</v>
      </c>
      <c r="F241" t="str" cm="1">
        <f t="array" ref="F241">INDEX(INVESTORS_LIST[INVESTOR NAME],MATCH(LS[[#This Row],[Investor ID]],INVESTORS_LIST[INVESTOR CODE],0),)</f>
        <v>MD. NIAZ MURSHED</v>
      </c>
      <c r="G241" s="19" t="s">
        <v>238</v>
      </c>
      <c r="H241" s="8">
        <f>COUNTIF(LS[[#Headers],[Investor ID]]:LS[[#This Row],[Investor ID]],LS[[#This Row],[Investor ID]])</f>
        <v>1</v>
      </c>
      <c r="I241" s="8" t="str">
        <f>CONCATENATE(LS[[#This Row],[Frequency]],LS[[#This Row],[Investor ID]])</f>
        <v>1A00198</v>
      </c>
      <c r="J241" s="8" t="str">
        <f>IF(LS[[#This Row],[B/S]]="B","BUY",(IF(LS[[#This Row],[B/S]]="S","SELL"," ")))</f>
        <v>BUY</v>
      </c>
      <c r="K241" s="8" t="s">
        <v>301</v>
      </c>
      <c r="L241" s="10">
        <v>650000</v>
      </c>
      <c r="M241" s="10"/>
      <c r="N241" s="168">
        <f>LS[[#This Row],[Amount]]/LS[[#This Row],[Unit]]</f>
        <v>9.8200661721382065</v>
      </c>
      <c r="O241" s="11">
        <f t="shared" si="23"/>
        <v>66191</v>
      </c>
      <c r="P241" s="11">
        <f>SUMIFS(LS[[#Headers],[Unit]]:LS[[#This Row],[Unit]],LS[[#Headers],[Investor ID]]:LS[[#This Row],[Investor ID]],LS[[#This Row],[Investor ID]])</f>
        <v>66191</v>
      </c>
      <c r="Q241" s="10">
        <v>661910</v>
      </c>
      <c r="R241" s="6">
        <f>LS[[#This Row],[Amount]]-LS[[#This Row],[Unit Capital]]</f>
        <v>-11910</v>
      </c>
      <c r="S24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9.8200661721382065</v>
      </c>
      <c r="T241" s="168">
        <f t="shared" si="24"/>
        <v>12.552</v>
      </c>
      <c r="U24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41" s="10" cm="1">
        <f t="array" ref="V241">IF(LS[[#This Row],[B/S]]="S",ABS(LS[[#This Row],[Unit]])*(INDEX(LS[NAV at Cost (Average)],MATCH(CONCATENATE((LS[[#This Row],[Frequency]]-1),LS[[#This Row],[Investor ID]]),LS[Unique Code],0),0)),0)</f>
        <v>0</v>
      </c>
      <c r="W241" s="10">
        <f>IF(LS[[#This Row],[BO Transfer]]="YES",LS[[#This Row],[Unit]],)</f>
        <v>0</v>
      </c>
      <c r="X241" s="3">
        <f>SUMIFS(LS[[#Headers],[BO UNIT TRANSFER]]:LS[[#This Row],[BO UNIT TRANSFER]],LS[[#Headers],[Investor ID]]:LS[[#This Row],[Investor ID]],LS[[#This Row],[Investor ID]])</f>
        <v>0</v>
      </c>
      <c r="Y241" s="33"/>
      <c r="Z241" s="33"/>
    </row>
    <row r="242" spans="2:26">
      <c r="B242" s="8">
        <v>2022</v>
      </c>
      <c r="C242" s="8">
        <v>6</v>
      </c>
      <c r="D242" s="8">
        <v>29</v>
      </c>
      <c r="E242" s="291">
        <f>DATE(LS[[#This Row],[Year]],LS[[#This Row],[Month]],LS[[#This Row],[Day]])</f>
        <v>44741</v>
      </c>
      <c r="F242" t="str" cm="1">
        <f t="array" ref="F242">INDEX(INVESTORS_LIST[INVESTOR NAME],MATCH(LS[[#This Row],[Investor ID]],INVESTORS_LIST[INVESTOR CODE],0),)</f>
        <v>NADIRA AKTER</v>
      </c>
      <c r="G242" s="19" t="s">
        <v>395</v>
      </c>
      <c r="H242" s="8">
        <f>COUNTIF(LS[[#Headers],[Investor ID]]:LS[[#This Row],[Investor ID]],LS[[#This Row],[Investor ID]])</f>
        <v>1</v>
      </c>
      <c r="I242" s="8" t="str">
        <f>CONCATENATE(LS[[#This Row],[Frequency]],LS[[#This Row],[Investor ID]])</f>
        <v>1A00270</v>
      </c>
      <c r="J242" s="8" t="str">
        <f>IF(LS[[#This Row],[B/S]]="B","BUY",(IF(LS[[#This Row],[B/S]]="S","SELL"," ")))</f>
        <v>BUY</v>
      </c>
      <c r="K242" s="8" t="s">
        <v>301</v>
      </c>
      <c r="L242" s="10">
        <v>400000</v>
      </c>
      <c r="M242" s="10"/>
      <c r="N242" s="168">
        <f>LS[[#This Row],[Amount]]/LS[[#This Row],[Unit]]</f>
        <v>9.8200476272309913</v>
      </c>
      <c r="O242" s="11">
        <f t="shared" si="23"/>
        <v>40733</v>
      </c>
      <c r="P242" s="11">
        <f>SUMIFS(LS[[#Headers],[Unit]]:LS[[#This Row],[Unit]],LS[[#Headers],[Investor ID]]:LS[[#This Row],[Investor ID]],LS[[#This Row],[Investor ID]])</f>
        <v>40733</v>
      </c>
      <c r="Q242" s="10">
        <v>407330</v>
      </c>
      <c r="R242" s="6">
        <f>LS[[#This Row],[Amount]]-LS[[#This Row],[Unit Capital]]</f>
        <v>-7330</v>
      </c>
      <c r="S24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9.8200476272309913</v>
      </c>
      <c r="T242" s="168">
        <f t="shared" si="24"/>
        <v>12.552</v>
      </c>
      <c r="U24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42" s="10" cm="1">
        <f t="array" ref="V242">IF(LS[[#This Row],[B/S]]="S",ABS(LS[[#This Row],[Unit]])*(INDEX(LS[NAV at Cost (Average)],MATCH(CONCATENATE((LS[[#This Row],[Frequency]]-1),LS[[#This Row],[Investor ID]]),LS[Unique Code],0),0)),0)</f>
        <v>0</v>
      </c>
      <c r="W242" s="10">
        <f>IF(LS[[#This Row],[BO Transfer]]="YES",LS[[#This Row],[Unit]],)</f>
        <v>0</v>
      </c>
      <c r="X242" s="3">
        <f>SUMIFS(LS[[#Headers],[BO UNIT TRANSFER]]:LS[[#This Row],[BO UNIT TRANSFER]],LS[[#Headers],[Investor ID]]:LS[[#This Row],[Investor ID]],LS[[#This Row],[Investor ID]])</f>
        <v>0</v>
      </c>
      <c r="Y242" s="33"/>
    </row>
    <row r="243" spans="2:26">
      <c r="B243" s="8">
        <v>2022</v>
      </c>
      <c r="C243" s="8">
        <v>6</v>
      </c>
      <c r="D243" s="8">
        <v>29</v>
      </c>
      <c r="E243" s="291">
        <f>DATE(LS[[#This Row],[Year]],LS[[#This Row],[Month]],LS[[#This Row],[Day]])</f>
        <v>44741</v>
      </c>
      <c r="F243" t="str" cm="1">
        <f t="array" ref="F243">INDEX(INVESTORS_LIST[INVESTOR NAME],MATCH(LS[[#This Row],[Investor ID]],INVESTORS_LIST[INVESTOR CODE],0),)</f>
        <v>IMTIAJ ARA</v>
      </c>
      <c r="G243" s="19" t="s">
        <v>394</v>
      </c>
      <c r="H243" s="8">
        <f>COUNTIF(LS[[#Headers],[Investor ID]]:LS[[#This Row],[Investor ID]],LS[[#This Row],[Investor ID]])</f>
        <v>1</v>
      </c>
      <c r="I243" s="8" t="str">
        <f>CONCATENATE(LS[[#This Row],[Frequency]],LS[[#This Row],[Investor ID]])</f>
        <v>1A00269</v>
      </c>
      <c r="J243" s="8" t="str">
        <f>IF(LS[[#This Row],[B/S]]="B","BUY",(IF(LS[[#This Row],[B/S]]="S","SELL"," ")))</f>
        <v>BUY</v>
      </c>
      <c r="K243" s="8" t="s">
        <v>301</v>
      </c>
      <c r="L243" s="10">
        <v>400000</v>
      </c>
      <c r="M243" s="10"/>
      <c r="N243" s="168">
        <f>LS[[#This Row],[Amount]]/LS[[#This Row],[Unit]]</f>
        <v>9.8200476272309913</v>
      </c>
      <c r="O243" s="11">
        <f t="shared" si="23"/>
        <v>40733</v>
      </c>
      <c r="P243" s="11">
        <f>SUMIFS(LS[[#Headers],[Unit]]:LS[[#This Row],[Unit]],LS[[#Headers],[Investor ID]]:LS[[#This Row],[Investor ID]],LS[[#This Row],[Investor ID]])</f>
        <v>40733</v>
      </c>
      <c r="Q243" s="10">
        <v>407330</v>
      </c>
      <c r="R243" s="6">
        <f>LS[[#This Row],[Amount]]-LS[[#This Row],[Unit Capital]]</f>
        <v>-7330</v>
      </c>
      <c r="S24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9.8200476272309913</v>
      </c>
      <c r="T243" s="168">
        <f t="shared" si="24"/>
        <v>12.552</v>
      </c>
      <c r="U24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43" s="10" cm="1">
        <f t="array" ref="V243">IF(LS[[#This Row],[B/S]]="S",ABS(LS[[#This Row],[Unit]])*(INDEX(LS[NAV at Cost (Average)],MATCH(CONCATENATE((LS[[#This Row],[Frequency]]-1),LS[[#This Row],[Investor ID]]),LS[Unique Code],0),0)),0)</f>
        <v>0</v>
      </c>
      <c r="W243" s="10">
        <f>IF(LS[[#This Row],[BO Transfer]]="YES",LS[[#This Row],[Unit]],)</f>
        <v>0</v>
      </c>
      <c r="X243" s="3">
        <f>SUMIFS(LS[[#Headers],[BO UNIT TRANSFER]]:LS[[#This Row],[BO UNIT TRANSFER]],LS[[#Headers],[Investor ID]]:LS[[#This Row],[Investor ID]],LS[[#This Row],[Investor ID]])</f>
        <v>0</v>
      </c>
      <c r="Y243" s="33"/>
    </row>
    <row r="244" spans="2:26">
      <c r="B244" s="8">
        <v>2022</v>
      </c>
      <c r="C244" s="8">
        <v>6</v>
      </c>
      <c r="D244" s="8">
        <v>29</v>
      </c>
      <c r="E244" s="291">
        <f>DATE(LS[[#This Row],[Year]],LS[[#This Row],[Month]],LS[[#This Row],[Day]])</f>
        <v>44741</v>
      </c>
      <c r="F244" t="str" cm="1">
        <f t="array" ref="F244">INDEX(INVESTORS_LIST[INVESTOR NAME],MATCH(LS[[#This Row],[Investor ID]],INVESTORS_LIST[INVESTOR CODE],0),)</f>
        <v>MD. A. RAZZAK</v>
      </c>
      <c r="G244" s="19" t="s">
        <v>929</v>
      </c>
      <c r="H244" s="8">
        <f>COUNTIF(LS[[#Headers],[Investor ID]]:LS[[#This Row],[Investor ID]],LS[[#This Row],[Investor ID]])</f>
        <v>1</v>
      </c>
      <c r="I244" s="8" t="str">
        <f>CONCATENATE(LS[[#This Row],[Frequency]],LS[[#This Row],[Investor ID]])</f>
        <v>1A00425</v>
      </c>
      <c r="J244" s="8" t="str">
        <f>IF(LS[[#This Row],[B/S]]="B","BUY",(IF(LS[[#This Row],[B/S]]="S","SELL"," ")))</f>
        <v>BUY</v>
      </c>
      <c r="K244" s="8" t="s">
        <v>301</v>
      </c>
      <c r="L244" s="10">
        <v>300000</v>
      </c>
      <c r="M244" s="10"/>
      <c r="N244" s="168">
        <f>LS[[#This Row],[Amount]]/LS[[#This Row],[Unit]]</f>
        <v>9.8199672667757767</v>
      </c>
      <c r="O244" s="11">
        <f t="shared" si="23"/>
        <v>30550</v>
      </c>
      <c r="P244" s="11">
        <f>SUMIFS(LS[[#Headers],[Unit]]:LS[[#This Row],[Unit]],LS[[#Headers],[Investor ID]]:LS[[#This Row],[Investor ID]],LS[[#This Row],[Investor ID]])</f>
        <v>30550</v>
      </c>
      <c r="Q244" s="10">
        <v>305500</v>
      </c>
      <c r="R244" s="6">
        <f>LS[[#This Row],[Amount]]-LS[[#This Row],[Unit Capital]]</f>
        <v>-5500</v>
      </c>
      <c r="S24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9.8199672667757767</v>
      </c>
      <c r="T244" s="168">
        <f t="shared" si="24"/>
        <v>12.552</v>
      </c>
      <c r="U24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44" s="10" cm="1">
        <f t="array" ref="V244">IF(LS[[#This Row],[B/S]]="S",ABS(LS[[#This Row],[Unit]])*(INDEX(LS[NAV at Cost (Average)],MATCH(CONCATENATE((LS[[#This Row],[Frequency]]-1),LS[[#This Row],[Investor ID]]),LS[Unique Code],0),0)),0)</f>
        <v>0</v>
      </c>
      <c r="W244" s="10">
        <f>IF(LS[[#This Row],[BO Transfer]]="YES",LS[[#This Row],[Unit]],)</f>
        <v>0</v>
      </c>
      <c r="X244" s="3">
        <f>SUMIFS(LS[[#Headers],[BO UNIT TRANSFER]]:LS[[#This Row],[BO UNIT TRANSFER]],LS[[#Headers],[Investor ID]]:LS[[#This Row],[Investor ID]],LS[[#This Row],[Investor ID]])</f>
        <v>0</v>
      </c>
      <c r="Y244" s="33"/>
    </row>
    <row r="245" spans="2:26">
      <c r="B245" s="8">
        <v>2022</v>
      </c>
      <c r="C245" s="8">
        <v>6</v>
      </c>
      <c r="D245" s="8">
        <v>29</v>
      </c>
      <c r="E245" s="291">
        <f>DATE(LS[[#This Row],[Year]],LS[[#This Row],[Month]],LS[[#This Row],[Day]])</f>
        <v>44741</v>
      </c>
      <c r="F245" t="str" cm="1">
        <f t="array" ref="F245">INDEX(INVESTORS_LIST[INVESTOR NAME],MATCH(LS[[#This Row],[Investor ID]],INVESTORS_LIST[INVESTOR CODE],0),)</f>
        <v>MAHFUZUL ISLAM</v>
      </c>
      <c r="G245" s="19" t="s">
        <v>264</v>
      </c>
      <c r="H245" s="8">
        <f>COUNTIF(LS[[#Headers],[Investor ID]]:LS[[#This Row],[Investor ID]],LS[[#This Row],[Investor ID]])</f>
        <v>1</v>
      </c>
      <c r="I245" s="8" t="str">
        <f>CONCATENATE(LS[[#This Row],[Frequency]],LS[[#This Row],[Investor ID]])</f>
        <v>1A00212</v>
      </c>
      <c r="J245" s="8" t="str">
        <f>IF(LS[[#This Row],[B/S]]="B","BUY",(IF(LS[[#This Row],[B/S]]="S","SELL"," ")))</f>
        <v>BUY</v>
      </c>
      <c r="K245" s="8" t="s">
        <v>301</v>
      </c>
      <c r="L245" s="10">
        <v>109500</v>
      </c>
      <c r="M245" s="10"/>
      <c r="N245" s="168">
        <f>LS[[#This Row],[Amount]]/LS[[#This Row],[Unit]]</f>
        <v>9.8197471078827014</v>
      </c>
      <c r="O245" s="11">
        <f t="shared" si="23"/>
        <v>11151</v>
      </c>
      <c r="P245" s="11">
        <f>SUMIFS(LS[[#Headers],[Unit]]:LS[[#This Row],[Unit]],LS[[#Headers],[Investor ID]]:LS[[#This Row],[Investor ID]],LS[[#This Row],[Investor ID]])</f>
        <v>11151</v>
      </c>
      <c r="Q245" s="10">
        <v>111510</v>
      </c>
      <c r="R245" s="6">
        <f>LS[[#This Row],[Amount]]-LS[[#This Row],[Unit Capital]]</f>
        <v>-2010</v>
      </c>
      <c r="S24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9.8197471078827014</v>
      </c>
      <c r="T245" s="168">
        <f t="shared" si="24"/>
        <v>12.552</v>
      </c>
      <c r="U24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45" s="10" cm="1">
        <f t="array" ref="V245">IF(LS[[#This Row],[B/S]]="S",ABS(LS[[#This Row],[Unit]])*(INDEX(LS[NAV at Cost (Average)],MATCH(CONCATENATE((LS[[#This Row],[Frequency]]-1),LS[[#This Row],[Investor ID]]),LS[Unique Code],0),0)),0)</f>
        <v>0</v>
      </c>
      <c r="W245" s="10">
        <f>IF(LS[[#This Row],[BO Transfer]]="YES",LS[[#This Row],[Unit]],)</f>
        <v>0</v>
      </c>
      <c r="X245" s="3">
        <f>SUMIFS(LS[[#Headers],[BO UNIT TRANSFER]]:LS[[#This Row],[BO UNIT TRANSFER]],LS[[#Headers],[Investor ID]]:LS[[#This Row],[Investor ID]],LS[[#This Row],[Investor ID]])</f>
        <v>0</v>
      </c>
      <c r="Y245" s="33"/>
    </row>
    <row r="246" spans="2:26">
      <c r="B246" s="8">
        <v>2022</v>
      </c>
      <c r="C246" s="8">
        <v>6</v>
      </c>
      <c r="D246" s="8">
        <v>30</v>
      </c>
      <c r="E246" s="291">
        <f>DATE(LS[[#This Row],[Year]],LS[[#This Row],[Month]],LS[[#This Row],[Day]])</f>
        <v>44742</v>
      </c>
      <c r="F246" t="str" cm="1">
        <f t="array" ref="F246">INDEX(INVESTORS_LIST[INVESTOR NAME],MATCH(LS[[#This Row],[Investor ID]],INVESTORS_LIST[INVESTOR CODE],0),)</f>
        <v>NASRIN AHMED HELA</v>
      </c>
      <c r="G246" s="19" t="s">
        <v>935</v>
      </c>
      <c r="H246" s="8">
        <f>COUNTIF(LS[[#Headers],[Investor ID]]:LS[[#This Row],[Investor ID]],LS[[#This Row],[Investor ID]])</f>
        <v>2</v>
      </c>
      <c r="I246" s="8" t="str">
        <f>CONCATENATE(LS[[#This Row],[Frequency]],LS[[#This Row],[Investor ID]])</f>
        <v>2A00428</v>
      </c>
      <c r="J246" s="8" t="str">
        <f>IF(LS[[#This Row],[B/S]]="B","BUY",(IF(LS[[#This Row],[B/S]]="S","SELL"," ")))</f>
        <v>BUY</v>
      </c>
      <c r="K246" s="8" t="s">
        <v>301</v>
      </c>
      <c r="L246" s="10">
        <v>200000</v>
      </c>
      <c r="M246" s="10"/>
      <c r="N246" s="168">
        <f>LS[[#This Row],[Amount]]/LS[[#This Row],[Unit]]</f>
        <v>9.8198065498109681</v>
      </c>
      <c r="O246" s="11">
        <f t="shared" si="23"/>
        <v>20367</v>
      </c>
      <c r="P246" s="11">
        <f>SUMIFS(LS[[#Headers],[Unit]]:LS[[#This Row],[Unit]],LS[[#Headers],[Investor ID]]:LS[[#This Row],[Investor ID]],LS[[#This Row],[Investor ID]])</f>
        <v>40734</v>
      </c>
      <c r="Q246" s="10">
        <v>203670</v>
      </c>
      <c r="R246" s="6">
        <f>LS[[#This Row],[Amount]]-LS[[#This Row],[Unit Capital]]</f>
        <v>-3670</v>
      </c>
      <c r="S24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9.8198065498109681</v>
      </c>
      <c r="T246" s="168">
        <f t="shared" si="24"/>
        <v>12.552</v>
      </c>
      <c r="U24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46" s="10" cm="1">
        <f t="array" ref="V246">IF(LS[[#This Row],[B/S]]="S",ABS(LS[[#This Row],[Unit]])*(INDEX(LS[NAV at Cost (Average)],MATCH(CONCATENATE((LS[[#This Row],[Frequency]]-1),LS[[#This Row],[Investor ID]]),LS[Unique Code],0),0)),0)</f>
        <v>0</v>
      </c>
      <c r="W246" s="10">
        <f>IF(LS[[#This Row],[BO Transfer]]="YES",LS[[#This Row],[Unit]],)</f>
        <v>0</v>
      </c>
      <c r="X246" s="3">
        <f>SUMIFS(LS[[#Headers],[BO UNIT TRANSFER]]:LS[[#This Row],[BO UNIT TRANSFER]],LS[[#Headers],[Investor ID]]:LS[[#This Row],[Investor ID]],LS[[#This Row],[Investor ID]])</f>
        <v>0</v>
      </c>
      <c r="Y246" s="33"/>
    </row>
    <row r="247" spans="2:26">
      <c r="B247" s="8">
        <v>2022</v>
      </c>
      <c r="C247" s="8">
        <v>6</v>
      </c>
      <c r="D247" s="8">
        <v>30</v>
      </c>
      <c r="E247" s="291">
        <f>DATE(LS[[#This Row],[Year]],LS[[#This Row],[Month]],LS[[#This Row],[Day]])</f>
        <v>44742</v>
      </c>
      <c r="F247" t="str" cm="1">
        <f t="array" ref="F247">INDEX(INVESTORS_LIST[INVESTOR NAME],MATCH(LS[[#This Row],[Investor ID]],INVESTORS_LIST[INVESTOR CODE],0),)</f>
        <v>NITYANANDA BISWAS</v>
      </c>
      <c r="G247" s="19" t="s">
        <v>360</v>
      </c>
      <c r="H247" s="8">
        <f>COUNTIF(LS[[#Headers],[Investor ID]]:LS[[#This Row],[Investor ID]],LS[[#This Row],[Investor ID]])</f>
        <v>1</v>
      </c>
      <c r="I247" s="8" t="str">
        <f>CONCATENATE(LS[[#This Row],[Frequency]],LS[[#This Row],[Investor ID]])</f>
        <v>1A00252</v>
      </c>
      <c r="J247" s="8" t="str">
        <f>IF(LS[[#This Row],[B/S]]="B","BUY",(IF(LS[[#This Row],[B/S]]="S","SELL"," ")))</f>
        <v>BUY</v>
      </c>
      <c r="K247" s="8" t="s">
        <v>301</v>
      </c>
      <c r="L247" s="10">
        <v>45000</v>
      </c>
      <c r="M247" s="10"/>
      <c r="N247" s="168">
        <f>LS[[#This Row],[Amount]]/LS[[#This Row],[Unit]]</f>
        <v>9.8210388476647754</v>
      </c>
      <c r="O247" s="11">
        <f t="shared" si="23"/>
        <v>4582</v>
      </c>
      <c r="P247" s="11">
        <f>SUMIFS(LS[[#Headers],[Unit]]:LS[[#This Row],[Unit]],LS[[#Headers],[Investor ID]]:LS[[#This Row],[Investor ID]],LS[[#This Row],[Investor ID]])</f>
        <v>4582</v>
      </c>
      <c r="Q247" s="10">
        <v>45820</v>
      </c>
      <c r="R247" s="6">
        <f>LS[[#This Row],[Amount]]-LS[[#This Row],[Unit Capital]]</f>
        <v>-820</v>
      </c>
      <c r="S24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9.8210388476647754</v>
      </c>
      <c r="T247" s="168">
        <f t="shared" si="24"/>
        <v>12.552</v>
      </c>
      <c r="U24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47" s="10" cm="1">
        <f t="array" ref="V247">IF(LS[[#This Row],[B/S]]="S",ABS(LS[[#This Row],[Unit]])*(INDEX(LS[NAV at Cost (Average)],MATCH(CONCATENATE((LS[[#This Row],[Frequency]]-1),LS[[#This Row],[Investor ID]]),LS[Unique Code],0),0)),0)</f>
        <v>0</v>
      </c>
      <c r="W247" s="10">
        <f>IF(LS[[#This Row],[BO Transfer]]="YES",LS[[#This Row],[Unit]],)</f>
        <v>0</v>
      </c>
      <c r="X247" s="3">
        <f>SUMIFS(LS[[#Headers],[BO UNIT TRANSFER]]:LS[[#This Row],[BO UNIT TRANSFER]],LS[[#Headers],[Investor ID]]:LS[[#This Row],[Investor ID]],LS[[#This Row],[Investor ID]])</f>
        <v>0</v>
      </c>
      <c r="Y247" s="33"/>
    </row>
    <row r="248" spans="2:26">
      <c r="B248" s="8">
        <v>2022</v>
      </c>
      <c r="C248" s="8">
        <v>6</v>
      </c>
      <c r="D248" s="8">
        <v>30</v>
      </c>
      <c r="E248" s="291">
        <f>DATE(LS[[#This Row],[Year]],LS[[#This Row],[Month]],LS[[#This Row],[Day]])</f>
        <v>44742</v>
      </c>
      <c r="F248" t="str" cm="1">
        <f t="array" ref="F248">INDEX(INVESTORS_LIST[INVESTOR NAME],MATCH(LS[[#This Row],[Investor ID]],INVESTORS_LIST[INVESTOR CODE],0),)</f>
        <v>HABIB REDWAN RAFI</v>
      </c>
      <c r="G248" s="19" t="s">
        <v>391</v>
      </c>
      <c r="H248" s="8">
        <f>COUNTIF(LS[[#Headers],[Investor ID]]:LS[[#This Row],[Investor ID]],LS[[#This Row],[Investor ID]])</f>
        <v>1</v>
      </c>
      <c r="I248" s="8" t="str">
        <f>CONCATENATE(LS[[#This Row],[Frequency]],LS[[#This Row],[Investor ID]])</f>
        <v>1A00267</v>
      </c>
      <c r="J248" s="8" t="str">
        <f>IF(LS[[#This Row],[B/S]]="B","BUY",(IF(LS[[#This Row],[B/S]]="S","SELL"," ")))</f>
        <v>BUY</v>
      </c>
      <c r="K248" s="8" t="s">
        <v>301</v>
      </c>
      <c r="L248" s="10">
        <v>200000</v>
      </c>
      <c r="M248" s="10"/>
      <c r="N248" s="168">
        <f>LS[[#This Row],[Amount]]/LS[[#This Row],[Unit]]</f>
        <v>9.8198065498109681</v>
      </c>
      <c r="O248" s="11">
        <f t="shared" si="23"/>
        <v>20367</v>
      </c>
      <c r="P248" s="11">
        <f>SUMIFS(LS[[#Headers],[Unit]]:LS[[#This Row],[Unit]],LS[[#Headers],[Investor ID]]:LS[[#This Row],[Investor ID]],LS[[#This Row],[Investor ID]])</f>
        <v>20367</v>
      </c>
      <c r="Q248" s="10">
        <v>203670</v>
      </c>
      <c r="R248" s="6">
        <f>LS[[#This Row],[Amount]]-LS[[#This Row],[Unit Capital]]</f>
        <v>-3670</v>
      </c>
      <c r="S24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9.8198065498109681</v>
      </c>
      <c r="T248" s="168">
        <f t="shared" si="24"/>
        <v>12.552</v>
      </c>
      <c r="U24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48" s="10" cm="1">
        <f t="array" ref="V248">IF(LS[[#This Row],[B/S]]="S",ABS(LS[[#This Row],[Unit]])*(INDEX(LS[NAV at Cost (Average)],MATCH(CONCATENATE((LS[[#This Row],[Frequency]]-1),LS[[#This Row],[Investor ID]]),LS[Unique Code],0),0)),0)</f>
        <v>0</v>
      </c>
      <c r="W248" s="10">
        <f>IF(LS[[#This Row],[BO Transfer]]="YES",LS[[#This Row],[Unit]],)</f>
        <v>0</v>
      </c>
      <c r="X248" s="3">
        <f>SUMIFS(LS[[#Headers],[BO UNIT TRANSFER]]:LS[[#This Row],[BO UNIT TRANSFER]],LS[[#Headers],[Investor ID]]:LS[[#This Row],[Investor ID]],LS[[#This Row],[Investor ID]])</f>
        <v>0</v>
      </c>
      <c r="Y248" s="33"/>
    </row>
    <row r="249" spans="2:26">
      <c r="B249" s="8">
        <v>2022</v>
      </c>
      <c r="C249" s="8">
        <v>6</v>
      </c>
      <c r="D249" s="8">
        <v>30</v>
      </c>
      <c r="E249" s="291">
        <f>DATE(LS[[#This Row],[Year]],LS[[#This Row],[Month]],LS[[#This Row],[Day]])</f>
        <v>44742</v>
      </c>
      <c r="F249" t="str" cm="1">
        <f t="array" ref="F249">INDEX(INVESTORS_LIST[INVESTOR NAME],MATCH(LS[[#This Row],[Investor ID]],INVESTORS_LIST[INVESTOR CODE],0),)</f>
        <v>MOHAMMAD MONJUR ALAM</v>
      </c>
      <c r="G249" s="19" t="s">
        <v>70</v>
      </c>
      <c r="H249" s="8">
        <f>COUNTIF(LS[[#Headers],[Investor ID]]:LS[[#This Row],[Investor ID]],LS[[#This Row],[Investor ID]])</f>
        <v>5</v>
      </c>
      <c r="I249" s="8" t="str">
        <f>CONCATENATE(LS[[#This Row],[Frequency]],LS[[#This Row],[Investor ID]])</f>
        <v>5A00063</v>
      </c>
      <c r="J249" s="8" t="str">
        <f>IF(LS[[#This Row],[B/S]]="B","BUY",(IF(LS[[#This Row],[B/S]]="S","SELL"," ")))</f>
        <v>BUY</v>
      </c>
      <c r="K249" s="8" t="s">
        <v>301</v>
      </c>
      <c r="L249" s="10">
        <v>500000</v>
      </c>
      <c r="M249" s="10"/>
      <c r="N249" s="168">
        <f>LS[[#This Row],[Amount]]/LS[[#This Row],[Unit]]</f>
        <v>9.8200958441354391</v>
      </c>
      <c r="O249" s="11">
        <f t="shared" si="23"/>
        <v>50916</v>
      </c>
      <c r="P249" s="11">
        <f>SUMIFS(LS[[#Headers],[Unit]]:LS[[#This Row],[Unit]],LS[[#Headers],[Investor ID]]:LS[[#This Row],[Investor ID]],LS[[#This Row],[Investor ID]])</f>
        <v>50916</v>
      </c>
      <c r="Q249" s="10">
        <v>509160</v>
      </c>
      <c r="R249" s="6">
        <f>LS[[#This Row],[Amount]]-LS[[#This Row],[Unit Capital]]</f>
        <v>-9160</v>
      </c>
      <c r="S24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9.8200958441354391</v>
      </c>
      <c r="T249" s="168">
        <f t="shared" si="24"/>
        <v>12.552</v>
      </c>
      <c r="U24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49" s="10" cm="1">
        <f t="array" ref="V249">IF(LS[[#This Row],[B/S]]="S",ABS(LS[[#This Row],[Unit]])*(INDEX(LS[NAV at Cost (Average)],MATCH(CONCATENATE((LS[[#This Row],[Frequency]]-1),LS[[#This Row],[Investor ID]]),LS[Unique Code],0),0)),0)</f>
        <v>0</v>
      </c>
      <c r="W249" s="10">
        <f>IF(LS[[#This Row],[BO Transfer]]="YES",LS[[#This Row],[Unit]],)</f>
        <v>0</v>
      </c>
      <c r="X249" s="3">
        <f>SUMIFS(LS[[#Headers],[BO UNIT TRANSFER]]:LS[[#This Row],[BO UNIT TRANSFER]],LS[[#Headers],[Investor ID]]:LS[[#This Row],[Investor ID]],LS[[#This Row],[Investor ID]])</f>
        <v>0</v>
      </c>
      <c r="Y249" s="33"/>
    </row>
    <row r="250" spans="2:26">
      <c r="B250" s="8">
        <v>2022</v>
      </c>
      <c r="C250" s="8">
        <v>6</v>
      </c>
      <c r="D250" s="8">
        <v>30</v>
      </c>
      <c r="E250" s="291">
        <f>DATE(LS[[#This Row],[Year]],LS[[#This Row],[Month]],LS[[#This Row],[Day]])</f>
        <v>44742</v>
      </c>
      <c r="F250" t="str" cm="1">
        <f t="array" ref="F250">INDEX(INVESTORS_LIST[INVESTOR NAME],MATCH(LS[[#This Row],[Investor ID]],INVESTORS_LIST[INVESTOR CODE],0),)</f>
        <v>MD. NIZAM UDDIN</v>
      </c>
      <c r="G250" s="19" t="s">
        <v>712</v>
      </c>
      <c r="H250" s="8">
        <f>COUNTIF(LS[[#Headers],[Investor ID]]:LS[[#This Row],[Investor ID]],LS[[#This Row],[Investor ID]])</f>
        <v>2</v>
      </c>
      <c r="I250" s="8" t="str">
        <f>CONCATENATE(LS[[#This Row],[Frequency]],LS[[#This Row],[Investor ID]])</f>
        <v>2A00384</v>
      </c>
      <c r="J250" s="8" t="str">
        <f>IF(LS[[#This Row],[B/S]]="B","BUY",(IF(LS[[#This Row],[B/S]]="S","SELL"," ")))</f>
        <v>BUY</v>
      </c>
      <c r="K250" s="8" t="s">
        <v>301</v>
      </c>
      <c r="L250" s="10">
        <v>200000</v>
      </c>
      <c r="M250" s="10"/>
      <c r="N250" s="168">
        <f>LS[[#This Row],[Amount]]/LS[[#This Row],[Unit]]</f>
        <v>9.8198065498109681</v>
      </c>
      <c r="O250" s="11">
        <f t="shared" si="23"/>
        <v>20367</v>
      </c>
      <c r="P250" s="11">
        <f>SUMIFS(LS[[#Headers],[Unit]]:LS[[#This Row],[Unit]],LS[[#Headers],[Investor ID]]:LS[[#This Row],[Investor ID]],LS[[#This Row],[Investor ID]])</f>
        <v>24367</v>
      </c>
      <c r="Q250" s="10">
        <v>203670</v>
      </c>
      <c r="R250" s="6">
        <f>LS[[#This Row],[Amount]]-LS[[#This Row],[Unit Capital]]</f>
        <v>-3670</v>
      </c>
      <c r="S25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9.8493864653014302</v>
      </c>
      <c r="T250" s="168">
        <f t="shared" si="24"/>
        <v>12.552</v>
      </c>
      <c r="U25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50" s="10" cm="1">
        <f t="array" ref="V250">IF(LS[[#This Row],[B/S]]="S",ABS(LS[[#This Row],[Unit]])*(INDEX(LS[NAV at Cost (Average)],MATCH(CONCATENATE((LS[[#This Row],[Frequency]]-1),LS[[#This Row],[Investor ID]]),LS[Unique Code],0),0)),0)</f>
        <v>0</v>
      </c>
      <c r="W250" s="10">
        <f>IF(LS[[#This Row],[BO Transfer]]="YES",LS[[#This Row],[Unit]],)</f>
        <v>0</v>
      </c>
      <c r="X250" s="3">
        <f>SUMIFS(LS[[#Headers],[BO UNIT TRANSFER]]:LS[[#This Row],[BO UNIT TRANSFER]],LS[[#Headers],[Investor ID]]:LS[[#This Row],[Investor ID]],LS[[#This Row],[Investor ID]])</f>
        <v>0</v>
      </c>
      <c r="Y250" s="33"/>
    </row>
    <row r="251" spans="2:26">
      <c r="B251" s="8">
        <v>2022</v>
      </c>
      <c r="C251" s="110">
        <v>6</v>
      </c>
      <c r="D251" s="110">
        <v>30</v>
      </c>
      <c r="E251" s="298">
        <f>DATE(LS[[#This Row],[Year]],LS[[#This Row],[Month]],LS[[#This Row],[Day]])</f>
        <v>44742</v>
      </c>
      <c r="F251" s="111" t="str" cm="1">
        <f t="array" ref="F251">INDEX(INVESTORS_LIST[INVESTOR NAME],MATCH(LS[[#This Row],[Investor ID]],INVESTORS_LIST[INVESTOR CODE],0),)</f>
        <v>KAZI AHSAN MARUF</v>
      </c>
      <c r="G251" s="112" t="s">
        <v>62</v>
      </c>
      <c r="H251" s="110">
        <f>COUNTIF(LS[[#Headers],[Investor ID]]:LS[[#This Row],[Investor ID]],LS[[#This Row],[Investor ID]])</f>
        <v>1</v>
      </c>
      <c r="I251" s="110" t="str">
        <f>CONCATENATE(LS[[#This Row],[Frequency]],LS[[#This Row],[Investor ID]])</f>
        <v>1A00055</v>
      </c>
      <c r="J251" s="110" t="str">
        <f>IF(LS[[#This Row],[B/S]]="B","BUY",(IF(LS[[#This Row],[B/S]]="S","SELL"," ")))</f>
        <v>BUY</v>
      </c>
      <c r="K251" s="8" t="s">
        <v>301</v>
      </c>
      <c r="L251" s="113">
        <v>500000</v>
      </c>
      <c r="M251" s="113"/>
      <c r="N251" s="175">
        <f>LS[[#This Row],[Amount]]/LS[[#This Row],[Unit]]</f>
        <v>9.8200958441354391</v>
      </c>
      <c r="O251" s="114">
        <f t="shared" ref="O251:O265" si="25">Q251/10</f>
        <v>50916</v>
      </c>
      <c r="P251" s="114">
        <f>SUMIFS(LS[[#Headers],[Unit]]:LS[[#This Row],[Unit]],LS[[#Headers],[Investor ID]]:LS[[#This Row],[Investor ID]],LS[[#This Row],[Investor ID]])</f>
        <v>50916</v>
      </c>
      <c r="Q251" s="113">
        <v>509160</v>
      </c>
      <c r="R251" s="115">
        <f>LS[[#This Row],[Amount]]-LS[[#This Row],[Unit Capital]]</f>
        <v>-9160</v>
      </c>
      <c r="S251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9.8200958441354391</v>
      </c>
      <c r="T251" s="175">
        <f t="shared" ref="T251:T265" si="26">IFERROR(NAV_MKT,0)</f>
        <v>12.552</v>
      </c>
      <c r="U251" s="11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51" s="113" cm="1">
        <f t="array" ref="V251">IF(LS[[#This Row],[B/S]]="S",ABS(LS[[#This Row],[Unit]])*(INDEX(LS[NAV at Cost (Average)],MATCH(CONCATENATE((LS[[#This Row],[Frequency]]-1),LS[[#This Row],[Investor ID]]),LS[Unique Code],0),0)),0)</f>
        <v>0</v>
      </c>
      <c r="W251" s="113">
        <f>IF(LS[[#This Row],[BO Transfer]]="YES",LS[[#This Row],[Unit]],)</f>
        <v>0</v>
      </c>
      <c r="X251" s="3">
        <f>SUMIFS(LS[[#Headers],[BO UNIT TRANSFER]]:LS[[#This Row],[BO UNIT TRANSFER]],LS[[#Headers],[Investor ID]]:LS[[#This Row],[Investor ID]],LS[[#This Row],[Investor ID]])</f>
        <v>0</v>
      </c>
      <c r="Y251" s="33"/>
    </row>
    <row r="252" spans="2:26">
      <c r="B252" s="8">
        <v>2022</v>
      </c>
      <c r="C252" s="110">
        <v>7</v>
      </c>
      <c r="D252" s="110">
        <v>3</v>
      </c>
      <c r="E252" s="298">
        <f>DATE(LS[[#This Row],[Year]],LS[[#This Row],[Month]],LS[[#This Row],[Day]])</f>
        <v>44745</v>
      </c>
      <c r="F252" s="111" t="str" cm="1">
        <f t="array" ref="F252">INDEX(INVESTORS_LIST[INVESTOR NAME],MATCH(LS[[#This Row],[Investor ID]],INVESTORS_LIST[INVESTOR CODE],0),)</f>
        <v>MAHFUZUL ISLAM</v>
      </c>
      <c r="G252" s="112" t="s">
        <v>264</v>
      </c>
      <c r="H252" s="110">
        <f>COUNTIF(LS[[#Headers],[Investor ID]]:LS[[#This Row],[Investor ID]],LS[[#This Row],[Investor ID]])</f>
        <v>2</v>
      </c>
      <c r="I252" s="110" t="str">
        <f>CONCATENATE(LS[[#This Row],[Frequency]],LS[[#This Row],[Investor ID]])</f>
        <v>2A00212</v>
      </c>
      <c r="J252" s="110" t="str">
        <f>IF(LS[[#This Row],[B/S]]="B","BUY",(IF(LS[[#This Row],[B/S]]="S","SELL"," ")))</f>
        <v>SELL</v>
      </c>
      <c r="K252" s="8" t="s">
        <v>866</v>
      </c>
      <c r="L252" s="113">
        <v>-111175.47</v>
      </c>
      <c r="M252" s="113"/>
      <c r="N252" s="175">
        <f>LS[[#This Row],[Amount]]/LS[[#This Row],[Unit]]</f>
        <v>9.9700000000000006</v>
      </c>
      <c r="O252" s="114">
        <f t="shared" si="25"/>
        <v>-11151</v>
      </c>
      <c r="P252" s="114">
        <f>SUMIFS(LS[[#Headers],[Unit]]:LS[[#This Row],[Unit]],LS[[#Headers],[Investor ID]]:LS[[#This Row],[Investor ID]],LS[[#This Row],[Investor ID]])</f>
        <v>0</v>
      </c>
      <c r="Q252" s="113">
        <v>-111510</v>
      </c>
      <c r="R252" s="115">
        <f>LS[[#This Row],[Amount]]-LS[[#This Row],[Unit Capital]]</f>
        <v>334.52999999999884</v>
      </c>
      <c r="S252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52" s="175">
        <f t="shared" si="26"/>
        <v>12.552</v>
      </c>
      <c r="U252" s="113">
        <f>IF(LS[[#This Row],[B/S]]="B",0,ABS(LS[[#This Row],[Unit]])*(LS[[#This Row],[NAV (Strike Rate)]]-INDEX(LS[NAV at Cost (Average)],MATCH(CONCATENATE(LS[[#This Row],[Frequency]]-1,LS[[#This Row],[Investor ID]]),LS[Unique Code],0),)))</f>
        <v>1675.4700000000034</v>
      </c>
      <c r="V252" s="113" cm="1">
        <f t="array" ref="V252">IF(LS[[#This Row],[B/S]]="S",ABS(LS[[#This Row],[Unit]])*(INDEX(LS[NAV at Cost (Average)],MATCH(CONCATENATE((LS[[#This Row],[Frequency]]-1),LS[[#This Row],[Investor ID]]),LS[Unique Code],0),0)),0)</f>
        <v>109500</v>
      </c>
      <c r="W252" s="113">
        <f>IF(LS[[#This Row],[BO Transfer]]="YES",LS[[#This Row],[Unit]],)</f>
        <v>0</v>
      </c>
      <c r="X252" s="3">
        <f>SUMIFS(LS[[#Headers],[BO UNIT TRANSFER]]:LS[[#This Row],[BO UNIT TRANSFER]],LS[[#Headers],[Investor ID]]:LS[[#This Row],[Investor ID]],LS[[#This Row],[Investor ID]])</f>
        <v>0</v>
      </c>
      <c r="Y252" s="33"/>
    </row>
    <row r="253" spans="2:26">
      <c r="B253" s="8">
        <v>2022</v>
      </c>
      <c r="C253" s="110">
        <v>7</v>
      </c>
      <c r="D253" s="110">
        <v>3</v>
      </c>
      <c r="E253" s="298">
        <f>DATE(LS[[#This Row],[Year]],LS[[#This Row],[Month]],LS[[#This Row],[Day]])</f>
        <v>44745</v>
      </c>
      <c r="F253" s="111" t="str" cm="1">
        <f t="array" ref="F253">INDEX(INVESTORS_LIST[INVESTOR NAME],MATCH(LS[[#This Row],[Investor ID]],INVESTORS_LIST[INVESTOR CODE],0),)</f>
        <v>SAIDA HOMAIRA</v>
      </c>
      <c r="G253" s="112" t="s">
        <v>603</v>
      </c>
      <c r="H253" s="110">
        <f>COUNTIF(LS[[#Headers],[Investor ID]]:LS[[#This Row],[Investor ID]],LS[[#This Row],[Investor ID]])</f>
        <v>3</v>
      </c>
      <c r="I253" s="110" t="str">
        <f>CONCATENATE(LS[[#This Row],[Frequency]],LS[[#This Row],[Investor ID]])</f>
        <v>3A00339</v>
      </c>
      <c r="J253" s="110" t="str">
        <f>IF(LS[[#This Row],[B/S]]="B","BUY",(IF(LS[[#This Row],[B/S]]="S","SELL"," ")))</f>
        <v>SELL</v>
      </c>
      <c r="K253" s="8" t="s">
        <v>866</v>
      </c>
      <c r="L253" s="113">
        <v>-797600</v>
      </c>
      <c r="M253" s="113"/>
      <c r="N253" s="175">
        <f>LS[[#This Row],[Amount]]/LS[[#This Row],[Unit]]</f>
        <v>9.9700000000000006</v>
      </c>
      <c r="O253" s="114">
        <f t="shared" si="25"/>
        <v>-80000</v>
      </c>
      <c r="P253" s="114">
        <f>SUMIFS(LS[[#Headers],[Unit]]:LS[[#This Row],[Unit]],LS[[#Headers],[Investor ID]]:LS[[#This Row],[Investor ID]],LS[[#This Row],[Investor ID]])</f>
        <v>0</v>
      </c>
      <c r="Q253" s="113">
        <v>-800000</v>
      </c>
      <c r="R253" s="115">
        <f>LS[[#This Row],[Amount]]-LS[[#This Row],[Unit Capital]]</f>
        <v>2400</v>
      </c>
      <c r="S253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53" s="175">
        <f t="shared" si="26"/>
        <v>12.552</v>
      </c>
      <c r="U253" s="113">
        <f>IF(LS[[#This Row],[B/S]]="B",0,ABS(LS[[#This Row],[Unit]])*(LS[[#This Row],[NAV (Strike Rate)]]-INDEX(LS[NAV at Cost (Average)],MATCH(CONCATENATE(LS[[#This Row],[Frequency]]-1,LS[[#This Row],[Investor ID]]),LS[Unique Code],0),)))</f>
        <v>-2399.9999999999491</v>
      </c>
      <c r="V253" s="113" cm="1">
        <f t="array" ref="V253">IF(LS[[#This Row],[B/S]]="S",ABS(LS[[#This Row],[Unit]])*(INDEX(LS[NAV at Cost (Average)],MATCH(CONCATENATE((LS[[#This Row],[Frequency]]-1),LS[[#This Row],[Investor ID]]),LS[Unique Code],0),0)),0)</f>
        <v>800000</v>
      </c>
      <c r="W253" s="113">
        <f>IF(LS[[#This Row],[BO Transfer]]="YES",LS[[#This Row],[Unit]],)</f>
        <v>0</v>
      </c>
      <c r="X253" s="3">
        <f>SUMIFS(LS[[#Headers],[BO UNIT TRANSFER]]:LS[[#This Row],[BO UNIT TRANSFER]],LS[[#Headers],[Investor ID]]:LS[[#This Row],[Investor ID]],LS[[#This Row],[Investor ID]])</f>
        <v>0</v>
      </c>
      <c r="Y253" s="33"/>
    </row>
    <row r="254" spans="2:26">
      <c r="B254" s="8">
        <v>2022</v>
      </c>
      <c r="C254" s="110">
        <v>7</v>
      </c>
      <c r="D254" s="110">
        <v>3</v>
      </c>
      <c r="E254" s="298">
        <f>DATE(LS[[#This Row],[Year]],LS[[#This Row],[Month]],LS[[#This Row],[Day]])</f>
        <v>44745</v>
      </c>
      <c r="F254" s="111" t="str" cm="1">
        <f t="array" ref="F254">INDEX(INVESTORS_LIST[INVESTOR NAME],MATCH(LS[[#This Row],[Investor ID]],INVESTORS_LIST[INVESTOR CODE],0),)</f>
        <v>TAMRIN AL DEEN</v>
      </c>
      <c r="G254" s="112" t="s">
        <v>931</v>
      </c>
      <c r="H254" s="110">
        <f>COUNTIF(LS[[#Headers],[Investor ID]]:LS[[#This Row],[Investor ID]],LS[[#This Row],[Investor ID]])</f>
        <v>2</v>
      </c>
      <c r="I254" s="110" t="str">
        <f>CONCATENATE(LS[[#This Row],[Frequency]],LS[[#This Row],[Investor ID]])</f>
        <v>2A00426</v>
      </c>
      <c r="J254" s="110" t="str">
        <f>IF(LS[[#This Row],[B/S]]="B","BUY",(IF(LS[[#This Row],[B/S]]="S","SELL"," ")))</f>
        <v>SELL</v>
      </c>
      <c r="K254" s="8" t="s">
        <v>866</v>
      </c>
      <c r="L254" s="113">
        <v>-203058.99</v>
      </c>
      <c r="M254" s="113"/>
      <c r="N254" s="175">
        <f>LS[[#This Row],[Amount]]/LS[[#This Row],[Unit]]</f>
        <v>9.9699999999999989</v>
      </c>
      <c r="O254" s="114">
        <f t="shared" si="25"/>
        <v>-20367</v>
      </c>
      <c r="P254" s="114">
        <f>SUMIFS(LS[[#Headers],[Unit]]:LS[[#This Row],[Unit]],LS[[#Headers],[Investor ID]]:LS[[#This Row],[Investor ID]],LS[[#This Row],[Investor ID]])</f>
        <v>0</v>
      </c>
      <c r="Q254" s="113">
        <v>-203670</v>
      </c>
      <c r="R254" s="115">
        <f>LS[[#This Row],[Amount]]-LS[[#This Row],[Unit Capital]]</f>
        <v>611.01000000000931</v>
      </c>
      <c r="S254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54" s="175">
        <f t="shared" si="26"/>
        <v>12.552</v>
      </c>
      <c r="U254" s="113">
        <f>IF(LS[[#This Row],[B/S]]="B",0,ABS(LS[[#This Row],[Unit]])*(LS[[#This Row],[NAV (Strike Rate)]]-INDEX(LS[NAV at Cost (Average)],MATCH(CONCATENATE(LS[[#This Row],[Frequency]]-1,LS[[#This Row],[Investor ID]]),LS[Unique Code],0),)))</f>
        <v>3058.9899999999893</v>
      </c>
      <c r="V254" s="113" cm="1">
        <f t="array" ref="V254">IF(LS[[#This Row],[B/S]]="S",ABS(LS[[#This Row],[Unit]])*(INDEX(LS[NAV at Cost (Average)],MATCH(CONCATENATE((LS[[#This Row],[Frequency]]-1),LS[[#This Row],[Investor ID]]),LS[Unique Code],0),0)),0)</f>
        <v>200000</v>
      </c>
      <c r="W254" s="113">
        <f>IF(LS[[#This Row],[BO Transfer]]="YES",LS[[#This Row],[Unit]],)</f>
        <v>0</v>
      </c>
      <c r="X254" s="3">
        <f>SUMIFS(LS[[#Headers],[BO UNIT TRANSFER]]:LS[[#This Row],[BO UNIT TRANSFER]],LS[[#Headers],[Investor ID]]:LS[[#This Row],[Investor ID]],LS[[#This Row],[Investor ID]])</f>
        <v>0</v>
      </c>
      <c r="Y254" s="33"/>
    </row>
    <row r="255" spans="2:26">
      <c r="B255" s="8">
        <v>2022</v>
      </c>
      <c r="C255" s="110">
        <v>7</v>
      </c>
      <c r="D255" s="110">
        <v>3</v>
      </c>
      <c r="E255" s="298">
        <f>DATE(LS[[#This Row],[Year]],LS[[#This Row],[Month]],LS[[#This Row],[Day]])</f>
        <v>44745</v>
      </c>
      <c r="F255" s="111" t="str" cm="1">
        <f t="array" ref="F255">INDEX(INVESTORS_LIST[INVESTOR NAME],MATCH(LS[[#This Row],[Investor ID]],INVESTORS_LIST[INVESTOR CODE],0),)</f>
        <v>MD. NIZAM UDDIN</v>
      </c>
      <c r="G255" s="112" t="s">
        <v>712</v>
      </c>
      <c r="H255" s="110">
        <f>COUNTIF(LS[[#Headers],[Investor ID]]:LS[[#This Row],[Investor ID]],LS[[#This Row],[Investor ID]])</f>
        <v>3</v>
      </c>
      <c r="I255" s="110" t="str">
        <f>CONCATENATE(LS[[#This Row],[Frequency]],LS[[#This Row],[Investor ID]])</f>
        <v>3A00384</v>
      </c>
      <c r="J255" s="110" t="str">
        <f>IF(LS[[#This Row],[B/S]]="B","BUY",(IF(LS[[#This Row],[B/S]]="S","SELL"," ")))</f>
        <v>SELL</v>
      </c>
      <c r="K255" s="8" t="s">
        <v>866</v>
      </c>
      <c r="L255" s="113">
        <v>-203058.99</v>
      </c>
      <c r="M255" s="113"/>
      <c r="N255" s="175">
        <f>LS[[#This Row],[Amount]]/LS[[#This Row],[Unit]]</f>
        <v>9.9699999999999989</v>
      </c>
      <c r="O255" s="114">
        <f t="shared" si="25"/>
        <v>-20367</v>
      </c>
      <c r="P255" s="114">
        <f>SUMIFS(LS[[#Headers],[Unit]]:LS[[#This Row],[Unit]],LS[[#Headers],[Investor ID]]:LS[[#This Row],[Investor ID]],LS[[#This Row],[Investor ID]])</f>
        <v>4000</v>
      </c>
      <c r="Q255" s="113">
        <v>-203670</v>
      </c>
      <c r="R255" s="115">
        <f>LS[[#This Row],[Amount]]-LS[[#This Row],[Unit Capital]]</f>
        <v>611.01000000000931</v>
      </c>
      <c r="S255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9.8493864653014302</v>
      </c>
      <c r="T255" s="175">
        <f t="shared" si="26"/>
        <v>12.552</v>
      </c>
      <c r="U255" s="113">
        <f>IF(LS[[#This Row],[B/S]]="B",0,ABS(LS[[#This Row],[Unit]])*(LS[[#This Row],[NAV (Strike Rate)]]-INDEX(LS[NAV at Cost (Average)],MATCH(CONCATENATE(LS[[#This Row],[Frequency]]-1,LS[[#This Row],[Investor ID]]),LS[Unique Code],0),)))</f>
        <v>2456.5358612057471</v>
      </c>
      <c r="V255" s="113" cm="1">
        <f t="array" ref="V255">IF(LS[[#This Row],[B/S]]="S",ABS(LS[[#This Row],[Unit]])*(INDEX(LS[NAV at Cost (Average)],MATCH(CONCATENATE((LS[[#This Row],[Frequency]]-1),LS[[#This Row],[Investor ID]]),LS[Unique Code],0),0)),0)</f>
        <v>200602.45413879422</v>
      </c>
      <c r="W255" s="113">
        <f>IF(LS[[#This Row],[BO Transfer]]="YES",LS[[#This Row],[Unit]],)</f>
        <v>0</v>
      </c>
      <c r="X255" s="3">
        <f>SUMIFS(LS[[#Headers],[BO UNIT TRANSFER]]:LS[[#This Row],[BO UNIT TRANSFER]],LS[[#Headers],[Investor ID]]:LS[[#This Row],[Investor ID]],LS[[#This Row],[Investor ID]])</f>
        <v>0</v>
      </c>
      <c r="Y255" s="33"/>
    </row>
    <row r="256" spans="2:26">
      <c r="B256" s="8">
        <v>2022</v>
      </c>
      <c r="C256" s="110">
        <v>7</v>
      </c>
      <c r="D256" s="110">
        <v>3</v>
      </c>
      <c r="E256" s="298">
        <f>DATE(LS[[#This Row],[Year]],LS[[#This Row],[Month]],LS[[#This Row],[Day]])</f>
        <v>44745</v>
      </c>
      <c r="F256" s="111" t="str" cm="1">
        <f t="array" ref="F256">INDEX(INVESTORS_LIST[INVESTOR NAME],MATCH(LS[[#This Row],[Investor ID]],INVESTORS_LIST[INVESTOR CODE],0),)</f>
        <v>MD. ZAKIR HOSSEN</v>
      </c>
      <c r="G256" s="112" t="s">
        <v>25</v>
      </c>
      <c r="H256" s="110">
        <f>COUNTIF(LS[[#Headers],[Investor ID]]:LS[[#This Row],[Investor ID]],LS[[#This Row],[Investor ID]])</f>
        <v>3</v>
      </c>
      <c r="I256" s="110" t="str">
        <f>CONCATENATE(LS[[#This Row],[Frequency]],LS[[#This Row],[Investor ID]])</f>
        <v>3A00018</v>
      </c>
      <c r="J256" s="110" t="str">
        <f>IF(LS[[#This Row],[B/S]]="B","BUY",(IF(LS[[#This Row],[B/S]]="S","SELL"," ")))</f>
        <v>SELL</v>
      </c>
      <c r="K256" s="8" t="s">
        <v>866</v>
      </c>
      <c r="L256" s="113">
        <v>-706534.02</v>
      </c>
      <c r="M256" s="113"/>
      <c r="N256" s="175">
        <f>LS[[#This Row],[Amount]]/LS[[#This Row],[Unit]]</f>
        <v>9.9700000000000006</v>
      </c>
      <c r="O256" s="114">
        <f t="shared" si="25"/>
        <v>-70866</v>
      </c>
      <c r="P256" s="114">
        <f>SUMIFS(LS[[#Headers],[Unit]]:LS[[#This Row],[Unit]],LS[[#Headers],[Investor ID]]:LS[[#This Row],[Investor ID]],LS[[#This Row],[Investor ID]])</f>
        <v>0</v>
      </c>
      <c r="Q256" s="113">
        <v>-708660</v>
      </c>
      <c r="R256" s="115">
        <f>LS[[#This Row],[Amount]]-LS[[#This Row],[Unit Capital]]</f>
        <v>2125.9799999999814</v>
      </c>
      <c r="S256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56" s="175">
        <f t="shared" si="26"/>
        <v>12.552</v>
      </c>
      <c r="U256" s="113">
        <f>IF(LS[[#This Row],[B/S]]="B",0,ABS(LS[[#This Row],[Unit]])*(LS[[#This Row],[NAV (Strike Rate)]]-INDEX(LS[NAV at Cost (Average)],MATCH(CONCATENATE(LS[[#This Row],[Frequency]]-1,LS[[#This Row],[Investor ID]]),LS[Unique Code],0),)))</f>
        <v>-2123.4799999999714</v>
      </c>
      <c r="V256" s="113" cm="1">
        <f t="array" ref="V256">IF(LS[[#This Row],[B/S]]="S",ABS(LS[[#This Row],[Unit]])*(INDEX(LS[NAV at Cost (Average)],MATCH(CONCATENATE((LS[[#This Row],[Frequency]]-1),LS[[#This Row],[Investor ID]]),LS[Unique Code],0),0)),0)</f>
        <v>708657.5</v>
      </c>
      <c r="W256" s="113">
        <f>IF(LS[[#This Row],[BO Transfer]]="YES",LS[[#This Row],[Unit]],)</f>
        <v>0</v>
      </c>
      <c r="X256" s="3">
        <f>SUMIFS(LS[[#Headers],[BO UNIT TRANSFER]]:LS[[#This Row],[BO UNIT TRANSFER]],LS[[#Headers],[Investor ID]]:LS[[#This Row],[Investor ID]],LS[[#This Row],[Investor ID]])</f>
        <v>0</v>
      </c>
    </row>
    <row r="257" spans="2:25">
      <c r="B257" s="8">
        <v>2022</v>
      </c>
      <c r="C257" s="110">
        <v>7</v>
      </c>
      <c r="D257" s="110">
        <v>4</v>
      </c>
      <c r="E257" s="298">
        <f>DATE(LS[[#This Row],[Year]],LS[[#This Row],[Month]],LS[[#This Row],[Day]])</f>
        <v>44746</v>
      </c>
      <c r="F257" s="111" t="str" cm="1">
        <f t="array" ref="F257">INDEX(INVESTORS_LIST[INVESTOR NAME],MATCH(LS[[#This Row],[Investor ID]],INVESTORS_LIST[INVESTOR CODE],0),)</f>
        <v>MD. A. RAZZAK</v>
      </c>
      <c r="G257" s="112" t="s">
        <v>929</v>
      </c>
      <c r="H257" s="110">
        <f>COUNTIF(LS[[#Headers],[Investor ID]]:LS[[#This Row],[Investor ID]],LS[[#This Row],[Investor ID]])</f>
        <v>2</v>
      </c>
      <c r="I257" s="110" t="str">
        <f>CONCATENATE(LS[[#This Row],[Frequency]],LS[[#This Row],[Investor ID]])</f>
        <v>2A00425</v>
      </c>
      <c r="J257" s="110" t="str">
        <f>IF(LS[[#This Row],[B/S]]="B","BUY",(IF(LS[[#This Row],[B/S]]="S","SELL"," ")))</f>
        <v>SELL</v>
      </c>
      <c r="K257" s="8" t="s">
        <v>866</v>
      </c>
      <c r="L257" s="113">
        <v>-304583.5</v>
      </c>
      <c r="M257" s="113"/>
      <c r="N257" s="175">
        <f>LS[[#This Row],[Amount]]/LS[[#This Row],[Unit]]</f>
        <v>9.9700000000000006</v>
      </c>
      <c r="O257" s="114">
        <f t="shared" si="25"/>
        <v>-30550</v>
      </c>
      <c r="P257" s="114">
        <f>SUMIFS(LS[[#Headers],[Unit]]:LS[[#This Row],[Unit]],LS[[#Headers],[Investor ID]]:LS[[#This Row],[Investor ID]],LS[[#This Row],[Investor ID]])</f>
        <v>0</v>
      </c>
      <c r="Q257" s="113">
        <v>-305500</v>
      </c>
      <c r="R257" s="115">
        <f>LS[[#This Row],[Amount]]-LS[[#This Row],[Unit Capital]]</f>
        <v>916.5</v>
      </c>
      <c r="S257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57" s="175">
        <f t="shared" si="26"/>
        <v>12.552</v>
      </c>
      <c r="U257" s="113">
        <f>IF(LS[[#This Row],[B/S]]="B",0,ABS(LS[[#This Row],[Unit]])*(LS[[#This Row],[NAV (Strike Rate)]]-INDEX(LS[NAV at Cost (Average)],MATCH(CONCATENATE(LS[[#This Row],[Frequency]]-1,LS[[#This Row],[Investor ID]]),LS[Unique Code],0),)))</f>
        <v>4583.5000000000418</v>
      </c>
      <c r="V257" s="113" cm="1">
        <f t="array" ref="V257">IF(LS[[#This Row],[B/S]]="S",ABS(LS[[#This Row],[Unit]])*(INDEX(LS[NAV at Cost (Average)],MATCH(CONCATENATE((LS[[#This Row],[Frequency]]-1),LS[[#This Row],[Investor ID]]),LS[Unique Code],0),0)),0)</f>
        <v>300000</v>
      </c>
      <c r="W257" s="113">
        <f>IF(LS[[#This Row],[BO Transfer]]="YES",LS[[#This Row],[Unit]],)</f>
        <v>0</v>
      </c>
      <c r="X257" s="3">
        <f>SUMIFS(LS[[#Headers],[BO UNIT TRANSFER]]:LS[[#This Row],[BO UNIT TRANSFER]],LS[[#Headers],[Investor ID]]:LS[[#This Row],[Investor ID]],LS[[#This Row],[Investor ID]])</f>
        <v>0</v>
      </c>
    </row>
    <row r="258" spans="2:25">
      <c r="B258" s="8">
        <v>2022</v>
      </c>
      <c r="C258" s="110">
        <v>7</v>
      </c>
      <c r="D258" s="110">
        <v>4</v>
      </c>
      <c r="E258" s="298">
        <f>DATE(LS[[#This Row],[Year]],LS[[#This Row],[Month]],LS[[#This Row],[Day]])</f>
        <v>44746</v>
      </c>
      <c r="F258" s="111" t="str" cm="1">
        <f t="array" ref="F258">INDEX(INVESTORS_LIST[INVESTOR NAME],MATCH(LS[[#This Row],[Investor ID]],INVESTORS_LIST[INVESTOR CODE],0),)</f>
        <v>MOHAMMAD MONJUR ALAM</v>
      </c>
      <c r="G258" s="112" t="s">
        <v>70</v>
      </c>
      <c r="H258" s="110">
        <f>COUNTIF(LS[[#Headers],[Investor ID]]:LS[[#This Row],[Investor ID]],LS[[#This Row],[Investor ID]])</f>
        <v>6</v>
      </c>
      <c r="I258" s="110" t="str">
        <f>CONCATENATE(LS[[#This Row],[Frequency]],LS[[#This Row],[Investor ID]])</f>
        <v>6A00063</v>
      </c>
      <c r="J258" s="110" t="str">
        <f>IF(LS[[#This Row],[B/S]]="B","BUY",(IF(LS[[#This Row],[B/S]]="S","SELL"," ")))</f>
        <v>SELL</v>
      </c>
      <c r="K258" s="8" t="s">
        <v>866</v>
      </c>
      <c r="L258" s="113">
        <v>-507632.52</v>
      </c>
      <c r="M258" s="113"/>
      <c r="N258" s="175">
        <f>LS[[#This Row],[Amount]]/LS[[#This Row],[Unit]]</f>
        <v>9.9700000000000006</v>
      </c>
      <c r="O258" s="114">
        <f t="shared" si="25"/>
        <v>-50916</v>
      </c>
      <c r="P258" s="114">
        <f>SUMIFS(LS[[#Headers],[Unit]]:LS[[#This Row],[Unit]],LS[[#Headers],[Investor ID]]:LS[[#This Row],[Investor ID]],LS[[#This Row],[Investor ID]])</f>
        <v>0</v>
      </c>
      <c r="Q258" s="113">
        <v>-509160</v>
      </c>
      <c r="R258" s="115">
        <f>LS[[#This Row],[Amount]]-LS[[#This Row],[Unit Capital]]</f>
        <v>1527.4799999999814</v>
      </c>
      <c r="S258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58" s="175">
        <f t="shared" si="26"/>
        <v>12.552</v>
      </c>
      <c r="U258" s="113">
        <f>IF(LS[[#This Row],[B/S]]="B",0,ABS(LS[[#This Row],[Unit]])*(LS[[#This Row],[NAV (Strike Rate)]]-INDEX(LS[NAV at Cost (Average)],MATCH(CONCATENATE(LS[[#This Row],[Frequency]]-1,LS[[#This Row],[Investor ID]]),LS[Unique Code],0),)))</f>
        <v>7632.5200000000141</v>
      </c>
      <c r="V258" s="113" cm="1">
        <f t="array" ref="V258">IF(LS[[#This Row],[B/S]]="S",ABS(LS[[#This Row],[Unit]])*(INDEX(LS[NAV at Cost (Average)],MATCH(CONCATENATE((LS[[#This Row],[Frequency]]-1),LS[[#This Row],[Investor ID]]),LS[Unique Code],0),0)),0)</f>
        <v>500000</v>
      </c>
      <c r="W258" s="113">
        <f>IF(LS[[#This Row],[BO Transfer]]="YES",LS[[#This Row],[Unit]],)</f>
        <v>0</v>
      </c>
      <c r="X258" s="3">
        <f>SUMIFS(LS[[#Headers],[BO UNIT TRANSFER]]:LS[[#This Row],[BO UNIT TRANSFER]],LS[[#Headers],[Investor ID]]:LS[[#This Row],[Investor ID]],LS[[#This Row],[Investor ID]])</f>
        <v>0</v>
      </c>
    </row>
    <row r="259" spans="2:25">
      <c r="B259" s="8">
        <v>2022</v>
      </c>
      <c r="C259" s="110">
        <v>7</v>
      </c>
      <c r="D259" s="110">
        <v>5</v>
      </c>
      <c r="E259" s="298">
        <f>DATE(LS[[#This Row],[Year]],LS[[#This Row],[Month]],LS[[#This Row],[Day]])</f>
        <v>44747</v>
      </c>
      <c r="F259" s="111" t="str" cm="1">
        <f t="array" ref="F259">INDEX(INVESTORS_LIST[INVESTOR NAME],MATCH(LS[[#This Row],[Investor ID]],INVESTORS_LIST[INVESTOR CODE],0),)</f>
        <v>PRATIMA DEV</v>
      </c>
      <c r="G259" s="112" t="s">
        <v>35</v>
      </c>
      <c r="H259" s="110">
        <f>COUNTIF(LS[[#Headers],[Investor ID]]:LS[[#This Row],[Investor ID]],LS[[#This Row],[Investor ID]])</f>
        <v>2</v>
      </c>
      <c r="I259" s="110" t="str">
        <f>CONCATENATE(LS[[#This Row],[Frequency]],LS[[#This Row],[Investor ID]])</f>
        <v>2A00028</v>
      </c>
      <c r="J259" s="110" t="str">
        <f>IF(LS[[#This Row],[B/S]]="B","BUY",(IF(LS[[#This Row],[B/S]]="S","SELL"," ")))</f>
        <v>SELL</v>
      </c>
      <c r="K259" s="8" t="s">
        <v>866</v>
      </c>
      <c r="L259" s="113">
        <v>-997000</v>
      </c>
      <c r="M259" s="113"/>
      <c r="N259" s="175">
        <f>LS[[#This Row],[Amount]]/LS[[#This Row],[Unit]]</f>
        <v>9.9700000000000006</v>
      </c>
      <c r="O259" s="114">
        <f t="shared" si="25"/>
        <v>-100000</v>
      </c>
      <c r="P259" s="114">
        <f>SUMIFS(LS[[#Headers],[Unit]]:LS[[#This Row],[Unit]],LS[[#Headers],[Investor ID]]:LS[[#This Row],[Investor ID]],LS[[#This Row],[Investor ID]])</f>
        <v>0</v>
      </c>
      <c r="Q259" s="113">
        <v>-1000000</v>
      </c>
      <c r="R259" s="115">
        <f>LS[[#This Row],[Amount]]-LS[[#This Row],[Unit Capital]]</f>
        <v>3000</v>
      </c>
      <c r="S259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59" s="175">
        <f t="shared" si="26"/>
        <v>12.552</v>
      </c>
      <c r="U259" s="113">
        <f>IF(LS[[#This Row],[B/S]]="B",0,ABS(LS[[#This Row],[Unit]])*(LS[[#This Row],[NAV (Strike Rate)]]-INDEX(LS[NAV at Cost (Average)],MATCH(CONCATENATE(LS[[#This Row],[Frequency]]-1,LS[[#This Row],[Investor ID]]),LS[Unique Code],0),)))</f>
        <v>-2999.9999999999359</v>
      </c>
      <c r="V259" s="113" cm="1">
        <f t="array" ref="V259">IF(LS[[#This Row],[B/S]]="S",ABS(LS[[#This Row],[Unit]])*(INDEX(LS[NAV at Cost (Average)],MATCH(CONCATENATE((LS[[#This Row],[Frequency]]-1),LS[[#This Row],[Investor ID]]),LS[Unique Code],0),0)),0)</f>
        <v>1000000</v>
      </c>
      <c r="W259" s="113">
        <f>IF(LS[[#This Row],[BO Transfer]]="YES",LS[[#This Row],[Unit]],)</f>
        <v>0</v>
      </c>
      <c r="X259" s="3">
        <f>SUMIFS(LS[[#Headers],[BO UNIT TRANSFER]]:LS[[#This Row],[BO UNIT TRANSFER]],LS[[#Headers],[Investor ID]]:LS[[#This Row],[Investor ID]],LS[[#This Row],[Investor ID]])</f>
        <v>0</v>
      </c>
    </row>
    <row r="260" spans="2:25">
      <c r="B260" s="8">
        <v>2022</v>
      </c>
      <c r="C260" s="110">
        <v>7</v>
      </c>
      <c r="D260" s="110">
        <v>5</v>
      </c>
      <c r="E260" s="298">
        <f>DATE(LS[[#This Row],[Year]],LS[[#This Row],[Month]],LS[[#This Row],[Day]])</f>
        <v>44747</v>
      </c>
      <c r="F260" s="111" t="str" cm="1">
        <f t="array" ref="F260">INDEX(INVESTORS_LIST[INVESTOR NAME],MATCH(LS[[#This Row],[Investor ID]],INVESTORS_LIST[INVESTOR CODE],0),)</f>
        <v>ARIFUR RAHMAN</v>
      </c>
      <c r="G260" s="112" t="s">
        <v>145</v>
      </c>
      <c r="H260" s="110">
        <f>COUNTIF(LS[[#Headers],[Investor ID]]:LS[[#This Row],[Investor ID]],LS[[#This Row],[Investor ID]])</f>
        <v>1</v>
      </c>
      <c r="I260" s="110" t="str">
        <f>CONCATENATE(LS[[#This Row],[Frequency]],LS[[#This Row],[Investor ID]])</f>
        <v>1A00115</v>
      </c>
      <c r="J260" s="110" t="str">
        <f>IF(LS[[#This Row],[B/S]]="B","BUY",(IF(LS[[#This Row],[B/S]]="S","SELL"," ")))</f>
        <v>BUY</v>
      </c>
      <c r="K260" s="8" t="s">
        <v>301</v>
      </c>
      <c r="L260" s="113">
        <v>100000</v>
      </c>
      <c r="M260" s="113"/>
      <c r="N260" s="175">
        <f>LS[[#This Row],[Amount]]/LS[[#This Row],[Unit]]</f>
        <v>9.9700897308075778</v>
      </c>
      <c r="O260" s="114">
        <f t="shared" si="25"/>
        <v>10030</v>
      </c>
      <c r="P260" s="114">
        <f>SUMIFS(LS[[#Headers],[Unit]]:LS[[#This Row],[Unit]],LS[[#Headers],[Investor ID]]:LS[[#This Row],[Investor ID]],LS[[#This Row],[Investor ID]])</f>
        <v>10030</v>
      </c>
      <c r="Q260" s="113">
        <v>100300</v>
      </c>
      <c r="R260" s="115">
        <f>LS[[#This Row],[Amount]]-LS[[#This Row],[Unit Capital]]</f>
        <v>-300</v>
      </c>
      <c r="S260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9.9700897308075778</v>
      </c>
      <c r="T260" s="175">
        <f t="shared" si="26"/>
        <v>12.552</v>
      </c>
      <c r="U260" s="11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60" s="113" cm="1">
        <f t="array" ref="V260">IF(LS[[#This Row],[B/S]]="S",ABS(LS[[#This Row],[Unit]])*(INDEX(LS[NAV at Cost (Average)],MATCH(CONCATENATE((LS[[#This Row],[Frequency]]-1),LS[[#This Row],[Investor ID]]),LS[Unique Code],0),0)),0)</f>
        <v>0</v>
      </c>
      <c r="W260" s="113">
        <f>IF(LS[[#This Row],[BO Transfer]]="YES",LS[[#This Row],[Unit]],)</f>
        <v>0</v>
      </c>
      <c r="X260" s="3">
        <f>SUMIFS(LS[[#Headers],[BO UNIT TRANSFER]]:LS[[#This Row],[BO UNIT TRANSFER]],LS[[#Headers],[Investor ID]]:LS[[#This Row],[Investor ID]],LS[[#This Row],[Investor ID]])</f>
        <v>0</v>
      </c>
    </row>
    <row r="261" spans="2:25">
      <c r="B261" s="8">
        <v>2022</v>
      </c>
      <c r="C261" s="110">
        <v>7</v>
      </c>
      <c r="D261" s="110">
        <v>6</v>
      </c>
      <c r="E261" s="298">
        <f>DATE(LS[[#This Row],[Year]],LS[[#This Row],[Month]],LS[[#This Row],[Day]])</f>
        <v>44748</v>
      </c>
      <c r="F261" s="111" t="str" cm="1">
        <f t="array" ref="F261">INDEX(INVESTORS_LIST[INVESTOR NAME],MATCH(LS[[#This Row],[Investor ID]],INVESTORS_LIST[INVESTOR CODE],0),)</f>
        <v>SHUVA SAHA</v>
      </c>
      <c r="G261" s="112" t="s">
        <v>60</v>
      </c>
      <c r="H261" s="110">
        <f>COUNTIF(LS[[#Headers],[Investor ID]]:LS[[#This Row],[Investor ID]],LS[[#This Row],[Investor ID]])</f>
        <v>3</v>
      </c>
      <c r="I261" s="110" t="str">
        <f>CONCATENATE(LS[[#This Row],[Frequency]],LS[[#This Row],[Investor ID]])</f>
        <v>3A00053</v>
      </c>
      <c r="J261" s="110" t="str">
        <f>IF(LS[[#This Row],[B/S]]="B","BUY",(IF(LS[[#This Row],[B/S]]="S","SELL"," ")))</f>
        <v>SELL</v>
      </c>
      <c r="K261" s="8" t="s">
        <v>866</v>
      </c>
      <c r="L261" s="113">
        <v>-304574</v>
      </c>
      <c r="M261" s="10"/>
      <c r="N261" s="175">
        <f>LS[[#This Row],[Amount]]/LS[[#This Row],[Unit]]</f>
        <v>9.9700153851189892</v>
      </c>
      <c r="O261" s="114">
        <f t="shared" si="25"/>
        <v>-30549</v>
      </c>
      <c r="P261" s="114">
        <f>SUMIFS(LS[[#Headers],[Unit]]:LS[[#This Row],[Unit]],LS[[#Headers],[Investor ID]]:LS[[#This Row],[Investor ID]],LS[[#This Row],[Investor ID]])</f>
        <v>120000</v>
      </c>
      <c r="Q261" s="113">
        <v>-305490</v>
      </c>
      <c r="R261" s="115">
        <f>LS[[#This Row],[Amount]]-LS[[#This Row],[Unit Capital]]</f>
        <v>916</v>
      </c>
      <c r="S261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9.9635334675089169</v>
      </c>
      <c r="T261" s="175">
        <f t="shared" si="26"/>
        <v>12.552</v>
      </c>
      <c r="U261" s="113">
        <f>IF(LS[[#This Row],[B/S]]="B",0,ABS(LS[[#This Row],[Unit]])*(LS[[#This Row],[NAV (Strike Rate)]]-INDEX(LS[NAV at Cost (Average)],MATCH(CONCATENATE(LS[[#This Row],[Frequency]]-1,LS[[#This Row],[Investor ID]]),LS[Unique Code],0),)))</f>
        <v>198.01610107009961</v>
      </c>
      <c r="V261" s="113" cm="1">
        <f t="array" ref="V261">IF(LS[[#This Row],[B/S]]="S",ABS(LS[[#This Row],[Unit]])*(INDEX(LS[NAV at Cost (Average)],MATCH(CONCATENATE((LS[[#This Row],[Frequency]]-1),LS[[#This Row],[Investor ID]]),LS[Unique Code],0),0)),0)</f>
        <v>304375.9838989299</v>
      </c>
      <c r="W261" s="113">
        <f>IF(LS[[#This Row],[BO Transfer]]="YES",LS[[#This Row],[Unit]],)</f>
        <v>0</v>
      </c>
      <c r="X261" s="3">
        <f>SUMIFS(LS[[#Headers],[BO UNIT TRANSFER]]:LS[[#This Row],[BO UNIT TRANSFER]],LS[[#Headers],[Investor ID]]:LS[[#This Row],[Investor ID]],LS[[#This Row],[Investor ID]])</f>
        <v>0</v>
      </c>
      <c r="Y261">
        <f>-LS[[#This Row],[Unit Capital]]</f>
        <v>305490</v>
      </c>
    </row>
    <row r="262" spans="2:25">
      <c r="B262" s="8">
        <v>2022</v>
      </c>
      <c r="C262" s="110">
        <v>7</v>
      </c>
      <c r="D262" s="110">
        <v>6</v>
      </c>
      <c r="E262" s="298">
        <f>DATE(LS[[#This Row],[Year]],LS[[#This Row],[Month]],LS[[#This Row],[Day]])</f>
        <v>44748</v>
      </c>
      <c r="F262" s="111" t="str" cm="1">
        <f t="array" ref="F262">INDEX(INVESTORS_LIST[INVESTOR NAME],MATCH(LS[[#This Row],[Investor ID]],INVESTORS_LIST[INVESTOR CODE],0),)</f>
        <v>EKUSH WEALTH MANAGEMENT LIMITED</v>
      </c>
      <c r="G262" s="112" t="s">
        <v>4</v>
      </c>
      <c r="H262" s="110">
        <f>COUNTIF(LS[[#Headers],[Investor ID]]:LS[[#This Row],[Investor ID]],LS[[#This Row],[Investor ID]])</f>
        <v>9</v>
      </c>
      <c r="I262" s="110" t="str">
        <f>CONCATENATE(LS[[#This Row],[Frequency]],LS[[#This Row],[Investor ID]])</f>
        <v>9A00003</v>
      </c>
      <c r="J262" s="110" t="str">
        <f>IF(LS[[#This Row],[B/S]]="B","BUY",(IF(LS[[#This Row],[B/S]]="S","SELL"," ")))</f>
        <v>SELL</v>
      </c>
      <c r="K262" s="8" t="s">
        <v>866</v>
      </c>
      <c r="L262" s="113">
        <v>-406108.01</v>
      </c>
      <c r="M262" s="113"/>
      <c r="N262" s="175">
        <f>LS[[#This Row],[Amount]]/LS[[#This Row],[Unit]]</f>
        <v>9.9700000000000006</v>
      </c>
      <c r="O262" s="114">
        <f t="shared" si="25"/>
        <v>-40733</v>
      </c>
      <c r="P262" s="114">
        <f>SUMIFS(LS[[#Headers],[Unit]]:LS[[#This Row],[Unit]],LS[[#Headers],[Investor ID]]:LS[[#This Row],[Investor ID]],LS[[#This Row],[Investor ID]])</f>
        <v>2500000</v>
      </c>
      <c r="Q262" s="113">
        <v>-407330</v>
      </c>
      <c r="R262" s="115">
        <f>LS[[#This Row],[Amount]]-LS[[#This Row],[Unit Capital]]</f>
        <v>1221.9899999999907</v>
      </c>
      <c r="S262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9.9716589295908644</v>
      </c>
      <c r="T262" s="175">
        <f t="shared" si="26"/>
        <v>12.552</v>
      </c>
      <c r="U262" s="113">
        <f>IF(LS[[#This Row],[B/S]]="B",0,ABS(LS[[#This Row],[Unit]])*(LS[[#This Row],[NAV (Strike Rate)]]-INDEX(LS[NAV at Cost (Average)],MATCH(CONCATENATE(LS[[#This Row],[Frequency]]-1,LS[[#This Row],[Investor ID]]),LS[Unique Code],0),)))</f>
        <v>-67.573179024654266</v>
      </c>
      <c r="V262" s="113" cm="1">
        <f t="array" ref="V262">IF(LS[[#This Row],[B/S]]="S",ABS(LS[[#This Row],[Unit]])*(INDEX(LS[NAV at Cost (Average)],MATCH(CONCATENATE((LS[[#This Row],[Frequency]]-1),LS[[#This Row],[Investor ID]]),LS[Unique Code],0),0)),0)</f>
        <v>406175.58317902469</v>
      </c>
      <c r="W262" s="113">
        <f>IF(LS[[#This Row],[BO Transfer]]="YES",LS[[#This Row],[Unit]],)</f>
        <v>0</v>
      </c>
      <c r="X262" s="3">
        <f>SUMIFS(LS[[#Headers],[BO UNIT TRANSFER]]:LS[[#This Row],[BO UNIT TRANSFER]],LS[[#Headers],[Investor ID]]:LS[[#This Row],[Investor ID]],LS[[#This Row],[Investor ID]])</f>
        <v>0</v>
      </c>
      <c r="Y262">
        <f>-LS[[#This Row],[Unit Capital]]</f>
        <v>407330</v>
      </c>
    </row>
    <row r="263" spans="2:25">
      <c r="B263" s="8">
        <v>2022</v>
      </c>
      <c r="C263" s="110">
        <v>7</v>
      </c>
      <c r="D263" s="110">
        <v>6</v>
      </c>
      <c r="E263" s="298">
        <f>DATE(LS[[#This Row],[Year]],LS[[#This Row],[Month]],LS[[#This Row],[Day]])</f>
        <v>44748</v>
      </c>
      <c r="F263" s="111" t="str" cm="1">
        <f t="array" ref="F263">INDEX(INVESTORS_LIST[INVESTOR NAME],MATCH(LS[[#This Row],[Investor ID]],INVESTORS_LIST[INVESTOR CODE],0),)</f>
        <v>ANIK KUMAR GUPTA</v>
      </c>
      <c r="G263" s="112" t="s">
        <v>708</v>
      </c>
      <c r="H263" s="110">
        <f>COUNTIF(LS[[#Headers],[Investor ID]]:LS[[#This Row],[Investor ID]],LS[[#This Row],[Investor ID]])</f>
        <v>3</v>
      </c>
      <c r="I263" s="110" t="str">
        <f>CONCATENATE(LS[[#This Row],[Frequency]],LS[[#This Row],[Investor ID]])</f>
        <v>3A00381</v>
      </c>
      <c r="J263" s="110" t="str">
        <f>IF(LS[[#This Row],[B/S]]="B","BUY",(IF(LS[[#This Row],[B/S]]="S","SELL"," ")))</f>
        <v>SELL</v>
      </c>
      <c r="K263" s="8" t="s">
        <v>866</v>
      </c>
      <c r="L263" s="113">
        <v>-9989.94</v>
      </c>
      <c r="M263" s="113"/>
      <c r="N263" s="175">
        <f>LS[[#This Row],[Amount]]/LS[[#This Row],[Unit]]</f>
        <v>9.9700000000000006</v>
      </c>
      <c r="O263" s="114">
        <f t="shared" si="25"/>
        <v>-1002</v>
      </c>
      <c r="P263" s="114">
        <f>SUMIFS(LS[[#Headers],[Unit]]:LS[[#This Row],[Unit]],LS[[#Headers],[Investor ID]]:LS[[#This Row],[Investor ID]],LS[[#This Row],[Investor ID]])</f>
        <v>0</v>
      </c>
      <c r="Q263" s="113">
        <v>-10020</v>
      </c>
      <c r="R263" s="115">
        <f>LS[[#This Row],[Amount]]-LS[[#This Row],[Unit Capital]]</f>
        <v>30.059999999999491</v>
      </c>
      <c r="S263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63" s="175">
        <f t="shared" si="26"/>
        <v>12.552</v>
      </c>
      <c r="U263" s="113">
        <f>IF(LS[[#This Row],[B/S]]="B",0,ABS(LS[[#This Row],[Unit]])*(LS[[#This Row],[NAV (Strike Rate)]]-INDEX(LS[NAV at Cost (Average)],MATCH(CONCATENATE(LS[[#This Row],[Frequency]]-1,LS[[#This Row],[Investor ID]]),LS[Unique Code],0),)))</f>
        <v>-10.059999999998386</v>
      </c>
      <c r="V263" s="113" cm="1">
        <f t="array" ref="V263">IF(LS[[#This Row],[B/S]]="S",ABS(LS[[#This Row],[Unit]])*(INDEX(LS[NAV at Cost (Average)],MATCH(CONCATENATE((LS[[#This Row],[Frequency]]-1),LS[[#This Row],[Investor ID]]),LS[Unique Code],0),0)),0)</f>
        <v>9999.9999999999982</v>
      </c>
      <c r="W263" s="113">
        <f>IF(LS[[#This Row],[BO Transfer]]="YES",LS[[#This Row],[Unit]],)</f>
        <v>0</v>
      </c>
      <c r="X263" s="3">
        <f>SUMIFS(LS[[#Headers],[BO UNIT TRANSFER]]:LS[[#This Row],[BO UNIT TRANSFER]],LS[[#Headers],[Investor ID]]:LS[[#This Row],[Investor ID]],LS[[#This Row],[Investor ID]])</f>
        <v>0</v>
      </c>
      <c r="Y263">
        <f>-LS[[#This Row],[Unit Capital]]</f>
        <v>10020</v>
      </c>
    </row>
    <row r="264" spans="2:25">
      <c r="B264" s="8">
        <v>2022</v>
      </c>
      <c r="C264" s="110">
        <v>7</v>
      </c>
      <c r="D264" s="110">
        <v>7</v>
      </c>
      <c r="E264" s="298">
        <f>DATE(LS[[#This Row],[Year]],LS[[#This Row],[Month]],LS[[#This Row],[Day]])</f>
        <v>44749</v>
      </c>
      <c r="F264" s="111" t="str" cm="1">
        <f t="array" ref="F264">INDEX(INVESTORS_LIST[INVESTOR NAME],MATCH(LS[[#This Row],[Investor ID]],INVESTORS_LIST[INVESTOR CODE],0),)</f>
        <v>HABIB REDWAN RAFI</v>
      </c>
      <c r="G264" s="112" t="s">
        <v>391</v>
      </c>
      <c r="H264" s="110">
        <f>COUNTIF(LS[[#Headers],[Investor ID]]:LS[[#This Row],[Investor ID]],LS[[#This Row],[Investor ID]])</f>
        <v>2</v>
      </c>
      <c r="I264" s="110" t="str">
        <f>CONCATENATE(LS[[#This Row],[Frequency]],LS[[#This Row],[Investor ID]])</f>
        <v>2A00267</v>
      </c>
      <c r="J264" s="110" t="str">
        <f>IF(LS[[#This Row],[B/S]]="B","BUY",(IF(LS[[#This Row],[B/S]]="S","SELL"," ")))</f>
        <v>SELL</v>
      </c>
      <c r="K264" s="8" t="s">
        <v>866</v>
      </c>
      <c r="L264" s="113">
        <v>-203058.99</v>
      </c>
      <c r="M264" s="113"/>
      <c r="N264" s="175">
        <f>LS[[#This Row],[Amount]]/LS[[#This Row],[Unit]]</f>
        <v>9.9699999999999989</v>
      </c>
      <c r="O264" s="114">
        <f t="shared" si="25"/>
        <v>-20367</v>
      </c>
      <c r="P264" s="114">
        <f>SUMIFS(LS[[#Headers],[Unit]]:LS[[#This Row],[Unit]],LS[[#Headers],[Investor ID]]:LS[[#This Row],[Investor ID]],LS[[#This Row],[Investor ID]])</f>
        <v>0</v>
      </c>
      <c r="Q264" s="113">
        <v>-203670</v>
      </c>
      <c r="R264" s="115">
        <f>LS[[#This Row],[Amount]]-LS[[#This Row],[Unit Capital]]</f>
        <v>611.01000000000931</v>
      </c>
      <c r="S264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64" s="175">
        <f t="shared" si="26"/>
        <v>12.552</v>
      </c>
      <c r="U264" s="113">
        <f>IF(LS[[#This Row],[B/S]]="B",0,ABS(LS[[#This Row],[Unit]])*(LS[[#This Row],[NAV (Strike Rate)]]-INDEX(LS[NAV at Cost (Average)],MATCH(CONCATENATE(LS[[#This Row],[Frequency]]-1,LS[[#This Row],[Investor ID]]),LS[Unique Code],0),)))</f>
        <v>3058.9899999999893</v>
      </c>
      <c r="V264" s="113" cm="1">
        <f t="array" ref="V264">IF(LS[[#This Row],[B/S]]="S",ABS(LS[[#This Row],[Unit]])*(INDEX(LS[NAV at Cost (Average)],MATCH(CONCATENATE((LS[[#This Row],[Frequency]]-1),LS[[#This Row],[Investor ID]]),LS[Unique Code],0),0)),0)</f>
        <v>200000</v>
      </c>
      <c r="W264" s="113">
        <f>IF(LS[[#This Row],[BO Transfer]]="YES",LS[[#This Row],[Unit]],)</f>
        <v>0</v>
      </c>
      <c r="X264" s="3">
        <f>SUMIFS(LS[[#Headers],[BO UNIT TRANSFER]]:LS[[#This Row],[BO UNIT TRANSFER]],LS[[#Headers],[Investor ID]]:LS[[#This Row],[Investor ID]],LS[[#This Row],[Investor ID]])</f>
        <v>0</v>
      </c>
      <c r="Y264">
        <f>-LS[[#This Row],[Unit Capital]]</f>
        <v>203670</v>
      </c>
    </row>
    <row r="265" spans="2:25">
      <c r="B265" s="8">
        <v>2022</v>
      </c>
      <c r="C265" s="110">
        <v>7</v>
      </c>
      <c r="D265" s="110">
        <v>7</v>
      </c>
      <c r="E265" s="298">
        <f>DATE(LS[[#This Row],[Year]],LS[[#This Row],[Month]],LS[[#This Row],[Day]])</f>
        <v>44749</v>
      </c>
      <c r="F265" s="111" t="str" cm="1">
        <f t="array" ref="F265">INDEX(INVESTORS_LIST[INVESTOR NAME],MATCH(LS[[#This Row],[Investor ID]],INVESTORS_LIST[INVESTOR CODE],0),)</f>
        <v>MUHAMMAD TANVIR ARAFAT</v>
      </c>
      <c r="G265" s="112" t="s">
        <v>234</v>
      </c>
      <c r="H265" s="110">
        <f>COUNTIF(LS[[#Headers],[Investor ID]]:LS[[#This Row],[Investor ID]],LS[[#This Row],[Investor ID]])</f>
        <v>2</v>
      </c>
      <c r="I265" s="110" t="str">
        <f>CONCATENATE(LS[[#This Row],[Frequency]],LS[[#This Row],[Investor ID]])</f>
        <v>2A00196</v>
      </c>
      <c r="J265" s="110" t="str">
        <f>IF(LS[[#This Row],[B/S]]="B","BUY",(IF(LS[[#This Row],[B/S]]="S","SELL"," ")))</f>
        <v>SELL</v>
      </c>
      <c r="K265" s="8" t="s">
        <v>866</v>
      </c>
      <c r="L265" s="113">
        <v>-59820</v>
      </c>
      <c r="M265" s="113"/>
      <c r="N265" s="175">
        <f>LS[[#This Row],[Amount]]/LS[[#This Row],[Unit]]</f>
        <v>9.9700000000000006</v>
      </c>
      <c r="O265" s="114">
        <f t="shared" si="25"/>
        <v>-6000</v>
      </c>
      <c r="P265" s="114">
        <f>SUMIFS(LS[[#Headers],[Unit]]:LS[[#This Row],[Unit]],LS[[#Headers],[Investor ID]]:LS[[#This Row],[Investor ID]],LS[[#This Row],[Investor ID]])</f>
        <v>0</v>
      </c>
      <c r="Q265" s="113">
        <v>-60000</v>
      </c>
      <c r="R265" s="115">
        <f>LS[[#This Row],[Amount]]-LS[[#This Row],[Unit Capital]]</f>
        <v>180</v>
      </c>
      <c r="S265" s="175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65" s="175">
        <f t="shared" si="26"/>
        <v>12.552</v>
      </c>
      <c r="U265" s="113">
        <f>IF(LS[[#This Row],[B/S]]="B",0,ABS(LS[[#This Row],[Unit]])*(LS[[#This Row],[NAV (Strike Rate)]]-INDEX(LS[NAV at Cost (Average)],MATCH(CONCATENATE(LS[[#This Row],[Frequency]]-1,LS[[#This Row],[Investor ID]]),LS[Unique Code],0),)))</f>
        <v>-179.99999999999616</v>
      </c>
      <c r="V265" s="113" cm="1">
        <f t="array" ref="V265">IF(LS[[#This Row],[B/S]]="S",ABS(LS[[#This Row],[Unit]])*(INDEX(LS[NAV at Cost (Average)],MATCH(CONCATENATE((LS[[#This Row],[Frequency]]-1),LS[[#This Row],[Investor ID]]),LS[Unique Code],0),0)),0)</f>
        <v>60000</v>
      </c>
      <c r="W265" s="113">
        <f>IF(LS[[#This Row],[BO Transfer]]="YES",LS[[#This Row],[Unit]],)</f>
        <v>0</v>
      </c>
      <c r="X265" s="3">
        <f>SUMIFS(LS[[#Headers],[BO UNIT TRANSFER]]:LS[[#This Row],[BO UNIT TRANSFER]],LS[[#Headers],[Investor ID]]:LS[[#This Row],[Investor ID]],LS[[#This Row],[Investor ID]])</f>
        <v>0</v>
      </c>
      <c r="Y265">
        <f>-LS[[#This Row],[Unit Capital]]</f>
        <v>60000</v>
      </c>
    </row>
    <row r="266" spans="2:25">
      <c r="B266" s="8">
        <v>2022</v>
      </c>
      <c r="C266" s="110">
        <v>7</v>
      </c>
      <c r="D266" s="110">
        <v>13</v>
      </c>
      <c r="E266" s="291">
        <f>DATE(LS[[#This Row],[Year]],LS[[#This Row],[Month]],LS[[#This Row],[Day]])</f>
        <v>44755</v>
      </c>
      <c r="F266" t="str" cm="1">
        <f t="array" ref="F266">INDEX(INVESTORS_LIST[INVESTOR NAME],MATCH(LS[[#This Row],[Investor ID]],INVESTORS_LIST[INVESTOR CODE],0),)</f>
        <v>MAZED AHMED ABDULLAH</v>
      </c>
      <c r="G266" s="19" t="s">
        <v>913</v>
      </c>
      <c r="H266" s="8">
        <f>COUNTIF(LS[[#Headers],[Investor ID]]:LS[[#This Row],[Investor ID]],LS[[#This Row],[Investor ID]])</f>
        <v>3</v>
      </c>
      <c r="I266" s="8" t="str">
        <f>CONCATENATE(LS[[#This Row],[Frequency]],LS[[#This Row],[Investor ID]])</f>
        <v>3A00419</v>
      </c>
      <c r="J266" s="8" t="str">
        <f>IF(LS[[#This Row],[B/S]]="B","BUY",(IF(LS[[#This Row],[B/S]]="S","SELL"," ")))</f>
        <v>SELL</v>
      </c>
      <c r="K266" s="8" t="s">
        <v>866</v>
      </c>
      <c r="L266" s="10">
        <v>-250000</v>
      </c>
      <c r="M266" s="10"/>
      <c r="N266" s="168">
        <f>LS[[#This Row],[Amount]]/LS[[#This Row],[Unit]]</f>
        <v>9.8998138834989895</v>
      </c>
      <c r="O266" s="11">
        <f t="shared" ref="O266:O272" si="27">Q266/10</f>
        <v>-25253</v>
      </c>
      <c r="P266" s="11">
        <f>SUMIFS(LS[[#Headers],[Unit]]:LS[[#This Row],[Unit]],LS[[#Headers],[Investor ID]]:LS[[#This Row],[Investor ID]],LS[[#This Row],[Investor ID]])</f>
        <v>10378</v>
      </c>
      <c r="Q266" s="10">
        <v>-252530</v>
      </c>
      <c r="R266" s="6">
        <f>LS[[#This Row],[Amount]]-LS[[#This Row],[Unit Capital]]</f>
        <v>2530</v>
      </c>
      <c r="S26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9.8229070191687011</v>
      </c>
      <c r="T266" s="168">
        <f t="shared" ref="T266:T280" si="28">IFERROR(NAV_MKT,0)</f>
        <v>12.552</v>
      </c>
      <c r="U266" s="10">
        <f>IF(LS[[#This Row],[B/S]]="B",0,ABS(LS[[#This Row],[Unit]])*(LS[[#This Row],[NAV (Strike Rate)]]-INDEX(LS[NAV at Cost (Average)],MATCH(CONCATENATE(LS[[#This Row],[Frequency]]-1,LS[[#This Row],[Investor ID]]),LS[Unique Code],0),)))</f>
        <v>1942.1290449327723</v>
      </c>
      <c r="V266" s="10" cm="1">
        <f t="array" ref="V266">IF(LS[[#This Row],[B/S]]="S",ABS(LS[[#This Row],[Unit]])*(INDEX(LS[NAV at Cost (Average)],MATCH(CONCATENATE((LS[[#This Row],[Frequency]]-1),LS[[#This Row],[Investor ID]]),LS[Unique Code],0),0)),0)</f>
        <v>248057.87095506722</v>
      </c>
      <c r="W266" s="10">
        <f>IF(LS[[#This Row],[BO Transfer]]="YES",LS[[#This Row],[Unit]],)</f>
        <v>0</v>
      </c>
      <c r="X266" s="3">
        <f>SUMIFS(LS[[#Headers],[BO UNIT TRANSFER]]:LS[[#This Row],[BO UNIT TRANSFER]],LS[[#Headers],[Investor ID]]:LS[[#This Row],[Investor ID]],LS[[#This Row],[Investor ID]])</f>
        <v>0</v>
      </c>
    </row>
    <row r="267" spans="2:25">
      <c r="B267" s="8">
        <v>2022</v>
      </c>
      <c r="C267" s="110">
        <v>7</v>
      </c>
      <c r="D267" s="110">
        <v>14</v>
      </c>
      <c r="E267" s="291">
        <f>DATE(LS[[#This Row],[Year]],LS[[#This Row],[Month]],LS[[#This Row],[Day]])</f>
        <v>44756</v>
      </c>
      <c r="F267" t="str" cm="1">
        <f t="array" ref="F267">INDEX(INVESTORS_LIST[INVESTOR NAME],MATCH(LS[[#This Row],[Investor ID]],INVESTORS_LIST[INVESTOR CODE],0),)</f>
        <v>NASRIN AHMED HELA</v>
      </c>
      <c r="G267" s="19" t="s">
        <v>935</v>
      </c>
      <c r="H267" s="8">
        <f>COUNTIF(LS[[#Headers],[Investor ID]]:LS[[#This Row],[Investor ID]],LS[[#This Row],[Investor ID]])</f>
        <v>3</v>
      </c>
      <c r="I267" s="8" t="str">
        <f>CONCATENATE(LS[[#This Row],[Frequency]],LS[[#This Row],[Investor ID]])</f>
        <v>3A00428</v>
      </c>
      <c r="J267" s="8" t="str">
        <f>IF(LS[[#This Row],[B/S]]="B","BUY",(IF(LS[[#This Row],[B/S]]="S","SELL"," ")))</f>
        <v>SELL</v>
      </c>
      <c r="K267" s="8" t="s">
        <v>866</v>
      </c>
      <c r="L267" s="10">
        <v>-300000</v>
      </c>
      <c r="M267" s="10"/>
      <c r="N267" s="168">
        <f>LS[[#This Row],[Amount]]/LS[[#This Row],[Unit]]</f>
        <v>9.9000099000099002</v>
      </c>
      <c r="O267" s="11">
        <f t="shared" si="27"/>
        <v>-30303</v>
      </c>
      <c r="P267" s="11">
        <f>SUMIFS(LS[[#Headers],[Unit]]:LS[[#This Row],[Unit]],LS[[#Headers],[Investor ID]]:LS[[#This Row],[Investor ID]],LS[[#This Row],[Investor ID]])</f>
        <v>10431</v>
      </c>
      <c r="Q267" s="10">
        <v>-303030</v>
      </c>
      <c r="R267" s="6">
        <f>LS[[#This Row],[Amount]]-LS[[#This Row],[Unit Capital]]</f>
        <v>3030</v>
      </c>
      <c r="S26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9.8198065498109681</v>
      </c>
      <c r="T267" s="168">
        <f t="shared" si="28"/>
        <v>12.552</v>
      </c>
      <c r="U267" s="10">
        <f>IF(LS[[#This Row],[B/S]]="B",0,ABS(LS[[#This Row],[Unit]])*(LS[[#This Row],[NAV (Strike Rate)]]-INDEX(LS[NAV at Cost (Average)],MATCH(CONCATENATE(LS[[#This Row],[Frequency]]-1,LS[[#This Row],[Investor ID]]),LS[Unique Code],0),)))</f>
        <v>2430.4021210782394</v>
      </c>
      <c r="V267" s="10" cm="1">
        <f t="array" ref="V267">IF(LS[[#This Row],[B/S]]="S",ABS(LS[[#This Row],[Unit]])*(INDEX(LS[NAV at Cost (Average)],MATCH(CONCATENATE((LS[[#This Row],[Frequency]]-1),LS[[#This Row],[Investor ID]]),LS[Unique Code],0),0)),0)</f>
        <v>297569.59787892178</v>
      </c>
      <c r="W267" s="10">
        <f>IF(LS[[#This Row],[BO Transfer]]="YES",LS[[#This Row],[Unit]],)</f>
        <v>0</v>
      </c>
      <c r="X267" s="3">
        <f>SUMIFS(LS[[#Headers],[BO UNIT TRANSFER]]:LS[[#This Row],[BO UNIT TRANSFER]],LS[[#Headers],[Investor ID]]:LS[[#This Row],[Investor ID]],LS[[#This Row],[Investor ID]])</f>
        <v>0</v>
      </c>
    </row>
    <row r="268" spans="2:25">
      <c r="B268" s="8">
        <v>2022</v>
      </c>
      <c r="C268" s="110">
        <v>7</v>
      </c>
      <c r="D268" s="110">
        <v>19</v>
      </c>
      <c r="E268" s="291">
        <f>DATE(LS[[#This Row],[Year]],LS[[#This Row],[Month]],LS[[#This Row],[Day]])</f>
        <v>44761</v>
      </c>
      <c r="F268" t="str" cm="1">
        <f t="array" ref="F268">INDEX(INVESTORS_LIST[INVESTOR NAME],MATCH(LS[[#This Row],[Investor ID]],INVESTORS_LIST[INVESTOR CODE],0),)</f>
        <v>IMTIAJ ARA</v>
      </c>
      <c r="G268" s="19" t="s">
        <v>394</v>
      </c>
      <c r="H268" s="8">
        <f>COUNTIF(LS[[#Headers],[Investor ID]]:LS[[#This Row],[Investor ID]],LS[[#This Row],[Investor ID]])</f>
        <v>2</v>
      </c>
      <c r="I268" s="8" t="str">
        <f>CONCATENATE(LS[[#This Row],[Frequency]],LS[[#This Row],[Investor ID]])</f>
        <v>2A00269</v>
      </c>
      <c r="J268" s="8" t="str">
        <f>IF(LS[[#This Row],[B/S]]="B","BUY",(IF(LS[[#This Row],[B/S]]="S","SELL"," ")))</f>
        <v>SELL</v>
      </c>
      <c r="K268" s="8" t="s">
        <v>866</v>
      </c>
      <c r="L268" s="10">
        <v>-403256.7</v>
      </c>
      <c r="M268" s="10"/>
      <c r="N268" s="168">
        <f>LS[[#This Row],[Amount]]/LS[[#This Row],[Unit]]</f>
        <v>9.9</v>
      </c>
      <c r="O268" s="11">
        <f t="shared" si="27"/>
        <v>-40733</v>
      </c>
      <c r="P268" s="11">
        <f>SUMIFS(LS[[#Headers],[Unit]]:LS[[#This Row],[Unit]],LS[[#Headers],[Investor ID]]:LS[[#This Row],[Investor ID]],LS[[#This Row],[Investor ID]])</f>
        <v>0</v>
      </c>
      <c r="Q268" s="10">
        <v>-407330</v>
      </c>
      <c r="R268" s="6">
        <f>LS[[#This Row],[Amount]]-LS[[#This Row],[Unit Capital]]</f>
        <v>4073.2999999999884</v>
      </c>
      <c r="S26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68" s="168">
        <f t="shared" si="28"/>
        <v>12.552</v>
      </c>
      <c r="U268" s="10">
        <f>IF(LS[[#This Row],[B/S]]="B",0,ABS(LS[[#This Row],[Unit]])*(LS[[#This Row],[NAV (Strike Rate)]]-INDEX(LS[NAV at Cost (Average)],MATCH(CONCATENATE(LS[[#This Row],[Frequency]]-1,LS[[#This Row],[Investor ID]]),LS[Unique Code],0),)))</f>
        <v>3256.7000000000444</v>
      </c>
      <c r="V268" s="10" cm="1">
        <f t="array" ref="V268">IF(LS[[#This Row],[B/S]]="S",ABS(LS[[#This Row],[Unit]])*(INDEX(LS[NAV at Cost (Average)],MATCH(CONCATENATE((LS[[#This Row],[Frequency]]-1),LS[[#This Row],[Investor ID]]),LS[Unique Code],0),0)),0)</f>
        <v>399999.99999999994</v>
      </c>
      <c r="W268" s="10">
        <f>IF(LS[[#This Row],[BO Transfer]]="YES",LS[[#This Row],[Unit]],)</f>
        <v>0</v>
      </c>
      <c r="X268" s="3">
        <f>SUMIFS(LS[[#Headers],[BO UNIT TRANSFER]]:LS[[#This Row],[BO UNIT TRANSFER]],LS[[#Headers],[Investor ID]]:LS[[#This Row],[Investor ID]],LS[[#This Row],[Investor ID]])</f>
        <v>0</v>
      </c>
    </row>
    <row r="269" spans="2:25">
      <c r="B269" s="8">
        <v>2022</v>
      </c>
      <c r="C269" s="110">
        <v>7</v>
      </c>
      <c r="D269" s="110">
        <v>19</v>
      </c>
      <c r="E269" s="291">
        <f>DATE(LS[[#This Row],[Year]],LS[[#This Row],[Month]],LS[[#This Row],[Day]])</f>
        <v>44761</v>
      </c>
      <c r="F269" t="str" cm="1">
        <f t="array" ref="F269">INDEX(INVESTORS_LIST[INVESTOR NAME],MATCH(LS[[#This Row],[Investor ID]],INVESTORS_LIST[INVESTOR CODE],0),)</f>
        <v>NADIRA AKTER</v>
      </c>
      <c r="G269" s="19" t="s">
        <v>395</v>
      </c>
      <c r="H269" s="8">
        <f>COUNTIF(LS[[#Headers],[Investor ID]]:LS[[#This Row],[Investor ID]],LS[[#This Row],[Investor ID]])</f>
        <v>2</v>
      </c>
      <c r="I269" s="8" t="str">
        <f>CONCATENATE(LS[[#This Row],[Frequency]],LS[[#This Row],[Investor ID]])</f>
        <v>2A00270</v>
      </c>
      <c r="J269" s="8" t="str">
        <f>IF(LS[[#This Row],[B/S]]="B","BUY",(IF(LS[[#This Row],[B/S]]="S","SELL"," ")))</f>
        <v>SELL</v>
      </c>
      <c r="K269" s="8" t="s">
        <v>866</v>
      </c>
      <c r="L269" s="10">
        <v>-403256.7</v>
      </c>
      <c r="M269" s="10"/>
      <c r="N269" s="168">
        <f>LS[[#This Row],[Amount]]/LS[[#This Row],[Unit]]</f>
        <v>9.9</v>
      </c>
      <c r="O269" s="11">
        <f t="shared" si="27"/>
        <v>-40733</v>
      </c>
      <c r="P269" s="11">
        <f>SUMIFS(LS[[#Headers],[Unit]]:LS[[#This Row],[Unit]],LS[[#Headers],[Investor ID]]:LS[[#This Row],[Investor ID]],LS[[#This Row],[Investor ID]])</f>
        <v>0</v>
      </c>
      <c r="Q269" s="10">
        <v>-407330</v>
      </c>
      <c r="R269" s="6">
        <f>LS[[#This Row],[Amount]]-LS[[#This Row],[Unit Capital]]</f>
        <v>4073.2999999999884</v>
      </c>
      <c r="S26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69" s="168">
        <f t="shared" si="28"/>
        <v>12.552</v>
      </c>
      <c r="U269" s="10">
        <f>IF(LS[[#This Row],[B/S]]="B",0,ABS(LS[[#This Row],[Unit]])*(LS[[#This Row],[NAV (Strike Rate)]]-INDEX(LS[NAV at Cost (Average)],MATCH(CONCATENATE(LS[[#This Row],[Frequency]]-1,LS[[#This Row],[Investor ID]]),LS[Unique Code],0),)))</f>
        <v>3256.7000000000444</v>
      </c>
      <c r="V269" s="10" cm="1">
        <f t="array" ref="V269">IF(LS[[#This Row],[B/S]]="S",ABS(LS[[#This Row],[Unit]])*(INDEX(LS[NAV at Cost (Average)],MATCH(CONCATENATE((LS[[#This Row],[Frequency]]-1),LS[[#This Row],[Investor ID]]),LS[Unique Code],0),0)),0)</f>
        <v>399999.99999999994</v>
      </c>
      <c r="W269" s="10">
        <f>IF(LS[[#This Row],[BO Transfer]]="YES",LS[[#This Row],[Unit]],)</f>
        <v>0</v>
      </c>
      <c r="X269" s="3">
        <f>SUMIFS(LS[[#Headers],[BO UNIT TRANSFER]]:LS[[#This Row],[BO UNIT TRANSFER]],LS[[#Headers],[Investor ID]]:LS[[#This Row],[Investor ID]],LS[[#This Row],[Investor ID]])</f>
        <v>0</v>
      </c>
    </row>
    <row r="270" spans="2:25">
      <c r="B270" s="8">
        <v>2022</v>
      </c>
      <c r="C270" s="110">
        <v>7</v>
      </c>
      <c r="D270" s="110">
        <v>19</v>
      </c>
      <c r="E270" s="291">
        <f>DATE(LS[[#This Row],[Year]],LS[[#This Row],[Month]],LS[[#This Row],[Day]])</f>
        <v>44761</v>
      </c>
      <c r="F270" t="str" cm="1">
        <f t="array" ref="F270">INDEX(INVESTORS_LIST[INVESTOR NAME],MATCH(LS[[#This Row],[Investor ID]],INVESTORS_LIST[INVESTOR CODE],0),)</f>
        <v>ROKSABA KASEM</v>
      </c>
      <c r="G270" s="19" t="s">
        <v>933</v>
      </c>
      <c r="H270" s="8">
        <f>COUNTIF(LS[[#Headers],[Investor ID]]:LS[[#This Row],[Investor ID]],LS[[#This Row],[Investor ID]])</f>
        <v>2</v>
      </c>
      <c r="I270" s="8" t="str">
        <f>CONCATENATE(LS[[#This Row],[Frequency]],LS[[#This Row],[Investor ID]])</f>
        <v>2A00427</v>
      </c>
      <c r="J270" s="8" t="str">
        <f>IF(LS[[#This Row],[B/S]]="B","BUY",(IF(LS[[#This Row],[B/S]]="S","SELL"," ")))</f>
        <v>SELL</v>
      </c>
      <c r="K270" s="8" t="s">
        <v>866</v>
      </c>
      <c r="L270" s="10">
        <v>-502540.92</v>
      </c>
      <c r="M270" s="3" t="s">
        <v>957</v>
      </c>
      <c r="N270" s="168">
        <f>LS[[#This Row],[Amount]]/LS[[#This Row],[Unit]]</f>
        <v>9.8699999999999992</v>
      </c>
      <c r="O270" s="11">
        <f t="shared" si="27"/>
        <v>-50916</v>
      </c>
      <c r="P270" s="11">
        <f>SUMIFS(LS[[#Headers],[Unit]]:LS[[#This Row],[Unit]],LS[[#Headers],[Investor ID]]:LS[[#This Row],[Investor ID]],LS[[#This Row],[Investor ID]])</f>
        <v>0</v>
      </c>
      <c r="Q270" s="10">
        <v>-509160</v>
      </c>
      <c r="R270" s="6">
        <f>LS[[#This Row],[Amount]]-LS[[#This Row],[Unit Capital]]</f>
        <v>6619.0800000000163</v>
      </c>
      <c r="S27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70" s="168">
        <f t="shared" si="28"/>
        <v>12.552</v>
      </c>
      <c r="U270" s="10">
        <f>IF(LS[[#This Row],[B/S]]="B",0,ABS(LS[[#This Row],[Unit]])*(LS[[#This Row],[NAV (Strike Rate)]]-INDEX(LS[NAV at Cost (Average)],MATCH(CONCATENATE(LS[[#This Row],[Frequency]]-1,LS[[#This Row],[Investor ID]]),LS[Unique Code],0),)))</f>
        <v>2540.9199999999419</v>
      </c>
      <c r="V270" s="10" cm="1">
        <f t="array" ref="V270">IF(LS[[#This Row],[B/S]]="S",ABS(LS[[#This Row],[Unit]])*(INDEX(LS[NAV at Cost (Average)],MATCH(CONCATENATE((LS[[#This Row],[Frequency]]-1),LS[[#This Row],[Investor ID]]),LS[Unique Code],0),0)),0)</f>
        <v>500000</v>
      </c>
      <c r="W270" s="10">
        <f>IF(LS[[#This Row],[BO Transfer]]="YES",LS[[#This Row],[Unit]],)</f>
        <v>-50916</v>
      </c>
      <c r="X270" s="3">
        <f>SUMIFS(LS[[#Headers],[BO UNIT TRANSFER]]:LS[[#This Row],[BO UNIT TRANSFER]],LS[[#Headers],[Investor ID]]:LS[[#This Row],[Investor ID]],LS[[#This Row],[Investor ID]])</f>
        <v>0</v>
      </c>
    </row>
    <row r="271" spans="2:25">
      <c r="B271" s="8">
        <v>2022</v>
      </c>
      <c r="C271" s="110">
        <v>7</v>
      </c>
      <c r="D271" s="110">
        <v>26</v>
      </c>
      <c r="E271" s="291">
        <f>DATE(LS[[#This Row],[Year]],LS[[#This Row],[Month]],LS[[#This Row],[Day]])</f>
        <v>44768</v>
      </c>
      <c r="F271" t="str" cm="1">
        <f t="array" ref="F271">INDEX(INVESTORS_LIST[INVESTOR NAME],MATCH(LS[[#This Row],[Investor ID]],INVESTORS_LIST[INVESTOR CODE],0),)</f>
        <v>MOHAMMAD MOHIBUL ISLAM</v>
      </c>
      <c r="G271" s="19" t="s">
        <v>169</v>
      </c>
      <c r="H271" s="8">
        <f>COUNTIF(LS[[#Headers],[Investor ID]]:LS[[#This Row],[Investor ID]],LS[[#This Row],[Investor ID]])</f>
        <v>2</v>
      </c>
      <c r="I271" s="8" t="str">
        <f>CONCATENATE(LS[[#This Row],[Frequency]],LS[[#This Row],[Investor ID]])</f>
        <v>2A00136</v>
      </c>
      <c r="J271" s="8" t="str">
        <f>IF(LS[[#This Row],[B/S]]="B","BUY",(IF(LS[[#This Row],[B/S]]="S","SELL"," ")))</f>
        <v>SELL</v>
      </c>
      <c r="K271" s="8" t="s">
        <v>866</v>
      </c>
      <c r="L271" s="10">
        <v>-59816.9</v>
      </c>
      <c r="M271" s="10"/>
      <c r="N271" s="168">
        <f>LS[[#This Row],[Amount]]/LS[[#This Row],[Unit]]</f>
        <v>9.7900000000000009</v>
      </c>
      <c r="O271" s="11">
        <f t="shared" si="27"/>
        <v>-6110</v>
      </c>
      <c r="P271" s="11">
        <f>SUMIFS(LS[[#Headers],[Unit]]:LS[[#This Row],[Unit]],LS[[#Headers],[Investor ID]]:LS[[#This Row],[Investor ID]],LS[[#This Row],[Investor ID]])</f>
        <v>0</v>
      </c>
      <c r="Q271" s="10">
        <v>-61100</v>
      </c>
      <c r="R271" s="6">
        <f>LS[[#This Row],[Amount]]-LS[[#This Row],[Unit Capital]]</f>
        <v>1283.0999999999985</v>
      </c>
      <c r="S27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71" s="168">
        <f t="shared" si="28"/>
        <v>12.552</v>
      </c>
      <c r="U271" s="10">
        <f>IF(LS[[#This Row],[B/S]]="B",0,ABS(LS[[#This Row],[Unit]])*(LS[[#This Row],[NAV (Strike Rate)]]-INDEX(LS[NAV at Cost (Average)],MATCH(CONCATENATE(LS[[#This Row],[Frequency]]-1,LS[[#This Row],[Investor ID]]),LS[Unique Code],0),)))</f>
        <v>-183.09999999998996</v>
      </c>
      <c r="V271" s="10" cm="1">
        <f t="array" ref="V271">IF(LS[[#This Row],[B/S]]="S",ABS(LS[[#This Row],[Unit]])*(INDEX(LS[NAV at Cost (Average)],MATCH(CONCATENATE((LS[[#This Row],[Frequency]]-1),LS[[#This Row],[Investor ID]]),LS[Unique Code],0),0)),0)</f>
        <v>59999.999999999993</v>
      </c>
      <c r="W271" s="10">
        <f>IF(LS[[#This Row],[BO Transfer]]="YES",LS[[#This Row],[Unit]],)</f>
        <v>0</v>
      </c>
      <c r="X271" s="3">
        <f>SUMIFS(LS[[#Headers],[BO UNIT TRANSFER]]:LS[[#This Row],[BO UNIT TRANSFER]],LS[[#Headers],[Investor ID]]:LS[[#This Row],[Investor ID]],LS[[#This Row],[Investor ID]])</f>
        <v>0</v>
      </c>
    </row>
    <row r="272" spans="2:25">
      <c r="B272" s="8">
        <v>2022</v>
      </c>
      <c r="C272" s="110">
        <v>7</v>
      </c>
      <c r="D272" s="110">
        <v>26</v>
      </c>
      <c r="E272" s="291">
        <f>DATE(LS[[#This Row],[Year]],LS[[#This Row],[Month]],LS[[#This Row],[Day]])</f>
        <v>44768</v>
      </c>
      <c r="F272" t="str" cm="1">
        <f t="array" ref="F272">INDEX(INVESTORS_LIST[INVESTOR NAME],MATCH(LS[[#This Row],[Investor ID]],INVESTORS_LIST[INVESTOR CODE],0),)</f>
        <v>NITYANANDA BISWAS</v>
      </c>
      <c r="G272" s="19" t="s">
        <v>360</v>
      </c>
      <c r="H272" s="8">
        <f>COUNTIF(LS[[#Headers],[Investor ID]]:LS[[#This Row],[Investor ID]],LS[[#This Row],[Investor ID]])</f>
        <v>2</v>
      </c>
      <c r="I272" s="8" t="str">
        <f>CONCATENATE(LS[[#This Row],[Frequency]],LS[[#This Row],[Investor ID]])</f>
        <v>2A00252</v>
      </c>
      <c r="J272" s="8" t="str">
        <f>IF(LS[[#This Row],[B/S]]="B","BUY",(IF(LS[[#This Row],[B/S]]="S","SELL"," ")))</f>
        <v>SELL</v>
      </c>
      <c r="K272" s="8" t="s">
        <v>866</v>
      </c>
      <c r="L272" s="10">
        <v>-44857.78</v>
      </c>
      <c r="M272" s="10"/>
      <c r="N272" s="168">
        <f>LS[[#This Row],[Amount]]/LS[[#This Row],[Unit]]</f>
        <v>9.7899999999999991</v>
      </c>
      <c r="O272" s="11">
        <f t="shared" si="27"/>
        <v>-4582</v>
      </c>
      <c r="P272" s="11">
        <f>SUMIFS(LS[[#Headers],[Unit]]:LS[[#This Row],[Unit]],LS[[#Headers],[Investor ID]]:LS[[#This Row],[Investor ID]],LS[[#This Row],[Investor ID]])</f>
        <v>0</v>
      </c>
      <c r="Q272" s="10">
        <v>-45820</v>
      </c>
      <c r="R272" s="6">
        <f>LS[[#This Row],[Amount]]-LS[[#This Row],[Unit Capital]]</f>
        <v>962.22000000000116</v>
      </c>
      <c r="S27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72" s="168">
        <f t="shared" si="28"/>
        <v>12.552</v>
      </c>
      <c r="U272" s="10">
        <f>IF(LS[[#This Row],[B/S]]="B",0,ABS(LS[[#This Row],[Unit]])*(LS[[#This Row],[NAV (Strike Rate)]]-INDEX(LS[NAV at Cost (Average)],MATCH(CONCATENATE(LS[[#This Row],[Frequency]]-1,LS[[#This Row],[Investor ID]]),LS[Unique Code],0),)))</f>
        <v>-142.22000000000486</v>
      </c>
      <c r="V272" s="10" cm="1">
        <f t="array" ref="V272">IF(LS[[#This Row],[B/S]]="S",ABS(LS[[#This Row],[Unit]])*(INDEX(LS[NAV at Cost (Average)],MATCH(CONCATENATE((LS[[#This Row],[Frequency]]-1),LS[[#This Row],[Investor ID]]),LS[Unique Code],0),0)),0)</f>
        <v>45000</v>
      </c>
      <c r="W272" s="10">
        <f>IF(LS[[#This Row],[BO Transfer]]="YES",LS[[#This Row],[Unit]],)</f>
        <v>0</v>
      </c>
      <c r="X272" s="3">
        <f>SUMIFS(LS[[#Headers],[BO UNIT TRANSFER]]:LS[[#This Row],[BO UNIT TRANSFER]],LS[[#Headers],[Investor ID]]:LS[[#This Row],[Investor ID]],LS[[#This Row],[Investor ID]])</f>
        <v>0</v>
      </c>
    </row>
    <row r="273" spans="2:24">
      <c r="B273" s="8">
        <v>2022</v>
      </c>
      <c r="C273" s="110">
        <v>8</v>
      </c>
      <c r="D273" s="110">
        <v>11</v>
      </c>
      <c r="E273" s="291">
        <f>DATE(LS[[#This Row],[Year]],LS[[#This Row],[Month]],LS[[#This Row],[Day]])</f>
        <v>44784</v>
      </c>
      <c r="F273" t="str" cm="1">
        <f t="array" ref="F273">INDEX(INVESTORS_LIST[INVESTOR NAME],MATCH(LS[[#This Row],[Investor ID]],INVESTORS_LIST[INVESTOR CODE],0),)</f>
        <v>RAHNUMA SULTANA</v>
      </c>
      <c r="G273" s="19" t="s">
        <v>86</v>
      </c>
      <c r="H273" s="8">
        <f>COUNTIF(LS[[#Headers],[Investor ID]]:LS[[#This Row],[Investor ID]],LS[[#This Row],[Investor ID]])</f>
        <v>3</v>
      </c>
      <c r="I273" s="8" t="str">
        <f>CONCATENATE(LS[[#This Row],[Frequency]],LS[[#This Row],[Investor ID]])</f>
        <v>3A00078</v>
      </c>
      <c r="J273" s="8" t="str">
        <f>IF(LS[[#This Row],[B/S]]="B","BUY",(IF(LS[[#This Row],[B/S]]="S","SELL"," ")))</f>
        <v>SELL</v>
      </c>
      <c r="K273" s="8" t="s">
        <v>866</v>
      </c>
      <c r="L273" s="10">
        <v>-295898.59999999998</v>
      </c>
      <c r="M273" s="10"/>
      <c r="N273" s="168">
        <f>LS[[#This Row],[Amount]]/LS[[#This Row],[Unit]]</f>
        <v>9.86</v>
      </c>
      <c r="O273" s="11">
        <f t="shared" ref="O273:O280" si="29">Q273/10</f>
        <v>-30010</v>
      </c>
      <c r="P273" s="11">
        <f>SUMIFS(LS[[#Headers],[Unit]]:LS[[#This Row],[Unit]],LS[[#Headers],[Investor ID]]:LS[[#This Row],[Investor ID]],LS[[#This Row],[Investor ID]])</f>
        <v>0</v>
      </c>
      <c r="Q273" s="10">
        <v>-300100</v>
      </c>
      <c r="R273" s="6">
        <f>LS[[#This Row],[Amount]]-LS[[#This Row],[Unit Capital]]</f>
        <v>4201.4000000000233</v>
      </c>
      <c r="S27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73" s="168">
        <f t="shared" si="28"/>
        <v>12.552</v>
      </c>
      <c r="U273" s="10">
        <f>IF(LS[[#This Row],[B/S]]="B",0,ABS(LS[[#This Row],[Unit]])*(LS[[#This Row],[NAV (Strike Rate)]]-INDEX(LS[NAV at Cost (Average)],MATCH(CONCATENATE(LS[[#This Row],[Frequency]]-1,LS[[#This Row],[Investor ID]]),LS[Unique Code],0),)))</f>
        <v>-4101.4000000000151</v>
      </c>
      <c r="V273" s="10" cm="1">
        <f t="array" ref="V273">IF(LS[[#This Row],[B/S]]="S",ABS(LS[[#This Row],[Unit]])*(INDEX(LS[NAV at Cost (Average)],MATCH(CONCATENATE((LS[[#This Row],[Frequency]]-1),LS[[#This Row],[Investor ID]]),LS[Unique Code],0),0)),0)</f>
        <v>300000</v>
      </c>
      <c r="W273" s="10">
        <f>IF(LS[[#This Row],[BO Transfer]]="YES",LS[[#This Row],[Unit]],)</f>
        <v>0</v>
      </c>
      <c r="X273" s="3">
        <f>SUMIFS(LS[[#Headers],[BO UNIT TRANSFER]]:LS[[#This Row],[BO UNIT TRANSFER]],LS[[#Headers],[Investor ID]]:LS[[#This Row],[Investor ID]],LS[[#This Row],[Investor ID]])</f>
        <v>0</v>
      </c>
    </row>
    <row r="274" spans="2:24">
      <c r="B274" s="8">
        <v>2022</v>
      </c>
      <c r="C274" s="110">
        <v>8</v>
      </c>
      <c r="D274" s="110">
        <v>16</v>
      </c>
      <c r="E274" s="291">
        <f>DATE(LS[[#This Row],[Year]],LS[[#This Row],[Month]],LS[[#This Row],[Day]])</f>
        <v>44789</v>
      </c>
      <c r="F274" t="str" cm="1">
        <f t="array" ref="F274">INDEX(INVESTORS_LIST[INVESTOR NAME],MATCH(LS[[#This Row],[Investor ID]],INVESTORS_LIST[INVESTOR CODE],0),)</f>
        <v>MOHAMMED ZAHID HOSSAIN</v>
      </c>
      <c r="G274" s="19" t="s">
        <v>602</v>
      </c>
      <c r="H274" s="8">
        <f>COUNTIF(LS[[#Headers],[Investor ID]]:LS[[#This Row],[Investor ID]],LS[[#This Row],[Investor ID]])</f>
        <v>2</v>
      </c>
      <c r="I274" s="8" t="str">
        <f>CONCATENATE(LS[[#This Row],[Frequency]],LS[[#This Row],[Investor ID]])</f>
        <v>2A00338</v>
      </c>
      <c r="J274" s="8" t="str">
        <f>IF(LS[[#This Row],[B/S]]="B","BUY",(IF(LS[[#This Row],[B/S]]="S","SELL"," ")))</f>
        <v>SELL</v>
      </c>
      <c r="K274" s="8" t="s">
        <v>866</v>
      </c>
      <c r="L274" s="10">
        <v>-98100</v>
      </c>
      <c r="M274" s="10"/>
      <c r="N274" s="168">
        <f>LS[[#This Row],[Amount]]/LS[[#This Row],[Unit]]</f>
        <v>9.81</v>
      </c>
      <c r="O274" s="11">
        <f t="shared" si="29"/>
        <v>-10000</v>
      </c>
      <c r="P274" s="11">
        <f>SUMIFS(LS[[#Headers],[Unit]]:LS[[#This Row],[Unit]],LS[[#Headers],[Investor ID]]:LS[[#This Row],[Investor ID]],LS[[#This Row],[Investor ID]])</f>
        <v>0</v>
      </c>
      <c r="Q274" s="10">
        <v>-100000</v>
      </c>
      <c r="R274" s="6">
        <f>LS[[#This Row],[Amount]]-LS[[#This Row],[Unit Capital]]</f>
        <v>1900</v>
      </c>
      <c r="S27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74" s="168">
        <f t="shared" si="28"/>
        <v>12.552</v>
      </c>
      <c r="U274" s="10">
        <f>IF(LS[[#This Row],[B/S]]="B",0,ABS(LS[[#This Row],[Unit]])*(LS[[#This Row],[NAV (Strike Rate)]]-INDEX(LS[NAV at Cost (Average)],MATCH(CONCATENATE(LS[[#This Row],[Frequency]]-1,LS[[#This Row],[Investor ID]]),LS[Unique Code],0),)))</f>
        <v>-1899.999999999995</v>
      </c>
      <c r="V274" s="10" cm="1">
        <f t="array" ref="V274">IF(LS[[#This Row],[B/S]]="S",ABS(LS[[#This Row],[Unit]])*(INDEX(LS[NAV at Cost (Average)],MATCH(CONCATENATE((LS[[#This Row],[Frequency]]-1),LS[[#This Row],[Investor ID]]),LS[Unique Code],0),0)),0)</f>
        <v>100000</v>
      </c>
      <c r="W274" s="10">
        <f>IF(LS[[#This Row],[BO Transfer]]="YES",LS[[#This Row],[Unit]],)</f>
        <v>0</v>
      </c>
      <c r="X274" s="3">
        <f>SUMIFS(LS[[#Headers],[BO UNIT TRANSFER]]:LS[[#This Row],[BO UNIT TRANSFER]],LS[[#Headers],[Investor ID]]:LS[[#This Row],[Investor ID]],LS[[#This Row],[Investor ID]])</f>
        <v>0</v>
      </c>
    </row>
    <row r="275" spans="2:24">
      <c r="B275" s="8">
        <v>2022</v>
      </c>
      <c r="C275" s="110">
        <v>8</v>
      </c>
      <c r="D275" s="110">
        <v>16</v>
      </c>
      <c r="E275" s="291">
        <f>DATE(LS[[#This Row],[Year]],LS[[#This Row],[Month]],LS[[#This Row],[Day]])</f>
        <v>44789</v>
      </c>
      <c r="F275" t="str" cm="1">
        <f t="array" ref="F275">INDEX(INVESTORS_LIST[INVESTOR NAME],MATCH(LS[[#This Row],[Investor ID]],INVESTORS_LIST[INVESTOR CODE],0),)</f>
        <v>MD. ALAMGIR HOSSAIN</v>
      </c>
      <c r="G275" s="19" t="s">
        <v>225</v>
      </c>
      <c r="H275" s="8">
        <f>COUNTIF(LS[[#Headers],[Investor ID]]:LS[[#This Row],[Investor ID]],LS[[#This Row],[Investor ID]])</f>
        <v>3</v>
      </c>
      <c r="I275" s="8" t="str">
        <f>CONCATENATE(LS[[#This Row],[Frequency]],LS[[#This Row],[Investor ID]])</f>
        <v>3A00191</v>
      </c>
      <c r="J275" s="8" t="str">
        <f>IF(LS[[#This Row],[B/S]]="B","BUY",(IF(LS[[#This Row],[B/S]]="S","SELL"," ")))</f>
        <v>SELL</v>
      </c>
      <c r="K275" s="8" t="s">
        <v>866</v>
      </c>
      <c r="L275" s="10">
        <v>-981000</v>
      </c>
      <c r="M275" s="10"/>
      <c r="N275" s="168">
        <f>LS[[#This Row],[Amount]]/LS[[#This Row],[Unit]]</f>
        <v>9.81</v>
      </c>
      <c r="O275" s="11">
        <f t="shared" si="29"/>
        <v>-100000</v>
      </c>
      <c r="P275" s="11">
        <f>SUMIFS(LS[[#Headers],[Unit]]:LS[[#This Row],[Unit]],LS[[#Headers],[Investor ID]]:LS[[#This Row],[Investor ID]],LS[[#This Row],[Investor ID]])</f>
        <v>100000</v>
      </c>
      <c r="Q275" s="10">
        <v>-1000000</v>
      </c>
      <c r="R275" s="6">
        <f>LS[[#This Row],[Amount]]-LS[[#This Row],[Unit Capital]]</f>
        <v>19000</v>
      </c>
      <c r="S27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75" s="168">
        <f t="shared" si="28"/>
        <v>12.552</v>
      </c>
      <c r="U275" s="10">
        <f>IF(LS[[#This Row],[B/S]]="B",0,ABS(LS[[#This Row],[Unit]])*(LS[[#This Row],[NAV (Strike Rate)]]-INDEX(LS[NAV at Cost (Average)],MATCH(CONCATENATE(LS[[#This Row],[Frequency]]-1,LS[[#This Row],[Investor ID]]),LS[Unique Code],0),)))</f>
        <v>-18999.999999999949</v>
      </c>
      <c r="V275" s="10" cm="1">
        <f t="array" ref="V275">IF(LS[[#This Row],[B/S]]="S",ABS(LS[[#This Row],[Unit]])*(INDEX(LS[NAV at Cost (Average)],MATCH(CONCATENATE((LS[[#This Row],[Frequency]]-1),LS[[#This Row],[Investor ID]]),LS[Unique Code],0),0)),0)</f>
        <v>1000000</v>
      </c>
      <c r="W275" s="10">
        <f>IF(LS[[#This Row],[BO Transfer]]="YES",LS[[#This Row],[Unit]],)</f>
        <v>0</v>
      </c>
      <c r="X275" s="3">
        <f>SUMIFS(LS[[#Headers],[BO UNIT TRANSFER]]:LS[[#This Row],[BO UNIT TRANSFER]],LS[[#Headers],[Investor ID]]:LS[[#This Row],[Investor ID]],LS[[#This Row],[Investor ID]])</f>
        <v>0</v>
      </c>
    </row>
    <row r="276" spans="2:24">
      <c r="B276" s="8">
        <v>2022</v>
      </c>
      <c r="C276" s="110">
        <v>8</v>
      </c>
      <c r="D276" s="110">
        <v>16</v>
      </c>
      <c r="E276" s="291">
        <f>DATE(LS[[#This Row],[Year]],LS[[#This Row],[Month]],LS[[#This Row],[Day]])</f>
        <v>44789</v>
      </c>
      <c r="F276" t="str" cm="1">
        <f t="array" ref="F276">INDEX(INVESTORS_LIST[INVESTOR NAME],MATCH(LS[[#This Row],[Investor ID]],INVESTORS_LIST[INVESTOR CODE],0),)</f>
        <v>MD. ALAMGIR HOSSAIN</v>
      </c>
      <c r="G276" s="19" t="s">
        <v>225</v>
      </c>
      <c r="H276" s="8">
        <f>COUNTIF(LS[[#Headers],[Investor ID]]:LS[[#This Row],[Investor ID]],LS[[#This Row],[Investor ID]])</f>
        <v>4</v>
      </c>
      <c r="I276" s="8" t="str">
        <f>CONCATENATE(LS[[#This Row],[Frequency]],LS[[#This Row],[Investor ID]])</f>
        <v>4A00191</v>
      </c>
      <c r="J276" s="8" t="str">
        <f>IF(LS[[#This Row],[B/S]]="B","BUY",(IF(LS[[#This Row],[B/S]]="S","SELL"," ")))</f>
        <v>SELL</v>
      </c>
      <c r="K276" s="8" t="s">
        <v>866</v>
      </c>
      <c r="L276" s="10">
        <v>-981000</v>
      </c>
      <c r="M276" s="10"/>
      <c r="N276" s="168">
        <f>LS[[#This Row],[Amount]]/LS[[#This Row],[Unit]]</f>
        <v>9.81</v>
      </c>
      <c r="O276" s="11">
        <f t="shared" si="29"/>
        <v>-100000</v>
      </c>
      <c r="P276" s="11">
        <f>SUMIFS(LS[[#Headers],[Unit]]:LS[[#This Row],[Unit]],LS[[#Headers],[Investor ID]]:LS[[#This Row],[Investor ID]],LS[[#This Row],[Investor ID]])</f>
        <v>0</v>
      </c>
      <c r="Q276" s="10">
        <v>-1000000</v>
      </c>
      <c r="R276" s="6">
        <f>LS[[#This Row],[Amount]]-LS[[#This Row],[Unit Capital]]</f>
        <v>19000</v>
      </c>
      <c r="S27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76" s="168">
        <f t="shared" si="28"/>
        <v>12.552</v>
      </c>
      <c r="U276" s="10">
        <f>IF(LS[[#This Row],[B/S]]="B",0,ABS(LS[[#This Row],[Unit]])*(LS[[#This Row],[NAV (Strike Rate)]]-INDEX(LS[NAV at Cost (Average)],MATCH(CONCATENATE(LS[[#This Row],[Frequency]]-1,LS[[#This Row],[Investor ID]]),LS[Unique Code],0),)))</f>
        <v>-18999.999999999949</v>
      </c>
      <c r="V276" s="10" cm="1">
        <f t="array" ref="V276">IF(LS[[#This Row],[B/S]]="S",ABS(LS[[#This Row],[Unit]])*(INDEX(LS[NAV at Cost (Average)],MATCH(CONCATENATE((LS[[#This Row],[Frequency]]-1),LS[[#This Row],[Investor ID]]),LS[Unique Code],0),0)),0)</f>
        <v>1000000</v>
      </c>
      <c r="W276" s="10">
        <f>IF(LS[[#This Row],[BO Transfer]]="YES",LS[[#This Row],[Unit]],)</f>
        <v>0</v>
      </c>
      <c r="X276" s="3">
        <f>SUMIFS(LS[[#Headers],[BO UNIT TRANSFER]]:LS[[#This Row],[BO UNIT TRANSFER]],LS[[#Headers],[Investor ID]]:LS[[#This Row],[Investor ID]],LS[[#This Row],[Investor ID]])</f>
        <v>0</v>
      </c>
    </row>
    <row r="277" spans="2:24">
      <c r="B277" s="8">
        <v>2022</v>
      </c>
      <c r="C277" s="110">
        <v>8</v>
      </c>
      <c r="D277" s="110">
        <v>30</v>
      </c>
      <c r="E277" s="291">
        <f>DATE(LS[[#This Row],[Year]],LS[[#This Row],[Month]],LS[[#This Row],[Day]])</f>
        <v>44803</v>
      </c>
      <c r="F277" t="str" cm="1">
        <f t="array" ref="F277">INDEX(INVESTORS_LIST[INVESTOR NAME],MATCH(LS[[#This Row],[Investor ID]],INVESTORS_LIST[INVESTOR CODE],0),)</f>
        <v>MOHAMMED FUAD ZIBRAN</v>
      </c>
      <c r="G277" s="19" t="s">
        <v>591</v>
      </c>
      <c r="H277" s="8">
        <f>COUNTIF(LS[[#Headers],[Investor ID]]:LS[[#This Row],[Investor ID]],LS[[#This Row],[Investor ID]])</f>
        <v>2</v>
      </c>
      <c r="I277" s="8" t="str">
        <f>CONCATENATE(LS[[#This Row],[Frequency]],LS[[#This Row],[Investor ID]])</f>
        <v>2A00332</v>
      </c>
      <c r="J277" s="8" t="str">
        <f>IF(LS[[#This Row],[B/S]]="B","BUY",(IF(LS[[#This Row],[B/S]]="S","SELL"," ")))</f>
        <v>SELL</v>
      </c>
      <c r="K277" s="8" t="s">
        <v>866</v>
      </c>
      <c r="L277" s="10">
        <v>-49200</v>
      </c>
      <c r="M277" s="10"/>
      <c r="N277" s="168">
        <f>LS[[#This Row],[Amount]]/LS[[#This Row],[Unit]]</f>
        <v>9.84</v>
      </c>
      <c r="O277" s="11">
        <f t="shared" si="29"/>
        <v>-5000</v>
      </c>
      <c r="P277" s="11">
        <f>SUMIFS(LS[[#Headers],[Unit]]:LS[[#This Row],[Unit]],LS[[#Headers],[Investor ID]]:LS[[#This Row],[Investor ID]],LS[[#This Row],[Investor ID]])</f>
        <v>0</v>
      </c>
      <c r="Q277" s="10">
        <v>-50000</v>
      </c>
      <c r="R277" s="6">
        <f>LS[[#This Row],[Amount]]-LS[[#This Row],[Unit Capital]]</f>
        <v>800</v>
      </c>
      <c r="S27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77" s="168">
        <f t="shared" si="28"/>
        <v>12.552</v>
      </c>
      <c r="U277" s="10">
        <f>IF(LS[[#This Row],[B/S]]="B",0,ABS(LS[[#This Row],[Unit]])*(LS[[#This Row],[NAV (Strike Rate)]]-INDEX(LS[NAV at Cost (Average)],MATCH(CONCATENATE(LS[[#This Row],[Frequency]]-1,LS[[#This Row],[Investor ID]]),LS[Unique Code],0),)))</f>
        <v>-800.00000000000068</v>
      </c>
      <c r="V277" s="10" cm="1">
        <f t="array" ref="V277">IF(LS[[#This Row],[B/S]]="S",ABS(LS[[#This Row],[Unit]])*(INDEX(LS[NAV at Cost (Average)],MATCH(CONCATENATE((LS[[#This Row],[Frequency]]-1),LS[[#This Row],[Investor ID]]),LS[Unique Code],0),0)),0)</f>
        <v>50000</v>
      </c>
      <c r="W277" s="10">
        <f>IF(LS[[#This Row],[BO Transfer]]="YES",LS[[#This Row],[Unit]],)</f>
        <v>0</v>
      </c>
      <c r="X277" s="3">
        <f>SUMIFS(LS[[#Headers],[BO UNIT TRANSFER]]:LS[[#This Row],[BO UNIT TRANSFER]],LS[[#Headers],[Investor ID]]:LS[[#This Row],[Investor ID]],LS[[#This Row],[Investor ID]])</f>
        <v>0</v>
      </c>
    </row>
    <row r="278" spans="2:24">
      <c r="B278" s="8">
        <v>2022</v>
      </c>
      <c r="C278" s="110">
        <v>8</v>
      </c>
      <c r="D278" s="110">
        <v>30</v>
      </c>
      <c r="E278" s="291">
        <f>DATE(LS[[#This Row],[Year]],LS[[#This Row],[Month]],LS[[#This Row],[Day]])</f>
        <v>44803</v>
      </c>
      <c r="F278" t="str" cm="1">
        <f t="array" ref="F278">INDEX(INVESTORS_LIST[INVESTOR NAME],MATCH(LS[[#This Row],[Investor ID]],INVESTORS_LIST[INVESTOR CODE],0),)</f>
        <v>MD. WABAIDULLAH RAHAMAN</v>
      </c>
      <c r="G278" s="19" t="s">
        <v>863</v>
      </c>
      <c r="H278" s="8">
        <f>COUNTIF(LS[[#Headers],[Investor ID]]:LS[[#This Row],[Investor ID]],LS[[#This Row],[Investor ID]])</f>
        <v>2</v>
      </c>
      <c r="I278" s="8" t="str">
        <f>CONCATENATE(LS[[#This Row],[Frequency]],LS[[#This Row],[Investor ID]])</f>
        <v>2A00394</v>
      </c>
      <c r="J278" s="8" t="str">
        <f>IF(LS[[#This Row],[B/S]]="B","BUY",(IF(LS[[#This Row],[B/S]]="S","SELL"," ")))</f>
        <v>SELL</v>
      </c>
      <c r="K278" s="8" t="s">
        <v>866</v>
      </c>
      <c r="L278" s="10">
        <v>-49149.1</v>
      </c>
      <c r="M278" s="10"/>
      <c r="N278" s="168">
        <f>LS[[#This Row],[Amount]]/LS[[#This Row],[Unit]]</f>
        <v>9.82</v>
      </c>
      <c r="O278" s="11">
        <f t="shared" si="29"/>
        <v>-5005</v>
      </c>
      <c r="P278" s="11">
        <f>SUMIFS(LS[[#Headers],[Unit]]:LS[[#This Row],[Unit]],LS[[#Headers],[Investor ID]]:LS[[#This Row],[Investor ID]],LS[[#This Row],[Investor ID]])</f>
        <v>0</v>
      </c>
      <c r="Q278" s="10">
        <v>-50050</v>
      </c>
      <c r="R278" s="6">
        <f>LS[[#This Row],[Amount]]-LS[[#This Row],[Unit Capital]]</f>
        <v>900.90000000000146</v>
      </c>
      <c r="S27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78" s="168">
        <f t="shared" si="28"/>
        <v>12.552</v>
      </c>
      <c r="U278" s="10">
        <f>IF(LS[[#This Row],[B/S]]="B",0,ABS(LS[[#This Row],[Unit]])*(LS[[#This Row],[NAV (Strike Rate)]]-INDEX(LS[NAV at Cost (Average)],MATCH(CONCATENATE(LS[[#This Row],[Frequency]]-1,LS[[#This Row],[Investor ID]]),LS[Unique Code],0),)))</f>
        <v>-850.89999999999475</v>
      </c>
      <c r="V278" s="10" cm="1">
        <f t="array" ref="V278">IF(LS[[#This Row],[B/S]]="S",ABS(LS[[#This Row],[Unit]])*(INDEX(LS[NAV at Cost (Average)],MATCH(CONCATENATE((LS[[#This Row],[Frequency]]-1),LS[[#This Row],[Investor ID]]),LS[Unique Code],0),0)),0)</f>
        <v>49999.999999999993</v>
      </c>
      <c r="W278" s="10">
        <f>IF(LS[[#This Row],[BO Transfer]]="YES",LS[[#This Row],[Unit]],)</f>
        <v>0</v>
      </c>
      <c r="X278" s="3">
        <f>SUMIFS(LS[[#Headers],[BO UNIT TRANSFER]]:LS[[#This Row],[BO UNIT TRANSFER]],LS[[#Headers],[Investor ID]]:LS[[#This Row],[Investor ID]],LS[[#This Row],[Investor ID]])</f>
        <v>0</v>
      </c>
    </row>
    <row r="279" spans="2:24">
      <c r="B279" s="8">
        <v>2022</v>
      </c>
      <c r="C279" s="110">
        <v>9</v>
      </c>
      <c r="D279" s="110">
        <v>1</v>
      </c>
      <c r="E279" s="291">
        <f>DATE(LS[[#This Row],[Year]],LS[[#This Row],[Month]],LS[[#This Row],[Day]])</f>
        <v>44805</v>
      </c>
      <c r="F279" t="str" cm="1">
        <f t="array" ref="F279">INDEX(INVESTORS_LIST[INVESTOR NAME],MATCH(LS[[#This Row],[Investor ID]],INVESTORS_LIST[INVESTOR CODE],0),)</f>
        <v>SHUVA SAHA</v>
      </c>
      <c r="G279" s="19" t="s">
        <v>60</v>
      </c>
      <c r="H279" s="8">
        <f>COUNTIF(LS[[#Headers],[Investor ID]]:LS[[#This Row],[Investor ID]],LS[[#This Row],[Investor ID]])</f>
        <v>4</v>
      </c>
      <c r="I279" s="8" t="str">
        <f>CONCATENATE(LS[[#This Row],[Frequency]],LS[[#This Row],[Investor ID]])</f>
        <v>4A00053</v>
      </c>
      <c r="J279" s="8" t="str">
        <f>IF(LS[[#This Row],[B/S]]="B","BUY",(IF(LS[[#This Row],[B/S]]="S","SELL"," ")))</f>
        <v>BUY</v>
      </c>
      <c r="K279" s="8" t="s">
        <v>301</v>
      </c>
      <c r="L279" s="10">
        <v>150000</v>
      </c>
      <c r="M279" s="10"/>
      <c r="N279" s="168">
        <f>LS[[#This Row],[Amount]]/LS[[#This Row],[Unit]]</f>
        <v>9.8199672667757767</v>
      </c>
      <c r="O279" s="11">
        <f t="shared" si="29"/>
        <v>15275</v>
      </c>
      <c r="P279" s="11">
        <f>SUMIFS(LS[[#Headers],[Unit]]:LS[[#This Row],[Unit]],LS[[#Headers],[Investor ID]]:LS[[#This Row],[Investor ID]],LS[[#This Row],[Investor ID]])</f>
        <v>135275</v>
      </c>
      <c r="Q279" s="10">
        <v>152750</v>
      </c>
      <c r="R279" s="6">
        <f>LS[[#This Row],[Amount]]-LS[[#This Row],[Unit Capital]]</f>
        <v>-2750</v>
      </c>
      <c r="S27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9.9473222406288677</v>
      </c>
      <c r="T279" s="168">
        <f t="shared" si="28"/>
        <v>12.552</v>
      </c>
      <c r="U27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79" s="10" cm="1">
        <f t="array" ref="V279">IF(LS[[#This Row],[B/S]]="S",ABS(LS[[#This Row],[Unit]])*(INDEX(LS[NAV at Cost (Average)],MATCH(CONCATENATE((LS[[#This Row],[Frequency]]-1),LS[[#This Row],[Investor ID]]),LS[Unique Code],0),0)),0)</f>
        <v>0</v>
      </c>
      <c r="W279" s="10">
        <f>IF(LS[[#This Row],[BO Transfer]]="YES",LS[[#This Row],[Unit]],)</f>
        <v>0</v>
      </c>
      <c r="X279" s="3">
        <f>SUMIFS(LS[[#Headers],[BO UNIT TRANSFER]]:LS[[#This Row],[BO UNIT TRANSFER]],LS[[#Headers],[Investor ID]]:LS[[#This Row],[Investor ID]],LS[[#This Row],[Investor ID]])</f>
        <v>0</v>
      </c>
    </row>
    <row r="280" spans="2:24">
      <c r="B280" s="8">
        <v>2022</v>
      </c>
      <c r="C280" s="110">
        <v>9</v>
      </c>
      <c r="D280" s="110">
        <v>1</v>
      </c>
      <c r="E280" s="291">
        <f>DATE(LS[[#This Row],[Year]],LS[[#This Row],[Month]],LS[[#This Row],[Day]])</f>
        <v>44805</v>
      </c>
      <c r="F280" t="str" cm="1">
        <f t="array" ref="F280">INDEX(INVESTORS_LIST[INVESTOR NAME],MATCH(LS[[#This Row],[Investor ID]],INVESTORS_LIST[INVESTOR CODE],0),)</f>
        <v>SHUVA SAHA</v>
      </c>
      <c r="G280" s="19" t="s">
        <v>60</v>
      </c>
      <c r="H280" s="8">
        <f>COUNTIF(LS[[#Headers],[Investor ID]]:LS[[#This Row],[Investor ID]],LS[[#This Row],[Investor ID]])</f>
        <v>5</v>
      </c>
      <c r="I280" s="8" t="str">
        <f>CONCATENATE(LS[[#This Row],[Frequency]],LS[[#This Row],[Investor ID]])</f>
        <v>5A00053</v>
      </c>
      <c r="J280" s="8" t="str">
        <f>IF(LS[[#This Row],[B/S]]="B","BUY",(IF(LS[[#This Row],[B/S]]="S","SELL"," ")))</f>
        <v>BUY</v>
      </c>
      <c r="K280" s="8" t="s">
        <v>301</v>
      </c>
      <c r="L280" s="10">
        <v>300000</v>
      </c>
      <c r="M280" s="10"/>
      <c r="N280" s="168">
        <f>LS[[#This Row],[Amount]]/LS[[#This Row],[Unit]]</f>
        <v>9.8199672667757767</v>
      </c>
      <c r="O280" s="11">
        <f t="shared" si="29"/>
        <v>30550</v>
      </c>
      <c r="P280" s="11">
        <f>SUMIFS(LS[[#Headers],[Unit]]:LS[[#This Row],[Unit]],LS[[#Headers],[Investor ID]]:LS[[#This Row],[Investor ID]],LS[[#This Row],[Investor ID]])</f>
        <v>165825</v>
      </c>
      <c r="Q280" s="10">
        <v>305500</v>
      </c>
      <c r="R280" s="6">
        <f>LS[[#This Row],[Amount]]-LS[[#This Row],[Unit Capital]]</f>
        <v>-5500</v>
      </c>
      <c r="S28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9.9238595875234132</v>
      </c>
      <c r="T280" s="168">
        <f t="shared" si="28"/>
        <v>12.552</v>
      </c>
      <c r="U28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80" s="10" cm="1">
        <f t="array" ref="V280">IF(LS[[#This Row],[B/S]]="S",ABS(LS[[#This Row],[Unit]])*(INDEX(LS[NAV at Cost (Average)],MATCH(CONCATENATE((LS[[#This Row],[Frequency]]-1),LS[[#This Row],[Investor ID]]),LS[Unique Code],0),0)),0)</f>
        <v>0</v>
      </c>
      <c r="W280" s="10">
        <f>IF(LS[[#This Row],[BO Transfer]]="YES",LS[[#This Row],[Unit]],)</f>
        <v>0</v>
      </c>
      <c r="X280" s="3">
        <f>SUMIFS(LS[[#Headers],[BO UNIT TRANSFER]]:LS[[#This Row],[BO UNIT TRANSFER]],LS[[#Headers],[Investor ID]]:LS[[#This Row],[Investor ID]],LS[[#This Row],[Investor ID]])</f>
        <v>0</v>
      </c>
    </row>
    <row r="281" spans="2:24">
      <c r="B281" s="8">
        <v>2022</v>
      </c>
      <c r="C281" s="110">
        <v>9</v>
      </c>
      <c r="D281" s="110">
        <v>2</v>
      </c>
      <c r="E281" s="291">
        <f>DATE(LS[[#This Row],[Year]],LS[[#This Row],[Month]],LS[[#This Row],[Day]])</f>
        <v>44806</v>
      </c>
      <c r="F281" t="str" cm="1">
        <f t="array" ref="F281">INDEX(INVESTORS_LIST[INVESTOR NAME],MATCH(LS[[#This Row],[Investor ID]],INVESTORS_LIST[INVESTOR CODE],0),)</f>
        <v>SRIJON GHOSH</v>
      </c>
      <c r="G281" s="19" t="s">
        <v>927</v>
      </c>
      <c r="H281" s="8">
        <f>COUNTIF(LS[[#Headers],[Investor ID]]:LS[[#This Row],[Investor ID]],LS[[#This Row],[Investor ID]])</f>
        <v>1</v>
      </c>
      <c r="I281" s="8" t="str">
        <f>CONCATENATE(LS[[#This Row],[Frequency]],LS[[#This Row],[Investor ID]])</f>
        <v>1A00424</v>
      </c>
      <c r="J281" s="8" t="str">
        <f>IF(LS[[#This Row],[B/S]]="B","BUY",(IF(LS[[#This Row],[B/S]]="S","SELL"," ")))</f>
        <v>BUY</v>
      </c>
      <c r="K281" s="8" t="s">
        <v>301</v>
      </c>
      <c r="L281" s="10">
        <v>12000</v>
      </c>
      <c r="M281" s="10"/>
      <c r="N281" s="168">
        <f>LS[[#This Row],[Amount]]/LS[[#This Row],[Unit]]</f>
        <v>9.8199672667757767</v>
      </c>
      <c r="O281" s="11">
        <f t="shared" ref="O281:O286" si="30">Q281/10</f>
        <v>1222</v>
      </c>
      <c r="P281" s="11">
        <f>SUMIFS(LS[[#Headers],[Unit]]:LS[[#This Row],[Unit]],LS[[#Headers],[Investor ID]]:LS[[#This Row],[Investor ID]],LS[[#This Row],[Investor ID]])</f>
        <v>1222</v>
      </c>
      <c r="Q281" s="10">
        <v>12220</v>
      </c>
      <c r="R281" s="6">
        <f>LS[[#This Row],[Amount]]-LS[[#This Row],[Unit Capital]]</f>
        <v>-220</v>
      </c>
      <c r="S28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9.8199672667757767</v>
      </c>
      <c r="T281" s="168">
        <f t="shared" ref="T281:T286" si="31">IFERROR(NAV_MKT,0)</f>
        <v>12.552</v>
      </c>
      <c r="U28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81" s="10" cm="1">
        <f t="array" ref="V281">IF(LS[[#This Row],[B/S]]="S",ABS(LS[[#This Row],[Unit]])*(INDEX(LS[NAV at Cost (Average)],MATCH(CONCATENATE((LS[[#This Row],[Frequency]]-1),LS[[#This Row],[Investor ID]]),LS[Unique Code],0),0)),0)</f>
        <v>0</v>
      </c>
      <c r="W281" s="10">
        <f>IF(LS[[#This Row],[BO Transfer]]="YES",LS[[#This Row],[Unit]],)</f>
        <v>0</v>
      </c>
      <c r="X281" s="3">
        <f>SUMIFS(LS[[#Headers],[BO UNIT TRANSFER]]:LS[[#This Row],[BO UNIT TRANSFER]],LS[[#Headers],[Investor ID]]:LS[[#This Row],[Investor ID]],LS[[#This Row],[Investor ID]])</f>
        <v>0</v>
      </c>
    </row>
    <row r="282" spans="2:24">
      <c r="B282" s="8">
        <v>2022</v>
      </c>
      <c r="C282" s="110">
        <v>9</v>
      </c>
      <c r="D282" s="110">
        <v>7</v>
      </c>
      <c r="E282" s="291">
        <f>DATE(LS[[#This Row],[Year]],LS[[#This Row],[Month]],LS[[#This Row],[Day]])</f>
        <v>44811</v>
      </c>
      <c r="F282" t="str" cm="1">
        <f t="array" ref="F282">INDEX(INVESTORS_LIST[INVESTOR NAME],MATCH(LS[[#This Row],[Investor ID]],INVESTORS_LIST[INVESTOR CODE],0),)</f>
        <v>FAKARUDDIN ALI AHMED</v>
      </c>
      <c r="G282" s="19" t="s">
        <v>98</v>
      </c>
      <c r="H282" s="8">
        <f>COUNTIF(LS[[#Headers],[Investor ID]]:LS[[#This Row],[Investor ID]],LS[[#This Row],[Investor ID]])</f>
        <v>2</v>
      </c>
      <c r="I282" s="8" t="str">
        <f>CONCATENATE(LS[[#This Row],[Frequency]],LS[[#This Row],[Investor ID]])</f>
        <v>2A00090</v>
      </c>
      <c r="J282" s="8" t="str">
        <f>IF(LS[[#This Row],[B/S]]="B","BUY",(IF(LS[[#This Row],[B/S]]="S","SELL"," ")))</f>
        <v>SELL</v>
      </c>
      <c r="K282" s="8" t="s">
        <v>866</v>
      </c>
      <c r="L282" s="10">
        <v>-992000</v>
      </c>
      <c r="M282" s="10"/>
      <c r="N282" s="168">
        <f>LS[[#This Row],[Amount]]/LS[[#This Row],[Unit]]</f>
        <v>9.92</v>
      </c>
      <c r="O282" s="11">
        <f t="shared" si="30"/>
        <v>-100000</v>
      </c>
      <c r="P282" s="11">
        <f>SUMIFS(LS[[#Headers],[Unit]]:LS[[#This Row],[Unit]],LS[[#Headers],[Investor ID]]:LS[[#This Row],[Investor ID]],LS[[#This Row],[Investor ID]])</f>
        <v>0</v>
      </c>
      <c r="Q282" s="10">
        <v>-1000000</v>
      </c>
      <c r="R282" s="6">
        <f>LS[[#This Row],[Amount]]-LS[[#This Row],[Unit Capital]]</f>
        <v>8000</v>
      </c>
      <c r="S28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82" s="168">
        <f t="shared" si="31"/>
        <v>12.552</v>
      </c>
      <c r="U282" s="10">
        <f>IF(LS[[#This Row],[B/S]]="B",0,ABS(LS[[#This Row],[Unit]])*(LS[[#This Row],[NAV (Strike Rate)]]-INDEX(LS[NAV at Cost (Average)],MATCH(CONCATENATE(LS[[#This Row],[Frequency]]-1,LS[[#This Row],[Investor ID]]),LS[Unique Code],0),)))</f>
        <v>-8000.0000000000073</v>
      </c>
      <c r="V282" s="10" cm="1">
        <f t="array" ref="V282">IF(LS[[#This Row],[B/S]]="S",ABS(LS[[#This Row],[Unit]])*(INDEX(LS[NAV at Cost (Average)],MATCH(CONCATENATE((LS[[#This Row],[Frequency]]-1),LS[[#This Row],[Investor ID]]),LS[Unique Code],0),0)),0)</f>
        <v>1000000</v>
      </c>
      <c r="W282" s="10">
        <f>IF(LS[[#This Row],[BO Transfer]]="YES",LS[[#This Row],[Unit]],)</f>
        <v>0</v>
      </c>
      <c r="X282" s="3">
        <f>SUMIFS(LS[[#Headers],[BO UNIT TRANSFER]]:LS[[#This Row],[BO UNIT TRANSFER]],LS[[#Headers],[Investor ID]]:LS[[#This Row],[Investor ID]],LS[[#This Row],[Investor ID]])</f>
        <v>0</v>
      </c>
    </row>
    <row r="283" spans="2:24">
      <c r="B283" s="8">
        <v>2022</v>
      </c>
      <c r="C283" s="110">
        <v>9</v>
      </c>
      <c r="D283" s="110">
        <v>11</v>
      </c>
      <c r="E283" s="291">
        <f>DATE(LS[[#This Row],[Year]],LS[[#This Row],[Month]],LS[[#This Row],[Day]])</f>
        <v>44815</v>
      </c>
      <c r="F283" t="str" cm="1">
        <f t="array" ref="F283">INDEX(INVESTORS_LIST[INVESTOR NAME],MATCH(LS[[#This Row],[Investor ID]],INVESTORS_LIST[INVESTOR CODE],0),)</f>
        <v>ASHUTOSH TALUKDER</v>
      </c>
      <c r="G283" s="19" t="s">
        <v>178</v>
      </c>
      <c r="H283" s="8">
        <f>COUNTIF(LS[[#Headers],[Investor ID]]:LS[[#This Row],[Investor ID]],LS[[#This Row],[Investor ID]])</f>
        <v>2</v>
      </c>
      <c r="I283" s="8" t="str">
        <f>CONCATENATE(LS[[#This Row],[Frequency]],LS[[#This Row],[Investor ID]])</f>
        <v>2A00145</v>
      </c>
      <c r="J283" s="8" t="str">
        <f>IF(LS[[#This Row],[B/S]]="B","BUY",(IF(LS[[#This Row],[B/S]]="S","SELL"," ")))</f>
        <v>SELL</v>
      </c>
      <c r="K283" s="8" t="s">
        <v>866</v>
      </c>
      <c r="L283" s="10">
        <v>-150000</v>
      </c>
      <c r="M283" s="10"/>
      <c r="N283" s="168">
        <f>LS[[#This Row],[Amount]]/LS[[#This Row],[Unit]]</f>
        <v>9.9900099900099892</v>
      </c>
      <c r="O283" s="11">
        <f t="shared" si="30"/>
        <v>-15015</v>
      </c>
      <c r="P283" s="11">
        <f>SUMIFS(LS[[#Headers],[Unit]]:LS[[#This Row],[Unit]],LS[[#Headers],[Investor ID]]:LS[[#This Row],[Investor ID]],LS[[#This Row],[Investor ID]])</f>
        <v>10443</v>
      </c>
      <c r="Q283" s="10">
        <v>-150150</v>
      </c>
      <c r="R283" s="6">
        <f>LS[[#This Row],[Amount]]-LS[[#This Row],[Unit Capital]]</f>
        <v>150</v>
      </c>
      <c r="S28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9.8200958441354391</v>
      </c>
      <c r="T283" s="168">
        <f t="shared" si="31"/>
        <v>12.552</v>
      </c>
      <c r="U283" s="10">
        <f>IF(LS[[#This Row],[B/S]]="B",0,ABS(LS[[#This Row],[Unit]])*(LS[[#This Row],[NAV (Strike Rate)]]-INDEX(LS[NAV at Cost (Average)],MATCH(CONCATENATE(LS[[#This Row],[Frequency]]-1,LS[[#This Row],[Investor ID]]),LS[Unique Code],0),)))</f>
        <v>2551.2609003063699</v>
      </c>
      <c r="V283" s="10" cm="1">
        <f t="array" ref="V283">IF(LS[[#This Row],[B/S]]="S",ABS(LS[[#This Row],[Unit]])*(INDEX(LS[NAV at Cost (Average)],MATCH(CONCATENATE((LS[[#This Row],[Frequency]]-1),LS[[#This Row],[Investor ID]]),LS[Unique Code],0),0)),0)</f>
        <v>147448.73909969363</v>
      </c>
      <c r="W283" s="10">
        <f>IF(LS[[#This Row],[BO Transfer]]="YES",LS[[#This Row],[Unit]],)</f>
        <v>0</v>
      </c>
      <c r="X283" s="3">
        <f>SUMIFS(LS[[#Headers],[BO UNIT TRANSFER]]:LS[[#This Row],[BO UNIT TRANSFER]],LS[[#Headers],[Investor ID]]:LS[[#This Row],[Investor ID]],LS[[#This Row],[Investor ID]])</f>
        <v>0</v>
      </c>
    </row>
    <row r="284" spans="2:24">
      <c r="B284" s="8">
        <v>2022</v>
      </c>
      <c r="C284" s="110">
        <v>9</v>
      </c>
      <c r="D284" s="110">
        <v>13</v>
      </c>
      <c r="E284" s="291">
        <f>DATE(LS[[#This Row],[Year]],LS[[#This Row],[Month]],LS[[#This Row],[Day]])</f>
        <v>44817</v>
      </c>
      <c r="F284" t="str" cm="1">
        <f t="array" ref="F284">INDEX(INVESTORS_LIST[INVESTOR NAME],MATCH(LS[[#This Row],[Investor ID]],INVESTORS_LIST[INVESTOR CODE],0),)</f>
        <v>SUHAIEB CHOWDHURY</v>
      </c>
      <c r="G284" s="19" t="s">
        <v>153</v>
      </c>
      <c r="H284" s="8">
        <f>COUNTIF(LS[[#Headers],[Investor ID]]:LS[[#This Row],[Investor ID]],LS[[#This Row],[Investor ID]])</f>
        <v>2</v>
      </c>
      <c r="I284" s="8" t="str">
        <f>CONCATENATE(LS[[#This Row],[Frequency]],LS[[#This Row],[Investor ID]])</f>
        <v>2A00120</v>
      </c>
      <c r="J284" s="8" t="str">
        <f>IF(LS[[#This Row],[B/S]]="B","BUY",(IF(LS[[#This Row],[B/S]]="S","SELL"," ")))</f>
        <v>SELL</v>
      </c>
      <c r="K284" s="8" t="s">
        <v>866</v>
      </c>
      <c r="L284" s="10">
        <v>-119880</v>
      </c>
      <c r="M284" s="10"/>
      <c r="N284" s="168">
        <f>LS[[#This Row],[Amount]]/LS[[#This Row],[Unit]]</f>
        <v>9.99</v>
      </c>
      <c r="O284" s="11">
        <f t="shared" si="30"/>
        <v>-12000</v>
      </c>
      <c r="P284" s="11">
        <f>SUMIFS(LS[[#Headers],[Unit]]:LS[[#This Row],[Unit]],LS[[#Headers],[Investor ID]]:LS[[#This Row],[Investor ID]],LS[[#This Row],[Investor ID]])</f>
        <v>0</v>
      </c>
      <c r="Q284" s="10">
        <v>-120000</v>
      </c>
      <c r="R284" s="6">
        <f>LS[[#This Row],[Amount]]-LS[[#This Row],[Unit Capital]]</f>
        <v>120</v>
      </c>
      <c r="S28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84" s="168">
        <f t="shared" si="31"/>
        <v>12.552</v>
      </c>
      <c r="U284" s="10">
        <f>IF(LS[[#This Row],[B/S]]="B",0,ABS(LS[[#This Row],[Unit]])*(LS[[#This Row],[NAV (Strike Rate)]]-INDEX(LS[NAV at Cost (Average)],MATCH(CONCATENATE(LS[[#This Row],[Frequency]]-1,LS[[#This Row],[Investor ID]]),LS[Unique Code],0),)))</f>
        <v>-119.99999999999744</v>
      </c>
      <c r="V284" s="10" cm="1">
        <f t="array" ref="V284">IF(LS[[#This Row],[B/S]]="S",ABS(LS[[#This Row],[Unit]])*(INDEX(LS[NAV at Cost (Average)],MATCH(CONCATENATE((LS[[#This Row],[Frequency]]-1),LS[[#This Row],[Investor ID]]),LS[Unique Code],0),0)),0)</f>
        <v>120000</v>
      </c>
      <c r="W284" s="10">
        <f>IF(LS[[#This Row],[BO Transfer]]="YES",LS[[#This Row],[Unit]],)</f>
        <v>0</v>
      </c>
      <c r="X284" s="3">
        <f>SUMIFS(LS[[#Headers],[BO UNIT TRANSFER]]:LS[[#This Row],[BO UNIT TRANSFER]],LS[[#Headers],[Investor ID]]:LS[[#This Row],[Investor ID]],LS[[#This Row],[Investor ID]])</f>
        <v>0</v>
      </c>
    </row>
    <row r="285" spans="2:24">
      <c r="B285" s="8">
        <v>2022</v>
      </c>
      <c r="C285" s="110">
        <v>9</v>
      </c>
      <c r="D285" s="110">
        <v>14</v>
      </c>
      <c r="E285" s="291">
        <f>DATE(LS[[#This Row],[Year]],LS[[#This Row],[Month]],LS[[#This Row],[Day]])</f>
        <v>44818</v>
      </c>
      <c r="F285" t="str" cm="1">
        <f t="array" ref="F285">INDEX(INVESTORS_LIST[INVESTOR NAME],MATCH(LS[[#This Row],[Investor ID]],INVESTORS_LIST[INVESTOR CODE],0),)</f>
        <v>MD. ZAHID HOSSAIN</v>
      </c>
      <c r="G285" s="19" t="s">
        <v>160</v>
      </c>
      <c r="H285" s="8">
        <f>COUNTIF(LS[[#Headers],[Investor ID]]:LS[[#This Row],[Investor ID]],LS[[#This Row],[Investor ID]])</f>
        <v>2</v>
      </c>
      <c r="I285" s="8" t="str">
        <f>CONCATENATE(LS[[#This Row],[Frequency]],LS[[#This Row],[Investor ID]])</f>
        <v>2A00127</v>
      </c>
      <c r="J285" s="8" t="str">
        <f>IF(LS[[#This Row],[B/S]]="B","BUY",(IF(LS[[#This Row],[B/S]]="S","SELL"," ")))</f>
        <v>SELL</v>
      </c>
      <c r="K285" s="8" t="s">
        <v>866</v>
      </c>
      <c r="L285" s="10">
        <v>-499500</v>
      </c>
      <c r="M285" s="10"/>
      <c r="N285" s="168">
        <f>LS[[#This Row],[Amount]]/LS[[#This Row],[Unit]]</f>
        <v>9.99</v>
      </c>
      <c r="O285" s="11">
        <f t="shared" si="30"/>
        <v>-50000</v>
      </c>
      <c r="P285" s="11">
        <f>SUMIFS(LS[[#Headers],[Unit]]:LS[[#This Row],[Unit]],LS[[#Headers],[Investor ID]]:LS[[#This Row],[Investor ID]],LS[[#This Row],[Investor ID]])</f>
        <v>0</v>
      </c>
      <c r="Q285" s="10">
        <v>-500000</v>
      </c>
      <c r="R285" s="6">
        <f>LS[[#This Row],[Amount]]-LS[[#This Row],[Unit Capital]]</f>
        <v>500</v>
      </c>
      <c r="S28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85" s="168">
        <f t="shared" si="31"/>
        <v>12.552</v>
      </c>
      <c r="U285" s="10">
        <f>IF(LS[[#This Row],[B/S]]="B",0,ABS(LS[[#This Row],[Unit]])*(LS[[#This Row],[NAV (Strike Rate)]]-INDEX(LS[NAV at Cost (Average)],MATCH(CONCATENATE(LS[[#This Row],[Frequency]]-1,LS[[#This Row],[Investor ID]]),LS[Unique Code],0),)))</f>
        <v>-499.99999999998931</v>
      </c>
      <c r="V285" s="10" cm="1">
        <f t="array" ref="V285">IF(LS[[#This Row],[B/S]]="S",ABS(LS[[#This Row],[Unit]])*(INDEX(LS[NAV at Cost (Average)],MATCH(CONCATENATE((LS[[#This Row],[Frequency]]-1),LS[[#This Row],[Investor ID]]),LS[Unique Code],0),0)),0)</f>
        <v>500000</v>
      </c>
      <c r="W285" s="10">
        <f>IF(LS[[#This Row],[BO Transfer]]="YES",LS[[#This Row],[Unit]],)</f>
        <v>0</v>
      </c>
      <c r="X285" s="3">
        <f>SUMIFS(LS[[#Headers],[BO UNIT TRANSFER]]:LS[[#This Row],[BO UNIT TRANSFER]],LS[[#Headers],[Investor ID]]:LS[[#This Row],[Investor ID]],LS[[#This Row],[Investor ID]])</f>
        <v>0</v>
      </c>
    </row>
    <row r="286" spans="2:24">
      <c r="B286" s="8">
        <v>2022</v>
      </c>
      <c r="C286" s="110">
        <v>9</v>
      </c>
      <c r="D286" s="110">
        <v>26</v>
      </c>
      <c r="E286" s="291">
        <f>DATE(LS[[#This Row],[Year]],LS[[#This Row],[Month]],LS[[#This Row],[Day]])</f>
        <v>44830</v>
      </c>
      <c r="F286" t="str" cm="1">
        <f t="array" ref="F286">INDEX(INVESTORS_LIST[INVESTOR NAME],MATCH(LS[[#This Row],[Investor ID]],INVESTORS_LIST[INVESTOR CODE],0),)</f>
        <v>ABACI INVESTMENTS LTD. EC PROVIDENT FUND</v>
      </c>
      <c r="G286" s="19" t="s">
        <v>349</v>
      </c>
      <c r="H286" s="8">
        <f>COUNTIF(LS[[#Headers],[Investor ID]]:LS[[#This Row],[Investor ID]],LS[[#This Row],[Investor ID]])</f>
        <v>2</v>
      </c>
      <c r="I286" s="8" t="str">
        <f>CONCATENATE(LS[[#This Row],[Frequency]],LS[[#This Row],[Investor ID]])</f>
        <v>2A00246</v>
      </c>
      <c r="J286" s="8" t="str">
        <f>IF(LS[[#This Row],[B/S]]="B","BUY",(IF(LS[[#This Row],[B/S]]="S","SELL"," ")))</f>
        <v>SELL</v>
      </c>
      <c r="K286" s="8" t="s">
        <v>866</v>
      </c>
      <c r="L286" s="10">
        <v>-1988000</v>
      </c>
      <c r="M286" s="10"/>
      <c r="N286" s="168">
        <f>LS[[#This Row],[Amount]]/LS[[#This Row],[Unit]]</f>
        <v>9.94</v>
      </c>
      <c r="O286" s="11">
        <f t="shared" si="30"/>
        <v>-200000</v>
      </c>
      <c r="P286" s="11">
        <f>SUMIFS(LS[[#Headers],[Unit]]:LS[[#This Row],[Unit]],LS[[#Headers],[Investor ID]]:LS[[#This Row],[Investor ID]],LS[[#This Row],[Investor ID]])</f>
        <v>0</v>
      </c>
      <c r="Q286" s="10">
        <v>-2000000</v>
      </c>
      <c r="R286" s="6">
        <f>LS[[#This Row],[Amount]]-LS[[#This Row],[Unit Capital]]</f>
        <v>12000</v>
      </c>
      <c r="S28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86" s="168">
        <f t="shared" si="31"/>
        <v>12.552</v>
      </c>
      <c r="U286" s="10">
        <f>IF(LS[[#This Row],[B/S]]="B",0,ABS(LS[[#This Row],[Unit]])*(LS[[#This Row],[NAV (Strike Rate)]]-INDEX(LS[NAV at Cost (Average)],MATCH(CONCATENATE(LS[[#This Row],[Frequency]]-1,LS[[#This Row],[Investor ID]]),LS[Unique Code],0),)))</f>
        <v>-12000.0000000001</v>
      </c>
      <c r="V286" s="10" cm="1">
        <f t="array" ref="V286">IF(LS[[#This Row],[B/S]]="S",ABS(LS[[#This Row],[Unit]])*(INDEX(LS[NAV at Cost (Average)],MATCH(CONCATENATE((LS[[#This Row],[Frequency]]-1),LS[[#This Row],[Investor ID]]),LS[Unique Code],0),0)),0)</f>
        <v>2000000</v>
      </c>
      <c r="W286" s="10">
        <f>IF(LS[[#This Row],[BO Transfer]]="YES",LS[[#This Row],[Unit]],)</f>
        <v>0</v>
      </c>
      <c r="X286" s="3">
        <f>SUMIFS(LS[[#Headers],[BO UNIT TRANSFER]]:LS[[#This Row],[BO UNIT TRANSFER]],LS[[#Headers],[Investor ID]]:LS[[#This Row],[Investor ID]],LS[[#This Row],[Investor ID]])</f>
        <v>0</v>
      </c>
    </row>
    <row r="287" spans="2:24">
      <c r="B287" s="8">
        <v>2022</v>
      </c>
      <c r="C287" s="110">
        <v>10</v>
      </c>
      <c r="D287" s="110">
        <v>6</v>
      </c>
      <c r="E287" s="291">
        <f>DATE(LS[[#This Row],[Year]],LS[[#This Row],[Month]],LS[[#This Row],[Day]])</f>
        <v>44840</v>
      </c>
      <c r="F287" t="str" cm="1">
        <f t="array" ref="F287">INDEX(INVESTORS_LIST[INVESTOR NAME],MATCH(LS[[#This Row],[Investor ID]],INVESTORS_LIST[INVESTOR CODE],0),)</f>
        <v>MD. NIZAM UDDIN</v>
      </c>
      <c r="G287" s="19" t="s">
        <v>712</v>
      </c>
      <c r="H287" s="8">
        <f>COUNTIF(LS[[#Headers],[Investor ID]]:LS[[#This Row],[Investor ID]],LS[[#This Row],[Investor ID]])</f>
        <v>4</v>
      </c>
      <c r="I287" s="8" t="str">
        <f>CONCATENATE(LS[[#This Row],[Frequency]],LS[[#This Row],[Investor ID]])</f>
        <v>4A00384</v>
      </c>
      <c r="J287" s="8" t="str">
        <f>IF(LS[[#This Row],[B/S]]="B","BUY",(IF(LS[[#This Row],[B/S]]="S","SELL"," ")))</f>
        <v>SELL</v>
      </c>
      <c r="K287" s="8" t="s">
        <v>866</v>
      </c>
      <c r="L287" s="10">
        <v>-39680</v>
      </c>
      <c r="M287" s="10"/>
      <c r="N287" s="168">
        <f>LS[[#This Row],[Amount]]/LS[[#This Row],[Unit]]</f>
        <v>9.92</v>
      </c>
      <c r="O287" s="11">
        <f t="shared" ref="O287:O292" si="32">Q287/10</f>
        <v>-4000</v>
      </c>
      <c r="P287" s="11">
        <f>SUMIFS(LS[[#Headers],[Unit]]:LS[[#This Row],[Unit]],LS[[#Headers],[Investor ID]]:LS[[#This Row],[Investor ID]],LS[[#This Row],[Investor ID]])</f>
        <v>0</v>
      </c>
      <c r="Q287" s="10">
        <v>-40000</v>
      </c>
      <c r="R287" s="6">
        <f>LS[[#This Row],[Amount]]-LS[[#This Row],[Unit Capital]]</f>
        <v>320</v>
      </c>
      <c r="S28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87" s="168">
        <f t="shared" ref="T287:T302" si="33">IFERROR(NAV_MKT,0)</f>
        <v>12.552</v>
      </c>
      <c r="U287" s="10">
        <f>IF(LS[[#This Row],[B/S]]="B",0,ABS(LS[[#This Row],[Unit]])*(LS[[#This Row],[NAV (Strike Rate)]]-INDEX(LS[NAV at Cost (Average)],MATCH(CONCATENATE(LS[[#This Row],[Frequency]]-1,LS[[#This Row],[Investor ID]]),LS[Unique Code],0),)))</f>
        <v>282.45413879427872</v>
      </c>
      <c r="V287" s="10" cm="1">
        <f t="array" ref="V287">IF(LS[[#This Row],[B/S]]="S",ABS(LS[[#This Row],[Unit]])*(INDEX(LS[NAV at Cost (Average)],MATCH(CONCATENATE((LS[[#This Row],[Frequency]]-1),LS[[#This Row],[Investor ID]]),LS[Unique Code],0),0)),0)</f>
        <v>39397.545861205719</v>
      </c>
      <c r="W287" s="10">
        <f>IF(LS[[#This Row],[BO Transfer]]="YES",LS[[#This Row],[Unit]],)</f>
        <v>0</v>
      </c>
      <c r="X287" s="3">
        <f>SUMIFS(LS[[#Headers],[BO UNIT TRANSFER]]:LS[[#This Row],[BO UNIT TRANSFER]],LS[[#Headers],[Investor ID]]:LS[[#This Row],[Investor ID]],LS[[#This Row],[Investor ID]])</f>
        <v>0</v>
      </c>
    </row>
    <row r="288" spans="2:24">
      <c r="B288" s="8">
        <v>2022</v>
      </c>
      <c r="C288" s="110">
        <v>10</v>
      </c>
      <c r="D288" s="110">
        <v>23</v>
      </c>
      <c r="E288" s="291">
        <f>DATE(LS[[#This Row],[Year]],LS[[#This Row],[Month]],LS[[#This Row],[Day]])</f>
        <v>44857</v>
      </c>
      <c r="F288" t="str" cm="1">
        <f t="array" ref="F288">INDEX(INVESTORS_LIST[INVESTOR NAME],MATCH(LS[[#This Row],[Investor ID]],INVESTORS_LIST[INVESTOR CODE],0),)</f>
        <v>HAFIZA AFRIN TONNY</v>
      </c>
      <c r="G288" s="19" t="s">
        <v>665</v>
      </c>
      <c r="H288" s="8">
        <f>COUNTIF(LS[[#Headers],[Investor ID]]:LS[[#This Row],[Investor ID]],LS[[#This Row],[Investor ID]])</f>
        <v>2</v>
      </c>
      <c r="I288" s="8" t="str">
        <f>CONCATENATE(LS[[#This Row],[Frequency]],LS[[#This Row],[Investor ID]])</f>
        <v>2A00359</v>
      </c>
      <c r="J288" s="8" t="str">
        <f>IF(LS[[#This Row],[B/S]]="B","BUY",(IF(LS[[#This Row],[B/S]]="S","SELL"," ")))</f>
        <v>SELL</v>
      </c>
      <c r="K288" s="8" t="s">
        <v>866</v>
      </c>
      <c r="L288" s="10">
        <v>-49500</v>
      </c>
      <c r="M288" s="10"/>
      <c r="N288" s="168">
        <f>LS[[#This Row],[Amount]]/LS[[#This Row],[Unit]]</f>
        <v>9.9</v>
      </c>
      <c r="O288" s="11">
        <f t="shared" si="32"/>
        <v>-5000</v>
      </c>
      <c r="P288" s="11">
        <f>SUMIFS(LS[[#Headers],[Unit]]:LS[[#This Row],[Unit]],LS[[#Headers],[Investor ID]]:LS[[#This Row],[Investor ID]],LS[[#This Row],[Investor ID]])</f>
        <v>0</v>
      </c>
      <c r="Q288" s="10">
        <v>-50000</v>
      </c>
      <c r="R288" s="6">
        <f>LS[[#This Row],[Amount]]-LS[[#This Row],[Unit Capital]]</f>
        <v>500</v>
      </c>
      <c r="S28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88" s="168">
        <f t="shared" si="33"/>
        <v>12.552</v>
      </c>
      <c r="U288" s="10">
        <f>IF(LS[[#This Row],[B/S]]="B",0,ABS(LS[[#This Row],[Unit]])*(LS[[#This Row],[NAV (Strike Rate)]]-INDEX(LS[NAV at Cost (Average)],MATCH(CONCATENATE(LS[[#This Row],[Frequency]]-1,LS[[#This Row],[Investor ID]]),LS[Unique Code],0),)))</f>
        <v>-499.99999999999824</v>
      </c>
      <c r="V288" s="10" cm="1">
        <f t="array" ref="V288">IF(LS[[#This Row],[B/S]]="S",ABS(LS[[#This Row],[Unit]])*(INDEX(LS[NAV at Cost (Average)],MATCH(CONCATENATE((LS[[#This Row],[Frequency]]-1),LS[[#This Row],[Investor ID]]),LS[Unique Code],0),0)),0)</f>
        <v>50000</v>
      </c>
      <c r="W288" s="10">
        <f>IF(LS[[#This Row],[BO Transfer]]="YES",LS[[#This Row],[Unit]],)</f>
        <v>0</v>
      </c>
      <c r="X288" s="3">
        <f>SUMIFS(LS[[#Headers],[BO UNIT TRANSFER]]:LS[[#This Row],[BO UNIT TRANSFER]],LS[[#Headers],[Investor ID]]:LS[[#This Row],[Investor ID]],LS[[#This Row],[Investor ID]])</f>
        <v>0</v>
      </c>
    </row>
    <row r="289" spans="2:24">
      <c r="B289" s="8">
        <v>2022</v>
      </c>
      <c r="C289" s="110">
        <v>10</v>
      </c>
      <c r="D289" s="110">
        <v>24</v>
      </c>
      <c r="E289" s="291">
        <f>DATE(LS[[#This Row],[Year]],LS[[#This Row],[Month]],LS[[#This Row],[Day]])</f>
        <v>44858</v>
      </c>
      <c r="F289" t="str" cm="1">
        <f t="array" ref="F289">INDEX(INVESTORS_LIST[INVESTOR NAME],MATCH(LS[[#This Row],[Investor ID]],INVESTORS_LIST[INVESTOR CODE],0),)</f>
        <v>SHUVA SAHA</v>
      </c>
      <c r="G289" s="25" t="s">
        <v>60</v>
      </c>
      <c r="H289" s="8">
        <f>COUNTIF(LS[[#Headers],[Investor ID]]:LS[[#This Row],[Investor ID]],LS[[#This Row],[Investor ID]])</f>
        <v>6</v>
      </c>
      <c r="I289" s="8" t="str">
        <f>CONCATENATE(LS[[#This Row],[Frequency]],LS[[#This Row],[Investor ID]])</f>
        <v>6A00053</v>
      </c>
      <c r="J289" s="8" t="str">
        <f>IF(LS[[#This Row],[B/S]]="B","BUY",(IF(LS[[#This Row],[B/S]]="S","SELL"," ")))</f>
        <v>SELL</v>
      </c>
      <c r="K289" s="8" t="s">
        <v>866</v>
      </c>
      <c r="L289" s="10">
        <v>-800000</v>
      </c>
      <c r="M289" s="10"/>
      <c r="N289" s="168">
        <f>LS[[#This Row],[Amount]]/LS[[#This Row],[Unit]]</f>
        <v>9.9000099000099002</v>
      </c>
      <c r="O289" s="11">
        <f t="shared" si="32"/>
        <v>-80808</v>
      </c>
      <c r="P289" s="11">
        <f>SUMIFS(LS[[#Headers],[Unit]]:LS[[#This Row],[Unit]],LS[[#Headers],[Investor ID]]:LS[[#This Row],[Investor ID]],LS[[#This Row],[Investor ID]])</f>
        <v>85017</v>
      </c>
      <c r="Q289" s="10">
        <v>-808080</v>
      </c>
      <c r="R289" s="6">
        <f>LS[[#This Row],[Amount]]-LS[[#This Row],[Unit Capital]]</f>
        <v>8080</v>
      </c>
      <c r="S28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9.9238595875234132</v>
      </c>
      <c r="T289" s="168">
        <f t="shared" si="33"/>
        <v>12.552</v>
      </c>
      <c r="U289" s="10">
        <f>IF(LS[[#This Row],[B/S]]="B",0,ABS(LS[[#This Row],[Unit]])*(LS[[#This Row],[NAV (Strike Rate)]]-INDEX(LS[NAV at Cost (Average)],MATCH(CONCATENATE(LS[[#This Row],[Frequency]]-1,LS[[#This Row],[Investor ID]]),LS[Unique Code],0),)))</f>
        <v>-1927.24554859196</v>
      </c>
      <c r="V289" s="10" cm="1">
        <f t="array" ref="V289">IF(LS[[#This Row],[B/S]]="S",ABS(LS[[#This Row],[Unit]])*(INDEX(LS[NAV at Cost (Average)],MATCH(CONCATENATE((LS[[#This Row],[Frequency]]-1),LS[[#This Row],[Investor ID]]),LS[Unique Code],0),0)),0)</f>
        <v>801927.24554859195</v>
      </c>
      <c r="W289" s="10">
        <f>IF(LS[[#This Row],[BO Transfer]]="YES",LS[[#This Row],[Unit]],)</f>
        <v>0</v>
      </c>
      <c r="X289" s="3">
        <f>SUMIFS(LS[[#Headers],[BO UNIT TRANSFER]]:LS[[#This Row],[BO UNIT TRANSFER]],LS[[#Headers],[Investor ID]]:LS[[#This Row],[Investor ID]],LS[[#This Row],[Investor ID]])</f>
        <v>0</v>
      </c>
    </row>
    <row r="290" spans="2:24">
      <c r="B290" s="8">
        <v>2022</v>
      </c>
      <c r="C290" s="110">
        <v>10</v>
      </c>
      <c r="D290" s="110">
        <v>26</v>
      </c>
      <c r="E290" s="291">
        <f>DATE(LS[[#This Row],[Year]],LS[[#This Row],[Month]],LS[[#This Row],[Day]])</f>
        <v>44860</v>
      </c>
      <c r="F290" t="str" cm="1">
        <f t="array" ref="F290">INDEX(INVESTORS_LIST[INVESTOR NAME],MATCH(LS[[#This Row],[Investor ID]],INVESTORS_LIST[INVESTOR CODE],0),)</f>
        <v>JANNATUL FERDOUS SHARNA</v>
      </c>
      <c r="G290" s="19" t="s">
        <v>466</v>
      </c>
      <c r="H290" s="8">
        <f>COUNTIF(LS[[#Headers],[Investor ID]]:LS[[#This Row],[Investor ID]],LS[[#This Row],[Investor ID]])</f>
        <v>2</v>
      </c>
      <c r="I290" s="8" t="str">
        <f>CONCATENATE(LS[[#This Row],[Frequency]],LS[[#This Row],[Investor ID]])</f>
        <v>2A00301</v>
      </c>
      <c r="J290" s="8" t="str">
        <f>IF(LS[[#This Row],[B/S]]="B","BUY",(IF(LS[[#This Row],[B/S]]="S","SELL"," ")))</f>
        <v>SELL</v>
      </c>
      <c r="K290" s="8" t="s">
        <v>866</v>
      </c>
      <c r="L290" s="10">
        <v>-198000</v>
      </c>
      <c r="M290" s="10"/>
      <c r="N290" s="168">
        <f>LS[[#This Row],[Amount]]/LS[[#This Row],[Unit]]</f>
        <v>9.9</v>
      </c>
      <c r="O290" s="11">
        <f t="shared" si="32"/>
        <v>-20000</v>
      </c>
      <c r="P290" s="11">
        <f>SUMIFS(LS[[#Headers],[Unit]]:LS[[#This Row],[Unit]],LS[[#Headers],[Investor ID]]:LS[[#This Row],[Investor ID]],LS[[#This Row],[Investor ID]])</f>
        <v>0</v>
      </c>
      <c r="Q290" s="10">
        <v>-200000</v>
      </c>
      <c r="R290" s="6">
        <f>LS[[#This Row],[Amount]]-LS[[#This Row],[Unit Capital]]</f>
        <v>2000</v>
      </c>
      <c r="S29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90" s="168">
        <f t="shared" si="33"/>
        <v>12.552</v>
      </c>
      <c r="U290" s="10">
        <f>IF(LS[[#This Row],[B/S]]="B",0,ABS(LS[[#This Row],[Unit]])*(LS[[#This Row],[NAV (Strike Rate)]]-INDEX(LS[NAV at Cost (Average)],MATCH(CONCATENATE(LS[[#This Row],[Frequency]]-1,LS[[#This Row],[Investor ID]]),LS[Unique Code],0),)))</f>
        <v>-1999.999999999993</v>
      </c>
      <c r="V290" s="10" cm="1">
        <f t="array" ref="V290">IF(LS[[#This Row],[B/S]]="S",ABS(LS[[#This Row],[Unit]])*(INDEX(LS[NAV at Cost (Average)],MATCH(CONCATENATE((LS[[#This Row],[Frequency]]-1),LS[[#This Row],[Investor ID]]),LS[Unique Code],0),0)),0)</f>
        <v>200000</v>
      </c>
      <c r="W290" s="10">
        <f>IF(LS[[#This Row],[BO Transfer]]="YES",LS[[#This Row],[Unit]],)</f>
        <v>0</v>
      </c>
      <c r="X290" s="3">
        <f>SUMIFS(LS[[#Headers],[BO UNIT TRANSFER]]:LS[[#This Row],[BO UNIT TRANSFER]],LS[[#Headers],[Investor ID]]:LS[[#This Row],[Investor ID]],LS[[#This Row],[Investor ID]])</f>
        <v>0</v>
      </c>
    </row>
    <row r="291" spans="2:24">
      <c r="B291" s="8">
        <v>2022</v>
      </c>
      <c r="C291" s="110">
        <v>10</v>
      </c>
      <c r="D291" s="110">
        <v>31</v>
      </c>
      <c r="E291" s="291">
        <f>DATE(LS[[#This Row],[Year]],LS[[#This Row],[Month]],LS[[#This Row],[Day]])</f>
        <v>44865</v>
      </c>
      <c r="F291" t="str" cm="1">
        <f t="array" ref="F291">INDEX(INVESTORS_LIST[INVESTOR NAME],MATCH(LS[[#This Row],[Investor ID]],INVESTORS_LIST[INVESTOR CODE],0),)</f>
        <v>MD. SHEFATH-UL-ISLAM</v>
      </c>
      <c r="G291" s="25" t="s">
        <v>589</v>
      </c>
      <c r="H291" s="8">
        <f>COUNTIF(LS[[#Headers],[Investor ID]]:LS[[#This Row],[Investor ID]],LS[[#This Row],[Investor ID]])</f>
        <v>2</v>
      </c>
      <c r="I291" s="8" t="str">
        <f>CONCATENATE(LS[[#This Row],[Frequency]],LS[[#This Row],[Investor ID]])</f>
        <v>2A00331</v>
      </c>
      <c r="J291" s="8" t="str">
        <f>IF(LS[[#This Row],[B/S]]="B","BUY",(IF(LS[[#This Row],[B/S]]="S","SELL"," ")))</f>
        <v>SELL</v>
      </c>
      <c r="K291" s="8" t="s">
        <v>866</v>
      </c>
      <c r="L291" s="10">
        <v>-198000</v>
      </c>
      <c r="M291" s="10"/>
      <c r="N291" s="168">
        <f>LS[[#This Row],[Amount]]/LS[[#This Row],[Unit]]</f>
        <v>9.9</v>
      </c>
      <c r="O291" s="11">
        <f t="shared" si="32"/>
        <v>-20000</v>
      </c>
      <c r="P291" s="11">
        <f>SUMIFS(LS[[#Headers],[Unit]]:LS[[#This Row],[Unit]],LS[[#Headers],[Investor ID]]:LS[[#This Row],[Investor ID]],LS[[#This Row],[Investor ID]])</f>
        <v>0</v>
      </c>
      <c r="Q291" s="10">
        <v>-200000</v>
      </c>
      <c r="R291" s="6">
        <f>LS[[#This Row],[Amount]]-LS[[#This Row],[Unit Capital]]</f>
        <v>2000</v>
      </c>
      <c r="S29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91" s="168">
        <f t="shared" si="33"/>
        <v>12.552</v>
      </c>
      <c r="U291" s="10">
        <f>IF(LS[[#This Row],[B/S]]="B",0,ABS(LS[[#This Row],[Unit]])*(LS[[#This Row],[NAV (Strike Rate)]]-INDEX(LS[NAV at Cost (Average)],MATCH(CONCATENATE(LS[[#This Row],[Frequency]]-1,LS[[#This Row],[Investor ID]]),LS[Unique Code],0),)))</f>
        <v>-1999.999999999993</v>
      </c>
      <c r="V291" s="10" cm="1">
        <f t="array" ref="V291">IF(LS[[#This Row],[B/S]]="S",ABS(LS[[#This Row],[Unit]])*(INDEX(LS[NAV at Cost (Average)],MATCH(CONCATENATE((LS[[#This Row],[Frequency]]-1),LS[[#This Row],[Investor ID]]),LS[Unique Code],0),0)),0)</f>
        <v>200000</v>
      </c>
      <c r="W291" s="10">
        <f>IF(LS[[#This Row],[BO Transfer]]="YES",LS[[#This Row],[Unit]],)</f>
        <v>0</v>
      </c>
      <c r="X291" s="3">
        <f>SUMIFS(LS[[#Headers],[BO UNIT TRANSFER]]:LS[[#This Row],[BO UNIT TRANSFER]],LS[[#Headers],[Investor ID]]:LS[[#This Row],[Investor ID]],LS[[#This Row],[Investor ID]])</f>
        <v>0</v>
      </c>
    </row>
    <row r="292" spans="2:24">
      <c r="B292" s="8">
        <v>2022</v>
      </c>
      <c r="C292" s="110">
        <v>10</v>
      </c>
      <c r="D292" s="110">
        <v>31</v>
      </c>
      <c r="E292" s="291">
        <f>DATE(LS[[#This Row],[Year]],LS[[#This Row],[Month]],LS[[#This Row],[Day]])</f>
        <v>44865</v>
      </c>
      <c r="F292" t="str" cm="1">
        <f t="array" ref="F292">INDEX(INVESTORS_LIST[INVESTOR NAME],MATCH(LS[[#This Row],[Investor ID]],INVESTORS_LIST[INVESTOR CODE],0),)</f>
        <v>KAZI AHSAN MARUF</v>
      </c>
      <c r="G292" s="19" t="s">
        <v>62</v>
      </c>
      <c r="H292" s="8">
        <f>COUNTIF(LS[[#Headers],[Investor ID]]:LS[[#This Row],[Investor ID]],LS[[#This Row],[Investor ID]])</f>
        <v>2</v>
      </c>
      <c r="I292" s="8" t="str">
        <f>CONCATENATE(LS[[#This Row],[Frequency]],LS[[#This Row],[Investor ID]])</f>
        <v>2A00055</v>
      </c>
      <c r="J292" s="8" t="str">
        <f>IF(LS[[#This Row],[B/S]]="B","BUY",(IF(LS[[#This Row],[B/S]]="S","SELL"," ")))</f>
        <v>BUY</v>
      </c>
      <c r="K292" s="8" t="s">
        <v>301</v>
      </c>
      <c r="L292" s="10">
        <v>500000</v>
      </c>
      <c r="M292" s="10"/>
      <c r="N292" s="168">
        <f>LS[[#This Row],[Amount]]/LS[[#This Row],[Unit]]</f>
        <v>9.9000099000099002</v>
      </c>
      <c r="O292" s="11">
        <f t="shared" si="32"/>
        <v>50505</v>
      </c>
      <c r="P292" s="11">
        <f>SUMIFS(LS[[#Headers],[Unit]]:LS[[#This Row],[Unit]],LS[[#Headers],[Investor ID]]:LS[[#This Row],[Investor ID]],LS[[#This Row],[Investor ID]])</f>
        <v>101421</v>
      </c>
      <c r="Q292" s="10">
        <v>505050</v>
      </c>
      <c r="R292" s="6">
        <f>LS[[#This Row],[Amount]]-LS[[#This Row],[Unit Capital]]</f>
        <v>-5050</v>
      </c>
      <c r="S29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9.8598909496060969</v>
      </c>
      <c r="T292" s="168">
        <f t="shared" si="33"/>
        <v>12.552</v>
      </c>
      <c r="U29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92" s="10" cm="1">
        <f t="array" ref="V292">IF(LS[[#This Row],[B/S]]="S",ABS(LS[[#This Row],[Unit]])*(INDEX(LS[NAV at Cost (Average)],MATCH(CONCATENATE((LS[[#This Row],[Frequency]]-1),LS[[#This Row],[Investor ID]]),LS[Unique Code],0),0)),0)</f>
        <v>0</v>
      </c>
      <c r="W292" s="10">
        <f>IF(LS[[#This Row],[BO Transfer]]="YES",LS[[#This Row],[Unit]],)</f>
        <v>0</v>
      </c>
      <c r="X292" s="3">
        <f>SUMIFS(LS[[#Headers],[BO UNIT TRANSFER]]:LS[[#This Row],[BO UNIT TRANSFER]],LS[[#Headers],[Investor ID]]:LS[[#This Row],[Investor ID]],LS[[#This Row],[Investor ID]])</f>
        <v>0</v>
      </c>
    </row>
    <row r="293" spans="2:24">
      <c r="B293" s="8">
        <v>2022</v>
      </c>
      <c r="C293" s="110">
        <v>10</v>
      </c>
      <c r="D293" s="110">
        <v>31</v>
      </c>
      <c r="E293" s="291">
        <f>DATE(LS[[#This Row],[Year]],LS[[#This Row],[Month]],LS[[#This Row],[Day]])</f>
        <v>44865</v>
      </c>
      <c r="F293" t="str" cm="1">
        <f t="array" ref="F293">INDEX(INVESTORS_LIST[INVESTOR NAME],MATCH(LS[[#This Row],[Investor ID]],INVESTORS_LIST[INVESTOR CODE],0),)</f>
        <v>EKUSH WEALTH MANAGEMENT LIMITED</v>
      </c>
      <c r="G293" s="19" t="s">
        <v>4</v>
      </c>
      <c r="H293" s="8">
        <f>COUNTIF(LS[[#Headers],[Investor ID]]:LS[[#This Row],[Investor ID]],LS[[#This Row],[Investor ID]])</f>
        <v>10</v>
      </c>
      <c r="I293" s="8" t="str">
        <f>CONCATENATE(LS[[#This Row],[Frequency]],LS[[#This Row],[Investor ID]])</f>
        <v>10A00003</v>
      </c>
      <c r="J293" s="8" t="str">
        <f>IF(LS[[#This Row],[B/S]]="B","BUY",(IF(LS[[#This Row],[B/S]]="S","SELL"," ")))</f>
        <v>SELL</v>
      </c>
      <c r="K293" s="8" t="s">
        <v>866</v>
      </c>
      <c r="L293" s="10">
        <v>-18300150</v>
      </c>
      <c r="M293" s="10"/>
      <c r="N293" s="168">
        <f>LS[[#This Row],[Amount]]/LS[[#This Row],[Unit]]</f>
        <v>9.9</v>
      </c>
      <c r="O293" s="11">
        <f t="shared" ref="O293:O302" si="34">Q293/10</f>
        <v>-1848500</v>
      </c>
      <c r="P293" s="11">
        <f>SUMIFS(LS[[#Headers],[Unit]]:LS[[#This Row],[Unit]],LS[[#Headers],[Investor ID]]:LS[[#This Row],[Investor ID]],LS[[#This Row],[Investor ID]])</f>
        <v>651500</v>
      </c>
      <c r="Q293" s="10">
        <v>-18485000</v>
      </c>
      <c r="R293" s="6">
        <f>LS[[#This Row],[Amount]]-LS[[#This Row],[Unit Capital]]</f>
        <v>184850</v>
      </c>
      <c r="S29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9.9716589295908644</v>
      </c>
      <c r="T293" s="168">
        <f t="shared" si="33"/>
        <v>12.552</v>
      </c>
      <c r="U293" s="10">
        <f>IF(LS[[#This Row],[B/S]]="B",0,ABS(LS[[#This Row],[Unit]])*(LS[[#This Row],[NAV (Strike Rate)]]-INDEX(LS[NAV at Cost (Average)],MATCH(CONCATENATE(LS[[#This Row],[Frequency]]-1,LS[[#This Row],[Investor ID]]),LS[Unique Code],0),)))</f>
        <v>-132461.53134871222</v>
      </c>
      <c r="V293" s="10" cm="1">
        <f t="array" ref="V293">IF(LS[[#This Row],[B/S]]="S",ABS(LS[[#This Row],[Unit]])*(INDEX(LS[NAV at Cost (Average)],MATCH(CONCATENATE((LS[[#This Row],[Frequency]]-1),LS[[#This Row],[Investor ID]]),LS[Unique Code],0),0)),0)</f>
        <v>18432611.531348713</v>
      </c>
      <c r="W293" s="10">
        <f>IF(LS[[#This Row],[BO Transfer]]="YES",LS[[#This Row],[Unit]],)</f>
        <v>0</v>
      </c>
      <c r="X293" s="3">
        <f>SUMIFS(LS[[#Headers],[BO UNIT TRANSFER]]:LS[[#This Row],[BO UNIT TRANSFER]],LS[[#Headers],[Investor ID]]:LS[[#This Row],[Investor ID]],LS[[#This Row],[Investor ID]])</f>
        <v>0</v>
      </c>
    </row>
    <row r="294" spans="2:24">
      <c r="B294" s="8">
        <v>2022</v>
      </c>
      <c r="C294" s="110">
        <v>11</v>
      </c>
      <c r="D294" s="110">
        <v>9</v>
      </c>
      <c r="E294" s="291">
        <f>DATE(LS[[#This Row],[Year]],LS[[#This Row],[Month]],LS[[#This Row],[Day]])</f>
        <v>44874</v>
      </c>
      <c r="F294" t="str" cm="1">
        <f t="array" ref="F294">INDEX(INVESTORS_LIST[INVESTOR NAME],MATCH(LS[[#This Row],[Investor ID]],INVESTORS_LIST[INVESTOR CODE],0),)</f>
        <v>RAIHAN RASHID MAJUMDAR</v>
      </c>
      <c r="G294" s="19" t="s">
        <v>216</v>
      </c>
      <c r="H294" s="8">
        <f>COUNTIF(LS[[#Headers],[Investor ID]]:LS[[#This Row],[Investor ID]],LS[[#This Row],[Investor ID]])</f>
        <v>2</v>
      </c>
      <c r="I294" s="8" t="str">
        <f>CONCATENATE(LS[[#This Row],[Frequency]],LS[[#This Row],[Investor ID]])</f>
        <v>2A00183</v>
      </c>
      <c r="J294" s="8" t="str">
        <f>IF(LS[[#This Row],[B/S]]="B","BUY",(IF(LS[[#This Row],[B/S]]="S","SELL"," ")))</f>
        <v>SELL</v>
      </c>
      <c r="K294" s="8" t="s">
        <v>866</v>
      </c>
      <c r="L294" s="10">
        <v>-1000000</v>
      </c>
      <c r="M294" s="10"/>
      <c r="N294" s="168">
        <f>LS[[#This Row],[Amount]]/LS[[#This Row],[Unit]]</f>
        <v>9.910017045229317</v>
      </c>
      <c r="O294" s="11">
        <f t="shared" si="34"/>
        <v>-100908</v>
      </c>
      <c r="P294" s="11">
        <f>SUMIFS(LS[[#Headers],[Unit]]:LS[[#This Row],[Unit]],LS[[#Headers],[Investor ID]]:LS[[#This Row],[Investor ID]],LS[[#This Row],[Investor ID]])</f>
        <v>399092</v>
      </c>
      <c r="Q294" s="10">
        <v>-1009080</v>
      </c>
      <c r="R294" s="6">
        <f>LS[[#This Row],[Amount]]-LS[[#This Row],[Unit Capital]]</f>
        <v>9080</v>
      </c>
      <c r="S29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94" s="168">
        <f t="shared" si="33"/>
        <v>12.552</v>
      </c>
      <c r="U294" s="10">
        <f>IF(LS[[#This Row],[B/S]]="B",0,ABS(LS[[#This Row],[Unit]])*(LS[[#This Row],[NAV (Strike Rate)]]-INDEX(LS[NAV at Cost (Average)],MATCH(CONCATENATE(LS[[#This Row],[Frequency]]-1,LS[[#This Row],[Investor ID]]),LS[Unique Code],0),)))</f>
        <v>-9080.0000000000764</v>
      </c>
      <c r="V294" s="10" cm="1">
        <f t="array" ref="V294">IF(LS[[#This Row],[B/S]]="S",ABS(LS[[#This Row],[Unit]])*(INDEX(LS[NAV at Cost (Average)],MATCH(CONCATENATE((LS[[#This Row],[Frequency]]-1),LS[[#This Row],[Investor ID]]),LS[Unique Code],0),0)),0)</f>
        <v>1009080</v>
      </c>
      <c r="W294" s="10">
        <f>IF(LS[[#This Row],[BO Transfer]]="YES",LS[[#This Row],[Unit]],)</f>
        <v>0</v>
      </c>
      <c r="X294" s="3">
        <f>SUMIFS(LS[[#Headers],[BO UNIT TRANSFER]]:LS[[#This Row],[BO UNIT TRANSFER]],LS[[#Headers],[Investor ID]]:LS[[#This Row],[Investor ID]],LS[[#This Row],[Investor ID]])</f>
        <v>0</v>
      </c>
    </row>
    <row r="295" spans="2:24">
      <c r="B295" s="8">
        <v>2022</v>
      </c>
      <c r="C295" s="110">
        <v>11</v>
      </c>
      <c r="D295" s="110">
        <v>14</v>
      </c>
      <c r="E295" s="291">
        <f>DATE(LS[[#This Row],[Year]],LS[[#This Row],[Month]],LS[[#This Row],[Day]])</f>
        <v>44879</v>
      </c>
      <c r="F295" t="str" cm="1">
        <f t="array" ref="F295">INDEX(INVESTORS_LIST[INVESTOR NAME],MATCH(LS[[#This Row],[Investor ID]],INVESTORS_LIST[INVESTOR CODE],0),)</f>
        <v>MOHAMMAD AMDADUL HOQUE</v>
      </c>
      <c r="G295" s="19" t="s">
        <v>663</v>
      </c>
      <c r="H295" s="8">
        <f>COUNTIF(LS[[#Headers],[Investor ID]]:LS[[#This Row],[Investor ID]],LS[[#This Row],[Investor ID]])</f>
        <v>2</v>
      </c>
      <c r="I295" s="8" t="str">
        <f>CONCATENATE(LS[[#This Row],[Frequency]],LS[[#This Row],[Investor ID]])</f>
        <v>2A00358</v>
      </c>
      <c r="J295" s="8" t="str">
        <f>IF(LS[[#This Row],[B/S]]="B","BUY",(IF(LS[[#This Row],[B/S]]="S","SELL"," ")))</f>
        <v>SELL</v>
      </c>
      <c r="K295" s="8" t="s">
        <v>866</v>
      </c>
      <c r="L295" s="10">
        <v>-991000</v>
      </c>
      <c r="M295" s="10"/>
      <c r="N295" s="168">
        <f>LS[[#This Row],[Amount]]/LS[[#This Row],[Unit]]</f>
        <v>9.91</v>
      </c>
      <c r="O295" s="11">
        <f t="shared" si="34"/>
        <v>-100000</v>
      </c>
      <c r="P295" s="11">
        <f>SUMIFS(LS[[#Headers],[Unit]]:LS[[#This Row],[Unit]],LS[[#Headers],[Investor ID]]:LS[[#This Row],[Investor ID]],LS[[#This Row],[Investor ID]])</f>
        <v>0</v>
      </c>
      <c r="Q295" s="10">
        <v>-1000000</v>
      </c>
      <c r="R295" s="6">
        <f>LS[[#This Row],[Amount]]-LS[[#This Row],[Unit Capital]]</f>
        <v>9000</v>
      </c>
      <c r="S29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295" s="168">
        <f t="shared" si="33"/>
        <v>12.552</v>
      </c>
      <c r="U295" s="10">
        <f>IF(LS[[#This Row],[B/S]]="B",0,ABS(LS[[#This Row],[Unit]])*(LS[[#This Row],[NAV (Strike Rate)]]-INDEX(LS[NAV at Cost (Average)],MATCH(CONCATENATE(LS[[#This Row],[Frequency]]-1,LS[[#This Row],[Investor ID]]),LS[Unique Code],0),)))</f>
        <v>-8999.9999999999854</v>
      </c>
      <c r="V295" s="10" cm="1">
        <f t="array" ref="V295">IF(LS[[#This Row],[B/S]]="S",ABS(LS[[#This Row],[Unit]])*(INDEX(LS[NAV at Cost (Average)],MATCH(CONCATENATE((LS[[#This Row],[Frequency]]-1),LS[[#This Row],[Investor ID]]),LS[Unique Code],0),0)),0)</f>
        <v>1000000</v>
      </c>
      <c r="W295" s="10">
        <f>IF(LS[[#This Row],[BO Transfer]]="YES",LS[[#This Row],[Unit]],)</f>
        <v>0</v>
      </c>
      <c r="X295" s="3">
        <f>SUMIFS(LS[[#Headers],[BO UNIT TRANSFER]]:LS[[#This Row],[BO UNIT TRANSFER]],LS[[#Headers],[Investor ID]]:LS[[#This Row],[Investor ID]],LS[[#This Row],[Investor ID]])</f>
        <v>0</v>
      </c>
    </row>
    <row r="296" spans="2:24">
      <c r="B296" s="8">
        <v>2022</v>
      </c>
      <c r="C296" s="110">
        <v>11</v>
      </c>
      <c r="D296" s="110">
        <v>16</v>
      </c>
      <c r="E296" s="291">
        <f>DATE(LS[[#This Row],[Year]],LS[[#This Row],[Month]],LS[[#This Row],[Day]])</f>
        <v>44881</v>
      </c>
      <c r="F296" t="str" cm="1">
        <f t="array" ref="F296">INDEX(INVESTORS_LIST[INVESTOR NAME],MATCH(LS[[#This Row],[Investor ID]],INVESTORS_LIST[INVESTOR CODE],0),)</f>
        <v>NAYEEMA TASNEEM</v>
      </c>
      <c r="G296" s="19" t="s">
        <v>679</v>
      </c>
      <c r="H296" s="8">
        <f>COUNTIF(LS[[#Headers],[Investor ID]]:LS[[#This Row],[Investor ID]],LS[[#This Row],[Investor ID]])</f>
        <v>2</v>
      </c>
      <c r="I296" s="8" t="str">
        <f>CONCATENATE(LS[[#This Row],[Frequency]],LS[[#This Row],[Investor ID]])</f>
        <v>2A00366</v>
      </c>
      <c r="J296" s="8" t="str">
        <f>IF(LS[[#This Row],[B/S]]="B","BUY",(IF(LS[[#This Row],[B/S]]="S","SELL"," ")))</f>
        <v>SELL</v>
      </c>
      <c r="K296" s="8" t="s">
        <v>866</v>
      </c>
      <c r="L296" s="10">
        <v>-150000</v>
      </c>
      <c r="M296" s="10"/>
      <c r="N296" s="168">
        <f>LS[[#This Row],[Amount]]/LS[[#This Row],[Unit]]</f>
        <v>9.9199788373784799</v>
      </c>
      <c r="O296" s="11">
        <f t="shared" si="34"/>
        <v>-15121</v>
      </c>
      <c r="P296" s="11">
        <f>SUMIFS(LS[[#Headers],[Unit]]:LS[[#This Row],[Unit]],LS[[#Headers],[Investor ID]]:LS[[#This Row],[Investor ID]],LS[[#This Row],[Investor ID]])</f>
        <v>44879</v>
      </c>
      <c r="Q296" s="10">
        <v>-151210</v>
      </c>
      <c r="R296" s="6">
        <f>LS[[#This Row],[Amount]]-LS[[#This Row],[Unit Capital]]</f>
        <v>1210</v>
      </c>
      <c r="S29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296" s="168">
        <f t="shared" si="33"/>
        <v>12.552</v>
      </c>
      <c r="U296" s="10">
        <f>IF(LS[[#This Row],[B/S]]="B",0,ABS(LS[[#This Row],[Unit]])*(LS[[#This Row],[NAV (Strike Rate)]]-INDEX(LS[NAV at Cost (Average)],MATCH(CONCATENATE(LS[[#This Row],[Frequency]]-1,LS[[#This Row],[Investor ID]]),LS[Unique Code],0),)))</f>
        <v>-1210.0000000000061</v>
      </c>
      <c r="V296" s="10" cm="1">
        <f t="array" ref="V296">IF(LS[[#This Row],[B/S]]="S",ABS(LS[[#This Row],[Unit]])*(INDEX(LS[NAV at Cost (Average)],MATCH(CONCATENATE((LS[[#This Row],[Frequency]]-1),LS[[#This Row],[Investor ID]]),LS[Unique Code],0),0)),0)</f>
        <v>151210</v>
      </c>
      <c r="W296" s="10">
        <f>IF(LS[[#This Row],[BO Transfer]]="YES",LS[[#This Row],[Unit]],)</f>
        <v>0</v>
      </c>
      <c r="X296" s="3">
        <f>SUMIFS(LS[[#Headers],[BO UNIT TRANSFER]]:LS[[#This Row],[BO UNIT TRANSFER]],LS[[#Headers],[Investor ID]]:LS[[#This Row],[Investor ID]],LS[[#This Row],[Investor ID]])</f>
        <v>0</v>
      </c>
    </row>
    <row r="297" spans="2:24">
      <c r="B297" s="8">
        <v>2022</v>
      </c>
      <c r="C297" s="110">
        <v>11</v>
      </c>
      <c r="D297" s="110">
        <v>17</v>
      </c>
      <c r="E297" s="291">
        <f>DATE(LS[[#This Row],[Year]],LS[[#This Row],[Month]],LS[[#This Row],[Day]])</f>
        <v>44882</v>
      </c>
      <c r="F297" t="str" cm="1">
        <f t="array" ref="F297">INDEX(INVESTORS_LIST[INVESTOR NAME],MATCH(LS[[#This Row],[Investor ID]],INVESTORS_LIST[INVESTOR CODE],0),)</f>
        <v>SHUVA SAHA</v>
      </c>
      <c r="G297" s="19" t="s">
        <v>60</v>
      </c>
      <c r="H297" s="8">
        <f>COUNTIF(LS[[#Headers],[Investor ID]]:LS[[#This Row],[Investor ID]],LS[[#This Row],[Investor ID]])</f>
        <v>7</v>
      </c>
      <c r="I297" s="8" t="str">
        <f>CONCATENATE(LS[[#This Row],[Frequency]],LS[[#This Row],[Investor ID]])</f>
        <v>7A00053</v>
      </c>
      <c r="J297" s="8" t="str">
        <f>IF(LS[[#This Row],[B/S]]="B","BUY",(IF(LS[[#This Row],[B/S]]="S","SELL"," ")))</f>
        <v>BUY</v>
      </c>
      <c r="K297" s="8" t="s">
        <v>301</v>
      </c>
      <c r="L297" s="10">
        <v>1000000</v>
      </c>
      <c r="M297" s="10"/>
      <c r="N297" s="168">
        <f>LS[[#This Row],[Amount]]/LS[[#This Row],[Unit]]</f>
        <v>9.9200444417990994</v>
      </c>
      <c r="O297" s="11">
        <f t="shared" si="34"/>
        <v>100806</v>
      </c>
      <c r="P297" s="11">
        <f>SUMIFS(LS[[#Headers],[Unit]]:LS[[#This Row],[Unit]],LS[[#Headers],[Investor ID]]:LS[[#This Row],[Investor ID]],LS[[#This Row],[Investor ID]])</f>
        <v>185823</v>
      </c>
      <c r="Q297" s="10">
        <v>1008060</v>
      </c>
      <c r="R297" s="6">
        <f>LS[[#This Row],[Amount]]-LS[[#This Row],[Unit Capital]]</f>
        <v>-8060</v>
      </c>
      <c r="S29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9.9217899320992444</v>
      </c>
      <c r="T297" s="168">
        <f t="shared" si="33"/>
        <v>12.552</v>
      </c>
      <c r="U29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97" s="10" cm="1">
        <f t="array" ref="V297">IF(LS[[#This Row],[B/S]]="S",ABS(LS[[#This Row],[Unit]])*(INDEX(LS[NAV at Cost (Average)],MATCH(CONCATENATE((LS[[#This Row],[Frequency]]-1),LS[[#This Row],[Investor ID]]),LS[Unique Code],0),0)),0)</f>
        <v>0</v>
      </c>
      <c r="W297" s="10">
        <f>IF(LS[[#This Row],[BO Transfer]]="YES",LS[[#This Row],[Unit]],)</f>
        <v>0</v>
      </c>
      <c r="X297" s="3">
        <f>SUMIFS(LS[[#Headers],[BO UNIT TRANSFER]]:LS[[#This Row],[BO UNIT TRANSFER]],LS[[#Headers],[Investor ID]]:LS[[#This Row],[Investor ID]],LS[[#This Row],[Investor ID]])</f>
        <v>0</v>
      </c>
    </row>
    <row r="298" spans="2:24">
      <c r="B298" s="8">
        <v>2022</v>
      </c>
      <c r="C298" s="110">
        <v>11</v>
      </c>
      <c r="D298" s="110">
        <v>20</v>
      </c>
      <c r="E298" s="291">
        <f>DATE(LS[[#This Row],[Year]],LS[[#This Row],[Month]],LS[[#This Row],[Day]])</f>
        <v>44885</v>
      </c>
      <c r="F298" t="str" cm="1">
        <f t="array" ref="F298">INDEX(INVESTORS_LIST[INVESTOR NAME],MATCH(LS[[#This Row],[Investor ID]],INVESTORS_LIST[INVESTOR CODE],0),)</f>
        <v>MOHAMMED ALI XAHANGIR</v>
      </c>
      <c r="G298" s="19" t="s">
        <v>165</v>
      </c>
      <c r="H298" s="8">
        <f>COUNTIF(LS[[#Headers],[Investor ID]]:LS[[#This Row],[Investor ID]],LS[[#This Row],[Investor ID]])</f>
        <v>4</v>
      </c>
      <c r="I298" s="8" t="str">
        <f>CONCATENATE(LS[[#This Row],[Frequency]],LS[[#This Row],[Investor ID]])</f>
        <v>4A00132</v>
      </c>
      <c r="J298" s="8" t="str">
        <f>IF(LS[[#This Row],[B/S]]="B","BUY",(IF(LS[[#This Row],[B/S]]="S","SELL"," ")))</f>
        <v>BUY</v>
      </c>
      <c r="K298" s="8" t="s">
        <v>301</v>
      </c>
      <c r="L298" s="10">
        <v>875000</v>
      </c>
      <c r="M298" s="10"/>
      <c r="N298" s="168">
        <f>LS[[#This Row],[Amount]]/LS[[#This Row],[Unit]]</f>
        <v>9.9299794591282051</v>
      </c>
      <c r="O298" s="11">
        <f t="shared" si="34"/>
        <v>88117</v>
      </c>
      <c r="P298" s="11">
        <f>SUMIFS(LS[[#Headers],[Unit]]:LS[[#This Row],[Unit]],LS[[#Headers],[Investor ID]]:LS[[#This Row],[Investor ID]],LS[[#This Row],[Investor ID]])</f>
        <v>88117</v>
      </c>
      <c r="Q298" s="10">
        <v>881170</v>
      </c>
      <c r="R298" s="6">
        <f>LS[[#This Row],[Amount]]-LS[[#This Row],[Unit Capital]]</f>
        <v>-6170</v>
      </c>
      <c r="S29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9.9299794591282051</v>
      </c>
      <c r="T298" s="168">
        <f t="shared" si="33"/>
        <v>12.552</v>
      </c>
      <c r="U29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98" s="10" cm="1">
        <f t="array" ref="V298">IF(LS[[#This Row],[B/S]]="S",ABS(LS[[#This Row],[Unit]])*(INDEX(LS[NAV at Cost (Average)],MATCH(CONCATENATE((LS[[#This Row],[Frequency]]-1),LS[[#This Row],[Investor ID]]),LS[Unique Code],0),0)),0)</f>
        <v>0</v>
      </c>
      <c r="W298" s="10">
        <f>IF(LS[[#This Row],[BO Transfer]]="YES",LS[[#This Row],[Unit]],)</f>
        <v>0</v>
      </c>
      <c r="X298" s="3">
        <f>SUMIFS(LS[[#Headers],[BO UNIT TRANSFER]]:LS[[#This Row],[BO UNIT TRANSFER]],LS[[#Headers],[Investor ID]]:LS[[#This Row],[Investor ID]],LS[[#This Row],[Investor ID]])</f>
        <v>0</v>
      </c>
    </row>
    <row r="299" spans="2:24">
      <c r="B299" s="8">
        <v>2022</v>
      </c>
      <c r="C299" s="110">
        <v>11</v>
      </c>
      <c r="D299" s="110">
        <v>20</v>
      </c>
      <c r="E299" s="291">
        <f>DATE(LS[[#This Row],[Year]],LS[[#This Row],[Month]],LS[[#This Row],[Day]])</f>
        <v>44885</v>
      </c>
      <c r="F299" t="str" cm="1">
        <f t="array" ref="F299">INDEX(INVESTORS_LIST[INVESTOR NAME],MATCH(LS[[#This Row],[Investor ID]],INVESTORS_LIST[INVESTOR CODE],0),)</f>
        <v>SHUVA SAHA</v>
      </c>
      <c r="G299" s="19" t="s">
        <v>60</v>
      </c>
      <c r="H299" s="8">
        <f>COUNTIF(LS[[#Headers],[Investor ID]]:LS[[#This Row],[Investor ID]],LS[[#This Row],[Investor ID]])</f>
        <v>8</v>
      </c>
      <c r="I299" s="8" t="str">
        <f>CONCATENATE(LS[[#This Row],[Frequency]],LS[[#This Row],[Investor ID]])</f>
        <v>8A00053</v>
      </c>
      <c r="J299" s="8" t="str">
        <f>IF(LS[[#This Row],[B/S]]="B","BUY",(IF(LS[[#This Row],[B/S]]="S","SELL"," ")))</f>
        <v>BUY</v>
      </c>
      <c r="K299" s="8" t="s">
        <v>301</v>
      </c>
      <c r="L299" s="10">
        <v>200000</v>
      </c>
      <c r="M299" s="10"/>
      <c r="N299" s="168">
        <f>LS[[#This Row],[Amount]]/LS[[#This Row],[Unit]]</f>
        <v>9.9299935455041961</v>
      </c>
      <c r="O299" s="11">
        <f t="shared" si="34"/>
        <v>20141</v>
      </c>
      <c r="P299" s="11">
        <f>SUMIFS(LS[[#Headers],[Unit]]:LS[[#This Row],[Unit]],LS[[#Headers],[Investor ID]]:LS[[#This Row],[Investor ID]],LS[[#This Row],[Investor ID]])</f>
        <v>205964</v>
      </c>
      <c r="Q299" s="10">
        <v>201410</v>
      </c>
      <c r="R299" s="6">
        <f>LS[[#This Row],[Amount]]-LS[[#This Row],[Unit Capital]]</f>
        <v>-1410</v>
      </c>
      <c r="S29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9.9225921547089673</v>
      </c>
      <c r="T299" s="168">
        <f t="shared" si="33"/>
        <v>12.552</v>
      </c>
      <c r="U29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299" s="10" cm="1">
        <f t="array" ref="V299">IF(LS[[#This Row],[B/S]]="S",ABS(LS[[#This Row],[Unit]])*(INDEX(LS[NAV at Cost (Average)],MATCH(CONCATENATE((LS[[#This Row],[Frequency]]-1),LS[[#This Row],[Investor ID]]),LS[Unique Code],0),0)),0)</f>
        <v>0</v>
      </c>
      <c r="W299" s="10">
        <f>IF(LS[[#This Row],[BO Transfer]]="YES",LS[[#This Row],[Unit]],)</f>
        <v>0</v>
      </c>
      <c r="X299" s="3">
        <f>SUMIFS(LS[[#Headers],[BO UNIT TRANSFER]]:LS[[#This Row],[BO UNIT TRANSFER]],LS[[#Headers],[Investor ID]]:LS[[#This Row],[Investor ID]],LS[[#This Row],[Investor ID]])</f>
        <v>0</v>
      </c>
    </row>
    <row r="300" spans="2:24">
      <c r="B300" s="8">
        <v>2022</v>
      </c>
      <c r="C300" s="110">
        <v>11</v>
      </c>
      <c r="D300" s="110">
        <v>20</v>
      </c>
      <c r="E300" s="291">
        <f>DATE(LS[[#This Row],[Year]],LS[[#This Row],[Month]],LS[[#This Row],[Day]])</f>
        <v>44885</v>
      </c>
      <c r="F300" t="str" cm="1">
        <f t="array" ref="F300">INDEX(INVESTORS_LIST[INVESTOR NAME],MATCH(LS[[#This Row],[Investor ID]],INVESTORS_LIST[INVESTOR CODE],0),)</f>
        <v>NAYEEMA TASNEEM</v>
      </c>
      <c r="G300" s="19" t="s">
        <v>679</v>
      </c>
      <c r="H300" s="8">
        <f>COUNTIF(LS[[#Headers],[Investor ID]]:LS[[#This Row],[Investor ID]],LS[[#This Row],[Investor ID]])</f>
        <v>3</v>
      </c>
      <c r="I300" s="8" t="str">
        <f>CONCATENATE(LS[[#This Row],[Frequency]],LS[[#This Row],[Investor ID]])</f>
        <v>3A00366</v>
      </c>
      <c r="J300" s="8" t="str">
        <f>IF(LS[[#This Row],[B/S]]="B","BUY",(IF(LS[[#This Row],[B/S]]="S","SELL"," ")))</f>
        <v>SELL</v>
      </c>
      <c r="K300" s="8" t="s">
        <v>866</v>
      </c>
      <c r="L300" s="10">
        <v>-150000</v>
      </c>
      <c r="M300" s="10"/>
      <c r="N300" s="168">
        <f>LS[[#This Row],[Amount]]/LS[[#This Row],[Unit]]</f>
        <v>9.9298292069376402</v>
      </c>
      <c r="O300" s="11">
        <f t="shared" si="34"/>
        <v>-15106</v>
      </c>
      <c r="P300" s="11">
        <f>SUMIFS(LS[[#Headers],[Unit]]:LS[[#This Row],[Unit]],LS[[#Headers],[Investor ID]]:LS[[#This Row],[Investor ID]],LS[[#This Row],[Investor ID]])</f>
        <v>29773</v>
      </c>
      <c r="Q300" s="10">
        <v>-151060</v>
      </c>
      <c r="R300" s="6">
        <f>LS[[#This Row],[Amount]]-LS[[#This Row],[Unit Capital]]</f>
        <v>1060</v>
      </c>
      <c r="S30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00" s="168">
        <f t="shared" si="33"/>
        <v>12.552</v>
      </c>
      <c r="U300" s="10">
        <f>IF(LS[[#This Row],[B/S]]="B",0,ABS(LS[[#This Row],[Unit]])*(LS[[#This Row],[NAV (Strike Rate)]]-INDEX(LS[NAV at Cost (Average)],MATCH(CONCATENATE(LS[[#This Row],[Frequency]]-1,LS[[#This Row],[Investor ID]]),LS[Unique Code],0),)))</f>
        <v>-1060.000000000008</v>
      </c>
      <c r="V300" s="10" cm="1">
        <f t="array" ref="V300">IF(LS[[#This Row],[B/S]]="S",ABS(LS[[#This Row],[Unit]])*(INDEX(LS[NAV at Cost (Average)],MATCH(CONCATENATE((LS[[#This Row],[Frequency]]-1),LS[[#This Row],[Investor ID]]),LS[Unique Code],0),0)),0)</f>
        <v>151060</v>
      </c>
      <c r="W300" s="10">
        <f>IF(LS[[#This Row],[BO Transfer]]="YES",LS[[#This Row],[Unit]],)</f>
        <v>0</v>
      </c>
      <c r="X300" s="3">
        <f>SUMIFS(LS[[#Headers],[BO UNIT TRANSFER]]:LS[[#This Row],[BO UNIT TRANSFER]],LS[[#Headers],[Investor ID]]:LS[[#This Row],[Investor ID]],LS[[#This Row],[Investor ID]])</f>
        <v>0</v>
      </c>
    </row>
    <row r="301" spans="2:24">
      <c r="B301" s="8">
        <v>2022</v>
      </c>
      <c r="C301" s="110">
        <v>11</v>
      </c>
      <c r="D301" s="110">
        <v>20</v>
      </c>
      <c r="E301" s="291">
        <f>DATE(LS[[#This Row],[Year]],LS[[#This Row],[Month]],LS[[#This Row],[Day]])</f>
        <v>44885</v>
      </c>
      <c r="F301" t="str" cm="1">
        <f t="array" ref="F301">INDEX(INVESTORS_LIST[INVESTOR NAME],MATCH(LS[[#This Row],[Investor ID]],INVESTORS_LIST[INVESTOR CODE],0),)</f>
        <v>NANDINI SAHA</v>
      </c>
      <c r="G301" s="19" t="s">
        <v>111</v>
      </c>
      <c r="H301" s="8">
        <f>COUNTIF(LS[[#Headers],[Investor ID]]:LS[[#This Row],[Investor ID]],LS[[#This Row],[Investor ID]])</f>
        <v>1</v>
      </c>
      <c r="I301" s="8" t="str">
        <f>CONCATENATE(LS[[#This Row],[Frequency]],LS[[#This Row],[Investor ID]])</f>
        <v>1A00097</v>
      </c>
      <c r="J301" s="8" t="str">
        <f>IF(LS[[#This Row],[B/S]]="B","BUY",(IF(LS[[#This Row],[B/S]]="S","SELL"," ")))</f>
        <v>BUY</v>
      </c>
      <c r="K301" s="8" t="s">
        <v>301</v>
      </c>
      <c r="L301" s="10">
        <v>1000000</v>
      </c>
      <c r="M301" s="10"/>
      <c r="N301" s="168">
        <f>LS[[#This Row],[Amount]]/LS[[#This Row],[Unit]]</f>
        <v>9.9299935455041961</v>
      </c>
      <c r="O301" s="11">
        <f t="shared" si="34"/>
        <v>100705</v>
      </c>
      <c r="P301" s="11">
        <f>SUMIFS(LS[[#Headers],[Unit]]:LS[[#This Row],[Unit]],LS[[#Headers],[Investor ID]]:LS[[#This Row],[Investor ID]],LS[[#This Row],[Investor ID]])</f>
        <v>100705</v>
      </c>
      <c r="Q301" s="10">
        <v>1007050</v>
      </c>
      <c r="R301" s="6">
        <f>LS[[#This Row],[Amount]]-LS[[#This Row],[Unit Capital]]</f>
        <v>-7050</v>
      </c>
      <c r="S30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9.9299935455041961</v>
      </c>
      <c r="T301" s="168">
        <f t="shared" si="33"/>
        <v>12.552</v>
      </c>
      <c r="U30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01" s="10" cm="1">
        <f t="array" ref="V301">IF(LS[[#This Row],[B/S]]="S",ABS(LS[[#This Row],[Unit]])*(INDEX(LS[NAV at Cost (Average)],MATCH(CONCATENATE((LS[[#This Row],[Frequency]]-1),LS[[#This Row],[Investor ID]]),LS[Unique Code],0),0)),0)</f>
        <v>0</v>
      </c>
      <c r="W301" s="10">
        <f>IF(LS[[#This Row],[BO Transfer]]="YES",LS[[#This Row],[Unit]],)</f>
        <v>0</v>
      </c>
      <c r="X301" s="3">
        <f>SUMIFS(LS[[#Headers],[BO UNIT TRANSFER]]:LS[[#This Row],[BO UNIT TRANSFER]],LS[[#Headers],[Investor ID]]:LS[[#This Row],[Investor ID]],LS[[#This Row],[Investor ID]])</f>
        <v>0</v>
      </c>
    </row>
    <row r="302" spans="2:24">
      <c r="B302" s="8">
        <v>2022</v>
      </c>
      <c r="C302" s="110">
        <v>11</v>
      </c>
      <c r="D302" s="110">
        <v>20</v>
      </c>
      <c r="E302" s="291">
        <f>DATE(LS[[#This Row],[Year]],LS[[#This Row],[Month]],LS[[#This Row],[Day]])</f>
        <v>44885</v>
      </c>
      <c r="F302" t="str" cm="1">
        <f t="array" ref="F302">INDEX(INVESTORS_LIST[INVESTOR NAME],MATCH(LS[[#This Row],[Investor ID]],INVESTORS_LIST[INVESTOR CODE],0),)</f>
        <v>MOHAMMED ALI XAHANGIR</v>
      </c>
      <c r="G302" s="19" t="s">
        <v>165</v>
      </c>
      <c r="H302" s="8">
        <f>COUNTIF(LS[[#Headers],[Investor ID]]:LS[[#This Row],[Investor ID]],LS[[#This Row],[Investor ID]])</f>
        <v>5</v>
      </c>
      <c r="I302" s="8" t="str">
        <f>CONCATENATE(LS[[#This Row],[Frequency]],LS[[#This Row],[Investor ID]])</f>
        <v>5A00132</v>
      </c>
      <c r="J302" s="8" t="str">
        <f>IF(LS[[#This Row],[B/S]]="B","BUY",(IF(LS[[#This Row],[B/S]]="S","SELL"," ")))</f>
        <v>BUY</v>
      </c>
      <c r="K302" s="8" t="s">
        <v>301</v>
      </c>
      <c r="L302" s="3">
        <v>1800000</v>
      </c>
      <c r="M302" s="3"/>
      <c r="N302" s="168">
        <f>LS[[#This Row],[Amount]]/LS[[#This Row],[Unit]]</f>
        <v>9.9299935455041961</v>
      </c>
      <c r="O302" s="11">
        <f t="shared" si="34"/>
        <v>181269</v>
      </c>
      <c r="P302" s="11">
        <f>SUMIFS(LS[[#Headers],[Unit]]:LS[[#This Row],[Unit]],LS[[#Headers],[Investor ID]]:LS[[#This Row],[Investor ID]],LS[[#This Row],[Investor ID]])</f>
        <v>269386</v>
      </c>
      <c r="Q302" s="10">
        <v>1812690</v>
      </c>
      <c r="R302" s="6">
        <f>LS[[#This Row],[Amount]]-LS[[#This Row],[Unit Capital]]</f>
        <v>-12690</v>
      </c>
      <c r="S30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9.9299889378067157</v>
      </c>
      <c r="T302" s="168">
        <f t="shared" si="33"/>
        <v>12.552</v>
      </c>
      <c r="U30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02" s="10" cm="1">
        <f t="array" ref="V302">IF(LS[[#This Row],[B/S]]="S",ABS(LS[[#This Row],[Unit]])*(INDEX(LS[NAV at Cost (Average)],MATCH(CONCATENATE((LS[[#This Row],[Frequency]]-1),LS[[#This Row],[Investor ID]]),LS[Unique Code],0),0)),0)</f>
        <v>0</v>
      </c>
      <c r="W302" s="10">
        <f>IF(LS[[#This Row],[BO Transfer]]="YES",LS[[#This Row],[Unit]],)</f>
        <v>0</v>
      </c>
      <c r="X302" s="3">
        <f>SUMIFS(LS[[#Headers],[BO UNIT TRANSFER]]:LS[[#This Row],[BO UNIT TRANSFER]],LS[[#Headers],[Investor ID]]:LS[[#This Row],[Investor ID]],LS[[#This Row],[Investor ID]])</f>
        <v>0</v>
      </c>
    </row>
    <row r="303" spans="2:24">
      <c r="B303" s="8">
        <v>2022</v>
      </c>
      <c r="C303" s="110">
        <v>11</v>
      </c>
      <c r="D303" s="110">
        <v>23</v>
      </c>
      <c r="E303" s="291">
        <f>DATE(LS[[#This Row],[Year]],LS[[#This Row],[Month]],LS[[#This Row],[Day]])</f>
        <v>44888</v>
      </c>
      <c r="F303" t="str" cm="1">
        <f t="array" ref="F303">INDEX(INVESTORS_LIST[INVESTOR NAME],MATCH(LS[[#This Row],[Investor ID]],INVESTORS_LIST[INVESTOR CODE],0),)</f>
        <v>MD MOHSINUR RAHMAN</v>
      </c>
      <c r="G303" s="19" t="s">
        <v>918</v>
      </c>
      <c r="H303" s="8">
        <f>COUNTIF(LS[[#Headers],[Investor ID]]:LS[[#This Row],[Investor ID]],LS[[#This Row],[Investor ID]])</f>
        <v>2</v>
      </c>
      <c r="I303" s="8" t="str">
        <f>CONCATENATE(LS[[#This Row],[Frequency]],LS[[#This Row],[Investor ID]])</f>
        <v>2A00421</v>
      </c>
      <c r="J303" s="8" t="str">
        <f>IF(LS[[#This Row],[B/S]]="B","BUY",(IF(LS[[#This Row],[B/S]]="S","SELL"," ")))</f>
        <v>SELL</v>
      </c>
      <c r="K303" s="8" t="s">
        <v>866</v>
      </c>
      <c r="L303" s="10">
        <v>-252807.87</v>
      </c>
      <c r="M303" s="10"/>
      <c r="N303" s="168">
        <f>LS[[#This Row],[Amount]]/LS[[#This Row],[Unit]]</f>
        <v>9.93</v>
      </c>
      <c r="O303" s="11">
        <f t="shared" ref="O303:O308" si="35">Q303/10</f>
        <v>-25459</v>
      </c>
      <c r="P303" s="11">
        <f>SUMIFS(LS[[#Headers],[Unit]]:LS[[#This Row],[Unit]],LS[[#Headers],[Investor ID]]:LS[[#This Row],[Investor ID]],LS[[#This Row],[Investor ID]])</f>
        <v>0</v>
      </c>
      <c r="Q303" s="10">
        <v>-254590</v>
      </c>
      <c r="R303" s="6">
        <f>LS[[#This Row],[Amount]]-LS[[#This Row],[Unit Capital]]</f>
        <v>1782.1300000000047</v>
      </c>
      <c r="S30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03" s="168">
        <f t="shared" ref="T303:T312" si="36">IFERROR(NAV_MKT,0)</f>
        <v>12.552</v>
      </c>
      <c r="U303" s="10">
        <f>IF(LS[[#This Row],[B/S]]="B",0,ABS(LS[[#This Row],[Unit]])*(LS[[#This Row],[NAV (Strike Rate)]]-INDEX(LS[NAV at Cost (Average)],MATCH(CONCATENATE(LS[[#This Row],[Frequency]]-1,LS[[#This Row],[Investor ID]]),LS[Unique Code],0),)))</f>
        <v>2807.8700000000058</v>
      </c>
      <c r="V303" s="10" cm="1">
        <f t="array" ref="V303">IF(LS[[#This Row],[B/S]]="S",ABS(LS[[#This Row],[Unit]])*(INDEX(LS[NAV at Cost (Average)],MATCH(CONCATENATE((LS[[#This Row],[Frequency]]-1),LS[[#This Row],[Investor ID]]),LS[Unique Code],0),0)),0)</f>
        <v>250000</v>
      </c>
      <c r="W303" s="10">
        <f>IF(LS[[#This Row],[BO Transfer]]="YES",LS[[#This Row],[Unit]],)</f>
        <v>0</v>
      </c>
      <c r="X303" s="3">
        <f>SUMIFS(LS[[#Headers],[BO UNIT TRANSFER]]:LS[[#This Row],[BO UNIT TRANSFER]],LS[[#Headers],[Investor ID]]:LS[[#This Row],[Investor ID]],LS[[#This Row],[Investor ID]])</f>
        <v>0</v>
      </c>
    </row>
    <row r="304" spans="2:24">
      <c r="B304" s="8">
        <v>2022</v>
      </c>
      <c r="C304" s="110">
        <v>11</v>
      </c>
      <c r="D304" s="110">
        <v>23</v>
      </c>
      <c r="E304" s="291">
        <f>DATE(LS[[#This Row],[Year]],LS[[#This Row],[Month]],LS[[#This Row],[Day]])</f>
        <v>44888</v>
      </c>
      <c r="F304" t="str" cm="1">
        <f t="array" ref="F304">INDEX(INVESTORS_LIST[INVESTOR NAME],MATCH(LS[[#This Row],[Investor ID]],INVESTORS_LIST[INVESTOR CODE],0),)</f>
        <v>NATEQ BE NAZIR IBN MINAR</v>
      </c>
      <c r="G304" s="19" t="s">
        <v>911</v>
      </c>
      <c r="H304" s="8">
        <f>COUNTIF(LS[[#Headers],[Investor ID]]:LS[[#This Row],[Investor ID]],LS[[#This Row],[Investor ID]])</f>
        <v>2</v>
      </c>
      <c r="I304" s="8" t="str">
        <f>CONCATENATE(LS[[#This Row],[Frequency]],LS[[#This Row],[Investor ID]])</f>
        <v>2A00416</v>
      </c>
      <c r="J304" s="8" t="str">
        <f>IF(LS[[#This Row],[B/S]]="B","BUY",(IF(LS[[#This Row],[B/S]]="S","SELL"," ")))</f>
        <v>SELL</v>
      </c>
      <c r="K304" s="8" t="s">
        <v>866</v>
      </c>
      <c r="L304" s="10">
        <v>-1513732.48</v>
      </c>
      <c r="M304" s="10"/>
      <c r="N304" s="168">
        <f>LS[[#This Row],[Amount]]/LS[[#This Row],[Unit]]</f>
        <v>9.92</v>
      </c>
      <c r="O304" s="11">
        <f t="shared" si="35"/>
        <v>-152594</v>
      </c>
      <c r="P304" s="11">
        <f>SUMIFS(LS[[#Headers],[Unit]]:LS[[#This Row],[Unit]],LS[[#Headers],[Investor ID]]:LS[[#This Row],[Investor ID]],LS[[#This Row],[Investor ID]])</f>
        <v>0</v>
      </c>
      <c r="Q304" s="10">
        <v>-1525940</v>
      </c>
      <c r="R304" s="6">
        <f>LS[[#This Row],[Amount]]-LS[[#This Row],[Unit Capital]]</f>
        <v>12207.520000000019</v>
      </c>
      <c r="S30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04" s="168">
        <f t="shared" si="36"/>
        <v>12.552</v>
      </c>
      <c r="U304" s="10">
        <f>IF(LS[[#This Row],[B/S]]="B",0,ABS(LS[[#This Row],[Unit]])*(LS[[#This Row],[NAV (Strike Rate)]]-INDEX(LS[NAV at Cost (Average)],MATCH(CONCATENATE(LS[[#This Row],[Frequency]]-1,LS[[#This Row],[Investor ID]]),LS[Unique Code],0),)))</f>
        <v>13732.47999999996</v>
      </c>
      <c r="V304" s="10" cm="1">
        <f t="array" ref="V304">IF(LS[[#This Row],[B/S]]="S",ABS(LS[[#This Row],[Unit]])*(INDEX(LS[NAV at Cost (Average)],MATCH(CONCATENATE((LS[[#This Row],[Frequency]]-1),LS[[#This Row],[Investor ID]]),LS[Unique Code],0),0)),0)</f>
        <v>1500000</v>
      </c>
      <c r="W304" s="10">
        <f>IF(LS[[#This Row],[BO Transfer]]="YES",LS[[#This Row],[Unit]],)</f>
        <v>0</v>
      </c>
      <c r="X304" s="3">
        <f>SUMIFS(LS[[#Headers],[BO UNIT TRANSFER]]:LS[[#This Row],[BO UNIT TRANSFER]],LS[[#Headers],[Investor ID]]:LS[[#This Row],[Investor ID]],LS[[#This Row],[Investor ID]])</f>
        <v>0</v>
      </c>
    </row>
    <row r="305" spans="2:26">
      <c r="B305" s="8">
        <v>2022</v>
      </c>
      <c r="C305" s="110">
        <v>11</v>
      </c>
      <c r="D305" s="110">
        <v>24</v>
      </c>
      <c r="E305" s="291">
        <f>DATE(LS[[#This Row],[Year]],LS[[#This Row],[Month]],LS[[#This Row],[Day]])</f>
        <v>44889</v>
      </c>
      <c r="F305" t="str" cm="1">
        <f t="array" ref="F305">INDEX(INVESTORS_LIST[INVESTOR NAME],MATCH(LS[[#This Row],[Investor ID]],INVESTORS_LIST[INVESTOR CODE],0),)</f>
        <v>TANVIR AHMED SIDDIQUI</v>
      </c>
      <c r="G305" s="19" t="s">
        <v>39</v>
      </c>
      <c r="H305" s="8">
        <f>COUNTIF(LS[[#Headers],[Investor ID]]:LS[[#This Row],[Investor ID]],LS[[#This Row],[Investor ID]])</f>
        <v>2</v>
      </c>
      <c r="I305" s="8" t="str">
        <f>CONCATENATE(LS[[#This Row],[Frequency]],LS[[#This Row],[Investor ID]])</f>
        <v>2A00032</v>
      </c>
      <c r="J305" s="8" t="str">
        <f>IF(LS[[#This Row],[B/S]]="B","BUY",(IF(LS[[#This Row],[B/S]]="S","SELL"," ")))</f>
        <v>BUY</v>
      </c>
      <c r="K305" s="8" t="s">
        <v>301</v>
      </c>
      <c r="L305" s="10">
        <v>50000</v>
      </c>
      <c r="M305" s="10"/>
      <c r="N305" s="168">
        <f>LS[[#This Row],[Amount]]/LS[[#This Row],[Unit]]</f>
        <v>9.9304865938430975</v>
      </c>
      <c r="O305" s="11">
        <f t="shared" si="35"/>
        <v>5035</v>
      </c>
      <c r="P305" s="11">
        <f>SUMIFS(LS[[#Headers],[Unit]]:LS[[#This Row],[Unit]],LS[[#Headers],[Investor ID]]:LS[[#This Row],[Investor ID]],LS[[#This Row],[Investor ID]])</f>
        <v>10035</v>
      </c>
      <c r="Q305" s="10">
        <v>50350</v>
      </c>
      <c r="R305" s="6">
        <f>LS[[#This Row],[Amount]]-LS[[#This Row],[Unit Capital]]</f>
        <v>-350</v>
      </c>
      <c r="S30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9.9651220727453911</v>
      </c>
      <c r="T305" s="168">
        <f t="shared" si="36"/>
        <v>12.552</v>
      </c>
      <c r="U30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05" s="10" cm="1">
        <f t="array" ref="V305">IF(LS[[#This Row],[B/S]]="S",ABS(LS[[#This Row],[Unit]])*(INDEX(LS[NAV at Cost (Average)],MATCH(CONCATENATE((LS[[#This Row],[Frequency]]-1),LS[[#This Row],[Investor ID]]),LS[Unique Code],0),0)),0)</f>
        <v>0</v>
      </c>
      <c r="W305" s="10">
        <f>IF(LS[[#This Row],[BO Transfer]]="YES",LS[[#This Row],[Unit]],)</f>
        <v>0</v>
      </c>
      <c r="X305" s="3">
        <f>SUMIFS(LS[[#Headers],[BO UNIT TRANSFER]]:LS[[#This Row],[BO UNIT TRANSFER]],LS[[#Headers],[Investor ID]]:LS[[#This Row],[Investor ID]],LS[[#This Row],[Investor ID]])</f>
        <v>0</v>
      </c>
    </row>
    <row r="306" spans="2:26">
      <c r="B306" s="8">
        <v>2022</v>
      </c>
      <c r="C306" s="110">
        <v>11</v>
      </c>
      <c r="D306" s="110">
        <v>27</v>
      </c>
      <c r="E306" s="291">
        <f>DATE(LS[[#This Row],[Year]],LS[[#This Row],[Month]],LS[[#This Row],[Day]])</f>
        <v>44892</v>
      </c>
      <c r="F306" t="str" cm="1">
        <f t="array" ref="F306">INDEX(INVESTORS_LIST[INVESTOR NAME],MATCH(LS[[#This Row],[Investor ID]],INVESTORS_LIST[INVESTOR CODE],0),)</f>
        <v>TAPASH KUMAR PAUL</v>
      </c>
      <c r="G306" s="19" t="s">
        <v>971</v>
      </c>
      <c r="H306" s="8">
        <f>COUNTIF(LS[[#Headers],[Investor ID]]:LS[[#This Row],[Investor ID]],LS[[#This Row],[Investor ID]])</f>
        <v>1</v>
      </c>
      <c r="I306" s="8" t="str">
        <f>CONCATENATE(LS[[#This Row],[Frequency]],LS[[#This Row],[Investor ID]])</f>
        <v>1A00443</v>
      </c>
      <c r="J306" s="8" t="str">
        <f>IF(LS[[#This Row],[B/S]]="B","BUY",(IF(LS[[#This Row],[B/S]]="S","SELL"," ")))</f>
        <v>BUY</v>
      </c>
      <c r="K306" s="8" t="s">
        <v>301</v>
      </c>
      <c r="L306" s="10">
        <v>100000</v>
      </c>
      <c r="M306" s="10"/>
      <c r="N306" s="168">
        <f>LS[[#This Row],[Amount]]/LS[[#This Row],[Unit]]</f>
        <v>9.9601593625498008</v>
      </c>
      <c r="O306" s="11">
        <f t="shared" si="35"/>
        <v>10040</v>
      </c>
      <c r="P306" s="11">
        <f>SUMIFS(LS[[#Headers],[Unit]]:LS[[#This Row],[Unit]],LS[[#Headers],[Investor ID]]:LS[[#This Row],[Investor ID]],LS[[#This Row],[Investor ID]])</f>
        <v>10040</v>
      </c>
      <c r="Q306" s="10">
        <v>100400</v>
      </c>
      <c r="R306" s="6">
        <f>LS[[#This Row],[Amount]]-LS[[#This Row],[Unit Capital]]</f>
        <v>-400</v>
      </c>
      <c r="S30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9.9601593625498008</v>
      </c>
      <c r="T306" s="168">
        <f t="shared" si="36"/>
        <v>12.552</v>
      </c>
      <c r="U30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06" s="10" cm="1">
        <f t="array" ref="V306">IF(LS[[#This Row],[B/S]]="S",ABS(LS[[#This Row],[Unit]])*(INDEX(LS[NAV at Cost (Average)],MATCH(CONCATENATE((LS[[#This Row],[Frequency]]-1),LS[[#This Row],[Investor ID]]),LS[Unique Code],0),0)),0)</f>
        <v>0</v>
      </c>
      <c r="W306" s="10">
        <f>IF(LS[[#This Row],[BO Transfer]]="YES",LS[[#This Row],[Unit]],)</f>
        <v>0</v>
      </c>
      <c r="X306" s="3">
        <f>SUMIFS(LS[[#Headers],[BO UNIT TRANSFER]]:LS[[#This Row],[BO UNIT TRANSFER]],LS[[#Headers],[Investor ID]]:LS[[#This Row],[Investor ID]],LS[[#This Row],[Investor ID]])</f>
        <v>0</v>
      </c>
    </row>
    <row r="307" spans="2:26">
      <c r="B307" s="8">
        <v>2022</v>
      </c>
      <c r="C307" s="8">
        <v>12</v>
      </c>
      <c r="D307" s="8">
        <v>1</v>
      </c>
      <c r="E307" s="291">
        <f>DATE(LS[[#This Row],[Year]],LS[[#This Row],[Month]],LS[[#This Row],[Day]])</f>
        <v>44896</v>
      </c>
      <c r="F307" t="str" cm="1">
        <f t="array" ref="F307">INDEX(INVESTORS_LIST[INVESTOR NAME],MATCH(LS[[#This Row],[Investor ID]],INVESTORS_LIST[INVESTOR CODE],0),)</f>
        <v>MD. TANZIRUL AMIN</v>
      </c>
      <c r="G307" s="25" t="s">
        <v>715</v>
      </c>
      <c r="H307" s="8">
        <f>COUNTIF(LS[[#Headers],[Investor ID]]:LS[[#This Row],[Investor ID]],LS[[#This Row],[Investor ID]])</f>
        <v>2</v>
      </c>
      <c r="I307" s="8" t="str">
        <f>CONCATENATE(LS[[#This Row],[Frequency]],LS[[#This Row],[Investor ID]])</f>
        <v>2A00386</v>
      </c>
      <c r="J307" s="8" t="str">
        <f>IF(LS[[#This Row],[B/S]]="B","BUY",(IF(LS[[#This Row],[B/S]]="S","SELL"," ")))</f>
        <v>SELL</v>
      </c>
      <c r="K307" s="121" t="s">
        <v>866</v>
      </c>
      <c r="L307" s="122">
        <v>-49800</v>
      </c>
      <c r="M307" s="10"/>
      <c r="N307" s="168">
        <f>LS[[#This Row],[Amount]]/LS[[#This Row],[Unit]]</f>
        <v>9.9600000000000009</v>
      </c>
      <c r="O307" s="11">
        <f t="shared" si="35"/>
        <v>-5000</v>
      </c>
      <c r="P307" s="11">
        <f>SUMIFS(LS[[#Headers],[Unit]]:LS[[#This Row],[Unit]],LS[[#Headers],[Investor ID]]:LS[[#This Row],[Investor ID]],LS[[#This Row],[Investor ID]])</f>
        <v>5000</v>
      </c>
      <c r="Q307" s="10">
        <v>-50000</v>
      </c>
      <c r="R307" s="6">
        <f>LS[[#This Row],[Amount]]-LS[[#This Row],[Unit Capital]]</f>
        <v>200</v>
      </c>
      <c r="S30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07" s="168">
        <f t="shared" si="36"/>
        <v>12.552</v>
      </c>
      <c r="U307" s="10">
        <f>IF(LS[[#This Row],[B/S]]="B",0,ABS(LS[[#This Row],[Unit]])*(LS[[#This Row],[NAV (Strike Rate)]]-INDEX(LS[NAV at Cost (Average)],MATCH(CONCATENATE(LS[[#This Row],[Frequency]]-1,LS[[#This Row],[Investor ID]]),LS[Unique Code],0),)))</f>
        <v>-199.99999999999574</v>
      </c>
      <c r="V307" s="10" cm="1">
        <f t="array" ref="V307">IF(LS[[#This Row],[B/S]]="S",ABS(LS[[#This Row],[Unit]])*(INDEX(LS[NAV at Cost (Average)],MATCH(CONCATENATE((LS[[#This Row],[Frequency]]-1),LS[[#This Row],[Investor ID]]),LS[Unique Code],0),0)),0)</f>
        <v>50000</v>
      </c>
      <c r="W307" s="10">
        <f>IF(LS[[#This Row],[BO Transfer]]="YES",LS[[#This Row],[Unit]],)</f>
        <v>0</v>
      </c>
      <c r="X307" s="3">
        <f>SUMIFS(LS[[#Headers],[BO UNIT TRANSFER]]:LS[[#This Row],[BO UNIT TRANSFER]],LS[[#Headers],[Investor ID]]:LS[[#This Row],[Investor ID]],LS[[#This Row],[Investor ID]])</f>
        <v>0</v>
      </c>
    </row>
    <row r="308" spans="2:26">
      <c r="B308" s="8">
        <v>2022</v>
      </c>
      <c r="C308" s="8">
        <v>12</v>
      </c>
      <c r="D308" s="8">
        <v>5</v>
      </c>
      <c r="E308" s="291">
        <f>DATE(LS[[#This Row],[Year]],LS[[#This Row],[Month]],LS[[#This Row],[Day]])</f>
        <v>44900</v>
      </c>
      <c r="F308" t="str" cm="1">
        <f t="array" ref="F308">INDEX(INVESTORS_LIST[INVESTOR NAME],MATCH(LS[[#This Row],[Investor ID]],INVESTORS_LIST[INVESTOR CODE],0),)</f>
        <v>RAIS UDDIN AHMAD</v>
      </c>
      <c r="G308" s="25" t="s">
        <v>442</v>
      </c>
      <c r="H308" s="8">
        <f>COUNTIF(LS[[#Headers],[Investor ID]]:LS[[#This Row],[Investor ID]],LS[[#This Row],[Investor ID]])</f>
        <v>2</v>
      </c>
      <c r="I308" s="8" t="str">
        <f>CONCATENATE(LS[[#This Row],[Frequency]],LS[[#This Row],[Investor ID]])</f>
        <v>2A00292</v>
      </c>
      <c r="J308" s="8" t="str">
        <f>IF(LS[[#This Row],[B/S]]="B","BUY",(IF(LS[[#This Row],[B/S]]="S","SELL"," ")))</f>
        <v>SELL</v>
      </c>
      <c r="K308" s="8" t="s">
        <v>866</v>
      </c>
      <c r="L308" s="10">
        <v>-499000</v>
      </c>
      <c r="M308" s="10"/>
      <c r="N308" s="168">
        <f>LS[[#This Row],[Amount]]/LS[[#This Row],[Unit]]</f>
        <v>9.98</v>
      </c>
      <c r="O308" s="11">
        <f t="shared" si="35"/>
        <v>-50000</v>
      </c>
      <c r="P308" s="11">
        <f>SUMIFS(LS[[#Headers],[Unit]]:LS[[#This Row],[Unit]],LS[[#Headers],[Investor ID]]:LS[[#This Row],[Investor ID]],LS[[#This Row],[Investor ID]])</f>
        <v>0</v>
      </c>
      <c r="Q308" s="10">
        <v>-500000</v>
      </c>
      <c r="R308" s="6">
        <f>LS[[#This Row],[Amount]]-LS[[#This Row],[Unit Capital]]</f>
        <v>1000</v>
      </c>
      <c r="S30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08" s="168">
        <f t="shared" si="36"/>
        <v>12.552</v>
      </c>
      <c r="U308" s="10">
        <f>IF(LS[[#This Row],[B/S]]="B",0,ABS(LS[[#This Row],[Unit]])*(LS[[#This Row],[NAV (Strike Rate)]]-INDEX(LS[NAV at Cost (Average)],MATCH(CONCATENATE(LS[[#This Row],[Frequency]]-1,LS[[#This Row],[Investor ID]]),LS[Unique Code],0),)))</f>
        <v>-999.99999999997863</v>
      </c>
      <c r="V308" s="10" cm="1">
        <f t="array" ref="V308">IF(LS[[#This Row],[B/S]]="S",ABS(LS[[#This Row],[Unit]])*(INDEX(LS[NAV at Cost (Average)],MATCH(CONCATENATE((LS[[#This Row],[Frequency]]-1),LS[[#This Row],[Investor ID]]),LS[Unique Code],0),0)),0)</f>
        <v>500000</v>
      </c>
      <c r="W308" s="10">
        <f>IF(LS[[#This Row],[BO Transfer]]="YES",LS[[#This Row],[Unit]],)</f>
        <v>0</v>
      </c>
      <c r="X308" s="3">
        <f>SUMIFS(LS[[#Headers],[BO UNIT TRANSFER]]:LS[[#This Row],[BO UNIT TRANSFER]],LS[[#Headers],[Investor ID]]:LS[[#This Row],[Investor ID]],LS[[#This Row],[Investor ID]])</f>
        <v>0</v>
      </c>
    </row>
    <row r="309" spans="2:26">
      <c r="B309" s="8">
        <v>2022</v>
      </c>
      <c r="C309" s="8">
        <v>12</v>
      </c>
      <c r="D309" s="8">
        <v>12</v>
      </c>
      <c r="E309" s="291">
        <f>DATE(LS[[#This Row],[Year]],LS[[#This Row],[Month]],LS[[#This Row],[Day]])</f>
        <v>44907</v>
      </c>
      <c r="F309" t="str" cm="1">
        <f t="array" ref="F309">INDEX(INVESTORS_LIST[INVESTOR NAME],MATCH(LS[[#This Row],[Investor ID]],INVESTORS_LIST[INVESTOR CODE],0),)</f>
        <v>KALLANI ISLAM</v>
      </c>
      <c r="G309" s="25" t="s">
        <v>937</v>
      </c>
      <c r="H309" s="8">
        <f>COUNTIF(LS[[#Headers],[Investor ID]]:LS[[#This Row],[Investor ID]],LS[[#This Row],[Investor ID]])</f>
        <v>2</v>
      </c>
      <c r="I309" s="8" t="str">
        <f>CONCATENATE(LS[[#This Row],[Frequency]],LS[[#This Row],[Investor ID]])</f>
        <v>2A00429</v>
      </c>
      <c r="J309" s="8" t="str">
        <f>IF(LS[[#This Row],[B/S]]="B","BUY",(IF(LS[[#This Row],[B/S]]="S","SELL"," ")))</f>
        <v>SELL</v>
      </c>
      <c r="K309" s="8" t="s">
        <v>866</v>
      </c>
      <c r="L309" s="10">
        <v>-101626.34</v>
      </c>
      <c r="M309" s="10"/>
      <c r="N309" s="168">
        <f>LS[[#This Row],[Amount]]/LS[[#This Row],[Unit]]</f>
        <v>9.98</v>
      </c>
      <c r="O309" s="11">
        <f t="shared" ref="O309:O316" si="37">Q309/10</f>
        <v>-10183</v>
      </c>
      <c r="P309" s="11">
        <f>SUMIFS(LS[[#Headers],[Unit]]:LS[[#This Row],[Unit]],LS[[#Headers],[Investor ID]]:LS[[#This Row],[Investor ID]],LS[[#This Row],[Investor ID]])</f>
        <v>0</v>
      </c>
      <c r="Q309" s="10">
        <v>-101830</v>
      </c>
      <c r="R309" s="6">
        <f>LS[[#This Row],[Amount]]-LS[[#This Row],[Unit Capital]]</f>
        <v>203.66000000000349</v>
      </c>
      <c r="S30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09" s="168">
        <f t="shared" si="36"/>
        <v>12.552</v>
      </c>
      <c r="U309" s="10">
        <f>IF(LS[[#This Row],[B/S]]="B",0,ABS(LS[[#This Row],[Unit]])*(LS[[#This Row],[NAV (Strike Rate)]]-INDEX(LS[NAV at Cost (Average)],MATCH(CONCATENATE(LS[[#This Row],[Frequency]]-1,LS[[#This Row],[Investor ID]]),LS[Unique Code],0),)))</f>
        <v>1626.3400000000124</v>
      </c>
      <c r="V309" s="10" cm="1">
        <f t="array" ref="V309">IF(LS[[#This Row],[B/S]]="S",ABS(LS[[#This Row],[Unit]])*(INDEX(LS[NAV at Cost (Average)],MATCH(CONCATENATE((LS[[#This Row],[Frequency]]-1),LS[[#This Row],[Investor ID]]),LS[Unique Code],0),0)),0)</f>
        <v>99999.999999999985</v>
      </c>
      <c r="W309" s="10">
        <f>IF(LS[[#This Row],[BO Transfer]]="YES",LS[[#This Row],[Unit]],)</f>
        <v>0</v>
      </c>
      <c r="X309" s="3">
        <f>SUMIFS(LS[[#Headers],[BO UNIT TRANSFER]]:LS[[#This Row],[BO UNIT TRANSFER]],LS[[#Headers],[Investor ID]]:LS[[#This Row],[Investor ID]],LS[[#This Row],[Investor ID]])</f>
        <v>0</v>
      </c>
    </row>
    <row r="310" spans="2:26">
      <c r="B310" s="8">
        <v>2022</v>
      </c>
      <c r="C310" s="8">
        <v>12</v>
      </c>
      <c r="D310" s="8">
        <v>13</v>
      </c>
      <c r="E310" s="291">
        <f>DATE(LS[[#This Row],[Year]],LS[[#This Row],[Month]],LS[[#This Row],[Day]])</f>
        <v>44908</v>
      </c>
      <c r="F310" t="str" cm="1">
        <f t="array" ref="F310">INDEX(INVESTORS_LIST[INVESTOR NAME],MATCH(LS[[#This Row],[Investor ID]],INVESTORS_LIST[INVESTOR CODE],0),)</f>
        <v>MUQIT-AL RAHMAN</v>
      </c>
      <c r="G310" s="25" t="s">
        <v>154</v>
      </c>
      <c r="H310" s="8">
        <f>COUNTIF(LS[[#Headers],[Investor ID]]:LS[[#This Row],[Investor ID]],LS[[#This Row],[Investor ID]])</f>
        <v>2</v>
      </c>
      <c r="I310" s="8" t="str">
        <f>CONCATENATE(LS[[#This Row],[Frequency]],LS[[#This Row],[Investor ID]])</f>
        <v>2A00121</v>
      </c>
      <c r="J310" s="8" t="str">
        <f>IF(LS[[#This Row],[B/S]]="B","BUY",(IF(LS[[#This Row],[B/S]]="S","SELL"," ")))</f>
        <v>SELL</v>
      </c>
      <c r="K310" s="8" t="s">
        <v>866</v>
      </c>
      <c r="L310" s="10">
        <v>-598800</v>
      </c>
      <c r="M310" s="10"/>
      <c r="N310" s="168">
        <f>LS[[#This Row],[Amount]]/LS[[#This Row],[Unit]]</f>
        <v>9.98</v>
      </c>
      <c r="O310" s="11">
        <f t="shared" si="37"/>
        <v>-60000</v>
      </c>
      <c r="P310" s="11">
        <f>SUMIFS(LS[[#Headers],[Unit]]:LS[[#This Row],[Unit]],LS[[#Headers],[Investor ID]]:LS[[#This Row],[Investor ID]],LS[[#This Row],[Investor ID]])</f>
        <v>0</v>
      </c>
      <c r="Q310" s="10">
        <v>-600000</v>
      </c>
      <c r="R310" s="6">
        <f>LS[[#This Row],[Amount]]-LS[[#This Row],[Unit Capital]]</f>
        <v>1200</v>
      </c>
      <c r="S31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10" s="168">
        <f t="shared" si="36"/>
        <v>12.552</v>
      </c>
      <c r="U310" s="10">
        <f>IF(LS[[#This Row],[B/S]]="B",0,ABS(LS[[#This Row],[Unit]])*(LS[[#This Row],[NAV (Strike Rate)]]-INDEX(LS[NAV at Cost (Average)],MATCH(CONCATENATE(LS[[#This Row],[Frequency]]-1,LS[[#This Row],[Investor ID]]),LS[Unique Code],0),)))</f>
        <v>-1199.9999999999745</v>
      </c>
      <c r="V310" s="10" cm="1">
        <f t="array" ref="V310">IF(LS[[#This Row],[B/S]]="S",ABS(LS[[#This Row],[Unit]])*(INDEX(LS[NAV at Cost (Average)],MATCH(CONCATENATE((LS[[#This Row],[Frequency]]-1),LS[[#This Row],[Investor ID]]),LS[Unique Code],0),0)),0)</f>
        <v>600000</v>
      </c>
      <c r="W310" s="10">
        <f>IF(LS[[#This Row],[BO Transfer]]="YES",LS[[#This Row],[Unit]],)</f>
        <v>0</v>
      </c>
      <c r="X310" s="3">
        <f>SUMIFS(LS[[#Headers],[BO UNIT TRANSFER]]:LS[[#This Row],[BO UNIT TRANSFER]],LS[[#Headers],[Investor ID]]:LS[[#This Row],[Investor ID]],LS[[#This Row],[Investor ID]])</f>
        <v>0</v>
      </c>
    </row>
    <row r="311" spans="2:26">
      <c r="B311" s="8">
        <v>2022</v>
      </c>
      <c r="C311" s="8">
        <v>12</v>
      </c>
      <c r="D311" s="8">
        <v>13</v>
      </c>
      <c r="E311" s="291">
        <f>DATE(LS[[#This Row],[Year]],LS[[#This Row],[Month]],LS[[#This Row],[Day]])</f>
        <v>44908</v>
      </c>
      <c r="F311" t="str" cm="1">
        <f t="array" ref="F311">INDEX(INVESTORS_LIST[INVESTOR NAME],MATCH(LS[[#This Row],[Investor ID]],INVESTORS_LIST[INVESTOR CODE],0),)</f>
        <v>SAILA SATTER</v>
      </c>
      <c r="G311" s="25" t="s">
        <v>203</v>
      </c>
      <c r="H311" s="8">
        <f>COUNTIF(LS[[#Headers],[Investor ID]]:LS[[#This Row],[Investor ID]],LS[[#This Row],[Investor ID]])</f>
        <v>2</v>
      </c>
      <c r="I311" s="8" t="str">
        <f>CONCATENATE(LS[[#This Row],[Frequency]],LS[[#This Row],[Investor ID]])</f>
        <v>2A00170</v>
      </c>
      <c r="J311" s="8" t="str">
        <f>IF(LS[[#This Row],[B/S]]="B","BUY",(IF(LS[[#This Row],[B/S]]="S","SELL"," ")))</f>
        <v>SELL</v>
      </c>
      <c r="K311" s="8" t="s">
        <v>866</v>
      </c>
      <c r="L311" s="10">
        <v>-499000</v>
      </c>
      <c r="M311" s="10"/>
      <c r="N311" s="168">
        <f>LS[[#This Row],[Amount]]/LS[[#This Row],[Unit]]</f>
        <v>9.98</v>
      </c>
      <c r="O311" s="11">
        <f t="shared" si="37"/>
        <v>-50000</v>
      </c>
      <c r="P311" s="11">
        <f>SUMIFS(LS[[#Headers],[Unit]]:LS[[#This Row],[Unit]],LS[[#Headers],[Investor ID]]:LS[[#This Row],[Investor ID]],LS[[#This Row],[Investor ID]])</f>
        <v>0</v>
      </c>
      <c r="Q311" s="10">
        <v>-500000</v>
      </c>
      <c r="R311" s="6">
        <f>LS[[#This Row],[Amount]]-LS[[#This Row],[Unit Capital]]</f>
        <v>1000</v>
      </c>
      <c r="S31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11" s="168">
        <f t="shared" si="36"/>
        <v>12.552</v>
      </c>
      <c r="U311" s="10">
        <f>IF(LS[[#This Row],[B/S]]="B",0,ABS(LS[[#This Row],[Unit]])*(LS[[#This Row],[NAV (Strike Rate)]]-INDEX(LS[NAV at Cost (Average)],MATCH(CONCATENATE(LS[[#This Row],[Frequency]]-1,LS[[#This Row],[Investor ID]]),LS[Unique Code],0),)))</f>
        <v>-999.99999999997863</v>
      </c>
      <c r="V311" s="10" cm="1">
        <f t="array" ref="V311">IF(LS[[#This Row],[B/S]]="S",ABS(LS[[#This Row],[Unit]])*(INDEX(LS[NAV at Cost (Average)],MATCH(CONCATENATE((LS[[#This Row],[Frequency]]-1),LS[[#This Row],[Investor ID]]),LS[Unique Code],0),0)),0)</f>
        <v>500000</v>
      </c>
      <c r="W311" s="10">
        <f>IF(LS[[#This Row],[BO Transfer]]="YES",LS[[#This Row],[Unit]],)</f>
        <v>0</v>
      </c>
      <c r="X311" s="3">
        <f>SUMIFS(LS[[#Headers],[BO UNIT TRANSFER]]:LS[[#This Row],[BO UNIT TRANSFER]],LS[[#Headers],[Investor ID]]:LS[[#This Row],[Investor ID]],LS[[#This Row],[Investor ID]])</f>
        <v>0</v>
      </c>
    </row>
    <row r="312" spans="2:26">
      <c r="B312" s="8">
        <v>2022</v>
      </c>
      <c r="C312" s="8">
        <v>12</v>
      </c>
      <c r="D312" s="8">
        <v>15</v>
      </c>
      <c r="E312" s="291">
        <f>DATE(LS[[#This Row],[Year]],LS[[#This Row],[Month]],LS[[#This Row],[Day]])</f>
        <v>44910</v>
      </c>
      <c r="F312" t="str" cm="1">
        <f t="array" ref="F312">INDEX(INVESTORS_LIST[INVESTOR NAME],MATCH(LS[[#This Row],[Investor ID]],INVESTORS_LIST[INVESTOR CODE],0),)</f>
        <v>JOY SHREE SAHA</v>
      </c>
      <c r="G312" s="19" t="s">
        <v>383</v>
      </c>
      <c r="H312" s="8">
        <f>COUNTIF(LS[[#Headers],[Investor ID]]:LS[[#This Row],[Investor ID]],LS[[#This Row],[Investor ID]])</f>
        <v>7</v>
      </c>
      <c r="I312" s="8" t="str">
        <f>CONCATENATE(LS[[#This Row],[Frequency]],LS[[#This Row],[Investor ID]])</f>
        <v>7A00263</v>
      </c>
      <c r="J312" s="8" t="str">
        <f>IF(LS[[#This Row],[B/S]]="B","BUY",(IF(LS[[#This Row],[B/S]]="S","SELL"," ")))</f>
        <v>BUY</v>
      </c>
      <c r="K312" s="8" t="s">
        <v>301</v>
      </c>
      <c r="L312" s="10">
        <v>998000</v>
      </c>
      <c r="M312" s="10"/>
      <c r="N312" s="168">
        <f>LS[[#This Row],[Amount]]/LS[[#This Row],[Unit]]</f>
        <v>9.98</v>
      </c>
      <c r="O312" s="11">
        <f t="shared" si="37"/>
        <v>100000</v>
      </c>
      <c r="P312" s="11">
        <f>SUMIFS(LS[[#Headers],[Unit]]:LS[[#This Row],[Unit]],LS[[#Headers],[Investor ID]]:LS[[#This Row],[Investor ID]],LS[[#This Row],[Investor ID]])</f>
        <v>222200</v>
      </c>
      <c r="Q312" s="10">
        <v>1000000</v>
      </c>
      <c r="R312" s="6">
        <f>LS[[#This Row],[Amount]]-LS[[#This Row],[Unit Capital]]</f>
        <v>-2000</v>
      </c>
      <c r="S31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9.8919891989198909</v>
      </c>
      <c r="T312" s="168">
        <f t="shared" si="36"/>
        <v>12.552</v>
      </c>
      <c r="U31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12" s="10" cm="1">
        <f t="array" ref="V312">IF(LS[[#This Row],[B/S]]="S",ABS(LS[[#This Row],[Unit]])*(INDEX(LS[NAV at Cost (Average)],MATCH(CONCATENATE((LS[[#This Row],[Frequency]]-1),LS[[#This Row],[Investor ID]]),LS[Unique Code],0),0)),0)</f>
        <v>0</v>
      </c>
      <c r="W312" s="10">
        <f>IF(LS[[#This Row],[BO Transfer]]="YES",LS[[#This Row],[Unit]],)</f>
        <v>0</v>
      </c>
      <c r="X312" s="3">
        <f>SUMIFS(LS[[#Headers],[BO UNIT TRANSFER]]:LS[[#This Row],[BO UNIT TRANSFER]],LS[[#Headers],[Investor ID]]:LS[[#This Row],[Investor ID]],LS[[#This Row],[Investor ID]])</f>
        <v>0</v>
      </c>
    </row>
    <row r="313" spans="2:26">
      <c r="B313" s="8">
        <v>2022</v>
      </c>
      <c r="C313" s="8">
        <v>12</v>
      </c>
      <c r="D313" s="8">
        <v>18</v>
      </c>
      <c r="E313" s="291">
        <f>DATE(LS[[#This Row],[Year]],LS[[#This Row],[Month]],LS[[#This Row],[Day]])</f>
        <v>44913</v>
      </c>
      <c r="F313" t="str" cm="1">
        <f t="array" ref="F313">INDEX(INVESTORS_LIST[INVESTOR NAME],MATCH(LS[[#This Row],[Investor ID]],INVESTORS_LIST[INVESTOR CODE],0),)</f>
        <v>SAJED MADBAR</v>
      </c>
      <c r="G313" s="19" t="s">
        <v>577</v>
      </c>
      <c r="H313" s="8">
        <f>COUNTIF(LS[[#Headers],[Investor ID]]:LS[[#This Row],[Investor ID]],LS[[#This Row],[Investor ID]])</f>
        <v>2</v>
      </c>
      <c r="I313" s="8" t="str">
        <f>CONCATENATE(LS[[#This Row],[Frequency]],LS[[#This Row],[Investor ID]])</f>
        <v>2A00325</v>
      </c>
      <c r="J313" s="8" t="str">
        <f>IF(LS[[#This Row],[B/S]]="B","BUY",(IF(LS[[#This Row],[B/S]]="S","SELL"," ")))</f>
        <v>SELL</v>
      </c>
      <c r="K313" s="8" t="s">
        <v>866</v>
      </c>
      <c r="L313" s="10">
        <v>-4990000</v>
      </c>
      <c r="M313" s="10"/>
      <c r="N313" s="168">
        <f>LS[[#This Row],[Amount]]/LS[[#This Row],[Unit]]</f>
        <v>9.98</v>
      </c>
      <c r="O313" s="11">
        <f t="shared" si="37"/>
        <v>-500000</v>
      </c>
      <c r="P313" s="11">
        <f>SUMIFS(LS[[#Headers],[Unit]]:LS[[#This Row],[Unit]],LS[[#Headers],[Investor ID]]:LS[[#This Row],[Investor ID]],LS[[#This Row],[Investor ID]])</f>
        <v>0</v>
      </c>
      <c r="Q313" s="10">
        <v>-5000000</v>
      </c>
      <c r="R313" s="6">
        <f>LS[[#This Row],[Amount]]-LS[[#This Row],[Unit Capital]]</f>
        <v>10000</v>
      </c>
      <c r="S31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13" s="168">
        <f t="shared" ref="T313:T319" si="38">IFERROR(NAV_MKT,0)</f>
        <v>12.552</v>
      </c>
      <c r="U313" s="10">
        <f>IF(LS[[#This Row],[B/S]]="B",0,ABS(LS[[#This Row],[Unit]])*(LS[[#This Row],[NAV (Strike Rate)]]-INDEX(LS[NAV at Cost (Average)],MATCH(CONCATENATE(LS[[#This Row],[Frequency]]-1,LS[[#This Row],[Investor ID]]),LS[Unique Code],0),)))</f>
        <v>-9999.9999999997872</v>
      </c>
      <c r="V313" s="10" cm="1">
        <f t="array" ref="V313">IF(LS[[#This Row],[B/S]]="S",ABS(LS[[#This Row],[Unit]])*(INDEX(LS[NAV at Cost (Average)],MATCH(CONCATENATE((LS[[#This Row],[Frequency]]-1),LS[[#This Row],[Investor ID]]),LS[Unique Code],0),0)),0)</f>
        <v>5000000</v>
      </c>
      <c r="W313" s="10">
        <f>IF(LS[[#This Row],[BO Transfer]]="YES",LS[[#This Row],[Unit]],)</f>
        <v>0</v>
      </c>
      <c r="X313" s="3">
        <f>SUMIFS(LS[[#Headers],[BO UNIT TRANSFER]]:LS[[#This Row],[BO UNIT TRANSFER]],LS[[#Headers],[Investor ID]]:LS[[#This Row],[Investor ID]],LS[[#This Row],[Investor ID]])</f>
        <v>0</v>
      </c>
    </row>
    <row r="314" spans="2:26">
      <c r="B314" s="8">
        <v>2023</v>
      </c>
      <c r="C314" s="8">
        <v>1</v>
      </c>
      <c r="D314" s="8">
        <v>4</v>
      </c>
      <c r="E314" s="291">
        <f>DATE(LS[[#This Row],[Year]],LS[[#This Row],[Month]],LS[[#This Row],[Day]])</f>
        <v>44930</v>
      </c>
      <c r="F314" t="str" cm="1">
        <f t="array" ref="F314">INDEX(INVESTORS_LIST[INVESTOR NAME],MATCH(LS[[#This Row],[Investor ID]],INVESTORS_LIST[INVESTOR CODE],0),)</f>
        <v>SHYAMAL KRISHNA SAHA</v>
      </c>
      <c r="G314" s="19" t="s">
        <v>17</v>
      </c>
      <c r="H314" s="8">
        <f>COUNTIF(LS[[#Headers],[Investor ID]]:LS[[#This Row],[Investor ID]],LS[[#This Row],[Investor ID]])</f>
        <v>2</v>
      </c>
      <c r="I314" s="8" t="str">
        <f>CONCATENATE(LS[[#This Row],[Frequency]],LS[[#This Row],[Investor ID]])</f>
        <v>2A00010</v>
      </c>
      <c r="J314" s="8" t="str">
        <f>IF(LS[[#This Row],[B/S]]="B","BUY",(IF(LS[[#This Row],[B/S]]="S","SELL"," ")))</f>
        <v>SELL</v>
      </c>
      <c r="K314" s="8" t="s">
        <v>866</v>
      </c>
      <c r="L314" s="10">
        <v>-501000</v>
      </c>
      <c r="M314" s="10"/>
      <c r="N314" s="168">
        <f>LS[[#This Row],[Amount]]/LS[[#This Row],[Unit]]</f>
        <v>10.02</v>
      </c>
      <c r="O314" s="11">
        <f t="shared" si="37"/>
        <v>-50000</v>
      </c>
      <c r="P314" s="11">
        <f>SUMIFS(LS[[#Headers],[Unit]]:LS[[#This Row],[Unit]],LS[[#Headers],[Investor ID]]:LS[[#This Row],[Investor ID]],LS[[#This Row],[Investor ID]])</f>
        <v>0</v>
      </c>
      <c r="Q314" s="10">
        <v>-500000</v>
      </c>
      <c r="R314" s="6">
        <f>LS[[#This Row],[Amount]]-LS[[#This Row],[Unit Capital]]</f>
        <v>-1000</v>
      </c>
      <c r="S31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14" s="168">
        <f t="shared" si="38"/>
        <v>12.552</v>
      </c>
      <c r="U314" s="10">
        <f>IF(LS[[#This Row],[B/S]]="B",0,ABS(LS[[#This Row],[Unit]])*(LS[[#This Row],[NAV (Strike Rate)]]-INDEX(LS[NAV at Cost (Average)],MATCH(CONCATENATE(LS[[#This Row],[Frequency]]-1,LS[[#This Row],[Investor ID]]),LS[Unique Code],0),)))</f>
        <v>999.99999999997863</v>
      </c>
      <c r="V314" s="10" cm="1">
        <f t="array" ref="V314">IF(LS[[#This Row],[B/S]]="S",ABS(LS[[#This Row],[Unit]])*(INDEX(LS[NAV at Cost (Average)],MATCH(CONCATENATE((LS[[#This Row],[Frequency]]-1),LS[[#This Row],[Investor ID]]),LS[Unique Code],0),0)),0)</f>
        <v>500000</v>
      </c>
      <c r="W314" s="10">
        <f>IF(LS[[#This Row],[BO Transfer]]="YES",LS[[#This Row],[Unit]],)</f>
        <v>0</v>
      </c>
      <c r="X314" s="3">
        <f>SUMIFS(LS[[#Headers],[BO UNIT TRANSFER]]:LS[[#This Row],[BO UNIT TRANSFER]],LS[[#Headers],[Investor ID]]:LS[[#This Row],[Investor ID]],LS[[#This Row],[Investor ID]])</f>
        <v>0</v>
      </c>
    </row>
    <row r="315" spans="2:26">
      <c r="B315" s="8">
        <v>2023</v>
      </c>
      <c r="C315" s="8">
        <v>1</v>
      </c>
      <c r="D315" s="8">
        <v>5</v>
      </c>
      <c r="E315" s="291">
        <f>DATE(LS[[#This Row],[Year]],LS[[#This Row],[Month]],LS[[#This Row],[Day]])</f>
        <v>44931</v>
      </c>
      <c r="F315" t="str" cm="1">
        <f t="array" ref="F315">INDEX(INVESTORS_LIST[INVESTOR NAME],MATCH(LS[[#This Row],[Investor ID]],INVESTORS_LIST[INVESTOR CODE],0),)</f>
        <v>MOHAMMED ALI XAHANGIR</v>
      </c>
      <c r="G315" s="19" t="s">
        <v>165</v>
      </c>
      <c r="H315" s="8">
        <f>COUNTIF(LS[[#Headers],[Investor ID]]:LS[[#This Row],[Investor ID]],LS[[#This Row],[Investor ID]])</f>
        <v>6</v>
      </c>
      <c r="I315" s="8" t="str">
        <f>CONCATENATE(LS[[#This Row],[Frequency]],LS[[#This Row],[Investor ID]])</f>
        <v>6A00132</v>
      </c>
      <c r="J315" s="8" t="str">
        <f>IF(LS[[#This Row],[B/S]]="B","BUY",(IF(LS[[#This Row],[B/S]]="S","SELL"," ")))</f>
        <v>SELL</v>
      </c>
      <c r="K315" s="8" t="s">
        <v>866</v>
      </c>
      <c r="L315" s="10">
        <v>-2699247.72</v>
      </c>
      <c r="M315" s="10"/>
      <c r="N315" s="168">
        <f>LS[[#This Row],[Amount]]/LS[[#This Row],[Unit]]</f>
        <v>10.020000000000001</v>
      </c>
      <c r="O315" s="11">
        <f t="shared" si="37"/>
        <v>-269386</v>
      </c>
      <c r="P315" s="11">
        <f>SUMIFS(LS[[#Headers],[Unit]]:LS[[#This Row],[Unit]],LS[[#Headers],[Investor ID]]:LS[[#This Row],[Investor ID]],LS[[#This Row],[Investor ID]])</f>
        <v>0</v>
      </c>
      <c r="Q315" s="10">
        <v>-2693860</v>
      </c>
      <c r="R315" s="6">
        <f>LS[[#This Row],[Amount]]-LS[[#This Row],[Unit Capital]]</f>
        <v>-5387.7200000002049</v>
      </c>
      <c r="S31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15" s="168">
        <f t="shared" si="38"/>
        <v>12.552</v>
      </c>
      <c r="U315" s="10">
        <f>IF(LS[[#This Row],[B/S]]="B",0,ABS(LS[[#This Row],[Unit]])*(LS[[#This Row],[NAV (Strike Rate)]]-INDEX(LS[NAV at Cost (Average)],MATCH(CONCATENATE(LS[[#This Row],[Frequency]]-1,LS[[#This Row],[Investor ID]]),LS[Unique Code],0),)))</f>
        <v>24247.72000000046</v>
      </c>
      <c r="V315" s="10" cm="1">
        <f t="array" ref="V315">IF(LS[[#This Row],[B/S]]="S",ABS(LS[[#This Row],[Unit]])*(INDEX(LS[NAV at Cost (Average)],MATCH(CONCATENATE((LS[[#This Row],[Frequency]]-1),LS[[#This Row],[Investor ID]]),LS[Unique Code],0),0)),0)</f>
        <v>2675000</v>
      </c>
      <c r="W315" s="10">
        <f>IF(LS[[#This Row],[BO Transfer]]="YES",LS[[#This Row],[Unit]],)</f>
        <v>0</v>
      </c>
      <c r="X315" s="3">
        <f>SUMIFS(LS[[#Headers],[BO UNIT TRANSFER]]:LS[[#This Row],[BO UNIT TRANSFER]],LS[[#Headers],[Investor ID]]:LS[[#This Row],[Investor ID]],LS[[#This Row],[Investor ID]])</f>
        <v>0</v>
      </c>
    </row>
    <row r="316" spans="2:26">
      <c r="B316" s="8">
        <v>2023</v>
      </c>
      <c r="C316" s="8">
        <v>1</v>
      </c>
      <c r="D316" s="8">
        <v>8</v>
      </c>
      <c r="E316" s="291">
        <f>DATE(LS[[#This Row],[Year]],LS[[#This Row],[Month]],LS[[#This Row],[Day]])</f>
        <v>44934</v>
      </c>
      <c r="F316" t="str" cm="1">
        <f t="array" ref="F316">INDEX(INVESTORS_LIST[INVESTOR NAME],MATCH(LS[[#This Row],[Investor ID]],INVESTORS_LIST[INVESTOR CODE],0),)</f>
        <v>MINHAJ UDDIN</v>
      </c>
      <c r="G316" s="19" t="s">
        <v>29</v>
      </c>
      <c r="H316" s="8">
        <f>COUNTIF(LS[[#Headers],[Investor ID]]:LS[[#This Row],[Investor ID]],LS[[#This Row],[Investor ID]])</f>
        <v>2</v>
      </c>
      <c r="I316" s="8" t="str">
        <f>CONCATENATE(LS[[#This Row],[Frequency]],LS[[#This Row],[Investor ID]])</f>
        <v>2A00022</v>
      </c>
      <c r="J316" s="8" t="str">
        <f>IF(LS[[#This Row],[B/S]]="B","BUY",(IF(LS[[#This Row],[B/S]]="S","SELL"," ")))</f>
        <v>SELL</v>
      </c>
      <c r="K316" s="8" t="s">
        <v>866</v>
      </c>
      <c r="L316" s="10">
        <v>-357122.82</v>
      </c>
      <c r="M316" s="10"/>
      <c r="N316" s="168">
        <f>LS[[#This Row],[Amount]]/LS[[#This Row],[Unit]]</f>
        <v>10.02</v>
      </c>
      <c r="O316" s="11">
        <f t="shared" si="37"/>
        <v>-35641</v>
      </c>
      <c r="P316" s="11">
        <f>SUMIFS(LS[[#Headers],[Unit]]:LS[[#This Row],[Unit]],LS[[#Headers],[Investor ID]]:LS[[#This Row],[Investor ID]],LS[[#This Row],[Investor ID]])</f>
        <v>0</v>
      </c>
      <c r="Q316" s="10">
        <v>-356410</v>
      </c>
      <c r="R316" s="6">
        <f>LS[[#This Row],[Amount]]-LS[[#This Row],[Unit Capital]]</f>
        <v>-712.82000000000698</v>
      </c>
      <c r="S31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16" s="168">
        <f t="shared" si="38"/>
        <v>12.552</v>
      </c>
      <c r="U316" s="10">
        <f>IF(LS[[#This Row],[B/S]]="B",0,ABS(LS[[#This Row],[Unit]])*(LS[[#This Row],[NAV (Strike Rate)]]-INDEX(LS[NAV at Cost (Average)],MATCH(CONCATENATE(LS[[#This Row],[Frequency]]-1,LS[[#This Row],[Investor ID]]),LS[Unique Code],0),)))</f>
        <v>7122.8200000000134</v>
      </c>
      <c r="V316" s="10" cm="1">
        <f t="array" ref="V316">IF(LS[[#This Row],[B/S]]="S",ABS(LS[[#This Row],[Unit]])*(INDEX(LS[NAV at Cost (Average)],MATCH(CONCATENATE((LS[[#This Row],[Frequency]]-1),LS[[#This Row],[Investor ID]]),LS[Unique Code],0),0)),0)</f>
        <v>350000</v>
      </c>
      <c r="W316" s="10">
        <f>IF(LS[[#This Row],[BO Transfer]]="YES",LS[[#This Row],[Unit]],)</f>
        <v>0</v>
      </c>
      <c r="X316" s="3">
        <f>SUMIFS(LS[[#Headers],[BO UNIT TRANSFER]]:LS[[#This Row],[BO UNIT TRANSFER]],LS[[#Headers],[Investor ID]]:LS[[#This Row],[Investor ID]],LS[[#This Row],[Investor ID]])</f>
        <v>0</v>
      </c>
    </row>
    <row r="317" spans="2:26">
      <c r="B317" s="8">
        <v>2023</v>
      </c>
      <c r="C317" s="8">
        <v>1</v>
      </c>
      <c r="D317" s="8">
        <v>17</v>
      </c>
      <c r="E317" s="291">
        <f>DATE(LS[[#This Row],[Year]],LS[[#This Row],[Month]],LS[[#This Row],[Day]])</f>
        <v>44943</v>
      </c>
      <c r="F317" t="str" cm="1">
        <f t="array" ref="F317">INDEX(INVESTORS_LIST[INVESTOR NAME],MATCH(LS[[#This Row],[Investor ID]],INVESTORS_LIST[INVESTOR CODE],0),)</f>
        <v>MD. BABUL MIAH</v>
      </c>
      <c r="G317" s="19" t="s">
        <v>904</v>
      </c>
      <c r="H317" s="8">
        <f>COUNTIF(LS[[#Headers],[Investor ID]]:LS[[#This Row],[Investor ID]],LS[[#This Row],[Investor ID]])</f>
        <v>1</v>
      </c>
      <c r="I317" s="8" t="str">
        <f>CONCATENATE(LS[[#This Row],[Frequency]],LS[[#This Row],[Investor ID]])</f>
        <v>1A00412</v>
      </c>
      <c r="J317" s="8" t="str">
        <f>IF(LS[[#This Row],[B/S]]="B","BUY",(IF(LS[[#This Row],[B/S]]="S","SELL"," ")))</f>
        <v>BUY</v>
      </c>
      <c r="K317" s="8" t="s">
        <v>301</v>
      </c>
      <c r="L317" s="10">
        <v>20000</v>
      </c>
      <c r="M317" s="10"/>
      <c r="N317" s="168">
        <f>LS[[#This Row],[Amount]]/LS[[#This Row],[Unit]]</f>
        <v>10.020040080160321</v>
      </c>
      <c r="O317" s="11">
        <f t="shared" ref="O317:O323" si="39">Q317/10</f>
        <v>1996</v>
      </c>
      <c r="P317" s="11">
        <f>SUMIFS(LS[[#Headers],[Unit]]:LS[[#This Row],[Unit]],LS[[#Headers],[Investor ID]]:LS[[#This Row],[Investor ID]],LS[[#This Row],[Investor ID]])</f>
        <v>1996</v>
      </c>
      <c r="Q317" s="10">
        <v>19960</v>
      </c>
      <c r="R317" s="6">
        <f>LS[[#This Row],[Amount]]-LS[[#This Row],[Unit Capital]]</f>
        <v>40</v>
      </c>
      <c r="S31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10.020040080160321</v>
      </c>
      <c r="T317" s="168">
        <f t="shared" si="38"/>
        <v>12.552</v>
      </c>
      <c r="U31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17" s="10" cm="1">
        <f t="array" ref="V317">IF(LS[[#This Row],[B/S]]="S",ABS(LS[[#This Row],[Unit]])*(INDEX(LS[NAV at Cost (Average)],MATCH(CONCATENATE((LS[[#This Row],[Frequency]]-1),LS[[#This Row],[Investor ID]]),LS[Unique Code],0),0)),0)</f>
        <v>0</v>
      </c>
      <c r="W317" s="10">
        <f>IF(LS[[#This Row],[BO Transfer]]="YES",LS[[#This Row],[Unit]],)</f>
        <v>0</v>
      </c>
      <c r="X317" s="3">
        <f>SUMIFS(LS[[#Headers],[BO UNIT TRANSFER]]:LS[[#This Row],[BO UNIT TRANSFER]],LS[[#Headers],[Investor ID]]:LS[[#This Row],[Investor ID]],LS[[#This Row],[Investor ID]])</f>
        <v>0</v>
      </c>
    </row>
    <row r="318" spans="2:26">
      <c r="B318" s="8">
        <v>2023</v>
      </c>
      <c r="C318" s="8">
        <v>1</v>
      </c>
      <c r="D318" s="8">
        <v>18</v>
      </c>
      <c r="E318" s="291">
        <f>DATE(LS[[#This Row],[Year]],LS[[#This Row],[Month]],LS[[#This Row],[Day]])</f>
        <v>44944</v>
      </c>
      <c r="F318" t="str" cm="1">
        <f t="array" ref="F318">INDEX(INVESTORS_LIST[INVESTOR NAME],MATCH(LS[[#This Row],[Investor ID]],INVESTORS_LIST[INVESTOR CODE],0),)</f>
        <v>MUTUAL TRUST BANK LIMITED</v>
      </c>
      <c r="G318" s="19" t="s">
        <v>876</v>
      </c>
      <c r="H318" s="8">
        <f>COUNTIF(LS[[#Headers],[Investor ID]]:LS[[#This Row],[Investor ID]],LS[[#This Row],[Investor ID]])</f>
        <v>2</v>
      </c>
      <c r="I318" s="8" t="str">
        <f>CONCATENATE(LS[[#This Row],[Frequency]],LS[[#This Row],[Investor ID]])</f>
        <v>2A00400</v>
      </c>
      <c r="J318" s="8" t="str">
        <f>IF(LS[[#This Row],[B/S]]="B","BUY",(IF(LS[[#This Row],[B/S]]="S","SELL"," ")))</f>
        <v>SELL</v>
      </c>
      <c r="K318" s="8" t="s">
        <v>866</v>
      </c>
      <c r="L318" s="10">
        <v>-10121212.02</v>
      </c>
      <c r="M318" s="10"/>
      <c r="N318" s="168">
        <f>LS[[#This Row],[Amount]]/LS[[#This Row],[Unit]]</f>
        <v>10.02</v>
      </c>
      <c r="O318" s="11">
        <f t="shared" si="39"/>
        <v>-1010101</v>
      </c>
      <c r="P318" s="11">
        <f>SUMIFS(LS[[#Headers],[Unit]]:LS[[#This Row],[Unit]],LS[[#Headers],[Investor ID]]:LS[[#This Row],[Investor ID]],LS[[#This Row],[Investor ID]])</f>
        <v>0</v>
      </c>
      <c r="Q318" s="10">
        <v>-10101010</v>
      </c>
      <c r="R318" s="6">
        <f>LS[[#This Row],[Amount]]-LS[[#This Row],[Unit Capital]]</f>
        <v>-20202.019999999553</v>
      </c>
      <c r="S31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18" s="168">
        <f t="shared" si="38"/>
        <v>12.552</v>
      </c>
      <c r="U318" s="10">
        <f>IF(LS[[#This Row],[B/S]]="B",0,ABS(LS[[#This Row],[Unit]])*(LS[[#This Row],[NAV (Strike Rate)]]-INDEX(LS[NAV at Cost (Average)],MATCH(CONCATENATE(LS[[#This Row],[Frequency]]-1,LS[[#This Row],[Investor ID]]),LS[Unique Code],0),)))</f>
        <v>121212.01999999912</v>
      </c>
      <c r="V318" s="10" cm="1">
        <f t="array" ref="V318">IF(LS[[#This Row],[B/S]]="S",ABS(LS[[#This Row],[Unit]])*(INDEX(LS[NAV at Cost (Average)],MATCH(CONCATENATE((LS[[#This Row],[Frequency]]-1),LS[[#This Row],[Investor ID]]),LS[Unique Code],0),0)),0)</f>
        <v>10000000</v>
      </c>
      <c r="W318" s="10">
        <f>IF(LS[[#This Row],[BO Transfer]]="YES",LS[[#This Row],[Unit]],)</f>
        <v>0</v>
      </c>
      <c r="X318" s="3">
        <f>SUMIFS(LS[[#Headers],[BO UNIT TRANSFER]]:LS[[#This Row],[BO UNIT TRANSFER]],LS[[#Headers],[Investor ID]]:LS[[#This Row],[Investor ID]],LS[[#This Row],[Investor ID]])</f>
        <v>0</v>
      </c>
    </row>
    <row r="319" spans="2:26">
      <c r="B319" s="8">
        <v>2023</v>
      </c>
      <c r="C319" s="8">
        <v>1</v>
      </c>
      <c r="D319" s="8">
        <v>22</v>
      </c>
      <c r="E319" s="291">
        <f>DATE(LS[[#This Row],[Year]],LS[[#This Row],[Month]],LS[[#This Row],[Day]])</f>
        <v>44948</v>
      </c>
      <c r="F319" t="str" cm="1">
        <f t="array" ref="F319">INDEX(INVESTORS_LIST[INVESTOR NAME],MATCH(LS[[#This Row],[Investor ID]],INVESTORS_LIST[INVESTOR CODE],0),)</f>
        <v>MUNTASIR MAHMUD RAHMAN</v>
      </c>
      <c r="G319" s="19" t="s">
        <v>573</v>
      </c>
      <c r="H319" s="8">
        <f>COUNTIF(LS[[#Headers],[Investor ID]]:LS[[#This Row],[Investor ID]],LS[[#This Row],[Investor ID]])</f>
        <v>2</v>
      </c>
      <c r="I319" s="8" t="str">
        <f>CONCATENATE(LS[[#This Row],[Frequency]],LS[[#This Row],[Investor ID]])</f>
        <v>2A00323</v>
      </c>
      <c r="J319" s="8" t="str">
        <f>IF(LS[[#This Row],[B/S]]="B","BUY",(IF(LS[[#This Row],[B/S]]="S","SELL"," ")))</f>
        <v>SELL</v>
      </c>
      <c r="K319" s="8" t="s">
        <v>866</v>
      </c>
      <c r="L319" s="10">
        <v>-150300</v>
      </c>
      <c r="M319" s="10"/>
      <c r="N319" s="168">
        <f>LS[[#This Row],[Amount]]/LS[[#This Row],[Unit]]</f>
        <v>10.02</v>
      </c>
      <c r="O319" s="11">
        <f t="shared" si="39"/>
        <v>-15000</v>
      </c>
      <c r="P319" s="11">
        <f>SUMIFS(LS[[#Headers],[Unit]]:LS[[#This Row],[Unit]],LS[[#Headers],[Investor ID]]:LS[[#This Row],[Investor ID]],LS[[#This Row],[Investor ID]])</f>
        <v>0</v>
      </c>
      <c r="Q319" s="10">
        <v>-150000</v>
      </c>
      <c r="R319" s="6">
        <f>LS[[#This Row],[Amount]]-LS[[#This Row],[Unit Capital]]</f>
        <v>-300</v>
      </c>
      <c r="S31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19" s="168">
        <f t="shared" si="38"/>
        <v>12.552</v>
      </c>
      <c r="U319" s="10">
        <f>IF(LS[[#This Row],[B/S]]="B",0,ABS(LS[[#This Row],[Unit]])*(LS[[#This Row],[NAV (Strike Rate)]]-INDEX(LS[NAV at Cost (Average)],MATCH(CONCATENATE(LS[[#This Row],[Frequency]]-1,LS[[#This Row],[Investor ID]]),LS[Unique Code],0),)))</f>
        <v>299.99999999999363</v>
      </c>
      <c r="V319" s="10" cm="1">
        <f t="array" ref="V319">IF(LS[[#This Row],[B/S]]="S",ABS(LS[[#This Row],[Unit]])*(INDEX(LS[NAV at Cost (Average)],MATCH(CONCATENATE((LS[[#This Row],[Frequency]]-1),LS[[#This Row],[Investor ID]]),LS[Unique Code],0),0)),0)</f>
        <v>150000</v>
      </c>
      <c r="W319" s="10">
        <f>IF(LS[[#This Row],[BO Transfer]]="YES",LS[[#This Row],[Unit]],)</f>
        <v>0</v>
      </c>
      <c r="X319" s="3">
        <f>SUMIFS(LS[[#Headers],[BO UNIT TRANSFER]]:LS[[#This Row],[BO UNIT TRANSFER]],LS[[#Headers],[Investor ID]]:LS[[#This Row],[Investor ID]],LS[[#This Row],[Investor ID]])</f>
        <v>0</v>
      </c>
      <c r="Y319" s="4"/>
      <c r="Z319" s="4"/>
    </row>
    <row r="320" spans="2:26">
      <c r="B320" s="8">
        <v>2023</v>
      </c>
      <c r="C320" s="8">
        <v>1</v>
      </c>
      <c r="D320" s="8">
        <v>30</v>
      </c>
      <c r="E320" s="291">
        <f>DATE(LS[[#This Row],[Year]],LS[[#This Row],[Month]],LS[[#This Row],[Day]])</f>
        <v>44956</v>
      </c>
      <c r="F320" t="str" cm="1">
        <f t="array" ref="F320">INDEX(INVESTORS_LIST[INVESTOR NAME],MATCH(LS[[#This Row],[Investor ID]],INVESTORS_LIST[INVESTOR CODE],0),)</f>
        <v>NANDA DULAL SAHA</v>
      </c>
      <c r="G320" s="19" t="s">
        <v>912</v>
      </c>
      <c r="H320" s="8">
        <f>COUNTIF(LS[[#Headers],[Investor ID]]:LS[[#This Row],[Investor ID]],LS[[#This Row],[Investor ID]])</f>
        <v>2</v>
      </c>
      <c r="I320" s="8" t="str">
        <f>CONCATENATE(LS[[#This Row],[Frequency]],LS[[#This Row],[Investor ID]])</f>
        <v>2A00417</v>
      </c>
      <c r="J320" s="14" t="str">
        <f>IF(LS[[#This Row],[B/S]]="B","BUY",(IF(LS[[#This Row],[B/S]]="S","SELL"," ")))</f>
        <v>SELL</v>
      </c>
      <c r="K320" s="8" t="s">
        <v>866</v>
      </c>
      <c r="L320" s="10">
        <v>-110000</v>
      </c>
      <c r="M320" s="10"/>
      <c r="N320" s="168">
        <f>LS[[#This Row],[Amount]]/LS[[#This Row],[Unit]]</f>
        <v>10.050251256281408</v>
      </c>
      <c r="O320" s="11">
        <f t="shared" si="39"/>
        <v>-10945</v>
      </c>
      <c r="P320" s="11">
        <f>SUMIFS(LS[[#Headers],[Unit]]:LS[[#This Row],[Unit]],LS[[#Headers],[Investor ID]]:LS[[#This Row],[Investor ID]],LS[[#This Row],[Investor ID]])</f>
        <v>5332</v>
      </c>
      <c r="Q320" s="10">
        <v>-109450</v>
      </c>
      <c r="R320" s="6">
        <f>LS[[#This Row],[Amount]]-LS[[#This Row],[Unit Capital]]</f>
        <v>-550</v>
      </c>
      <c r="S32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9.8298212201265596</v>
      </c>
      <c r="T320" s="168">
        <f t="shared" ref="T320:T325" si="40">IFERROR(NAV_MKT,0)</f>
        <v>12.552</v>
      </c>
      <c r="U320" s="10">
        <f>IF(LS[[#This Row],[B/S]]="B",0,ABS(LS[[#This Row],[Unit]])*(LS[[#This Row],[NAV (Strike Rate)]]-INDEX(LS[NAV at Cost (Average)],MATCH(CONCATENATE(LS[[#This Row],[Frequency]]-1,LS[[#This Row],[Investor ID]]),LS[Unique Code],0),)))</f>
        <v>2412.6067457148151</v>
      </c>
      <c r="V320" s="10" cm="1">
        <f t="array" ref="V320">IF(LS[[#This Row],[B/S]]="S",ABS(LS[[#This Row],[Unit]])*(INDEX(LS[NAV at Cost (Average)],MATCH(CONCATENATE((LS[[#This Row],[Frequency]]-1),LS[[#This Row],[Investor ID]]),LS[Unique Code],0),0)),0)</f>
        <v>107587.3932542852</v>
      </c>
      <c r="W320" s="10">
        <f>IF(LS[[#This Row],[BO Transfer]]="YES",LS[[#This Row],[Unit]],)</f>
        <v>0</v>
      </c>
      <c r="X320" s="3">
        <f>SUMIFS(LS[[#Headers],[BO UNIT TRANSFER]]:LS[[#This Row],[BO UNIT TRANSFER]],LS[[#Headers],[Investor ID]]:LS[[#This Row],[Investor ID]],LS[[#This Row],[Investor ID]])</f>
        <v>0</v>
      </c>
      <c r="Y320" s="4"/>
      <c r="Z320" s="4"/>
    </row>
    <row r="321" spans="2:26">
      <c r="B321" s="8">
        <v>2023</v>
      </c>
      <c r="C321" s="8">
        <v>2</v>
      </c>
      <c r="D321" s="8">
        <v>2</v>
      </c>
      <c r="E321" s="291">
        <f>DATE(LS[[#This Row],[Year]],LS[[#This Row],[Month]],LS[[#This Row],[Day]])</f>
        <v>44959</v>
      </c>
      <c r="F321" t="str" cm="1">
        <f t="array" ref="F321">INDEX(INVESTORS_LIST[INVESTOR NAME],MATCH(LS[[#This Row],[Investor ID]],INVESTORS_LIST[INVESTOR CODE],0),)</f>
        <v>NAYEEMA TASNEEM</v>
      </c>
      <c r="G321" s="19" t="s">
        <v>679</v>
      </c>
      <c r="H321" s="8">
        <f>COUNTIF(LS[[#Headers],[Investor ID]]:LS[[#This Row],[Investor ID]],LS[[#This Row],[Investor ID]])</f>
        <v>4</v>
      </c>
      <c r="I321" s="8" t="str">
        <f>CONCATENATE(LS[[#This Row],[Frequency]],LS[[#This Row],[Investor ID]])</f>
        <v>4A00366</v>
      </c>
      <c r="J321" s="14" t="str">
        <f>IF(LS[[#This Row],[B/S]]="B","BUY",(IF(LS[[#This Row],[B/S]]="S","SELL"," ")))</f>
        <v>SELL</v>
      </c>
      <c r="K321" s="8" t="s">
        <v>866</v>
      </c>
      <c r="L321" s="10">
        <v>-50000</v>
      </c>
      <c r="M321" s="10"/>
      <c r="N321" s="168">
        <f>LS[[#This Row],[Amount]]/LS[[#This Row],[Unit]]</f>
        <v>10.050251256281408</v>
      </c>
      <c r="O321" s="11">
        <f t="shared" si="39"/>
        <v>-4975</v>
      </c>
      <c r="P321" s="11">
        <f>SUMIFS(LS[[#Headers],[Unit]]:LS[[#This Row],[Unit]],LS[[#Headers],[Investor ID]]:LS[[#This Row],[Investor ID]],LS[[#This Row],[Investor ID]])</f>
        <v>24798</v>
      </c>
      <c r="Q321" s="10">
        <v>-49750</v>
      </c>
      <c r="R321" s="6">
        <f>LS[[#This Row],[Amount]]-LS[[#This Row],[Unit Capital]]</f>
        <v>-250</v>
      </c>
      <c r="S32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21" s="168">
        <f t="shared" si="40"/>
        <v>12.552</v>
      </c>
      <c r="U321" s="10">
        <f>IF(LS[[#This Row],[B/S]]="B",0,ABS(LS[[#This Row],[Unit]])*(LS[[#This Row],[NAV (Strike Rate)]]-INDEX(LS[NAV at Cost (Average)],MATCH(CONCATENATE(LS[[#This Row],[Frequency]]-1,LS[[#This Row],[Investor ID]]),LS[Unique Code],0),)))</f>
        <v>250.00000000000441</v>
      </c>
      <c r="V321" s="10" cm="1">
        <f t="array" ref="V321">IF(LS[[#This Row],[B/S]]="S",ABS(LS[[#This Row],[Unit]])*(INDEX(LS[NAV at Cost (Average)],MATCH(CONCATENATE((LS[[#This Row],[Frequency]]-1),LS[[#This Row],[Investor ID]]),LS[Unique Code],0),0)),0)</f>
        <v>49750</v>
      </c>
      <c r="W321" s="10">
        <f>IF(LS[[#This Row],[BO Transfer]]="YES",LS[[#This Row],[Unit]],)</f>
        <v>0</v>
      </c>
      <c r="X321" s="3">
        <f>SUMIFS(LS[[#Headers],[BO UNIT TRANSFER]]:LS[[#This Row],[BO UNIT TRANSFER]],LS[[#Headers],[Investor ID]]:LS[[#This Row],[Investor ID]],LS[[#This Row],[Investor ID]])</f>
        <v>0</v>
      </c>
      <c r="Y321" s="4"/>
      <c r="Z321" s="4"/>
    </row>
    <row r="322" spans="2:26">
      <c r="B322" s="8">
        <v>2023</v>
      </c>
      <c r="C322" s="8">
        <v>2</v>
      </c>
      <c r="D322" s="8">
        <v>15</v>
      </c>
      <c r="E322" s="291">
        <f>DATE(LS[[#This Row],[Year]],LS[[#This Row],[Month]],LS[[#This Row],[Day]])</f>
        <v>44972</v>
      </c>
      <c r="F322" t="str" cm="1">
        <f t="array" ref="F322">INDEX(INVESTORS_LIST[INVESTOR NAME],MATCH(LS[[#This Row],[Investor ID]],INVESTORS_LIST[INVESTOR CODE],0),)</f>
        <v>DHAKA IMPERIAL COLLEGE TEACHERS STAFF MULTIPURPOSE CO-OPERATIVE SOCIETY LTD.</v>
      </c>
      <c r="G322" s="25" t="s">
        <v>611</v>
      </c>
      <c r="H322" s="8">
        <f>COUNTIF(LS[[#Headers],[Investor ID]]:LS[[#This Row],[Investor ID]],LS[[#This Row],[Investor ID]])</f>
        <v>2</v>
      </c>
      <c r="I322" s="8" t="str">
        <f>CONCATENATE(LS[[#This Row],[Frequency]],LS[[#This Row],[Investor ID]])</f>
        <v>2A00344</v>
      </c>
      <c r="J322" s="14" t="str">
        <f>IF(LS[[#This Row],[B/S]]="B","BUY",(IF(LS[[#This Row],[B/S]]="S","SELL"," ")))</f>
        <v>BUY</v>
      </c>
      <c r="K322" s="8" t="s">
        <v>301</v>
      </c>
      <c r="L322" s="10">
        <v>-503000</v>
      </c>
      <c r="M322" s="10"/>
      <c r="N322" s="168">
        <f>LS[[#This Row],[Amount]]/LS[[#This Row],[Unit]]</f>
        <v>10.06</v>
      </c>
      <c r="O322" s="11">
        <f t="shared" si="39"/>
        <v>-50000</v>
      </c>
      <c r="P322" s="11">
        <f>SUMIFS(LS[[#Headers],[Unit]]:LS[[#This Row],[Unit]],LS[[#Headers],[Investor ID]]:LS[[#This Row],[Investor ID]],LS[[#This Row],[Investor ID]])</f>
        <v>0</v>
      </c>
      <c r="Q322" s="10">
        <v>-500000</v>
      </c>
      <c r="R322" s="6">
        <f>LS[[#This Row],[Amount]]-LS[[#This Row],[Unit Capital]]</f>
        <v>-3000</v>
      </c>
      <c r="S32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22" s="168">
        <f t="shared" si="40"/>
        <v>12.552</v>
      </c>
      <c r="U32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22" s="10" cm="1">
        <f t="array" ref="V322">IF(LS[[#This Row],[B/S]]="S",ABS(LS[[#This Row],[Unit]])*(INDEX(LS[NAV at Cost (Average)],MATCH(CONCATENATE((LS[[#This Row],[Frequency]]-1),LS[[#This Row],[Investor ID]]),LS[Unique Code],0),0)),0)</f>
        <v>0</v>
      </c>
      <c r="W322" s="10">
        <f>IF(LS[[#This Row],[BO Transfer]]="YES",LS[[#This Row],[Unit]],)</f>
        <v>0</v>
      </c>
      <c r="X322" s="3">
        <f>SUMIFS(LS[[#Headers],[BO UNIT TRANSFER]]:LS[[#This Row],[BO UNIT TRANSFER]],LS[[#Headers],[Investor ID]]:LS[[#This Row],[Investor ID]],LS[[#This Row],[Investor ID]])</f>
        <v>0</v>
      </c>
    </row>
    <row r="323" spans="2:26">
      <c r="B323" s="8">
        <v>2023</v>
      </c>
      <c r="C323" s="8">
        <v>2</v>
      </c>
      <c r="D323" s="8">
        <v>15</v>
      </c>
      <c r="E323" s="291">
        <f>DATE(LS[[#This Row],[Year]],LS[[#This Row],[Month]],LS[[#This Row],[Day]])</f>
        <v>44972</v>
      </c>
      <c r="F323" t="str" cm="1">
        <f t="array" ref="F323">INDEX(INVESTORS_LIST[INVESTOR NAME],MATCH(LS[[#This Row],[Investor ID]],INVESTORS_LIST[INVESTOR CODE],0),)</f>
        <v>JNANDIP PAUL</v>
      </c>
      <c r="G323" s="19" t="s">
        <v>100</v>
      </c>
      <c r="H323" s="8">
        <f>COUNTIF(LS[[#Headers],[Investor ID]]:LS[[#This Row],[Investor ID]],LS[[#This Row],[Investor ID]])</f>
        <v>2</v>
      </c>
      <c r="I323" s="8" t="str">
        <f>CONCATENATE(LS[[#This Row],[Frequency]],LS[[#This Row],[Investor ID]])</f>
        <v>2A00091</v>
      </c>
      <c r="J323" s="8" t="str">
        <f>IF(LS[[#This Row],[B/S]]="B","BUY",(IF(LS[[#This Row],[B/S]]="S","SELL"," ")))</f>
        <v>BUY</v>
      </c>
      <c r="K323" s="8" t="s">
        <v>301</v>
      </c>
      <c r="L323" s="10">
        <v>-307322.94</v>
      </c>
      <c r="M323" s="10"/>
      <c r="N323" s="168">
        <f>LS[[#This Row],[Amount]]/LS[[#This Row],[Unit]]</f>
        <v>10.06</v>
      </c>
      <c r="O323" s="11">
        <f t="shared" si="39"/>
        <v>-30549</v>
      </c>
      <c r="P323" s="11">
        <f>SUMIFS(LS[[#Headers],[Unit]]:LS[[#This Row],[Unit]],LS[[#Headers],[Investor ID]]:LS[[#This Row],[Investor ID]],LS[[#This Row],[Investor ID]])</f>
        <v>0</v>
      </c>
      <c r="Q323" s="10">
        <v>-305490</v>
      </c>
      <c r="R323" s="6">
        <f>LS[[#This Row],[Amount]]-LS[[#This Row],[Unit Capital]]</f>
        <v>-1832.9400000000023</v>
      </c>
      <c r="S32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23" s="168">
        <f t="shared" si="40"/>
        <v>12.552</v>
      </c>
      <c r="U32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23" s="10" cm="1">
        <f t="array" ref="V323">IF(LS[[#This Row],[B/S]]="S",ABS(LS[[#This Row],[Unit]])*(INDEX(LS[NAV at Cost (Average)],MATCH(CONCATENATE((LS[[#This Row],[Frequency]]-1),LS[[#This Row],[Investor ID]]),LS[Unique Code],0),0)),0)</f>
        <v>0</v>
      </c>
      <c r="W323" s="10">
        <f>IF(LS[[#This Row],[BO Transfer]]="YES",LS[[#This Row],[Unit]],)</f>
        <v>0</v>
      </c>
      <c r="X323" s="3">
        <f>SUMIFS(LS[[#Headers],[BO UNIT TRANSFER]]:LS[[#This Row],[BO UNIT TRANSFER]],LS[[#Headers],[Investor ID]]:LS[[#This Row],[Investor ID]],LS[[#This Row],[Investor ID]])</f>
        <v>0</v>
      </c>
    </row>
    <row r="324" spans="2:26">
      <c r="B324" s="8">
        <v>2023</v>
      </c>
      <c r="C324" s="8">
        <v>2</v>
      </c>
      <c r="D324" s="8">
        <v>19</v>
      </c>
      <c r="E324" s="291">
        <f>DATE(LS[[#This Row],[Year]],LS[[#This Row],[Month]],LS[[#This Row],[Day]])</f>
        <v>44976</v>
      </c>
      <c r="F324" t="str" cm="1">
        <f t="array" ref="F324">INDEX(INVESTORS_LIST[INVESTOR NAME],MATCH(LS[[#This Row],[Investor ID]],INVESTORS_LIST[INVESTOR CODE],0),)</f>
        <v>ARIF AHMED</v>
      </c>
      <c r="G324" s="19" t="s">
        <v>669</v>
      </c>
      <c r="H324" s="8">
        <f>COUNTIF(LS[[#Headers],[Investor ID]]:LS[[#This Row],[Investor ID]],LS[[#This Row],[Investor ID]])</f>
        <v>2</v>
      </c>
      <c r="I324" s="8" t="str">
        <f>CONCATENATE(LS[[#This Row],[Frequency]],LS[[#This Row],[Investor ID]])</f>
        <v>2A00361</v>
      </c>
      <c r="J324" s="8" t="str">
        <f>IF(LS[[#This Row],[B/S]]="B","BUY",(IF(LS[[#This Row],[B/S]]="S","SELL"," ")))</f>
        <v>SELL</v>
      </c>
      <c r="K324" s="8" t="s">
        <v>866</v>
      </c>
      <c r="L324" s="10">
        <v>-100600</v>
      </c>
      <c r="M324" s="10"/>
      <c r="N324" s="168">
        <f>LS[[#This Row],[Amount]]/LS[[#This Row],[Unit]]</f>
        <v>10.06</v>
      </c>
      <c r="O324" s="11">
        <f t="shared" ref="O324:O329" si="41">Q324/10</f>
        <v>-10000</v>
      </c>
      <c r="P324" s="11">
        <f>SUMIFS(LS[[#Headers],[Unit]]:LS[[#This Row],[Unit]],LS[[#Headers],[Investor ID]]:LS[[#This Row],[Investor ID]],LS[[#This Row],[Investor ID]])</f>
        <v>0</v>
      </c>
      <c r="Q324" s="10">
        <v>-100000</v>
      </c>
      <c r="R324" s="6">
        <f>LS[[#This Row],[Amount]]-LS[[#This Row],[Unit Capital]]</f>
        <v>-600</v>
      </c>
      <c r="S32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24" s="168">
        <f t="shared" si="40"/>
        <v>12.552</v>
      </c>
      <c r="U324" s="10">
        <f>IF(LS[[#This Row],[B/S]]="B",0,ABS(LS[[#This Row],[Unit]])*(LS[[#This Row],[NAV (Strike Rate)]]-INDEX(LS[NAV at Cost (Average)],MATCH(CONCATENATE(LS[[#This Row],[Frequency]]-1,LS[[#This Row],[Investor ID]]),LS[Unique Code],0),)))</f>
        <v>600.000000000005</v>
      </c>
      <c r="V324" s="10" cm="1">
        <f t="array" ref="V324">IF(LS[[#This Row],[B/S]]="S",ABS(LS[[#This Row],[Unit]])*(INDEX(LS[NAV at Cost (Average)],MATCH(CONCATENATE((LS[[#This Row],[Frequency]]-1),LS[[#This Row],[Investor ID]]),LS[Unique Code],0),0)),0)</f>
        <v>100000</v>
      </c>
      <c r="W324" s="10">
        <f>IF(LS[[#This Row],[BO Transfer]]="YES",LS[[#This Row],[Unit]],)</f>
        <v>0</v>
      </c>
      <c r="X324" s="3">
        <f>SUMIFS(LS[[#Headers],[BO UNIT TRANSFER]]:LS[[#This Row],[BO UNIT TRANSFER]],LS[[#Headers],[Investor ID]]:LS[[#This Row],[Investor ID]],LS[[#This Row],[Investor ID]])</f>
        <v>0</v>
      </c>
    </row>
    <row r="325" spans="2:26">
      <c r="B325" s="8">
        <v>2023</v>
      </c>
      <c r="C325" s="8">
        <v>2</v>
      </c>
      <c r="D325" s="8">
        <v>19</v>
      </c>
      <c r="E325" s="291">
        <f>DATE(LS[[#This Row],[Year]],LS[[#This Row],[Month]],LS[[#This Row],[Day]])</f>
        <v>44976</v>
      </c>
      <c r="F325" t="str" cm="1">
        <f t="array" ref="F325">INDEX(INVESTORS_LIST[INVESTOR NAME],MATCH(LS[[#This Row],[Investor ID]],INVESTORS_LIST[INVESTOR CODE],0),)</f>
        <v>MOHAMMAD DELOWAR HOSSAIN MRIDHA</v>
      </c>
      <c r="G325" s="25" t="s">
        <v>680</v>
      </c>
      <c r="H325" s="8">
        <f>COUNTIF(LS[[#Headers],[Investor ID]]:LS[[#This Row],[Investor ID]],LS[[#This Row],[Investor ID]])</f>
        <v>2</v>
      </c>
      <c r="I325" s="8" t="str">
        <f>CONCATENATE(LS[[#This Row],[Frequency]],LS[[#This Row],[Investor ID]])</f>
        <v>2A00367</v>
      </c>
      <c r="J325" s="14" t="str">
        <f>IF(LS[[#This Row],[B/S]]="B","BUY",(IF(LS[[#This Row],[B/S]]="S","SELL"," ")))</f>
        <v>SELL</v>
      </c>
      <c r="K325" s="8" t="s">
        <v>866</v>
      </c>
      <c r="L325" s="10">
        <v>-100600</v>
      </c>
      <c r="M325" s="10"/>
      <c r="N325" s="168">
        <f>LS[[#This Row],[Amount]]/LS[[#This Row],[Unit]]</f>
        <v>10.06</v>
      </c>
      <c r="O325" s="11">
        <f t="shared" si="41"/>
        <v>-10000</v>
      </c>
      <c r="P325" s="11">
        <f>SUMIFS(LS[[#Headers],[Unit]]:LS[[#This Row],[Unit]],LS[[#Headers],[Investor ID]]:LS[[#This Row],[Investor ID]],LS[[#This Row],[Investor ID]])</f>
        <v>0</v>
      </c>
      <c r="Q325" s="10">
        <v>-100000</v>
      </c>
      <c r="R325" s="6">
        <f>LS[[#This Row],[Amount]]-LS[[#This Row],[Unit Capital]]</f>
        <v>-600</v>
      </c>
      <c r="S32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25" s="168">
        <f t="shared" si="40"/>
        <v>12.552</v>
      </c>
      <c r="U325" s="10">
        <f>IF(LS[[#This Row],[B/S]]="B",0,ABS(LS[[#This Row],[Unit]])*(LS[[#This Row],[NAV (Strike Rate)]]-INDEX(LS[NAV at Cost (Average)],MATCH(CONCATENATE(LS[[#This Row],[Frequency]]-1,LS[[#This Row],[Investor ID]]),LS[Unique Code],0),)))</f>
        <v>600.000000000005</v>
      </c>
      <c r="V325" s="10" cm="1">
        <f t="array" ref="V325">IF(LS[[#This Row],[B/S]]="S",ABS(LS[[#This Row],[Unit]])*(INDEX(LS[NAV at Cost (Average)],MATCH(CONCATENATE((LS[[#This Row],[Frequency]]-1),LS[[#This Row],[Investor ID]]),LS[Unique Code],0),0)),0)</f>
        <v>100000</v>
      </c>
      <c r="W325" s="10">
        <f>IF(LS[[#This Row],[BO Transfer]]="YES",LS[[#This Row],[Unit]],)</f>
        <v>0</v>
      </c>
      <c r="X325" s="3">
        <f>SUMIFS(LS[[#Headers],[BO UNIT TRANSFER]]:LS[[#This Row],[BO UNIT TRANSFER]],LS[[#Headers],[Investor ID]]:LS[[#This Row],[Investor ID]],LS[[#This Row],[Investor ID]])</f>
        <v>0</v>
      </c>
    </row>
    <row r="326" spans="2:26">
      <c r="B326" s="8">
        <v>2023</v>
      </c>
      <c r="C326" s="8">
        <v>2</v>
      </c>
      <c r="D326" s="8">
        <v>22</v>
      </c>
      <c r="E326" s="291">
        <f>DATE(LS[[#This Row],[Year]],LS[[#This Row],[Month]],LS[[#This Row],[Day]])</f>
        <v>44979</v>
      </c>
      <c r="F326" t="str" cm="1">
        <f t="array" ref="F326">INDEX(INVESTORS_LIST[INVESTOR NAME],MATCH(LS[[#This Row],[Investor ID]],INVESTORS_LIST[INVESTOR CODE],0),)</f>
        <v>MD. NAZIMUL HAQUE HAQUANNI</v>
      </c>
      <c r="G326" s="19" t="s">
        <v>682</v>
      </c>
      <c r="H326" s="8">
        <f>COUNTIF(LS[[#Headers],[Investor ID]]:LS[[#This Row],[Investor ID]],LS[[#This Row],[Investor ID]])</f>
        <v>2</v>
      </c>
      <c r="I326" s="8" t="str">
        <f>CONCATENATE(LS[[#This Row],[Frequency]],LS[[#This Row],[Investor ID]])</f>
        <v>2A00368</v>
      </c>
      <c r="J326" s="14" t="str">
        <f>IF(LS[[#This Row],[B/S]]="B","BUY",(IF(LS[[#This Row],[B/S]]="S","SELL"," ")))</f>
        <v>SELL</v>
      </c>
      <c r="K326" s="8" t="s">
        <v>866</v>
      </c>
      <c r="L326" s="10">
        <v>-100600</v>
      </c>
      <c r="M326" s="10"/>
      <c r="N326" s="168">
        <f>LS[[#This Row],[Amount]]/LS[[#This Row],[Unit]]</f>
        <v>10.06</v>
      </c>
      <c r="O326" s="11">
        <f t="shared" si="41"/>
        <v>-10000</v>
      </c>
      <c r="P326" s="11">
        <f>SUMIFS(LS[[#Headers],[Unit]]:LS[[#This Row],[Unit]],LS[[#Headers],[Investor ID]]:LS[[#This Row],[Investor ID]],LS[[#This Row],[Investor ID]])</f>
        <v>0</v>
      </c>
      <c r="Q326" s="10">
        <v>-100000</v>
      </c>
      <c r="R326" s="6">
        <f>LS[[#This Row],[Amount]]-LS[[#This Row],[Unit Capital]]</f>
        <v>-600</v>
      </c>
      <c r="S32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26" s="168">
        <f t="shared" ref="T326:T331" si="42">IFERROR(NAV_MKT,0)</f>
        <v>12.552</v>
      </c>
      <c r="U326" s="10">
        <f>IF(LS[[#This Row],[B/S]]="B",0,ABS(LS[[#This Row],[Unit]])*(LS[[#This Row],[NAV (Strike Rate)]]-INDEX(LS[NAV at Cost (Average)],MATCH(CONCATENATE(LS[[#This Row],[Frequency]]-1,LS[[#This Row],[Investor ID]]),LS[Unique Code],0),)))</f>
        <v>600.000000000005</v>
      </c>
      <c r="V326" s="10" cm="1">
        <f t="array" ref="V326">IF(LS[[#This Row],[B/S]]="S",ABS(LS[[#This Row],[Unit]])*(INDEX(LS[NAV at Cost (Average)],MATCH(CONCATENATE((LS[[#This Row],[Frequency]]-1),LS[[#This Row],[Investor ID]]),LS[Unique Code],0),0)),0)</f>
        <v>100000</v>
      </c>
      <c r="W326" s="10">
        <f>IF(LS[[#This Row],[BO Transfer]]="YES",LS[[#This Row],[Unit]],)</f>
        <v>0</v>
      </c>
      <c r="X326" s="3">
        <f>SUMIFS(LS[[#Headers],[BO UNIT TRANSFER]]:LS[[#This Row],[BO UNIT TRANSFER]],LS[[#Headers],[Investor ID]]:LS[[#This Row],[Investor ID]],LS[[#This Row],[Investor ID]])</f>
        <v>0</v>
      </c>
    </row>
    <row r="327" spans="2:26">
      <c r="B327" s="8">
        <v>2023</v>
      </c>
      <c r="C327" s="8">
        <v>2</v>
      </c>
      <c r="D327" s="8">
        <v>26</v>
      </c>
      <c r="E327" s="291">
        <f>DATE(LS[[#This Row],[Year]],LS[[#This Row],[Month]],LS[[#This Row],[Day]])</f>
        <v>44983</v>
      </c>
      <c r="F327" t="str" cm="1">
        <f t="array" ref="F327">INDEX(INVESTORS_LIST[INVESTOR NAME],MATCH(LS[[#This Row],[Investor ID]],INVESTORS_LIST[INVESTOR CODE],0),)</f>
        <v>COMMUNITY BANK BANGLADESH LIMITED</v>
      </c>
      <c r="G327" s="19" t="s">
        <v>89</v>
      </c>
      <c r="H327" s="8">
        <f>COUNTIF(LS[[#Headers],[Investor ID]]:LS[[#This Row],[Investor ID]],LS[[#This Row],[Investor ID]])</f>
        <v>2</v>
      </c>
      <c r="I327" s="8" t="str">
        <f>CONCATENATE(LS[[#This Row],[Frequency]],LS[[#This Row],[Investor ID]])</f>
        <v>2A00081</v>
      </c>
      <c r="J327" s="14" t="str">
        <f>IF(LS[[#This Row],[B/S]]="B","BUY",(IF(LS[[#This Row],[B/S]]="S","SELL"," ")))</f>
        <v>SELL</v>
      </c>
      <c r="K327" s="8" t="s">
        <v>866</v>
      </c>
      <c r="L327" s="10">
        <v>-5025000</v>
      </c>
      <c r="M327" s="10"/>
      <c r="N327" s="168">
        <f>LS[[#This Row],[Amount]]/LS[[#This Row],[Unit]]</f>
        <v>10.050000000000001</v>
      </c>
      <c r="O327" s="11">
        <f t="shared" si="41"/>
        <v>-500000</v>
      </c>
      <c r="P327" s="11">
        <f>SUMIFS(LS[[#Headers],[Unit]]:LS[[#This Row],[Unit]],LS[[#Headers],[Investor ID]]:LS[[#This Row],[Investor ID]],LS[[#This Row],[Investor ID]])</f>
        <v>500000</v>
      </c>
      <c r="Q327" s="10">
        <v>-5000000</v>
      </c>
      <c r="R327" s="6">
        <f>LS[[#This Row],[Amount]]-LS[[#This Row],[Unit Capital]]</f>
        <v>-25000</v>
      </c>
      <c r="S32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27" s="168">
        <f t="shared" si="42"/>
        <v>12.552</v>
      </c>
      <c r="U327" s="10">
        <f>IF(LS[[#This Row],[B/S]]="B",0,ABS(LS[[#This Row],[Unit]])*(LS[[#This Row],[NAV (Strike Rate)]]-INDEX(LS[NAV at Cost (Average)],MATCH(CONCATENATE(LS[[#This Row],[Frequency]]-1,LS[[#This Row],[Investor ID]]),LS[Unique Code],0),)))</f>
        <v>25000.000000000357</v>
      </c>
      <c r="V327" s="10" cm="1">
        <f t="array" ref="V327">IF(LS[[#This Row],[B/S]]="S",ABS(LS[[#This Row],[Unit]])*(INDEX(LS[NAV at Cost (Average)],MATCH(CONCATENATE((LS[[#This Row],[Frequency]]-1),LS[[#This Row],[Investor ID]]),LS[Unique Code],0),0)),0)</f>
        <v>5000000</v>
      </c>
      <c r="W327" s="10">
        <f>IF(LS[[#This Row],[BO Transfer]]="YES",LS[[#This Row],[Unit]],)</f>
        <v>0</v>
      </c>
      <c r="X327" s="3">
        <f>SUMIFS(LS[[#Headers],[BO UNIT TRANSFER]]:LS[[#This Row],[BO UNIT TRANSFER]],LS[[#Headers],[Investor ID]]:LS[[#This Row],[Investor ID]],LS[[#This Row],[Investor ID]])</f>
        <v>0</v>
      </c>
    </row>
    <row r="328" spans="2:26">
      <c r="B328" s="8">
        <v>2023</v>
      </c>
      <c r="C328" s="8">
        <v>2</v>
      </c>
      <c r="D328" s="8">
        <v>26</v>
      </c>
      <c r="E328" s="291">
        <f>DATE(LS[[#This Row],[Year]],LS[[#This Row],[Month]],LS[[#This Row],[Day]])</f>
        <v>44983</v>
      </c>
      <c r="F328" t="str" cm="1">
        <f t="array" ref="F328">INDEX(INVESTORS_LIST[INVESTOR NAME],MATCH(LS[[#This Row],[Investor ID]],INVESTORS_LIST[INVESTOR CODE],0),)</f>
        <v>MD. MUKIT MURSHED</v>
      </c>
      <c r="G328" s="19" t="s">
        <v>861</v>
      </c>
      <c r="H328" s="8">
        <f>COUNTIF(LS[[#Headers],[Investor ID]]:LS[[#This Row],[Investor ID]],LS[[#This Row],[Investor ID]])</f>
        <v>2</v>
      </c>
      <c r="I328" s="8" t="str">
        <f>CONCATENATE(LS[[#This Row],[Frequency]],LS[[#This Row],[Investor ID]])</f>
        <v>2A00393</v>
      </c>
      <c r="J328" s="14" t="str">
        <f>IF(LS[[#This Row],[B/S]]="B","BUY",(IF(LS[[#This Row],[B/S]]="S","SELL"," ")))</f>
        <v>SELL</v>
      </c>
      <c r="K328" s="8" t="s">
        <v>866</v>
      </c>
      <c r="L328" s="10">
        <v>-100500</v>
      </c>
      <c r="M328" s="10"/>
      <c r="N328" s="168">
        <f>LS[[#This Row],[Amount]]/LS[[#This Row],[Unit]]</f>
        <v>10.050000000000001</v>
      </c>
      <c r="O328" s="11">
        <f t="shared" si="41"/>
        <v>-10000</v>
      </c>
      <c r="P328" s="11">
        <f>SUMIFS(LS[[#Headers],[Unit]]:LS[[#This Row],[Unit]],LS[[#Headers],[Investor ID]]:LS[[#This Row],[Investor ID]],LS[[#This Row],[Investor ID]])</f>
        <v>0</v>
      </c>
      <c r="Q328" s="10">
        <v>-100000</v>
      </c>
      <c r="R328" s="6">
        <f>LS[[#This Row],[Amount]]-LS[[#This Row],[Unit Capital]]</f>
        <v>-500</v>
      </c>
      <c r="S32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28" s="168">
        <f t="shared" si="42"/>
        <v>12.552</v>
      </c>
      <c r="U328" s="10">
        <f>IF(LS[[#This Row],[B/S]]="B",0,ABS(LS[[#This Row],[Unit]])*(LS[[#This Row],[NAV (Strike Rate)]]-INDEX(LS[NAV at Cost (Average)],MATCH(CONCATENATE(LS[[#This Row],[Frequency]]-1,LS[[#This Row],[Investor ID]]),LS[Unique Code],0),)))</f>
        <v>500.00000000000711</v>
      </c>
      <c r="V328" s="10" cm="1">
        <f t="array" ref="V328">IF(LS[[#This Row],[B/S]]="S",ABS(LS[[#This Row],[Unit]])*(INDEX(LS[NAV at Cost (Average)],MATCH(CONCATENATE((LS[[#This Row],[Frequency]]-1),LS[[#This Row],[Investor ID]]),LS[Unique Code],0),0)),0)</f>
        <v>100000</v>
      </c>
      <c r="W328" s="10">
        <f>IF(LS[[#This Row],[BO Transfer]]="YES",LS[[#This Row],[Unit]],)</f>
        <v>0</v>
      </c>
      <c r="X328" s="3">
        <f>SUMIFS(LS[[#Headers],[BO UNIT TRANSFER]]:LS[[#This Row],[BO UNIT TRANSFER]],LS[[#Headers],[Investor ID]]:LS[[#This Row],[Investor ID]],LS[[#This Row],[Investor ID]])</f>
        <v>0</v>
      </c>
    </row>
    <row r="329" spans="2:26">
      <c r="B329" s="8">
        <v>2023</v>
      </c>
      <c r="C329" s="8">
        <v>3</v>
      </c>
      <c r="D329" s="8">
        <v>6</v>
      </c>
      <c r="E329" s="291">
        <f>DATE(LS[[#This Row],[Year]],LS[[#This Row],[Month]],LS[[#This Row],[Day]])</f>
        <v>44991</v>
      </c>
      <c r="F329" t="str" cm="1">
        <f t="array" ref="F329">INDEX(INVESTORS_LIST[INVESTOR NAME],MATCH(LS[[#This Row],[Investor ID]],INVESTORS_LIST[INVESTOR CODE],0),)</f>
        <v>KANKA SAHA</v>
      </c>
      <c r="G329" s="19" t="s">
        <v>67</v>
      </c>
      <c r="H329" s="8">
        <f>COUNTIF(LS[[#Headers],[Investor ID]]:LS[[#This Row],[Investor ID]],LS[[#This Row],[Investor ID]])</f>
        <v>3</v>
      </c>
      <c r="I329" s="8" t="str">
        <f>CONCATENATE(LS[[#This Row],[Frequency]],LS[[#This Row],[Investor ID]])</f>
        <v>3A00060</v>
      </c>
      <c r="J329" s="14" t="str">
        <f>IF(LS[[#This Row],[B/S]]="B","BUY",(IF(LS[[#This Row],[B/S]]="S","SELL"," ")))</f>
        <v>SELL</v>
      </c>
      <c r="K329" s="8" t="s">
        <v>866</v>
      </c>
      <c r="L329" s="10">
        <v>-500000</v>
      </c>
      <c r="M329" s="10"/>
      <c r="N329" s="168">
        <f>LS[[#This Row],[Amount]]/LS[[#This Row],[Unit]]</f>
        <v>10.070087811165713</v>
      </c>
      <c r="O329" s="11">
        <f t="shared" si="41"/>
        <v>-49652</v>
      </c>
      <c r="P329" s="11">
        <f>SUMIFS(LS[[#Headers],[Unit]]:LS[[#This Row],[Unit]],LS[[#Headers],[Investor ID]]:LS[[#This Row],[Investor ID]],LS[[#This Row],[Investor ID]])</f>
        <v>50348</v>
      </c>
      <c r="Q329" s="10">
        <v>-496520</v>
      </c>
      <c r="R329" s="6">
        <f>LS[[#This Row],[Amount]]-LS[[#This Row],[Unit Capital]]</f>
        <v>-3480</v>
      </c>
      <c r="S32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29" s="168">
        <f t="shared" si="42"/>
        <v>12.552</v>
      </c>
      <c r="U329" s="10">
        <f>IF(LS[[#This Row],[B/S]]="B",0,ABS(LS[[#This Row],[Unit]])*(LS[[#This Row],[NAV (Strike Rate)]]-INDEX(LS[NAV at Cost (Average)],MATCH(CONCATENATE(LS[[#This Row],[Frequency]]-1,LS[[#This Row],[Investor ID]]),LS[Unique Code],0),)))</f>
        <v>3479.9999999999955</v>
      </c>
      <c r="V329" s="10" cm="1">
        <f t="array" ref="V329">IF(LS[[#This Row],[B/S]]="S",ABS(LS[[#This Row],[Unit]])*(INDEX(LS[NAV at Cost (Average)],MATCH(CONCATENATE((LS[[#This Row],[Frequency]]-1),LS[[#This Row],[Investor ID]]),LS[Unique Code],0),0)),0)</f>
        <v>496520</v>
      </c>
      <c r="W329" s="10">
        <f>IF(LS[[#This Row],[BO Transfer]]="YES",LS[[#This Row],[Unit]],)</f>
        <v>0</v>
      </c>
      <c r="X329" s="3">
        <f>SUMIFS(LS[[#Headers],[BO UNIT TRANSFER]]:LS[[#This Row],[BO UNIT TRANSFER]],LS[[#Headers],[Investor ID]]:LS[[#This Row],[Investor ID]],LS[[#This Row],[Investor ID]])</f>
        <v>0</v>
      </c>
    </row>
    <row r="330" spans="2:26">
      <c r="B330" s="8">
        <v>2023</v>
      </c>
      <c r="C330" s="8">
        <v>3</v>
      </c>
      <c r="D330" s="8">
        <v>13</v>
      </c>
      <c r="E330" s="291">
        <f>DATE(LS[[#This Row],[Year]],LS[[#This Row],[Month]],LS[[#This Row],[Day]])</f>
        <v>44998</v>
      </c>
      <c r="F330" t="str" cm="1">
        <f t="array" ref="F330">INDEX(INVESTORS_LIST[INVESTOR NAME],MATCH(LS[[#This Row],[Investor ID]],INVESTORS_LIST[INVESTOR CODE],0),)</f>
        <v>MD. ATIQUR RAHMAN</v>
      </c>
      <c r="G330" s="25" t="s">
        <v>364</v>
      </c>
      <c r="H330" s="8">
        <f>COUNTIF(LS[[#Headers],[Investor ID]]:LS[[#This Row],[Investor ID]],LS[[#This Row],[Investor ID]])</f>
        <v>3</v>
      </c>
      <c r="I330" s="8" t="str">
        <f>CONCATENATE(LS[[#This Row],[Frequency]],LS[[#This Row],[Investor ID]])</f>
        <v>3A00254</v>
      </c>
      <c r="J330" s="14" t="str">
        <f>IF(LS[[#This Row],[B/S]]="B","BUY",(IF(LS[[#This Row],[B/S]]="S","SELL"," ")))</f>
        <v>SELL</v>
      </c>
      <c r="K330" s="8" t="s">
        <v>866</v>
      </c>
      <c r="L330" s="10">
        <v>-2018000</v>
      </c>
      <c r="M330" s="10"/>
      <c r="N330" s="168">
        <f>LS[[#This Row],[Amount]]/LS[[#This Row],[Unit]]</f>
        <v>10.09</v>
      </c>
      <c r="O330" s="11">
        <f t="shared" ref="O330:O337" si="43">Q330/10</f>
        <v>-200000</v>
      </c>
      <c r="P330" s="11">
        <f>SUMIFS(LS[[#Headers],[Unit]]:LS[[#This Row],[Unit]],LS[[#Headers],[Investor ID]]:LS[[#This Row],[Investor ID]],LS[[#This Row],[Investor ID]])</f>
        <v>0</v>
      </c>
      <c r="Q330" s="10">
        <v>-2000000</v>
      </c>
      <c r="R330" s="6">
        <f>LS[[#This Row],[Amount]]-LS[[#This Row],[Unit Capital]]</f>
        <v>-18000</v>
      </c>
      <c r="S33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30" s="168">
        <f t="shared" si="42"/>
        <v>12.552</v>
      </c>
      <c r="U330" s="10">
        <f>IF(LS[[#This Row],[B/S]]="B",0,ABS(LS[[#This Row],[Unit]])*(LS[[#This Row],[NAV (Strike Rate)]]-INDEX(LS[NAV at Cost (Average)],MATCH(CONCATENATE(LS[[#This Row],[Frequency]]-1,LS[[#This Row],[Investor ID]]),LS[Unique Code],0),)))</f>
        <v>17999.999999999971</v>
      </c>
      <c r="V330" s="10" cm="1">
        <f t="array" ref="V330">IF(LS[[#This Row],[B/S]]="S",ABS(LS[[#This Row],[Unit]])*(INDEX(LS[NAV at Cost (Average)],MATCH(CONCATENATE((LS[[#This Row],[Frequency]]-1),LS[[#This Row],[Investor ID]]),LS[Unique Code],0),0)),0)</f>
        <v>2000000</v>
      </c>
      <c r="W330" s="10">
        <f>IF(LS[[#This Row],[BO Transfer]]="YES",LS[[#This Row],[Unit]],)</f>
        <v>0</v>
      </c>
      <c r="X330" s="3">
        <f>SUMIFS(LS[[#Headers],[BO UNIT TRANSFER]]:LS[[#This Row],[BO UNIT TRANSFER]],LS[[#Headers],[Investor ID]]:LS[[#This Row],[Investor ID]],LS[[#This Row],[Investor ID]])</f>
        <v>0</v>
      </c>
    </row>
    <row r="331" spans="2:26">
      <c r="B331" s="8">
        <v>2023</v>
      </c>
      <c r="C331" s="8">
        <v>3</v>
      </c>
      <c r="D331" s="8">
        <v>16</v>
      </c>
      <c r="E331" s="291">
        <f>DATE(LS[[#This Row],[Year]],LS[[#This Row],[Month]],LS[[#This Row],[Day]])</f>
        <v>45001</v>
      </c>
      <c r="F331" t="str" cm="1">
        <f t="array" ref="F331">INDEX(INVESTORS_LIST[INVESTOR NAME],MATCH(LS[[#This Row],[Investor ID]],INVESTORS_LIST[INVESTOR CODE],0),)</f>
        <v>MD. TANZIRUL AMIN</v>
      </c>
      <c r="G331" s="25" t="s">
        <v>715</v>
      </c>
      <c r="H331" s="8">
        <f>COUNTIF(LS[[#Headers],[Investor ID]]:LS[[#This Row],[Investor ID]],LS[[#This Row],[Investor ID]])</f>
        <v>3</v>
      </c>
      <c r="I331" s="8" t="str">
        <f>CONCATENATE(LS[[#This Row],[Frequency]],LS[[#This Row],[Investor ID]])</f>
        <v>3A00386</v>
      </c>
      <c r="J331" s="14" t="str">
        <f>IF(LS[[#This Row],[B/S]]="B","BUY",(IF(LS[[#This Row],[B/S]]="S","SELL"," ")))</f>
        <v>SELL</v>
      </c>
      <c r="K331" s="8" t="s">
        <v>866</v>
      </c>
      <c r="L331" s="10">
        <v>-50450</v>
      </c>
      <c r="M331" s="10"/>
      <c r="N331" s="168">
        <f>LS[[#This Row],[Amount]]/LS[[#This Row],[Unit]]</f>
        <v>10.09</v>
      </c>
      <c r="O331" s="11">
        <f t="shared" si="43"/>
        <v>-5000</v>
      </c>
      <c r="P331" s="11">
        <f>SUMIFS(LS[[#Headers],[Unit]]:LS[[#This Row],[Unit]],LS[[#Headers],[Investor ID]]:LS[[#This Row],[Investor ID]],LS[[#This Row],[Investor ID]])</f>
        <v>0</v>
      </c>
      <c r="Q331" s="10">
        <v>-50000</v>
      </c>
      <c r="R331" s="6">
        <f>LS[[#This Row],[Amount]]-LS[[#This Row],[Unit Capital]]</f>
        <v>-450</v>
      </c>
      <c r="S33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31" s="168">
        <f t="shared" si="42"/>
        <v>12.552</v>
      </c>
      <c r="U331" s="10">
        <f>IF(LS[[#This Row],[B/S]]="B",0,ABS(LS[[#This Row],[Unit]])*(LS[[#This Row],[NAV (Strike Rate)]]-INDEX(LS[NAV at Cost (Average)],MATCH(CONCATENATE(LS[[#This Row],[Frequency]]-1,LS[[#This Row],[Investor ID]]),LS[Unique Code],0),)))</f>
        <v>449.99999999999932</v>
      </c>
      <c r="V331" s="10" cm="1">
        <f t="array" ref="V331">IF(LS[[#This Row],[B/S]]="S",ABS(LS[[#This Row],[Unit]])*(INDEX(LS[NAV at Cost (Average)],MATCH(CONCATENATE((LS[[#This Row],[Frequency]]-1),LS[[#This Row],[Investor ID]]),LS[Unique Code],0),0)),0)</f>
        <v>50000</v>
      </c>
      <c r="W331" s="10">
        <f>IF(LS[[#This Row],[BO Transfer]]="YES",LS[[#This Row],[Unit]],)</f>
        <v>0</v>
      </c>
      <c r="X331" s="3">
        <f>SUMIFS(LS[[#Headers],[BO UNIT TRANSFER]]:LS[[#This Row],[BO UNIT TRANSFER]],LS[[#Headers],[Investor ID]]:LS[[#This Row],[Investor ID]],LS[[#This Row],[Investor ID]])</f>
        <v>0</v>
      </c>
    </row>
    <row r="332" spans="2:26">
      <c r="B332" s="8">
        <v>2023</v>
      </c>
      <c r="C332" s="8">
        <v>3</v>
      </c>
      <c r="D332" s="8">
        <v>20</v>
      </c>
      <c r="E332" s="291">
        <f>DATE(LS[[#This Row],[Year]],LS[[#This Row],[Month]],LS[[#This Row],[Day]])</f>
        <v>45005</v>
      </c>
      <c r="F332" t="str" cm="1">
        <f t="array" ref="F332">INDEX(INVESTORS_LIST[INVESTOR NAME],MATCH(LS[[#This Row],[Investor ID]],INVESTORS_LIST[INVESTOR CODE],0),)</f>
        <v>KAZI AHSAN MARUF</v>
      </c>
      <c r="G332" s="19" t="s">
        <v>62</v>
      </c>
      <c r="H332" s="8">
        <f>COUNTIF(LS[[#Headers],[Investor ID]]:LS[[#This Row],[Investor ID]],LS[[#This Row],[Investor ID]])</f>
        <v>3</v>
      </c>
      <c r="I332" s="8" t="str">
        <f>CONCATENATE(LS[[#This Row],[Frequency]],LS[[#This Row],[Investor ID]])</f>
        <v>3A00055</v>
      </c>
      <c r="J332" s="14" t="str">
        <f>IF(LS[[#This Row],[B/S]]="B","BUY",(IF(LS[[#This Row],[B/S]]="S","SELL"," ")))</f>
        <v>BUY</v>
      </c>
      <c r="K332" s="8" t="s">
        <v>301</v>
      </c>
      <c r="L332" s="10">
        <v>75000</v>
      </c>
      <c r="M332" s="10"/>
      <c r="N332" s="168">
        <f>LS[[#This Row],[Amount]]/LS[[#This Row],[Unit]]</f>
        <v>10.094212651413189</v>
      </c>
      <c r="O332" s="11">
        <f t="shared" si="43"/>
        <v>7430</v>
      </c>
      <c r="P332" s="11">
        <f>SUMIFS(LS[[#Headers],[Unit]]:LS[[#This Row],[Unit]],LS[[#Headers],[Investor ID]]:LS[[#This Row],[Investor ID]],LS[[#This Row],[Investor ID]])</f>
        <v>108851</v>
      </c>
      <c r="Q332" s="10">
        <v>74300</v>
      </c>
      <c r="R332" s="6">
        <f>LS[[#This Row],[Amount]]-LS[[#This Row],[Unit Capital]]</f>
        <v>700</v>
      </c>
      <c r="S33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9.875885384608317</v>
      </c>
      <c r="T332" s="168">
        <f t="shared" ref="T332:T337" si="44">IFERROR(NAV_MKT,0)</f>
        <v>12.552</v>
      </c>
      <c r="U33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32" s="10" cm="1">
        <f t="array" ref="V332">IF(LS[[#This Row],[B/S]]="S",ABS(LS[[#This Row],[Unit]])*(INDEX(LS[NAV at Cost (Average)],MATCH(CONCATENATE((LS[[#This Row],[Frequency]]-1),LS[[#This Row],[Investor ID]]),LS[Unique Code],0),0)),0)</f>
        <v>0</v>
      </c>
      <c r="W332" s="10">
        <f>IF(LS[[#This Row],[BO Transfer]]="YES",LS[[#This Row],[Unit]],)</f>
        <v>0</v>
      </c>
      <c r="X332" s="3">
        <f>SUMIFS(LS[[#Headers],[BO UNIT TRANSFER]]:LS[[#This Row],[BO UNIT TRANSFER]],LS[[#Headers],[Investor ID]]:LS[[#This Row],[Investor ID]],LS[[#This Row],[Investor ID]])</f>
        <v>0</v>
      </c>
    </row>
    <row r="333" spans="2:26">
      <c r="B333" s="8">
        <v>2023</v>
      </c>
      <c r="C333" s="8">
        <v>3</v>
      </c>
      <c r="D333" s="8">
        <v>20</v>
      </c>
      <c r="E333" s="291">
        <f>DATE(LS[[#This Row],[Year]],LS[[#This Row],[Month]],LS[[#This Row],[Day]])</f>
        <v>45005</v>
      </c>
      <c r="F333" t="str" cm="1">
        <f t="array" ref="F333">INDEX(INVESTORS_LIST[INVESTOR NAME],MATCH(LS[[#This Row],[Investor ID]],INVESTORS_LIST[INVESTOR CODE],0),)</f>
        <v>HARI PADA SAHA</v>
      </c>
      <c r="G333" s="19" t="s">
        <v>1</v>
      </c>
      <c r="H333" s="8">
        <f>COUNTIF(LS[[#Headers],[Investor ID]]:LS[[#This Row],[Investor ID]],LS[[#This Row],[Investor ID]])</f>
        <v>2</v>
      </c>
      <c r="I333" s="8" t="str">
        <f>CONCATENATE(LS[[#This Row],[Frequency]],LS[[#This Row],[Investor ID]])</f>
        <v>2A00002</v>
      </c>
      <c r="J333" s="14" t="str">
        <f>IF(LS[[#This Row],[B/S]]="B","BUY",(IF(LS[[#This Row],[B/S]]="S","SELL"," ")))</f>
        <v>BUY</v>
      </c>
      <c r="K333" s="8" t="s">
        <v>301</v>
      </c>
      <c r="L333" s="10">
        <v>484517.76</v>
      </c>
      <c r="M333" s="10"/>
      <c r="N333" s="168">
        <f>LS[[#This Row],[Amount]]/LS[[#This Row],[Unit]]</f>
        <v>10.093909710214371</v>
      </c>
      <c r="O333" s="11">
        <f t="shared" si="43"/>
        <v>48001</v>
      </c>
      <c r="P333" s="11">
        <f>SUMIFS(LS[[#Headers],[Unit]]:LS[[#This Row],[Unit]],LS[[#Headers],[Investor ID]]:LS[[#This Row],[Investor ID]],LS[[#This Row],[Investor ID]])</f>
        <v>68001</v>
      </c>
      <c r="Q333" s="10">
        <v>480010</v>
      </c>
      <c r="R333" s="6">
        <f>LS[[#This Row],[Amount]]-LS[[#This Row],[Unit Capital]]</f>
        <v>4507.7600000000093</v>
      </c>
      <c r="S33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10.066289613388038</v>
      </c>
      <c r="T333" s="168">
        <f t="shared" si="44"/>
        <v>12.552</v>
      </c>
      <c r="U33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33" s="10" cm="1">
        <f t="array" ref="V333">IF(LS[[#This Row],[B/S]]="S",ABS(LS[[#This Row],[Unit]])*(INDEX(LS[NAV at Cost (Average)],MATCH(CONCATENATE((LS[[#This Row],[Frequency]]-1),LS[[#This Row],[Investor ID]]),LS[Unique Code],0),0)),0)</f>
        <v>0</v>
      </c>
      <c r="W333" s="10">
        <f>IF(LS[[#This Row],[BO Transfer]]="YES",LS[[#This Row],[Unit]],)</f>
        <v>0</v>
      </c>
      <c r="X333" s="3">
        <f>SUMIFS(LS[[#Headers],[BO UNIT TRANSFER]]:LS[[#This Row],[BO UNIT TRANSFER]],LS[[#Headers],[Investor ID]]:LS[[#This Row],[Investor ID]],LS[[#This Row],[Investor ID]])</f>
        <v>0</v>
      </c>
    </row>
    <row r="334" spans="2:26">
      <c r="B334" s="8">
        <v>2023</v>
      </c>
      <c r="C334" s="8">
        <v>3</v>
      </c>
      <c r="D334" s="8">
        <v>21</v>
      </c>
      <c r="E334" s="291">
        <f>DATE(LS[[#This Row],[Year]],LS[[#This Row],[Month]],LS[[#This Row],[Day]])</f>
        <v>45006</v>
      </c>
      <c r="F334" t="str" cm="1">
        <f t="array" ref="F334">INDEX(INVESTORS_LIST[INVESTOR NAME],MATCH(LS[[#This Row],[Investor ID]],INVESTORS_LIST[INVESTOR CODE],0),)</f>
        <v>FARUQUE AHMED &amp; ZAHEDA BEGUM HENA</v>
      </c>
      <c r="G334" s="25" t="s">
        <v>260</v>
      </c>
      <c r="H334" s="8">
        <f>COUNTIF(LS[[#Headers],[Investor ID]]:LS[[#This Row],[Investor ID]],LS[[#This Row],[Investor ID]])</f>
        <v>2</v>
      </c>
      <c r="I334" s="8" t="str">
        <f>CONCATENATE(LS[[#This Row],[Frequency]],LS[[#This Row],[Investor ID]])</f>
        <v>2A00210</v>
      </c>
      <c r="J334" s="14" t="str">
        <f>IF(LS[[#This Row],[B/S]]="B","BUY",(IF(LS[[#This Row],[B/S]]="S","SELL"," ")))</f>
        <v>SELL</v>
      </c>
      <c r="K334" s="8" t="s">
        <v>866</v>
      </c>
      <c r="L334" s="10">
        <v>-1000000</v>
      </c>
      <c r="M334" s="10"/>
      <c r="N334" s="168">
        <f>LS[[#This Row],[Amount]]/LS[[#This Row],[Unit]]</f>
        <v>10.093974906378383</v>
      </c>
      <c r="O334" s="11">
        <f t="shared" si="43"/>
        <v>-99069</v>
      </c>
      <c r="P334" s="11">
        <f>SUMIFS(LS[[#Headers],[Unit]]:LS[[#This Row],[Unit]],LS[[#Headers],[Investor ID]]:LS[[#This Row],[Investor ID]],LS[[#This Row],[Investor ID]])</f>
        <v>100931</v>
      </c>
      <c r="Q334" s="10">
        <v>-990690</v>
      </c>
      <c r="R334" s="6">
        <f>LS[[#This Row],[Amount]]-LS[[#This Row],[Unit Capital]]</f>
        <v>-9310</v>
      </c>
      <c r="S33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34" s="168">
        <f t="shared" si="44"/>
        <v>12.552</v>
      </c>
      <c r="U334" s="10">
        <f>IF(LS[[#This Row],[B/S]]="B",0,ABS(LS[[#This Row],[Unit]])*(LS[[#This Row],[NAV (Strike Rate)]]-INDEX(LS[NAV at Cost (Average)],MATCH(CONCATENATE(LS[[#This Row],[Frequency]]-1,LS[[#This Row],[Investor ID]]),LS[Unique Code],0),)))</f>
        <v>9310.0000000000491</v>
      </c>
      <c r="V334" s="10" cm="1">
        <f t="array" ref="V334">IF(LS[[#This Row],[B/S]]="S",ABS(LS[[#This Row],[Unit]])*(INDEX(LS[NAV at Cost (Average)],MATCH(CONCATENATE((LS[[#This Row],[Frequency]]-1),LS[[#This Row],[Investor ID]]),LS[Unique Code],0),0)),0)</f>
        <v>990690</v>
      </c>
      <c r="W334" s="10">
        <f>IF(LS[[#This Row],[BO Transfer]]="YES",LS[[#This Row],[Unit]],)</f>
        <v>0</v>
      </c>
      <c r="X334" s="3">
        <f>SUMIFS(LS[[#Headers],[BO UNIT TRANSFER]]:LS[[#This Row],[BO UNIT TRANSFER]],LS[[#Headers],[Investor ID]]:LS[[#This Row],[Investor ID]],LS[[#This Row],[Investor ID]])</f>
        <v>0</v>
      </c>
    </row>
    <row r="335" spans="2:26">
      <c r="B335" s="8">
        <v>2023</v>
      </c>
      <c r="C335" s="8">
        <v>3</v>
      </c>
      <c r="D335" s="8">
        <v>27</v>
      </c>
      <c r="E335" s="291">
        <f>DATE(LS[[#This Row],[Year]],LS[[#This Row],[Month]],LS[[#This Row],[Day]])</f>
        <v>45012</v>
      </c>
      <c r="F335" t="str" cm="1">
        <f t="array" ref="F335">INDEX(INVESTORS_LIST[INVESTOR NAME],MATCH(LS[[#This Row],[Investor ID]],INVESTORS_LIST[INVESTOR CODE],0),)</f>
        <v>MD. NAHIDUR RASHID</v>
      </c>
      <c r="G335" s="25" t="s">
        <v>575</v>
      </c>
      <c r="H335" s="8">
        <f>COUNTIF(LS[[#Headers],[Investor ID]]:LS[[#This Row],[Investor ID]],LS[[#This Row],[Investor ID]])</f>
        <v>2</v>
      </c>
      <c r="I335" s="8" t="str">
        <f>CONCATENATE(LS[[#This Row],[Frequency]],LS[[#This Row],[Investor ID]])</f>
        <v>2A00324</v>
      </c>
      <c r="J335" s="14" t="str">
        <f>IF(LS[[#This Row],[B/S]]="B","BUY",(IF(LS[[#This Row],[B/S]]="S","SELL"," ")))</f>
        <v>SELL</v>
      </c>
      <c r="K335" s="8" t="s">
        <v>866</v>
      </c>
      <c r="L335" s="10">
        <v>-500000</v>
      </c>
      <c r="M335" s="10"/>
      <c r="N335" s="168">
        <f>LS[[#This Row],[Amount]]/LS[[#This Row],[Unit]]</f>
        <v>10.097950116126427</v>
      </c>
      <c r="O335" s="11">
        <f t="shared" si="43"/>
        <v>-49515</v>
      </c>
      <c r="P335" s="11">
        <f>SUMIFS(LS[[#Headers],[Unit]]:LS[[#This Row],[Unit]],LS[[#Headers],[Investor ID]]:LS[[#This Row],[Investor ID]],LS[[#This Row],[Investor ID]])</f>
        <v>50485</v>
      </c>
      <c r="Q335" s="10">
        <v>-495150</v>
      </c>
      <c r="R335" s="6">
        <f>LS[[#This Row],[Amount]]-LS[[#This Row],[Unit Capital]]</f>
        <v>-4850</v>
      </c>
      <c r="S33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35" s="168">
        <f t="shared" si="44"/>
        <v>12.552</v>
      </c>
      <c r="U335" s="10">
        <f>IF(LS[[#This Row],[B/S]]="B",0,ABS(LS[[#This Row],[Unit]])*(LS[[#This Row],[NAV (Strike Rate)]]-INDEX(LS[NAV at Cost (Average)],MATCH(CONCATENATE(LS[[#This Row],[Frequency]]-1,LS[[#This Row],[Investor ID]]),LS[Unique Code],0),)))</f>
        <v>4850.0000000000173</v>
      </c>
      <c r="V335" s="10" cm="1">
        <f t="array" ref="V335">IF(LS[[#This Row],[B/S]]="S",ABS(LS[[#This Row],[Unit]])*(INDEX(LS[NAV at Cost (Average)],MATCH(CONCATENATE((LS[[#This Row],[Frequency]]-1),LS[[#This Row],[Investor ID]]),LS[Unique Code],0),0)),0)</f>
        <v>495150</v>
      </c>
      <c r="W335" s="10">
        <f>IF(LS[[#This Row],[BO Transfer]]="YES",LS[[#This Row],[Unit]],)</f>
        <v>0</v>
      </c>
      <c r="X335" s="3">
        <f>SUMIFS(LS[[#Headers],[BO UNIT TRANSFER]]:LS[[#This Row],[BO UNIT TRANSFER]],LS[[#Headers],[Investor ID]]:LS[[#This Row],[Investor ID]],LS[[#This Row],[Investor ID]])</f>
        <v>0</v>
      </c>
    </row>
    <row r="336" spans="2:26">
      <c r="B336" s="8">
        <v>2023</v>
      </c>
      <c r="C336" s="8">
        <v>3</v>
      </c>
      <c r="D336" s="8">
        <v>27</v>
      </c>
      <c r="E336" s="291">
        <f>DATE(LS[[#This Row],[Year]],LS[[#This Row],[Month]],LS[[#This Row],[Day]])</f>
        <v>45012</v>
      </c>
      <c r="F336" t="str" cm="1">
        <f t="array" ref="F336">INDEX(INVESTORS_LIST[INVESTOR NAME],MATCH(LS[[#This Row],[Investor ID]],INVESTORS_LIST[INVESTOR CODE],0),)</f>
        <v>MD. NAHIDUR RASHID</v>
      </c>
      <c r="G336" s="25" t="s">
        <v>575</v>
      </c>
      <c r="H336" s="8">
        <f>COUNTIF(LS[[#Headers],[Investor ID]]:LS[[#This Row],[Investor ID]],LS[[#This Row],[Investor ID]])</f>
        <v>3</v>
      </c>
      <c r="I336" s="8" t="str">
        <f>CONCATENATE(LS[[#This Row],[Frequency]],LS[[#This Row],[Investor ID]])</f>
        <v>3A00324</v>
      </c>
      <c r="J336" s="14" t="str">
        <f>IF(LS[[#This Row],[B/S]]="B","BUY",(IF(LS[[#This Row],[B/S]]="S","SELL"," ")))</f>
        <v>SELL</v>
      </c>
      <c r="K336" s="8" t="s">
        <v>866</v>
      </c>
      <c r="L336" s="10">
        <v>-509800</v>
      </c>
      <c r="M336" s="10"/>
      <c r="N336" s="168">
        <f>LS[[#This Row],[Amount]]/LS[[#This Row],[Unit]]</f>
        <v>10.098048925423393</v>
      </c>
      <c r="O336" s="11">
        <f t="shared" si="43"/>
        <v>-50485</v>
      </c>
      <c r="P336" s="11">
        <f>SUMIFS(LS[[#Headers],[Unit]]:LS[[#This Row],[Unit]],LS[[#Headers],[Investor ID]]:LS[[#This Row],[Investor ID]],LS[[#This Row],[Investor ID]])</f>
        <v>0</v>
      </c>
      <c r="Q336" s="10">
        <v>-504850</v>
      </c>
      <c r="R336" s="6">
        <f>LS[[#This Row],[Amount]]-LS[[#This Row],[Unit Capital]]</f>
        <v>-4950</v>
      </c>
      <c r="S33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36" s="168">
        <f t="shared" si="44"/>
        <v>12.552</v>
      </c>
      <c r="U336" s="10">
        <f>IF(LS[[#This Row],[B/S]]="B",0,ABS(LS[[#This Row],[Unit]])*(LS[[#This Row],[NAV (Strike Rate)]]-INDEX(LS[NAV at Cost (Average)],MATCH(CONCATENATE(LS[[#This Row],[Frequency]]-1,LS[[#This Row],[Investor ID]]),LS[Unique Code],0),)))</f>
        <v>4950.0000000000155</v>
      </c>
      <c r="V336" s="10" cm="1">
        <f t="array" ref="V336">IF(LS[[#This Row],[B/S]]="S",ABS(LS[[#This Row],[Unit]])*(INDEX(LS[NAV at Cost (Average)],MATCH(CONCATENATE((LS[[#This Row],[Frequency]]-1),LS[[#This Row],[Investor ID]]),LS[Unique Code],0),0)),0)</f>
        <v>504850</v>
      </c>
      <c r="W336" s="10">
        <f>IF(LS[[#This Row],[BO Transfer]]="YES",LS[[#This Row],[Unit]],)</f>
        <v>0</v>
      </c>
      <c r="X336" s="3">
        <f>SUMIFS(LS[[#Headers],[BO UNIT TRANSFER]]:LS[[#This Row],[BO UNIT TRANSFER]],LS[[#Headers],[Investor ID]]:LS[[#This Row],[Investor ID]],LS[[#This Row],[Investor ID]])</f>
        <v>0</v>
      </c>
    </row>
    <row r="337" spans="2:27">
      <c r="B337" s="8">
        <v>2023</v>
      </c>
      <c r="C337" s="8">
        <v>3</v>
      </c>
      <c r="D337" s="8">
        <v>27</v>
      </c>
      <c r="E337" s="291">
        <f>DATE(LS[[#This Row],[Year]],LS[[#This Row],[Month]],LS[[#This Row],[Day]])</f>
        <v>45012</v>
      </c>
      <c r="F337" t="str" cm="1">
        <f t="array" ref="F337">INDEX(INVESTORS_LIST[INVESTOR NAME],MATCH(LS[[#This Row],[Investor ID]],INVESTORS_LIST[INVESTOR CODE],0),)</f>
        <v>FARUQUE AHMED &amp; ZAHEDA BEGUM HENA</v>
      </c>
      <c r="G337" s="19" t="s">
        <v>260</v>
      </c>
      <c r="H337" s="8">
        <f>COUNTIF(LS[[#Headers],[Investor ID]]:LS[[#This Row],[Investor ID]],LS[[#This Row],[Investor ID]])</f>
        <v>3</v>
      </c>
      <c r="I337" s="8" t="str">
        <f>CONCATENATE(LS[[#This Row],[Frequency]],LS[[#This Row],[Investor ID]])</f>
        <v>3A00210</v>
      </c>
      <c r="J337" s="14" t="str">
        <f>IF(LS[[#This Row],[B/S]]="B","BUY",(IF(LS[[#This Row],[B/S]]="S","SELL"," ")))</f>
        <v>BUY</v>
      </c>
      <c r="K337" s="8" t="s">
        <v>301</v>
      </c>
      <c r="L337" s="3">
        <v>1000000</v>
      </c>
      <c r="M337" s="10"/>
      <c r="N337" s="168">
        <f>LS[[#This Row],[Amount]]/LS[[#This Row],[Unit]]</f>
        <v>10.093974906378383</v>
      </c>
      <c r="O337" s="11">
        <f t="shared" si="43"/>
        <v>99069</v>
      </c>
      <c r="P337" s="11">
        <f>SUMIFS(LS[[#Headers],[Unit]]:LS[[#This Row],[Unit]],LS[[#Headers],[Investor ID]]:LS[[#This Row],[Investor ID]],LS[[#This Row],[Investor ID]])</f>
        <v>200000</v>
      </c>
      <c r="Q337" s="10">
        <v>990690</v>
      </c>
      <c r="R337" s="6">
        <f>LS[[#This Row],[Amount]]-LS[[#This Row],[Unit Capital]]</f>
        <v>9310</v>
      </c>
      <c r="S33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10.04655</v>
      </c>
      <c r="T337" s="168">
        <f t="shared" si="44"/>
        <v>12.552</v>
      </c>
      <c r="U33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37" s="10" cm="1">
        <f t="array" ref="V337">IF(LS[[#This Row],[B/S]]="S",ABS(LS[[#This Row],[Unit]])*(INDEX(LS[NAV at Cost (Average)],MATCH(CONCATENATE((LS[[#This Row],[Frequency]]-1),LS[[#This Row],[Investor ID]]),LS[Unique Code],0),0)),0)</f>
        <v>0</v>
      </c>
      <c r="W337" s="10">
        <f>IF(LS[[#This Row],[BO Transfer]]="YES",LS[[#This Row],[Unit]],)</f>
        <v>0</v>
      </c>
      <c r="X337" s="3">
        <f>SUMIFS(LS[[#Headers],[BO UNIT TRANSFER]]:LS[[#This Row],[BO UNIT TRANSFER]],LS[[#Headers],[Investor ID]]:LS[[#This Row],[Investor ID]],LS[[#This Row],[Investor ID]])</f>
        <v>0</v>
      </c>
    </row>
    <row r="338" spans="2:27">
      <c r="B338" s="8">
        <v>2023</v>
      </c>
      <c r="C338" s="8">
        <v>3</v>
      </c>
      <c r="D338" s="8">
        <v>28</v>
      </c>
      <c r="E338" s="291">
        <f>DATE(LS[[#This Row],[Year]],LS[[#This Row],[Month]],LS[[#This Row],[Day]])</f>
        <v>45013</v>
      </c>
      <c r="F338" t="str" cm="1">
        <f t="array" ref="F338">INDEX(INVESTORS_LIST[INVESTOR NAME],MATCH(LS[[#This Row],[Investor ID]],INVESTORS_LIST[INVESTOR CODE],0),)</f>
        <v>FARUQUE AHMED &amp; ZAHEDA BEGUM HENA</v>
      </c>
      <c r="G338" s="25" t="s">
        <v>260</v>
      </c>
      <c r="H338" s="8">
        <f>COUNTIF(LS[[#Headers],[Investor ID]]:LS[[#This Row],[Investor ID]],LS[[#This Row],[Investor ID]])</f>
        <v>4</v>
      </c>
      <c r="I338" s="8" t="str">
        <f>CONCATENATE(LS[[#This Row],[Frequency]],LS[[#This Row],[Investor ID]])</f>
        <v>4A00210</v>
      </c>
      <c r="J338" s="14" t="str">
        <f>IF(LS[[#This Row],[B/S]]="B","BUY",(IF(LS[[#This Row],[B/S]]="S","SELL"," ")))</f>
        <v>SELL</v>
      </c>
      <c r="K338" s="8" t="s">
        <v>866</v>
      </c>
      <c r="L338" s="10">
        <v>-1000000</v>
      </c>
      <c r="M338" s="10"/>
      <c r="N338" s="168">
        <f>LS[[#This Row],[Amount]]/LS[[#This Row],[Unit]]</f>
        <v>10.093974906378383</v>
      </c>
      <c r="O338" s="11">
        <f t="shared" ref="O338:O343" si="45">Q338/10</f>
        <v>-99069</v>
      </c>
      <c r="P338" s="11">
        <f>SUMIFS(LS[[#Headers],[Unit]]:LS[[#This Row],[Unit]],LS[[#Headers],[Investor ID]]:LS[[#This Row],[Investor ID]],LS[[#This Row],[Investor ID]])</f>
        <v>100931</v>
      </c>
      <c r="Q338" s="10">
        <v>-990690</v>
      </c>
      <c r="R338" s="6">
        <f>LS[[#This Row],[Amount]]-LS[[#This Row],[Unit Capital]]</f>
        <v>-9310</v>
      </c>
      <c r="S33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10.04655</v>
      </c>
      <c r="T338" s="168">
        <f t="shared" ref="T338:T343" si="46">IFERROR(NAV_MKT,0)</f>
        <v>12.552</v>
      </c>
      <c r="U338" s="10">
        <f>IF(LS[[#This Row],[B/S]]="B",0,ABS(LS[[#This Row],[Unit]])*(LS[[#This Row],[NAV (Strike Rate)]]-INDEX(LS[NAV at Cost (Average)],MATCH(CONCATENATE(LS[[#This Row],[Frequency]]-1,LS[[#This Row],[Investor ID]]),LS[Unique Code],0),)))</f>
        <v>4698.3380500000621</v>
      </c>
      <c r="V338" s="10" cm="1">
        <f t="array" ref="V338">IF(LS[[#This Row],[B/S]]="S",ABS(LS[[#This Row],[Unit]])*(INDEX(LS[NAV at Cost (Average)],MATCH(CONCATENATE((LS[[#This Row],[Frequency]]-1),LS[[#This Row],[Investor ID]]),LS[Unique Code],0),0)),0)</f>
        <v>995301.66194999998</v>
      </c>
      <c r="W338" s="10">
        <f>IF(LS[[#This Row],[BO Transfer]]="YES",LS[[#This Row],[Unit]],)</f>
        <v>0</v>
      </c>
      <c r="X338" s="3">
        <f>SUMIFS(LS[[#Headers],[BO UNIT TRANSFER]]:LS[[#This Row],[BO UNIT TRANSFER]],LS[[#Headers],[Investor ID]]:LS[[#This Row],[Investor ID]],LS[[#This Row],[Investor ID]])</f>
        <v>0</v>
      </c>
    </row>
    <row r="339" spans="2:27">
      <c r="B339" s="8">
        <v>2023</v>
      </c>
      <c r="C339" s="8">
        <v>3</v>
      </c>
      <c r="D339" s="8">
        <v>29</v>
      </c>
      <c r="E339" s="291">
        <f>DATE(LS[[#This Row],[Year]],LS[[#This Row],[Month]],LS[[#This Row],[Day]])</f>
        <v>45014</v>
      </c>
      <c r="F339" t="str" cm="1">
        <f t="array" ref="F339">INDEX(INVESTORS_LIST[INVESTOR NAME],MATCH(LS[[#This Row],[Investor ID]],INVESTORS_LIST[INVESTOR CODE],0),)</f>
        <v>MD. SAIFUR RAHMAN</v>
      </c>
      <c r="G339" s="25" t="s">
        <v>156</v>
      </c>
      <c r="H339" s="8">
        <f>COUNTIF(LS[[#Headers],[Investor ID]]:LS[[#This Row],[Investor ID]],LS[[#This Row],[Investor ID]])</f>
        <v>2</v>
      </c>
      <c r="I339" s="8" t="str">
        <f>CONCATENATE(LS[[#This Row],[Frequency]],LS[[#This Row],[Investor ID]])</f>
        <v>2A00123</v>
      </c>
      <c r="J339" s="8" t="str">
        <f>IF(LS[[#This Row],[B/S]]="B","BUY",(IF(LS[[#This Row],[B/S]]="S","SELL"," ")))</f>
        <v>SELL</v>
      </c>
      <c r="K339" s="8" t="s">
        <v>866</v>
      </c>
      <c r="L339" s="10">
        <v>-1009800</v>
      </c>
      <c r="M339" s="10"/>
      <c r="N339" s="168">
        <f>LS[[#This Row],[Amount]]/LS[[#This Row],[Unit]]</f>
        <v>10.098000000000001</v>
      </c>
      <c r="O339" s="11">
        <f t="shared" si="45"/>
        <v>-100000</v>
      </c>
      <c r="P339" s="11">
        <f>SUMIFS(LS[[#Headers],[Unit]]:LS[[#This Row],[Unit]],LS[[#Headers],[Investor ID]]:LS[[#This Row],[Investor ID]],LS[[#This Row],[Investor ID]])</f>
        <v>0</v>
      </c>
      <c r="Q339" s="10">
        <v>-1000000</v>
      </c>
      <c r="R339" s="6">
        <f>LS[[#This Row],[Amount]]-LS[[#This Row],[Unit Capital]]</f>
        <v>-9800</v>
      </c>
      <c r="S33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39" s="168">
        <f t="shared" si="46"/>
        <v>12.552</v>
      </c>
      <c r="U339" s="10">
        <f>IF(LS[[#This Row],[B/S]]="B",0,ABS(LS[[#This Row],[Unit]])*(LS[[#This Row],[NAV (Strike Rate)]]-INDEX(LS[NAV at Cost (Average)],MATCH(CONCATENATE(LS[[#This Row],[Frequency]]-1,LS[[#This Row],[Investor ID]]),LS[Unique Code],0),)))</f>
        <v>9800.0000000000746</v>
      </c>
      <c r="V339" s="10" cm="1">
        <f t="array" ref="V339">IF(LS[[#This Row],[B/S]]="S",ABS(LS[[#This Row],[Unit]])*(INDEX(LS[NAV at Cost (Average)],MATCH(CONCATENATE((LS[[#This Row],[Frequency]]-1),LS[[#This Row],[Investor ID]]),LS[Unique Code],0),0)),0)</f>
        <v>1000000</v>
      </c>
      <c r="W339" s="10">
        <f>IF(LS[[#This Row],[BO Transfer]]="YES",LS[[#This Row],[Unit]],)</f>
        <v>0</v>
      </c>
      <c r="X339" s="3">
        <f>SUMIFS(LS[[#Headers],[BO UNIT TRANSFER]]:LS[[#This Row],[BO UNIT TRANSFER]],LS[[#Headers],[Investor ID]]:LS[[#This Row],[Investor ID]],LS[[#This Row],[Investor ID]])</f>
        <v>0</v>
      </c>
    </row>
    <row r="340" spans="2:27">
      <c r="B340" s="8">
        <v>2023</v>
      </c>
      <c r="C340" s="8">
        <v>4</v>
      </c>
      <c r="D340" s="8">
        <v>4</v>
      </c>
      <c r="E340" s="291">
        <f>DATE(LS[[#This Row],[Year]],LS[[#This Row],[Month]],LS[[#This Row],[Day]])</f>
        <v>45020</v>
      </c>
      <c r="F340" t="str" cm="1">
        <f t="array" ref="F340">INDEX(INVESTORS_LIST[INVESTOR NAME],MATCH(LS[[#This Row],[Investor ID]],INVESTORS_LIST[INVESTOR CODE],0),)</f>
        <v>SHUVA SAHA</v>
      </c>
      <c r="G340" s="25" t="s">
        <v>60</v>
      </c>
      <c r="H340" s="8">
        <f>COUNTIF(LS[[#Headers],[Investor ID]]:LS[[#This Row],[Investor ID]],LS[[#This Row],[Investor ID]])</f>
        <v>9</v>
      </c>
      <c r="I340" s="8" t="str">
        <f>CONCATENATE(LS[[#This Row],[Frequency]],LS[[#This Row],[Investor ID]])</f>
        <v>9A00053</v>
      </c>
      <c r="J340" s="8" t="str">
        <f>IF(LS[[#This Row],[B/S]]="B","BUY",(IF(LS[[#This Row],[B/S]]="S","SELL"," ")))</f>
        <v>SELL</v>
      </c>
      <c r="K340" s="8" t="s">
        <v>866</v>
      </c>
      <c r="L340" s="10">
        <v>-100000</v>
      </c>
      <c r="M340" s="10"/>
      <c r="N340" s="168">
        <f>LS[[#This Row],[Amount]]/LS[[#This Row],[Unit]]</f>
        <v>10.105092966855295</v>
      </c>
      <c r="O340" s="11">
        <f t="shared" si="45"/>
        <v>-9896</v>
      </c>
      <c r="P340" s="11">
        <f>SUMIFS(LS[[#Headers],[Unit]]:LS[[#This Row],[Unit]],LS[[#Headers],[Investor ID]]:LS[[#This Row],[Investor ID]],LS[[#This Row],[Investor ID]])</f>
        <v>196068</v>
      </c>
      <c r="Q340" s="10">
        <v>-98960</v>
      </c>
      <c r="R340" s="6">
        <f>LS[[#This Row],[Amount]]-LS[[#This Row],[Unit Capital]]</f>
        <v>-1040</v>
      </c>
      <c r="S34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9.9225921547089673</v>
      </c>
      <c r="T340" s="168">
        <f t="shared" si="46"/>
        <v>12.552</v>
      </c>
      <c r="U340" s="10">
        <f>IF(LS[[#This Row],[B/S]]="B",0,ABS(LS[[#This Row],[Unit]])*(LS[[#This Row],[NAV (Strike Rate)]]-INDEX(LS[NAV at Cost (Average)],MATCH(CONCATENATE(LS[[#This Row],[Frequency]]-1,LS[[#This Row],[Investor ID]]),LS[Unique Code],0),)))</f>
        <v>1806.0280370000626</v>
      </c>
      <c r="V340" s="10" cm="1">
        <f t="array" ref="V340">IF(LS[[#This Row],[B/S]]="S",ABS(LS[[#This Row],[Unit]])*(INDEX(LS[NAV at Cost (Average)],MATCH(CONCATENATE((LS[[#This Row],[Frequency]]-1),LS[[#This Row],[Investor ID]]),LS[Unique Code],0),0)),0)</f>
        <v>98193.971962999945</v>
      </c>
      <c r="W340" s="10">
        <f>IF(LS[[#This Row],[BO Transfer]]="YES",LS[[#This Row],[Unit]],)</f>
        <v>0</v>
      </c>
      <c r="X340" s="3">
        <f>SUMIFS(LS[[#Headers],[BO UNIT TRANSFER]]:LS[[#This Row],[BO UNIT TRANSFER]],LS[[#Headers],[Investor ID]]:LS[[#This Row],[Investor ID]],LS[[#This Row],[Investor ID]])</f>
        <v>0</v>
      </c>
    </row>
    <row r="341" spans="2:27">
      <c r="B341" s="8">
        <v>2023</v>
      </c>
      <c r="C341" s="8">
        <v>4</v>
      </c>
      <c r="D341" s="8">
        <v>10</v>
      </c>
      <c r="E341" s="291">
        <f>DATE(LS[[#This Row],[Year]],LS[[#This Row],[Month]],LS[[#This Row],[Day]])</f>
        <v>45026</v>
      </c>
      <c r="F341" t="str" cm="1">
        <f t="array" ref="F341">INDEX(INVESTORS_LIST[INVESTOR NAME],MATCH(LS[[#This Row],[Investor ID]],INVESTORS_LIST[INVESTOR CODE],0),)</f>
        <v>SWADESH RANJAN SAHA</v>
      </c>
      <c r="G341" s="19" t="s">
        <v>104</v>
      </c>
      <c r="H341" s="8">
        <f>COUNTIF(LS[[#Headers],[Investor ID]]:LS[[#This Row],[Investor ID]],LS[[#This Row],[Investor ID]])</f>
        <v>2</v>
      </c>
      <c r="I341" s="8" t="str">
        <f>CONCATENATE(LS[[#This Row],[Frequency]],LS[[#This Row],[Investor ID]])</f>
        <v>2A00093</v>
      </c>
      <c r="J341" s="8" t="str">
        <f>IF(LS[[#This Row],[B/S]]="B","BUY",(IF(LS[[#This Row],[B/S]]="S","SELL"," ")))</f>
        <v>SELL</v>
      </c>
      <c r="K341" s="8" t="s">
        <v>866</v>
      </c>
      <c r="L341" s="10">
        <v>-202600</v>
      </c>
      <c r="M341" s="10"/>
      <c r="N341" s="168">
        <f>LS[[#This Row],[Amount]]/LS[[#This Row],[Unit]]</f>
        <v>10.130000000000001</v>
      </c>
      <c r="O341" s="11">
        <f t="shared" si="45"/>
        <v>-20000</v>
      </c>
      <c r="P341" s="11">
        <f>SUMIFS(LS[[#Headers],[Unit]]:LS[[#This Row],[Unit]],LS[[#Headers],[Investor ID]]:LS[[#This Row],[Investor ID]],LS[[#This Row],[Investor ID]])</f>
        <v>0</v>
      </c>
      <c r="Q341" s="10">
        <v>-200000</v>
      </c>
      <c r="R341" s="6">
        <f>LS[[#This Row],[Amount]]-LS[[#This Row],[Unit Capital]]</f>
        <v>-2600</v>
      </c>
      <c r="S34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41" s="168">
        <f t="shared" si="46"/>
        <v>12.552</v>
      </c>
      <c r="U341" s="10">
        <f>IF(LS[[#This Row],[B/S]]="B",0,ABS(LS[[#This Row],[Unit]])*(LS[[#This Row],[NAV (Strike Rate)]]-INDEX(LS[NAV at Cost (Average)],MATCH(CONCATENATE(LS[[#This Row],[Frequency]]-1,LS[[#This Row],[Investor ID]]),LS[Unique Code],0),)))</f>
        <v>2600.0000000000155</v>
      </c>
      <c r="V341" s="10" cm="1">
        <f t="array" ref="V341">IF(LS[[#This Row],[B/S]]="S",ABS(LS[[#This Row],[Unit]])*(INDEX(LS[NAV at Cost (Average)],MATCH(CONCATENATE((LS[[#This Row],[Frequency]]-1),LS[[#This Row],[Investor ID]]),LS[Unique Code],0),0)),0)</f>
        <v>200000</v>
      </c>
      <c r="W341" s="10">
        <f>IF(LS[[#This Row],[BO Transfer]]="YES",LS[[#This Row],[Unit]],)</f>
        <v>0</v>
      </c>
      <c r="X341" s="3">
        <f>SUMIFS(LS[[#Headers],[BO UNIT TRANSFER]]:LS[[#This Row],[BO UNIT TRANSFER]],LS[[#Headers],[Investor ID]]:LS[[#This Row],[Investor ID]],LS[[#This Row],[Investor ID]])</f>
        <v>0</v>
      </c>
    </row>
    <row r="342" spans="2:27">
      <c r="B342" s="8">
        <v>2023</v>
      </c>
      <c r="C342" s="8">
        <v>5</v>
      </c>
      <c r="D342" s="8">
        <v>2</v>
      </c>
      <c r="E342" s="291">
        <f>DATE(LS[[#This Row],[Year]],LS[[#This Row],[Month]],LS[[#This Row],[Day]])</f>
        <v>45048</v>
      </c>
      <c r="F342" t="str" cm="1">
        <f t="array" ref="F342">INDEX(INVESTORS_LIST[INVESTOR NAME],MATCH(LS[[#This Row],[Investor ID]],INVESTORS_LIST[INVESTOR CODE],0),)</f>
        <v>SHARMIN JAHAN SHANTA</v>
      </c>
      <c r="G342" s="25" t="s">
        <v>564</v>
      </c>
      <c r="H342" s="8">
        <f>COUNTIF(LS[[#Headers],[Investor ID]]:LS[[#This Row],[Investor ID]],LS[[#This Row],[Investor ID]])</f>
        <v>2</v>
      </c>
      <c r="I342" s="8" t="str">
        <f>CONCATENATE(LS[[#This Row],[Frequency]],LS[[#This Row],[Investor ID]])</f>
        <v>2A00318</v>
      </c>
      <c r="J342" s="8" t="str">
        <f>IF(LS[[#This Row],[B/S]]="B","BUY",(IF(LS[[#This Row],[B/S]]="S","SELL"," ")))</f>
        <v>SELL</v>
      </c>
      <c r="K342" s="8" t="s">
        <v>866</v>
      </c>
      <c r="L342" s="10">
        <v>-50745</v>
      </c>
      <c r="M342" s="10"/>
      <c r="N342" s="168">
        <f>LS[[#This Row],[Amount]]/LS[[#This Row],[Unit]]</f>
        <v>10.148999999999999</v>
      </c>
      <c r="O342" s="11">
        <f t="shared" si="45"/>
        <v>-5000</v>
      </c>
      <c r="P342" s="11">
        <f>SUMIFS(LS[[#Headers],[Unit]]:LS[[#This Row],[Unit]],LS[[#Headers],[Investor ID]]:LS[[#This Row],[Investor ID]],LS[[#This Row],[Investor ID]])</f>
        <v>0</v>
      </c>
      <c r="Q342" s="10">
        <v>-50000</v>
      </c>
      <c r="R342" s="6">
        <f>LS[[#This Row],[Amount]]-LS[[#This Row],[Unit Capital]]</f>
        <v>-745</v>
      </c>
      <c r="S34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42" s="168">
        <f t="shared" si="46"/>
        <v>12.552</v>
      </c>
      <c r="U342" s="10">
        <f>IF(LS[[#This Row],[B/S]]="B",0,ABS(LS[[#This Row],[Unit]])*(LS[[#This Row],[NAV (Strike Rate)]]-INDEX(LS[NAV at Cost (Average)],MATCH(CONCATENATE(LS[[#This Row],[Frequency]]-1,LS[[#This Row],[Investor ID]]),LS[Unique Code],0),)))</f>
        <v>744.99999999999568</v>
      </c>
      <c r="V342" s="10" cm="1">
        <f t="array" ref="V342">IF(LS[[#This Row],[B/S]]="S",ABS(LS[[#This Row],[Unit]])*(INDEX(LS[NAV at Cost (Average)],MATCH(CONCATENATE((LS[[#This Row],[Frequency]]-1),LS[[#This Row],[Investor ID]]),LS[Unique Code],0),0)),0)</f>
        <v>50000</v>
      </c>
      <c r="W342" s="10">
        <f>IF(LS[[#This Row],[BO Transfer]]="YES",LS[[#This Row],[Unit]],)</f>
        <v>0</v>
      </c>
      <c r="X342" s="3">
        <f>SUMIFS(LS[[#Headers],[BO UNIT TRANSFER]]:LS[[#This Row],[BO UNIT TRANSFER]],LS[[#Headers],[Investor ID]]:LS[[#This Row],[Investor ID]],LS[[#This Row],[Investor ID]])</f>
        <v>0</v>
      </c>
    </row>
    <row r="343" spans="2:27">
      <c r="B343" s="8">
        <v>2023</v>
      </c>
      <c r="C343" s="8">
        <v>5</v>
      </c>
      <c r="D343" s="8">
        <v>3</v>
      </c>
      <c r="E343" s="291">
        <f>DATE(LS[[#This Row],[Year]],LS[[#This Row],[Month]],LS[[#This Row],[Day]])</f>
        <v>45049</v>
      </c>
      <c r="F343" t="str" cm="1">
        <f t="array" ref="F343">INDEX(INVESTORS_LIST[INVESTOR NAME],MATCH(LS[[#This Row],[Investor ID]],INVESTORS_LIST[INVESTOR CODE],0),)</f>
        <v>MD. NIAZ MURSHED</v>
      </c>
      <c r="G343" s="19" t="s">
        <v>238</v>
      </c>
      <c r="H343" s="8">
        <f>COUNTIF(LS[[#Headers],[Investor ID]]:LS[[#This Row],[Investor ID]],LS[[#This Row],[Investor ID]])</f>
        <v>2</v>
      </c>
      <c r="I343" s="8" t="str">
        <f>CONCATENATE(LS[[#This Row],[Frequency]],LS[[#This Row],[Investor ID]])</f>
        <v>2A00198</v>
      </c>
      <c r="J343" s="14" t="str">
        <f>IF(LS[[#This Row],[B/S]]="B","BUY",(IF(LS[[#This Row],[B/S]]="S","SELL"," ")))</f>
        <v>SELL</v>
      </c>
      <c r="K343" s="8" t="s">
        <v>866</v>
      </c>
      <c r="L343" s="10">
        <v>-250000</v>
      </c>
      <c r="M343" s="10"/>
      <c r="N343" s="168">
        <f>LS[[#This Row],[Amount]]/LS[[#This Row],[Unit]]</f>
        <v>10.148987131084318</v>
      </c>
      <c r="O343" s="11">
        <f t="shared" si="45"/>
        <v>-24633</v>
      </c>
      <c r="P343" s="11">
        <f>SUMIFS(LS[[#Headers],[Unit]]:LS[[#This Row],[Unit]],LS[[#Headers],[Investor ID]]:LS[[#This Row],[Investor ID]],LS[[#This Row],[Investor ID]])</f>
        <v>41558</v>
      </c>
      <c r="Q343" s="10">
        <v>-246330</v>
      </c>
      <c r="R343" s="6">
        <f>LS[[#This Row],[Amount]]-LS[[#This Row],[Unit Capital]]</f>
        <v>-3670</v>
      </c>
      <c r="S34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9.8200661721382065</v>
      </c>
      <c r="T343" s="168">
        <f t="shared" si="46"/>
        <v>12.552</v>
      </c>
      <c r="U343" s="10">
        <f>IF(LS[[#This Row],[B/S]]="B",0,ABS(LS[[#This Row],[Unit]])*(LS[[#This Row],[NAV (Strike Rate)]]-INDEX(LS[NAV at Cost (Average)],MATCH(CONCATENATE(LS[[#This Row],[Frequency]]-1,LS[[#This Row],[Investor ID]]),LS[Unique Code],0),)))</f>
        <v>8102.3099817195753</v>
      </c>
      <c r="V343" s="10" cm="1">
        <f t="array" ref="V343">IF(LS[[#This Row],[B/S]]="S",ABS(LS[[#This Row],[Unit]])*(INDEX(LS[NAV at Cost (Average)],MATCH(CONCATENATE((LS[[#This Row],[Frequency]]-1),LS[[#This Row],[Investor ID]]),LS[Unique Code],0),0)),0)</f>
        <v>241897.69001828044</v>
      </c>
      <c r="W343" s="10">
        <f>IF(LS[[#This Row],[BO Transfer]]="YES",LS[[#This Row],[Unit]],)</f>
        <v>0</v>
      </c>
      <c r="X343" s="3">
        <f>SUMIFS(LS[[#Headers],[BO UNIT TRANSFER]]:LS[[#This Row],[BO UNIT TRANSFER]],LS[[#Headers],[Investor ID]]:LS[[#This Row],[Investor ID]],LS[[#This Row],[Investor ID]])</f>
        <v>0</v>
      </c>
      <c r="Z343" s="6"/>
      <c r="AA343" s="6"/>
    </row>
    <row r="344" spans="2:27">
      <c r="B344" s="8">
        <v>2023</v>
      </c>
      <c r="C344" s="8">
        <v>5</v>
      </c>
      <c r="D344" s="8">
        <v>7</v>
      </c>
      <c r="E344" s="291">
        <f>DATE(LS[[#This Row],[Year]],LS[[#This Row],[Month]],LS[[#This Row],[Day]])</f>
        <v>45053</v>
      </c>
      <c r="F344" t="str" cm="1">
        <f t="array" ref="F344">INDEX(INVESTORS_LIST[INVESTOR NAME],MATCH(LS[[#This Row],[Investor ID]],INVESTORS_LIST[INVESTOR CODE],0),)</f>
        <v>NAYEEMA TASNEEM</v>
      </c>
      <c r="G344" s="19" t="s">
        <v>679</v>
      </c>
      <c r="H344" s="8">
        <f>COUNTIF(LS[[#Headers],[Investor ID]]:LS[[#This Row],[Investor ID]],LS[[#This Row],[Investor ID]])</f>
        <v>5</v>
      </c>
      <c r="I344" s="8" t="str">
        <f>CONCATENATE(LS[[#This Row],[Frequency]],LS[[#This Row],[Investor ID]])</f>
        <v>5A00366</v>
      </c>
      <c r="J344" s="14" t="str">
        <f>IF(LS[[#This Row],[B/S]]="B","BUY",(IF(LS[[#This Row],[B/S]]="S","SELL"," ")))</f>
        <v>SELL</v>
      </c>
      <c r="K344" s="8" t="s">
        <v>866</v>
      </c>
      <c r="L344" s="10">
        <v>-40000</v>
      </c>
      <c r="M344" s="10"/>
      <c r="N344" s="168">
        <f>LS[[#This Row],[Amount]]/LS[[#This Row],[Unit]]</f>
        <v>10.19108280254777</v>
      </c>
      <c r="O344" s="11">
        <f t="shared" ref="O344:O349" si="47">Q344/10</f>
        <v>-3925</v>
      </c>
      <c r="P344" s="11">
        <f>SUMIFS(LS[[#Headers],[Unit]]:LS[[#This Row],[Unit]],LS[[#Headers],[Investor ID]]:LS[[#This Row],[Investor ID]],LS[[#This Row],[Investor ID]])</f>
        <v>20873</v>
      </c>
      <c r="Q344" s="10">
        <v>-39250</v>
      </c>
      <c r="R344" s="6">
        <f>LS[[#This Row],[Amount]]-LS[[#This Row],[Unit Capital]]</f>
        <v>-750</v>
      </c>
      <c r="S34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44" s="168">
        <f t="shared" ref="T344:T349" si="48">IFERROR(NAV_MKT,0)</f>
        <v>12.552</v>
      </c>
      <c r="U344" s="10">
        <f>IF(LS[[#This Row],[B/S]]="B",0,ABS(LS[[#This Row],[Unit]])*(LS[[#This Row],[NAV (Strike Rate)]]-INDEX(LS[NAV at Cost (Average)],MATCH(CONCATENATE(LS[[#This Row],[Frequency]]-1,LS[[#This Row],[Investor ID]]),LS[Unique Code],0),)))</f>
        <v>749.99999999999807</v>
      </c>
      <c r="V344" s="10" cm="1">
        <f t="array" ref="V344">IF(LS[[#This Row],[B/S]]="S",ABS(LS[[#This Row],[Unit]])*(INDEX(LS[NAV at Cost (Average)],MATCH(CONCATENATE((LS[[#This Row],[Frequency]]-1),LS[[#This Row],[Investor ID]]),LS[Unique Code],0),0)),0)</f>
        <v>39250</v>
      </c>
      <c r="W344" s="10">
        <f>IF(LS[[#This Row],[BO Transfer]]="YES",LS[[#This Row],[Unit]],)</f>
        <v>0</v>
      </c>
      <c r="X344" s="3">
        <f>SUMIFS(LS[[#Headers],[BO UNIT TRANSFER]]:LS[[#This Row],[BO UNIT TRANSFER]],LS[[#Headers],[Investor ID]]:LS[[#This Row],[Investor ID]],LS[[#This Row],[Investor ID]])</f>
        <v>0</v>
      </c>
      <c r="Z344" s="6"/>
      <c r="AA344" s="6"/>
    </row>
    <row r="345" spans="2:27">
      <c r="B345" s="8">
        <v>2023</v>
      </c>
      <c r="C345" s="8">
        <v>5</v>
      </c>
      <c r="D345" s="8">
        <v>11</v>
      </c>
      <c r="E345" s="291">
        <f>DATE(LS[[#This Row],[Year]],LS[[#This Row],[Month]],LS[[#This Row],[Day]])</f>
        <v>45057</v>
      </c>
      <c r="F345" t="str" cm="1">
        <f t="array" ref="F345">INDEX(INVESTORS_LIST[INVESTOR NAME],MATCH(LS[[#This Row],[Investor ID]],INVESTORS_LIST[INVESTOR CODE],0),)</f>
        <v>ASIF AHMED</v>
      </c>
      <c r="G345" s="25" t="s">
        <v>69</v>
      </c>
      <c r="H345" s="8">
        <f>COUNTIF(LS[[#Headers],[Investor ID]]:LS[[#This Row],[Investor ID]],LS[[#This Row],[Investor ID]])</f>
        <v>2</v>
      </c>
      <c r="I345" s="8" t="str">
        <f>CONCATENATE(LS[[#This Row],[Frequency]],LS[[#This Row],[Investor ID]])</f>
        <v>2A00062</v>
      </c>
      <c r="J345" s="14" t="str">
        <f>IF(LS[[#This Row],[B/S]]="B","BUY",(IF(LS[[#This Row],[B/S]]="S","SELL"," ")))</f>
        <v>SELL</v>
      </c>
      <c r="K345" s="8" t="s">
        <v>866</v>
      </c>
      <c r="L345" s="10">
        <v>-152865</v>
      </c>
      <c r="M345" s="10"/>
      <c r="N345" s="168">
        <f>LS[[#This Row],[Amount]]/LS[[#This Row],[Unit]]</f>
        <v>10.191000000000001</v>
      </c>
      <c r="O345" s="11">
        <f t="shared" si="47"/>
        <v>-15000</v>
      </c>
      <c r="P345" s="11">
        <f>SUMIFS(LS[[#Headers],[Unit]]:LS[[#This Row],[Unit]],LS[[#Headers],[Investor ID]]:LS[[#This Row],[Investor ID]],LS[[#This Row],[Investor ID]])</f>
        <v>0</v>
      </c>
      <c r="Q345" s="10">
        <v>-150000</v>
      </c>
      <c r="R345" s="6">
        <f>LS[[#This Row],[Amount]]-LS[[#This Row],[Unit Capital]]</f>
        <v>-2865</v>
      </c>
      <c r="S34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45" s="168">
        <f t="shared" si="48"/>
        <v>12.552</v>
      </c>
      <c r="U345" s="10">
        <f>IF(LS[[#This Row],[B/S]]="B",0,ABS(LS[[#This Row],[Unit]])*(LS[[#This Row],[NAV (Strike Rate)]]-INDEX(LS[NAV at Cost (Average)],MATCH(CONCATENATE(LS[[#This Row],[Frequency]]-1,LS[[#This Row],[Investor ID]]),LS[Unique Code],0),)))</f>
        <v>2865.0000000000109</v>
      </c>
      <c r="V345" s="10" cm="1">
        <f t="array" ref="V345">IF(LS[[#This Row],[B/S]]="S",ABS(LS[[#This Row],[Unit]])*(INDEX(LS[NAV at Cost (Average)],MATCH(CONCATENATE((LS[[#This Row],[Frequency]]-1),LS[[#This Row],[Investor ID]]),LS[Unique Code],0),0)),0)</f>
        <v>150000</v>
      </c>
      <c r="W345" s="10">
        <f>IF(LS[[#This Row],[BO Transfer]]="YES",LS[[#This Row],[Unit]],)</f>
        <v>0</v>
      </c>
      <c r="X345" s="3">
        <f>SUMIFS(LS[[#Headers],[BO UNIT TRANSFER]]:LS[[#This Row],[BO UNIT TRANSFER]],LS[[#Headers],[Investor ID]]:LS[[#This Row],[Investor ID]],LS[[#This Row],[Investor ID]])</f>
        <v>0</v>
      </c>
    </row>
    <row r="346" spans="2:27">
      <c r="B346" s="8">
        <v>2023</v>
      </c>
      <c r="C346" s="8">
        <v>5</v>
      </c>
      <c r="D346" s="8">
        <v>28</v>
      </c>
      <c r="E346" s="291">
        <f>DATE(LS[[#This Row],[Year]],LS[[#This Row],[Month]],LS[[#This Row],[Day]])</f>
        <v>45074</v>
      </c>
      <c r="F346" t="str" cm="1">
        <f t="array" ref="F346">INDEX(INVESTORS_LIST[INVESTOR NAME],MATCH(LS[[#This Row],[Investor ID]],INVESTORS_LIST[INVESTOR CODE],0),)</f>
        <v>SANDHANI AML SLIC FIXED INCOME FUND</v>
      </c>
      <c r="G346" s="19" t="s">
        <v>1036</v>
      </c>
      <c r="H346" s="8">
        <f>COUNTIF(LS[[#Headers],[Investor ID]]:LS[[#This Row],[Investor ID]],LS[[#This Row],[Investor ID]])</f>
        <v>1</v>
      </c>
      <c r="I346" s="8" t="str">
        <f>CONCATENATE(LS[[#This Row],[Frequency]],LS[[#This Row],[Investor ID]])</f>
        <v>1A00466</v>
      </c>
      <c r="J346" s="20" t="str">
        <f>IF(LS[[#This Row],[B/S]]="B","BUY",(IF(LS[[#This Row],[B/S]]="S","SELL"," ")))</f>
        <v>BUY</v>
      </c>
      <c r="K346" s="8" t="s">
        <v>301</v>
      </c>
      <c r="L346" s="10">
        <v>3999717</v>
      </c>
      <c r="M346" s="10"/>
      <c r="N346" s="168">
        <f>LS[[#This Row],[Amount]]/LS[[#This Row],[Unit]]</f>
        <v>10.236000000000001</v>
      </c>
      <c r="O346" s="11">
        <f t="shared" si="47"/>
        <v>390750</v>
      </c>
      <c r="P346" s="11">
        <f>SUMIFS(LS[[#Headers],[Unit]]:LS[[#This Row],[Unit]],LS[[#Headers],[Investor ID]]:LS[[#This Row],[Investor ID]],LS[[#This Row],[Investor ID]])</f>
        <v>390750</v>
      </c>
      <c r="Q346" s="10">
        <v>3907500</v>
      </c>
      <c r="R346" s="6">
        <f>LS[[#This Row],[Amount]]-LS[[#This Row],[Unit Capital]]</f>
        <v>92217</v>
      </c>
      <c r="S34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10.236000000000001</v>
      </c>
      <c r="T346" s="168">
        <f t="shared" si="48"/>
        <v>12.552</v>
      </c>
      <c r="U34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46" s="10" cm="1">
        <f t="array" ref="V346">IF(LS[[#This Row],[B/S]]="S",ABS(LS[[#This Row],[Unit]])*(INDEX(LS[NAV at Cost (Average)],MATCH(CONCATENATE((LS[[#This Row],[Frequency]]-1),LS[[#This Row],[Investor ID]]),LS[Unique Code],0),0)),0)</f>
        <v>0</v>
      </c>
      <c r="W346" s="10">
        <f>IF(LS[[#This Row],[BO Transfer]]="YES",LS[[#This Row],[Unit]],)</f>
        <v>0</v>
      </c>
      <c r="X346" s="3">
        <f>SUMIFS(LS[[#Headers],[BO UNIT TRANSFER]]:LS[[#This Row],[BO UNIT TRANSFER]],LS[[#Headers],[Investor ID]]:LS[[#This Row],[Investor ID]],LS[[#This Row],[Investor ID]])</f>
        <v>0</v>
      </c>
    </row>
    <row r="347" spans="2:27">
      <c r="B347" s="8">
        <v>2023</v>
      </c>
      <c r="C347" s="8">
        <v>5</v>
      </c>
      <c r="D347" s="8">
        <v>28</v>
      </c>
      <c r="E347" s="291">
        <f>DATE(LS[[#This Row],[Year]],LS[[#This Row],[Month]],LS[[#This Row],[Day]])</f>
        <v>45074</v>
      </c>
      <c r="F347" t="str" cm="1">
        <f t="array" ref="F347">INDEX(INVESTORS_LIST[INVESTOR NAME],MATCH(LS[[#This Row],[Investor ID]],INVESTORS_LIST[INVESTOR CODE],0),)</f>
        <v>TAPASH KUMAR PAUL</v>
      </c>
      <c r="G347" s="19" t="s">
        <v>971</v>
      </c>
      <c r="H347" s="8">
        <f>COUNTIF(LS[[#Headers],[Investor ID]]:LS[[#This Row],[Investor ID]],LS[[#This Row],[Investor ID]])</f>
        <v>2</v>
      </c>
      <c r="I347" s="8" t="str">
        <f>CONCATENATE(LS[[#This Row],[Frequency]],LS[[#This Row],[Investor ID]])</f>
        <v>2A00443</v>
      </c>
      <c r="J347" s="20" t="str">
        <f>IF(LS[[#This Row],[B/S]]="B","BUY",(IF(LS[[#This Row],[B/S]]="S","SELL"," ")))</f>
        <v>SELL</v>
      </c>
      <c r="K347" s="8" t="s">
        <v>866</v>
      </c>
      <c r="L347" s="10">
        <v>-102689.12</v>
      </c>
      <c r="M347" s="10"/>
      <c r="N347" s="168">
        <f>LS[[#This Row],[Amount]]/LS[[#This Row],[Unit]]</f>
        <v>10.228</v>
      </c>
      <c r="O347" s="11">
        <f t="shared" si="47"/>
        <v>-10040</v>
      </c>
      <c r="P347" s="11">
        <f>SUMIFS(LS[[#Headers],[Unit]]:LS[[#This Row],[Unit]],LS[[#Headers],[Investor ID]]:LS[[#This Row],[Investor ID]],LS[[#This Row],[Investor ID]])</f>
        <v>0</v>
      </c>
      <c r="Q347" s="10">
        <v>-100400</v>
      </c>
      <c r="R347" s="6">
        <f>LS[[#This Row],[Amount]]-LS[[#This Row],[Unit Capital]]</f>
        <v>-2289.1199999999953</v>
      </c>
      <c r="S34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47" s="168">
        <f t="shared" si="48"/>
        <v>12.552</v>
      </c>
      <c r="U347" s="10">
        <f>IF(LS[[#This Row],[B/S]]="B",0,ABS(LS[[#This Row],[Unit]])*(LS[[#This Row],[NAV (Strike Rate)]]-INDEX(LS[NAV at Cost (Average)],MATCH(CONCATENATE(LS[[#This Row],[Frequency]]-1,LS[[#This Row],[Investor ID]]),LS[Unique Code],0),)))</f>
        <v>2689.1199999999972</v>
      </c>
      <c r="V347" s="10" cm="1">
        <f t="array" ref="V347">IF(LS[[#This Row],[B/S]]="S",ABS(LS[[#This Row],[Unit]])*(INDEX(LS[NAV at Cost (Average)],MATCH(CONCATENATE((LS[[#This Row],[Frequency]]-1),LS[[#This Row],[Investor ID]]),LS[Unique Code],0),0)),0)</f>
        <v>100000</v>
      </c>
      <c r="W347" s="10">
        <f>IF(LS[[#This Row],[BO Transfer]]="YES",LS[[#This Row],[Unit]],)</f>
        <v>0</v>
      </c>
      <c r="X347" s="3">
        <f>SUMIFS(LS[[#Headers],[BO UNIT TRANSFER]]:LS[[#This Row],[BO UNIT TRANSFER]],LS[[#Headers],[Investor ID]]:LS[[#This Row],[Investor ID]],LS[[#This Row],[Investor ID]])</f>
        <v>0</v>
      </c>
    </row>
    <row r="348" spans="2:27">
      <c r="B348" s="8">
        <v>2023</v>
      </c>
      <c r="C348" s="8">
        <v>5</v>
      </c>
      <c r="D348" s="8">
        <v>29</v>
      </c>
      <c r="E348" s="291">
        <f>DATE(LS[[#This Row],[Year]],LS[[#This Row],[Month]],LS[[#This Row],[Day]])</f>
        <v>45075</v>
      </c>
      <c r="F348" t="str" cm="1">
        <f t="array" ref="F348">INDEX(INVESTORS_LIST[INVESTOR NAME],MATCH(LS[[#This Row],[Investor ID]],INVESTORS_LIST[INVESTOR CODE],0),)</f>
        <v>VANGUARD AML GROWTH FUND</v>
      </c>
      <c r="G348" s="19" t="s">
        <v>653</v>
      </c>
      <c r="H348" s="8">
        <f>COUNTIF(LS[[#Headers],[Investor ID]]:LS[[#This Row],[Investor ID]],LS[[#This Row],[Investor ID]])</f>
        <v>2</v>
      </c>
      <c r="I348" s="8" t="str">
        <f>CONCATENATE(LS[[#This Row],[Frequency]],LS[[#This Row],[Investor ID]])</f>
        <v>2A00353</v>
      </c>
      <c r="J348" s="20" t="str">
        <f>IF(LS[[#This Row],[B/S]]="B","BUY",(IF(LS[[#This Row],[B/S]]="S","SELL"," ")))</f>
        <v>BUY</v>
      </c>
      <c r="K348" s="8" t="s">
        <v>301</v>
      </c>
      <c r="L348" s="10">
        <v>1023000</v>
      </c>
      <c r="M348" s="10"/>
      <c r="N348" s="168">
        <f>LS[[#This Row],[Amount]]/LS[[#This Row],[Unit]]</f>
        <v>10.23</v>
      </c>
      <c r="O348" s="11">
        <f t="shared" si="47"/>
        <v>100000</v>
      </c>
      <c r="P348" s="11">
        <f>SUMIFS(LS[[#Headers],[Unit]]:LS[[#This Row],[Unit]],LS[[#Headers],[Investor ID]]:LS[[#This Row],[Investor ID]],LS[[#This Row],[Investor ID]])</f>
        <v>600000</v>
      </c>
      <c r="Q348" s="10">
        <v>1000000</v>
      </c>
      <c r="R348" s="6">
        <f>LS[[#This Row],[Amount]]-LS[[#This Row],[Unit Capital]]</f>
        <v>23000</v>
      </c>
      <c r="S34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10.038333333333334</v>
      </c>
      <c r="T348" s="168">
        <f t="shared" si="48"/>
        <v>12.552</v>
      </c>
      <c r="U34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48" s="10" cm="1">
        <f t="array" ref="V348">IF(LS[[#This Row],[B/S]]="S",ABS(LS[[#This Row],[Unit]])*(INDEX(LS[NAV at Cost (Average)],MATCH(CONCATENATE((LS[[#This Row],[Frequency]]-1),LS[[#This Row],[Investor ID]]),LS[Unique Code],0),0)),0)</f>
        <v>0</v>
      </c>
      <c r="W348" s="10">
        <f>IF(LS[[#This Row],[BO Transfer]]="YES",LS[[#This Row],[Unit]],)</f>
        <v>0</v>
      </c>
      <c r="X348" s="3">
        <f>SUMIFS(LS[[#Headers],[BO UNIT TRANSFER]]:LS[[#This Row],[BO UNIT TRANSFER]],LS[[#Headers],[Investor ID]]:LS[[#This Row],[Investor ID]],LS[[#This Row],[Investor ID]])</f>
        <v>0</v>
      </c>
    </row>
    <row r="349" spans="2:27">
      <c r="B349" s="8">
        <v>2023</v>
      </c>
      <c r="C349" s="8">
        <v>6</v>
      </c>
      <c r="D349" s="8">
        <v>1</v>
      </c>
      <c r="E349" s="291">
        <f>DATE(LS[[#This Row],[Year]],LS[[#This Row],[Month]],LS[[#This Row],[Day]])</f>
        <v>45078</v>
      </c>
      <c r="F349" t="str" cm="1">
        <f t="array" ref="F349">INDEX(INVESTORS_LIST[INVESTOR NAME],MATCH(LS[[#This Row],[Investor ID]],INVESTORS_LIST[INVESTOR CODE],0),)</f>
        <v>NAYEEMA TASNEEM</v>
      </c>
      <c r="G349" s="19" t="s">
        <v>679</v>
      </c>
      <c r="H349" s="8">
        <f>COUNTIF(LS[[#Headers],[Investor ID]]:LS[[#This Row],[Investor ID]],LS[[#This Row],[Investor ID]])</f>
        <v>6</v>
      </c>
      <c r="I349" s="8" t="str">
        <f>CONCATENATE(LS[[#This Row],[Frequency]],LS[[#This Row],[Investor ID]])</f>
        <v>6A00366</v>
      </c>
      <c r="J349" s="20" t="str">
        <f>IF(LS[[#This Row],[B/S]]="B","BUY",(IF(LS[[#This Row],[B/S]]="S","SELL"," ")))</f>
        <v>SELL</v>
      </c>
      <c r="K349" s="8" t="s">
        <v>866</v>
      </c>
      <c r="L349" s="10">
        <v>-70000</v>
      </c>
      <c r="M349" s="10"/>
      <c r="N349" s="168">
        <f>LS[[#This Row],[Amount]]/LS[[#This Row],[Unit]]</f>
        <v>10.227936879018118</v>
      </c>
      <c r="O349" s="11">
        <f t="shared" si="47"/>
        <v>-6844</v>
      </c>
      <c r="P349" s="11">
        <f>SUMIFS(LS[[#Headers],[Unit]]:LS[[#This Row],[Unit]],LS[[#Headers],[Investor ID]]:LS[[#This Row],[Investor ID]],LS[[#This Row],[Investor ID]])</f>
        <v>14029</v>
      </c>
      <c r="Q349" s="10">
        <v>-68440</v>
      </c>
      <c r="R349" s="6">
        <f>LS[[#This Row],[Amount]]-LS[[#This Row],[Unit Capital]]</f>
        <v>-1560</v>
      </c>
      <c r="S34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49" s="168">
        <f t="shared" si="48"/>
        <v>12.552</v>
      </c>
      <c r="U349" s="10">
        <f>IF(LS[[#This Row],[B/S]]="B",0,ABS(LS[[#This Row],[Unit]])*(LS[[#This Row],[NAV (Strike Rate)]]-INDEX(LS[NAV at Cost (Average)],MATCH(CONCATENATE(LS[[#This Row],[Frequency]]-1,LS[[#This Row],[Investor ID]]),LS[Unique Code],0),)))</f>
        <v>1560.0000000000025</v>
      </c>
      <c r="V349" s="10" cm="1">
        <f t="array" ref="V349">IF(LS[[#This Row],[B/S]]="S",ABS(LS[[#This Row],[Unit]])*(INDEX(LS[NAV at Cost (Average)],MATCH(CONCATENATE((LS[[#This Row],[Frequency]]-1),LS[[#This Row],[Investor ID]]),LS[Unique Code],0),0)),0)</f>
        <v>68440</v>
      </c>
      <c r="W349" s="10">
        <f>IF(LS[[#This Row],[BO Transfer]]="YES",LS[[#This Row],[Unit]],)</f>
        <v>0</v>
      </c>
      <c r="X349" s="3">
        <f>SUMIFS(LS[[#Headers],[BO UNIT TRANSFER]]:LS[[#This Row],[BO UNIT TRANSFER]],LS[[#Headers],[Investor ID]]:LS[[#This Row],[Investor ID]],LS[[#This Row],[Investor ID]])</f>
        <v>0</v>
      </c>
    </row>
    <row r="350" spans="2:27">
      <c r="B350" s="8">
        <v>2023</v>
      </c>
      <c r="C350" s="8">
        <v>6</v>
      </c>
      <c r="D350" s="8">
        <v>15</v>
      </c>
      <c r="E350" s="291">
        <f>DATE(LS[[#This Row],[Year]],LS[[#This Row],[Month]],LS[[#This Row],[Day]])</f>
        <v>45092</v>
      </c>
      <c r="F350" t="str" cm="1">
        <f t="array" ref="F350">INDEX(INVESTORS_LIST[INVESTOR NAME],MATCH(LS[[#This Row],[Investor ID]],INVESTORS_LIST[INVESTOR CODE],0),)</f>
        <v>RAFIQUL ANOWAR</v>
      </c>
      <c r="G350" s="19" t="s">
        <v>190</v>
      </c>
      <c r="H350" s="8">
        <f>COUNTIF(LS[[#Headers],[Investor ID]]:LS[[#This Row],[Investor ID]],LS[[#This Row],[Investor ID]])</f>
        <v>2</v>
      </c>
      <c r="I350" s="8" t="str">
        <f>CONCATENATE(LS[[#This Row],[Frequency]],LS[[#This Row],[Investor ID]])</f>
        <v>2A00157</v>
      </c>
      <c r="J350" s="8" t="str">
        <f>IF(LS[[#This Row],[B/S]]="B","BUY",(IF(LS[[#This Row],[B/S]]="S","SELL"," ")))</f>
        <v>SELL</v>
      </c>
      <c r="K350" s="8" t="s">
        <v>866</v>
      </c>
      <c r="L350" s="10">
        <v>-10241000</v>
      </c>
      <c r="M350" s="10"/>
      <c r="N350" s="168">
        <f>LS[[#This Row],[Amount]]/LS[[#This Row],[Unit]]</f>
        <v>10.241</v>
      </c>
      <c r="O350" s="11">
        <f t="shared" ref="O350:O356" si="49">Q350/10</f>
        <v>-1000000</v>
      </c>
      <c r="P350" s="11">
        <f>SUMIFS(LS[[#Headers],[Unit]]:LS[[#This Row],[Unit]],LS[[#Headers],[Investor ID]]:LS[[#This Row],[Investor ID]],LS[[#This Row],[Investor ID]])</f>
        <v>0</v>
      </c>
      <c r="Q350" s="10">
        <v>-10000000</v>
      </c>
      <c r="R350" s="6">
        <f>LS[[#This Row],[Amount]]-LS[[#This Row],[Unit Capital]]</f>
        <v>-241000</v>
      </c>
      <c r="S35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50" s="168">
        <f t="shared" ref="T350:T356" si="50">IFERROR(NAV_MKT,0)</f>
        <v>12.552</v>
      </c>
      <c r="U350" s="10">
        <f>IF(LS[[#This Row],[B/S]]="B",0,ABS(LS[[#This Row],[Unit]])*(LS[[#This Row],[NAV (Strike Rate)]]-INDEX(LS[NAV at Cost (Average)],MATCH(CONCATENATE(LS[[#This Row],[Frequency]]-1,LS[[#This Row],[Investor ID]]),LS[Unique Code],0),)))</f>
        <v>240999.99999999965</v>
      </c>
      <c r="V350" s="10" cm="1">
        <f t="array" ref="V350">IF(LS[[#This Row],[B/S]]="S",ABS(LS[[#This Row],[Unit]])*(INDEX(LS[NAV at Cost (Average)],MATCH(CONCATENATE((LS[[#This Row],[Frequency]]-1),LS[[#This Row],[Investor ID]]),LS[Unique Code],0),0)),0)</f>
        <v>10000000</v>
      </c>
      <c r="W350" s="10">
        <f>IF(LS[[#This Row],[BO Transfer]]="YES",LS[[#This Row],[Unit]],)</f>
        <v>0</v>
      </c>
      <c r="X350" s="3">
        <f>SUMIFS(LS[[#Headers],[BO UNIT TRANSFER]]:LS[[#This Row],[BO UNIT TRANSFER]],LS[[#Headers],[Investor ID]]:LS[[#This Row],[Investor ID]],LS[[#This Row],[Investor ID]])</f>
        <v>0</v>
      </c>
    </row>
    <row r="351" spans="2:27">
      <c r="B351" s="8">
        <v>2023</v>
      </c>
      <c r="C351" s="8">
        <v>6</v>
      </c>
      <c r="D351" s="8">
        <v>19</v>
      </c>
      <c r="E351" s="291">
        <f>DATE(LS[[#This Row],[Year]],LS[[#This Row],[Month]],LS[[#This Row],[Day]])</f>
        <v>45096</v>
      </c>
      <c r="F351" t="str" cm="1">
        <f t="array" ref="F351">INDEX(INVESTORS_LIST[INVESTOR NAME],MATCH(LS[[#This Row],[Investor ID]],INVESTORS_LIST[INVESTOR CODE],0),)</f>
        <v>MEHEDI HASSAN RONI</v>
      </c>
      <c r="G351" s="25" t="s">
        <v>374</v>
      </c>
      <c r="H351" s="8">
        <f>COUNTIF(LS[[#Headers],[Investor ID]]:LS[[#This Row],[Investor ID]],LS[[#This Row],[Investor ID]])</f>
        <v>1</v>
      </c>
      <c r="I351" s="8" t="str">
        <f>CONCATENATE(LS[[#This Row],[Frequency]],LS[[#This Row],[Investor ID]])</f>
        <v>1A00259</v>
      </c>
      <c r="J351" s="8" t="str">
        <f>IF(LS[[#This Row],[B/S]]="B","BUY",(IF(LS[[#This Row],[B/S]]="S","SELL"," ")))</f>
        <v>BUY</v>
      </c>
      <c r="K351" s="8" t="s">
        <v>301</v>
      </c>
      <c r="L351" s="10">
        <v>300000</v>
      </c>
      <c r="M351" s="10"/>
      <c r="N351" s="168">
        <f>LS[[#This Row],[Amount]]/LS[[#This Row],[Unit]]</f>
        <v>10.24485196188915</v>
      </c>
      <c r="O351" s="11">
        <f t="shared" si="49"/>
        <v>29283</v>
      </c>
      <c r="P351" s="11">
        <f>SUMIFS(LS[[#Headers],[Unit]]:LS[[#This Row],[Unit]],LS[[#Headers],[Investor ID]]:LS[[#This Row],[Investor ID]],LS[[#This Row],[Investor ID]])</f>
        <v>29283</v>
      </c>
      <c r="Q351" s="10">
        <v>292830</v>
      </c>
      <c r="R351" s="6">
        <f>LS[[#This Row],[Amount]]-LS[[#This Row],[Unit Capital]]</f>
        <v>7170</v>
      </c>
      <c r="S35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10.24485196188915</v>
      </c>
      <c r="T351" s="168">
        <f t="shared" si="50"/>
        <v>12.552</v>
      </c>
      <c r="U35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51" s="10" cm="1">
        <f t="array" ref="V351">IF(LS[[#This Row],[B/S]]="S",ABS(LS[[#This Row],[Unit]])*(INDEX(LS[NAV at Cost (Average)],MATCH(CONCATENATE((LS[[#This Row],[Frequency]]-1),LS[[#This Row],[Investor ID]]),LS[Unique Code],0),0)),0)</f>
        <v>0</v>
      </c>
      <c r="W351" s="10">
        <f>IF(LS[[#This Row],[BO Transfer]]="YES",LS[[#This Row],[Unit]],)</f>
        <v>0</v>
      </c>
      <c r="X351" s="3">
        <f>SUMIFS(LS[[#Headers],[BO UNIT TRANSFER]]:LS[[#This Row],[BO UNIT TRANSFER]],LS[[#Headers],[Investor ID]]:LS[[#This Row],[Investor ID]],LS[[#This Row],[Investor ID]])</f>
        <v>0</v>
      </c>
    </row>
    <row r="352" spans="2:27">
      <c r="B352" s="8">
        <v>2023</v>
      </c>
      <c r="C352" s="8">
        <v>6</v>
      </c>
      <c r="D352" s="8">
        <v>21</v>
      </c>
      <c r="E352" s="291">
        <f>DATE(LS[[#This Row],[Year]],LS[[#This Row],[Month]],LS[[#This Row],[Day]])</f>
        <v>45098</v>
      </c>
      <c r="F352" t="str" cm="1">
        <f t="array" ref="F352">INDEX(INVESTORS_LIST[INVESTOR NAME],MATCH(LS[[#This Row],[Investor ID]],INVESTORS_LIST[INVESTOR CODE],0),)</f>
        <v>UNICAP SECURITIES LIMITED</v>
      </c>
      <c r="G352" s="25" t="s">
        <v>37</v>
      </c>
      <c r="H352" s="8">
        <f>COUNTIF(LS[[#Headers],[Investor ID]]:LS[[#This Row],[Investor ID]],LS[[#This Row],[Investor ID]])</f>
        <v>2</v>
      </c>
      <c r="I352" s="8" t="str">
        <f>CONCATENATE(LS[[#This Row],[Frequency]],LS[[#This Row],[Investor ID]])</f>
        <v>2A00030</v>
      </c>
      <c r="J352" s="20" t="str">
        <f>IF(LS[[#This Row],[B/S]]="B","BUY",(IF(LS[[#This Row],[B/S]]="S","SELL"," ")))</f>
        <v>SELL</v>
      </c>
      <c r="K352" s="8" t="s">
        <v>866</v>
      </c>
      <c r="L352" s="10">
        <v>-5120500</v>
      </c>
      <c r="M352" s="10"/>
      <c r="N352" s="168">
        <f>LS[[#This Row],[Amount]]/LS[[#This Row],[Unit]]</f>
        <v>10.241</v>
      </c>
      <c r="O352" s="11">
        <f t="shared" si="49"/>
        <v>-500000</v>
      </c>
      <c r="P352" s="11">
        <f>SUMIFS(LS[[#Headers],[Unit]]:LS[[#This Row],[Unit]],LS[[#Headers],[Investor ID]]:LS[[#This Row],[Investor ID]],LS[[#This Row],[Investor ID]])</f>
        <v>0</v>
      </c>
      <c r="Q352" s="10">
        <v>-5000000</v>
      </c>
      <c r="R352" s="6">
        <f>LS[[#This Row],[Amount]]-LS[[#This Row],[Unit Capital]]</f>
        <v>-120500</v>
      </c>
      <c r="S35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52" s="168">
        <f t="shared" si="50"/>
        <v>12.552</v>
      </c>
      <c r="U352" s="10">
        <f>IF(LS[[#This Row],[B/S]]="B",0,ABS(LS[[#This Row],[Unit]])*(LS[[#This Row],[NAV (Strike Rate)]]-INDEX(LS[NAV at Cost (Average)],MATCH(CONCATENATE(LS[[#This Row],[Frequency]]-1,LS[[#This Row],[Investor ID]]),LS[Unique Code],0),)))</f>
        <v>120499.99999999983</v>
      </c>
      <c r="V352" s="10" cm="1">
        <f t="array" ref="V352">IF(LS[[#This Row],[B/S]]="S",ABS(LS[[#This Row],[Unit]])*(INDEX(LS[NAV at Cost (Average)],MATCH(CONCATENATE((LS[[#This Row],[Frequency]]-1),LS[[#This Row],[Investor ID]]),LS[Unique Code],0),0)),0)</f>
        <v>5000000</v>
      </c>
      <c r="W352" s="10">
        <f>IF(LS[[#This Row],[BO Transfer]]="YES",LS[[#This Row],[Unit]],)</f>
        <v>0</v>
      </c>
      <c r="X352" s="3">
        <f>SUMIFS(LS[[#Headers],[BO UNIT TRANSFER]]:LS[[#This Row],[BO UNIT TRANSFER]],LS[[#Headers],[Investor ID]]:LS[[#This Row],[Investor ID]],LS[[#This Row],[Investor ID]])</f>
        <v>0</v>
      </c>
    </row>
    <row r="353" spans="2:24">
      <c r="B353" s="8">
        <v>2023</v>
      </c>
      <c r="C353" s="8">
        <v>6</v>
      </c>
      <c r="D353" s="8">
        <v>22</v>
      </c>
      <c r="E353" s="291">
        <f>DATE(LS[[#This Row],[Year]],LS[[#This Row],[Month]],LS[[#This Row],[Day]])</f>
        <v>45099</v>
      </c>
      <c r="F353" t="str" cm="1">
        <f t="array" ref="F353">INDEX(INVESTORS_LIST[INVESTOR NAME],MATCH(LS[[#This Row],[Investor ID]],INVESTORS_LIST[INVESTOR CODE],0),)</f>
        <v>MASTURA MUNIAT</v>
      </c>
      <c r="G353" s="19" t="s">
        <v>381</v>
      </c>
      <c r="H353" s="8">
        <f>COUNTIF(LS[[#Headers],[Investor ID]]:LS[[#This Row],[Investor ID]],LS[[#This Row],[Investor ID]])</f>
        <v>1</v>
      </c>
      <c r="I353" s="8" t="str">
        <f>CONCATENATE(LS[[#This Row],[Frequency]],LS[[#This Row],[Investor ID]])</f>
        <v>1A00262</v>
      </c>
      <c r="J353" s="8" t="str">
        <f>IF(LS[[#This Row],[B/S]]="B","BUY",(IF(LS[[#This Row],[B/S]]="S","SELL"," ")))</f>
        <v>BUY</v>
      </c>
      <c r="K353" s="8" t="s">
        <v>301</v>
      </c>
      <c r="L353" s="10">
        <v>200000</v>
      </c>
      <c r="M353" s="10"/>
      <c r="N353" s="168">
        <f>LS[[#This Row],[Amount]]/LS[[#This Row],[Unit]]</f>
        <v>10.24485196188915</v>
      </c>
      <c r="O353" s="11">
        <f t="shared" si="49"/>
        <v>19522</v>
      </c>
      <c r="P353" s="11">
        <f>SUMIFS(LS[[#Headers],[Unit]]:LS[[#This Row],[Unit]],LS[[#Headers],[Investor ID]]:LS[[#This Row],[Investor ID]],LS[[#This Row],[Investor ID]])</f>
        <v>19522</v>
      </c>
      <c r="Q353" s="10">
        <v>195220</v>
      </c>
      <c r="R353" s="6">
        <f>LS[[#This Row],[Amount]]-LS[[#This Row],[Unit Capital]]</f>
        <v>4780</v>
      </c>
      <c r="S35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10.24485196188915</v>
      </c>
      <c r="T353" s="168">
        <f t="shared" si="50"/>
        <v>12.552</v>
      </c>
      <c r="U35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53" s="10" cm="1">
        <f t="array" ref="V353">IF(LS[[#This Row],[B/S]]="S",ABS(LS[[#This Row],[Unit]])*(INDEX(LS[NAV at Cost (Average)],MATCH(CONCATENATE((LS[[#This Row],[Frequency]]-1),LS[[#This Row],[Investor ID]]),LS[Unique Code],0),0)),0)</f>
        <v>0</v>
      </c>
      <c r="W353" s="10">
        <f>IF(LS[[#This Row],[BO Transfer]]="YES",LS[[#This Row],[Unit]],)</f>
        <v>0</v>
      </c>
      <c r="X353" s="3">
        <f>SUMIFS(LS[[#Headers],[BO UNIT TRANSFER]]:LS[[#This Row],[BO UNIT TRANSFER]],LS[[#Headers],[Investor ID]]:LS[[#This Row],[Investor ID]],LS[[#This Row],[Investor ID]])</f>
        <v>0</v>
      </c>
    </row>
    <row r="354" spans="2:24">
      <c r="B354" s="8">
        <v>2023</v>
      </c>
      <c r="C354" s="8">
        <v>6</v>
      </c>
      <c r="D354" s="8">
        <v>22</v>
      </c>
      <c r="E354" s="291">
        <f>DATE(LS[[#This Row],[Year]],LS[[#This Row],[Month]],LS[[#This Row],[Day]])</f>
        <v>45099</v>
      </c>
      <c r="F354" t="str" cm="1">
        <f t="array" ref="F354">INDEX(INVESTORS_LIST[INVESTOR NAME],MATCH(LS[[#This Row],[Investor ID]],INVESTORS_LIST[INVESTOR CODE],0),)</f>
        <v>MUBTASIN KABIR</v>
      </c>
      <c r="G354" s="19" t="s">
        <v>1099</v>
      </c>
      <c r="H354" s="8">
        <f>COUNTIF(LS[[#Headers],[Investor ID]]:LS[[#This Row],[Investor ID]],LS[[#This Row],[Investor ID]])</f>
        <v>1</v>
      </c>
      <c r="I354" s="8" t="str">
        <f>CONCATENATE(LS[[#This Row],[Frequency]],LS[[#This Row],[Investor ID]])</f>
        <v>1A00499</v>
      </c>
      <c r="J354" s="8" t="str">
        <f>IF(LS[[#This Row],[B/S]]="B","BUY",(IF(LS[[#This Row],[B/S]]="S","SELL"," ")))</f>
        <v>BUY</v>
      </c>
      <c r="K354" s="8" t="s">
        <v>301</v>
      </c>
      <c r="L354" s="3">
        <v>250000</v>
      </c>
      <c r="M354" s="10"/>
      <c r="N354" s="168">
        <f>LS[[#This Row],[Amount]]/LS[[#This Row],[Unit]]</f>
        <v>10.245061880173756</v>
      </c>
      <c r="O354" s="11">
        <f t="shared" si="49"/>
        <v>24402</v>
      </c>
      <c r="P354" s="11">
        <f>SUMIFS(LS[[#Headers],[Unit]]:LS[[#This Row],[Unit]],LS[[#Headers],[Investor ID]]:LS[[#This Row],[Investor ID]],LS[[#This Row],[Investor ID]])</f>
        <v>24402</v>
      </c>
      <c r="Q354" s="10">
        <v>244020</v>
      </c>
      <c r="R354" s="6">
        <f>LS[[#This Row],[Amount]]-LS[[#This Row],[Unit Capital]]</f>
        <v>5980</v>
      </c>
      <c r="S35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10.245061880173756</v>
      </c>
      <c r="T354" s="168">
        <f t="shared" si="50"/>
        <v>12.552</v>
      </c>
      <c r="U35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54" s="10" cm="1">
        <f t="array" ref="V354">IF(LS[[#This Row],[B/S]]="S",ABS(LS[[#This Row],[Unit]])*(INDEX(LS[NAV at Cost (Average)],MATCH(CONCATENATE((LS[[#This Row],[Frequency]]-1),LS[[#This Row],[Investor ID]]),LS[Unique Code],0),0)),0)</f>
        <v>0</v>
      </c>
      <c r="W354" s="10">
        <f>IF(LS[[#This Row],[BO Transfer]]="YES",LS[[#This Row],[Unit]],)</f>
        <v>0</v>
      </c>
      <c r="X354" s="3">
        <f>SUMIFS(LS[[#Headers],[BO UNIT TRANSFER]]:LS[[#This Row],[BO UNIT TRANSFER]],LS[[#Headers],[Investor ID]]:LS[[#This Row],[Investor ID]],LS[[#This Row],[Investor ID]])</f>
        <v>0</v>
      </c>
    </row>
    <row r="355" spans="2:24">
      <c r="B355" s="8">
        <v>2023</v>
      </c>
      <c r="C355" s="8">
        <v>6</v>
      </c>
      <c r="D355" s="8">
        <v>25</v>
      </c>
      <c r="E355" s="291">
        <f>DATE(LS[[#This Row],[Year]],LS[[#This Row],[Month]],LS[[#This Row],[Day]])</f>
        <v>45102</v>
      </c>
      <c r="F355" t="str" cm="1">
        <f t="array" ref="F355">INDEX(INVESTORS_LIST[INVESTOR NAME],MATCH(LS[[#This Row],[Investor ID]],INVESTORS_LIST[INVESTOR CODE],0),)</f>
        <v>MAZED AHMED ABDULLAH</v>
      </c>
      <c r="G355" s="19" t="s">
        <v>913</v>
      </c>
      <c r="H355" s="8">
        <f>COUNTIF(LS[[#Headers],[Investor ID]]:LS[[#This Row],[Investor ID]],LS[[#This Row],[Investor ID]])</f>
        <v>4</v>
      </c>
      <c r="I355" s="8" t="str">
        <f>CONCATENATE(LS[[#This Row],[Frequency]],LS[[#This Row],[Investor ID]])</f>
        <v>4A00419</v>
      </c>
      <c r="J355" s="8" t="str">
        <f>IF(LS[[#This Row],[B/S]]="B","BUY",(IF(LS[[#This Row],[B/S]]="S","SELL"," ")))</f>
        <v>BUY</v>
      </c>
      <c r="K355" s="8" t="s">
        <v>301</v>
      </c>
      <c r="L355" s="10">
        <v>500000</v>
      </c>
      <c r="M355" s="10"/>
      <c r="N355" s="168">
        <f>LS[[#This Row],[Amount]]/LS[[#This Row],[Unit]]</f>
        <v>10.25010250102501</v>
      </c>
      <c r="O355" s="11">
        <f t="shared" si="49"/>
        <v>48780</v>
      </c>
      <c r="P355" s="11">
        <f>SUMIFS(LS[[#Headers],[Unit]]:LS[[#This Row],[Unit]],LS[[#Headers],[Investor ID]]:LS[[#This Row],[Investor ID]],LS[[#This Row],[Investor ID]])</f>
        <v>59158</v>
      </c>
      <c r="Q355" s="10">
        <v>487800</v>
      </c>
      <c r="R355" s="6">
        <f>LS[[#This Row],[Amount]]-LS[[#This Row],[Unit Capital]]</f>
        <v>12200</v>
      </c>
      <c r="S35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10.175160232680835</v>
      </c>
      <c r="T355" s="168">
        <f t="shared" si="50"/>
        <v>12.552</v>
      </c>
      <c r="U35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55" s="10" cm="1">
        <f t="array" ref="V355">IF(LS[[#This Row],[B/S]]="S",ABS(LS[[#This Row],[Unit]])*(INDEX(LS[NAV at Cost (Average)],MATCH(CONCATENATE((LS[[#This Row],[Frequency]]-1),LS[[#This Row],[Investor ID]]),LS[Unique Code],0),0)),0)</f>
        <v>0</v>
      </c>
      <c r="W355" s="10">
        <f>IF(LS[[#This Row],[BO Transfer]]="YES",LS[[#This Row],[Unit]],)</f>
        <v>0</v>
      </c>
      <c r="X355" s="3">
        <f>SUMIFS(LS[[#Headers],[BO UNIT TRANSFER]]:LS[[#This Row],[BO UNIT TRANSFER]],LS[[#Headers],[Investor ID]]:LS[[#This Row],[Investor ID]],LS[[#This Row],[Investor ID]])</f>
        <v>0</v>
      </c>
    </row>
    <row r="356" spans="2:24">
      <c r="B356" s="8">
        <v>2023</v>
      </c>
      <c r="C356" s="8">
        <v>6</v>
      </c>
      <c r="D356" s="8">
        <v>25</v>
      </c>
      <c r="E356" s="291">
        <f>DATE(LS[[#This Row],[Year]],LS[[#This Row],[Month]],LS[[#This Row],[Day]])</f>
        <v>45102</v>
      </c>
      <c r="F356" t="str" cm="1">
        <f t="array" ref="F356">INDEX(INVESTORS_LIST[INVESTOR NAME],MATCH(LS[[#This Row],[Investor ID]],INVESTORS_LIST[INVESTOR CODE],0),)</f>
        <v>NASRIN AHMED HELA</v>
      </c>
      <c r="G356" s="19" t="s">
        <v>935</v>
      </c>
      <c r="H356" s="8">
        <f>COUNTIF(LS[[#Headers],[Investor ID]]:LS[[#This Row],[Investor ID]],LS[[#This Row],[Investor ID]])</f>
        <v>4</v>
      </c>
      <c r="I356" s="8" t="str">
        <f>CONCATENATE(LS[[#This Row],[Frequency]],LS[[#This Row],[Investor ID]])</f>
        <v>4A00428</v>
      </c>
      <c r="J356" s="20" t="str">
        <f>IF(LS[[#This Row],[B/S]]="B","BUY",(IF(LS[[#This Row],[B/S]]="S","SELL"," ")))</f>
        <v>BUY</v>
      </c>
      <c r="K356" s="8" t="s">
        <v>301</v>
      </c>
      <c r="L356" s="10">
        <v>500000</v>
      </c>
      <c r="M356" s="10"/>
      <c r="N356" s="168">
        <f>LS[[#This Row],[Amount]]/LS[[#This Row],[Unit]]</f>
        <v>10.25010250102501</v>
      </c>
      <c r="O356" s="11">
        <f t="shared" si="49"/>
        <v>48780</v>
      </c>
      <c r="P356" s="11">
        <f>SUMIFS(LS[[#Headers],[Unit]]:LS[[#This Row],[Unit]],LS[[#Headers],[Investor ID]]:LS[[#This Row],[Investor ID]],LS[[#This Row],[Investor ID]])</f>
        <v>59211</v>
      </c>
      <c r="Q356" s="10">
        <v>487800</v>
      </c>
      <c r="R356" s="6">
        <f>LS[[#This Row],[Amount]]-LS[[#This Row],[Unit Capital]]</f>
        <v>12200</v>
      </c>
      <c r="S35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10.1742987303217</v>
      </c>
      <c r="T356" s="168">
        <f t="shared" si="50"/>
        <v>12.552</v>
      </c>
      <c r="U35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56" s="10" cm="1">
        <f t="array" ref="V356">IF(LS[[#This Row],[B/S]]="S",ABS(LS[[#This Row],[Unit]])*(INDEX(LS[NAV at Cost (Average)],MATCH(CONCATENATE((LS[[#This Row],[Frequency]]-1),LS[[#This Row],[Investor ID]]),LS[Unique Code],0),0)),0)</f>
        <v>0</v>
      </c>
      <c r="W356" s="10">
        <f>IF(LS[[#This Row],[BO Transfer]]="YES",LS[[#This Row],[Unit]],)</f>
        <v>0</v>
      </c>
      <c r="X356" s="3">
        <f>SUMIFS(LS[[#Headers],[BO UNIT TRANSFER]]:LS[[#This Row],[BO UNIT TRANSFER]],LS[[#Headers],[Investor ID]]:LS[[#This Row],[Investor ID]],LS[[#This Row],[Investor ID]])</f>
        <v>0</v>
      </c>
    </row>
    <row r="357" spans="2:24">
      <c r="B357" s="8">
        <v>2023</v>
      </c>
      <c r="C357" s="8">
        <v>7</v>
      </c>
      <c r="D357" s="8">
        <v>4</v>
      </c>
      <c r="E357" s="291">
        <f>DATE(LS[[#This Row],[Year]],LS[[#This Row],[Month]],LS[[#This Row],[Day]])</f>
        <v>45111</v>
      </c>
      <c r="F357" t="str" cm="1">
        <f t="array" ref="F357">INDEX(INVESTORS_LIST[INVESTOR NAME],MATCH(LS[[#This Row],[Investor ID]],INVESTORS_LIST[INVESTOR CODE],0),)</f>
        <v>SRIJON GHOSH</v>
      </c>
      <c r="G357" s="25" t="s">
        <v>927</v>
      </c>
      <c r="H357" s="8">
        <f>COUNTIF(LS[[#Headers],[Investor ID]]:LS[[#This Row],[Investor ID]],LS[[#This Row],[Investor ID]])</f>
        <v>2</v>
      </c>
      <c r="I357" s="8" t="str">
        <f>CONCATENATE(LS[[#This Row],[Frequency]],LS[[#This Row],[Investor ID]])</f>
        <v>2A00424</v>
      </c>
      <c r="J357" s="20" t="str">
        <f>IF(LS[[#This Row],[B/S]]="B","BUY",(IF(LS[[#This Row],[B/S]]="S","SELL"," ")))</f>
        <v>SELL</v>
      </c>
      <c r="K357" s="8" t="s">
        <v>866</v>
      </c>
      <c r="L357" s="10">
        <v>-12532.83</v>
      </c>
      <c r="M357" s="10"/>
      <c r="N357" s="168">
        <f>LS[[#This Row],[Amount]]/LS[[#This Row],[Unit]]</f>
        <v>10.255998363338788</v>
      </c>
      <c r="O357" s="11">
        <f t="shared" ref="O357:O362" si="51">Q357/10</f>
        <v>-1222</v>
      </c>
      <c r="P357" s="11">
        <f>SUMIFS(LS[[#Headers],[Unit]]:LS[[#This Row],[Unit]],LS[[#Headers],[Investor ID]]:LS[[#This Row],[Investor ID]],LS[[#This Row],[Investor ID]])</f>
        <v>0</v>
      </c>
      <c r="Q357" s="10">
        <v>-12220</v>
      </c>
      <c r="R357" s="6">
        <f>LS[[#This Row],[Amount]]-LS[[#This Row],[Unit Capital]]</f>
        <v>-312.82999999999993</v>
      </c>
      <c r="S35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57" s="168">
        <f t="shared" ref="T357:T362" si="52">IFERROR(NAV_MKT,0)</f>
        <v>12.552</v>
      </c>
      <c r="U357" s="10">
        <f>IF(LS[[#This Row],[B/S]]="B",0,ABS(LS[[#This Row],[Unit]])*(LS[[#This Row],[NAV (Strike Rate)]]-INDEX(LS[NAV at Cost (Average)],MATCH(CONCATENATE(LS[[#This Row],[Frequency]]-1,LS[[#This Row],[Investor ID]]),LS[Unique Code],0),)))</f>
        <v>532.83000000000027</v>
      </c>
      <c r="V357" s="10" cm="1">
        <f t="array" ref="V357">IF(LS[[#This Row],[B/S]]="S",ABS(LS[[#This Row],[Unit]])*(INDEX(LS[NAV at Cost (Average)],MATCH(CONCATENATE((LS[[#This Row],[Frequency]]-1),LS[[#This Row],[Investor ID]]),LS[Unique Code],0),0)),0)</f>
        <v>12000</v>
      </c>
      <c r="W357" s="10">
        <f>IF(LS[[#This Row],[BO Transfer]]="YES",LS[[#This Row],[Unit]],)</f>
        <v>0</v>
      </c>
      <c r="X357" s="3">
        <f>SUMIFS(LS[[#Headers],[BO UNIT TRANSFER]]:LS[[#This Row],[BO UNIT TRANSFER]],LS[[#Headers],[Investor ID]]:LS[[#This Row],[Investor ID]],LS[[#This Row],[Investor ID]])</f>
        <v>0</v>
      </c>
    </row>
    <row r="358" spans="2:24">
      <c r="B358" s="8">
        <v>2023</v>
      </c>
      <c r="C358" s="8">
        <v>7</v>
      </c>
      <c r="D358" s="8">
        <v>30</v>
      </c>
      <c r="E358" s="291">
        <f>DATE(LS[[#This Row],[Year]],LS[[#This Row],[Month]],LS[[#This Row],[Day]])</f>
        <v>45137</v>
      </c>
      <c r="F358" t="str" cm="1">
        <f t="array" ref="F358">INDEX(INVESTORS_LIST[INVESTOR NAME],MATCH(LS[[#This Row],[Investor ID]],INVESTORS_LIST[INVESTOR CODE],0),)</f>
        <v>MD. MIZANUR RAHMAN</v>
      </c>
      <c r="G358" s="19" t="s">
        <v>566</v>
      </c>
      <c r="H358" s="8">
        <f>COUNTIF(LS[[#Headers],[Investor ID]]:LS[[#This Row],[Investor ID]],LS[[#This Row],[Investor ID]])</f>
        <v>2</v>
      </c>
      <c r="I358" s="8" t="str">
        <f>CONCATENATE(LS[[#This Row],[Frequency]],LS[[#This Row],[Investor ID]])</f>
        <v>2A00319</v>
      </c>
      <c r="J358" s="20" t="str">
        <f>IF(LS[[#This Row],[B/S]]="B","BUY",(IF(LS[[#This Row],[B/S]]="S","SELL"," ")))</f>
        <v>SELL</v>
      </c>
      <c r="K358" s="8" t="s">
        <v>866</v>
      </c>
      <c r="L358" s="10">
        <v>-205340</v>
      </c>
      <c r="M358" s="10"/>
      <c r="N358" s="168">
        <f>LS[[#This Row],[Amount]]/LS[[#This Row],[Unit]]</f>
        <v>10.266999999999999</v>
      </c>
      <c r="O358" s="11">
        <f t="shared" si="51"/>
        <v>-20000</v>
      </c>
      <c r="P358" s="11">
        <f>SUMIFS(LS[[#Headers],[Unit]]:LS[[#This Row],[Unit]],LS[[#Headers],[Investor ID]]:LS[[#This Row],[Investor ID]],LS[[#This Row],[Investor ID]])</f>
        <v>0</v>
      </c>
      <c r="Q358" s="10">
        <v>-200000</v>
      </c>
      <c r="R358" s="6">
        <f>LS[[#This Row],[Amount]]-LS[[#This Row],[Unit Capital]]</f>
        <v>-5340</v>
      </c>
      <c r="S35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58" s="168">
        <f t="shared" si="52"/>
        <v>12.552</v>
      </c>
      <c r="U358" s="10">
        <f>IF(LS[[#This Row],[B/S]]="B",0,ABS(LS[[#This Row],[Unit]])*(LS[[#This Row],[NAV (Strike Rate)]]-INDEX(LS[NAV at Cost (Average)],MATCH(CONCATENATE(LS[[#This Row],[Frequency]]-1,LS[[#This Row],[Investor ID]]),LS[Unique Code],0),)))</f>
        <v>5339.9999999999891</v>
      </c>
      <c r="V358" s="10" cm="1">
        <f t="array" ref="V358">IF(LS[[#This Row],[B/S]]="S",ABS(LS[[#This Row],[Unit]])*(INDEX(LS[NAV at Cost (Average)],MATCH(CONCATENATE((LS[[#This Row],[Frequency]]-1),LS[[#This Row],[Investor ID]]),LS[Unique Code],0),0)),0)</f>
        <v>200000</v>
      </c>
      <c r="W358" s="10">
        <f>IF(LS[[#This Row],[BO Transfer]]="YES",LS[[#This Row],[Unit]],)</f>
        <v>0</v>
      </c>
      <c r="X358" s="3">
        <f>SUMIFS(LS[[#Headers],[BO UNIT TRANSFER]]:LS[[#This Row],[BO UNIT TRANSFER]],LS[[#Headers],[Investor ID]]:LS[[#This Row],[Investor ID]],LS[[#This Row],[Investor ID]])</f>
        <v>0</v>
      </c>
    </row>
    <row r="359" spans="2:24">
      <c r="B359" s="8">
        <v>2023</v>
      </c>
      <c r="C359" s="8">
        <v>7</v>
      </c>
      <c r="D359" s="8">
        <v>30</v>
      </c>
      <c r="E359" s="291">
        <f>DATE(LS[[#This Row],[Year]],LS[[#This Row],[Month]],LS[[#This Row],[Day]])</f>
        <v>45137</v>
      </c>
      <c r="F359" t="str" cm="1">
        <f t="array" ref="F359">INDEX(INVESTORS_LIST[INVESTOR NAME],MATCH(LS[[#This Row],[Investor ID]],INVESTORS_LIST[INVESTOR CODE],0),)</f>
        <v>MAZED AHMED ABDULLAH</v>
      </c>
      <c r="G359" s="19" t="s">
        <v>913</v>
      </c>
      <c r="H359" s="8">
        <f>COUNTIF(LS[[#Headers],[Investor ID]]:LS[[#This Row],[Investor ID]],LS[[#This Row],[Investor ID]])</f>
        <v>5</v>
      </c>
      <c r="I359" s="8" t="str">
        <f>CONCATENATE(LS[[#This Row],[Frequency]],LS[[#This Row],[Investor ID]])</f>
        <v>5A00419</v>
      </c>
      <c r="J359" s="20" t="str">
        <f>IF(LS[[#This Row],[B/S]]="B","BUY",(IF(LS[[#This Row],[B/S]]="S","SELL"," ")))</f>
        <v>SELL</v>
      </c>
      <c r="K359" s="8" t="s">
        <v>866</v>
      </c>
      <c r="L359" s="10">
        <v>-400000</v>
      </c>
      <c r="M359" s="10"/>
      <c r="N359" s="168">
        <f>LS[[#This Row],[Amount]]/LS[[#This Row],[Unit]]</f>
        <v>10.270894851713956</v>
      </c>
      <c r="O359" s="11">
        <f t="shared" si="51"/>
        <v>-38945</v>
      </c>
      <c r="P359" s="11">
        <f>SUMIFS(LS[[#Headers],[Unit]]:LS[[#This Row],[Unit]],LS[[#Headers],[Investor ID]]:LS[[#This Row],[Investor ID]],LS[[#This Row],[Investor ID]])</f>
        <v>20213</v>
      </c>
      <c r="Q359" s="10">
        <v>-389450</v>
      </c>
      <c r="R359" s="6">
        <f>LS[[#This Row],[Amount]]-LS[[#This Row],[Unit Capital]]</f>
        <v>-10550</v>
      </c>
      <c r="S35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10.175160232680835</v>
      </c>
      <c r="T359" s="168">
        <f t="shared" si="52"/>
        <v>12.552</v>
      </c>
      <c r="U359" s="10">
        <f>IF(LS[[#This Row],[B/S]]="B",0,ABS(LS[[#This Row],[Unit]])*(LS[[#This Row],[NAV (Strike Rate)]]-INDEX(LS[NAV at Cost (Average)],MATCH(CONCATENATE(LS[[#This Row],[Frequency]]-1,LS[[#This Row],[Investor ID]]),LS[Unique Code],0),)))</f>
        <v>3728.3847382449308</v>
      </c>
      <c r="V359" s="10" cm="1">
        <f t="array" ref="V359">IF(LS[[#This Row],[B/S]]="S",ABS(LS[[#This Row],[Unit]])*(INDEX(LS[NAV at Cost (Average)],MATCH(CONCATENATE((LS[[#This Row],[Frequency]]-1),LS[[#This Row],[Investor ID]]),LS[Unique Code],0),0)),0)</f>
        <v>396271.61526175513</v>
      </c>
      <c r="W359" s="10">
        <f>IF(LS[[#This Row],[BO Transfer]]="YES",LS[[#This Row],[Unit]],)</f>
        <v>0</v>
      </c>
      <c r="X359" s="3">
        <f>SUMIFS(LS[[#Headers],[BO UNIT TRANSFER]]:LS[[#This Row],[BO UNIT TRANSFER]],LS[[#Headers],[Investor ID]]:LS[[#This Row],[Investor ID]],LS[[#This Row],[Investor ID]])</f>
        <v>0</v>
      </c>
    </row>
    <row r="360" spans="2:24">
      <c r="B360" s="8">
        <v>2023</v>
      </c>
      <c r="C360" s="8">
        <v>8</v>
      </c>
      <c r="D360" s="8">
        <v>3</v>
      </c>
      <c r="E360" s="291">
        <f>DATE(LS[[#This Row],[Year]],LS[[#This Row],[Month]],LS[[#This Row],[Day]])</f>
        <v>45141</v>
      </c>
      <c r="F360" t="str" cm="1">
        <f t="array" ref="F360">INDEX(INVESTORS_LIST[INVESTOR NAME],MATCH(LS[[#This Row],[Investor ID]],INVESTORS_LIST[INVESTOR CODE],0),)</f>
        <v>NASRIN AHMED HELA</v>
      </c>
      <c r="G360" s="19" t="s">
        <v>935</v>
      </c>
      <c r="H360" s="8">
        <f>COUNTIF(LS[[#Headers],[Investor ID]]:LS[[#This Row],[Investor ID]],LS[[#This Row],[Investor ID]])</f>
        <v>5</v>
      </c>
      <c r="I360" s="8" t="str">
        <f>CONCATENATE(LS[[#This Row],[Frequency]],LS[[#This Row],[Investor ID]])</f>
        <v>5A00428</v>
      </c>
      <c r="J360" s="20" t="str">
        <f>IF(LS[[#This Row],[B/S]]="B","BUY",(IF(LS[[#This Row],[B/S]]="S","SELL"," ")))</f>
        <v>SELL</v>
      </c>
      <c r="K360" s="8" t="s">
        <v>866</v>
      </c>
      <c r="L360" s="10">
        <v>-500000</v>
      </c>
      <c r="M360" s="10"/>
      <c r="N360" s="168">
        <f>LS[[#This Row],[Amount]]/LS[[#This Row],[Unit]]</f>
        <v>10.270947597625357</v>
      </c>
      <c r="O360" s="11">
        <f t="shared" si="51"/>
        <v>-48681</v>
      </c>
      <c r="P360" s="11">
        <f>SUMIFS(LS[[#Headers],[Unit]]:LS[[#This Row],[Unit]],LS[[#Headers],[Investor ID]]:LS[[#This Row],[Investor ID]],LS[[#This Row],[Investor ID]])</f>
        <v>10530</v>
      </c>
      <c r="Q360" s="10">
        <v>-486810</v>
      </c>
      <c r="R360" s="6">
        <f>LS[[#This Row],[Amount]]-LS[[#This Row],[Unit Capital]]</f>
        <v>-13190</v>
      </c>
      <c r="S36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10.1742987303217</v>
      </c>
      <c r="T360" s="168">
        <f t="shared" si="52"/>
        <v>12.552</v>
      </c>
      <c r="U360" s="10">
        <f>IF(LS[[#This Row],[B/S]]="B",0,ABS(LS[[#This Row],[Unit]])*(LS[[#This Row],[NAV (Strike Rate)]]-INDEX(LS[NAV at Cost (Average)],MATCH(CONCATENATE(LS[[#This Row],[Frequency]]-1,LS[[#This Row],[Investor ID]]),LS[Unique Code],0),)))</f>
        <v>4704.9635092093031</v>
      </c>
      <c r="V360" s="10" cm="1">
        <f t="array" ref="V360">IF(LS[[#This Row],[B/S]]="S",ABS(LS[[#This Row],[Unit]])*(INDEX(LS[NAV at Cost (Average)],MATCH(CONCATENATE((LS[[#This Row],[Frequency]]-1),LS[[#This Row],[Investor ID]]),LS[Unique Code],0),0)),0)</f>
        <v>495295.03649079072</v>
      </c>
      <c r="W360" s="10">
        <f>IF(LS[[#This Row],[BO Transfer]]="YES",LS[[#This Row],[Unit]],)</f>
        <v>0</v>
      </c>
      <c r="X360" s="3">
        <f>SUMIFS(LS[[#Headers],[BO UNIT TRANSFER]]:LS[[#This Row],[BO UNIT TRANSFER]],LS[[#Headers],[Investor ID]]:LS[[#This Row],[Investor ID]],LS[[#This Row],[Investor ID]])</f>
        <v>0</v>
      </c>
    </row>
    <row r="361" spans="2:24">
      <c r="B361" s="8">
        <v>2023</v>
      </c>
      <c r="C361" s="8">
        <v>8</v>
      </c>
      <c r="D361" s="8">
        <v>7</v>
      </c>
      <c r="E361" s="291">
        <f>DATE(LS[[#This Row],[Year]],LS[[#This Row],[Month]],LS[[#This Row],[Day]])</f>
        <v>45145</v>
      </c>
      <c r="F361" t="str" cm="1">
        <f t="array" ref="F361">INDEX(INVESTORS_LIST[INVESTOR NAME],MATCH(LS[[#This Row],[Investor ID]],INVESTORS_LIST[INVESTOR CODE],0),)</f>
        <v>MEHEDI HASSAN RONI</v>
      </c>
      <c r="G361" s="19" t="s">
        <v>374</v>
      </c>
      <c r="H361" s="8">
        <f>COUNTIF(LS[[#Headers],[Investor ID]]:LS[[#This Row],[Investor ID]],LS[[#This Row],[Investor ID]])</f>
        <v>2</v>
      </c>
      <c r="I361" s="8" t="str">
        <f>CONCATENATE(LS[[#This Row],[Frequency]],LS[[#This Row],[Investor ID]])</f>
        <v>2A00259</v>
      </c>
      <c r="J361" s="20" t="str">
        <f>IF(LS[[#This Row],[B/S]]="B","BUY",(IF(LS[[#This Row],[B/S]]="S","SELL"," ")))</f>
        <v>SELL</v>
      </c>
      <c r="K361" s="8" t="s">
        <v>866</v>
      </c>
      <c r="L361" s="10">
        <v>-300912.11</v>
      </c>
      <c r="M361" s="10"/>
      <c r="N361" s="168">
        <f>LS[[#This Row],[Amount]]/LS[[#This Row],[Unit]]</f>
        <v>10.276000068299012</v>
      </c>
      <c r="O361" s="11">
        <f t="shared" si="51"/>
        <v>-29283</v>
      </c>
      <c r="P361" s="11">
        <f>SUMIFS(LS[[#Headers],[Unit]]:LS[[#This Row],[Unit]],LS[[#Headers],[Investor ID]]:LS[[#This Row],[Investor ID]],LS[[#This Row],[Investor ID]])</f>
        <v>0</v>
      </c>
      <c r="Q361" s="10">
        <v>-292830</v>
      </c>
      <c r="R361" s="6">
        <f>LS[[#This Row],[Amount]]-LS[[#This Row],[Unit Capital]]</f>
        <v>-8082.109999999986</v>
      </c>
      <c r="S36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61" s="168">
        <f t="shared" si="52"/>
        <v>12.552</v>
      </c>
      <c r="U361" s="10">
        <f>IF(LS[[#This Row],[B/S]]="B",0,ABS(LS[[#This Row],[Unit]])*(LS[[#This Row],[NAV (Strike Rate)]]-INDEX(LS[NAV at Cost (Average)],MATCH(CONCATENATE(LS[[#This Row],[Frequency]]-1,LS[[#This Row],[Investor ID]]),LS[Unique Code],0),)))</f>
        <v>912.10999999999501</v>
      </c>
      <c r="V361" s="10" cm="1">
        <f t="array" ref="V361">IF(LS[[#This Row],[B/S]]="S",ABS(LS[[#This Row],[Unit]])*(INDEX(LS[NAV at Cost (Average)],MATCH(CONCATENATE((LS[[#This Row],[Frequency]]-1),LS[[#This Row],[Investor ID]]),LS[Unique Code],0),0)),0)</f>
        <v>300000</v>
      </c>
      <c r="W361" s="10">
        <f>IF(LS[[#This Row],[BO Transfer]]="YES",LS[[#This Row],[Unit]],)</f>
        <v>0</v>
      </c>
      <c r="X361" s="3">
        <f>SUMIFS(LS[[#Headers],[BO UNIT TRANSFER]]:LS[[#This Row],[BO UNIT TRANSFER]],LS[[#Headers],[Investor ID]]:LS[[#This Row],[Investor ID]],LS[[#This Row],[Investor ID]])</f>
        <v>0</v>
      </c>
    </row>
    <row r="362" spans="2:24">
      <c r="B362" s="8">
        <v>2023</v>
      </c>
      <c r="C362" s="8">
        <v>8</v>
      </c>
      <c r="D362" s="8">
        <v>7</v>
      </c>
      <c r="E362" s="291">
        <f>DATE(LS[[#This Row],[Year]],LS[[#This Row],[Month]],LS[[#This Row],[Day]])</f>
        <v>45145</v>
      </c>
      <c r="F362" t="str" cm="1">
        <f t="array" ref="F362">INDEX(INVESTORS_LIST[INVESTOR NAME],MATCH(LS[[#This Row],[Investor ID]],INVESTORS_LIST[INVESTOR CODE],0),)</f>
        <v>BRAC BANK LIMITED</v>
      </c>
      <c r="G362" s="19" t="s">
        <v>655</v>
      </c>
      <c r="H362" s="8">
        <f>COUNTIF(LS[[#Headers],[Investor ID]]:LS[[#This Row],[Investor ID]],LS[[#This Row],[Investor ID]])</f>
        <v>2</v>
      </c>
      <c r="I362" s="8" t="str">
        <f>CONCATENATE(LS[[#This Row],[Frequency]],LS[[#This Row],[Investor ID]])</f>
        <v>2A00354</v>
      </c>
      <c r="J362" s="20" t="str">
        <f>IF(LS[[#This Row],[B/S]]="B","BUY",(IF(LS[[#This Row],[B/S]]="S","SELL"," ")))</f>
        <v>SELL</v>
      </c>
      <c r="K362" s="8" t="s">
        <v>866</v>
      </c>
      <c r="L362" s="10">
        <v>-2569000</v>
      </c>
      <c r="M362" s="10"/>
      <c r="N362" s="168">
        <f>LS[[#This Row],[Amount]]/LS[[#This Row],[Unit]]</f>
        <v>10.276</v>
      </c>
      <c r="O362" s="11">
        <f t="shared" si="51"/>
        <v>-250000</v>
      </c>
      <c r="P362" s="11">
        <f>SUMIFS(LS[[#Headers],[Unit]]:LS[[#This Row],[Unit]],LS[[#Headers],[Investor ID]]:LS[[#This Row],[Investor ID]],LS[[#This Row],[Investor ID]])</f>
        <v>2250000</v>
      </c>
      <c r="Q362" s="10">
        <v>-2500000</v>
      </c>
      <c r="R362" s="6">
        <f>LS[[#This Row],[Amount]]-LS[[#This Row],[Unit Capital]]</f>
        <v>-69000</v>
      </c>
      <c r="S36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62" s="168">
        <f t="shared" si="52"/>
        <v>12.552</v>
      </c>
      <c r="U362" s="10">
        <f>IF(LS[[#This Row],[B/S]]="B",0,ABS(LS[[#This Row],[Unit]])*(LS[[#This Row],[NAV (Strike Rate)]]-INDEX(LS[NAV at Cost (Average)],MATCH(CONCATENATE(LS[[#This Row],[Frequency]]-1,LS[[#This Row],[Investor ID]]),LS[Unique Code],0),)))</f>
        <v>68999.999999999956</v>
      </c>
      <c r="V362" s="10" cm="1">
        <f t="array" ref="V362">IF(LS[[#This Row],[B/S]]="S",ABS(LS[[#This Row],[Unit]])*(INDEX(LS[NAV at Cost (Average)],MATCH(CONCATENATE((LS[[#This Row],[Frequency]]-1),LS[[#This Row],[Investor ID]]),LS[Unique Code],0),0)),0)</f>
        <v>2500000</v>
      </c>
      <c r="W362" s="10">
        <f>IF(LS[[#This Row],[BO Transfer]]="YES",LS[[#This Row],[Unit]],)</f>
        <v>0</v>
      </c>
      <c r="X362" s="3">
        <f>SUMIFS(LS[[#Headers],[BO UNIT TRANSFER]]:LS[[#This Row],[BO UNIT TRANSFER]],LS[[#Headers],[Investor ID]]:LS[[#This Row],[Investor ID]],LS[[#This Row],[Investor ID]])</f>
        <v>0</v>
      </c>
    </row>
    <row r="363" spans="2:24">
      <c r="B363" s="8">
        <v>2023</v>
      </c>
      <c r="C363" s="8">
        <v>8</v>
      </c>
      <c r="D363" s="8">
        <v>8</v>
      </c>
      <c r="E363" s="291">
        <f>DATE(LS[[#This Row],[Year]],LS[[#This Row],[Month]],LS[[#This Row],[Day]])</f>
        <v>45146</v>
      </c>
      <c r="F363" t="str" cm="1">
        <f t="array" ref="F363">INDEX(INVESTORS_LIST[INVESTOR NAME],MATCH(LS[[#This Row],[Investor ID]],INVESTORS_LIST[INVESTOR CODE],0),)</f>
        <v>NAYEEMA TASNEEM</v>
      </c>
      <c r="G363" s="19" t="s">
        <v>679</v>
      </c>
      <c r="H363" s="8">
        <f>COUNTIF(LS[[#Headers],[Investor ID]]:LS[[#This Row],[Investor ID]],LS[[#This Row],[Investor ID]])</f>
        <v>7</v>
      </c>
      <c r="I363" s="8" t="str">
        <f>CONCATENATE(LS[[#This Row],[Frequency]],LS[[#This Row],[Investor ID]])</f>
        <v>7A00366</v>
      </c>
      <c r="J363" s="20" t="str">
        <f>IF(LS[[#This Row],[B/S]]="B","BUY",(IF(LS[[#This Row],[B/S]]="S","SELL"," ")))</f>
        <v>SELL</v>
      </c>
      <c r="K363" s="8" t="s">
        <v>866</v>
      </c>
      <c r="L363" s="10">
        <v>-120000</v>
      </c>
      <c r="M363" s="10"/>
      <c r="N363" s="168">
        <f>LS[[#This Row],[Amount]]/LS[[#This Row],[Unit]]</f>
        <v>10.275732145915397</v>
      </c>
      <c r="O363" s="11">
        <f t="shared" ref="O363:O368" si="53">Q363/10</f>
        <v>-11678</v>
      </c>
      <c r="P363" s="11">
        <f>SUMIFS(LS[[#Headers],[Unit]]:LS[[#This Row],[Unit]],LS[[#Headers],[Investor ID]]:LS[[#This Row],[Investor ID]],LS[[#This Row],[Investor ID]])</f>
        <v>2351</v>
      </c>
      <c r="Q363" s="10">
        <v>-116780</v>
      </c>
      <c r="R363" s="6">
        <f>LS[[#This Row],[Amount]]-LS[[#This Row],[Unit Capital]]</f>
        <v>-3220</v>
      </c>
      <c r="S36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63" s="168">
        <f t="shared" ref="T363:T368" si="54">IFERROR(NAV_MKT,0)</f>
        <v>12.552</v>
      </c>
      <c r="U363" s="10">
        <f>IF(LS[[#This Row],[B/S]]="B",0,ABS(LS[[#This Row],[Unit]])*(LS[[#This Row],[NAV (Strike Rate)]]-INDEX(LS[NAV at Cost (Average)],MATCH(CONCATENATE(LS[[#This Row],[Frequency]]-1,LS[[#This Row],[Investor ID]]),LS[Unique Code],0),)))</f>
        <v>3220.0000000000032</v>
      </c>
      <c r="V363" s="10" cm="1">
        <f t="array" ref="V363">IF(LS[[#This Row],[B/S]]="S",ABS(LS[[#This Row],[Unit]])*(INDEX(LS[NAV at Cost (Average)],MATCH(CONCATENATE((LS[[#This Row],[Frequency]]-1),LS[[#This Row],[Investor ID]]),LS[Unique Code],0),0)),0)</f>
        <v>116780</v>
      </c>
      <c r="W363" s="10">
        <f>IF(LS[[#This Row],[BO Transfer]]="YES",LS[[#This Row],[Unit]],)</f>
        <v>0</v>
      </c>
      <c r="X363" s="3">
        <f>SUMIFS(LS[[#Headers],[BO UNIT TRANSFER]]:LS[[#This Row],[BO UNIT TRANSFER]],LS[[#Headers],[Investor ID]]:LS[[#This Row],[Investor ID]],LS[[#This Row],[Investor ID]])</f>
        <v>0</v>
      </c>
    </row>
    <row r="364" spans="2:24">
      <c r="B364" s="8">
        <v>2023</v>
      </c>
      <c r="C364" s="8">
        <v>8</v>
      </c>
      <c r="D364" s="8">
        <v>17</v>
      </c>
      <c r="E364" s="291">
        <f>DATE(LS[[#This Row],[Year]],LS[[#This Row],[Month]],LS[[#This Row],[Day]])</f>
        <v>45155</v>
      </c>
      <c r="F364" t="str" cm="1">
        <f t="array" ref="F364">INDEX(INVESTORS_LIST[INVESTOR NAME],MATCH(LS[[#This Row],[Investor ID]],INVESTORS_LIST[INVESTOR CODE],0),)</f>
        <v>MAYA RANI SAHA</v>
      </c>
      <c r="G364" s="19" t="s">
        <v>96</v>
      </c>
      <c r="H364" s="8">
        <f>COUNTIF(LS[[#Headers],[Investor ID]]:LS[[#This Row],[Investor ID]],LS[[#This Row],[Investor ID]])</f>
        <v>2</v>
      </c>
      <c r="I364" s="8" t="str">
        <f>CONCATENATE(LS[[#This Row],[Frequency]],LS[[#This Row],[Investor ID]])</f>
        <v>2A00088</v>
      </c>
      <c r="J364" s="20" t="str">
        <f>IF(LS[[#This Row],[B/S]]="B","BUY",(IF(LS[[#This Row],[B/S]]="S","SELL"," ")))</f>
        <v>SELL</v>
      </c>
      <c r="K364" s="8" t="s">
        <v>866</v>
      </c>
      <c r="L364" s="10">
        <v>-1050000</v>
      </c>
      <c r="M364" s="10"/>
      <c r="N364" s="168">
        <f>LS[[#This Row],[Amount]]/LS[[#This Row],[Unit]]</f>
        <v>10.28504260946224</v>
      </c>
      <c r="O364" s="11">
        <f t="shared" si="53"/>
        <v>-102090</v>
      </c>
      <c r="P364" s="11">
        <f>SUMIFS(LS[[#Headers],[Unit]]:LS[[#This Row],[Unit]],LS[[#Headers],[Investor ID]]:LS[[#This Row],[Investor ID]],LS[[#This Row],[Investor ID]])</f>
        <v>97910</v>
      </c>
      <c r="Q364" s="10">
        <v>-1020900</v>
      </c>
      <c r="R364" s="6">
        <f>LS[[#This Row],[Amount]]-LS[[#This Row],[Unit Capital]]</f>
        <v>-29100</v>
      </c>
      <c r="S36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64" s="168">
        <f t="shared" si="54"/>
        <v>12.552</v>
      </c>
      <c r="U364" s="10">
        <f>IF(LS[[#This Row],[B/S]]="B",0,ABS(LS[[#This Row],[Unit]])*(LS[[#This Row],[NAV (Strike Rate)]]-INDEX(LS[NAV at Cost (Average)],MATCH(CONCATENATE(LS[[#This Row],[Frequency]]-1,LS[[#This Row],[Investor ID]]),LS[Unique Code],0),)))</f>
        <v>29100.00000000004</v>
      </c>
      <c r="V364" s="10" cm="1">
        <f t="array" ref="V364">IF(LS[[#This Row],[B/S]]="S",ABS(LS[[#This Row],[Unit]])*(INDEX(LS[NAV at Cost (Average)],MATCH(CONCATENATE((LS[[#This Row],[Frequency]]-1),LS[[#This Row],[Investor ID]]),LS[Unique Code],0),0)),0)</f>
        <v>1020900</v>
      </c>
      <c r="W364" s="10">
        <f>IF(LS[[#This Row],[BO Transfer]]="YES",LS[[#This Row],[Unit]],)</f>
        <v>0</v>
      </c>
      <c r="X364" s="3">
        <f>SUMIFS(LS[[#Headers],[BO UNIT TRANSFER]]:LS[[#This Row],[BO UNIT TRANSFER]],LS[[#Headers],[Investor ID]]:LS[[#This Row],[Investor ID]],LS[[#This Row],[Investor ID]])</f>
        <v>0</v>
      </c>
    </row>
    <row r="365" spans="2:24">
      <c r="B365" s="8">
        <v>2023</v>
      </c>
      <c r="C365" s="8">
        <v>9</v>
      </c>
      <c r="D365" s="8">
        <v>8</v>
      </c>
      <c r="E365" s="291">
        <f>DATE(LS[[#This Row],[Year]],LS[[#This Row],[Month]],LS[[#This Row],[Day]])</f>
        <v>45177</v>
      </c>
      <c r="F365" t="str" cm="1">
        <f t="array" ref="F365">INDEX(INVESTORS_LIST[INVESTOR NAME],MATCH(LS[[#This Row],[Investor ID]],INVESTORS_LIST[INVESTOR CODE],0),)</f>
        <v>TANVIR AHMED SIDDIQUI</v>
      </c>
      <c r="G365" s="19" t="s">
        <v>39</v>
      </c>
      <c r="H365" s="8">
        <f>COUNTIF(LS[[#Headers],[Investor ID]]:LS[[#This Row],[Investor ID]],LS[[#This Row],[Investor ID]])</f>
        <v>3</v>
      </c>
      <c r="I365" s="8" t="str">
        <f>CONCATENATE(LS[[#This Row],[Frequency]],LS[[#This Row],[Investor ID]])</f>
        <v>3A00032</v>
      </c>
      <c r="J365" s="8" t="str">
        <f>IF(LS[[#This Row],[B/S]]="B","BUY",(IF(LS[[#This Row],[B/S]]="S","SELL"," ")))</f>
        <v>BUY</v>
      </c>
      <c r="K365" s="8" t="s">
        <v>301</v>
      </c>
      <c r="L365" s="10">
        <v>50000</v>
      </c>
      <c r="M365" s="10"/>
      <c r="N365" s="168">
        <f>LS[[#This Row],[Amount]]/LS[[#This Row],[Unit]]</f>
        <v>10.311404413281089</v>
      </c>
      <c r="O365" s="11">
        <f t="shared" si="53"/>
        <v>4849</v>
      </c>
      <c r="P365" s="11">
        <f>SUMIFS(LS[[#Headers],[Unit]]:LS[[#This Row],[Unit]],LS[[#Headers],[Investor ID]]:LS[[#This Row],[Investor ID]],LS[[#This Row],[Investor ID]])</f>
        <v>14884</v>
      </c>
      <c r="Q365" s="10">
        <v>48490</v>
      </c>
      <c r="R365" s="6">
        <f>LS[[#This Row],[Amount]]-LS[[#This Row],[Unit Capital]]</f>
        <v>1510</v>
      </c>
      <c r="S36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10.077936038699274</v>
      </c>
      <c r="T365" s="168">
        <f t="shared" si="54"/>
        <v>12.552</v>
      </c>
      <c r="U36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65" s="10" cm="1">
        <f t="array" ref="V365">IF(LS[[#This Row],[B/S]]="S",ABS(LS[[#This Row],[Unit]])*(INDEX(LS[NAV at Cost (Average)],MATCH(CONCATENATE((LS[[#This Row],[Frequency]]-1),LS[[#This Row],[Investor ID]]),LS[Unique Code],0),0)),0)</f>
        <v>0</v>
      </c>
      <c r="W365" s="10">
        <f>IF(LS[[#This Row],[BO Transfer]]="YES",LS[[#This Row],[Unit]],)</f>
        <v>0</v>
      </c>
      <c r="X365" s="3">
        <f>SUMIFS(LS[[#Headers],[BO UNIT TRANSFER]]:LS[[#This Row],[BO UNIT TRANSFER]],LS[[#Headers],[Investor ID]]:LS[[#This Row],[Investor ID]],LS[[#This Row],[Investor ID]])</f>
        <v>0</v>
      </c>
    </row>
    <row r="366" spans="2:24">
      <c r="B366" s="8">
        <v>2023</v>
      </c>
      <c r="C366" s="8">
        <v>9</v>
      </c>
      <c r="D366" s="8">
        <v>12</v>
      </c>
      <c r="E366" s="291">
        <f>DATE(LS[[#This Row],[Year]],LS[[#This Row],[Month]],LS[[#This Row],[Day]])</f>
        <v>45181</v>
      </c>
      <c r="F366" t="str" cm="1">
        <f t="array" ref="F366">INDEX(INVESTORS_LIST[INVESTOR NAME],MATCH(LS[[#This Row],[Investor ID]],INVESTORS_LIST[INVESTOR CODE],0),)</f>
        <v>ANJANA SAHA</v>
      </c>
      <c r="G366" s="25" t="s">
        <v>21</v>
      </c>
      <c r="H366" s="8">
        <f>COUNTIF(LS[[#Headers],[Investor ID]]:LS[[#This Row],[Investor ID]],LS[[#This Row],[Investor ID]])</f>
        <v>2</v>
      </c>
      <c r="I366" s="8" t="str">
        <f>CONCATENATE(LS[[#This Row],[Frequency]],LS[[#This Row],[Investor ID]])</f>
        <v>2A00014</v>
      </c>
      <c r="J366" s="21" t="str">
        <f>IF(LS[[#This Row],[B/S]]="B","BUY",(IF(LS[[#This Row],[B/S]]="S","SELL"," ")))</f>
        <v>SELL</v>
      </c>
      <c r="K366" s="8" t="s">
        <v>866</v>
      </c>
      <c r="L366" s="10">
        <v>-1546535</v>
      </c>
      <c r="M366" s="10"/>
      <c r="N366" s="168">
        <f>LS[[#This Row],[Amount]]/LS[[#This Row],[Unit]]</f>
        <v>10.310233333333333</v>
      </c>
      <c r="O366" s="11">
        <f t="shared" si="53"/>
        <v>-150000</v>
      </c>
      <c r="P366" s="11">
        <f>SUMIFS(LS[[#Headers],[Unit]]:LS[[#This Row],[Unit]],LS[[#Headers],[Investor ID]]:LS[[#This Row],[Investor ID]],LS[[#This Row],[Investor ID]])</f>
        <v>0</v>
      </c>
      <c r="Q366" s="10">
        <v>-1500000</v>
      </c>
      <c r="R366" s="6">
        <f>LS[[#This Row],[Amount]]-LS[[#This Row],[Unit Capital]]</f>
        <v>-46535</v>
      </c>
      <c r="S36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66" s="168">
        <f t="shared" si="54"/>
        <v>12.552</v>
      </c>
      <c r="U366" s="10">
        <f>IF(LS[[#This Row],[B/S]]="B",0,ABS(LS[[#This Row],[Unit]])*(LS[[#This Row],[NAV (Strike Rate)]]-INDEX(LS[NAV at Cost (Average)],MATCH(CONCATENATE(LS[[#This Row],[Frequency]]-1,LS[[#This Row],[Investor ID]]),LS[Unique Code],0),)))</f>
        <v>46534.999999999905</v>
      </c>
      <c r="V366" s="10" cm="1">
        <f t="array" ref="V366">IF(LS[[#This Row],[B/S]]="S",ABS(LS[[#This Row],[Unit]])*(INDEX(LS[NAV at Cost (Average)],MATCH(CONCATENATE((LS[[#This Row],[Frequency]]-1),LS[[#This Row],[Investor ID]]),LS[Unique Code],0),0)),0)</f>
        <v>1500000</v>
      </c>
      <c r="W366" s="10">
        <f>IF(LS[[#This Row],[BO Transfer]]="YES",LS[[#This Row],[Unit]],)</f>
        <v>0</v>
      </c>
      <c r="X366" s="3">
        <f>SUMIFS(LS[[#Headers],[BO UNIT TRANSFER]]:LS[[#This Row],[BO UNIT TRANSFER]],LS[[#Headers],[Investor ID]]:LS[[#This Row],[Investor ID]],LS[[#This Row],[Investor ID]])</f>
        <v>0</v>
      </c>
    </row>
    <row r="367" spans="2:24">
      <c r="B367" s="8">
        <v>2023</v>
      </c>
      <c r="C367" s="8">
        <v>10</v>
      </c>
      <c r="D367" s="8">
        <v>22</v>
      </c>
      <c r="E367" s="291">
        <f>DATE(LS[[#This Row],[Year]],LS[[#This Row],[Month]],LS[[#This Row],[Day]])</f>
        <v>45221</v>
      </c>
      <c r="F367" t="str" cm="1">
        <f t="array" ref="F367">INDEX(INVESTORS_LIST[INVESTOR NAME],MATCH(LS[[#This Row],[Investor ID]],INVESTORS_LIST[INVESTOR CODE],0),)</f>
        <v>JHARNA AHMED</v>
      </c>
      <c r="G367" s="25" t="s">
        <v>337</v>
      </c>
      <c r="H367" s="8">
        <f>COUNTIF(LS[[#Headers],[Investor ID]]:LS[[#This Row],[Investor ID]],LS[[#This Row],[Investor ID]])</f>
        <v>2</v>
      </c>
      <c r="I367" s="8" t="str">
        <f>CONCATENATE(LS[[#This Row],[Frequency]],LS[[#This Row],[Investor ID]])</f>
        <v>2A00240</v>
      </c>
      <c r="J367" s="21" t="str">
        <f>IF(LS[[#This Row],[B/S]]="B","BUY",(IF(LS[[#This Row],[B/S]]="S","SELL"," ")))</f>
        <v>SELL</v>
      </c>
      <c r="K367" s="8" t="s">
        <v>866</v>
      </c>
      <c r="L367" s="10">
        <v>-515400</v>
      </c>
      <c r="M367" s="10"/>
      <c r="N367" s="168">
        <f>LS[[#This Row],[Amount]]/LS[[#This Row],[Unit]]</f>
        <v>10.308</v>
      </c>
      <c r="O367" s="11">
        <f t="shared" si="53"/>
        <v>-50000</v>
      </c>
      <c r="P367" s="11">
        <f>SUMIFS(LS[[#Headers],[Unit]]:LS[[#This Row],[Unit]],LS[[#Headers],[Investor ID]]:LS[[#This Row],[Investor ID]],LS[[#This Row],[Investor ID]])</f>
        <v>0</v>
      </c>
      <c r="Q367" s="10">
        <v>-500000</v>
      </c>
      <c r="R367" s="6">
        <f>LS[[#This Row],[Amount]]-LS[[#This Row],[Unit Capital]]</f>
        <v>-15400</v>
      </c>
      <c r="S36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67" s="168">
        <f t="shared" si="54"/>
        <v>12.552</v>
      </c>
      <c r="U367" s="10">
        <f>IF(LS[[#This Row],[B/S]]="B",0,ABS(LS[[#This Row],[Unit]])*(LS[[#This Row],[NAV (Strike Rate)]]-INDEX(LS[NAV at Cost (Average)],MATCH(CONCATENATE(LS[[#This Row],[Frequency]]-1,LS[[#This Row],[Investor ID]]),LS[Unique Code],0),)))</f>
        <v>15399.999999999991</v>
      </c>
      <c r="V367" s="10" cm="1">
        <f t="array" ref="V367">IF(LS[[#This Row],[B/S]]="S",ABS(LS[[#This Row],[Unit]])*(INDEX(LS[NAV at Cost (Average)],MATCH(CONCATENATE((LS[[#This Row],[Frequency]]-1),LS[[#This Row],[Investor ID]]),LS[Unique Code],0),0)),0)</f>
        <v>500000</v>
      </c>
      <c r="W367" s="10">
        <f>IF(LS[[#This Row],[BO Transfer]]="YES",LS[[#This Row],[Unit]],)</f>
        <v>0</v>
      </c>
      <c r="X367" s="3">
        <f>SUMIFS(LS[[#Headers],[BO UNIT TRANSFER]]:LS[[#This Row],[BO UNIT TRANSFER]],LS[[#Headers],[Investor ID]]:LS[[#This Row],[Investor ID]],LS[[#This Row],[Investor ID]])</f>
        <v>0</v>
      </c>
    </row>
    <row r="368" spans="2:24">
      <c r="B368" s="8">
        <v>2023</v>
      </c>
      <c r="C368" s="8">
        <v>10</v>
      </c>
      <c r="D368" s="8">
        <v>25</v>
      </c>
      <c r="E368" s="291">
        <f>DATE(LS[[#This Row],[Year]],LS[[#This Row],[Month]],LS[[#This Row],[Day]])</f>
        <v>45224</v>
      </c>
      <c r="F368" t="str" cm="1">
        <f t="array" ref="F368">INDEX(INVESTORS_LIST[INVESTOR NAME],MATCH(LS[[#This Row],[Investor ID]],INVESTORS_LIST[INVESTOR CODE],0),)</f>
        <v>ASMAR OSMAN</v>
      </c>
      <c r="G368" s="25" t="s">
        <v>605</v>
      </c>
      <c r="H368" s="8">
        <f>COUNTIF(LS[[#Headers],[Investor ID]]:LS[[#This Row],[Investor ID]],LS[[#This Row],[Investor ID]])</f>
        <v>2</v>
      </c>
      <c r="I368" s="8" t="str">
        <f>CONCATENATE(LS[[#This Row],[Frequency]],LS[[#This Row],[Investor ID]])</f>
        <v>2A00340</v>
      </c>
      <c r="J368" s="21" t="str">
        <f>IF(LS[[#This Row],[B/S]]="B","BUY",(IF(LS[[#This Row],[B/S]]="S","SELL"," ")))</f>
        <v>SELL</v>
      </c>
      <c r="K368" s="8" t="s">
        <v>866</v>
      </c>
      <c r="L368" s="10">
        <v>-1030800</v>
      </c>
      <c r="M368" s="10"/>
      <c r="N368" s="168">
        <f>LS[[#This Row],[Amount]]/LS[[#This Row],[Unit]]</f>
        <v>10.308</v>
      </c>
      <c r="O368" s="11">
        <f t="shared" si="53"/>
        <v>-100000</v>
      </c>
      <c r="P368" s="11">
        <f>SUMIFS(LS[[#Headers],[Unit]]:LS[[#This Row],[Unit]],LS[[#Headers],[Investor ID]]:LS[[#This Row],[Investor ID]],LS[[#This Row],[Investor ID]])</f>
        <v>0</v>
      </c>
      <c r="Q368" s="10">
        <v>-1000000</v>
      </c>
      <c r="R368" s="6">
        <f>LS[[#This Row],[Amount]]-LS[[#This Row],[Unit Capital]]</f>
        <v>-30800</v>
      </c>
      <c r="S36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68" s="168">
        <f t="shared" si="54"/>
        <v>12.552</v>
      </c>
      <c r="U368" s="10">
        <f>IF(LS[[#This Row],[B/S]]="B",0,ABS(LS[[#This Row],[Unit]])*(LS[[#This Row],[NAV (Strike Rate)]]-INDEX(LS[NAV at Cost (Average)],MATCH(CONCATENATE(LS[[#This Row],[Frequency]]-1,LS[[#This Row],[Investor ID]]),LS[Unique Code],0),)))</f>
        <v>30799.999999999982</v>
      </c>
      <c r="V368" s="10" cm="1">
        <f t="array" ref="V368">IF(LS[[#This Row],[B/S]]="S",ABS(LS[[#This Row],[Unit]])*(INDEX(LS[NAV at Cost (Average)],MATCH(CONCATENATE((LS[[#This Row],[Frequency]]-1),LS[[#This Row],[Investor ID]]),LS[Unique Code],0),0)),0)</f>
        <v>1000000</v>
      </c>
      <c r="W368" s="10">
        <f>IF(LS[[#This Row],[BO Transfer]]="YES",LS[[#This Row],[Unit]],)</f>
        <v>0</v>
      </c>
      <c r="X368" s="3">
        <f>SUMIFS(LS[[#Headers],[BO UNIT TRANSFER]]:LS[[#This Row],[BO UNIT TRANSFER]],LS[[#Headers],[Investor ID]]:LS[[#This Row],[Investor ID]],LS[[#This Row],[Investor ID]])</f>
        <v>0</v>
      </c>
    </row>
    <row r="369" spans="2:24">
      <c r="B369" s="8">
        <v>2023</v>
      </c>
      <c r="C369" s="8">
        <v>10</v>
      </c>
      <c r="D369" s="8">
        <v>30</v>
      </c>
      <c r="E369" s="291">
        <f>DATE(LS[[#This Row],[Year]],LS[[#This Row],[Month]],LS[[#This Row],[Day]])</f>
        <v>45229</v>
      </c>
      <c r="F369" t="str" cm="1">
        <f t="array" ref="F369">INDEX(INVESTORS_LIST[INVESTOR NAME],MATCH(LS[[#This Row],[Investor ID]],INVESTORS_LIST[INVESTOR CODE],0),)</f>
        <v>RAIHAN RASHID MAJUMDAR</v>
      </c>
      <c r="G369" s="19" t="s">
        <v>216</v>
      </c>
      <c r="H369" s="8">
        <f>COUNTIF(LS[[#Headers],[Investor ID]]:LS[[#This Row],[Investor ID]],LS[[#This Row],[Investor ID]])</f>
        <v>3</v>
      </c>
      <c r="I369" s="8" t="str">
        <f>CONCATENATE(LS[[#This Row],[Frequency]],LS[[#This Row],[Investor ID]])</f>
        <v>3A00183</v>
      </c>
      <c r="J369" s="21" t="str">
        <f>IF(LS[[#This Row],[B/S]]="B","BUY",(IF(LS[[#This Row],[B/S]]="S","SELL"," ")))</f>
        <v>SELL</v>
      </c>
      <c r="K369" s="8" t="s">
        <v>866</v>
      </c>
      <c r="L369" s="10">
        <v>-2000000</v>
      </c>
      <c r="M369" s="10"/>
      <c r="N369" s="168">
        <f>LS[[#This Row],[Amount]]/LS[[#This Row],[Unit]]</f>
        <v>10.310022372748548</v>
      </c>
      <c r="O369" s="11">
        <f t="shared" ref="O369:O374" si="55">Q369/10</f>
        <v>-193986</v>
      </c>
      <c r="P369" s="11">
        <f>SUMIFS(LS[[#Headers],[Unit]]:LS[[#This Row],[Unit]],LS[[#Headers],[Investor ID]]:LS[[#This Row],[Investor ID]],LS[[#This Row],[Investor ID]])</f>
        <v>205106</v>
      </c>
      <c r="Q369" s="10">
        <v>-1939860</v>
      </c>
      <c r="R369" s="6">
        <f>LS[[#This Row],[Amount]]-LS[[#This Row],[Unit Capital]]</f>
        <v>-60140</v>
      </c>
      <c r="S36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69" s="168">
        <f t="shared" ref="T369:T374" si="56">IFERROR(NAV_MKT,0)</f>
        <v>12.552</v>
      </c>
      <c r="U369" s="10">
        <f>IF(LS[[#This Row],[B/S]]="B",0,ABS(LS[[#This Row],[Unit]])*(LS[[#This Row],[NAV (Strike Rate)]]-INDEX(LS[NAV at Cost (Average)],MATCH(CONCATENATE(LS[[#This Row],[Frequency]]-1,LS[[#This Row],[Investor ID]]),LS[Unique Code],0),)))</f>
        <v>60139.999999999927</v>
      </c>
      <c r="V369" s="10" cm="1">
        <f t="array" ref="V369">IF(LS[[#This Row],[B/S]]="S",ABS(LS[[#This Row],[Unit]])*(INDEX(LS[NAV at Cost (Average)],MATCH(CONCATENATE((LS[[#This Row],[Frequency]]-1),LS[[#This Row],[Investor ID]]),LS[Unique Code],0),0)),0)</f>
        <v>1939860</v>
      </c>
      <c r="W369" s="10">
        <f>IF(LS[[#This Row],[BO Transfer]]="YES",LS[[#This Row],[Unit]],)</f>
        <v>0</v>
      </c>
      <c r="X369" s="3">
        <f>SUMIFS(LS[[#Headers],[BO UNIT TRANSFER]]:LS[[#This Row],[BO UNIT TRANSFER]],LS[[#Headers],[Investor ID]]:LS[[#This Row],[Investor ID]],LS[[#This Row],[Investor ID]])</f>
        <v>0</v>
      </c>
    </row>
    <row r="370" spans="2:24">
      <c r="B370" s="8">
        <v>2023</v>
      </c>
      <c r="C370" s="8">
        <v>10</v>
      </c>
      <c r="D370" s="8">
        <v>31</v>
      </c>
      <c r="E370" s="291">
        <f>DATE(LS[[#This Row],[Year]],LS[[#This Row],[Month]],LS[[#This Row],[Day]])</f>
        <v>45230</v>
      </c>
      <c r="F370" t="str" cm="1">
        <f t="array" ref="F370">INDEX(INVESTORS_LIST[INVESTOR NAME],MATCH(LS[[#This Row],[Investor ID]],INVESTORS_LIST[INVESTOR CODE],0),)</f>
        <v>MD. BABUL MIAH</v>
      </c>
      <c r="G370" s="25" t="s">
        <v>904</v>
      </c>
      <c r="H370" s="8">
        <f>COUNTIF(LS[[#Headers],[Investor ID]]:LS[[#This Row],[Investor ID]],LS[[#This Row],[Investor ID]])</f>
        <v>2</v>
      </c>
      <c r="I370" s="8" t="str">
        <f>CONCATENATE(LS[[#This Row],[Frequency]],LS[[#This Row],[Investor ID]])</f>
        <v>2A00412</v>
      </c>
      <c r="J370" s="21" t="str">
        <f>IF(LS[[#This Row],[B/S]]="B","BUY",(IF(LS[[#This Row],[B/S]]="S","SELL"," ")))</f>
        <v>SELL</v>
      </c>
      <c r="K370" s="8" t="s">
        <v>866</v>
      </c>
      <c r="L370" s="10">
        <v>-20578.759999999998</v>
      </c>
      <c r="M370" s="10"/>
      <c r="N370" s="168">
        <f>LS[[#This Row],[Amount]]/LS[[#This Row],[Unit]]</f>
        <v>10.309999999999999</v>
      </c>
      <c r="O370" s="11">
        <f t="shared" si="55"/>
        <v>-1996</v>
      </c>
      <c r="P370" s="11">
        <f>SUMIFS(LS[[#Headers],[Unit]]:LS[[#This Row],[Unit]],LS[[#Headers],[Investor ID]]:LS[[#This Row],[Investor ID]],LS[[#This Row],[Investor ID]])</f>
        <v>0</v>
      </c>
      <c r="Q370" s="10">
        <v>-19960</v>
      </c>
      <c r="R370" s="6">
        <f>LS[[#This Row],[Amount]]-LS[[#This Row],[Unit Capital]]</f>
        <v>-618.7599999999984</v>
      </c>
      <c r="S37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70" s="168">
        <f t="shared" si="56"/>
        <v>12.552</v>
      </c>
      <c r="U370" s="10">
        <f>IF(LS[[#This Row],[B/S]]="B",0,ABS(LS[[#This Row],[Unit]])*(LS[[#This Row],[NAV (Strike Rate)]]-INDEX(LS[NAV at Cost (Average)],MATCH(CONCATENATE(LS[[#This Row],[Frequency]]-1,LS[[#This Row],[Investor ID]]),LS[Unique Code],0),)))</f>
        <v>578.75999999999692</v>
      </c>
      <c r="V370" s="10" cm="1">
        <f t="array" ref="V370">IF(LS[[#This Row],[B/S]]="S",ABS(LS[[#This Row],[Unit]])*(INDEX(LS[NAV at Cost (Average)],MATCH(CONCATENATE((LS[[#This Row],[Frequency]]-1),LS[[#This Row],[Investor ID]]),LS[Unique Code],0),0)),0)</f>
        <v>20000</v>
      </c>
      <c r="W370" s="10">
        <f>IF(LS[[#This Row],[BO Transfer]]="YES",LS[[#This Row],[Unit]],)</f>
        <v>0</v>
      </c>
      <c r="X370" s="3">
        <f>SUMIFS(LS[[#Headers],[BO UNIT TRANSFER]]:LS[[#This Row],[BO UNIT TRANSFER]],LS[[#Headers],[Investor ID]]:LS[[#This Row],[Investor ID]],LS[[#This Row],[Investor ID]])</f>
        <v>0</v>
      </c>
    </row>
    <row r="371" spans="2:24">
      <c r="B371" s="8">
        <v>2023</v>
      </c>
      <c r="C371" s="8">
        <v>11</v>
      </c>
      <c r="D371" s="8">
        <v>9</v>
      </c>
      <c r="E371" s="291">
        <f>DATE(LS[[#This Row],[Year]],LS[[#This Row],[Month]],LS[[#This Row],[Day]])</f>
        <v>45239</v>
      </c>
      <c r="F371" t="str" cm="1">
        <f t="array" ref="F371">INDEX(INVESTORS_LIST[INVESTOR NAME],MATCH(LS[[#This Row],[Investor ID]],INVESTORS_LIST[INVESTOR CODE],0),)</f>
        <v>MD. ARIFUL ISLAM</v>
      </c>
      <c r="G371" s="19" t="s">
        <v>95</v>
      </c>
      <c r="H371" s="8">
        <f>COUNTIF(LS[[#Headers],[Investor ID]]:LS[[#This Row],[Investor ID]],LS[[#This Row],[Investor ID]])</f>
        <v>2</v>
      </c>
      <c r="I371" s="8" t="str">
        <f>CONCATENATE(LS[[#This Row],[Frequency]],LS[[#This Row],[Investor ID]])</f>
        <v>2A00087</v>
      </c>
      <c r="J371" s="21" t="str">
        <f>IF(LS[[#This Row],[B/S]]="B","BUY",(IF(LS[[#This Row],[B/S]]="S","SELL"," ")))</f>
        <v>SELL</v>
      </c>
      <c r="K371" s="8" t="s">
        <v>866</v>
      </c>
      <c r="L371" s="10">
        <v>-283091.98</v>
      </c>
      <c r="M371" s="10" t="s">
        <v>957</v>
      </c>
      <c r="N371" s="168">
        <f>LS[[#This Row],[Amount]]/LS[[#This Row],[Unit]]</f>
        <v>10.309999999999999</v>
      </c>
      <c r="O371" s="11">
        <f t="shared" si="55"/>
        <v>-27458</v>
      </c>
      <c r="P371" s="11">
        <f>SUMIFS(LS[[#Headers],[Unit]]:LS[[#This Row],[Unit]],LS[[#Headers],[Investor ID]]:LS[[#This Row],[Investor ID]],LS[[#This Row],[Investor ID]])</f>
        <v>472542</v>
      </c>
      <c r="Q371" s="10">
        <v>-274580</v>
      </c>
      <c r="R371" s="6">
        <f>LS[[#This Row],[Amount]]-LS[[#This Row],[Unit Capital]]</f>
        <v>-8511.9799999999814</v>
      </c>
      <c r="S37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71" s="168">
        <f t="shared" si="56"/>
        <v>12.552</v>
      </c>
      <c r="U371" s="10">
        <f>IF(LS[[#This Row],[B/S]]="B",0,ABS(LS[[#This Row],[Unit]])*(LS[[#This Row],[NAV (Strike Rate)]]-INDEX(LS[NAV at Cost (Average)],MATCH(CONCATENATE(LS[[#This Row],[Frequency]]-1,LS[[#This Row],[Investor ID]]),LS[Unique Code],0),)))</f>
        <v>8511.979999999965</v>
      </c>
      <c r="V371" s="10" cm="1">
        <f t="array" ref="V371">IF(LS[[#This Row],[B/S]]="S",ABS(LS[[#This Row],[Unit]])*(INDEX(LS[NAV at Cost (Average)],MATCH(CONCATENATE((LS[[#This Row],[Frequency]]-1),LS[[#This Row],[Investor ID]]),LS[Unique Code],0),0)),0)</f>
        <v>274580</v>
      </c>
      <c r="W371" s="10">
        <f>IF(LS[[#This Row],[BO Transfer]]="YES",LS[[#This Row],[Unit]],)</f>
        <v>-27458</v>
      </c>
      <c r="X371" s="3">
        <f>SUMIFS(LS[[#Headers],[BO UNIT TRANSFER]]:LS[[#This Row],[BO UNIT TRANSFER]],LS[[#Headers],[Investor ID]]:LS[[#This Row],[Investor ID]],LS[[#This Row],[Investor ID]])</f>
        <v>-27458</v>
      </c>
    </row>
    <row r="372" spans="2:24">
      <c r="B372" s="8">
        <v>2023</v>
      </c>
      <c r="C372" s="8">
        <v>11</v>
      </c>
      <c r="D372" s="8">
        <v>13</v>
      </c>
      <c r="E372" s="291">
        <f>DATE(LS[[#This Row],[Year]],LS[[#This Row],[Month]],LS[[#This Row],[Day]])</f>
        <v>45243</v>
      </c>
      <c r="F372" t="str" cm="1">
        <f t="array" ref="F372">INDEX(INVESTORS_LIST[INVESTOR NAME],MATCH(LS[[#This Row],[Investor ID]],INVESTORS_LIST[INVESTOR CODE],0),)</f>
        <v>FARDINA HAFIZ</v>
      </c>
      <c r="G372" s="19" t="s">
        <v>59</v>
      </c>
      <c r="H372" s="8">
        <f>COUNTIF(LS[[#Headers],[Investor ID]]:LS[[#This Row],[Investor ID]],LS[[#This Row],[Investor ID]])</f>
        <v>2</v>
      </c>
      <c r="I372" s="8" t="str">
        <f>CONCATENATE(LS[[#This Row],[Frequency]],LS[[#This Row],[Investor ID]])</f>
        <v>2A00052</v>
      </c>
      <c r="J372" s="21" t="str">
        <f>IF(LS[[#This Row],[B/S]]="B","BUY",(IF(LS[[#This Row],[B/S]]="S","SELL"," ")))</f>
        <v>SELL</v>
      </c>
      <c r="K372" s="8" t="s">
        <v>866</v>
      </c>
      <c r="L372" s="10">
        <v>-206220</v>
      </c>
      <c r="M372" s="10"/>
      <c r="N372" s="168">
        <f>LS[[#This Row],[Amount]]/LS[[#This Row],[Unit]]</f>
        <v>10.311</v>
      </c>
      <c r="O372" s="11">
        <f t="shared" si="55"/>
        <v>-20000</v>
      </c>
      <c r="P372" s="11">
        <f>SUMIFS(LS[[#Headers],[Unit]]:LS[[#This Row],[Unit]],LS[[#Headers],[Investor ID]]:LS[[#This Row],[Investor ID]],LS[[#This Row],[Investor ID]])</f>
        <v>0</v>
      </c>
      <c r="Q372" s="10">
        <v>-200000</v>
      </c>
      <c r="R372" s="6">
        <f>LS[[#This Row],[Amount]]-LS[[#This Row],[Unit Capital]]</f>
        <v>-6220</v>
      </c>
      <c r="S37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72" s="168">
        <f t="shared" si="56"/>
        <v>12.552</v>
      </c>
      <c r="U372" s="10">
        <f>IF(LS[[#This Row],[B/S]]="B",0,ABS(LS[[#This Row],[Unit]])*(LS[[#This Row],[NAV (Strike Rate)]]-INDEX(LS[NAV at Cost (Average)],MATCH(CONCATENATE(LS[[#This Row],[Frequency]]-1,LS[[#This Row],[Investor ID]]),LS[Unique Code],0),)))</f>
        <v>6219.9999999999991</v>
      </c>
      <c r="V372" s="10" cm="1">
        <f t="array" ref="V372">IF(LS[[#This Row],[B/S]]="S",ABS(LS[[#This Row],[Unit]])*(INDEX(LS[NAV at Cost (Average)],MATCH(CONCATENATE((LS[[#This Row],[Frequency]]-1),LS[[#This Row],[Investor ID]]),LS[Unique Code],0),0)),0)</f>
        <v>200000</v>
      </c>
      <c r="W372" s="10">
        <f>IF(LS[[#This Row],[BO Transfer]]="YES",LS[[#This Row],[Unit]],)</f>
        <v>0</v>
      </c>
      <c r="X372" s="3">
        <f>SUMIFS(LS[[#Headers],[BO UNIT TRANSFER]]:LS[[#This Row],[BO UNIT TRANSFER]],LS[[#Headers],[Investor ID]]:LS[[#This Row],[Investor ID]],LS[[#This Row],[Investor ID]])</f>
        <v>0</v>
      </c>
    </row>
    <row r="373" spans="2:24">
      <c r="B373" s="8">
        <v>2023</v>
      </c>
      <c r="C373" s="8">
        <v>11</v>
      </c>
      <c r="D373" s="8">
        <v>14</v>
      </c>
      <c r="E373" s="291">
        <f>DATE(LS[[#This Row],[Year]],LS[[#This Row],[Month]],LS[[#This Row],[Day]])</f>
        <v>45244</v>
      </c>
      <c r="F373" t="str" cm="1">
        <f t="array" ref="F373">INDEX(INVESTORS_LIST[INVESTOR NAME],MATCH(LS[[#This Row],[Investor ID]],INVESTORS_LIST[INVESTOR CODE],0),)</f>
        <v>M A QUAYOOM</v>
      </c>
      <c r="G373" s="19" t="s">
        <v>51</v>
      </c>
      <c r="H373" s="8">
        <f>COUNTIF(LS[[#Headers],[Investor ID]]:LS[[#This Row],[Investor ID]],LS[[#This Row],[Investor ID]])</f>
        <v>2</v>
      </c>
      <c r="I373" s="8" t="str">
        <f>CONCATENATE(LS[[#This Row],[Frequency]],LS[[#This Row],[Investor ID]])</f>
        <v>2A00044</v>
      </c>
      <c r="J373" s="21" t="str">
        <f>IF(LS[[#This Row],[B/S]]="B","BUY",(IF(LS[[#This Row],[B/S]]="S","SELL"," ")))</f>
        <v>SELL</v>
      </c>
      <c r="K373" s="8" t="s">
        <v>866</v>
      </c>
      <c r="L373" s="10">
        <v>-618660</v>
      </c>
      <c r="M373" s="10"/>
      <c r="N373" s="168">
        <f>LS[[#This Row],[Amount]]/LS[[#This Row],[Unit]]</f>
        <v>10.311</v>
      </c>
      <c r="O373" s="11">
        <f t="shared" si="55"/>
        <v>-60000</v>
      </c>
      <c r="P373" s="11">
        <f>SUMIFS(LS[[#Headers],[Unit]]:LS[[#This Row],[Unit]],LS[[#Headers],[Investor ID]]:LS[[#This Row],[Investor ID]],LS[[#This Row],[Investor ID]])</f>
        <v>0</v>
      </c>
      <c r="Q373" s="10">
        <v>-600000</v>
      </c>
      <c r="R373" s="6">
        <f>LS[[#This Row],[Amount]]-LS[[#This Row],[Unit Capital]]</f>
        <v>-18660</v>
      </c>
      <c r="S37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73" s="168">
        <f t="shared" si="56"/>
        <v>12.552</v>
      </c>
      <c r="U373" s="10">
        <f>IF(LS[[#This Row],[B/S]]="B",0,ABS(LS[[#This Row],[Unit]])*(LS[[#This Row],[NAV (Strike Rate)]]-INDEX(LS[NAV at Cost (Average)],MATCH(CONCATENATE(LS[[#This Row],[Frequency]]-1,LS[[#This Row],[Investor ID]]),LS[Unique Code],0),)))</f>
        <v>18659.999999999996</v>
      </c>
      <c r="V373" s="10" cm="1">
        <f t="array" ref="V373">IF(LS[[#This Row],[B/S]]="S",ABS(LS[[#This Row],[Unit]])*(INDEX(LS[NAV at Cost (Average)],MATCH(CONCATENATE((LS[[#This Row],[Frequency]]-1),LS[[#This Row],[Investor ID]]),LS[Unique Code],0),0)),0)</f>
        <v>600000</v>
      </c>
      <c r="W373" s="10">
        <f>IF(LS[[#This Row],[BO Transfer]]="YES",LS[[#This Row],[Unit]],)</f>
        <v>0</v>
      </c>
      <c r="X373" s="3">
        <f>SUMIFS(LS[[#Headers],[BO UNIT TRANSFER]]:LS[[#This Row],[BO UNIT TRANSFER]],LS[[#Headers],[Investor ID]]:LS[[#This Row],[Investor ID]],LS[[#This Row],[Investor ID]])</f>
        <v>0</v>
      </c>
    </row>
    <row r="374" spans="2:24">
      <c r="B374" s="8">
        <v>2023</v>
      </c>
      <c r="C374" s="8">
        <v>11</v>
      </c>
      <c r="D374" s="8">
        <v>20</v>
      </c>
      <c r="E374" s="291">
        <f>DATE(LS[[#This Row],[Year]],LS[[#This Row],[Month]],LS[[#This Row],[Day]])</f>
        <v>45250</v>
      </c>
      <c r="F374" t="str" cm="1">
        <f t="array" ref="F374">INDEX(INVESTORS_LIST[INVESTOR NAME],MATCH(LS[[#This Row],[Investor ID]],INVESTORS_LIST[INVESTOR CODE],0),)</f>
        <v>MUBTASIN KABIR</v>
      </c>
      <c r="G374" s="25" t="s">
        <v>1099</v>
      </c>
      <c r="H374" s="8">
        <f>COUNTIF(LS[[#Headers],[Investor ID]]:LS[[#This Row],[Investor ID]],LS[[#This Row],[Investor ID]])</f>
        <v>2</v>
      </c>
      <c r="I374" s="8" t="str">
        <f>CONCATENATE(LS[[#This Row],[Frequency]],LS[[#This Row],[Investor ID]])</f>
        <v>2A00499</v>
      </c>
      <c r="J374" s="8" t="str">
        <f>IF(LS[[#This Row],[B/S]]="B","BUY",(IF(LS[[#This Row],[B/S]]="S","SELL"," ")))</f>
        <v>SELL</v>
      </c>
      <c r="K374" s="8" t="s">
        <v>866</v>
      </c>
      <c r="L374" s="10">
        <v>-251535.82</v>
      </c>
      <c r="M374" s="10"/>
      <c r="N374" s="168">
        <f>LS[[#This Row],[Amount]]/LS[[#This Row],[Unit]]</f>
        <v>10.30800016392099</v>
      </c>
      <c r="O374" s="11">
        <f t="shared" si="55"/>
        <v>-24402</v>
      </c>
      <c r="P374" s="11">
        <f>SUMIFS(LS[[#Headers],[Unit]]:LS[[#This Row],[Unit]],LS[[#Headers],[Investor ID]]:LS[[#This Row],[Investor ID]],LS[[#This Row],[Investor ID]])</f>
        <v>0</v>
      </c>
      <c r="Q374" s="10">
        <v>-244020</v>
      </c>
      <c r="R374" s="6">
        <f>LS[[#This Row],[Amount]]-LS[[#This Row],[Unit Capital]]</f>
        <v>-7515.820000000007</v>
      </c>
      <c r="S37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74" s="168">
        <f t="shared" si="56"/>
        <v>12.552</v>
      </c>
      <c r="U374" s="10">
        <f>IF(LS[[#This Row],[B/S]]="B",0,ABS(LS[[#This Row],[Unit]])*(LS[[#This Row],[NAV (Strike Rate)]]-INDEX(LS[NAV at Cost (Average)],MATCH(CONCATENATE(LS[[#This Row],[Frequency]]-1,LS[[#This Row],[Investor ID]]),LS[Unique Code],0),)))</f>
        <v>1535.8200000000172</v>
      </c>
      <c r="V374" s="10" cm="1">
        <f t="array" ref="V374">IF(LS[[#This Row],[B/S]]="S",ABS(LS[[#This Row],[Unit]])*(INDEX(LS[NAV at Cost (Average)],MATCH(CONCATENATE((LS[[#This Row],[Frequency]]-1),LS[[#This Row],[Investor ID]]),LS[Unique Code],0),0)),0)</f>
        <v>250000</v>
      </c>
      <c r="W374" s="10">
        <f>IF(LS[[#This Row],[BO Transfer]]="YES",LS[[#This Row],[Unit]],)</f>
        <v>0</v>
      </c>
      <c r="X374" s="3">
        <f>SUMIFS(LS[[#Headers],[BO UNIT TRANSFER]]:LS[[#This Row],[BO UNIT TRANSFER]],LS[[#Headers],[Investor ID]]:LS[[#This Row],[Investor ID]],LS[[#This Row],[Investor ID]])</f>
        <v>0</v>
      </c>
    </row>
    <row r="375" spans="2:24">
      <c r="B375" s="8">
        <v>2023</v>
      </c>
      <c r="C375" s="8">
        <v>11</v>
      </c>
      <c r="D375" s="8">
        <v>28</v>
      </c>
      <c r="E375" s="291">
        <f>DATE(LS[[#This Row],[Year]],LS[[#This Row],[Month]],LS[[#This Row],[Day]])</f>
        <v>45258</v>
      </c>
      <c r="F375" t="str" cm="1">
        <f t="array" ref="F375">INDEX(INVESTORS_LIST[INVESTOR NAME],MATCH(LS[[#This Row],[Investor ID]],INVESTORS_LIST[INVESTOR CODE],0),)</f>
        <v>SHIULI RANI SAHA</v>
      </c>
      <c r="G375" s="25" t="s">
        <v>651</v>
      </c>
      <c r="H375" s="8">
        <f>COUNTIF(LS[[#Headers],[Investor ID]]:LS[[#This Row],[Investor ID]],LS[[#This Row],[Investor ID]])</f>
        <v>2</v>
      </c>
      <c r="I375" s="8" t="str">
        <f>CONCATENATE(LS[[#This Row],[Frequency]],LS[[#This Row],[Investor ID]])</f>
        <v>2A00352</v>
      </c>
      <c r="J375" s="8" t="str">
        <f>IF(LS[[#This Row],[B/S]]="B","BUY",(IF(LS[[#This Row],[B/S]]="S","SELL"," ")))</f>
        <v>SELL</v>
      </c>
      <c r="K375" s="8" t="s">
        <v>866</v>
      </c>
      <c r="L375" s="10">
        <v>-103100</v>
      </c>
      <c r="M375" s="10"/>
      <c r="N375" s="168">
        <f>LS[[#This Row],[Amount]]/LS[[#This Row],[Unit]]</f>
        <v>10.31</v>
      </c>
      <c r="O375" s="11">
        <f t="shared" ref="O375:O384" si="57">Q375/10</f>
        <v>-10000</v>
      </c>
      <c r="P375" s="11">
        <f>SUMIFS(LS[[#Headers],[Unit]]:LS[[#This Row],[Unit]],LS[[#Headers],[Investor ID]]:LS[[#This Row],[Investor ID]],LS[[#This Row],[Investor ID]])</f>
        <v>0</v>
      </c>
      <c r="Q375" s="10">
        <v>-100000</v>
      </c>
      <c r="R375" s="6">
        <f>LS[[#This Row],[Amount]]-LS[[#This Row],[Unit Capital]]</f>
        <v>-3100</v>
      </c>
      <c r="S37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75" s="168">
        <f t="shared" ref="T375:T384" si="58">IFERROR(NAV_MKT,0)</f>
        <v>12.552</v>
      </c>
      <c r="U375" s="10">
        <f>IF(LS[[#This Row],[B/S]]="B",0,ABS(LS[[#This Row],[Unit]])*(LS[[#This Row],[NAV (Strike Rate)]]-INDEX(LS[NAV at Cost (Average)],MATCH(CONCATENATE(LS[[#This Row],[Frequency]]-1,LS[[#This Row],[Investor ID]]),LS[Unique Code],0),)))</f>
        <v>3100.000000000005</v>
      </c>
      <c r="V375" s="10" cm="1">
        <f t="array" ref="V375">IF(LS[[#This Row],[B/S]]="S",ABS(LS[[#This Row],[Unit]])*(INDEX(LS[NAV at Cost (Average)],MATCH(CONCATENATE((LS[[#This Row],[Frequency]]-1),LS[[#This Row],[Investor ID]]),LS[Unique Code],0),0)),0)</f>
        <v>100000</v>
      </c>
      <c r="W375" s="10">
        <f>IF(LS[[#This Row],[BO Transfer]]="YES",LS[[#This Row],[Unit]],)</f>
        <v>0</v>
      </c>
      <c r="X375" s="3">
        <f>SUMIFS(LS[[#Headers],[BO UNIT TRANSFER]]:LS[[#This Row],[BO UNIT TRANSFER]],LS[[#Headers],[Investor ID]]:LS[[#This Row],[Investor ID]],LS[[#This Row],[Investor ID]])</f>
        <v>0</v>
      </c>
    </row>
    <row r="376" spans="2:24">
      <c r="B376" s="8">
        <v>2023</v>
      </c>
      <c r="C376" s="8">
        <v>12</v>
      </c>
      <c r="D376" s="8">
        <v>18</v>
      </c>
      <c r="E376" s="291">
        <f>DATE(LS[[#This Row],[Year]],LS[[#This Row],[Month]],LS[[#This Row],[Day]])</f>
        <v>45278</v>
      </c>
      <c r="F376" t="str" cm="1">
        <f t="array" ref="F376">INDEX(INVESTORS_LIST[INVESTOR NAME],MATCH(LS[[#This Row],[Investor ID]],INVESTORS_LIST[INVESTOR CODE],0),)</f>
        <v>AMIT KANTI SARKER</v>
      </c>
      <c r="G376" s="19" t="s">
        <v>191</v>
      </c>
      <c r="H376" s="8">
        <f>COUNTIF(LS[[#Headers],[Investor ID]]:LS[[#This Row],[Investor ID]],LS[[#This Row],[Investor ID]])</f>
        <v>2</v>
      </c>
      <c r="I376" s="8" t="str">
        <f>CONCATENATE(LS[[#This Row],[Frequency]],LS[[#This Row],[Investor ID]])</f>
        <v>2A00158</v>
      </c>
      <c r="J376" s="8" t="str">
        <f>IF(LS[[#This Row],[B/S]]="B","BUY",(IF(LS[[#This Row],[B/S]]="S","SELL"," ")))</f>
        <v>SELL</v>
      </c>
      <c r="K376" s="8" t="s">
        <v>866</v>
      </c>
      <c r="L376" s="10">
        <v>-1033000</v>
      </c>
      <c r="M376" s="10"/>
      <c r="N376" s="168">
        <f>LS[[#This Row],[Amount]]/LS[[#This Row],[Unit]]</f>
        <v>10.33</v>
      </c>
      <c r="O376" s="11">
        <f t="shared" si="57"/>
        <v>-100000</v>
      </c>
      <c r="P376" s="11">
        <f>SUMIFS(LS[[#Headers],[Unit]]:LS[[#This Row],[Unit]],LS[[#Headers],[Investor ID]]:LS[[#This Row],[Investor ID]],LS[[#This Row],[Investor ID]])</f>
        <v>0</v>
      </c>
      <c r="Q376" s="10">
        <v>-1000000</v>
      </c>
      <c r="R376" s="6">
        <f>LS[[#This Row],[Amount]]-LS[[#This Row],[Unit Capital]]</f>
        <v>-33000</v>
      </c>
      <c r="S37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76" s="168">
        <f t="shared" si="58"/>
        <v>12.552</v>
      </c>
      <c r="U376" s="10">
        <f>IF(LS[[#This Row],[B/S]]="B",0,ABS(LS[[#This Row],[Unit]])*(LS[[#This Row],[NAV (Strike Rate)]]-INDEX(LS[NAV at Cost (Average)],MATCH(CONCATENATE(LS[[#This Row],[Frequency]]-1,LS[[#This Row],[Investor ID]]),LS[Unique Code],0),)))</f>
        <v>33000.000000000007</v>
      </c>
      <c r="V376" s="10" cm="1">
        <f t="array" ref="V376">IF(LS[[#This Row],[B/S]]="S",ABS(LS[[#This Row],[Unit]])*(INDEX(LS[NAV at Cost (Average)],MATCH(CONCATENATE((LS[[#This Row],[Frequency]]-1),LS[[#This Row],[Investor ID]]),LS[Unique Code],0),0)),0)</f>
        <v>1000000</v>
      </c>
      <c r="W376" s="10">
        <f>IF(LS[[#This Row],[BO Transfer]]="YES",LS[[#This Row],[Unit]],)</f>
        <v>0</v>
      </c>
      <c r="X376" s="3">
        <f>SUMIFS(LS[[#Headers],[BO UNIT TRANSFER]]:LS[[#This Row],[BO UNIT TRANSFER]],LS[[#Headers],[Investor ID]]:LS[[#This Row],[Investor ID]],LS[[#This Row],[Investor ID]])</f>
        <v>0</v>
      </c>
    </row>
    <row r="377" spans="2:24">
      <c r="B377" s="8">
        <v>2023</v>
      </c>
      <c r="C377" s="8">
        <v>12</v>
      </c>
      <c r="D377" s="8">
        <v>27</v>
      </c>
      <c r="E377" s="291">
        <f>DATE(LS[[#This Row],[Year]],LS[[#This Row],[Month]],LS[[#This Row],[Day]])</f>
        <v>45287</v>
      </c>
      <c r="F377" t="str" cm="1">
        <f t="array" ref="F377">INDEX(INVESTORS_LIST[INVESTOR NAME],MATCH(LS[[#This Row],[Investor ID]],INVESTORS_LIST[INVESTOR CODE],0),)</f>
        <v>EKUSH WEALTH MANAGEMENT LIMITED</v>
      </c>
      <c r="G377" s="19" t="s">
        <v>4</v>
      </c>
      <c r="H377" s="8">
        <f>COUNTIF(LS[[#Headers],[Investor ID]]:LS[[#This Row],[Investor ID]],LS[[#This Row],[Investor ID]])</f>
        <v>11</v>
      </c>
      <c r="I377" s="8" t="str">
        <f>CONCATENATE(LS[[#This Row],[Frequency]],LS[[#This Row],[Investor ID]])</f>
        <v>11A00003</v>
      </c>
      <c r="J377" s="8" t="str">
        <f>IF(LS[[#This Row],[B/S]]="B","BUY",(IF(LS[[#This Row],[B/S]]="S","SELL"," ")))</f>
        <v>BUY</v>
      </c>
      <c r="K377" s="8" t="s">
        <v>301</v>
      </c>
      <c r="L377" s="10">
        <v>3200000</v>
      </c>
      <c r="M377" s="10"/>
      <c r="N377" s="168">
        <f>LS[[#This Row],[Amount]]/LS[[#This Row],[Unit]]</f>
        <v>10.319984004024795</v>
      </c>
      <c r="O377" s="11">
        <f t="shared" si="57"/>
        <v>310078</v>
      </c>
      <c r="P377" s="11">
        <f>SUMIFS(LS[[#Headers],[Unit]]:LS[[#This Row],[Unit]],LS[[#Headers],[Investor ID]]:LS[[#This Row],[Investor ID]],LS[[#This Row],[Investor ID]])</f>
        <v>961578</v>
      </c>
      <c r="Q377" s="10">
        <v>3100780</v>
      </c>
      <c r="R377" s="6">
        <f>LS[[#This Row],[Amount]]-LS[[#This Row],[Unit Capital]]</f>
        <v>99220</v>
      </c>
      <c r="S37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10.083982570970267</v>
      </c>
      <c r="T377" s="168">
        <f t="shared" si="58"/>
        <v>12.552</v>
      </c>
      <c r="U37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77" s="10" cm="1">
        <f t="array" ref="V377">IF(LS[[#This Row],[B/S]]="S",ABS(LS[[#This Row],[Unit]])*(INDEX(LS[NAV at Cost (Average)],MATCH(CONCATENATE((LS[[#This Row],[Frequency]]-1),LS[[#This Row],[Investor ID]]),LS[Unique Code],0),0)),0)</f>
        <v>0</v>
      </c>
      <c r="W377" s="10">
        <f>IF(LS[[#This Row],[BO Transfer]]="YES",LS[[#This Row],[Unit]],)</f>
        <v>0</v>
      </c>
      <c r="X377" s="3">
        <f>SUMIFS(LS[[#Headers],[BO UNIT TRANSFER]]:LS[[#This Row],[BO UNIT TRANSFER]],LS[[#Headers],[Investor ID]]:LS[[#This Row],[Investor ID]],LS[[#This Row],[Investor ID]])</f>
        <v>0</v>
      </c>
    </row>
    <row r="378" spans="2:24">
      <c r="B378" s="8">
        <v>2023</v>
      </c>
      <c r="C378" s="8">
        <v>12</v>
      </c>
      <c r="D378" s="8">
        <v>28</v>
      </c>
      <c r="E378" s="291">
        <f>DATE(LS[[#This Row],[Year]],LS[[#This Row],[Month]],LS[[#This Row],[Day]])</f>
        <v>45288</v>
      </c>
      <c r="F378" t="str" cm="1">
        <f t="array" ref="F378">INDEX(INVESTORS_LIST[INVESTOR NAME],MATCH(LS[[#This Row],[Investor ID]],INVESTORS_LIST[INVESTOR CODE],0),)</f>
        <v>EKUSH WEALTH MANAGEMENT LIMITED</v>
      </c>
      <c r="G378" s="19" t="s">
        <v>4</v>
      </c>
      <c r="H378" s="8">
        <f>COUNTIF(LS[[#Headers],[Investor ID]]:LS[[#This Row],[Investor ID]],LS[[#This Row],[Investor ID]])</f>
        <v>12</v>
      </c>
      <c r="I378" s="8" t="str">
        <f>CONCATENATE(LS[[#This Row],[Frequency]],LS[[#This Row],[Investor ID]])</f>
        <v>12A00003</v>
      </c>
      <c r="J378" s="8" t="str">
        <f>IF(LS[[#This Row],[B/S]]="B","BUY",(IF(LS[[#This Row],[B/S]]="S","SELL"," ")))</f>
        <v>BUY</v>
      </c>
      <c r="K378" s="8" t="s">
        <v>301</v>
      </c>
      <c r="L378" s="10">
        <v>500000</v>
      </c>
      <c r="M378" s="10"/>
      <c r="N378" s="168">
        <f>LS[[#This Row],[Amount]]/LS[[#This Row],[Unit]]</f>
        <v>10.319917440660475</v>
      </c>
      <c r="O378" s="11">
        <f t="shared" si="57"/>
        <v>48450</v>
      </c>
      <c r="P378" s="11">
        <f>SUMIFS(LS[[#Headers],[Unit]]:LS[[#This Row],[Unit]],LS[[#Headers],[Investor ID]]:LS[[#This Row],[Investor ID]],LS[[#This Row],[Investor ID]])</f>
        <v>1010028</v>
      </c>
      <c r="Q378" s="10">
        <v>484500</v>
      </c>
      <c r="R378" s="6">
        <f>LS[[#This Row],[Amount]]-LS[[#This Row],[Unit Capital]]</f>
        <v>15500</v>
      </c>
      <c r="S37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10.095300122995052</v>
      </c>
      <c r="T378" s="168">
        <f t="shared" si="58"/>
        <v>12.552</v>
      </c>
      <c r="U37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78" s="10" cm="1">
        <f t="array" ref="V378">IF(LS[[#This Row],[B/S]]="S",ABS(LS[[#This Row],[Unit]])*(INDEX(LS[NAV at Cost (Average)],MATCH(CONCATENATE((LS[[#This Row],[Frequency]]-1),LS[[#This Row],[Investor ID]]),LS[Unique Code],0),0)),0)</f>
        <v>0</v>
      </c>
      <c r="W378" s="10">
        <f>IF(LS[[#This Row],[BO Transfer]]="YES",LS[[#This Row],[Unit]],)</f>
        <v>0</v>
      </c>
      <c r="X378" s="3">
        <f>SUMIFS(LS[[#Headers],[BO UNIT TRANSFER]]:LS[[#This Row],[BO UNIT TRANSFER]],LS[[#Headers],[Investor ID]]:LS[[#This Row],[Investor ID]],LS[[#This Row],[Investor ID]])</f>
        <v>0</v>
      </c>
    </row>
    <row r="379" spans="2:24">
      <c r="B379" s="8">
        <v>2024</v>
      </c>
      <c r="C379" s="8">
        <v>1</v>
      </c>
      <c r="D379" s="8">
        <v>2</v>
      </c>
      <c r="E379" s="291">
        <f>DATE(LS[[#This Row],[Year]],LS[[#This Row],[Month]],LS[[#This Row],[Day]])</f>
        <v>45293</v>
      </c>
      <c r="F379" t="str" cm="1">
        <f t="array" ref="F379">INDEX(INVESTORS_LIST[INVESTOR NAME],MATCH(LS[[#This Row],[Investor ID]],INVESTORS_LIST[INVESTOR CODE],0),)</f>
        <v>ZINAT MAHRUKH BANU</v>
      </c>
      <c r="G379" s="25" t="s">
        <v>692</v>
      </c>
      <c r="H379" s="8">
        <f>COUNTIF(LS[[#Headers],[Investor ID]]:LS[[#This Row],[Investor ID]],LS[[#This Row],[Investor ID]])</f>
        <v>2</v>
      </c>
      <c r="I379" s="8" t="str">
        <f>CONCATENATE(LS[[#This Row],[Frequency]],LS[[#This Row],[Investor ID]])</f>
        <v>2A00373</v>
      </c>
      <c r="J379" s="8" t="str">
        <f>IF(LS[[#This Row],[B/S]]="B","BUY",(IF(LS[[#This Row],[B/S]]="S","SELL"," ")))</f>
        <v>BUY</v>
      </c>
      <c r="K379" s="8" t="s">
        <v>301</v>
      </c>
      <c r="L379" s="10">
        <v>5000</v>
      </c>
      <c r="M379" s="10"/>
      <c r="N379" s="168">
        <f>LS[[#This Row],[Amount]]/LS[[#This Row],[Unit]]</f>
        <v>10.330578512396695</v>
      </c>
      <c r="O379" s="11">
        <f>Q379/10</f>
        <v>484</v>
      </c>
      <c r="P379" s="11">
        <f>SUMIFS(LS[[#Headers],[Unit]]:LS[[#This Row],[Unit]],LS[[#Headers],[Investor ID]]:LS[[#This Row],[Investor ID]],LS[[#This Row],[Investor ID]])</f>
        <v>20484</v>
      </c>
      <c r="Q379" s="10">
        <v>4840</v>
      </c>
      <c r="R379" s="6">
        <f>LS[[#This Row],[Amount]]-LS[[#This Row],[Unit Capital]]</f>
        <v>160</v>
      </c>
      <c r="S37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10.007810974419058</v>
      </c>
      <c r="T379" s="168">
        <f>IFERROR(NAV_MKT,0)</f>
        <v>12.552</v>
      </c>
      <c r="U37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79" s="10" cm="1">
        <f t="array" ref="V379">IF(LS[[#This Row],[B/S]]="S",ABS(LS[[#This Row],[Unit]])*(INDEX(LS[NAV at Cost (Average)],MATCH(CONCATENATE((LS[[#This Row],[Frequency]]-1),LS[[#This Row],[Investor ID]]),LS[Unique Code],0),0)),0)</f>
        <v>0</v>
      </c>
      <c r="W379" s="10">
        <f>IF(LS[[#This Row],[BO Transfer]]="YES",LS[[#This Row],[Unit]],)</f>
        <v>0</v>
      </c>
      <c r="X379" s="3">
        <f>SUMIFS(LS[[#Headers],[BO UNIT TRANSFER]]:LS[[#This Row],[BO UNIT TRANSFER]],LS[[#Headers],[Investor ID]]:LS[[#This Row],[Investor ID]],LS[[#This Row],[Investor ID]])</f>
        <v>0</v>
      </c>
    </row>
    <row r="380" spans="2:24">
      <c r="B380" s="8">
        <v>2024</v>
      </c>
      <c r="C380" s="8">
        <v>1</v>
      </c>
      <c r="D380" s="8">
        <v>2</v>
      </c>
      <c r="E380" s="291">
        <f>DATE(LS[[#This Row],[Year]],LS[[#This Row],[Month]],LS[[#This Row],[Day]])</f>
        <v>45293</v>
      </c>
      <c r="F380" t="str" cm="1">
        <f t="array" ref="F380">INDEX(INVESTORS_LIST[INVESTOR NAME],MATCH(LS[[#This Row],[Investor ID]],INVESTORS_LIST[INVESTOR CODE],0),)</f>
        <v>ZINAT MAHRUKH BANU</v>
      </c>
      <c r="G380" s="25" t="s">
        <v>692</v>
      </c>
      <c r="H380" s="8">
        <f>COUNTIF(LS[[#Headers],[Investor ID]]:LS[[#This Row],[Investor ID]],LS[[#This Row],[Investor ID]])</f>
        <v>3</v>
      </c>
      <c r="I380" s="8" t="str">
        <f>CONCATENATE(LS[[#This Row],[Frequency]],LS[[#This Row],[Investor ID]])</f>
        <v>3A00373</v>
      </c>
      <c r="J380" s="8" t="str">
        <f>IF(LS[[#This Row],[B/S]]="B","BUY",(IF(LS[[#This Row],[B/S]]="S","SELL"," ")))</f>
        <v>SELL</v>
      </c>
      <c r="K380" s="8" t="s">
        <v>866</v>
      </c>
      <c r="L380" s="10">
        <v>-206400</v>
      </c>
      <c r="M380" s="10"/>
      <c r="N380" s="168">
        <f>LS[[#This Row],[Amount]]/LS[[#This Row],[Unit]]</f>
        <v>10.076157000585823</v>
      </c>
      <c r="O380" s="11">
        <f t="shared" si="57"/>
        <v>-20484</v>
      </c>
      <c r="P380" s="11">
        <f>SUMIFS(LS[[#Headers],[Unit]]:LS[[#This Row],[Unit]],LS[[#Headers],[Investor ID]]:LS[[#This Row],[Investor ID]],LS[[#This Row],[Investor ID]])</f>
        <v>0</v>
      </c>
      <c r="Q380" s="10">
        <v>-204840</v>
      </c>
      <c r="R380" s="6">
        <f>LS[[#This Row],[Amount]]-LS[[#This Row],[Unit Capital]]</f>
        <v>-1560</v>
      </c>
      <c r="S38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80" s="168">
        <f t="shared" si="58"/>
        <v>12.552</v>
      </c>
      <c r="U380" s="10">
        <f>IF(LS[[#This Row],[B/S]]="B",0,ABS(LS[[#This Row],[Unit]])*(LS[[#This Row],[NAV (Strike Rate)]]-INDEX(LS[NAV at Cost (Average)],MATCH(CONCATENATE(LS[[#This Row],[Frequency]]-1,LS[[#This Row],[Investor ID]]),LS[Unique Code],0),)))</f>
        <v>1400.0000000000095</v>
      </c>
      <c r="V380" s="10" cm="1">
        <f t="array" ref="V380">IF(LS[[#This Row],[B/S]]="S",ABS(LS[[#This Row],[Unit]])*(INDEX(LS[NAV at Cost (Average)],MATCH(CONCATENATE((LS[[#This Row],[Frequency]]-1),LS[[#This Row],[Investor ID]]),LS[Unique Code],0),0)),0)</f>
        <v>205000</v>
      </c>
      <c r="W380" s="10">
        <f>IF(LS[[#This Row],[BO Transfer]]="YES",LS[[#This Row],[Unit]],)</f>
        <v>0</v>
      </c>
      <c r="X380" s="3">
        <f>SUMIFS(LS[[#Headers],[BO UNIT TRANSFER]]:LS[[#This Row],[BO UNIT TRANSFER]],LS[[#Headers],[Investor ID]]:LS[[#This Row],[Investor ID]],LS[[#This Row],[Investor ID]])</f>
        <v>0</v>
      </c>
    </row>
    <row r="381" spans="2:24">
      <c r="B381" s="8">
        <v>2024</v>
      </c>
      <c r="C381" s="8">
        <v>1</v>
      </c>
      <c r="D381" s="8">
        <v>14</v>
      </c>
      <c r="E381" s="291">
        <f>DATE(LS[[#This Row],[Year]],LS[[#This Row],[Month]],LS[[#This Row],[Day]])</f>
        <v>45305</v>
      </c>
      <c r="F381" t="str" cm="1">
        <f t="array" ref="F381">INDEX(INVESTORS_LIST[INVESTOR NAME],MATCH(LS[[#This Row],[Investor ID]],INVESTORS_LIST[INVESTOR CODE],0),)</f>
        <v>KAZI AHSAN MARUF</v>
      </c>
      <c r="G381" s="19" t="s">
        <v>62</v>
      </c>
      <c r="H381" s="8">
        <f>COUNTIF(LS[[#Headers],[Investor ID]]:LS[[#This Row],[Investor ID]],LS[[#This Row],[Investor ID]])</f>
        <v>4</v>
      </c>
      <c r="I381" s="8" t="str">
        <f>CONCATENATE(LS[[#This Row],[Frequency]],LS[[#This Row],[Investor ID]])</f>
        <v>4A00055</v>
      </c>
      <c r="J381" s="8" t="str">
        <f>IF(LS[[#This Row],[B/S]]="B","BUY",(IF(LS[[#This Row],[B/S]]="S","SELL"," ")))</f>
        <v>SELL</v>
      </c>
      <c r="K381" s="8" t="s">
        <v>866</v>
      </c>
      <c r="L381" s="10">
        <v>-1058090.5</v>
      </c>
      <c r="M381" s="10"/>
      <c r="N381" s="168">
        <f>LS[[#This Row],[Amount]]/LS[[#This Row],[Unit]]</f>
        <v>10.340993940578578</v>
      </c>
      <c r="O381" s="11">
        <f t="shared" si="57"/>
        <v>-102320</v>
      </c>
      <c r="P381" s="11">
        <f>SUMIFS(LS[[#Headers],[Unit]]:LS[[#This Row],[Unit]],LS[[#Headers],[Investor ID]]:LS[[#This Row],[Investor ID]],LS[[#This Row],[Investor ID]])</f>
        <v>6531</v>
      </c>
      <c r="Q381" s="10">
        <v>-1023200</v>
      </c>
      <c r="R381" s="6">
        <f>LS[[#This Row],[Amount]]-LS[[#This Row],[Unit Capital]]</f>
        <v>-34890.5</v>
      </c>
      <c r="S38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9.875885384608317</v>
      </c>
      <c r="T381" s="168">
        <f t="shared" si="58"/>
        <v>12.552</v>
      </c>
      <c r="U381" s="10">
        <f>IF(LS[[#This Row],[B/S]]="B",0,ABS(LS[[#This Row],[Unit]])*(LS[[#This Row],[NAV (Strike Rate)]]-INDEX(LS[NAV at Cost (Average)],MATCH(CONCATENATE(LS[[#This Row],[Frequency]]-1,LS[[#This Row],[Investor ID]]),LS[Unique Code],0),)))</f>
        <v>47589.907446877085</v>
      </c>
      <c r="V381" s="10" cm="1">
        <f t="array" ref="V381">IF(LS[[#This Row],[B/S]]="S",ABS(LS[[#This Row],[Unit]])*(INDEX(LS[NAV at Cost (Average)],MATCH(CONCATENATE((LS[[#This Row],[Frequency]]-1),LS[[#This Row],[Investor ID]]),LS[Unique Code],0),0)),0)</f>
        <v>1010500.592553123</v>
      </c>
      <c r="W381" s="10">
        <f>IF(LS[[#This Row],[BO Transfer]]="YES",LS[[#This Row],[Unit]],)</f>
        <v>0</v>
      </c>
      <c r="X381" s="3">
        <f>SUMIFS(LS[[#Headers],[BO UNIT TRANSFER]]:LS[[#This Row],[BO UNIT TRANSFER]],LS[[#Headers],[Investor ID]]:LS[[#This Row],[Investor ID]],LS[[#This Row],[Investor ID]])</f>
        <v>0</v>
      </c>
    </row>
    <row r="382" spans="2:24">
      <c r="B382" s="8">
        <v>2024</v>
      </c>
      <c r="C382" s="8">
        <v>1</v>
      </c>
      <c r="D382" s="8">
        <v>14</v>
      </c>
      <c r="E382" s="291">
        <f>DATE(LS[[#This Row],[Year]],LS[[#This Row],[Month]],LS[[#This Row],[Day]])</f>
        <v>45305</v>
      </c>
      <c r="F382" t="str" cm="1">
        <f t="array" ref="F382">INDEX(INVESTORS_LIST[INVESTOR NAME],MATCH(LS[[#This Row],[Investor ID]],INVESTORS_LIST[INVESTOR CODE],0),)</f>
        <v>MD. WALIULLAH. SWADESH RANJAN SAHA &amp; MD. MIZZNUR RAHMAN</v>
      </c>
      <c r="G382" s="19" t="s">
        <v>358</v>
      </c>
      <c r="H382" s="8">
        <f>COUNTIF(LS[[#Headers],[Investor ID]]:LS[[#This Row],[Investor ID]],LS[[#This Row],[Investor ID]])</f>
        <v>2</v>
      </c>
      <c r="I382" s="8" t="str">
        <f>CONCATENATE(LS[[#This Row],[Frequency]],LS[[#This Row],[Investor ID]])</f>
        <v>2A00251</v>
      </c>
      <c r="J382" s="8" t="str">
        <f>IF(LS[[#This Row],[B/S]]="B","BUY",(IF(LS[[#This Row],[B/S]]="S","SELL"," ")))</f>
        <v>BUY</v>
      </c>
      <c r="K382" s="8" t="s">
        <v>301</v>
      </c>
      <c r="L382" s="10">
        <v>4250</v>
      </c>
      <c r="M382" s="10"/>
      <c r="N382" s="168">
        <f>LS[[#This Row],[Amount]]/LS[[#This Row],[Unit]]</f>
        <v>10.315533980582524</v>
      </c>
      <c r="O382" s="11">
        <f>Q382/10</f>
        <v>412</v>
      </c>
      <c r="P382" s="11">
        <f>SUMIFS(LS[[#Headers],[Unit]]:LS[[#This Row],[Unit]],LS[[#Headers],[Investor ID]]:LS[[#This Row],[Investor ID]],LS[[#This Row],[Investor ID]])</f>
        <v>17412</v>
      </c>
      <c r="Q382" s="10">
        <v>4120</v>
      </c>
      <c r="R382" s="6">
        <f>LS[[#This Row],[Amount]]-LS[[#This Row],[Unit Capital]]</f>
        <v>130</v>
      </c>
      <c r="S38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10.007466115322767</v>
      </c>
      <c r="T382" s="168">
        <f>IFERROR(NAV_MKT,0)</f>
        <v>12.552</v>
      </c>
      <c r="U38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82" s="10" cm="1">
        <f t="array" ref="V382">IF(LS[[#This Row],[B/S]]="S",ABS(LS[[#This Row],[Unit]])*(INDEX(LS[NAV at Cost (Average)],MATCH(CONCATENATE((LS[[#This Row],[Frequency]]-1),LS[[#This Row],[Investor ID]]),LS[Unique Code],0),0)),0)</f>
        <v>0</v>
      </c>
      <c r="W382" s="10">
        <f>IF(LS[[#This Row],[BO Transfer]]="YES",LS[[#This Row],[Unit]],)</f>
        <v>0</v>
      </c>
      <c r="X382" s="3">
        <f>SUMIFS(LS[[#Headers],[BO UNIT TRANSFER]]:LS[[#This Row],[BO UNIT TRANSFER]],LS[[#Headers],[Investor ID]]:LS[[#This Row],[Investor ID]],LS[[#This Row],[Investor ID]])</f>
        <v>0</v>
      </c>
    </row>
    <row r="383" spans="2:24">
      <c r="B383" s="8">
        <v>2024</v>
      </c>
      <c r="C383" s="8">
        <v>1</v>
      </c>
      <c r="D383" s="8">
        <v>14</v>
      </c>
      <c r="E383" s="291">
        <f>DATE(LS[[#This Row],[Year]],LS[[#This Row],[Month]],LS[[#This Row],[Day]])</f>
        <v>45305</v>
      </c>
      <c r="F383" t="str" cm="1">
        <f t="array" ref="F383">INDEX(INVESTORS_LIST[INVESTOR NAME],MATCH(LS[[#This Row],[Investor ID]],INVESTORS_LIST[INVESTOR CODE],0),)</f>
        <v>MD. WALIULLAH. SWADESH RANJAN SAHA &amp; MD. MIZZNUR RAHMAN</v>
      </c>
      <c r="G383" s="19" t="s">
        <v>358</v>
      </c>
      <c r="H383" s="8">
        <f>COUNTIF(LS[[#Headers],[Investor ID]]:LS[[#This Row],[Investor ID]],LS[[#This Row],[Investor ID]])</f>
        <v>3</v>
      </c>
      <c r="I383" s="8" t="str">
        <f>CONCATENATE(LS[[#This Row],[Frequency]],LS[[#This Row],[Investor ID]])</f>
        <v>3A00251</v>
      </c>
      <c r="J383" s="8" t="str">
        <f>IF(LS[[#This Row],[B/S]]="B","BUY",(IF(LS[[#This Row],[B/S]]="S","SELL"," ")))</f>
        <v>SELL</v>
      </c>
      <c r="K383" s="8" t="s">
        <v>866</v>
      </c>
      <c r="L383" s="10">
        <v>-175797</v>
      </c>
      <c r="M383" s="10"/>
      <c r="N383" s="168">
        <f>LS[[#This Row],[Amount]]/LS[[#This Row],[Unit]]</f>
        <v>10.096312887663681</v>
      </c>
      <c r="O383" s="11">
        <f t="shared" si="57"/>
        <v>-17412</v>
      </c>
      <c r="P383" s="11">
        <f>SUMIFS(LS[[#Headers],[Unit]]:LS[[#This Row],[Unit]],LS[[#Headers],[Investor ID]]:LS[[#This Row],[Investor ID]],LS[[#This Row],[Investor ID]])</f>
        <v>0</v>
      </c>
      <c r="Q383" s="10">
        <v>-174120</v>
      </c>
      <c r="R383" s="6">
        <f>LS[[#This Row],[Amount]]-LS[[#This Row],[Unit Capital]]</f>
        <v>-1677</v>
      </c>
      <c r="S38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83" s="168">
        <f t="shared" si="58"/>
        <v>12.552</v>
      </c>
      <c r="U383" s="10">
        <f>IF(LS[[#This Row],[B/S]]="B",0,ABS(LS[[#This Row],[Unit]])*(LS[[#This Row],[NAV (Strike Rate)]]-INDEX(LS[NAV at Cost (Average)],MATCH(CONCATENATE(LS[[#This Row],[Frequency]]-1,LS[[#This Row],[Investor ID]]),LS[Unique Code],0),)))</f>
        <v>1546.9999999999807</v>
      </c>
      <c r="V383" s="10" cm="1">
        <f t="array" ref="V383">IF(LS[[#This Row],[B/S]]="S",ABS(LS[[#This Row],[Unit]])*(INDEX(LS[NAV at Cost (Average)],MATCH(CONCATENATE((LS[[#This Row],[Frequency]]-1),LS[[#This Row],[Investor ID]]),LS[Unique Code],0),0)),0)</f>
        <v>174250.00000000003</v>
      </c>
      <c r="W383" s="10">
        <f>IF(LS[[#This Row],[BO Transfer]]="YES",LS[[#This Row],[Unit]],)</f>
        <v>0</v>
      </c>
      <c r="X383" s="3">
        <f>SUMIFS(LS[[#Headers],[BO UNIT TRANSFER]]:LS[[#This Row],[BO UNIT TRANSFER]],LS[[#Headers],[Investor ID]]:LS[[#This Row],[Investor ID]],LS[[#This Row],[Investor ID]])</f>
        <v>0</v>
      </c>
    </row>
    <row r="384" spans="2:24">
      <c r="B384" s="8">
        <v>2024</v>
      </c>
      <c r="C384" s="8">
        <v>1</v>
      </c>
      <c r="D384" s="8">
        <v>17</v>
      </c>
      <c r="E384" s="291">
        <f>DATE(LS[[#This Row],[Year]],LS[[#This Row],[Month]],LS[[#This Row],[Day]])</f>
        <v>45308</v>
      </c>
      <c r="F384" t="str" cm="1">
        <f t="array" ref="F384">INDEX(INVESTORS_LIST[INVESTOR NAME],MATCH(LS[[#This Row],[Investor ID]],INVESTORS_LIST[INVESTOR CODE],0),)</f>
        <v>MD KAMRUL ISLAM</v>
      </c>
      <c r="G384" s="19" t="s">
        <v>221</v>
      </c>
      <c r="H384" s="8">
        <f>COUNTIF(LS[[#Headers],[Investor ID]]:LS[[#This Row],[Investor ID]],LS[[#This Row],[Investor ID]])</f>
        <v>3</v>
      </c>
      <c r="I384" s="8" t="str">
        <f>CONCATENATE(LS[[#This Row],[Frequency]],LS[[#This Row],[Investor ID]])</f>
        <v>3A00189</v>
      </c>
      <c r="J384" s="8" t="str">
        <f>IF(LS[[#This Row],[B/S]]="B","BUY",(IF(LS[[#This Row],[B/S]]="S","SELL"," ")))</f>
        <v>SELL</v>
      </c>
      <c r="K384" s="8" t="s">
        <v>866</v>
      </c>
      <c r="L384" s="10">
        <v>-972054</v>
      </c>
      <c r="M384" s="10"/>
      <c r="N384" s="168">
        <f>LS[[#This Row],[Amount]]/LS[[#This Row],[Unit]]</f>
        <v>10.340999999999999</v>
      </c>
      <c r="O384" s="11">
        <f t="shared" si="57"/>
        <v>-94000</v>
      </c>
      <c r="P384" s="11">
        <f>SUMIFS(LS[[#Headers],[Unit]]:LS[[#This Row],[Unit]],LS[[#Headers],[Investor ID]]:LS[[#This Row],[Investor ID]],LS[[#This Row],[Investor ID]])</f>
        <v>6000</v>
      </c>
      <c r="Q384" s="10">
        <v>-940000</v>
      </c>
      <c r="R384" s="6">
        <f>LS[[#This Row],[Amount]]-LS[[#This Row],[Unit Capital]]</f>
        <v>-32054</v>
      </c>
      <c r="S38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84" s="168">
        <f t="shared" si="58"/>
        <v>12.552</v>
      </c>
      <c r="U384" s="10">
        <f>IF(LS[[#This Row],[B/S]]="B",0,ABS(LS[[#This Row],[Unit]])*(LS[[#This Row],[NAV (Strike Rate)]]-INDEX(LS[NAV at Cost (Average)],MATCH(CONCATENATE(LS[[#This Row],[Frequency]]-1,LS[[#This Row],[Investor ID]]),LS[Unique Code],0),)))</f>
        <v>32053.999999999935</v>
      </c>
      <c r="V384" s="10" cm="1">
        <f t="array" ref="V384">IF(LS[[#This Row],[B/S]]="S",ABS(LS[[#This Row],[Unit]])*(INDEX(LS[NAV at Cost (Average)],MATCH(CONCATENATE((LS[[#This Row],[Frequency]]-1),LS[[#This Row],[Investor ID]]),LS[Unique Code],0),0)),0)</f>
        <v>940000</v>
      </c>
      <c r="W384" s="10">
        <f>IF(LS[[#This Row],[BO Transfer]]="YES",LS[[#This Row],[Unit]],)</f>
        <v>0</v>
      </c>
      <c r="X384" s="3">
        <f>SUMIFS(LS[[#Headers],[BO UNIT TRANSFER]]:LS[[#This Row],[BO UNIT TRANSFER]],LS[[#Headers],[Investor ID]]:LS[[#This Row],[Investor ID]],LS[[#This Row],[Investor ID]])</f>
        <v>0</v>
      </c>
    </row>
    <row r="385" spans="2:24">
      <c r="B385" s="8">
        <v>2024</v>
      </c>
      <c r="C385" s="8">
        <v>1</v>
      </c>
      <c r="D385" s="8">
        <v>22</v>
      </c>
      <c r="E385" s="291">
        <f>DATE(LS[[#This Row],[Year]],LS[[#This Row],[Month]],LS[[#This Row],[Day]])</f>
        <v>45313</v>
      </c>
      <c r="F385" t="str" cm="1">
        <f t="array" ref="F385">INDEX(INVESTORS_LIST[INVESTOR NAME],MATCH(LS[[#This Row],[Investor ID]],INVESTORS_LIST[INVESTOR CODE],0),)</f>
        <v>SANDHANI AML SLIC FIXED INCOME FUND</v>
      </c>
      <c r="G385" s="25" t="s">
        <v>1036</v>
      </c>
      <c r="H385" s="8">
        <f>COUNTIF(LS[[#Headers],[Investor ID]]:LS[[#This Row],[Investor ID]],LS[[#This Row],[Investor ID]])</f>
        <v>2</v>
      </c>
      <c r="I385" s="8" t="str">
        <f>CONCATENATE(LS[[#This Row],[Frequency]],LS[[#This Row],[Investor ID]])</f>
        <v>2A00466</v>
      </c>
      <c r="J385" s="8" t="str">
        <f>IF(LS[[#This Row],[B/S]]="B","BUY",(IF(LS[[#This Row],[B/S]]="S","SELL"," ")))</f>
        <v>SELL</v>
      </c>
      <c r="K385" s="8" t="s">
        <v>866</v>
      </c>
      <c r="L385" s="10">
        <v>-3800504.84</v>
      </c>
      <c r="M385" s="10"/>
      <c r="N385" s="168">
        <f>LS[[#This Row],[Amount]]/LS[[#This Row],[Unit]]</f>
        <v>10.347000013612664</v>
      </c>
      <c r="O385" s="11">
        <f t="shared" ref="O385:O392" si="59">Q385/10</f>
        <v>-367305</v>
      </c>
      <c r="P385" s="11">
        <f>SUMIFS(LS[[#Headers],[Unit]]:LS[[#This Row],[Unit]],LS[[#Headers],[Investor ID]]:LS[[#This Row],[Investor ID]],LS[[#This Row],[Investor ID]])</f>
        <v>23445</v>
      </c>
      <c r="Q385" s="10">
        <v>-3673050</v>
      </c>
      <c r="R385" s="6">
        <f>LS[[#This Row],[Amount]]-LS[[#This Row],[Unit Capital]]</f>
        <v>-127454.83999999985</v>
      </c>
      <c r="S38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10.236000000000001</v>
      </c>
      <c r="T385" s="168">
        <f t="shared" ref="T385:T392" si="60">IFERROR(NAV_MKT,0)</f>
        <v>12.552</v>
      </c>
      <c r="U385" s="10">
        <f>IF(LS[[#This Row],[B/S]]="B",0,ABS(LS[[#This Row],[Unit]])*(LS[[#This Row],[NAV (Strike Rate)]]-INDEX(LS[NAV at Cost (Average)],MATCH(CONCATENATE(LS[[#This Row],[Frequency]]-1,LS[[#This Row],[Investor ID]]),LS[Unique Code],0),)))</f>
        <v>40770.859999999426</v>
      </c>
      <c r="V385" s="10" cm="1">
        <f t="array" ref="V385">IF(LS[[#This Row],[B/S]]="S",ABS(LS[[#This Row],[Unit]])*(INDEX(LS[NAV at Cost (Average)],MATCH(CONCATENATE((LS[[#This Row],[Frequency]]-1),LS[[#This Row],[Investor ID]]),LS[Unique Code],0),0)),0)</f>
        <v>3759733.9800000004</v>
      </c>
      <c r="W385" s="10">
        <f>IF(LS[[#This Row],[BO Transfer]]="YES",LS[[#This Row],[Unit]],)</f>
        <v>0</v>
      </c>
      <c r="X385" s="3">
        <f>SUMIFS(LS[[#Headers],[BO UNIT TRANSFER]]:LS[[#This Row],[BO UNIT TRANSFER]],LS[[#Headers],[Investor ID]]:LS[[#This Row],[Investor ID]],LS[[#This Row],[Investor ID]])</f>
        <v>0</v>
      </c>
    </row>
    <row r="386" spans="2:24">
      <c r="B386" s="8">
        <v>2024</v>
      </c>
      <c r="C386" s="8">
        <v>1</v>
      </c>
      <c r="D386" s="8">
        <v>23</v>
      </c>
      <c r="E386" s="291">
        <f>DATE(LS[[#This Row],[Year]],LS[[#This Row],[Month]],LS[[#This Row],[Day]])</f>
        <v>45314</v>
      </c>
      <c r="F386" t="str" cm="1">
        <f t="array" ref="F386">INDEX(INVESTORS_LIST[INVESTOR NAME],MATCH(LS[[#This Row],[Investor ID]],INVESTORS_LIST[INVESTOR CODE],0),)</f>
        <v>MOHAMMAD SAMIUL ALAM</v>
      </c>
      <c r="G386" s="25" t="s">
        <v>345</v>
      </c>
      <c r="H386" s="8">
        <f>COUNTIF(LS[[#Headers],[Investor ID]]:LS[[#This Row],[Investor ID]],LS[[#This Row],[Investor ID]])</f>
        <v>2</v>
      </c>
      <c r="I386" s="8" t="str">
        <f>CONCATENATE(LS[[#This Row],[Frequency]],LS[[#This Row],[Investor ID]])</f>
        <v>2A00244</v>
      </c>
      <c r="J386" s="8" t="str">
        <f>IF(LS[[#This Row],[B/S]]="B","BUY",(IF(LS[[#This Row],[B/S]]="S","SELL"," ")))</f>
        <v>SELL</v>
      </c>
      <c r="K386" s="8" t="s">
        <v>866</v>
      </c>
      <c r="L386" s="10">
        <v>-486309</v>
      </c>
      <c r="M386" s="10"/>
      <c r="N386" s="168">
        <f>LS[[#This Row],[Amount]]/LS[[#This Row],[Unit]]</f>
        <v>10.347</v>
      </c>
      <c r="O386" s="11">
        <f t="shared" si="59"/>
        <v>-47000</v>
      </c>
      <c r="P386" s="11">
        <f>SUMIFS(LS[[#Headers],[Unit]]:LS[[#This Row],[Unit]],LS[[#Headers],[Investor ID]]:LS[[#This Row],[Investor ID]],LS[[#This Row],[Investor ID]])</f>
        <v>3000</v>
      </c>
      <c r="Q386" s="10">
        <v>-470000</v>
      </c>
      <c r="R386" s="6">
        <f>LS[[#This Row],[Amount]]-LS[[#This Row],[Unit Capital]]</f>
        <v>-16309</v>
      </c>
      <c r="S38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86" s="168">
        <f t="shared" si="60"/>
        <v>12.552</v>
      </c>
      <c r="U386" s="10">
        <f>IF(LS[[#This Row],[B/S]]="B",0,ABS(LS[[#This Row],[Unit]])*(LS[[#This Row],[NAV (Strike Rate)]]-INDEX(LS[NAV at Cost (Average)],MATCH(CONCATENATE(LS[[#This Row],[Frequency]]-1,LS[[#This Row],[Investor ID]]),LS[Unique Code],0),)))</f>
        <v>16308.999999999978</v>
      </c>
      <c r="V386" s="10" cm="1">
        <f t="array" ref="V386">IF(LS[[#This Row],[B/S]]="S",ABS(LS[[#This Row],[Unit]])*(INDEX(LS[NAV at Cost (Average)],MATCH(CONCATENATE((LS[[#This Row],[Frequency]]-1),LS[[#This Row],[Investor ID]]),LS[Unique Code],0),0)),0)</f>
        <v>470000</v>
      </c>
      <c r="W386" s="10">
        <f>IF(LS[[#This Row],[BO Transfer]]="YES",LS[[#This Row],[Unit]],)</f>
        <v>0</v>
      </c>
      <c r="X386" s="3">
        <f>SUMIFS(LS[[#Headers],[BO UNIT TRANSFER]]:LS[[#This Row],[BO UNIT TRANSFER]],LS[[#Headers],[Investor ID]]:LS[[#This Row],[Investor ID]],LS[[#This Row],[Investor ID]])</f>
        <v>0</v>
      </c>
    </row>
    <row r="387" spans="2:24">
      <c r="B387" s="8">
        <v>2024</v>
      </c>
      <c r="C387" s="8">
        <v>1</v>
      </c>
      <c r="D387" s="8">
        <v>23</v>
      </c>
      <c r="E387" s="291">
        <f>DATE(LS[[#This Row],[Year]],LS[[#This Row],[Month]],LS[[#This Row],[Day]])</f>
        <v>45314</v>
      </c>
      <c r="F387" t="str" cm="1">
        <f t="array" ref="F387">INDEX(INVESTORS_LIST[INVESTOR NAME],MATCH(LS[[#This Row],[Investor ID]],INVESTORS_LIST[INVESTOR CODE],0),)</f>
        <v>PHOENIX FINANCE &amp; INVESTMENTS LTD</v>
      </c>
      <c r="G387" s="25" t="s">
        <v>205</v>
      </c>
      <c r="H387" s="8">
        <f>COUNTIF(LS[[#Headers],[Investor ID]]:LS[[#This Row],[Investor ID]],LS[[#This Row],[Investor ID]])</f>
        <v>2</v>
      </c>
      <c r="I387" s="8" t="str">
        <f>CONCATENATE(LS[[#This Row],[Frequency]],LS[[#This Row],[Investor ID]])</f>
        <v>2A00172</v>
      </c>
      <c r="J387" s="8" t="str">
        <f>IF(LS[[#This Row],[B/S]]="B","BUY",(IF(LS[[#This Row],[B/S]]="S","SELL"," ")))</f>
        <v>SELL</v>
      </c>
      <c r="K387" s="8" t="s">
        <v>866</v>
      </c>
      <c r="L387" s="10">
        <v>-2500000</v>
      </c>
      <c r="M387" s="10"/>
      <c r="N387" s="168">
        <f>LS[[#This Row],[Amount]]/LS[[#This Row],[Unit]]</f>
        <v>10.346996887623336</v>
      </c>
      <c r="O387" s="11">
        <f t="shared" si="59"/>
        <v>-241616</v>
      </c>
      <c r="P387" s="11">
        <f>SUMIFS(LS[[#Headers],[Unit]]:LS[[#This Row],[Unit]],LS[[#Headers],[Investor ID]]:LS[[#This Row],[Investor ID]],LS[[#This Row],[Investor ID]])</f>
        <v>758384</v>
      </c>
      <c r="Q387" s="10">
        <v>-2416160</v>
      </c>
      <c r="R387" s="6">
        <f>LS[[#This Row],[Amount]]-LS[[#This Row],[Unit Capital]]</f>
        <v>-83840</v>
      </c>
      <c r="S38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87" s="168">
        <f t="shared" si="60"/>
        <v>12.552</v>
      </c>
      <c r="U387" s="10">
        <f>IF(LS[[#This Row],[B/S]]="B",0,ABS(LS[[#This Row],[Unit]])*(LS[[#This Row],[NAV (Strike Rate)]]-INDEX(LS[NAV at Cost (Average)],MATCH(CONCATENATE(LS[[#This Row],[Frequency]]-1,LS[[#This Row],[Investor ID]]),LS[Unique Code],0),)))</f>
        <v>83839.999999999854</v>
      </c>
      <c r="V387" s="10" cm="1">
        <f t="array" ref="V387">IF(LS[[#This Row],[B/S]]="S",ABS(LS[[#This Row],[Unit]])*(INDEX(LS[NAV at Cost (Average)],MATCH(CONCATENATE((LS[[#This Row],[Frequency]]-1),LS[[#This Row],[Investor ID]]),LS[Unique Code],0),0)),0)</f>
        <v>2416160</v>
      </c>
      <c r="W387" s="10">
        <f>IF(LS[[#This Row],[BO Transfer]]="YES",LS[[#This Row],[Unit]],)</f>
        <v>0</v>
      </c>
      <c r="X387" s="3">
        <f>SUMIFS(LS[[#Headers],[BO UNIT TRANSFER]]:LS[[#This Row],[BO UNIT TRANSFER]],LS[[#Headers],[Investor ID]]:LS[[#This Row],[Investor ID]],LS[[#This Row],[Investor ID]])</f>
        <v>0</v>
      </c>
    </row>
    <row r="388" spans="2:24">
      <c r="B388" s="8">
        <v>2024</v>
      </c>
      <c r="C388" s="8">
        <v>1</v>
      </c>
      <c r="D388" s="8">
        <v>30</v>
      </c>
      <c r="E388" s="291">
        <f>DATE(LS[[#This Row],[Year]],LS[[#This Row],[Month]],LS[[#This Row],[Day]])</f>
        <v>45321</v>
      </c>
      <c r="F388" t="str" cm="1">
        <f t="array" ref="F388">INDEX(INVESTORS_LIST[INVESTOR NAME],MATCH(LS[[#This Row],[Investor ID]],INVESTORS_LIST[INVESTOR CODE],0),)</f>
        <v>ASRAAR HOSSAIN</v>
      </c>
      <c r="G388" s="19" t="s">
        <v>684</v>
      </c>
      <c r="H388" s="8">
        <f>COUNTIF(LS[[#Headers],[Investor ID]]:LS[[#This Row],[Investor ID]],LS[[#This Row],[Investor ID]])</f>
        <v>2</v>
      </c>
      <c r="I388" s="8" t="str">
        <f>CONCATENATE(LS[[#This Row],[Frequency]],LS[[#This Row],[Investor ID]])</f>
        <v>2A00369</v>
      </c>
      <c r="J388" s="8" t="str">
        <f>IF(LS[[#This Row],[B/S]]="B","BUY",(IF(LS[[#This Row],[B/S]]="S","SELL"," ")))</f>
        <v>SELL</v>
      </c>
      <c r="K388" s="8" t="s">
        <v>866</v>
      </c>
      <c r="L388" s="10">
        <v>-19452.36</v>
      </c>
      <c r="M388" s="3" t="s">
        <v>957</v>
      </c>
      <c r="N388" s="168">
        <f>LS[[#This Row],[Amount]]/LS[[#This Row],[Unit]]</f>
        <v>10.352506652474721</v>
      </c>
      <c r="O388" s="11">
        <f t="shared" si="59"/>
        <v>-1879</v>
      </c>
      <c r="P388" s="11">
        <f>SUMIFS(LS[[#Headers],[Unit]]:LS[[#This Row],[Unit]],LS[[#Headers],[Investor ID]]:LS[[#This Row],[Investor ID]],LS[[#This Row],[Investor ID]])</f>
        <v>121</v>
      </c>
      <c r="Q388" s="10">
        <v>-18790</v>
      </c>
      <c r="R388" s="6">
        <f>LS[[#This Row],[Amount]]-LS[[#This Row],[Unit Capital]]</f>
        <v>-662.36000000000058</v>
      </c>
      <c r="S38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88" s="168">
        <f t="shared" si="60"/>
        <v>12.552</v>
      </c>
      <c r="U388" s="10">
        <f>IF(LS[[#This Row],[B/S]]="B",0,ABS(LS[[#This Row],[Unit]])*(LS[[#This Row],[NAV (Strike Rate)]]-INDEX(LS[NAV at Cost (Average)],MATCH(CONCATENATE(LS[[#This Row],[Frequency]]-1,LS[[#This Row],[Investor ID]]),LS[Unique Code],0),)))</f>
        <v>662.36000000000138</v>
      </c>
      <c r="V388" s="10" cm="1">
        <f t="array" ref="V388">IF(LS[[#This Row],[B/S]]="S",ABS(LS[[#This Row],[Unit]])*(INDEX(LS[NAV at Cost (Average)],MATCH(CONCATENATE((LS[[#This Row],[Frequency]]-1),LS[[#This Row],[Investor ID]]),LS[Unique Code],0),0)),0)</f>
        <v>18790</v>
      </c>
      <c r="W388" s="10">
        <f>IF(LS[[#This Row],[BO Transfer]]="YES",LS[[#This Row],[Unit]],)</f>
        <v>-1879</v>
      </c>
      <c r="X388" s="3">
        <f>SUMIFS(LS[[#Headers],[BO UNIT TRANSFER]]:LS[[#This Row],[BO UNIT TRANSFER]],LS[[#Headers],[Investor ID]]:LS[[#This Row],[Investor ID]],LS[[#This Row],[Investor ID]])</f>
        <v>121</v>
      </c>
    </row>
    <row r="389" spans="2:24">
      <c r="B389" s="8">
        <v>2024</v>
      </c>
      <c r="C389" s="8">
        <v>2</v>
      </c>
      <c r="D389" s="8">
        <v>8</v>
      </c>
      <c r="E389" s="291">
        <f>DATE(LS[[#This Row],[Year]],LS[[#This Row],[Month]],LS[[#This Row],[Day]])</f>
        <v>45330</v>
      </c>
      <c r="F389" t="str" cm="1">
        <f t="array" ref="F389">INDEX(INVESTORS_LIST[INVESTOR NAME],MATCH(LS[[#This Row],[Investor ID]],INVESTORS_LIST[INVESTOR CODE],0),)</f>
        <v>MASTURA MUNIAT</v>
      </c>
      <c r="G389" s="25" t="s">
        <v>381</v>
      </c>
      <c r="H389" s="8">
        <f>COUNTIF(LS[[#Headers],[Investor ID]]:LS[[#This Row],[Investor ID]],LS[[#This Row],[Investor ID]])</f>
        <v>2</v>
      </c>
      <c r="I389" s="8" t="str">
        <f>CONCATENATE(LS[[#This Row],[Frequency]],LS[[#This Row],[Investor ID]])</f>
        <v>2A00262</v>
      </c>
      <c r="J389" s="8" t="str">
        <f>IF(LS[[#This Row],[B/S]]="B","BUY",(IF(LS[[#This Row],[B/S]]="S","SELL"," ")))</f>
        <v>SELL</v>
      </c>
      <c r="K389" s="8" t="s">
        <v>866</v>
      </c>
      <c r="L389" s="10">
        <v>-197401.1</v>
      </c>
      <c r="M389" s="10"/>
      <c r="N389" s="168">
        <f>LS[[#This Row],[Amount]]/LS[[#This Row],[Unit]]</f>
        <v>10.37097299569192</v>
      </c>
      <c r="O389" s="11">
        <f t="shared" si="59"/>
        <v>-19034</v>
      </c>
      <c r="P389" s="11">
        <f>SUMIFS(LS[[#Headers],[Unit]]:LS[[#This Row],[Unit]],LS[[#Headers],[Investor ID]]:LS[[#This Row],[Investor ID]],LS[[#This Row],[Investor ID]])</f>
        <v>488</v>
      </c>
      <c r="Q389" s="10">
        <v>-190340</v>
      </c>
      <c r="R389" s="6">
        <f>LS[[#This Row],[Amount]]-LS[[#This Row],[Unit Capital]]</f>
        <v>-7061.1000000000058</v>
      </c>
      <c r="S38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10.24485196188915</v>
      </c>
      <c r="T389" s="168">
        <f t="shared" si="60"/>
        <v>12.552</v>
      </c>
      <c r="U389" s="10">
        <f>IF(LS[[#This Row],[B/S]]="B",0,ABS(LS[[#This Row],[Unit]])*(LS[[#This Row],[NAV (Strike Rate)]]-INDEX(LS[NAV at Cost (Average)],MATCH(CONCATENATE(LS[[#This Row],[Frequency]]-1,LS[[#This Row],[Investor ID]]),LS[Unique Code],0),)))</f>
        <v>2400.5877574019214</v>
      </c>
      <c r="V389" s="10" cm="1">
        <f t="array" ref="V389">IF(LS[[#This Row],[B/S]]="S",ABS(LS[[#This Row],[Unit]])*(INDEX(LS[NAV at Cost (Average)],MATCH(CONCATENATE((LS[[#This Row],[Frequency]]-1),LS[[#This Row],[Investor ID]]),LS[Unique Code],0),0)),0)</f>
        <v>195000.51224259808</v>
      </c>
      <c r="W389" s="10">
        <f>IF(LS[[#This Row],[BO Transfer]]="YES",LS[[#This Row],[Unit]],)</f>
        <v>0</v>
      </c>
      <c r="X389" s="3">
        <f>SUMIFS(LS[[#Headers],[BO UNIT TRANSFER]]:LS[[#This Row],[BO UNIT TRANSFER]],LS[[#Headers],[Investor ID]]:LS[[#This Row],[Investor ID]],LS[[#This Row],[Investor ID]])</f>
        <v>0</v>
      </c>
    </row>
    <row r="390" spans="2:24">
      <c r="B390" s="8">
        <v>2024</v>
      </c>
      <c r="C390" s="8">
        <v>2</v>
      </c>
      <c r="D390" s="8">
        <v>25</v>
      </c>
      <c r="E390" s="291">
        <f>DATE(LS[[#This Row],[Year]],LS[[#This Row],[Month]],LS[[#This Row],[Day]])</f>
        <v>45347</v>
      </c>
      <c r="F390" t="str" cm="1">
        <f t="array" ref="F390">INDEX(INVESTORS_LIST[INVESTOR NAME],MATCH(LS[[#This Row],[Investor ID]],INVESTORS_LIST[INVESTOR CODE],0),)</f>
        <v>KAZI AHSAN MARUF</v>
      </c>
      <c r="G390" s="19" t="s">
        <v>62</v>
      </c>
      <c r="H390" s="8">
        <f>COUNTIF(LS[[#Headers],[Investor ID]]:LS[[#This Row],[Investor ID]],LS[[#This Row],[Investor ID]])</f>
        <v>5</v>
      </c>
      <c r="I390" s="8" t="str">
        <f>CONCATENATE(LS[[#This Row],[Frequency]],LS[[#This Row],[Investor ID]])</f>
        <v>5A00055</v>
      </c>
      <c r="J390" s="8" t="str">
        <f>IF(LS[[#This Row],[B/S]]="B","BUY",(IF(LS[[#This Row],[B/S]]="S","SELL"," ")))</f>
        <v>BUY</v>
      </c>
      <c r="K390" s="8" t="s">
        <v>301</v>
      </c>
      <c r="L390" s="3">
        <v>200000</v>
      </c>
      <c r="M390" s="10"/>
      <c r="N390" s="168">
        <f>LS[[#This Row],[Amount]]/LS[[#This Row],[Unit]]</f>
        <v>10.231749117511638</v>
      </c>
      <c r="O390" s="11">
        <f t="shared" si="59"/>
        <v>19547</v>
      </c>
      <c r="P390" s="11">
        <f>SUMIFS(LS[[#Headers],[Unit]]:LS[[#This Row],[Unit]],LS[[#Headers],[Investor ID]]:LS[[#This Row],[Investor ID]],LS[[#This Row],[Investor ID]])</f>
        <v>26078</v>
      </c>
      <c r="Q390" s="10">
        <v>195470</v>
      </c>
      <c r="R390" s="6">
        <f>LS[[#This Row],[Amount]]-LS[[#This Row],[Unit Capital]]</f>
        <v>4530</v>
      </c>
      <c r="S39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10.142626253810757</v>
      </c>
      <c r="T390" s="168">
        <f t="shared" si="60"/>
        <v>12.552</v>
      </c>
      <c r="U39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90" s="10" cm="1">
        <f t="array" ref="V390">IF(LS[[#This Row],[B/S]]="S",ABS(LS[[#This Row],[Unit]])*(INDEX(LS[NAV at Cost (Average)],MATCH(CONCATENATE((LS[[#This Row],[Frequency]]-1),LS[[#This Row],[Investor ID]]),LS[Unique Code],0),0)),0)</f>
        <v>0</v>
      </c>
      <c r="W390" s="10">
        <f>IF(LS[[#This Row],[BO Transfer]]="YES",LS[[#This Row],[Unit]],)</f>
        <v>0</v>
      </c>
      <c r="X390" s="3">
        <f>SUMIFS(LS[[#Headers],[BO UNIT TRANSFER]]:LS[[#This Row],[BO UNIT TRANSFER]],LS[[#Headers],[Investor ID]]:LS[[#This Row],[Investor ID]],LS[[#This Row],[Investor ID]])</f>
        <v>0</v>
      </c>
    </row>
    <row r="391" spans="2:24">
      <c r="B391" s="8">
        <v>2024</v>
      </c>
      <c r="C391" s="8">
        <v>2</v>
      </c>
      <c r="D391" s="8">
        <v>27</v>
      </c>
      <c r="E391" s="291">
        <f>DATE(LS[[#This Row],[Year]],LS[[#This Row],[Month]],LS[[#This Row],[Day]])</f>
        <v>45349</v>
      </c>
      <c r="F391" t="str" cm="1">
        <f t="array" ref="F391">INDEX(INVESTORS_LIST[INVESTOR NAME],MATCH(LS[[#This Row],[Investor ID]],INVESTORS_LIST[INVESTOR CODE],0),)</f>
        <v>KAZI AHSAN MARUF</v>
      </c>
      <c r="G391" s="19" t="s">
        <v>62</v>
      </c>
      <c r="H391" s="8">
        <f>COUNTIF(LS[[#Headers],[Investor ID]]:LS[[#This Row],[Investor ID]],LS[[#This Row],[Investor ID]])</f>
        <v>6</v>
      </c>
      <c r="I391" s="8" t="str">
        <f>CONCATENATE(LS[[#This Row],[Frequency]],LS[[#This Row],[Investor ID]])</f>
        <v>6A00055</v>
      </c>
      <c r="J391" s="8" t="str">
        <f>IF(LS[[#This Row],[B/S]]="B","BUY",(IF(LS[[#This Row],[B/S]]="S","SELL"," ")))</f>
        <v>BUY</v>
      </c>
      <c r="K391" s="8" t="s">
        <v>301</v>
      </c>
      <c r="L391" s="10">
        <v>10232</v>
      </c>
      <c r="M391" s="10"/>
      <c r="N391" s="168">
        <f>LS[[#This Row],[Amount]]/LS[[#This Row],[Unit]]</f>
        <v>10.231999999999999</v>
      </c>
      <c r="O391" s="11">
        <f t="shared" si="59"/>
        <v>1000</v>
      </c>
      <c r="P391" s="11">
        <f>SUMIFS(LS[[#Headers],[Unit]]:LS[[#This Row],[Unit]],LS[[#Headers],[Investor ID]]:LS[[#This Row],[Investor ID]],LS[[#This Row],[Investor ID]])</f>
        <v>27078</v>
      </c>
      <c r="Q391" s="10">
        <v>10000</v>
      </c>
      <c r="R391" s="6">
        <f>LS[[#This Row],[Amount]]-LS[[#This Row],[Unit Capital]]</f>
        <v>232</v>
      </c>
      <c r="S39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10.145926857481237</v>
      </c>
      <c r="T391" s="168">
        <f t="shared" si="60"/>
        <v>12.552</v>
      </c>
      <c r="U39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91" s="10" cm="1">
        <f t="array" ref="V391">IF(LS[[#This Row],[B/S]]="S",ABS(LS[[#This Row],[Unit]])*(INDEX(LS[NAV at Cost (Average)],MATCH(CONCATENATE((LS[[#This Row],[Frequency]]-1),LS[[#This Row],[Investor ID]]),LS[Unique Code],0),0)),0)</f>
        <v>0</v>
      </c>
      <c r="W391" s="10">
        <f>IF(LS[[#This Row],[BO Transfer]]="YES",LS[[#This Row],[Unit]],)</f>
        <v>0</v>
      </c>
      <c r="X391" s="3">
        <f>SUMIFS(LS[[#Headers],[BO UNIT TRANSFER]]:LS[[#This Row],[BO UNIT TRANSFER]],LS[[#Headers],[Investor ID]]:LS[[#This Row],[Investor ID]],LS[[#This Row],[Investor ID]])</f>
        <v>0</v>
      </c>
    </row>
    <row r="392" spans="2:24">
      <c r="B392" s="8">
        <v>2024</v>
      </c>
      <c r="C392" s="8">
        <v>2</v>
      </c>
      <c r="D392" s="8">
        <v>29</v>
      </c>
      <c r="E392" s="291">
        <f>DATE(LS[[#This Row],[Year]],LS[[#This Row],[Month]],LS[[#This Row],[Day]])</f>
        <v>45351</v>
      </c>
      <c r="F392" t="str" cm="1">
        <f t="array" ref="F392">INDEX(INVESTORS_LIST[INVESTOR NAME],MATCH(LS[[#This Row],[Investor ID]],INVESTORS_LIST[INVESTOR CODE],0),)</f>
        <v>JOY SHREE SAHA</v>
      </c>
      <c r="G392" s="19" t="s">
        <v>383</v>
      </c>
      <c r="H392" s="8">
        <f>COUNTIF(LS[[#Headers],[Investor ID]]:LS[[#This Row],[Investor ID]],LS[[#This Row],[Investor ID]])</f>
        <v>8</v>
      </c>
      <c r="I392" s="8" t="str">
        <f>CONCATENATE(LS[[#This Row],[Frequency]],LS[[#This Row],[Investor ID]])</f>
        <v>8A00263</v>
      </c>
      <c r="J392" s="8" t="str">
        <f>IF(LS[[#This Row],[B/S]]="B","BUY",(IF(LS[[#This Row],[B/S]]="S","SELL"," ")))</f>
        <v>SELL</v>
      </c>
      <c r="K392" s="8" t="s">
        <v>866</v>
      </c>
      <c r="L392" s="10">
        <v>-2273550.4</v>
      </c>
      <c r="M392" s="10"/>
      <c r="N392" s="168">
        <f>LS[[#This Row],[Amount]]/LS[[#This Row],[Unit]]</f>
        <v>10.231999999999999</v>
      </c>
      <c r="O392" s="11">
        <f t="shared" si="59"/>
        <v>-222200</v>
      </c>
      <c r="P392" s="11">
        <f>SUMIFS(LS[[#Headers],[Unit]]:LS[[#This Row],[Unit]],LS[[#Headers],[Investor ID]]:LS[[#This Row],[Investor ID]],LS[[#This Row],[Investor ID]])</f>
        <v>0</v>
      </c>
      <c r="Q392" s="10">
        <v>-2222000</v>
      </c>
      <c r="R392" s="6">
        <f>LS[[#This Row],[Amount]]-LS[[#This Row],[Unit Capital]]</f>
        <v>-51550.399999999907</v>
      </c>
      <c r="S39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92" s="168">
        <f t="shared" si="60"/>
        <v>12.552</v>
      </c>
      <c r="U392" s="10">
        <f>IF(LS[[#This Row],[B/S]]="B",0,ABS(LS[[#This Row],[Unit]])*(LS[[#This Row],[NAV (Strike Rate)]]-INDEX(LS[NAV at Cost (Average)],MATCH(CONCATENATE(LS[[#This Row],[Frequency]]-1,LS[[#This Row],[Investor ID]]),LS[Unique Code],0),)))</f>
        <v>75550.400000000081</v>
      </c>
      <c r="V392" s="10" cm="1">
        <f t="array" ref="V392">IF(LS[[#This Row],[B/S]]="S",ABS(LS[[#This Row],[Unit]])*(INDEX(LS[NAV at Cost (Average)],MATCH(CONCATENATE((LS[[#This Row],[Frequency]]-1),LS[[#This Row],[Investor ID]]),LS[Unique Code],0),0)),0)</f>
        <v>2197999.9999999995</v>
      </c>
      <c r="W392" s="10">
        <f>IF(LS[[#This Row],[BO Transfer]]="YES",LS[[#This Row],[Unit]],)</f>
        <v>0</v>
      </c>
      <c r="X392" s="3">
        <f>SUMIFS(LS[[#Headers],[BO UNIT TRANSFER]]:LS[[#This Row],[BO UNIT TRANSFER]],LS[[#Headers],[Investor ID]]:LS[[#This Row],[Investor ID]],LS[[#This Row],[Investor ID]])</f>
        <v>0</v>
      </c>
    </row>
    <row r="393" spans="2:24">
      <c r="B393" s="8">
        <v>2024</v>
      </c>
      <c r="C393" s="8">
        <v>3</v>
      </c>
      <c r="D393" s="8">
        <v>6</v>
      </c>
      <c r="E393" s="291">
        <f>DATE(LS[[#This Row],[Year]],LS[[#This Row],[Month]],LS[[#This Row],[Day]])</f>
        <v>45357</v>
      </c>
      <c r="F393" t="str" cm="1">
        <f t="array" ref="F393">INDEX(INVESTORS_LIST[INVESTOR NAME],MATCH(LS[[#This Row],[Investor ID]],INVESTORS_LIST[INVESTOR CODE],0),)</f>
        <v>SHAHED UDDIN MOHAMMED PARVEZ</v>
      </c>
      <c r="G393" s="25" t="s">
        <v>597</v>
      </c>
      <c r="H393" s="8">
        <f>COUNTIF(LS[[#Headers],[Investor ID]]:LS[[#This Row],[Investor ID]],LS[[#This Row],[Investor ID]])</f>
        <v>4</v>
      </c>
      <c r="I393" s="8" t="str">
        <f>CONCATENATE(LS[[#This Row],[Frequency]],LS[[#This Row],[Investor ID]])</f>
        <v>4A00335</v>
      </c>
      <c r="J393" s="8" t="str">
        <f>IF(LS[[#This Row],[B/S]]="B","BUY",(IF(LS[[#This Row],[B/S]]="S","SELL"," ")))</f>
        <v>SELL</v>
      </c>
      <c r="K393" s="8" t="s">
        <v>866</v>
      </c>
      <c r="L393" s="10">
        <v>-1021300</v>
      </c>
      <c r="M393" s="10"/>
      <c r="N393" s="168">
        <f>LS[[#This Row],[Amount]]/LS[[#This Row],[Unit]]</f>
        <v>10.212999999999999</v>
      </c>
      <c r="O393" s="11">
        <f t="shared" ref="O393:O399" si="61">Q393/10</f>
        <v>-100000</v>
      </c>
      <c r="P393" s="11">
        <f>SUMIFS(LS[[#Headers],[Unit]]:LS[[#This Row],[Unit]],LS[[#Headers],[Investor ID]]:LS[[#This Row],[Investor ID]],LS[[#This Row],[Investor ID]])</f>
        <v>0</v>
      </c>
      <c r="Q393" s="10">
        <v>-1000000</v>
      </c>
      <c r="R393" s="6">
        <f>LS[[#This Row],[Amount]]-LS[[#This Row],[Unit Capital]]</f>
        <v>-21300</v>
      </c>
      <c r="S39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93" s="168">
        <f t="shared" ref="T393:T399" si="62">IFERROR(NAV_MKT,0)</f>
        <v>12.552</v>
      </c>
      <c r="U393" s="10">
        <f>IF(LS[[#This Row],[B/S]]="B",0,ABS(LS[[#This Row],[Unit]])*(LS[[#This Row],[NAV (Strike Rate)]]-INDEX(LS[NAV at Cost (Average)],MATCH(CONCATENATE(LS[[#This Row],[Frequency]]-1,LS[[#This Row],[Investor ID]]),LS[Unique Code],0),)))</f>
        <v>21299.99999999992</v>
      </c>
      <c r="V393" s="10" cm="1">
        <f t="array" ref="V393">IF(LS[[#This Row],[B/S]]="S",ABS(LS[[#This Row],[Unit]])*(INDEX(LS[NAV at Cost (Average)],MATCH(CONCATENATE((LS[[#This Row],[Frequency]]-1),LS[[#This Row],[Investor ID]]),LS[Unique Code],0),0)),0)</f>
        <v>1000000</v>
      </c>
      <c r="W393" s="10">
        <f>IF(LS[[#This Row],[BO Transfer]]="YES",LS[[#This Row],[Unit]],)</f>
        <v>0</v>
      </c>
      <c r="X393" s="3">
        <f>SUMIFS(LS[[#Headers],[BO UNIT TRANSFER]]:LS[[#This Row],[BO UNIT TRANSFER]],LS[[#Headers],[Investor ID]]:LS[[#This Row],[Investor ID]],LS[[#This Row],[Investor ID]])</f>
        <v>0</v>
      </c>
    </row>
    <row r="394" spans="2:24">
      <c r="B394" s="8">
        <v>2024</v>
      </c>
      <c r="C394" s="8">
        <v>3</v>
      </c>
      <c r="D394" s="8">
        <v>12</v>
      </c>
      <c r="E394" s="291">
        <f>DATE(LS[[#This Row],[Year]],LS[[#This Row],[Month]],LS[[#This Row],[Day]])</f>
        <v>45363</v>
      </c>
      <c r="F394" t="str" cm="1">
        <f t="array" ref="F394">INDEX(INVESTORS_LIST[INVESTOR NAME],MATCH(LS[[#This Row],[Investor ID]],INVESTORS_LIST[INVESTOR CODE],0),)</f>
        <v>PHOENIX FINANCE &amp; INVESTMENTS LTD</v>
      </c>
      <c r="G394" s="19" t="s">
        <v>205</v>
      </c>
      <c r="H394" s="8">
        <f>COUNTIF(LS[[#Headers],[Investor ID]]:LS[[#This Row],[Investor ID]],LS[[#This Row],[Investor ID]])</f>
        <v>3</v>
      </c>
      <c r="I394" s="8" t="str">
        <f>CONCATENATE(LS[[#This Row],[Frequency]],LS[[#This Row],[Investor ID]])</f>
        <v>3A00172</v>
      </c>
      <c r="J394" s="8" t="str">
        <f>IF(LS[[#This Row],[B/S]]="B","BUY",(IF(LS[[#This Row],[B/S]]="S","SELL"," ")))</f>
        <v>SELL</v>
      </c>
      <c r="K394" s="8" t="s">
        <v>866</v>
      </c>
      <c r="L394" s="10">
        <v>-2500000</v>
      </c>
      <c r="M394" s="10"/>
      <c r="N394" s="168">
        <f>LS[[#This Row],[Amount]]/LS[[#This Row],[Unit]]</f>
        <v>10.213002377586953</v>
      </c>
      <c r="O394" s="11">
        <f t="shared" si="61"/>
        <v>-244786</v>
      </c>
      <c r="P394" s="11">
        <f>SUMIFS(LS[[#Headers],[Unit]]:LS[[#This Row],[Unit]],LS[[#Headers],[Investor ID]]:LS[[#This Row],[Investor ID]],LS[[#This Row],[Investor ID]])</f>
        <v>513598</v>
      </c>
      <c r="Q394" s="10">
        <v>-2447860</v>
      </c>
      <c r="R394" s="6">
        <f>LS[[#This Row],[Amount]]-LS[[#This Row],[Unit Capital]]</f>
        <v>-52140</v>
      </c>
      <c r="S39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394" s="168">
        <f t="shared" si="62"/>
        <v>12.552</v>
      </c>
      <c r="U394" s="10">
        <f>IF(LS[[#This Row],[B/S]]="B",0,ABS(LS[[#This Row],[Unit]])*(LS[[#This Row],[NAV (Strike Rate)]]-INDEX(LS[NAV at Cost (Average)],MATCH(CONCATENATE(LS[[#This Row],[Frequency]]-1,LS[[#This Row],[Investor ID]]),LS[Unique Code],0),)))</f>
        <v>52139.99999999992</v>
      </c>
      <c r="V394" s="10" cm="1">
        <f t="array" ref="V394">IF(LS[[#This Row],[B/S]]="S",ABS(LS[[#This Row],[Unit]])*(INDEX(LS[NAV at Cost (Average)],MATCH(CONCATENATE((LS[[#This Row],[Frequency]]-1),LS[[#This Row],[Investor ID]]),LS[Unique Code],0),0)),0)</f>
        <v>2447860</v>
      </c>
      <c r="W394" s="10">
        <f>IF(LS[[#This Row],[BO Transfer]]="YES",LS[[#This Row],[Unit]],)</f>
        <v>0</v>
      </c>
      <c r="X394" s="3">
        <f>SUMIFS(LS[[#Headers],[BO UNIT TRANSFER]]:LS[[#This Row],[BO UNIT TRANSFER]],LS[[#Headers],[Investor ID]]:LS[[#This Row],[Investor ID]],LS[[#This Row],[Investor ID]])</f>
        <v>0</v>
      </c>
    </row>
    <row r="395" spans="2:24">
      <c r="B395" s="8">
        <v>2024</v>
      </c>
      <c r="C395" s="8">
        <v>3</v>
      </c>
      <c r="D395" s="8">
        <v>12</v>
      </c>
      <c r="E395" s="291">
        <f>DATE(LS[[#This Row],[Year]],LS[[#This Row],[Month]],LS[[#This Row],[Day]])</f>
        <v>45363</v>
      </c>
      <c r="F395" t="str" cm="1">
        <f t="array" ref="F395">INDEX(INVESTORS_LIST[INVESTOR NAME],MATCH(LS[[#This Row],[Investor ID]],INVESTORS_LIST[INVESTOR CODE],0),)</f>
        <v>MOHAMMAD MOINUL ISLAM</v>
      </c>
      <c r="G395" s="19" t="s">
        <v>661</v>
      </c>
      <c r="H395" s="8">
        <f>COUNTIF(LS[[#Headers],[Investor ID]]:LS[[#This Row],[Investor ID]],LS[[#This Row],[Investor ID]])</f>
        <v>2</v>
      </c>
      <c r="I395" s="8" t="str">
        <f>CONCATENATE(LS[[#This Row],[Frequency]],LS[[#This Row],[Investor ID]])</f>
        <v>2A00357</v>
      </c>
      <c r="J395" s="8" t="str">
        <f>IF(LS[[#This Row],[B/S]]="B","BUY",(IF(LS[[#This Row],[B/S]]="S","SELL"," ")))</f>
        <v>SELL</v>
      </c>
      <c r="K395" s="8" t="s">
        <v>866</v>
      </c>
      <c r="L395" s="10">
        <v>-510650</v>
      </c>
      <c r="M395" s="10"/>
      <c r="N395" s="168">
        <f>LS[[#This Row],[Amount]]/LS[[#This Row],[Unit]]</f>
        <v>10.212999999999999</v>
      </c>
      <c r="O395" s="11">
        <f t="shared" si="61"/>
        <v>-50000</v>
      </c>
      <c r="P395" s="11">
        <f>SUMIFS(LS[[#Headers],[Unit]]:LS[[#This Row],[Unit]],LS[[#Headers],[Investor ID]]:LS[[#This Row],[Investor ID]],LS[[#This Row],[Investor ID]])</f>
        <v>0</v>
      </c>
      <c r="Q395" s="10">
        <v>-500000</v>
      </c>
      <c r="R395" s="6">
        <f>LS[[#This Row],[Amount]]-LS[[#This Row],[Unit Capital]]</f>
        <v>-10650</v>
      </c>
      <c r="S39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95" s="168">
        <f t="shared" si="62"/>
        <v>12.552</v>
      </c>
      <c r="U395" s="10">
        <f>IF(LS[[#This Row],[B/S]]="B",0,ABS(LS[[#This Row],[Unit]])*(LS[[#This Row],[NAV (Strike Rate)]]-INDEX(LS[NAV at Cost (Average)],MATCH(CONCATENATE(LS[[#This Row],[Frequency]]-1,LS[[#This Row],[Investor ID]]),LS[Unique Code],0),)))</f>
        <v>10649.99999999996</v>
      </c>
      <c r="V395" s="10" cm="1">
        <f t="array" ref="V395">IF(LS[[#This Row],[B/S]]="S",ABS(LS[[#This Row],[Unit]])*(INDEX(LS[NAV at Cost (Average)],MATCH(CONCATENATE((LS[[#This Row],[Frequency]]-1),LS[[#This Row],[Investor ID]]),LS[Unique Code],0),0)),0)</f>
        <v>500000</v>
      </c>
      <c r="W395" s="10">
        <f>IF(LS[[#This Row],[BO Transfer]]="YES",LS[[#This Row],[Unit]],)</f>
        <v>0</v>
      </c>
      <c r="X395" s="3">
        <f>SUMIFS(LS[[#Headers],[BO UNIT TRANSFER]]:LS[[#This Row],[BO UNIT TRANSFER]],LS[[#Headers],[Investor ID]]:LS[[#This Row],[Investor ID]],LS[[#This Row],[Investor ID]])</f>
        <v>0</v>
      </c>
    </row>
    <row r="396" spans="2:24">
      <c r="B396" s="8">
        <v>2024</v>
      </c>
      <c r="C396" s="8">
        <v>3</v>
      </c>
      <c r="D396" s="8">
        <v>12</v>
      </c>
      <c r="E396" s="291">
        <f>DATE(LS[[#This Row],[Year]],LS[[#This Row],[Month]],LS[[#This Row],[Day]])</f>
        <v>45363</v>
      </c>
      <c r="F396" t="str" cm="1">
        <f t="array" ref="F396">INDEX(INVESTORS_LIST[INVESTOR NAME],MATCH(LS[[#This Row],[Investor ID]],INVESTORS_LIST[INVESTOR CODE],0),)</f>
        <v>HOSNEARA ISLAM</v>
      </c>
      <c r="G396" s="19" t="s">
        <v>659</v>
      </c>
      <c r="H396" s="8">
        <f>COUNTIF(LS[[#Headers],[Investor ID]]:LS[[#This Row],[Investor ID]],LS[[#This Row],[Investor ID]])</f>
        <v>2</v>
      </c>
      <c r="I396" s="8" t="str">
        <f>CONCATENATE(LS[[#This Row],[Frequency]],LS[[#This Row],[Investor ID]])</f>
        <v>2A00356</v>
      </c>
      <c r="J396" s="8" t="str">
        <f>IF(LS[[#This Row],[B/S]]="B","BUY",(IF(LS[[#This Row],[B/S]]="S","SELL"," ")))</f>
        <v>SELL</v>
      </c>
      <c r="K396" s="8" t="s">
        <v>866</v>
      </c>
      <c r="L396" s="10">
        <v>-4595850</v>
      </c>
      <c r="M396" s="10"/>
      <c r="N396" s="168">
        <f>LS[[#This Row],[Amount]]/LS[[#This Row],[Unit]]</f>
        <v>10.212999999999999</v>
      </c>
      <c r="O396" s="11">
        <f t="shared" si="61"/>
        <v>-450000</v>
      </c>
      <c r="P396" s="11">
        <f>SUMIFS(LS[[#Headers],[Unit]]:LS[[#This Row],[Unit]],LS[[#Headers],[Investor ID]]:LS[[#This Row],[Investor ID]],LS[[#This Row],[Investor ID]])</f>
        <v>0</v>
      </c>
      <c r="Q396" s="10">
        <v>-4500000</v>
      </c>
      <c r="R396" s="6">
        <f>LS[[#This Row],[Amount]]-LS[[#This Row],[Unit Capital]]</f>
        <v>-95850</v>
      </c>
      <c r="S39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96" s="168">
        <f t="shared" si="62"/>
        <v>12.552</v>
      </c>
      <c r="U396" s="10">
        <f>IF(LS[[#This Row],[B/S]]="B",0,ABS(LS[[#This Row],[Unit]])*(LS[[#This Row],[NAV (Strike Rate)]]-INDEX(LS[NAV at Cost (Average)],MATCH(CONCATENATE(LS[[#This Row],[Frequency]]-1,LS[[#This Row],[Investor ID]]),LS[Unique Code],0),)))</f>
        <v>95849.999999999636</v>
      </c>
      <c r="V396" s="10" cm="1">
        <f t="array" ref="V396">IF(LS[[#This Row],[B/S]]="S",ABS(LS[[#This Row],[Unit]])*(INDEX(LS[NAV at Cost (Average)],MATCH(CONCATENATE((LS[[#This Row],[Frequency]]-1),LS[[#This Row],[Investor ID]]),LS[Unique Code],0),0)),0)</f>
        <v>4500000</v>
      </c>
      <c r="W396" s="10">
        <f>IF(LS[[#This Row],[BO Transfer]]="YES",LS[[#This Row],[Unit]],)</f>
        <v>0</v>
      </c>
      <c r="X396" s="3">
        <f>SUMIFS(LS[[#Headers],[BO UNIT TRANSFER]]:LS[[#This Row],[BO UNIT TRANSFER]],LS[[#Headers],[Investor ID]]:LS[[#This Row],[Investor ID]],LS[[#This Row],[Investor ID]])</f>
        <v>0</v>
      </c>
    </row>
    <row r="397" spans="2:24">
      <c r="B397" s="8">
        <v>2024</v>
      </c>
      <c r="C397" s="8">
        <v>3</v>
      </c>
      <c r="D397" s="8">
        <v>12</v>
      </c>
      <c r="E397" s="291">
        <f>DATE(LS[[#This Row],[Year]],LS[[#This Row],[Month]],LS[[#This Row],[Day]])</f>
        <v>45363</v>
      </c>
      <c r="F397" t="str" cm="1">
        <f t="array" ref="F397">INDEX(INVESTORS_LIST[INVESTOR NAME],MATCH(LS[[#This Row],[Investor ID]],INVESTORS_LIST[INVESTOR CODE],0),)</f>
        <v>EKUSH WEALTH MANAGEMENT LIMITED</v>
      </c>
      <c r="G397" s="19" t="s">
        <v>4</v>
      </c>
      <c r="H397" s="8">
        <f>COUNTIF(LS[[#Headers],[Investor ID]]:LS[[#This Row],[Investor ID]],LS[[#This Row],[Investor ID]])</f>
        <v>13</v>
      </c>
      <c r="I397" s="8" t="str">
        <f>CONCATENATE(LS[[#This Row],[Frequency]],LS[[#This Row],[Investor ID]])</f>
        <v>13A00003</v>
      </c>
      <c r="J397" s="8" t="str">
        <f>IF(LS[[#This Row],[B/S]]="B","BUY",(IF(LS[[#This Row],[B/S]]="S","SELL"," ")))</f>
        <v>BUY</v>
      </c>
      <c r="K397" s="8" t="s">
        <v>301</v>
      </c>
      <c r="L397" s="10">
        <v>8650000</v>
      </c>
      <c r="M397" s="10"/>
      <c r="N397" s="168">
        <f>LS[[#This Row],[Amount]]/LS[[#This Row],[Unit]]</f>
        <v>9.852003544443356</v>
      </c>
      <c r="O397" s="11">
        <f t="shared" si="61"/>
        <v>877994</v>
      </c>
      <c r="P397" s="11">
        <f>SUMIFS(LS[[#Headers],[Unit]]:LS[[#This Row],[Unit]],LS[[#Headers],[Investor ID]]:LS[[#This Row],[Investor ID]],LS[[#This Row],[Investor ID]])</f>
        <v>1888022</v>
      </c>
      <c r="Q397" s="10">
        <v>8779940</v>
      </c>
      <c r="R397" s="6">
        <f>LS[[#This Row],[Amount]]-LS[[#This Row],[Unit Capital]]</f>
        <v>-129940</v>
      </c>
      <c r="S39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9.9821589963615089</v>
      </c>
      <c r="T397" s="168">
        <f t="shared" si="62"/>
        <v>12.552</v>
      </c>
      <c r="U39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97" s="10" cm="1">
        <f t="array" ref="V397">IF(LS[[#This Row],[B/S]]="S",ABS(LS[[#This Row],[Unit]])*(INDEX(LS[NAV at Cost (Average)],MATCH(CONCATENATE((LS[[#This Row],[Frequency]]-1),LS[[#This Row],[Investor ID]]),LS[Unique Code],0),0)),0)</f>
        <v>0</v>
      </c>
      <c r="W397" s="10">
        <f>IF(LS[[#This Row],[BO Transfer]]="YES",LS[[#This Row],[Unit]],)</f>
        <v>0</v>
      </c>
      <c r="X397" s="3">
        <f>SUMIFS(LS[[#Headers],[BO UNIT TRANSFER]]:LS[[#This Row],[BO UNIT TRANSFER]],LS[[#Headers],[Investor ID]]:LS[[#This Row],[Investor ID]],LS[[#This Row],[Investor ID]])</f>
        <v>0</v>
      </c>
    </row>
    <row r="398" spans="2:24">
      <c r="B398" s="8">
        <v>2024</v>
      </c>
      <c r="C398" s="8">
        <v>3</v>
      </c>
      <c r="D398" s="8">
        <v>13</v>
      </c>
      <c r="E398" s="291">
        <f>DATE(LS[[#This Row],[Year]],LS[[#This Row],[Month]],LS[[#This Row],[Day]])</f>
        <v>45364</v>
      </c>
      <c r="F398" t="str" cm="1">
        <f t="array" ref="F398">INDEX(INVESTORS_LIST[INVESTOR NAME],MATCH(LS[[#This Row],[Investor ID]],INVESTORS_LIST[INVESTOR CODE],0),)</f>
        <v>EKUSH WEALTH MANAGEMENT LIMITED</v>
      </c>
      <c r="G398" s="19" t="s">
        <v>4</v>
      </c>
      <c r="H398" s="8">
        <f>COUNTIF(LS[[#Headers],[Investor ID]]:LS[[#This Row],[Investor ID]],LS[[#This Row],[Investor ID]])</f>
        <v>14</v>
      </c>
      <c r="I398" s="8" t="str">
        <f>CONCATENATE(LS[[#This Row],[Frequency]],LS[[#This Row],[Investor ID]])</f>
        <v>14A00003</v>
      </c>
      <c r="J398" s="8" t="str">
        <f>IF(LS[[#This Row],[B/S]]="B","BUY",(IF(LS[[#This Row],[B/S]]="S","SELL"," ")))</f>
        <v>BUY</v>
      </c>
      <c r="K398" s="8" t="s">
        <v>301</v>
      </c>
      <c r="L398" s="10">
        <v>1500000</v>
      </c>
      <c r="M398" s="10"/>
      <c r="N398" s="168">
        <f>LS[[#This Row],[Amount]]/LS[[#This Row],[Unit]]</f>
        <v>9.852022620243936</v>
      </c>
      <c r="O398" s="11">
        <f t="shared" si="61"/>
        <v>152253</v>
      </c>
      <c r="P398" s="11">
        <f>SUMIFS(LS[[#Headers],[Unit]]:LS[[#This Row],[Unit]],LS[[#Headers],[Investor ID]]:LS[[#This Row],[Investor ID]],LS[[#This Row],[Investor ID]])</f>
        <v>2040275</v>
      </c>
      <c r="Q398" s="10">
        <v>1522530</v>
      </c>
      <c r="R398" s="6">
        <f>LS[[#This Row],[Amount]]-LS[[#This Row],[Unit Capital]]</f>
        <v>-22530</v>
      </c>
      <c r="S39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9.9724477301483621</v>
      </c>
      <c r="T398" s="168">
        <f t="shared" si="62"/>
        <v>12.552</v>
      </c>
      <c r="U39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398" s="10" cm="1">
        <f t="array" ref="V398">IF(LS[[#This Row],[B/S]]="S",ABS(LS[[#This Row],[Unit]])*(INDEX(LS[NAV at Cost (Average)],MATCH(CONCATENATE((LS[[#This Row],[Frequency]]-1),LS[[#This Row],[Investor ID]]),LS[Unique Code],0),0)),0)</f>
        <v>0</v>
      </c>
      <c r="W398" s="10">
        <f>IF(LS[[#This Row],[BO Transfer]]="YES",LS[[#This Row],[Unit]],)</f>
        <v>0</v>
      </c>
      <c r="X398" s="3">
        <f>SUMIFS(LS[[#Headers],[BO UNIT TRANSFER]]:LS[[#This Row],[BO UNIT TRANSFER]],LS[[#Headers],[Investor ID]]:LS[[#This Row],[Investor ID]],LS[[#This Row],[Investor ID]])</f>
        <v>0</v>
      </c>
    </row>
    <row r="399" spans="2:24">
      <c r="B399" s="8">
        <v>2024</v>
      </c>
      <c r="C399" s="8">
        <v>3</v>
      </c>
      <c r="D399" s="8">
        <v>13</v>
      </c>
      <c r="E399" s="291">
        <f>DATE(LS[[#This Row],[Year]],LS[[#This Row],[Month]],LS[[#This Row],[Day]])</f>
        <v>45364</v>
      </c>
      <c r="F399" t="str" cm="1">
        <f t="array" ref="F399">INDEX(INVESTORS_LIST[INVESTOR NAME],MATCH(LS[[#This Row],[Investor ID]],INVESTORS_LIST[INVESTOR CODE],0),)</f>
        <v>SUJAN BARUA</v>
      </c>
      <c r="G399" s="25" t="s">
        <v>74</v>
      </c>
      <c r="H399" s="8">
        <f>COUNTIF(LS[[#Headers],[Investor ID]]:LS[[#This Row],[Investor ID]],LS[[#This Row],[Investor ID]])</f>
        <v>2</v>
      </c>
      <c r="I399" s="8" t="str">
        <f>CONCATENATE(LS[[#This Row],[Frequency]],LS[[#This Row],[Investor ID]])</f>
        <v>2A00066</v>
      </c>
      <c r="J399" s="8" t="str">
        <f>IF(LS[[#This Row],[B/S]]="B","BUY",(IF(LS[[#This Row],[B/S]]="S","SELL"," ")))</f>
        <v>SELL</v>
      </c>
      <c r="K399" s="8" t="s">
        <v>866</v>
      </c>
      <c r="L399" s="10">
        <v>-102130</v>
      </c>
      <c r="M399" s="10"/>
      <c r="N399" s="168">
        <f>LS[[#This Row],[Amount]]/LS[[#This Row],[Unit]]</f>
        <v>10.212999999999999</v>
      </c>
      <c r="O399" s="11">
        <f t="shared" si="61"/>
        <v>-10000</v>
      </c>
      <c r="P399" s="11">
        <f>SUMIFS(LS[[#Headers],[Unit]]:LS[[#This Row],[Unit]],LS[[#Headers],[Investor ID]]:LS[[#This Row],[Investor ID]],LS[[#This Row],[Investor ID]])</f>
        <v>0</v>
      </c>
      <c r="Q399" s="10">
        <v>-100000</v>
      </c>
      <c r="R399" s="6">
        <f>LS[[#This Row],[Amount]]-LS[[#This Row],[Unit Capital]]</f>
        <v>-2130</v>
      </c>
      <c r="S39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399" s="168">
        <f t="shared" si="62"/>
        <v>12.552</v>
      </c>
      <c r="U399" s="10">
        <f>IF(LS[[#This Row],[B/S]]="B",0,ABS(LS[[#This Row],[Unit]])*(LS[[#This Row],[NAV (Strike Rate)]]-INDEX(LS[NAV at Cost (Average)],MATCH(CONCATENATE(LS[[#This Row],[Frequency]]-1,LS[[#This Row],[Investor ID]]),LS[Unique Code],0),)))</f>
        <v>2129.9999999999918</v>
      </c>
      <c r="V399" s="10" cm="1">
        <f t="array" ref="V399">IF(LS[[#This Row],[B/S]]="S",ABS(LS[[#This Row],[Unit]])*(INDEX(LS[NAV at Cost (Average)],MATCH(CONCATENATE((LS[[#This Row],[Frequency]]-1),LS[[#This Row],[Investor ID]]),LS[Unique Code],0),0)),0)</f>
        <v>100000</v>
      </c>
      <c r="W399" s="10">
        <f>IF(LS[[#This Row],[BO Transfer]]="YES",LS[[#This Row],[Unit]],)</f>
        <v>0</v>
      </c>
      <c r="X399" s="3">
        <f>SUMIFS(LS[[#Headers],[BO UNIT TRANSFER]]:LS[[#This Row],[BO UNIT TRANSFER]],LS[[#Headers],[Investor ID]]:LS[[#This Row],[Investor ID]],LS[[#This Row],[Investor ID]])</f>
        <v>0</v>
      </c>
    </row>
    <row r="400" spans="2:24">
      <c r="B400" s="8">
        <v>2024</v>
      </c>
      <c r="C400" s="8">
        <v>3</v>
      </c>
      <c r="D400" s="8">
        <v>14</v>
      </c>
      <c r="E400" s="291">
        <f>DATE(LS[[#This Row],[Year]],LS[[#This Row],[Month]],LS[[#This Row],[Day]])</f>
        <v>45365</v>
      </c>
      <c r="F400" t="str" cm="1">
        <f t="array" ref="F400">INDEX(INVESTORS_LIST[INVESTOR NAME],MATCH(LS[[#This Row],[Investor ID]],INVESTORS_LIST[INVESTOR CODE],0),)</f>
        <v>HARI PADA SAHA</v>
      </c>
      <c r="G400" s="201" t="s">
        <v>1</v>
      </c>
      <c r="H400" s="8">
        <f>COUNTIF(LS[[#Headers],[Investor ID]]:LS[[#This Row],[Investor ID]],LS[[#This Row],[Investor ID]])</f>
        <v>3</v>
      </c>
      <c r="I400" s="8" t="str">
        <f>CONCATENATE(LS[[#This Row],[Frequency]],LS[[#This Row],[Investor ID]])</f>
        <v>3A00002</v>
      </c>
      <c r="J400" s="8" t="str">
        <f>IF(LS[[#This Row],[B/S]]="B","BUY",(IF(LS[[#This Row],[B/S]]="S","SELL"," ")))</f>
        <v>BUY</v>
      </c>
      <c r="K400" s="8" t="s">
        <v>301</v>
      </c>
      <c r="L400" s="10">
        <v>14450.21</v>
      </c>
      <c r="M400" s="10"/>
      <c r="N400" s="168">
        <f>LS[[#This Row],[Amount]]/LS[[#This Row],[Unit]]</f>
        <v>9.8501772324471712</v>
      </c>
      <c r="O400" s="11">
        <f t="shared" ref="O400:O406" si="63">Q400/10</f>
        <v>1467</v>
      </c>
      <c r="P400" s="11">
        <f>SUMIFS(LS[[#Headers],[Unit]]:LS[[#This Row],[Unit]],LS[[#Headers],[Investor ID]]:LS[[#This Row],[Investor ID]],LS[[#This Row],[Investor ID]])</f>
        <v>69468</v>
      </c>
      <c r="Q400" s="10">
        <v>14670</v>
      </c>
      <c r="R400" s="6">
        <f>LS[[#This Row],[Amount]]-LS[[#This Row],[Unit Capital]]</f>
        <v>-219.79000000000087</v>
      </c>
      <c r="S40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10.061725830598261</v>
      </c>
      <c r="T400" s="168">
        <f t="shared" ref="T400:T431" si="64">IFERROR(NAV_MKT,0)</f>
        <v>12.552</v>
      </c>
      <c r="U40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00" s="10" cm="1">
        <f t="array" ref="V400">IF(LS[[#This Row],[B/S]]="S",ABS(LS[[#This Row],[Unit]])*(INDEX(LS[NAV at Cost (Average)],MATCH(CONCATENATE((LS[[#This Row],[Frequency]]-1),LS[[#This Row],[Investor ID]]),LS[Unique Code],0),0)),0)</f>
        <v>0</v>
      </c>
      <c r="W400" s="10">
        <f>IF(LS[[#This Row],[BO Transfer]]="YES",LS[[#This Row],[Unit]],)</f>
        <v>0</v>
      </c>
      <c r="X400" s="3">
        <f>SUMIFS(LS[[#Headers],[BO UNIT TRANSFER]]:LS[[#This Row],[BO UNIT TRANSFER]],LS[[#Headers],[Investor ID]]:LS[[#This Row],[Investor ID]],LS[[#This Row],[Investor ID]])</f>
        <v>0</v>
      </c>
    </row>
    <row r="401" spans="2:24">
      <c r="B401" s="8">
        <v>2024</v>
      </c>
      <c r="C401" s="8">
        <v>3</v>
      </c>
      <c r="D401" s="8">
        <v>14</v>
      </c>
      <c r="E401" s="291">
        <f>DATE(LS[[#This Row],[Year]],LS[[#This Row],[Month]],LS[[#This Row],[Day]])</f>
        <v>45365</v>
      </c>
      <c r="F401" t="str" cm="1">
        <f t="array" ref="F401">INDEX(INVESTORS_LIST[INVESTOR NAME],MATCH(LS[[#This Row],[Investor ID]],INVESTORS_LIST[INVESTOR CODE],0),)</f>
        <v>EKUSH WEALTH MANAGEMENT LIMITED</v>
      </c>
      <c r="G401" s="201" t="s">
        <v>4</v>
      </c>
      <c r="H401" s="8">
        <f>COUNTIF(LS[[#Headers],[Investor ID]]:LS[[#This Row],[Investor ID]],LS[[#This Row],[Investor ID]])</f>
        <v>15</v>
      </c>
      <c r="I401" s="8" t="str">
        <f>CONCATENATE(LS[[#This Row],[Frequency]],LS[[#This Row],[Investor ID]])</f>
        <v>15A00003</v>
      </c>
      <c r="J401" s="8" t="str">
        <f>IF(LS[[#This Row],[B/S]]="B","BUY",(IF(LS[[#This Row],[B/S]]="S","SELL"," ")))</f>
        <v>BUY</v>
      </c>
      <c r="K401" s="8" t="s">
        <v>301</v>
      </c>
      <c r="L401" s="10">
        <v>202005.6</v>
      </c>
      <c r="M401" s="10"/>
      <c r="N401" s="168">
        <f>LS[[#This Row],[Amount]]/LS[[#This Row],[Unit]]</f>
        <v>9.8520093640265323</v>
      </c>
      <c r="O401" s="11">
        <f t="shared" si="63"/>
        <v>20504</v>
      </c>
      <c r="P401" s="11">
        <f>SUMIFS(LS[[#Headers],[Unit]]:LS[[#This Row],[Unit]],LS[[#Headers],[Investor ID]]:LS[[#This Row],[Investor ID]],LS[[#This Row],[Investor ID]])</f>
        <v>2060779</v>
      </c>
      <c r="Q401" s="10">
        <v>205040</v>
      </c>
      <c r="R401" s="6">
        <f>LS[[#This Row],[Amount]]-LS[[#This Row],[Unit Capital]]</f>
        <v>-3034.3999999999942</v>
      </c>
      <c r="S40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9.9712494122991586</v>
      </c>
      <c r="T401" s="168">
        <f t="shared" si="64"/>
        <v>12.552</v>
      </c>
      <c r="U40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01" s="10" cm="1">
        <f t="array" ref="V401">IF(LS[[#This Row],[B/S]]="S",ABS(LS[[#This Row],[Unit]])*(INDEX(LS[NAV at Cost (Average)],MATCH(CONCATENATE((LS[[#This Row],[Frequency]]-1),LS[[#This Row],[Investor ID]]),LS[Unique Code],0),0)),0)</f>
        <v>0</v>
      </c>
      <c r="W401" s="10">
        <f>IF(LS[[#This Row],[BO Transfer]]="YES",LS[[#This Row],[Unit]],)</f>
        <v>0</v>
      </c>
      <c r="X401" s="3">
        <f>SUMIFS(LS[[#Headers],[BO UNIT TRANSFER]]:LS[[#This Row],[BO UNIT TRANSFER]],LS[[#Headers],[Investor ID]]:LS[[#This Row],[Investor ID]],LS[[#This Row],[Investor ID]])</f>
        <v>0</v>
      </c>
    </row>
    <row r="402" spans="2:24">
      <c r="B402" s="8">
        <v>2024</v>
      </c>
      <c r="C402" s="8">
        <v>3</v>
      </c>
      <c r="D402" s="8">
        <v>14</v>
      </c>
      <c r="E402" s="291">
        <f>DATE(LS[[#This Row],[Year]],LS[[#This Row],[Month]],LS[[#This Row],[Day]])</f>
        <v>45365</v>
      </c>
      <c r="F402" t="str" cm="1">
        <f t="array" ref="F402">INDEX(INVESTORS_LIST[INVESTOR NAME],MATCH(LS[[#This Row],[Investor ID]],INVESTORS_LIST[INVESTOR CODE],0),)</f>
        <v>ABDUL HAI BHUYAN</v>
      </c>
      <c r="G402" s="201" t="s">
        <v>22</v>
      </c>
      <c r="H402" s="8">
        <f>COUNTIF(LS[[#Headers],[Investor ID]]:LS[[#This Row],[Investor ID]],LS[[#This Row],[Investor ID]])</f>
        <v>2</v>
      </c>
      <c r="I402" s="8" t="str">
        <f>CONCATENATE(LS[[#This Row],[Frequency]],LS[[#This Row],[Investor ID]])</f>
        <v>2A00015</v>
      </c>
      <c r="J402" s="8" t="str">
        <f>IF(LS[[#This Row],[B/S]]="B","BUY",(IF(LS[[#This Row],[B/S]]="S","SELL"," ")))</f>
        <v>BUY</v>
      </c>
      <c r="K402" s="8" t="s">
        <v>301</v>
      </c>
      <c r="L402" s="10">
        <v>4500</v>
      </c>
      <c r="M402" s="10"/>
      <c r="N402" s="168">
        <f>LS[[#This Row],[Amount]]/LS[[#This Row],[Unit]]</f>
        <v>9.8468271334792128</v>
      </c>
      <c r="O402" s="11">
        <f t="shared" si="63"/>
        <v>457</v>
      </c>
      <c r="P402" s="11">
        <f>SUMIFS(LS[[#Headers],[Unit]]:LS[[#This Row],[Unit]],LS[[#Headers],[Investor ID]]:LS[[#This Row],[Investor ID]],LS[[#This Row],[Investor ID]])</f>
        <v>20457</v>
      </c>
      <c r="Q402" s="10">
        <v>4570</v>
      </c>
      <c r="R402" s="6">
        <f>LS[[#This Row],[Amount]]-LS[[#This Row],[Unit Capital]]</f>
        <v>-70</v>
      </c>
      <c r="S40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9.996578188395171</v>
      </c>
      <c r="T402" s="168">
        <f t="shared" si="64"/>
        <v>12.552</v>
      </c>
      <c r="U40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02" s="10" cm="1">
        <f t="array" ref="V402">IF(LS[[#This Row],[B/S]]="S",ABS(LS[[#This Row],[Unit]])*(INDEX(LS[NAV at Cost (Average)],MATCH(CONCATENATE((LS[[#This Row],[Frequency]]-1),LS[[#This Row],[Investor ID]]),LS[Unique Code],0),0)),0)</f>
        <v>0</v>
      </c>
      <c r="W402" s="10">
        <f>IF(LS[[#This Row],[BO Transfer]]="YES",LS[[#This Row],[Unit]],)</f>
        <v>0</v>
      </c>
      <c r="X402" s="3">
        <f>SUMIFS(LS[[#Headers],[BO UNIT TRANSFER]]:LS[[#This Row],[BO UNIT TRANSFER]],LS[[#Headers],[Investor ID]]:LS[[#This Row],[Investor ID]],LS[[#This Row],[Investor ID]])</f>
        <v>0</v>
      </c>
    </row>
    <row r="403" spans="2:24">
      <c r="B403" s="8">
        <v>2024</v>
      </c>
      <c r="C403" s="8">
        <v>3</v>
      </c>
      <c r="D403" s="8">
        <v>14</v>
      </c>
      <c r="E403" s="291">
        <f>DATE(LS[[#This Row],[Year]],LS[[#This Row],[Month]],LS[[#This Row],[Day]])</f>
        <v>45365</v>
      </c>
      <c r="F403" t="str" cm="1">
        <f t="array" ref="F403">INDEX(INVESTORS_LIST[INVESTOR NAME],MATCH(LS[[#This Row],[Investor ID]],INVESTORS_LIST[INVESTOR CODE],0),)</f>
        <v>TANIZA MAZED</v>
      </c>
      <c r="G403" s="201" t="s">
        <v>26</v>
      </c>
      <c r="H403" s="8">
        <f>COUNTIF(LS[[#Headers],[Investor ID]]:LS[[#This Row],[Investor ID]],LS[[#This Row],[Investor ID]])</f>
        <v>2</v>
      </c>
      <c r="I403" s="8" t="str">
        <f>CONCATENATE(LS[[#This Row],[Frequency]],LS[[#This Row],[Investor ID]])</f>
        <v>2A00019</v>
      </c>
      <c r="J403" s="8" t="str">
        <f>IF(LS[[#This Row],[B/S]]="B","BUY",(IF(LS[[#This Row],[B/S]]="S","SELL"," ")))</f>
        <v>BUY</v>
      </c>
      <c r="K403" s="8" t="s">
        <v>301</v>
      </c>
      <c r="L403" s="10">
        <v>22500</v>
      </c>
      <c r="M403" s="10"/>
      <c r="N403" s="168">
        <f>LS[[#This Row],[Amount]]/LS[[#This Row],[Unit]]</f>
        <v>9.8511383537653234</v>
      </c>
      <c r="O403" s="11">
        <f t="shared" si="63"/>
        <v>2284</v>
      </c>
      <c r="P403" s="11">
        <f>SUMIFS(LS[[#Headers],[Unit]]:LS[[#This Row],[Unit]],LS[[#Headers],[Investor ID]]:LS[[#This Row],[Investor ID]],LS[[#This Row],[Investor ID]])</f>
        <v>102284</v>
      </c>
      <c r="Q403" s="10">
        <v>22840</v>
      </c>
      <c r="R403" s="6">
        <f>LS[[#This Row],[Amount]]-LS[[#This Row],[Unit Capital]]</f>
        <v>-340</v>
      </c>
      <c r="S40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9.9966759219428258</v>
      </c>
      <c r="T403" s="168">
        <f t="shared" si="64"/>
        <v>12.552</v>
      </c>
      <c r="U40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03" s="10" cm="1">
        <f t="array" ref="V403">IF(LS[[#This Row],[B/S]]="S",ABS(LS[[#This Row],[Unit]])*(INDEX(LS[NAV at Cost (Average)],MATCH(CONCATENATE((LS[[#This Row],[Frequency]]-1),LS[[#This Row],[Investor ID]]),LS[Unique Code],0),0)),0)</f>
        <v>0</v>
      </c>
      <c r="W403" s="10">
        <f>IF(LS[[#This Row],[BO Transfer]]="YES",LS[[#This Row],[Unit]],)</f>
        <v>0</v>
      </c>
      <c r="X403" s="3">
        <f>SUMIFS(LS[[#Headers],[BO UNIT TRANSFER]]:LS[[#This Row],[BO UNIT TRANSFER]],LS[[#Headers],[Investor ID]]:LS[[#This Row],[Investor ID]],LS[[#This Row],[Investor ID]])</f>
        <v>0</v>
      </c>
    </row>
    <row r="404" spans="2:24">
      <c r="B404" s="8">
        <v>2024</v>
      </c>
      <c r="C404" s="8">
        <v>3</v>
      </c>
      <c r="D404" s="8">
        <v>14</v>
      </c>
      <c r="E404" s="291">
        <f>DATE(LS[[#This Row],[Year]],LS[[#This Row],[Month]],LS[[#This Row],[Day]])</f>
        <v>45365</v>
      </c>
      <c r="F404" t="str" cm="1">
        <f t="array" ref="F404">INDEX(INVESTORS_LIST[INVESTOR NAME],MATCH(LS[[#This Row],[Investor ID]],INVESTORS_LIST[INVESTOR CODE],0),)</f>
        <v>MRIDUL KUMAR DEY</v>
      </c>
      <c r="G404" s="201" t="s">
        <v>27</v>
      </c>
      <c r="H404" s="8">
        <f>COUNTIF(LS[[#Headers],[Investor ID]]:LS[[#This Row],[Investor ID]],LS[[#This Row],[Investor ID]])</f>
        <v>1</v>
      </c>
      <c r="I404" s="8" t="str">
        <f>CONCATENATE(LS[[#This Row],[Frequency]],LS[[#This Row],[Investor ID]])</f>
        <v>1A00020</v>
      </c>
      <c r="J404" s="8" t="str">
        <f>IF(LS[[#This Row],[B/S]]="B","BUY",(IF(LS[[#This Row],[B/S]]="S","SELL"," ")))</f>
        <v>BUY</v>
      </c>
      <c r="K404" s="8" t="s">
        <v>301</v>
      </c>
      <c r="L404" s="10">
        <v>2343.8200000000002</v>
      </c>
      <c r="M404" s="10"/>
      <c r="N404" s="168">
        <f>LS[[#This Row],[Amount]]/LS[[#This Row],[Unit]]</f>
        <v>9.8479831932773116</v>
      </c>
      <c r="O404" s="11">
        <f t="shared" si="63"/>
        <v>238</v>
      </c>
      <c r="P404" s="11">
        <f>SUMIFS(LS[[#Headers],[Unit]]:LS[[#This Row],[Unit]],LS[[#Headers],[Investor ID]]:LS[[#This Row],[Investor ID]],LS[[#This Row],[Investor ID]])</f>
        <v>238</v>
      </c>
      <c r="Q404" s="10">
        <v>2380</v>
      </c>
      <c r="R404" s="6">
        <f>LS[[#This Row],[Amount]]-LS[[#This Row],[Unit Capital]]</f>
        <v>-36.179999999999836</v>
      </c>
      <c r="S40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9.8479831932773116</v>
      </c>
      <c r="T404" s="168">
        <f t="shared" si="64"/>
        <v>12.552</v>
      </c>
      <c r="U40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04" s="10" cm="1">
        <f t="array" ref="V404">IF(LS[[#This Row],[B/S]]="S",ABS(LS[[#This Row],[Unit]])*(INDEX(LS[NAV at Cost (Average)],MATCH(CONCATENATE((LS[[#This Row],[Frequency]]-1),LS[[#This Row],[Investor ID]]),LS[Unique Code],0),0)),0)</f>
        <v>0</v>
      </c>
      <c r="W404" s="10">
        <f>IF(LS[[#This Row],[BO Transfer]]="YES",LS[[#This Row],[Unit]],)</f>
        <v>0</v>
      </c>
      <c r="X404" s="3">
        <f>SUMIFS(LS[[#Headers],[BO UNIT TRANSFER]]:LS[[#This Row],[BO UNIT TRANSFER]],LS[[#Headers],[Investor ID]]:LS[[#This Row],[Investor ID]],LS[[#This Row],[Investor ID]])</f>
        <v>0</v>
      </c>
    </row>
    <row r="405" spans="2:24">
      <c r="B405" s="8">
        <v>2024</v>
      </c>
      <c r="C405" s="8">
        <v>3</v>
      </c>
      <c r="D405" s="8">
        <v>14</v>
      </c>
      <c r="E405" s="291">
        <f>DATE(LS[[#This Row],[Year]],LS[[#This Row],[Month]],LS[[#This Row],[Day]])</f>
        <v>45365</v>
      </c>
      <c r="F405" t="str" cm="1">
        <f t="array" ref="F405">INDEX(INVESTORS_LIST[INVESTOR NAME],MATCH(LS[[#This Row],[Investor ID]],INVESTORS_LIST[INVESTOR CODE],0),)</f>
        <v>FAHMIDA HAQUE</v>
      </c>
      <c r="G405" s="201" t="s">
        <v>33</v>
      </c>
      <c r="H405" s="8">
        <f>COUNTIF(LS[[#Headers],[Investor ID]]:LS[[#This Row],[Investor ID]],LS[[#This Row],[Investor ID]])</f>
        <v>2</v>
      </c>
      <c r="I405" s="8" t="str">
        <f>CONCATENATE(LS[[#This Row],[Frequency]],LS[[#This Row],[Investor ID]])</f>
        <v>2A00026</v>
      </c>
      <c r="J405" s="8" t="str">
        <f>IF(LS[[#This Row],[B/S]]="B","BUY",(IF(LS[[#This Row],[B/S]]="S","SELL"," ")))</f>
        <v>BUY</v>
      </c>
      <c r="K405" s="8" t="s">
        <v>301</v>
      </c>
      <c r="L405" s="10">
        <v>11363.619999999999</v>
      </c>
      <c r="M405" s="10"/>
      <c r="N405" s="168">
        <f>LS[[#This Row],[Amount]]/LS[[#This Row],[Unit]]</f>
        <v>9.8556981786643529</v>
      </c>
      <c r="O405" s="11">
        <f t="shared" si="63"/>
        <v>1153</v>
      </c>
      <c r="P405" s="11">
        <f>SUMIFS(LS[[#Headers],[Unit]]:LS[[#This Row],[Unit]],LS[[#Headers],[Investor ID]]:LS[[#This Row],[Investor ID]],LS[[#This Row],[Investor ID]])</f>
        <v>51658</v>
      </c>
      <c r="Q405" s="10">
        <v>11530</v>
      </c>
      <c r="R405" s="6">
        <f>LS[[#This Row],[Amount]]-LS[[#This Row],[Unit Capital]]</f>
        <v>-166.38000000000102</v>
      </c>
      <c r="S40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9.8990208680165708</v>
      </c>
      <c r="T405" s="168">
        <f t="shared" si="64"/>
        <v>12.552</v>
      </c>
      <c r="U40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05" s="10" cm="1">
        <f t="array" ref="V405">IF(LS[[#This Row],[B/S]]="S",ABS(LS[[#This Row],[Unit]])*(INDEX(LS[NAV at Cost (Average)],MATCH(CONCATENATE((LS[[#This Row],[Frequency]]-1),LS[[#This Row],[Investor ID]]),LS[Unique Code],0),0)),0)</f>
        <v>0</v>
      </c>
      <c r="W405" s="10">
        <f>IF(LS[[#This Row],[BO Transfer]]="YES",LS[[#This Row],[Unit]],)</f>
        <v>0</v>
      </c>
      <c r="X405" s="3">
        <f>SUMIFS(LS[[#Headers],[BO UNIT TRANSFER]]:LS[[#This Row],[BO UNIT TRANSFER]],LS[[#Headers],[Investor ID]]:LS[[#This Row],[Investor ID]],LS[[#This Row],[Investor ID]])</f>
        <v>0</v>
      </c>
    </row>
    <row r="406" spans="2:24">
      <c r="B406" s="8">
        <v>2024</v>
      </c>
      <c r="C406" s="8">
        <v>3</v>
      </c>
      <c r="D406" s="8">
        <v>14</v>
      </c>
      <c r="E406" s="291">
        <f>DATE(LS[[#This Row],[Year]],LS[[#This Row],[Month]],LS[[#This Row],[Day]])</f>
        <v>45365</v>
      </c>
      <c r="F406" t="str" cm="1">
        <f t="array" ref="F406">INDEX(INVESTORS_LIST[INVESTOR NAME],MATCH(LS[[#This Row],[Investor ID]],INVESTORS_LIST[INVESTOR CODE],0),)</f>
        <v>TANVIR AHMED SIDDIQUI</v>
      </c>
      <c r="G406" s="201" t="s">
        <v>39</v>
      </c>
      <c r="H406" s="8">
        <f>COUNTIF(LS[[#Headers],[Investor ID]]:LS[[#This Row],[Investor ID]],LS[[#This Row],[Investor ID]])</f>
        <v>4</v>
      </c>
      <c r="I406" s="8" t="str">
        <f>CONCATENATE(LS[[#This Row],[Frequency]],LS[[#This Row],[Investor ID]])</f>
        <v>4A00032</v>
      </c>
      <c r="J406" s="8" t="str">
        <f>IF(LS[[#This Row],[B/S]]="B","BUY",(IF(LS[[#This Row],[B/S]]="S","SELL"," ")))</f>
        <v>BUY</v>
      </c>
      <c r="K406" s="8" t="s">
        <v>301</v>
      </c>
      <c r="L406" s="10">
        <v>3162.85</v>
      </c>
      <c r="M406" s="10"/>
      <c r="N406" s="168">
        <f>LS[[#This Row],[Amount]]/LS[[#This Row],[Unit]]</f>
        <v>9.8531152647975073</v>
      </c>
      <c r="O406" s="11">
        <f t="shared" si="63"/>
        <v>321</v>
      </c>
      <c r="P406" s="11">
        <f>SUMIFS(LS[[#Headers],[Unit]]:LS[[#This Row],[Unit]],LS[[#Headers],[Investor ID]]:LS[[#This Row],[Investor ID]],LS[[#This Row],[Investor ID]])</f>
        <v>15205</v>
      </c>
      <c r="Q406" s="10">
        <v>3210</v>
      </c>
      <c r="R406" s="6">
        <f>LS[[#This Row],[Amount]]-LS[[#This Row],[Unit Capital]]</f>
        <v>-47.150000000000091</v>
      </c>
      <c r="S40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10.073189740217032</v>
      </c>
      <c r="T406" s="168">
        <f t="shared" si="64"/>
        <v>12.552</v>
      </c>
      <c r="U40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06" s="10" cm="1">
        <f t="array" ref="V406">IF(LS[[#This Row],[B/S]]="S",ABS(LS[[#This Row],[Unit]])*(INDEX(LS[NAV at Cost (Average)],MATCH(CONCATENATE((LS[[#This Row],[Frequency]]-1),LS[[#This Row],[Investor ID]]),LS[Unique Code],0),0)),0)</f>
        <v>0</v>
      </c>
      <c r="W406" s="10">
        <f>IF(LS[[#This Row],[BO Transfer]]="YES",LS[[#This Row],[Unit]],)</f>
        <v>0</v>
      </c>
      <c r="X406" s="3">
        <f>SUMIFS(LS[[#Headers],[BO UNIT TRANSFER]]:LS[[#This Row],[BO UNIT TRANSFER]],LS[[#Headers],[Investor ID]]:LS[[#This Row],[Investor ID]],LS[[#This Row],[Investor ID]])</f>
        <v>0</v>
      </c>
    </row>
    <row r="407" spans="2:24">
      <c r="B407" s="8">
        <v>2024</v>
      </c>
      <c r="C407" s="8">
        <v>3</v>
      </c>
      <c r="D407" s="8">
        <v>14</v>
      </c>
      <c r="E407" s="291">
        <f>DATE(LS[[#This Row],[Year]],LS[[#This Row],[Month]],LS[[#This Row],[Day]])</f>
        <v>45365</v>
      </c>
      <c r="F407" t="str" cm="1">
        <f t="array" ref="F407">INDEX(INVESTORS_LIST[INVESTOR NAME],MATCH(LS[[#This Row],[Investor ID]],INVESTORS_LIST[INVESTOR CODE],0),)</f>
        <v>UCB STOCK BROKERAGE LIMITED</v>
      </c>
      <c r="G407" s="201" t="s">
        <v>50</v>
      </c>
      <c r="H407" s="8">
        <f>COUNTIF(LS[[#Headers],[Investor ID]]:LS[[#This Row],[Investor ID]],LS[[#This Row],[Investor ID]])</f>
        <v>2</v>
      </c>
      <c r="I407" s="8" t="str">
        <f>CONCATENATE(LS[[#This Row],[Frequency]],LS[[#This Row],[Investor ID]])</f>
        <v>2A00043</v>
      </c>
      <c r="J407" s="8" t="str">
        <f>IF(LS[[#This Row],[B/S]]="B","BUY",(IF(LS[[#This Row],[B/S]]="S","SELL"," ")))</f>
        <v>BUY</v>
      </c>
      <c r="K407" s="8" t="s">
        <v>301</v>
      </c>
      <c r="L407" s="10">
        <v>50000</v>
      </c>
      <c r="M407" s="10"/>
      <c r="N407" s="168">
        <f>LS[[#This Row],[Amount]]/LS[[#This Row],[Unit]]</f>
        <v>9.8522167487684733</v>
      </c>
      <c r="O407" s="11">
        <f>Q407/10</f>
        <v>5075</v>
      </c>
      <c r="P407" s="11">
        <f>SUMIFS(LS[[#Headers],[Unit]]:LS[[#This Row],[Unit]],LS[[#Headers],[Investor ID]]:LS[[#This Row],[Investor ID]],LS[[#This Row],[Investor ID]])</f>
        <v>255075</v>
      </c>
      <c r="Q407" s="10">
        <v>50750</v>
      </c>
      <c r="R407" s="6">
        <f>LS[[#This Row],[Amount]]-LS[[#This Row],[Unit Capital]]</f>
        <v>-750</v>
      </c>
      <c r="S40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9.9970596883269636</v>
      </c>
      <c r="T407" s="168">
        <f t="shared" si="64"/>
        <v>12.552</v>
      </c>
      <c r="U40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07" s="10" cm="1">
        <f t="array" ref="V407">IF(LS[[#This Row],[B/S]]="S",ABS(LS[[#This Row],[Unit]])*(INDEX(LS[NAV at Cost (Average)],MATCH(CONCATENATE((LS[[#This Row],[Frequency]]-1),LS[[#This Row],[Investor ID]]),LS[Unique Code],0),0)),0)</f>
        <v>0</v>
      </c>
      <c r="W407" s="10">
        <f>IF(LS[[#This Row],[BO Transfer]]="YES",LS[[#This Row],[Unit]],)</f>
        <v>0</v>
      </c>
      <c r="X407" s="3">
        <f>SUMIFS(LS[[#Headers],[BO UNIT TRANSFER]]:LS[[#This Row],[BO UNIT TRANSFER]],LS[[#Headers],[Investor ID]]:LS[[#This Row],[Investor ID]],LS[[#This Row],[Investor ID]])</f>
        <v>0</v>
      </c>
    </row>
    <row r="408" spans="2:24">
      <c r="B408" s="8">
        <v>2024</v>
      </c>
      <c r="C408" s="8">
        <v>3</v>
      </c>
      <c r="D408" s="8">
        <v>14</v>
      </c>
      <c r="E408" s="291">
        <f>DATE(LS[[#This Row],[Year]],LS[[#This Row],[Month]],LS[[#This Row],[Day]])</f>
        <v>45365</v>
      </c>
      <c r="F408" t="str" cm="1">
        <f t="array" ref="F408">INDEX(INVESTORS_LIST[INVESTOR NAME],MATCH(LS[[#This Row],[Investor ID]],INVESTORS_LIST[INVESTOR CODE],0),)</f>
        <v>PHOENIX INSURANCE CO. LTD. EMPL. P.F.</v>
      </c>
      <c r="G408" s="201" t="s">
        <v>56</v>
      </c>
      <c r="H408" s="8">
        <f>COUNTIF(LS[[#Headers],[Investor ID]]:LS[[#This Row],[Investor ID]],LS[[#This Row],[Investor ID]])</f>
        <v>2</v>
      </c>
      <c r="I408" s="8" t="str">
        <f>CONCATENATE(LS[[#This Row],[Frequency]],LS[[#This Row],[Investor ID]])</f>
        <v>2A00049</v>
      </c>
      <c r="J408" s="8" t="str">
        <f>IF(LS[[#This Row],[B/S]]="B","BUY",(IF(LS[[#This Row],[B/S]]="S","SELL"," ")))</f>
        <v>BUY</v>
      </c>
      <c r="K408" s="8" t="s">
        <v>301</v>
      </c>
      <c r="L408" s="10">
        <v>21250</v>
      </c>
      <c r="M408" s="10"/>
      <c r="N408" s="168">
        <f>LS[[#This Row],[Amount]]/LS[[#This Row],[Unit]]</f>
        <v>9.8516458043579043</v>
      </c>
      <c r="O408" s="11">
        <f t="shared" ref="O408:O412" si="65">Q408/10</f>
        <v>2157</v>
      </c>
      <c r="P408" s="11">
        <f>SUMIFS(LS[[#Headers],[Unit]]:LS[[#This Row],[Unit]],LS[[#Headers],[Investor ID]]:LS[[#This Row],[Investor ID]],LS[[#This Row],[Investor ID]])</f>
        <v>102157</v>
      </c>
      <c r="Q408" s="10">
        <v>21570</v>
      </c>
      <c r="R408" s="6">
        <f>LS[[#This Row],[Amount]]-LS[[#This Row],[Unit Capital]]</f>
        <v>-320</v>
      </c>
      <c r="S40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9.9968675665886817</v>
      </c>
      <c r="T408" s="168">
        <f t="shared" si="64"/>
        <v>12.552</v>
      </c>
      <c r="U40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08" s="10" cm="1">
        <f t="array" ref="V408">IF(LS[[#This Row],[B/S]]="S",ABS(LS[[#This Row],[Unit]])*(INDEX(LS[NAV at Cost (Average)],MATCH(CONCATENATE((LS[[#This Row],[Frequency]]-1),LS[[#This Row],[Investor ID]]),LS[Unique Code],0),0)),0)</f>
        <v>0</v>
      </c>
      <c r="W408" s="10">
        <f>IF(LS[[#This Row],[BO Transfer]]="YES",LS[[#This Row],[Unit]],)</f>
        <v>0</v>
      </c>
      <c r="X408" s="3">
        <f>SUMIFS(LS[[#Headers],[BO UNIT TRANSFER]]:LS[[#This Row],[BO UNIT TRANSFER]],LS[[#Headers],[Investor ID]]:LS[[#This Row],[Investor ID]],LS[[#This Row],[Investor ID]])</f>
        <v>0</v>
      </c>
    </row>
    <row r="409" spans="2:24">
      <c r="B409" s="8">
        <v>2024</v>
      </c>
      <c r="C409" s="8">
        <v>3</v>
      </c>
      <c r="D409" s="8">
        <v>14</v>
      </c>
      <c r="E409" s="291">
        <f>DATE(LS[[#This Row],[Year]],LS[[#This Row],[Month]],LS[[#This Row],[Day]])</f>
        <v>45365</v>
      </c>
      <c r="F409" t="str" cm="1">
        <f t="array" ref="F409">INDEX(INVESTORS_LIST[INVESTOR NAME],MATCH(LS[[#This Row],[Investor ID]],INVESTORS_LIST[INVESTOR CODE],0),)</f>
        <v>SATCOM IT LTD. PROVIDENT FUND</v>
      </c>
      <c r="G409" s="201" t="s">
        <v>58</v>
      </c>
      <c r="H409" s="8">
        <f>COUNTIF(LS[[#Headers],[Investor ID]]:LS[[#This Row],[Investor ID]],LS[[#This Row],[Investor ID]])</f>
        <v>2</v>
      </c>
      <c r="I409" s="8" t="str">
        <f>CONCATENATE(LS[[#This Row],[Frequency]],LS[[#This Row],[Investor ID]])</f>
        <v>2A00051</v>
      </c>
      <c r="J409" s="8" t="str">
        <f>IF(LS[[#This Row],[B/S]]="B","BUY",(IF(LS[[#This Row],[B/S]]="S","SELL"," ")))</f>
        <v>BUY</v>
      </c>
      <c r="K409" s="8" t="s">
        <v>301</v>
      </c>
      <c r="L409" s="10">
        <v>21250</v>
      </c>
      <c r="M409" s="10"/>
      <c r="N409" s="168">
        <f>LS[[#This Row],[Amount]]/LS[[#This Row],[Unit]]</f>
        <v>9.8516458043579043</v>
      </c>
      <c r="O409" s="11">
        <f t="shared" si="65"/>
        <v>2157</v>
      </c>
      <c r="P409" s="11">
        <f>SUMIFS(LS[[#Headers],[Unit]]:LS[[#This Row],[Unit]],LS[[#Headers],[Investor ID]]:LS[[#This Row],[Investor ID]],LS[[#This Row],[Investor ID]])</f>
        <v>102157</v>
      </c>
      <c r="Q409" s="10">
        <v>21570</v>
      </c>
      <c r="R409" s="6">
        <f>LS[[#This Row],[Amount]]-LS[[#This Row],[Unit Capital]]</f>
        <v>-320</v>
      </c>
      <c r="S40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9.9968675665886817</v>
      </c>
      <c r="T409" s="168">
        <f t="shared" si="64"/>
        <v>12.552</v>
      </c>
      <c r="U40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09" s="10" cm="1">
        <f t="array" ref="V409">IF(LS[[#This Row],[B/S]]="S",ABS(LS[[#This Row],[Unit]])*(INDEX(LS[NAV at Cost (Average)],MATCH(CONCATENATE((LS[[#This Row],[Frequency]]-1),LS[[#This Row],[Investor ID]]),LS[Unique Code],0),0)),0)</f>
        <v>0</v>
      </c>
      <c r="W409" s="10">
        <f>IF(LS[[#This Row],[BO Transfer]]="YES",LS[[#This Row],[Unit]],)</f>
        <v>0</v>
      </c>
      <c r="X409" s="3">
        <f>SUMIFS(LS[[#Headers],[BO UNIT TRANSFER]]:LS[[#This Row],[BO UNIT TRANSFER]],LS[[#Headers],[Investor ID]]:LS[[#This Row],[Investor ID]],LS[[#This Row],[Investor ID]])</f>
        <v>0</v>
      </c>
    </row>
    <row r="410" spans="2:24">
      <c r="B410" s="8">
        <v>2024</v>
      </c>
      <c r="C410" s="8">
        <v>3</v>
      </c>
      <c r="D410" s="8">
        <v>14</v>
      </c>
      <c r="E410" s="291">
        <f>DATE(LS[[#This Row],[Year]],LS[[#This Row],[Month]],LS[[#This Row],[Day]])</f>
        <v>45365</v>
      </c>
      <c r="F410" t="str" cm="1">
        <f t="array" ref="F410">INDEX(INVESTORS_LIST[INVESTOR NAME],MATCH(LS[[#This Row],[Investor ID]],INVESTORS_LIST[INVESTOR CODE],0),)</f>
        <v>SHUVA SAHA</v>
      </c>
      <c r="G410" s="201" t="s">
        <v>60</v>
      </c>
      <c r="H410" s="8">
        <f>COUNTIF(LS[[#Headers],[Investor ID]]:LS[[#This Row],[Investor ID]],LS[[#This Row],[Investor ID]])</f>
        <v>10</v>
      </c>
      <c r="I410" s="8" t="str">
        <f>CONCATENATE(LS[[#This Row],[Frequency]],LS[[#This Row],[Investor ID]])</f>
        <v>10A00053</v>
      </c>
      <c r="J410" s="8" t="str">
        <f>IF(LS[[#This Row],[B/S]]="B","BUY",(IF(LS[[#This Row],[B/S]]="S","SELL"," ")))</f>
        <v>BUY</v>
      </c>
      <c r="K410" s="8" t="s">
        <v>301</v>
      </c>
      <c r="L410" s="10">
        <v>44115.3</v>
      </c>
      <c r="M410" s="10"/>
      <c r="N410" s="168">
        <f>LS[[#This Row],[Amount]]/LS[[#This Row],[Unit]]</f>
        <v>9.8515631978561871</v>
      </c>
      <c r="O410" s="11">
        <f t="shared" si="65"/>
        <v>4478</v>
      </c>
      <c r="P410" s="11">
        <f>SUMIFS(LS[[#Headers],[Unit]]:LS[[#This Row],[Unit]],LS[[#Headers],[Investor ID]]:LS[[#This Row],[Investor ID]],LS[[#This Row],[Investor ID]])</f>
        <v>200546</v>
      </c>
      <c r="Q410" s="10">
        <v>44780</v>
      </c>
      <c r="R410" s="6">
        <f>LS[[#This Row],[Amount]]-LS[[#This Row],[Unit Capital]]</f>
        <v>-664.69999999999709</v>
      </c>
      <c r="S41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9.9210061461683505</v>
      </c>
      <c r="T410" s="168">
        <f t="shared" si="64"/>
        <v>12.552</v>
      </c>
      <c r="U41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10" s="10" cm="1">
        <f t="array" ref="V410">IF(LS[[#This Row],[B/S]]="S",ABS(LS[[#This Row],[Unit]])*(INDEX(LS[NAV at Cost (Average)],MATCH(CONCATENATE((LS[[#This Row],[Frequency]]-1),LS[[#This Row],[Investor ID]]),LS[Unique Code],0),0)),0)</f>
        <v>0</v>
      </c>
      <c r="W410" s="10">
        <f>IF(LS[[#This Row],[BO Transfer]]="YES",LS[[#This Row],[Unit]],)</f>
        <v>0</v>
      </c>
      <c r="X410" s="3">
        <f>SUMIFS(LS[[#Headers],[BO UNIT TRANSFER]]:LS[[#This Row],[BO UNIT TRANSFER]],LS[[#Headers],[Investor ID]]:LS[[#This Row],[Investor ID]],LS[[#This Row],[Investor ID]])</f>
        <v>0</v>
      </c>
    </row>
    <row r="411" spans="2:24">
      <c r="B411" s="8">
        <v>2024</v>
      </c>
      <c r="C411" s="8">
        <v>3</v>
      </c>
      <c r="D411" s="8">
        <v>14</v>
      </c>
      <c r="E411" s="291">
        <f>DATE(LS[[#This Row],[Year]],LS[[#This Row],[Month]],LS[[#This Row],[Day]])</f>
        <v>45365</v>
      </c>
      <c r="F411" t="str" cm="1">
        <f t="array" ref="F411">INDEX(INVESTORS_LIST[INVESTOR NAME],MATCH(LS[[#This Row],[Investor ID]],INVESTORS_LIST[INVESTOR CODE],0),)</f>
        <v>KAZI AHSAN MARUF</v>
      </c>
      <c r="G411" s="201" t="s">
        <v>62</v>
      </c>
      <c r="H411" s="8">
        <f>COUNTIF(LS[[#Headers],[Investor ID]]:LS[[#This Row],[Investor ID]],LS[[#This Row],[Investor ID]])</f>
        <v>7</v>
      </c>
      <c r="I411" s="8" t="str">
        <f>CONCATENATE(LS[[#This Row],[Frequency]],LS[[#This Row],[Investor ID]])</f>
        <v>7A00055</v>
      </c>
      <c r="J411" s="8" t="str">
        <f>IF(LS[[#This Row],[B/S]]="B","BUY",(IF(LS[[#This Row],[B/S]]="S","SELL"," ")))</f>
        <v>BUY</v>
      </c>
      <c r="K411" s="8" t="s">
        <v>301</v>
      </c>
      <c r="L411" s="10">
        <v>24491.47</v>
      </c>
      <c r="M411" s="10"/>
      <c r="N411" s="168">
        <f>LS[[#This Row],[Amount]]/LS[[#This Row],[Unit]]</f>
        <v>9.8517578439259861</v>
      </c>
      <c r="O411" s="11">
        <f t="shared" si="65"/>
        <v>2486</v>
      </c>
      <c r="P411" s="11">
        <f>SUMIFS(LS[[#Headers],[Unit]]:LS[[#This Row],[Unit]],LS[[#Headers],[Investor ID]]:LS[[#This Row],[Investor ID]],LS[[#This Row],[Investor ID]])</f>
        <v>29564</v>
      </c>
      <c r="Q411" s="10">
        <v>24860</v>
      </c>
      <c r="R411" s="6">
        <f>LS[[#This Row],[Amount]]-LS[[#This Row],[Unit Capital]]</f>
        <v>-368.52999999999884</v>
      </c>
      <c r="S41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10.121190550902346</v>
      </c>
      <c r="T411" s="168">
        <f t="shared" si="64"/>
        <v>12.552</v>
      </c>
      <c r="U41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11" s="10" cm="1">
        <f t="array" ref="V411">IF(LS[[#This Row],[B/S]]="S",ABS(LS[[#This Row],[Unit]])*(INDEX(LS[NAV at Cost (Average)],MATCH(CONCATENATE((LS[[#This Row],[Frequency]]-1),LS[[#This Row],[Investor ID]]),LS[Unique Code],0),0)),0)</f>
        <v>0</v>
      </c>
      <c r="W411" s="10">
        <f>IF(LS[[#This Row],[BO Transfer]]="YES",LS[[#This Row],[Unit]],)</f>
        <v>0</v>
      </c>
      <c r="X411" s="3">
        <f>SUMIFS(LS[[#Headers],[BO UNIT TRANSFER]]:LS[[#This Row],[BO UNIT TRANSFER]],LS[[#Headers],[Investor ID]]:LS[[#This Row],[Investor ID]],LS[[#This Row],[Investor ID]])</f>
        <v>0</v>
      </c>
    </row>
    <row r="412" spans="2:24">
      <c r="B412" s="8">
        <v>2024</v>
      </c>
      <c r="C412" s="8">
        <v>3</v>
      </c>
      <c r="D412" s="8">
        <v>14</v>
      </c>
      <c r="E412" s="291">
        <f>DATE(LS[[#This Row],[Year]],LS[[#This Row],[Month]],LS[[#This Row],[Day]])</f>
        <v>45365</v>
      </c>
      <c r="F412" t="str" cm="1">
        <f t="array" ref="F412">INDEX(INVESTORS_LIST[INVESTOR NAME],MATCH(LS[[#This Row],[Investor ID]],INVESTORS_LIST[INVESTOR CODE],0),)</f>
        <v>KANKA SAHA</v>
      </c>
      <c r="G412" s="201" t="s">
        <v>67</v>
      </c>
      <c r="H412" s="8">
        <f>COUNTIF(LS[[#Headers],[Investor ID]]:LS[[#This Row],[Investor ID]],LS[[#This Row],[Investor ID]])</f>
        <v>4</v>
      </c>
      <c r="I412" s="8" t="str">
        <f>CONCATENATE(LS[[#This Row],[Frequency]],LS[[#This Row],[Investor ID]])</f>
        <v>4A00060</v>
      </c>
      <c r="J412" s="8" t="str">
        <f>IF(LS[[#This Row],[B/S]]="B","BUY",(IF(LS[[#This Row],[B/S]]="S","SELL"," ")))</f>
        <v>BUY</v>
      </c>
      <c r="K412" s="8" t="s">
        <v>301</v>
      </c>
      <c r="L412" s="10">
        <v>10698.95</v>
      </c>
      <c r="M412" s="10"/>
      <c r="N412" s="168">
        <f>LS[[#This Row],[Amount]]/LS[[#This Row],[Unit]]</f>
        <v>9.851703499079191</v>
      </c>
      <c r="O412" s="11">
        <f t="shared" si="65"/>
        <v>1086</v>
      </c>
      <c r="P412" s="11">
        <f>SUMIFS(LS[[#Headers],[Unit]]:LS[[#This Row],[Unit]],LS[[#Headers],[Investor ID]]:LS[[#This Row],[Investor ID]],LS[[#This Row],[Investor ID]])</f>
        <v>51434</v>
      </c>
      <c r="Q412" s="10">
        <v>10860</v>
      </c>
      <c r="R412" s="6">
        <f>LS[[#This Row],[Amount]]-LS[[#This Row],[Unit Capital]]</f>
        <v>-161.04999999999927</v>
      </c>
      <c r="S41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9.9968688027374881</v>
      </c>
      <c r="T412" s="168">
        <f t="shared" si="64"/>
        <v>12.552</v>
      </c>
      <c r="U41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12" s="10" cm="1">
        <f t="array" ref="V412">IF(LS[[#This Row],[B/S]]="S",ABS(LS[[#This Row],[Unit]])*(INDEX(LS[NAV at Cost (Average)],MATCH(CONCATENATE((LS[[#This Row],[Frequency]]-1),LS[[#This Row],[Investor ID]]),LS[Unique Code],0),0)),0)</f>
        <v>0</v>
      </c>
      <c r="W412" s="10">
        <f>IF(LS[[#This Row],[BO Transfer]]="YES",LS[[#This Row],[Unit]],)</f>
        <v>0</v>
      </c>
      <c r="X412" s="3">
        <f>SUMIFS(LS[[#Headers],[BO UNIT TRANSFER]]:LS[[#This Row],[BO UNIT TRANSFER]],LS[[#Headers],[Investor ID]]:LS[[#This Row],[Investor ID]],LS[[#This Row],[Investor ID]])</f>
        <v>0</v>
      </c>
    </row>
    <row r="413" spans="2:24">
      <c r="B413" s="8">
        <v>2024</v>
      </c>
      <c r="C413" s="8">
        <v>3</v>
      </c>
      <c r="D413" s="8">
        <v>14</v>
      </c>
      <c r="E413" s="291">
        <f>DATE(LS[[#This Row],[Year]],LS[[#This Row],[Month]],LS[[#This Row],[Day]])</f>
        <v>45365</v>
      </c>
      <c r="F413" t="str" cm="1">
        <f t="array" ref="F413">INDEX(INVESTORS_LIST[INVESTOR NAME],MATCH(LS[[#This Row],[Investor ID]],INVESTORS_LIST[INVESTOR CODE],0),)</f>
        <v>PHOENIX INSURANCE CO. LTD.</v>
      </c>
      <c r="G413" s="201" t="s">
        <v>76</v>
      </c>
      <c r="H413" s="8">
        <f>COUNTIF(LS[[#Headers],[Investor ID]]:LS[[#This Row],[Investor ID]],LS[[#This Row],[Investor ID]])</f>
        <v>2</v>
      </c>
      <c r="I413" s="8" t="str">
        <f>CONCATENATE(LS[[#This Row],[Frequency]],LS[[#This Row],[Investor ID]])</f>
        <v>2A00068</v>
      </c>
      <c r="J413" s="8" t="str">
        <f>IF(LS[[#This Row],[B/S]]="B","BUY",(IF(LS[[#This Row],[B/S]]="S","SELL"," ")))</f>
        <v>BUY</v>
      </c>
      <c r="K413" s="8" t="s">
        <v>301</v>
      </c>
      <c r="L413" s="10">
        <v>40000</v>
      </c>
      <c r="M413" s="10"/>
      <c r="N413" s="168">
        <f>LS[[#This Row],[Amount]]/LS[[#This Row],[Unit]]</f>
        <v>9.8522167487684733</v>
      </c>
      <c r="O413" s="11">
        <f t="shared" ref="O413:O415" si="66">Q413/10</f>
        <v>4060</v>
      </c>
      <c r="P413" s="11">
        <f>SUMIFS(LS[[#Headers],[Unit]]:LS[[#This Row],[Unit]],LS[[#Headers],[Investor ID]]:LS[[#This Row],[Investor ID]],LS[[#This Row],[Investor ID]])</f>
        <v>204060</v>
      </c>
      <c r="Q413" s="10">
        <v>40600</v>
      </c>
      <c r="R413" s="6">
        <f>LS[[#This Row],[Amount]]-LS[[#This Row],[Unit Capital]]</f>
        <v>-600</v>
      </c>
      <c r="S41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9.9970596883269636</v>
      </c>
      <c r="T413" s="168">
        <f t="shared" si="64"/>
        <v>12.552</v>
      </c>
      <c r="U41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13" s="10" cm="1">
        <f t="array" ref="V413">IF(LS[[#This Row],[B/S]]="S",ABS(LS[[#This Row],[Unit]])*(INDEX(LS[NAV at Cost (Average)],MATCH(CONCATENATE((LS[[#This Row],[Frequency]]-1),LS[[#This Row],[Investor ID]]),LS[Unique Code],0),0)),0)</f>
        <v>0</v>
      </c>
      <c r="W413" s="10">
        <f>IF(LS[[#This Row],[BO Transfer]]="YES",LS[[#This Row],[Unit]],)</f>
        <v>0</v>
      </c>
      <c r="X413" s="3">
        <f>SUMIFS(LS[[#Headers],[BO UNIT TRANSFER]]:LS[[#This Row],[BO UNIT TRANSFER]],LS[[#Headers],[Investor ID]]:LS[[#This Row],[Investor ID]],LS[[#This Row],[Investor ID]])</f>
        <v>0</v>
      </c>
    </row>
    <row r="414" spans="2:24">
      <c r="B414" s="8">
        <v>2024</v>
      </c>
      <c r="C414" s="8">
        <v>3</v>
      </c>
      <c r="D414" s="8">
        <v>14</v>
      </c>
      <c r="E414" s="291">
        <f>DATE(LS[[#This Row],[Year]],LS[[#This Row],[Month]],LS[[#This Row],[Day]])</f>
        <v>45365</v>
      </c>
      <c r="F414" t="str" cm="1">
        <f t="array" ref="F414">INDEX(INVESTORS_LIST[INVESTOR NAME],MATCH(LS[[#This Row],[Investor ID]],INVESTORS_LIST[INVESTOR CODE],0),)</f>
        <v>UNICAP INVESTMENTS LIMITED</v>
      </c>
      <c r="G414" s="201" t="s">
        <v>77</v>
      </c>
      <c r="H414" s="8">
        <f>COUNTIF(LS[[#Headers],[Investor ID]]:LS[[#This Row],[Investor ID]],LS[[#This Row],[Investor ID]])</f>
        <v>2</v>
      </c>
      <c r="I414" s="8" t="str">
        <f>CONCATENATE(LS[[#This Row],[Frequency]],LS[[#This Row],[Investor ID]])</f>
        <v>2A00069</v>
      </c>
      <c r="J414" s="8" t="str">
        <f>IF(LS[[#This Row],[B/S]]="B","BUY",(IF(LS[[#This Row],[B/S]]="S","SELL"," ")))</f>
        <v>BUY</v>
      </c>
      <c r="K414" s="8" t="s">
        <v>301</v>
      </c>
      <c r="L414" s="10">
        <v>20000</v>
      </c>
      <c r="M414" s="10"/>
      <c r="N414" s="168">
        <f>LS[[#This Row],[Amount]]/LS[[#This Row],[Unit]]</f>
        <v>9.8522167487684733</v>
      </c>
      <c r="O414" s="11">
        <f t="shared" si="66"/>
        <v>2030</v>
      </c>
      <c r="P414" s="11">
        <f>SUMIFS(LS[[#Headers],[Unit]]:LS[[#This Row],[Unit]],LS[[#Headers],[Investor ID]]:LS[[#This Row],[Investor ID]],LS[[#This Row],[Investor ID]])</f>
        <v>102030</v>
      </c>
      <c r="Q414" s="10">
        <v>20300</v>
      </c>
      <c r="R414" s="6">
        <f>LS[[#This Row],[Amount]]-LS[[#This Row],[Unit Capital]]</f>
        <v>-300</v>
      </c>
      <c r="S41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9.9970596883269636</v>
      </c>
      <c r="T414" s="168">
        <f t="shared" si="64"/>
        <v>12.552</v>
      </c>
      <c r="U41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14" s="10" cm="1">
        <f t="array" ref="V414">IF(LS[[#This Row],[B/S]]="S",ABS(LS[[#This Row],[Unit]])*(INDEX(LS[NAV at Cost (Average)],MATCH(CONCATENATE((LS[[#This Row],[Frequency]]-1),LS[[#This Row],[Investor ID]]),LS[Unique Code],0),0)),0)</f>
        <v>0</v>
      </c>
      <c r="W414" s="10">
        <f>IF(LS[[#This Row],[BO Transfer]]="YES",LS[[#This Row],[Unit]],)</f>
        <v>0</v>
      </c>
      <c r="X414" s="3">
        <f>SUMIFS(LS[[#Headers],[BO UNIT TRANSFER]]:LS[[#This Row],[BO UNIT TRANSFER]],LS[[#Headers],[Investor ID]]:LS[[#This Row],[Investor ID]],LS[[#This Row],[Investor ID]])</f>
        <v>0</v>
      </c>
    </row>
    <row r="415" spans="2:24">
      <c r="B415" s="8">
        <v>2024</v>
      </c>
      <c r="C415" s="8">
        <v>3</v>
      </c>
      <c r="D415" s="8">
        <v>14</v>
      </c>
      <c r="E415" s="291">
        <f>DATE(LS[[#This Row],[Year]],LS[[#This Row],[Month]],LS[[#This Row],[Day]])</f>
        <v>45365</v>
      </c>
      <c r="F415" t="str" cm="1">
        <f t="array" ref="F415">INDEX(INVESTORS_LIST[INVESTOR NAME],MATCH(LS[[#This Row],[Investor ID]],INVESTORS_LIST[INVESTOR CODE],0),)</f>
        <v>BABITA RANI BARMAN</v>
      </c>
      <c r="G415" s="201" t="s">
        <v>78</v>
      </c>
      <c r="H415" s="8">
        <f>COUNTIF(LS[[#Headers],[Investor ID]]:LS[[#This Row],[Investor ID]],LS[[#This Row],[Investor ID]])</f>
        <v>2</v>
      </c>
      <c r="I415" s="8" t="str">
        <f>CONCATENATE(LS[[#This Row],[Frequency]],LS[[#This Row],[Investor ID]])</f>
        <v>2A00070</v>
      </c>
      <c r="J415" s="8" t="str">
        <f>IF(LS[[#This Row],[B/S]]="B","BUY",(IF(LS[[#This Row],[B/S]]="S","SELL"," ")))</f>
        <v>BUY</v>
      </c>
      <c r="K415" s="8" t="s">
        <v>301</v>
      </c>
      <c r="L415" s="10">
        <v>1062.5</v>
      </c>
      <c r="M415" s="10"/>
      <c r="N415" s="168">
        <f>LS[[#This Row],[Amount]]/LS[[#This Row],[Unit]]</f>
        <v>9.8379629629629637</v>
      </c>
      <c r="O415" s="11">
        <f t="shared" si="66"/>
        <v>108</v>
      </c>
      <c r="P415" s="11">
        <f>SUMIFS(LS[[#Headers],[Unit]]:LS[[#This Row],[Unit]],LS[[#Headers],[Investor ID]]:LS[[#This Row],[Investor ID]],LS[[#This Row],[Investor ID]])</f>
        <v>5108</v>
      </c>
      <c r="Q415" s="10">
        <v>1080</v>
      </c>
      <c r="R415" s="6">
        <f>LS[[#This Row],[Amount]]-LS[[#This Row],[Unit Capital]]</f>
        <v>-17.5</v>
      </c>
      <c r="S41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9.9965740015661719</v>
      </c>
      <c r="T415" s="168">
        <f t="shared" si="64"/>
        <v>12.552</v>
      </c>
      <c r="U41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15" s="10" cm="1">
        <f t="array" ref="V415">IF(LS[[#This Row],[B/S]]="S",ABS(LS[[#This Row],[Unit]])*(INDEX(LS[NAV at Cost (Average)],MATCH(CONCATENATE((LS[[#This Row],[Frequency]]-1),LS[[#This Row],[Investor ID]]),LS[Unique Code],0),0)),0)</f>
        <v>0</v>
      </c>
      <c r="W415" s="10">
        <f>IF(LS[[#This Row],[BO Transfer]]="YES",LS[[#This Row],[Unit]],)</f>
        <v>0</v>
      </c>
      <c r="X415" s="3">
        <f>SUMIFS(LS[[#Headers],[BO UNIT TRANSFER]]:LS[[#This Row],[BO UNIT TRANSFER]],LS[[#Headers],[Investor ID]]:LS[[#This Row],[Investor ID]],LS[[#This Row],[Investor ID]])</f>
        <v>0</v>
      </c>
    </row>
    <row r="416" spans="2:24">
      <c r="B416" s="8">
        <v>2024</v>
      </c>
      <c r="C416" s="8">
        <v>3</v>
      </c>
      <c r="D416" s="8">
        <v>14</v>
      </c>
      <c r="E416" s="291">
        <f>DATE(LS[[#This Row],[Year]],LS[[#This Row],[Month]],LS[[#This Row],[Day]])</f>
        <v>45365</v>
      </c>
      <c r="F416" t="str" cm="1">
        <f t="array" ref="F416">INDEX(INVESTORS_LIST[INVESTOR NAME],MATCH(LS[[#This Row],[Investor ID]],INVESTORS_LIST[INVESTOR CODE],0),)</f>
        <v>MOHAMMAD SAYDUZZAMAN</v>
      </c>
      <c r="G416" s="201" t="s">
        <v>84</v>
      </c>
      <c r="H416" s="8">
        <f>COUNTIF(LS[[#Headers],[Investor ID]]:LS[[#This Row],[Investor ID]],LS[[#This Row],[Investor ID]])</f>
        <v>2</v>
      </c>
      <c r="I416" s="8" t="str">
        <f>CONCATENATE(LS[[#This Row],[Frequency]],LS[[#This Row],[Investor ID]])</f>
        <v>2A00076</v>
      </c>
      <c r="J416" s="8" t="str">
        <f>IF(LS[[#This Row],[B/S]]="B","BUY",(IF(LS[[#This Row],[B/S]]="S","SELL"," ")))</f>
        <v>BUY</v>
      </c>
      <c r="K416" s="8" t="s">
        <v>301</v>
      </c>
      <c r="L416" s="10">
        <v>6750</v>
      </c>
      <c r="M416" s="10"/>
      <c r="N416" s="168">
        <f>LS[[#This Row],[Amount]]/LS[[#This Row],[Unit]]</f>
        <v>9.8540145985401466</v>
      </c>
      <c r="O416" s="11">
        <f t="shared" ref="O416:O417" si="67">Q416/10</f>
        <v>685</v>
      </c>
      <c r="P416" s="11">
        <f>SUMIFS(LS[[#Headers],[Unit]]:LS[[#This Row],[Unit]],LS[[#Headers],[Investor ID]]:LS[[#This Row],[Investor ID]],LS[[#This Row],[Investor ID]])</f>
        <v>30685</v>
      </c>
      <c r="Q416" s="10">
        <v>6850</v>
      </c>
      <c r="R416" s="6">
        <f>LS[[#This Row],[Amount]]-LS[[#This Row],[Unit Capital]]</f>
        <v>-100</v>
      </c>
      <c r="S41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9.9967410787029483</v>
      </c>
      <c r="T416" s="168">
        <f t="shared" si="64"/>
        <v>12.552</v>
      </c>
      <c r="U41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16" s="10" cm="1">
        <f t="array" ref="V416">IF(LS[[#This Row],[B/S]]="S",ABS(LS[[#This Row],[Unit]])*(INDEX(LS[NAV at Cost (Average)],MATCH(CONCATENATE((LS[[#This Row],[Frequency]]-1),LS[[#This Row],[Investor ID]]),LS[Unique Code],0),0)),0)</f>
        <v>0</v>
      </c>
      <c r="W416" s="10">
        <f>IF(LS[[#This Row],[BO Transfer]]="YES",LS[[#This Row],[Unit]],)</f>
        <v>0</v>
      </c>
      <c r="X416" s="3">
        <f>SUMIFS(LS[[#Headers],[BO UNIT TRANSFER]]:LS[[#This Row],[BO UNIT TRANSFER]],LS[[#Headers],[Investor ID]]:LS[[#This Row],[Investor ID]],LS[[#This Row],[Investor ID]])</f>
        <v>0</v>
      </c>
    </row>
    <row r="417" spans="2:24">
      <c r="B417" s="8">
        <v>2024</v>
      </c>
      <c r="C417" s="8">
        <v>3</v>
      </c>
      <c r="D417" s="8">
        <v>14</v>
      </c>
      <c r="E417" s="291">
        <f>DATE(LS[[#This Row],[Year]],LS[[#This Row],[Month]],LS[[#This Row],[Day]])</f>
        <v>45365</v>
      </c>
      <c r="F417" t="str" cm="1">
        <f t="array" ref="F417">INDEX(INVESTORS_LIST[INVESTOR NAME],MATCH(LS[[#This Row],[Investor ID]],INVESTORS_LIST[INVESTOR CODE],0),)</f>
        <v>JHARNA RANI SAHA</v>
      </c>
      <c r="G417" s="201" t="s">
        <v>85</v>
      </c>
      <c r="H417" s="8">
        <f>COUNTIF(LS[[#Headers],[Investor ID]]:LS[[#This Row],[Investor ID]],LS[[#This Row],[Investor ID]])</f>
        <v>2</v>
      </c>
      <c r="I417" s="8" t="str">
        <f>CONCATENATE(LS[[#This Row],[Frequency]],LS[[#This Row],[Investor ID]])</f>
        <v>2A00077</v>
      </c>
      <c r="J417" s="8" t="str">
        <f>IF(LS[[#This Row],[B/S]]="B","BUY",(IF(LS[[#This Row],[B/S]]="S","SELL"," ")))</f>
        <v>BUY</v>
      </c>
      <c r="K417" s="8" t="s">
        <v>301</v>
      </c>
      <c r="L417" s="10">
        <v>3375</v>
      </c>
      <c r="M417" s="10"/>
      <c r="N417" s="168">
        <f>LS[[#This Row],[Amount]]/LS[[#This Row],[Unit]]</f>
        <v>9.8396501457725947</v>
      </c>
      <c r="O417" s="11">
        <f t="shared" si="67"/>
        <v>343</v>
      </c>
      <c r="P417" s="11">
        <f>SUMIFS(LS[[#Headers],[Unit]]:LS[[#This Row],[Unit]],LS[[#Headers],[Investor ID]]:LS[[#This Row],[Investor ID]],LS[[#This Row],[Investor ID]])</f>
        <v>15343</v>
      </c>
      <c r="Q417" s="10">
        <v>3430</v>
      </c>
      <c r="R417" s="6">
        <f>LS[[#This Row],[Amount]]-LS[[#This Row],[Unit Capital]]</f>
        <v>-55</v>
      </c>
      <c r="S41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9.9964153033956862</v>
      </c>
      <c r="T417" s="168">
        <f t="shared" si="64"/>
        <v>12.552</v>
      </c>
      <c r="U41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17" s="10" cm="1">
        <f t="array" ref="V417">IF(LS[[#This Row],[B/S]]="S",ABS(LS[[#This Row],[Unit]])*(INDEX(LS[NAV at Cost (Average)],MATCH(CONCATENATE((LS[[#This Row],[Frequency]]-1),LS[[#This Row],[Investor ID]]),LS[Unique Code],0),0)),0)</f>
        <v>0</v>
      </c>
      <c r="W417" s="10">
        <f>IF(LS[[#This Row],[BO Transfer]]="YES",LS[[#This Row],[Unit]],)</f>
        <v>0</v>
      </c>
      <c r="X417" s="3">
        <f>SUMIFS(LS[[#Headers],[BO UNIT TRANSFER]]:LS[[#This Row],[BO UNIT TRANSFER]],LS[[#Headers],[Investor ID]]:LS[[#This Row],[Investor ID]],LS[[#This Row],[Investor ID]])</f>
        <v>0</v>
      </c>
    </row>
    <row r="418" spans="2:24">
      <c r="B418" s="8">
        <v>2024</v>
      </c>
      <c r="C418" s="8">
        <v>3</v>
      </c>
      <c r="D418" s="8">
        <v>14</v>
      </c>
      <c r="E418" s="291">
        <f>DATE(LS[[#This Row],[Year]],LS[[#This Row],[Month]],LS[[#This Row],[Day]])</f>
        <v>45365</v>
      </c>
      <c r="F418" t="str" cm="1">
        <f t="array" ref="F418">INDEX(INVESTORS_LIST[INVESTOR NAME],MATCH(LS[[#This Row],[Investor ID]],INVESTORS_LIST[INVESTOR CODE],0),)</f>
        <v>MD. ARIFUL ISLAM</v>
      </c>
      <c r="G418" s="201" t="s">
        <v>95</v>
      </c>
      <c r="H418" s="8">
        <f>COUNTIF(LS[[#Headers],[Investor ID]]:LS[[#This Row],[Investor ID]],LS[[#This Row],[Investor ID]])</f>
        <v>3</v>
      </c>
      <c r="I418" s="8" t="str">
        <f>CONCATENATE(LS[[#This Row],[Frequency]],LS[[#This Row],[Investor ID]])</f>
        <v>3A00087</v>
      </c>
      <c r="J418" s="8" t="str">
        <f>IF(LS[[#This Row],[B/S]]="B","BUY",(IF(LS[[#This Row],[B/S]]="S","SELL"," ")))</f>
        <v>BUY</v>
      </c>
      <c r="K418" s="8" t="s">
        <v>301</v>
      </c>
      <c r="L418" s="10">
        <v>106321.95</v>
      </c>
      <c r="M418" s="10" t="s">
        <v>957</v>
      </c>
      <c r="N418" s="168">
        <f>LS[[#This Row],[Amount]]/LS[[#This Row],[Unit]]</f>
        <v>9.8519227205337288</v>
      </c>
      <c r="O418" s="11">
        <f t="shared" ref="O418:O424" si="68">Q418/10</f>
        <v>10792</v>
      </c>
      <c r="P418" s="11">
        <f>SUMIFS(LS[[#Headers],[Unit]]:LS[[#This Row],[Unit]],LS[[#Headers],[Investor ID]]:LS[[#This Row],[Investor ID]],LS[[#This Row],[Investor ID]])</f>
        <v>483334</v>
      </c>
      <c r="Q418" s="10">
        <v>107920</v>
      </c>
      <c r="R418" s="6">
        <f>LS[[#This Row],[Amount]]-LS[[#This Row],[Unit Capital]]</f>
        <v>-1598.0500000000029</v>
      </c>
      <c r="S41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9.996693694215594</v>
      </c>
      <c r="T418" s="168">
        <f t="shared" si="64"/>
        <v>12.552</v>
      </c>
      <c r="U41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18" s="10" cm="1">
        <f t="array" ref="V418">IF(LS[[#This Row],[B/S]]="S",ABS(LS[[#This Row],[Unit]])*(INDEX(LS[NAV at Cost (Average)],MATCH(CONCATENATE((LS[[#This Row],[Frequency]]-1),LS[[#This Row],[Investor ID]]),LS[Unique Code],0),0)),0)</f>
        <v>0</v>
      </c>
      <c r="W418" s="10">
        <f>IF(LS[[#This Row],[BO Transfer]]="YES",LS[[#This Row],[Unit]],)</f>
        <v>10792</v>
      </c>
      <c r="X418" s="3">
        <f>SUMIFS(LS[[#Headers],[BO UNIT TRANSFER]]:LS[[#This Row],[BO UNIT TRANSFER]],LS[[#Headers],[Investor ID]]:LS[[#This Row],[Investor ID]],LS[[#This Row],[Investor ID]])</f>
        <v>-16666</v>
      </c>
    </row>
    <row r="419" spans="2:24">
      <c r="B419" s="8">
        <v>2024</v>
      </c>
      <c r="C419" s="8">
        <v>3</v>
      </c>
      <c r="D419" s="8">
        <v>14</v>
      </c>
      <c r="E419" s="291">
        <f>DATE(LS[[#This Row],[Year]],LS[[#This Row],[Month]],LS[[#This Row],[Day]])</f>
        <v>45365</v>
      </c>
      <c r="F419" t="str" cm="1">
        <f t="array" ref="F419">INDEX(INVESTORS_LIST[INVESTOR NAME],MATCH(LS[[#This Row],[Investor ID]],INVESTORS_LIST[INVESTOR CODE],0),)</f>
        <v>MAYA RANI SAHA</v>
      </c>
      <c r="G419" s="201" t="s">
        <v>96</v>
      </c>
      <c r="H419" s="8">
        <f>COUNTIF(LS[[#Headers],[Investor ID]]:LS[[#This Row],[Investor ID]],LS[[#This Row],[Investor ID]])</f>
        <v>3</v>
      </c>
      <c r="I419" s="8" t="str">
        <f>CONCATENATE(LS[[#This Row],[Frequency]],LS[[#This Row],[Investor ID]])</f>
        <v>3A00088</v>
      </c>
      <c r="J419" s="8" t="str">
        <f>IF(LS[[#This Row],[B/S]]="B","BUY",(IF(LS[[#This Row],[B/S]]="S","SELL"," ")))</f>
        <v>BUY</v>
      </c>
      <c r="K419" s="8" t="s">
        <v>301</v>
      </c>
      <c r="L419" s="10">
        <v>22029.75</v>
      </c>
      <c r="M419" s="10"/>
      <c r="N419" s="168">
        <f>LS[[#This Row],[Amount]]/LS[[#This Row],[Unit]]</f>
        <v>9.852303220035779</v>
      </c>
      <c r="O419" s="11">
        <f t="shared" si="68"/>
        <v>2236</v>
      </c>
      <c r="P419" s="11">
        <f>SUMIFS(LS[[#Headers],[Unit]]:LS[[#This Row],[Unit]],LS[[#Headers],[Investor ID]]:LS[[#This Row],[Investor ID]],LS[[#This Row],[Investor ID]])</f>
        <v>100146</v>
      </c>
      <c r="Q419" s="10">
        <v>22360</v>
      </c>
      <c r="R419" s="6">
        <f>LS[[#This Row],[Amount]]-LS[[#This Row],[Unit Capital]]</f>
        <v>-330.25</v>
      </c>
      <c r="S41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9.996702314620654</v>
      </c>
      <c r="T419" s="168">
        <f t="shared" si="64"/>
        <v>12.552</v>
      </c>
      <c r="U41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19" s="10" cm="1">
        <f t="array" ref="V419">IF(LS[[#This Row],[B/S]]="S",ABS(LS[[#This Row],[Unit]])*(INDEX(LS[NAV at Cost (Average)],MATCH(CONCATENATE((LS[[#This Row],[Frequency]]-1),LS[[#This Row],[Investor ID]]),LS[Unique Code],0),0)),0)</f>
        <v>0</v>
      </c>
      <c r="W419" s="10">
        <f>IF(LS[[#This Row],[BO Transfer]]="YES",LS[[#This Row],[Unit]],)</f>
        <v>0</v>
      </c>
      <c r="X419" s="3">
        <f>SUMIFS(LS[[#Headers],[BO UNIT TRANSFER]]:LS[[#This Row],[BO UNIT TRANSFER]],LS[[#Headers],[Investor ID]]:LS[[#This Row],[Investor ID]],LS[[#This Row],[Investor ID]])</f>
        <v>0</v>
      </c>
    </row>
    <row r="420" spans="2:24">
      <c r="B420" s="8">
        <v>2024</v>
      </c>
      <c r="C420" s="8">
        <v>3</v>
      </c>
      <c r="D420" s="8">
        <v>14</v>
      </c>
      <c r="E420" s="291">
        <f>DATE(LS[[#This Row],[Year]],LS[[#This Row],[Month]],LS[[#This Row],[Day]])</f>
        <v>45365</v>
      </c>
      <c r="F420" t="str" cm="1">
        <f t="array" ref="F420">INDEX(INVESTORS_LIST[INVESTOR NAME],MATCH(LS[[#This Row],[Investor ID]],INVESTORS_LIST[INVESTOR CODE],0),)</f>
        <v>SYED ADNAN HUDA</v>
      </c>
      <c r="G420" s="201" t="s">
        <v>106</v>
      </c>
      <c r="H420" s="8">
        <f>COUNTIF(LS[[#Headers],[Investor ID]]:LS[[#This Row],[Investor ID]],LS[[#This Row],[Investor ID]])</f>
        <v>2</v>
      </c>
      <c r="I420" s="8" t="str">
        <f>CONCATENATE(LS[[#This Row],[Frequency]],LS[[#This Row],[Investor ID]])</f>
        <v>2A00094</v>
      </c>
      <c r="J420" s="8" t="str">
        <f>IF(LS[[#This Row],[B/S]]="B","BUY",(IF(LS[[#This Row],[B/S]]="S","SELL"," ")))</f>
        <v>BUY</v>
      </c>
      <c r="K420" s="8" t="s">
        <v>301</v>
      </c>
      <c r="L420" s="10">
        <v>67500</v>
      </c>
      <c r="M420" s="10"/>
      <c r="N420" s="168">
        <f>LS[[#This Row],[Amount]]/LS[[#This Row],[Unit]]</f>
        <v>9.8525762662385059</v>
      </c>
      <c r="O420" s="11">
        <f t="shared" si="68"/>
        <v>6851</v>
      </c>
      <c r="P420" s="11">
        <f>SUMIFS(LS[[#Headers],[Unit]]:LS[[#This Row],[Unit]],LS[[#Headers],[Investor ID]]:LS[[#This Row],[Investor ID]],LS[[#This Row],[Investor ID]])</f>
        <v>306851</v>
      </c>
      <c r="Q420" s="10">
        <v>68510</v>
      </c>
      <c r="R420" s="6">
        <f>LS[[#This Row],[Amount]]-LS[[#This Row],[Unit Capital]]</f>
        <v>-1010</v>
      </c>
      <c r="S42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9.9967085002167178</v>
      </c>
      <c r="T420" s="168">
        <f t="shared" si="64"/>
        <v>12.552</v>
      </c>
      <c r="U42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20" s="10" cm="1">
        <f t="array" ref="V420">IF(LS[[#This Row],[B/S]]="S",ABS(LS[[#This Row],[Unit]])*(INDEX(LS[NAV at Cost (Average)],MATCH(CONCATENATE((LS[[#This Row],[Frequency]]-1),LS[[#This Row],[Investor ID]]),LS[Unique Code],0),0)),0)</f>
        <v>0</v>
      </c>
      <c r="W420" s="10">
        <f>IF(LS[[#This Row],[BO Transfer]]="YES",LS[[#This Row],[Unit]],)</f>
        <v>0</v>
      </c>
      <c r="X420" s="3">
        <f>SUMIFS(LS[[#Headers],[BO UNIT TRANSFER]]:LS[[#This Row],[BO UNIT TRANSFER]],LS[[#Headers],[Investor ID]]:LS[[#This Row],[Investor ID]],LS[[#This Row],[Investor ID]])</f>
        <v>0</v>
      </c>
    </row>
    <row r="421" spans="2:24">
      <c r="B421" s="8">
        <v>2024</v>
      </c>
      <c r="C421" s="8">
        <v>3</v>
      </c>
      <c r="D421" s="8">
        <v>14</v>
      </c>
      <c r="E421" s="291">
        <f>DATE(LS[[#This Row],[Year]],LS[[#This Row],[Month]],LS[[#This Row],[Day]])</f>
        <v>45365</v>
      </c>
      <c r="F421" t="str" cm="1">
        <f t="array" ref="F421">INDEX(INVESTORS_LIST[INVESTOR NAME],MATCH(LS[[#This Row],[Investor ID]],INVESTORS_LIST[INVESTOR CODE],0),)</f>
        <v>NANDINI SAHA</v>
      </c>
      <c r="G421" s="201" t="s">
        <v>111</v>
      </c>
      <c r="H421" s="8">
        <f>COUNTIF(LS[[#Headers],[Investor ID]]:LS[[#This Row],[Investor ID]],LS[[#This Row],[Investor ID]])</f>
        <v>2</v>
      </c>
      <c r="I421" s="8" t="str">
        <f>CONCATENATE(LS[[#This Row],[Frequency]],LS[[#This Row],[Investor ID]])</f>
        <v>2A00097</v>
      </c>
      <c r="J421" s="8" t="str">
        <f>IF(LS[[#This Row],[B/S]]="B","BUY",(IF(LS[[#This Row],[B/S]]="S","SELL"," ")))</f>
        <v>BUY</v>
      </c>
      <c r="K421" s="8" t="s">
        <v>301</v>
      </c>
      <c r="L421" s="10">
        <v>21399.81</v>
      </c>
      <c r="M421" s="10"/>
      <c r="N421" s="168">
        <f>LS[[#This Row],[Amount]]/LS[[#This Row],[Unit]]</f>
        <v>9.8525828729281777</v>
      </c>
      <c r="O421" s="11">
        <f t="shared" si="68"/>
        <v>2172</v>
      </c>
      <c r="P421" s="11">
        <f>SUMIFS(LS[[#Headers],[Unit]]:LS[[#This Row],[Unit]],LS[[#Headers],[Investor ID]]:LS[[#This Row],[Investor ID]],LS[[#This Row],[Investor ID]])</f>
        <v>102877</v>
      </c>
      <c r="Q421" s="10">
        <v>21720</v>
      </c>
      <c r="R421" s="6">
        <f>LS[[#This Row],[Amount]]-LS[[#This Row],[Unit Capital]]</f>
        <v>-320.18999999999869</v>
      </c>
      <c r="S42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9.9283592056533543</v>
      </c>
      <c r="T421" s="168">
        <f t="shared" si="64"/>
        <v>12.552</v>
      </c>
      <c r="U42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21" s="10" cm="1">
        <f t="array" ref="V421">IF(LS[[#This Row],[B/S]]="S",ABS(LS[[#This Row],[Unit]])*(INDEX(LS[NAV at Cost (Average)],MATCH(CONCATENATE((LS[[#This Row],[Frequency]]-1),LS[[#This Row],[Investor ID]]),LS[Unique Code],0),0)),0)</f>
        <v>0</v>
      </c>
      <c r="W421" s="10">
        <f>IF(LS[[#This Row],[BO Transfer]]="YES",LS[[#This Row],[Unit]],)</f>
        <v>0</v>
      </c>
      <c r="X421" s="3">
        <f>SUMIFS(LS[[#Headers],[BO UNIT TRANSFER]]:LS[[#This Row],[BO UNIT TRANSFER]],LS[[#Headers],[Investor ID]]:LS[[#This Row],[Investor ID]],LS[[#This Row],[Investor ID]])</f>
        <v>0</v>
      </c>
    </row>
    <row r="422" spans="2:24">
      <c r="B422" s="8">
        <v>2024</v>
      </c>
      <c r="C422" s="8">
        <v>3</v>
      </c>
      <c r="D422" s="8">
        <v>14</v>
      </c>
      <c r="E422" s="291">
        <f>DATE(LS[[#This Row],[Year]],LS[[#This Row],[Month]],LS[[#This Row],[Day]])</f>
        <v>45365</v>
      </c>
      <c r="F422" t="str" cm="1">
        <f t="array" ref="F422">INDEX(INVESTORS_LIST[INVESTOR NAME],MATCH(LS[[#This Row],[Investor ID]],INVESTORS_LIST[INVESTOR CODE],0),)</f>
        <v>MD. MONIRUZZAMAN</v>
      </c>
      <c r="G422" s="201" t="s">
        <v>142</v>
      </c>
      <c r="H422" s="8">
        <f>COUNTIF(LS[[#Headers],[Investor ID]]:LS[[#This Row],[Investor ID]],LS[[#This Row],[Investor ID]])</f>
        <v>2</v>
      </c>
      <c r="I422" s="8" t="str">
        <f>CONCATENATE(LS[[#This Row],[Frequency]],LS[[#This Row],[Investor ID]])</f>
        <v>2A00113</v>
      </c>
      <c r="J422" s="202" t="str">
        <f>IF(LS[[#This Row],[B/S]]="B","BUY",(IF(LS[[#This Row],[B/S]]="S","SELL"," ")))</f>
        <v>BUY</v>
      </c>
      <c r="K422" s="8" t="s">
        <v>301</v>
      </c>
      <c r="L422" s="10">
        <v>4250</v>
      </c>
      <c r="M422" s="10"/>
      <c r="N422" s="168">
        <f>LS[[#This Row],[Amount]]/LS[[#This Row],[Unit]]</f>
        <v>9.8607888631090486</v>
      </c>
      <c r="O422" s="11">
        <f t="shared" si="68"/>
        <v>431</v>
      </c>
      <c r="P422" s="11">
        <f>SUMIFS(LS[[#Headers],[Unit]]:LS[[#This Row],[Unit]],LS[[#Headers],[Investor ID]]:LS[[#This Row],[Investor ID]],LS[[#This Row],[Investor ID]])</f>
        <v>20431</v>
      </c>
      <c r="Q422" s="10">
        <v>4310</v>
      </c>
      <c r="R422" s="6">
        <f>LS[[#This Row],[Amount]]-LS[[#This Row],[Unit Capital]]</f>
        <v>-60</v>
      </c>
      <c r="S42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9.9970632861827617</v>
      </c>
      <c r="T422" s="168">
        <f t="shared" si="64"/>
        <v>12.552</v>
      </c>
      <c r="U42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22" s="10" cm="1">
        <f t="array" ref="V422">IF(LS[[#This Row],[B/S]]="S",ABS(LS[[#This Row],[Unit]])*(INDEX(LS[NAV at Cost (Average)],MATCH(CONCATENATE((LS[[#This Row],[Frequency]]-1),LS[[#This Row],[Investor ID]]),LS[Unique Code],0),0)),0)</f>
        <v>0</v>
      </c>
      <c r="W422" s="10">
        <f>IF(LS[[#This Row],[BO Transfer]]="YES",LS[[#This Row],[Unit]],)</f>
        <v>0</v>
      </c>
      <c r="X422" s="3">
        <f>SUMIFS(LS[[#Headers],[BO UNIT TRANSFER]]:LS[[#This Row],[BO UNIT TRANSFER]],LS[[#Headers],[Investor ID]]:LS[[#This Row],[Investor ID]],LS[[#This Row],[Investor ID]])</f>
        <v>0</v>
      </c>
    </row>
    <row r="423" spans="2:24">
      <c r="B423" s="8">
        <v>2024</v>
      </c>
      <c r="C423" s="8">
        <v>3</v>
      </c>
      <c r="D423" s="8">
        <v>14</v>
      </c>
      <c r="E423" s="291">
        <f>DATE(LS[[#This Row],[Year]],LS[[#This Row],[Month]],LS[[#This Row],[Day]])</f>
        <v>45365</v>
      </c>
      <c r="F423" t="str" cm="1">
        <f t="array" ref="F423">INDEX(INVESTORS_LIST[INVESTOR NAME],MATCH(LS[[#This Row],[Investor ID]],INVESTORS_LIST[INVESTOR CODE],0),)</f>
        <v>ARIFUR RAHMAN</v>
      </c>
      <c r="G423" s="201" t="s">
        <v>145</v>
      </c>
      <c r="H423" s="8">
        <f>COUNTIF(LS[[#Headers],[Investor ID]]:LS[[#This Row],[Investor ID]],LS[[#This Row],[Investor ID]])</f>
        <v>2</v>
      </c>
      <c r="I423" s="8" t="str">
        <f>CONCATENATE(LS[[#This Row],[Frequency]],LS[[#This Row],[Investor ID]])</f>
        <v>2A00115</v>
      </c>
      <c r="J423" s="202" t="str">
        <f>IF(LS[[#This Row],[B/S]]="B","BUY",(IF(LS[[#This Row],[B/S]]="S","SELL"," ")))</f>
        <v>BUY</v>
      </c>
      <c r="K423" s="8" t="s">
        <v>301</v>
      </c>
      <c r="L423" s="10">
        <v>2256.75</v>
      </c>
      <c r="M423" s="10"/>
      <c r="N423" s="168">
        <f>LS[[#This Row],[Amount]]/LS[[#This Row],[Unit]]</f>
        <v>9.854803493449781</v>
      </c>
      <c r="O423" s="11">
        <f t="shared" si="68"/>
        <v>229</v>
      </c>
      <c r="P423" s="11">
        <f>SUMIFS(LS[[#Headers],[Unit]]:LS[[#This Row],[Unit]],LS[[#Headers],[Investor ID]]:LS[[#This Row],[Investor ID]],LS[[#This Row],[Investor ID]])</f>
        <v>10259</v>
      </c>
      <c r="Q423" s="10">
        <v>2290</v>
      </c>
      <c r="R423" s="6">
        <f>LS[[#This Row],[Amount]]-LS[[#This Row],[Unit Capital]]</f>
        <v>-33.25</v>
      </c>
      <c r="S42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9.9675163271274005</v>
      </c>
      <c r="T423" s="168">
        <f t="shared" si="64"/>
        <v>12.552</v>
      </c>
      <c r="U42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23" s="10" cm="1">
        <f t="array" ref="V423">IF(LS[[#This Row],[B/S]]="S",ABS(LS[[#This Row],[Unit]])*(INDEX(LS[NAV at Cost (Average)],MATCH(CONCATENATE((LS[[#This Row],[Frequency]]-1),LS[[#This Row],[Investor ID]]),LS[Unique Code],0),0)),0)</f>
        <v>0</v>
      </c>
      <c r="W423" s="10">
        <f>IF(LS[[#This Row],[BO Transfer]]="YES",LS[[#This Row],[Unit]],)</f>
        <v>0</v>
      </c>
      <c r="X423" s="3">
        <f>SUMIFS(LS[[#Headers],[BO UNIT TRANSFER]]:LS[[#This Row],[BO UNIT TRANSFER]],LS[[#Headers],[Investor ID]]:LS[[#This Row],[Investor ID]],LS[[#This Row],[Investor ID]])</f>
        <v>0</v>
      </c>
    </row>
    <row r="424" spans="2:24">
      <c r="B424" s="8">
        <v>2024</v>
      </c>
      <c r="C424" s="8">
        <v>3</v>
      </c>
      <c r="D424" s="8">
        <v>14</v>
      </c>
      <c r="E424" s="291">
        <f>DATE(LS[[#This Row],[Year]],LS[[#This Row],[Month]],LS[[#This Row],[Day]])</f>
        <v>45365</v>
      </c>
      <c r="F424" t="str" cm="1">
        <f t="array" ref="F424">INDEX(INVESTORS_LIST[INVESTOR NAME],MATCH(LS[[#This Row],[Investor ID]],INVESTORS_LIST[INVESTOR CODE],0),)</f>
        <v>SHAHRIAR MAHMOOD</v>
      </c>
      <c r="G424" s="201" t="s">
        <v>158</v>
      </c>
      <c r="H424" s="8">
        <f>COUNTIF(LS[[#Headers],[Investor ID]]:LS[[#This Row],[Investor ID]],LS[[#This Row],[Investor ID]])</f>
        <v>2</v>
      </c>
      <c r="I424" s="8" t="str">
        <f>CONCATENATE(LS[[#This Row],[Frequency]],LS[[#This Row],[Investor ID]])</f>
        <v>2A00125</v>
      </c>
      <c r="J424" s="202" t="str">
        <f>IF(LS[[#This Row],[B/S]]="B","BUY",(IF(LS[[#This Row],[B/S]]="S","SELL"," ")))</f>
        <v>BUY</v>
      </c>
      <c r="K424" s="8" t="s">
        <v>301</v>
      </c>
      <c r="L424" s="10">
        <v>3375</v>
      </c>
      <c r="M424" s="10"/>
      <c r="N424" s="168">
        <f>LS[[#This Row],[Amount]]/LS[[#This Row],[Unit]]</f>
        <v>9.8396501457725947</v>
      </c>
      <c r="O424" s="11">
        <f t="shared" si="68"/>
        <v>343</v>
      </c>
      <c r="P424" s="11">
        <f>SUMIFS(LS[[#Headers],[Unit]]:LS[[#This Row],[Unit]],LS[[#Headers],[Investor ID]]:LS[[#This Row],[Investor ID]],LS[[#This Row],[Investor ID]])</f>
        <v>15343</v>
      </c>
      <c r="Q424" s="10">
        <v>3430</v>
      </c>
      <c r="R424" s="6">
        <f>LS[[#This Row],[Amount]]-LS[[#This Row],[Unit Capital]]</f>
        <v>-55</v>
      </c>
      <c r="S42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9.9964153033956862</v>
      </c>
      <c r="T424" s="168">
        <f t="shared" si="64"/>
        <v>12.552</v>
      </c>
      <c r="U42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24" s="10" cm="1">
        <f t="array" ref="V424">IF(LS[[#This Row],[B/S]]="S",ABS(LS[[#This Row],[Unit]])*(INDEX(LS[NAV at Cost (Average)],MATCH(CONCATENATE((LS[[#This Row],[Frequency]]-1),LS[[#This Row],[Investor ID]]),LS[Unique Code],0),0)),0)</f>
        <v>0</v>
      </c>
      <c r="W424" s="10">
        <f>IF(LS[[#This Row],[BO Transfer]]="YES",LS[[#This Row],[Unit]],)</f>
        <v>0</v>
      </c>
      <c r="X424" s="3">
        <f>SUMIFS(LS[[#Headers],[BO UNIT TRANSFER]]:LS[[#This Row],[BO UNIT TRANSFER]],LS[[#Headers],[Investor ID]]:LS[[#This Row],[Investor ID]],LS[[#This Row],[Investor ID]])</f>
        <v>0</v>
      </c>
    </row>
    <row r="425" spans="2:24">
      <c r="B425" s="8">
        <v>2024</v>
      </c>
      <c r="C425" s="8">
        <v>3</v>
      </c>
      <c r="D425" s="8">
        <v>14</v>
      </c>
      <c r="E425" s="291">
        <f>DATE(LS[[#This Row],[Year]],LS[[#This Row],[Month]],LS[[#This Row],[Day]])</f>
        <v>45365</v>
      </c>
      <c r="F425" t="str" cm="1">
        <f t="array" ref="F425">INDEX(INVESTORS_LIST[INVESTOR NAME],MATCH(LS[[#This Row],[Investor ID]],INVESTORS_LIST[INVESTOR CODE],0),)</f>
        <v>PHOENIX FINANCE &amp; INVESTMENTS LTD</v>
      </c>
      <c r="G425" s="201" t="s">
        <v>205</v>
      </c>
      <c r="H425" s="8">
        <f>COUNTIF(LS[[#Headers],[Investor ID]]:LS[[#This Row],[Investor ID]],LS[[#This Row],[Investor ID]])</f>
        <v>4</v>
      </c>
      <c r="I425" s="8" t="str">
        <f>CONCATENATE(LS[[#This Row],[Frequency]],LS[[#This Row],[Investor ID]])</f>
        <v>4A00172</v>
      </c>
      <c r="J425" s="202" t="str">
        <f>IF(LS[[#This Row],[B/S]]="B","BUY",(IF(LS[[#This Row],[B/S]]="S","SELL"," ")))</f>
        <v>BUY</v>
      </c>
      <c r="K425" s="8" t="s">
        <v>301</v>
      </c>
      <c r="L425" s="10">
        <v>200000</v>
      </c>
      <c r="M425" s="10"/>
      <c r="N425" s="168">
        <f>LS[[#This Row],[Amount]]/LS[[#This Row],[Unit]]</f>
        <v>9.8522167487684733</v>
      </c>
      <c r="O425" s="11">
        <f t="shared" ref="O425:O426" si="69">Q425/10</f>
        <v>20300</v>
      </c>
      <c r="P425" s="11">
        <f>SUMIFS(LS[[#Headers],[Unit]]:LS[[#This Row],[Unit]],LS[[#Headers],[Investor ID]]:LS[[#This Row],[Investor ID]],LS[[#This Row],[Investor ID]])</f>
        <v>533898</v>
      </c>
      <c r="Q425" s="10">
        <v>203000</v>
      </c>
      <c r="R425" s="6">
        <f>LS[[#This Row],[Amount]]-LS[[#This Row],[Unit Capital]]</f>
        <v>-3000</v>
      </c>
      <c r="S42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9.9943809491700666</v>
      </c>
      <c r="T425" s="168">
        <f t="shared" si="64"/>
        <v>12.552</v>
      </c>
      <c r="U42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25" s="10" cm="1">
        <f t="array" ref="V425">IF(LS[[#This Row],[B/S]]="S",ABS(LS[[#This Row],[Unit]])*(INDEX(LS[NAV at Cost (Average)],MATCH(CONCATENATE((LS[[#This Row],[Frequency]]-1),LS[[#This Row],[Investor ID]]),LS[Unique Code],0),0)),0)</f>
        <v>0</v>
      </c>
      <c r="W425" s="10">
        <f>IF(LS[[#This Row],[BO Transfer]]="YES",LS[[#This Row],[Unit]],)</f>
        <v>0</v>
      </c>
      <c r="X425" s="3">
        <f>SUMIFS(LS[[#Headers],[BO UNIT TRANSFER]]:LS[[#This Row],[BO UNIT TRANSFER]],LS[[#Headers],[Investor ID]]:LS[[#This Row],[Investor ID]],LS[[#This Row],[Investor ID]])</f>
        <v>0</v>
      </c>
    </row>
    <row r="426" spans="2:24">
      <c r="B426" s="8">
        <v>2024</v>
      </c>
      <c r="C426" s="8">
        <v>3</v>
      </c>
      <c r="D426" s="8">
        <v>14</v>
      </c>
      <c r="E426" s="291">
        <f>DATE(LS[[#This Row],[Year]],LS[[#This Row],[Month]],LS[[#This Row],[Day]])</f>
        <v>45365</v>
      </c>
      <c r="F426" t="str" cm="1">
        <f t="array" ref="F426">INDEX(INVESTORS_LIST[INVESTOR NAME],MATCH(LS[[#This Row],[Investor ID]],INVESTORS_LIST[INVESTOR CODE],0),)</f>
        <v>RAIHAN RASHID MAJUMDAR</v>
      </c>
      <c r="G426" s="201" t="s">
        <v>216</v>
      </c>
      <c r="H426" s="8">
        <f>COUNTIF(LS[[#Headers],[Investor ID]]:LS[[#This Row],[Investor ID]],LS[[#This Row],[Investor ID]])</f>
        <v>4</v>
      </c>
      <c r="I426" s="8" t="str">
        <f>CONCATENATE(LS[[#This Row],[Frequency]],LS[[#This Row],[Investor ID]])</f>
        <v>4A00183</v>
      </c>
      <c r="J426" s="8" t="str">
        <f>IF(LS[[#This Row],[B/S]]="B","BUY",(IF(LS[[#This Row],[B/S]]="S","SELL"," ")))</f>
        <v>BUY</v>
      </c>
      <c r="K426" s="8" t="s">
        <v>301</v>
      </c>
      <c r="L426" s="10">
        <v>43585.020000000004</v>
      </c>
      <c r="M426" s="10"/>
      <c r="N426" s="168">
        <f>LS[[#This Row],[Amount]]/LS[[#This Row],[Unit]]</f>
        <v>9.8519484629294762</v>
      </c>
      <c r="O426" s="11">
        <f t="shared" si="69"/>
        <v>4424</v>
      </c>
      <c r="P426" s="11">
        <f>SUMIFS(LS[[#Headers],[Unit]]:LS[[#This Row],[Unit]],LS[[#Headers],[Investor ID]]:LS[[#This Row],[Investor ID]],LS[[#This Row],[Investor ID]])</f>
        <v>209530</v>
      </c>
      <c r="Q426" s="10">
        <v>44240</v>
      </c>
      <c r="R426" s="6">
        <f>LS[[#This Row],[Amount]]-LS[[#This Row],[Unit Capital]]</f>
        <v>-654.97999999999593</v>
      </c>
      <c r="S42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9.9968740514484793</v>
      </c>
      <c r="T426" s="168">
        <f t="shared" si="64"/>
        <v>12.552</v>
      </c>
      <c r="U42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26" s="10" cm="1">
        <f t="array" ref="V426">IF(LS[[#This Row],[B/S]]="S",ABS(LS[[#This Row],[Unit]])*(INDEX(LS[NAV at Cost (Average)],MATCH(CONCATENATE((LS[[#This Row],[Frequency]]-1),LS[[#This Row],[Investor ID]]),LS[Unique Code],0),0)),0)</f>
        <v>0</v>
      </c>
      <c r="W426" s="10">
        <f>IF(LS[[#This Row],[BO Transfer]]="YES",LS[[#This Row],[Unit]],)</f>
        <v>0</v>
      </c>
      <c r="X426" s="3">
        <f>SUMIFS(LS[[#Headers],[BO UNIT TRANSFER]]:LS[[#This Row],[BO UNIT TRANSFER]],LS[[#Headers],[Investor ID]]:LS[[#This Row],[Investor ID]],LS[[#This Row],[Investor ID]])</f>
        <v>0</v>
      </c>
    </row>
    <row r="427" spans="2:24">
      <c r="B427" s="8">
        <v>2024</v>
      </c>
      <c r="C427" s="8">
        <v>3</v>
      </c>
      <c r="D427" s="8">
        <v>14</v>
      </c>
      <c r="E427" s="291">
        <f>DATE(LS[[#This Row],[Year]],LS[[#This Row],[Month]],LS[[#This Row],[Day]])</f>
        <v>45365</v>
      </c>
      <c r="F427" t="str" cm="1">
        <f t="array" ref="F427">INDEX(INVESTORS_LIST[INVESTOR NAME],MATCH(LS[[#This Row],[Investor ID]],INVESTORS_LIST[INVESTOR CODE],0),)</f>
        <v>HASIB MUSTABSIR</v>
      </c>
      <c r="G427" s="201" t="s">
        <v>230</v>
      </c>
      <c r="H427" s="8">
        <f>COUNTIF(LS[[#Headers],[Investor ID]]:LS[[#This Row],[Investor ID]],LS[[#This Row],[Investor ID]])</f>
        <v>4</v>
      </c>
      <c r="I427" s="8" t="str">
        <f>CONCATENATE(LS[[#This Row],[Frequency]],LS[[#This Row],[Investor ID]])</f>
        <v>4A00194</v>
      </c>
      <c r="J427" s="8" t="str">
        <f>IF(LS[[#This Row],[B/S]]="B","BUY",(IF(LS[[#This Row],[B/S]]="S","SELL"," ")))</f>
        <v>BUY</v>
      </c>
      <c r="K427" s="8" t="s">
        <v>301</v>
      </c>
      <c r="L427" s="10">
        <v>42414.57</v>
      </c>
      <c r="M427" s="10"/>
      <c r="N427" s="168">
        <f>LS[[#This Row],[Amount]]/LS[[#This Row],[Unit]]</f>
        <v>9.8523972125435542</v>
      </c>
      <c r="O427" s="11">
        <f t="shared" ref="O427:O431" si="70">Q427/10</f>
        <v>4305</v>
      </c>
      <c r="P427" s="11">
        <f>SUMIFS(LS[[#Headers],[Unit]]:LS[[#This Row],[Unit]],LS[[#Headers],[Investor ID]]:LS[[#This Row],[Investor ID]],LS[[#This Row],[Investor ID]])</f>
        <v>203903</v>
      </c>
      <c r="Q427" s="10">
        <v>43050</v>
      </c>
      <c r="R427" s="6">
        <f>LS[[#This Row],[Amount]]-LS[[#This Row],[Unit Capital]]</f>
        <v>-635.43000000000029</v>
      </c>
      <c r="S42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9.9968836652722111</v>
      </c>
      <c r="T427" s="168">
        <f t="shared" si="64"/>
        <v>12.552</v>
      </c>
      <c r="U42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27" s="10" cm="1">
        <f t="array" ref="V427">IF(LS[[#This Row],[B/S]]="S",ABS(LS[[#This Row],[Unit]])*(INDEX(LS[NAV at Cost (Average)],MATCH(CONCATENATE((LS[[#This Row],[Frequency]]-1),LS[[#This Row],[Investor ID]]),LS[Unique Code],0),0)),0)</f>
        <v>0</v>
      </c>
      <c r="W427" s="10">
        <f>IF(LS[[#This Row],[BO Transfer]]="YES",LS[[#This Row],[Unit]],)</f>
        <v>0</v>
      </c>
      <c r="X427" s="3">
        <f>SUMIFS(LS[[#Headers],[BO UNIT TRANSFER]]:LS[[#This Row],[BO UNIT TRANSFER]],LS[[#Headers],[Investor ID]]:LS[[#This Row],[Investor ID]],LS[[#This Row],[Investor ID]])</f>
        <v>0</v>
      </c>
    </row>
    <row r="428" spans="2:24">
      <c r="B428" s="8">
        <v>2024</v>
      </c>
      <c r="C428" s="8">
        <v>3</v>
      </c>
      <c r="D428" s="8">
        <v>14</v>
      </c>
      <c r="E428" s="291">
        <f>DATE(LS[[#This Row],[Year]],LS[[#This Row],[Month]],LS[[#This Row],[Day]])</f>
        <v>45365</v>
      </c>
      <c r="F428" t="str" cm="1">
        <f t="array" ref="F428">INDEX(INVESTORS_LIST[INVESTOR NAME],MATCH(LS[[#This Row],[Investor ID]],INVESTORS_LIST[INVESTOR CODE],0),)</f>
        <v>MD. WALI ULLAH</v>
      </c>
      <c r="G428" s="201" t="s">
        <v>236</v>
      </c>
      <c r="H428" s="8">
        <f>COUNTIF(LS[[#Headers],[Investor ID]]:LS[[#This Row],[Investor ID]],LS[[#This Row],[Investor ID]])</f>
        <v>2</v>
      </c>
      <c r="I428" s="8" t="str">
        <f>CONCATENATE(LS[[#This Row],[Frequency]],LS[[#This Row],[Investor ID]])</f>
        <v>2A00197</v>
      </c>
      <c r="J428" s="8" t="str">
        <f>IF(LS[[#This Row],[B/S]]="B","BUY",(IF(LS[[#This Row],[B/S]]="S","SELL"," ")))</f>
        <v>BUY</v>
      </c>
      <c r="K428" s="8" t="s">
        <v>301</v>
      </c>
      <c r="L428" s="10">
        <v>2125</v>
      </c>
      <c r="M428" s="10"/>
      <c r="N428" s="168">
        <f>LS[[#This Row],[Amount]]/LS[[#This Row],[Unit]]</f>
        <v>9.8379629629629637</v>
      </c>
      <c r="O428" s="11">
        <f t="shared" si="70"/>
        <v>216</v>
      </c>
      <c r="P428" s="11">
        <f>SUMIFS(LS[[#Headers],[Unit]]:LS[[#This Row],[Unit]],LS[[#Headers],[Investor ID]]:LS[[#This Row],[Investor ID]],LS[[#This Row],[Investor ID]])</f>
        <v>10216</v>
      </c>
      <c r="Q428" s="10">
        <v>2160</v>
      </c>
      <c r="R428" s="6">
        <f>LS[[#This Row],[Amount]]-LS[[#This Row],[Unit Capital]]</f>
        <v>-35</v>
      </c>
      <c r="S42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9.9965740015661719</v>
      </c>
      <c r="T428" s="168">
        <f t="shared" si="64"/>
        <v>12.552</v>
      </c>
      <c r="U42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28" s="10" cm="1">
        <f t="array" ref="V428">IF(LS[[#This Row],[B/S]]="S",ABS(LS[[#This Row],[Unit]])*(INDEX(LS[NAV at Cost (Average)],MATCH(CONCATENATE((LS[[#This Row],[Frequency]]-1),LS[[#This Row],[Investor ID]]),LS[Unique Code],0),0)),0)</f>
        <v>0</v>
      </c>
      <c r="W428" s="10">
        <f>IF(LS[[#This Row],[BO Transfer]]="YES",LS[[#This Row],[Unit]],)</f>
        <v>0</v>
      </c>
      <c r="X428" s="3">
        <f>SUMIFS(LS[[#Headers],[BO UNIT TRANSFER]]:LS[[#This Row],[BO UNIT TRANSFER]],LS[[#Headers],[Investor ID]]:LS[[#This Row],[Investor ID]],LS[[#This Row],[Investor ID]])</f>
        <v>0</v>
      </c>
    </row>
    <row r="429" spans="2:24">
      <c r="B429" s="8">
        <v>2024</v>
      </c>
      <c r="C429" s="8">
        <v>3</v>
      </c>
      <c r="D429" s="8">
        <v>14</v>
      </c>
      <c r="E429" s="291">
        <f>DATE(LS[[#This Row],[Year]],LS[[#This Row],[Month]],LS[[#This Row],[Day]])</f>
        <v>45365</v>
      </c>
      <c r="F429" t="str" cm="1">
        <f t="array" ref="F429">INDEX(INVESTORS_LIST[INVESTOR NAME],MATCH(LS[[#This Row],[Investor ID]],INVESTORS_LIST[INVESTOR CODE],0),)</f>
        <v>MD. NIAZ MURSHED</v>
      </c>
      <c r="G429" s="201" t="s">
        <v>238</v>
      </c>
      <c r="H429" s="8">
        <f>COUNTIF(LS[[#Headers],[Investor ID]]:LS[[#This Row],[Investor ID]],LS[[#This Row],[Investor ID]])</f>
        <v>3</v>
      </c>
      <c r="I429" s="8" t="str">
        <f>CONCATENATE(LS[[#This Row],[Frequency]],LS[[#This Row],[Investor ID]])</f>
        <v>3A00198</v>
      </c>
      <c r="J429" s="8" t="str">
        <f>IF(LS[[#This Row],[B/S]]="B","BUY",(IF(LS[[#This Row],[B/S]]="S","SELL"," ")))</f>
        <v>BUY</v>
      </c>
      <c r="K429" s="8" t="s">
        <v>301</v>
      </c>
      <c r="L429" s="10">
        <v>9350.5499999999993</v>
      </c>
      <c r="M429" s="10"/>
      <c r="N429" s="168">
        <f>LS[[#This Row],[Amount]]/LS[[#This Row],[Unit]]</f>
        <v>9.8530558482613273</v>
      </c>
      <c r="O429" s="11">
        <f t="shared" si="70"/>
        <v>949</v>
      </c>
      <c r="P429" s="11">
        <f>SUMIFS(LS[[#Headers],[Unit]]:LS[[#This Row],[Unit]],LS[[#Headers],[Investor ID]]:LS[[#This Row],[Investor ID]],LS[[#This Row],[Investor ID]])</f>
        <v>42507</v>
      </c>
      <c r="Q429" s="10">
        <v>9490</v>
      </c>
      <c r="R429" s="6">
        <f>LS[[#This Row],[Amount]]-LS[[#This Row],[Unit Capital]]</f>
        <v>-139.45000000000073</v>
      </c>
      <c r="S42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9.8208026908913713</v>
      </c>
      <c r="T429" s="168">
        <f t="shared" si="64"/>
        <v>12.552</v>
      </c>
      <c r="U42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29" s="10" cm="1">
        <f t="array" ref="V429">IF(LS[[#This Row],[B/S]]="S",ABS(LS[[#This Row],[Unit]])*(INDEX(LS[NAV at Cost (Average)],MATCH(CONCATENATE((LS[[#This Row],[Frequency]]-1),LS[[#This Row],[Investor ID]]),LS[Unique Code],0),0)),0)</f>
        <v>0</v>
      </c>
      <c r="W429" s="10">
        <f>IF(LS[[#This Row],[BO Transfer]]="YES",LS[[#This Row],[Unit]],)</f>
        <v>0</v>
      </c>
      <c r="X429" s="3">
        <f>SUMIFS(LS[[#Headers],[BO UNIT TRANSFER]]:LS[[#This Row],[BO UNIT TRANSFER]],LS[[#Headers],[Investor ID]]:LS[[#This Row],[Investor ID]],LS[[#This Row],[Investor ID]])</f>
        <v>0</v>
      </c>
    </row>
    <row r="430" spans="2:24">
      <c r="B430" s="8">
        <v>2024</v>
      </c>
      <c r="C430" s="8">
        <v>3</v>
      </c>
      <c r="D430" s="8">
        <v>14</v>
      </c>
      <c r="E430" s="291">
        <f>DATE(LS[[#This Row],[Year]],LS[[#This Row],[Month]],LS[[#This Row],[Day]])</f>
        <v>45365</v>
      </c>
      <c r="F430" t="str" cm="1">
        <f t="array" ref="F430">INDEX(INVESTORS_LIST[INVESTOR NAME],MATCH(LS[[#This Row],[Investor ID]],INVESTORS_LIST[INVESTOR CODE],0),)</f>
        <v>REZIA RAHMAT</v>
      </c>
      <c r="G430" s="201" t="s">
        <v>247</v>
      </c>
      <c r="H430" s="8">
        <f>COUNTIF(LS[[#Headers],[Investor ID]]:LS[[#This Row],[Investor ID]],LS[[#This Row],[Investor ID]])</f>
        <v>2</v>
      </c>
      <c r="I430" s="8" t="str">
        <f>CONCATENATE(LS[[#This Row],[Frequency]],LS[[#This Row],[Investor ID]])</f>
        <v>2A00203</v>
      </c>
      <c r="J430" s="8" t="str">
        <f>IF(LS[[#This Row],[B/S]]="B","BUY",(IF(LS[[#This Row],[B/S]]="S","SELL"," ")))</f>
        <v>BUY</v>
      </c>
      <c r="K430" s="8" t="s">
        <v>301</v>
      </c>
      <c r="L430" s="10">
        <v>34587.99</v>
      </c>
      <c r="M430" s="10"/>
      <c r="N430" s="168">
        <f>LS[[#This Row],[Amount]]/LS[[#This Row],[Unit]]</f>
        <v>9.851321560808886</v>
      </c>
      <c r="O430" s="11">
        <f t="shared" si="70"/>
        <v>3511</v>
      </c>
      <c r="P430" s="11">
        <f>SUMIFS(LS[[#Headers],[Unit]]:LS[[#This Row],[Unit]],LS[[#Headers],[Investor ID]]:LS[[#This Row],[Investor ID]],LS[[#This Row],[Investor ID]])</f>
        <v>166278</v>
      </c>
      <c r="Q430" s="10">
        <v>35110</v>
      </c>
      <c r="R430" s="6">
        <f>LS[[#This Row],[Amount]]-LS[[#This Row],[Unit Capital]]</f>
        <v>-522.01000000000204</v>
      </c>
      <c r="S43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9.8304525553590985</v>
      </c>
      <c r="T430" s="168">
        <f t="shared" si="64"/>
        <v>12.552</v>
      </c>
      <c r="U43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30" s="10" cm="1">
        <f t="array" ref="V430">IF(LS[[#This Row],[B/S]]="S",ABS(LS[[#This Row],[Unit]])*(INDEX(LS[NAV at Cost (Average)],MATCH(CONCATENATE((LS[[#This Row],[Frequency]]-1),LS[[#This Row],[Investor ID]]),LS[Unique Code],0),0)),0)</f>
        <v>0</v>
      </c>
      <c r="W430" s="10">
        <f>IF(LS[[#This Row],[BO Transfer]]="YES",LS[[#This Row],[Unit]],)</f>
        <v>0</v>
      </c>
      <c r="X430" s="3">
        <f>SUMIFS(LS[[#Headers],[BO UNIT TRANSFER]]:LS[[#This Row],[BO UNIT TRANSFER]],LS[[#Headers],[Investor ID]]:LS[[#This Row],[Investor ID]],LS[[#This Row],[Investor ID]])</f>
        <v>0</v>
      </c>
    </row>
    <row r="431" spans="2:24">
      <c r="B431" s="8">
        <v>2024</v>
      </c>
      <c r="C431" s="8">
        <v>3</v>
      </c>
      <c r="D431" s="8">
        <v>14</v>
      </c>
      <c r="E431" s="291">
        <f>DATE(LS[[#This Row],[Year]],LS[[#This Row],[Month]],LS[[#This Row],[Day]])</f>
        <v>45365</v>
      </c>
      <c r="F431" t="str" cm="1">
        <f t="array" ref="F431">INDEX(INVESTORS_LIST[INVESTOR NAME],MATCH(LS[[#This Row],[Investor ID]],INVESTORS_LIST[INVESTOR CODE],0),)</f>
        <v>SAJJAD CHOWDHURY</v>
      </c>
      <c r="G431" s="201" t="s">
        <v>252</v>
      </c>
      <c r="H431" s="8">
        <f>COUNTIF(LS[[#Headers],[Investor ID]]:LS[[#This Row],[Investor ID]],LS[[#This Row],[Investor ID]])</f>
        <v>2</v>
      </c>
      <c r="I431" s="8" t="str">
        <f>CONCATENATE(LS[[#This Row],[Frequency]],LS[[#This Row],[Investor ID]])</f>
        <v>2A00206</v>
      </c>
      <c r="J431" s="8" t="str">
        <f>IF(LS[[#This Row],[B/S]]="B","BUY",(IF(LS[[#This Row],[B/S]]="S","SELL"," ")))</f>
        <v>BUY</v>
      </c>
      <c r="K431" s="8" t="s">
        <v>301</v>
      </c>
      <c r="L431" s="10">
        <v>1082.05</v>
      </c>
      <c r="M431" s="10"/>
      <c r="N431" s="168">
        <f>LS[[#This Row],[Amount]]/LS[[#This Row],[Unit]]</f>
        <v>9.836818181818181</v>
      </c>
      <c r="O431" s="11">
        <f t="shared" si="70"/>
        <v>110</v>
      </c>
      <c r="P431" s="11">
        <f>SUMIFS(LS[[#Headers],[Unit]]:LS[[#This Row],[Unit]],LS[[#Headers],[Investor ID]]:LS[[#This Row],[Investor ID]],LS[[#This Row],[Investor ID]])</f>
        <v>5202</v>
      </c>
      <c r="Q431" s="10">
        <v>1100</v>
      </c>
      <c r="R431" s="6">
        <f>LS[[#This Row],[Amount]]-LS[[#This Row],[Unit Capital]]</f>
        <v>-17.950000000000045</v>
      </c>
      <c r="S43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9.819694348327566</v>
      </c>
      <c r="T431" s="168">
        <f t="shared" si="64"/>
        <v>12.552</v>
      </c>
      <c r="U43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31" s="10" cm="1">
        <f t="array" ref="V431">IF(LS[[#This Row],[B/S]]="S",ABS(LS[[#This Row],[Unit]])*(INDEX(LS[NAV at Cost (Average)],MATCH(CONCATENATE((LS[[#This Row],[Frequency]]-1),LS[[#This Row],[Investor ID]]),LS[Unique Code],0),0)),0)</f>
        <v>0</v>
      </c>
      <c r="W431" s="10">
        <f>IF(LS[[#This Row],[BO Transfer]]="YES",LS[[#This Row],[Unit]],)</f>
        <v>0</v>
      </c>
      <c r="X431" s="3">
        <f>SUMIFS(LS[[#Headers],[BO UNIT TRANSFER]]:LS[[#This Row],[BO UNIT TRANSFER]],LS[[#Headers],[Investor ID]]:LS[[#This Row],[Investor ID]],LS[[#This Row],[Investor ID]])</f>
        <v>0</v>
      </c>
    </row>
    <row r="432" spans="2:24">
      <c r="B432" s="8">
        <v>2024</v>
      </c>
      <c r="C432" s="8">
        <v>3</v>
      </c>
      <c r="D432" s="8">
        <v>14</v>
      </c>
      <c r="E432" s="291">
        <f>DATE(LS[[#This Row],[Year]],LS[[#This Row],[Month]],LS[[#This Row],[Day]])</f>
        <v>45365</v>
      </c>
      <c r="F432" t="str" cm="1">
        <f t="array" ref="F432">INDEX(INVESTORS_LIST[INVESTOR NAME],MATCH(LS[[#This Row],[Investor ID]],INVESTORS_LIST[INVESTOR CODE],0),)</f>
        <v>BIJOY CHANDRA DAS</v>
      </c>
      <c r="G432" s="201" t="s">
        <v>305</v>
      </c>
      <c r="H432" s="8">
        <f>COUNTIF(LS[[#Headers],[Investor ID]]:LS[[#This Row],[Investor ID]],LS[[#This Row],[Investor ID]])</f>
        <v>2</v>
      </c>
      <c r="I432" s="8" t="str">
        <f>CONCATENATE(LS[[#This Row],[Frequency]],LS[[#This Row],[Investor ID]])</f>
        <v>2A00224</v>
      </c>
      <c r="J432" s="8" t="str">
        <f>IF(LS[[#This Row],[B/S]]="B","BUY",(IF(LS[[#This Row],[B/S]]="S","SELL"," ")))</f>
        <v>BUY</v>
      </c>
      <c r="K432" s="8" t="s">
        <v>301</v>
      </c>
      <c r="L432" s="10">
        <v>2250</v>
      </c>
      <c r="M432" s="10" t="s">
        <v>957</v>
      </c>
      <c r="N432" s="168">
        <f>LS[[#This Row],[Amount]]/LS[[#This Row],[Unit]]</f>
        <v>9.8684210526315788</v>
      </c>
      <c r="O432" s="11">
        <f t="shared" ref="O432:O433" si="71">Q432/10</f>
        <v>228</v>
      </c>
      <c r="P432" s="11">
        <f>SUMIFS(LS[[#Headers],[Unit]]:LS[[#This Row],[Unit]],LS[[#Headers],[Investor ID]]:LS[[#This Row],[Investor ID]],LS[[#This Row],[Investor ID]])</f>
        <v>10228</v>
      </c>
      <c r="Q432" s="10">
        <v>2280</v>
      </c>
      <c r="R432" s="6">
        <f>LS[[#This Row],[Amount]]-LS[[#This Row],[Unit Capital]]</f>
        <v>-30</v>
      </c>
      <c r="S43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9.9970668752444265</v>
      </c>
      <c r="T432" s="168">
        <f t="shared" ref="T432:T450" si="72">IFERROR(NAV_MKT,0)</f>
        <v>12.552</v>
      </c>
      <c r="U43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32" s="10" cm="1">
        <f t="array" ref="V432">IF(LS[[#This Row],[B/S]]="S",ABS(LS[[#This Row],[Unit]])*(INDEX(LS[NAV at Cost (Average)],MATCH(CONCATENATE((LS[[#This Row],[Frequency]]-1),LS[[#This Row],[Investor ID]]),LS[Unique Code],0),0)),0)</f>
        <v>0</v>
      </c>
      <c r="W432" s="10">
        <f>IF(LS[[#This Row],[BO Transfer]]="YES",LS[[#This Row],[Unit]],)</f>
        <v>228</v>
      </c>
      <c r="X432" s="3">
        <f>SUMIFS(LS[[#Headers],[BO UNIT TRANSFER]]:LS[[#This Row],[BO UNIT TRANSFER]],LS[[#Headers],[Investor ID]]:LS[[#This Row],[Investor ID]],LS[[#This Row],[Investor ID]])</f>
        <v>228</v>
      </c>
    </row>
    <row r="433" spans="2:24">
      <c r="B433" s="8">
        <v>2024</v>
      </c>
      <c r="C433" s="8">
        <v>3</v>
      </c>
      <c r="D433" s="8">
        <v>14</v>
      </c>
      <c r="E433" s="291">
        <f>DATE(LS[[#This Row],[Year]],LS[[#This Row],[Month]],LS[[#This Row],[Day]])</f>
        <v>45365</v>
      </c>
      <c r="F433" t="str" cm="1">
        <f t="array" ref="F433">INDEX(INVESTORS_LIST[INVESTOR NAME],MATCH(LS[[#This Row],[Investor ID]],INVESTORS_LIST[INVESTOR CODE],0),)</f>
        <v>FATEMA-TUZ JOHURA NILA</v>
      </c>
      <c r="G433" s="201" t="s">
        <v>309</v>
      </c>
      <c r="H433" s="8">
        <f>COUNTIF(LS[[#Headers],[Investor ID]]:LS[[#This Row],[Investor ID]],LS[[#This Row],[Investor ID]])</f>
        <v>2</v>
      </c>
      <c r="I433" s="8" t="str">
        <f>CONCATENATE(LS[[#This Row],[Frequency]],LS[[#This Row],[Investor ID]])</f>
        <v>2A00226</v>
      </c>
      <c r="J433" s="203" t="str">
        <f>IF(LS[[#This Row],[B/S]]="B","BUY",(IF(LS[[#This Row],[B/S]]="S","SELL"," ")))</f>
        <v>BUY</v>
      </c>
      <c r="K433" s="8" t="s">
        <v>301</v>
      </c>
      <c r="L433" s="10">
        <v>4250</v>
      </c>
      <c r="M433" s="10"/>
      <c r="N433" s="168">
        <f>LS[[#This Row],[Amount]]/LS[[#This Row],[Unit]]</f>
        <v>9.8607888631090486</v>
      </c>
      <c r="O433" s="11">
        <f t="shared" si="71"/>
        <v>431</v>
      </c>
      <c r="P433" s="11">
        <f>SUMIFS(LS[[#Headers],[Unit]]:LS[[#This Row],[Unit]],LS[[#Headers],[Investor ID]]:LS[[#This Row],[Investor ID]],LS[[#This Row],[Investor ID]])</f>
        <v>20431</v>
      </c>
      <c r="Q433" s="10">
        <v>4310</v>
      </c>
      <c r="R433" s="6">
        <f>LS[[#This Row],[Amount]]-LS[[#This Row],[Unit Capital]]</f>
        <v>-60</v>
      </c>
      <c r="S43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9.9970632861827617</v>
      </c>
      <c r="T433" s="168">
        <f t="shared" si="72"/>
        <v>12.552</v>
      </c>
      <c r="U43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33" s="10" cm="1">
        <f t="array" ref="V433">IF(LS[[#This Row],[B/S]]="S",ABS(LS[[#This Row],[Unit]])*(INDEX(LS[NAV at Cost (Average)],MATCH(CONCATENATE((LS[[#This Row],[Frequency]]-1),LS[[#This Row],[Investor ID]]),LS[Unique Code],0),0)),0)</f>
        <v>0</v>
      </c>
      <c r="W433" s="10">
        <f>IF(LS[[#This Row],[BO Transfer]]="YES",LS[[#This Row],[Unit]],)</f>
        <v>0</v>
      </c>
      <c r="X433" s="3">
        <f>SUMIFS(LS[[#Headers],[BO UNIT TRANSFER]]:LS[[#This Row],[BO UNIT TRANSFER]],LS[[#Headers],[Investor ID]]:LS[[#This Row],[Investor ID]],LS[[#This Row],[Investor ID]])</f>
        <v>0</v>
      </c>
    </row>
    <row r="434" spans="2:24">
      <c r="B434" s="8">
        <v>2024</v>
      </c>
      <c r="C434" s="8">
        <v>3</v>
      </c>
      <c r="D434" s="8">
        <v>14</v>
      </c>
      <c r="E434" s="291">
        <f>DATE(LS[[#This Row],[Year]],LS[[#This Row],[Month]],LS[[#This Row],[Day]])</f>
        <v>45365</v>
      </c>
      <c r="F434" t="str" cm="1">
        <f t="array" ref="F434">INDEX(INVESTORS_LIST[INVESTOR NAME],MATCH(LS[[#This Row],[Investor ID]],INVESTORS_LIST[INVESTOR CODE],0),)</f>
        <v>SHANTA PAUL</v>
      </c>
      <c r="G434" s="201" t="s">
        <v>351</v>
      </c>
      <c r="H434" s="8">
        <f>COUNTIF(LS[[#Headers],[Investor ID]]:LS[[#This Row],[Investor ID]],LS[[#This Row],[Investor ID]])</f>
        <v>2</v>
      </c>
      <c r="I434" s="8" t="str">
        <f>CONCATENATE(LS[[#This Row],[Frequency]],LS[[#This Row],[Investor ID]])</f>
        <v>2A00247</v>
      </c>
      <c r="J434" s="203" t="str">
        <f>IF(LS[[#This Row],[B/S]]="B","BUY",(IF(LS[[#This Row],[B/S]]="S","SELL"," ")))</f>
        <v>BUY</v>
      </c>
      <c r="K434" s="8" t="s">
        <v>301</v>
      </c>
      <c r="L434" s="10">
        <v>22500</v>
      </c>
      <c r="M434" s="10"/>
      <c r="N434" s="168">
        <f>LS[[#This Row],[Amount]]/LS[[#This Row],[Unit]]</f>
        <v>9.8511383537653234</v>
      </c>
      <c r="O434" s="11">
        <f t="shared" ref="O434:O435" si="73">Q434/10</f>
        <v>2284</v>
      </c>
      <c r="P434" s="11">
        <f>SUMIFS(LS[[#Headers],[Unit]]:LS[[#This Row],[Unit]],LS[[#Headers],[Investor ID]]:LS[[#This Row],[Investor ID]],LS[[#This Row],[Investor ID]])</f>
        <v>102284</v>
      </c>
      <c r="Q434" s="10">
        <v>22840</v>
      </c>
      <c r="R434" s="6">
        <f>LS[[#This Row],[Amount]]-LS[[#This Row],[Unit Capital]]</f>
        <v>-340</v>
      </c>
      <c r="S43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9.9966759219428258</v>
      </c>
      <c r="T434" s="168">
        <f t="shared" si="72"/>
        <v>12.552</v>
      </c>
      <c r="U43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34" s="10" cm="1">
        <f t="array" ref="V434">IF(LS[[#This Row],[B/S]]="S",ABS(LS[[#This Row],[Unit]])*(INDEX(LS[NAV at Cost (Average)],MATCH(CONCATENATE((LS[[#This Row],[Frequency]]-1),LS[[#This Row],[Investor ID]]),LS[Unique Code],0),0)),0)</f>
        <v>0</v>
      </c>
      <c r="W434" s="10">
        <f>IF(LS[[#This Row],[BO Transfer]]="YES",LS[[#This Row],[Unit]],)</f>
        <v>0</v>
      </c>
      <c r="X434" s="3">
        <f>SUMIFS(LS[[#Headers],[BO UNIT TRANSFER]]:LS[[#This Row],[BO UNIT TRANSFER]],LS[[#Headers],[Investor ID]]:LS[[#This Row],[Investor ID]],LS[[#This Row],[Investor ID]])</f>
        <v>0</v>
      </c>
    </row>
    <row r="435" spans="2:24">
      <c r="B435" s="8">
        <v>2024</v>
      </c>
      <c r="C435" s="8">
        <v>3</v>
      </c>
      <c r="D435" s="8">
        <v>14</v>
      </c>
      <c r="E435" s="291">
        <f>DATE(LS[[#This Row],[Year]],LS[[#This Row],[Month]],LS[[#This Row],[Day]])</f>
        <v>45365</v>
      </c>
      <c r="F435" t="str" cm="1">
        <f t="array" ref="F435">INDEX(INVESTORS_LIST[INVESTOR NAME],MATCH(LS[[#This Row],[Investor ID]],INVESTORS_LIST[INVESTOR CODE],0),)</f>
        <v>ANJAN MALLIK</v>
      </c>
      <c r="G435" s="201" t="s">
        <v>353</v>
      </c>
      <c r="H435" s="8">
        <f>COUNTIF(LS[[#Headers],[Investor ID]]:LS[[#This Row],[Investor ID]],LS[[#This Row],[Investor ID]])</f>
        <v>2</v>
      </c>
      <c r="I435" s="8" t="str">
        <f>CONCATENATE(LS[[#This Row],[Frequency]],LS[[#This Row],[Investor ID]])</f>
        <v>2A00248</v>
      </c>
      <c r="J435" s="203" t="str">
        <f>IF(LS[[#This Row],[B/S]]="B","BUY",(IF(LS[[#This Row],[B/S]]="S","SELL"," ")))</f>
        <v>BUY</v>
      </c>
      <c r="K435" s="8" t="s">
        <v>301</v>
      </c>
      <c r="L435" s="10">
        <v>56250</v>
      </c>
      <c r="M435" s="10"/>
      <c r="N435" s="168">
        <f>LS[[#This Row],[Amount]]/LS[[#This Row],[Unit]]</f>
        <v>9.8511383537653234</v>
      </c>
      <c r="O435" s="11">
        <f t="shared" si="73"/>
        <v>5710</v>
      </c>
      <c r="P435" s="11">
        <f>SUMIFS(LS[[#Headers],[Unit]]:LS[[#This Row],[Unit]],LS[[#Headers],[Investor ID]]:LS[[#This Row],[Investor ID]],LS[[#This Row],[Investor ID]])</f>
        <v>255710</v>
      </c>
      <c r="Q435" s="10">
        <v>57100</v>
      </c>
      <c r="R435" s="6">
        <f>LS[[#This Row],[Amount]]-LS[[#This Row],[Unit Capital]]</f>
        <v>-850</v>
      </c>
      <c r="S43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9.9966759219428258</v>
      </c>
      <c r="T435" s="168">
        <f t="shared" si="72"/>
        <v>12.552</v>
      </c>
      <c r="U43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35" s="10" cm="1">
        <f t="array" ref="V435">IF(LS[[#This Row],[B/S]]="S",ABS(LS[[#This Row],[Unit]])*(INDEX(LS[NAV at Cost (Average)],MATCH(CONCATENATE((LS[[#This Row],[Frequency]]-1),LS[[#This Row],[Investor ID]]),LS[Unique Code],0),0)),0)</f>
        <v>0</v>
      </c>
      <c r="W435" s="10">
        <f>IF(LS[[#This Row],[BO Transfer]]="YES",LS[[#This Row],[Unit]],)</f>
        <v>0</v>
      </c>
      <c r="X435" s="3">
        <f>SUMIFS(LS[[#Headers],[BO UNIT TRANSFER]]:LS[[#This Row],[BO UNIT TRANSFER]],LS[[#Headers],[Investor ID]]:LS[[#This Row],[Investor ID]],LS[[#This Row],[Investor ID]])</f>
        <v>0</v>
      </c>
    </row>
    <row r="436" spans="2:24">
      <c r="B436" s="8">
        <v>2024</v>
      </c>
      <c r="C436" s="8">
        <v>3</v>
      </c>
      <c r="D436" s="8">
        <v>14</v>
      </c>
      <c r="E436" s="291">
        <f>DATE(LS[[#This Row],[Year]],LS[[#This Row],[Month]],LS[[#This Row],[Day]])</f>
        <v>45365</v>
      </c>
      <c r="F436" t="str" cm="1">
        <f t="array" ref="F436">INDEX(INVESTORS_LIST[INVESTOR NAME],MATCH(LS[[#This Row],[Investor ID]],INVESTORS_LIST[INVESTOR CODE],0),)</f>
        <v>MASTURA MUNIAT</v>
      </c>
      <c r="G436" s="201" t="s">
        <v>381</v>
      </c>
      <c r="H436" s="8">
        <f>COUNTIF(LS[[#Headers],[Investor ID]]:LS[[#This Row],[Investor ID]],LS[[#This Row],[Investor ID]])</f>
        <v>3</v>
      </c>
      <c r="I436" s="8" t="str">
        <f>CONCATENATE(LS[[#This Row],[Frequency]],LS[[#This Row],[Investor ID]])</f>
        <v>3A00262</v>
      </c>
      <c r="J436" s="203" t="str">
        <f>IF(LS[[#This Row],[B/S]]="B","BUY",(IF(LS[[#This Row],[B/S]]="S","SELL"," ")))</f>
        <v>BUY</v>
      </c>
      <c r="K436" s="8" t="s">
        <v>301</v>
      </c>
      <c r="L436" s="10">
        <v>4392.45</v>
      </c>
      <c r="M436" s="10"/>
      <c r="N436" s="168">
        <f>LS[[#This Row],[Amount]]/LS[[#This Row],[Unit]]</f>
        <v>9.8485426008968613</v>
      </c>
      <c r="O436" s="11">
        <f t="shared" ref="O436:O441" si="74">Q436/10</f>
        <v>446</v>
      </c>
      <c r="P436" s="11">
        <f>SUMIFS(LS[[#Headers],[Unit]]:LS[[#This Row],[Unit]],LS[[#Headers],[Investor ID]]:LS[[#This Row],[Investor ID]],LS[[#This Row],[Investor ID]])</f>
        <v>934</v>
      </c>
      <c r="Q436" s="10">
        <v>4460</v>
      </c>
      <c r="R436" s="6">
        <f>LS[[#This Row],[Amount]]-LS[[#This Row],[Unit Capital]]</f>
        <v>-67.550000000000182</v>
      </c>
      <c r="S43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10.055607877303967</v>
      </c>
      <c r="T436" s="168">
        <f t="shared" si="72"/>
        <v>12.552</v>
      </c>
      <c r="U43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36" s="10" cm="1">
        <f t="array" ref="V436">IF(LS[[#This Row],[B/S]]="S",ABS(LS[[#This Row],[Unit]])*(INDEX(LS[NAV at Cost (Average)],MATCH(CONCATENATE((LS[[#This Row],[Frequency]]-1),LS[[#This Row],[Investor ID]]),LS[Unique Code],0),0)),0)</f>
        <v>0</v>
      </c>
      <c r="W436" s="10">
        <f>IF(LS[[#This Row],[BO Transfer]]="YES",LS[[#This Row],[Unit]],)</f>
        <v>0</v>
      </c>
      <c r="X436" s="3">
        <f>SUMIFS(LS[[#Headers],[BO UNIT TRANSFER]]:LS[[#This Row],[BO UNIT TRANSFER]],LS[[#Headers],[Investor ID]]:LS[[#This Row],[Investor ID]],LS[[#This Row],[Investor ID]])</f>
        <v>0</v>
      </c>
    </row>
    <row r="437" spans="2:24">
      <c r="B437" s="8">
        <v>2024</v>
      </c>
      <c r="C437" s="8">
        <v>3</v>
      </c>
      <c r="D437" s="8">
        <v>14</v>
      </c>
      <c r="E437" s="291">
        <f>DATE(LS[[#This Row],[Year]],LS[[#This Row],[Month]],LS[[#This Row],[Day]])</f>
        <v>45365</v>
      </c>
      <c r="F437" t="str" cm="1">
        <f t="array" ref="F437">INDEX(INVESTORS_LIST[INVESTOR NAME],MATCH(LS[[#This Row],[Investor ID]],INVESTORS_LIST[INVESTOR CODE],0),)</f>
        <v>SAILENDRA SAHA</v>
      </c>
      <c r="G437" s="201" t="s">
        <v>581</v>
      </c>
      <c r="H437" s="8">
        <f>COUNTIF(LS[[#Headers],[Investor ID]]:LS[[#This Row],[Investor ID]],LS[[#This Row],[Investor ID]])</f>
        <v>2</v>
      </c>
      <c r="I437" s="8" t="str">
        <f>CONCATENATE(LS[[#This Row],[Frequency]],LS[[#This Row],[Investor ID]])</f>
        <v>2A00328</v>
      </c>
      <c r="J437" s="8" t="str">
        <f>IF(LS[[#This Row],[B/S]]="B","BUY",(IF(LS[[#This Row],[B/S]]="S","SELL"," ")))</f>
        <v>BUY</v>
      </c>
      <c r="K437" s="8" t="s">
        <v>301</v>
      </c>
      <c r="L437" s="10">
        <v>9000</v>
      </c>
      <c r="M437" s="10"/>
      <c r="N437" s="168">
        <f>LS[[#This Row],[Amount]]/LS[[#This Row],[Unit]]</f>
        <v>9.8468271334792128</v>
      </c>
      <c r="O437" s="11">
        <f t="shared" si="74"/>
        <v>914</v>
      </c>
      <c r="P437" s="11">
        <f>SUMIFS(LS[[#Headers],[Unit]]:LS[[#This Row],[Unit]],LS[[#Headers],[Investor ID]]:LS[[#This Row],[Investor ID]],LS[[#This Row],[Investor ID]])</f>
        <v>40914</v>
      </c>
      <c r="Q437" s="10">
        <v>9140</v>
      </c>
      <c r="R437" s="6">
        <f>LS[[#This Row],[Amount]]-LS[[#This Row],[Unit Capital]]</f>
        <v>-140</v>
      </c>
      <c r="S43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9.996578188395171</v>
      </c>
      <c r="T437" s="168">
        <f t="shared" si="72"/>
        <v>12.552</v>
      </c>
      <c r="U43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37" s="10" cm="1">
        <f t="array" ref="V437">IF(LS[[#This Row],[B/S]]="S",ABS(LS[[#This Row],[Unit]])*(INDEX(LS[NAV at Cost (Average)],MATCH(CONCATENATE((LS[[#This Row],[Frequency]]-1),LS[[#This Row],[Investor ID]]),LS[Unique Code],0),0)),0)</f>
        <v>0</v>
      </c>
      <c r="W437" s="10">
        <f>IF(LS[[#This Row],[BO Transfer]]="YES",LS[[#This Row],[Unit]],)</f>
        <v>0</v>
      </c>
      <c r="X437" s="3">
        <f>SUMIFS(LS[[#Headers],[BO UNIT TRANSFER]]:LS[[#This Row],[BO UNIT TRANSFER]],LS[[#Headers],[Investor ID]]:LS[[#This Row],[Investor ID]],LS[[#This Row],[Investor ID]])</f>
        <v>0</v>
      </c>
    </row>
    <row r="438" spans="2:24">
      <c r="B438" s="8">
        <v>2024</v>
      </c>
      <c r="C438" s="8">
        <v>3</v>
      </c>
      <c r="D438" s="8">
        <v>14</v>
      </c>
      <c r="E438" s="291">
        <f>DATE(LS[[#This Row],[Year]],LS[[#This Row],[Month]],LS[[#This Row],[Day]])</f>
        <v>45365</v>
      </c>
      <c r="F438" t="str" cm="1">
        <f t="array" ref="F438">INDEX(INVESTORS_LIST[INVESTOR NAME],MATCH(LS[[#This Row],[Investor ID]],INVESTORS_LIST[INVESTOR CODE],0),)</f>
        <v>SUSMITA DHAR</v>
      </c>
      <c r="G438" s="201" t="s">
        <v>595</v>
      </c>
      <c r="H438" s="8">
        <f>COUNTIF(LS[[#Headers],[Investor ID]]:LS[[#This Row],[Investor ID]],LS[[#This Row],[Investor ID]])</f>
        <v>2</v>
      </c>
      <c r="I438" s="8" t="str">
        <f>CONCATENATE(LS[[#This Row],[Frequency]],LS[[#This Row],[Investor ID]])</f>
        <v>2A00334</v>
      </c>
      <c r="J438" s="8" t="str">
        <f>IF(LS[[#This Row],[B/S]]="B","BUY",(IF(LS[[#This Row],[B/S]]="S","SELL"," ")))</f>
        <v>BUY</v>
      </c>
      <c r="K438" s="8" t="s">
        <v>301</v>
      </c>
      <c r="L438" s="10">
        <v>1062.5</v>
      </c>
      <c r="M438" s="10"/>
      <c r="N438" s="168">
        <f>LS[[#This Row],[Amount]]/LS[[#This Row],[Unit]]</f>
        <v>9.3201754385964914</v>
      </c>
      <c r="O438" s="11">
        <f t="shared" si="74"/>
        <v>114</v>
      </c>
      <c r="P438" s="11">
        <f>SUMIFS(LS[[#Headers],[Unit]]:LS[[#This Row],[Unit]],LS[[#Headers],[Investor ID]]:LS[[#This Row],[Investor ID]],LS[[#This Row],[Investor ID]])</f>
        <v>5114</v>
      </c>
      <c r="Q438" s="10">
        <v>1140</v>
      </c>
      <c r="R438" s="6">
        <f>LS[[#This Row],[Amount]]-LS[[#This Row],[Unit Capital]]</f>
        <v>-77.5</v>
      </c>
      <c r="S43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9.9848455220962062</v>
      </c>
      <c r="T438" s="168">
        <f t="shared" si="72"/>
        <v>12.552</v>
      </c>
      <c r="U43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38" s="10" cm="1">
        <f t="array" ref="V438">IF(LS[[#This Row],[B/S]]="S",ABS(LS[[#This Row],[Unit]])*(INDEX(LS[NAV at Cost (Average)],MATCH(CONCATENATE((LS[[#This Row],[Frequency]]-1),LS[[#This Row],[Investor ID]]),LS[Unique Code],0),0)),0)</f>
        <v>0</v>
      </c>
      <c r="W438" s="10">
        <f>IF(LS[[#This Row],[BO Transfer]]="YES",LS[[#This Row],[Unit]],)</f>
        <v>0</v>
      </c>
      <c r="X438" s="3">
        <f>SUMIFS(LS[[#Headers],[BO UNIT TRANSFER]]:LS[[#This Row],[BO UNIT TRANSFER]],LS[[#Headers],[Investor ID]]:LS[[#This Row],[Investor ID]],LS[[#This Row],[Investor ID]])</f>
        <v>0</v>
      </c>
    </row>
    <row r="439" spans="2:24">
      <c r="B439" s="8">
        <v>2024</v>
      </c>
      <c r="C439" s="8">
        <v>3</v>
      </c>
      <c r="D439" s="8">
        <v>14</v>
      </c>
      <c r="E439" s="291">
        <f>DATE(LS[[#This Row],[Year]],LS[[#This Row],[Month]],LS[[#This Row],[Day]])</f>
        <v>45365</v>
      </c>
      <c r="F439" t="str" cm="1">
        <f t="array" ref="F439">INDEX(INVESTORS_LIST[INVESTOR NAME],MATCH(LS[[#This Row],[Investor ID]],INVESTORS_LIST[INVESTOR CODE],0),)</f>
        <v>BIPLAB SAHA</v>
      </c>
      <c r="G439" s="201" t="s">
        <v>598</v>
      </c>
      <c r="H439" s="8">
        <f>COUNTIF(LS[[#Headers],[Investor ID]]:LS[[#This Row],[Investor ID]],LS[[#This Row],[Investor ID]])</f>
        <v>3</v>
      </c>
      <c r="I439" s="8" t="str">
        <f>CONCATENATE(LS[[#This Row],[Frequency]],LS[[#This Row],[Investor ID]])</f>
        <v>3A00336</v>
      </c>
      <c r="J439" s="204" t="str">
        <f>IF(LS[[#This Row],[B/S]]="B","BUY",(IF(LS[[#This Row],[B/S]]="S","SELL"," ")))</f>
        <v>BUY</v>
      </c>
      <c r="K439" s="8" t="s">
        <v>301</v>
      </c>
      <c r="L439" s="10">
        <v>25500</v>
      </c>
      <c r="M439" s="10"/>
      <c r="N439" s="168">
        <f>LS[[#This Row],[Amount]]/LS[[#This Row],[Unit]]</f>
        <v>9.3031740240788032</v>
      </c>
      <c r="O439" s="11">
        <f t="shared" si="74"/>
        <v>2741</v>
      </c>
      <c r="P439" s="11">
        <f>SUMIFS(LS[[#Headers],[Unit]]:LS[[#This Row],[Unit]],LS[[#Headers],[Investor ID]]:LS[[#This Row],[Investor ID]],LS[[#This Row],[Investor ID]])</f>
        <v>122741</v>
      </c>
      <c r="Q439" s="10">
        <v>27410</v>
      </c>
      <c r="R439" s="6">
        <f>LS[[#This Row],[Amount]]-LS[[#This Row],[Unit Capital]]</f>
        <v>-1910</v>
      </c>
      <c r="S43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9.984438777588581</v>
      </c>
      <c r="T439" s="168">
        <f t="shared" si="72"/>
        <v>12.552</v>
      </c>
      <c r="U43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39" s="10" cm="1">
        <f t="array" ref="V439">IF(LS[[#This Row],[B/S]]="S",ABS(LS[[#This Row],[Unit]])*(INDEX(LS[NAV at Cost (Average)],MATCH(CONCATENATE((LS[[#This Row],[Frequency]]-1),LS[[#This Row],[Investor ID]]),LS[Unique Code],0),0)),0)</f>
        <v>0</v>
      </c>
      <c r="W439" s="10">
        <f>IF(LS[[#This Row],[BO Transfer]]="YES",LS[[#This Row],[Unit]],)</f>
        <v>0</v>
      </c>
      <c r="X439" s="3">
        <f>SUMIFS(LS[[#Headers],[BO UNIT TRANSFER]]:LS[[#This Row],[BO UNIT TRANSFER]],LS[[#Headers],[Investor ID]]:LS[[#This Row],[Investor ID]],LS[[#This Row],[Investor ID]])</f>
        <v>0</v>
      </c>
    </row>
    <row r="440" spans="2:24">
      <c r="B440" s="8">
        <v>2024</v>
      </c>
      <c r="C440" s="8">
        <v>3</v>
      </c>
      <c r="D440" s="8">
        <v>14</v>
      </c>
      <c r="E440" s="291">
        <f>DATE(LS[[#This Row],[Year]],LS[[#This Row],[Month]],LS[[#This Row],[Day]])</f>
        <v>45365</v>
      </c>
      <c r="F440" t="str" cm="1">
        <f t="array" ref="F440">INDEX(INVESTORS_LIST[INVESTOR NAME],MATCH(LS[[#This Row],[Investor ID]],INVESTORS_LIST[INVESTOR CODE],0),)</f>
        <v>MD. ZAKIR HOSSAIN</v>
      </c>
      <c r="G440" s="201" t="s">
        <v>647</v>
      </c>
      <c r="H440" s="8">
        <f>COUNTIF(LS[[#Headers],[Investor ID]]:LS[[#This Row],[Investor ID]],LS[[#This Row],[Investor ID]])</f>
        <v>2</v>
      </c>
      <c r="I440" s="8" t="str">
        <f>CONCATENATE(LS[[#This Row],[Frequency]],LS[[#This Row],[Investor ID]])</f>
        <v>2A00350</v>
      </c>
      <c r="J440" s="204" t="str">
        <f>IF(LS[[#This Row],[B/S]]="B","BUY",(IF(LS[[#This Row],[B/S]]="S","SELL"," ")))</f>
        <v>BUY</v>
      </c>
      <c r="K440" s="8" t="s">
        <v>301</v>
      </c>
      <c r="L440" s="10">
        <v>22500</v>
      </c>
      <c r="M440" s="10"/>
      <c r="N440" s="168">
        <f>LS[[#This Row],[Amount]]/LS[[#This Row],[Unit]]</f>
        <v>9.8511383537653234</v>
      </c>
      <c r="O440" s="11">
        <f t="shared" si="74"/>
        <v>2284</v>
      </c>
      <c r="P440" s="11">
        <f>SUMIFS(LS[[#Headers],[Unit]]:LS[[#This Row],[Unit]],LS[[#Headers],[Investor ID]]:LS[[#This Row],[Investor ID]],LS[[#This Row],[Investor ID]])</f>
        <v>102284</v>
      </c>
      <c r="Q440" s="10">
        <v>22840</v>
      </c>
      <c r="R440" s="6">
        <f>LS[[#This Row],[Amount]]-LS[[#This Row],[Unit Capital]]</f>
        <v>-340</v>
      </c>
      <c r="S44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9.9966759219428258</v>
      </c>
      <c r="T440" s="168">
        <f t="shared" si="72"/>
        <v>12.552</v>
      </c>
      <c r="U44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40" s="10" cm="1">
        <f t="array" ref="V440">IF(LS[[#This Row],[B/S]]="S",ABS(LS[[#This Row],[Unit]])*(INDEX(LS[NAV at Cost (Average)],MATCH(CONCATENATE((LS[[#This Row],[Frequency]]-1),LS[[#This Row],[Investor ID]]),LS[Unique Code],0),0)),0)</f>
        <v>0</v>
      </c>
      <c r="W440" s="10">
        <f>IF(LS[[#This Row],[BO Transfer]]="YES",LS[[#This Row],[Unit]],)</f>
        <v>0</v>
      </c>
      <c r="X440" s="3">
        <f>SUMIFS(LS[[#Headers],[BO UNIT TRANSFER]]:LS[[#This Row],[BO UNIT TRANSFER]],LS[[#Headers],[Investor ID]]:LS[[#This Row],[Investor ID]],LS[[#This Row],[Investor ID]])</f>
        <v>0</v>
      </c>
    </row>
    <row r="441" spans="2:24">
      <c r="B441" s="8">
        <v>2024</v>
      </c>
      <c r="C441" s="8">
        <v>3</v>
      </c>
      <c r="D441" s="8">
        <v>14</v>
      </c>
      <c r="E441" s="291">
        <f>DATE(LS[[#This Row],[Year]],LS[[#This Row],[Month]],LS[[#This Row],[Day]])</f>
        <v>45365</v>
      </c>
      <c r="F441" t="str" cm="1">
        <f t="array" ref="F441">INDEX(INVESTORS_LIST[INVESTOR NAME],MATCH(LS[[#This Row],[Investor ID]],INVESTORS_LIST[INVESTOR CODE],0),)</f>
        <v>VANGUARD AML GROWTH FUND</v>
      </c>
      <c r="G441" s="201" t="s">
        <v>653</v>
      </c>
      <c r="H441" s="8">
        <f>COUNTIF(LS[[#Headers],[Investor ID]]:LS[[#This Row],[Investor ID]],LS[[#This Row],[Investor ID]])</f>
        <v>3</v>
      </c>
      <c r="I441" s="8" t="str">
        <f>CONCATENATE(LS[[#This Row],[Frequency]],LS[[#This Row],[Investor ID]])</f>
        <v>3A00353</v>
      </c>
      <c r="J441" s="204" t="str">
        <f>IF(LS[[#This Row],[B/S]]="B","BUY",(IF(LS[[#This Row],[B/S]]="S","SELL"," ")))</f>
        <v>BUY</v>
      </c>
      <c r="K441" s="8" t="s">
        <v>301</v>
      </c>
      <c r="L441" s="10">
        <v>150000</v>
      </c>
      <c r="M441" s="10"/>
      <c r="N441" s="168">
        <f>LS[[#This Row],[Amount]]/LS[[#This Row],[Unit]]</f>
        <v>9.8522167487684733</v>
      </c>
      <c r="O441" s="11">
        <f t="shared" si="74"/>
        <v>15225</v>
      </c>
      <c r="P441" s="11">
        <f>SUMIFS(LS[[#Headers],[Unit]]:LS[[#This Row],[Unit]],LS[[#Headers],[Investor ID]]:LS[[#This Row],[Investor ID]],LS[[#This Row],[Investor ID]])</f>
        <v>615225</v>
      </c>
      <c r="Q441" s="10">
        <v>152250</v>
      </c>
      <c r="R441" s="6">
        <f>LS[[#This Row],[Amount]]-LS[[#This Row],[Unit Capital]]</f>
        <v>-2250</v>
      </c>
      <c r="S44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10.033727498069812</v>
      </c>
      <c r="T441" s="168">
        <f t="shared" si="72"/>
        <v>12.552</v>
      </c>
      <c r="U44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41" s="10" cm="1">
        <f t="array" ref="V441">IF(LS[[#This Row],[B/S]]="S",ABS(LS[[#This Row],[Unit]])*(INDEX(LS[NAV at Cost (Average)],MATCH(CONCATENATE((LS[[#This Row],[Frequency]]-1),LS[[#This Row],[Investor ID]]),LS[Unique Code],0),0)),0)</f>
        <v>0</v>
      </c>
      <c r="W441" s="10">
        <f>IF(LS[[#This Row],[BO Transfer]]="YES",LS[[#This Row],[Unit]],)</f>
        <v>0</v>
      </c>
      <c r="X441" s="3">
        <f>SUMIFS(LS[[#Headers],[BO UNIT TRANSFER]]:LS[[#This Row],[BO UNIT TRANSFER]],LS[[#Headers],[Investor ID]]:LS[[#This Row],[Investor ID]],LS[[#This Row],[Investor ID]])</f>
        <v>0</v>
      </c>
    </row>
    <row r="442" spans="2:24">
      <c r="B442" s="8">
        <v>2024</v>
      </c>
      <c r="C442" s="8">
        <v>3</v>
      </c>
      <c r="D442" s="8">
        <v>14</v>
      </c>
      <c r="E442" s="291">
        <f>DATE(LS[[#This Row],[Year]],LS[[#This Row],[Month]],LS[[#This Row],[Day]])</f>
        <v>45365</v>
      </c>
      <c r="F442" t="str" cm="1">
        <f t="array" ref="F442">INDEX(INVESTORS_LIST[INVESTOR NAME],MATCH(LS[[#This Row],[Investor ID]],INVESTORS_LIST[INVESTOR CODE],0),)</f>
        <v>ASRAAR HOSSAIN</v>
      </c>
      <c r="G442" s="201" t="s">
        <v>684</v>
      </c>
      <c r="H442" s="8">
        <f>COUNTIF(LS[[#Headers],[Investor ID]]:LS[[#This Row],[Investor ID]],LS[[#This Row],[Investor ID]])</f>
        <v>3</v>
      </c>
      <c r="I442" s="8" t="str">
        <f>CONCATENATE(LS[[#This Row],[Frequency]],LS[[#This Row],[Investor ID]])</f>
        <v>3A00369</v>
      </c>
      <c r="J442" s="204" t="str">
        <f>IF(LS[[#This Row],[B/S]]="B","BUY",(IF(LS[[#This Row],[B/S]]="S","SELL"," ")))</f>
        <v>BUY</v>
      </c>
      <c r="K442" s="8" t="s">
        <v>301</v>
      </c>
      <c r="L442" s="10">
        <v>450</v>
      </c>
      <c r="M442" s="3" t="s">
        <v>957</v>
      </c>
      <c r="N442" s="168">
        <f>LS[[#This Row],[Amount]]/LS[[#This Row],[Unit]]</f>
        <v>9.7826086956521738</v>
      </c>
      <c r="O442" s="11">
        <f t="shared" ref="O442:O444" si="75">Q442/10</f>
        <v>46</v>
      </c>
      <c r="P442" s="11">
        <f>SUMIFS(LS[[#Headers],[Unit]]:LS[[#This Row],[Unit]],LS[[#Headers],[Investor ID]]:LS[[#This Row],[Investor ID]],LS[[#This Row],[Investor ID]])</f>
        <v>167</v>
      </c>
      <c r="Q442" s="10">
        <v>460</v>
      </c>
      <c r="R442" s="6">
        <f>LS[[#This Row],[Amount]]-LS[[#This Row],[Unit Capital]]</f>
        <v>-10</v>
      </c>
      <c r="S44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9.9401197604790426</v>
      </c>
      <c r="T442" s="168">
        <f t="shared" si="72"/>
        <v>12.552</v>
      </c>
      <c r="U44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42" s="10" cm="1">
        <f t="array" ref="V442">IF(LS[[#This Row],[B/S]]="S",ABS(LS[[#This Row],[Unit]])*(INDEX(LS[NAV at Cost (Average)],MATCH(CONCATENATE((LS[[#This Row],[Frequency]]-1),LS[[#This Row],[Investor ID]]),LS[Unique Code],0),0)),0)</f>
        <v>0</v>
      </c>
      <c r="W442" s="10">
        <f>IF(LS[[#This Row],[BO Transfer]]="YES",LS[[#This Row],[Unit]],)</f>
        <v>46</v>
      </c>
      <c r="X442" s="3">
        <f>SUMIFS(LS[[#Headers],[BO UNIT TRANSFER]]:LS[[#This Row],[BO UNIT TRANSFER]],LS[[#Headers],[Investor ID]]:LS[[#This Row],[Investor ID]],LS[[#This Row],[Investor ID]])</f>
        <v>167</v>
      </c>
    </row>
    <row r="443" spans="2:24">
      <c r="B443" s="8">
        <v>2024</v>
      </c>
      <c r="C443" s="8">
        <v>3</v>
      </c>
      <c r="D443" s="8">
        <v>14</v>
      </c>
      <c r="E443" s="291">
        <f>DATE(LS[[#This Row],[Year]],LS[[#This Row],[Month]],LS[[#This Row],[Day]])</f>
        <v>45365</v>
      </c>
      <c r="F443" t="str" cm="1">
        <f t="array" ref="F443">INDEX(INVESTORS_LIST[INVESTOR NAME],MATCH(LS[[#This Row],[Investor ID]],INVESTORS_LIST[INVESTOR CODE],0),)</f>
        <v>ZAIN MOHAMMAD YASEEN</v>
      </c>
      <c r="G443" s="201" t="s">
        <v>686</v>
      </c>
      <c r="H443" s="8">
        <f>COUNTIF(LS[[#Headers],[Investor ID]]:LS[[#This Row],[Investor ID]],LS[[#This Row],[Investor ID]])</f>
        <v>3</v>
      </c>
      <c r="I443" s="8" t="str">
        <f>CONCATENATE(LS[[#This Row],[Frequency]],LS[[#This Row],[Investor ID]])</f>
        <v>3A00370</v>
      </c>
      <c r="J443" s="204" t="str">
        <f>IF(LS[[#This Row],[B/S]]="B","BUY",(IF(LS[[#This Row],[B/S]]="S","SELL"," ")))</f>
        <v>BUY</v>
      </c>
      <c r="K443" s="8" t="s">
        <v>301</v>
      </c>
      <c r="L443" s="10">
        <v>699.97</v>
      </c>
      <c r="M443" s="10"/>
      <c r="N443" s="168">
        <f>LS[[#This Row],[Amount]]/LS[[#This Row],[Unit]]</f>
        <v>9.8587323943661982</v>
      </c>
      <c r="O443" s="11">
        <f t="shared" si="75"/>
        <v>71</v>
      </c>
      <c r="P443" s="11">
        <f>SUMIFS(LS[[#Headers],[Unit]]:LS[[#This Row],[Unit]],LS[[#Headers],[Investor ID]]:LS[[#This Row],[Investor ID]],LS[[#This Row],[Investor ID]])</f>
        <v>3182</v>
      </c>
      <c r="Q443" s="10">
        <v>710</v>
      </c>
      <c r="R443" s="6">
        <f>LS[[#This Row],[Amount]]-LS[[#This Row],[Unit Capital]]</f>
        <v>-10.029999999999973</v>
      </c>
      <c r="S44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9.9971621621621605</v>
      </c>
      <c r="T443" s="168">
        <f t="shared" si="72"/>
        <v>12.552</v>
      </c>
      <c r="U44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43" s="10" cm="1">
        <f t="array" ref="V443">IF(LS[[#This Row],[B/S]]="S",ABS(LS[[#This Row],[Unit]])*(INDEX(LS[NAV at Cost (Average)],MATCH(CONCATENATE((LS[[#This Row],[Frequency]]-1),LS[[#This Row],[Investor ID]]),LS[Unique Code],0),0)),0)</f>
        <v>0</v>
      </c>
      <c r="W443" s="10">
        <f>IF(LS[[#This Row],[BO Transfer]]="YES",LS[[#This Row],[Unit]],)</f>
        <v>0</v>
      </c>
      <c r="X443" s="3">
        <f>SUMIFS(LS[[#Headers],[BO UNIT TRANSFER]]:LS[[#This Row],[BO UNIT TRANSFER]],LS[[#Headers],[Investor ID]]:LS[[#This Row],[Investor ID]],LS[[#This Row],[Investor ID]])</f>
        <v>0</v>
      </c>
    </row>
    <row r="444" spans="2:24">
      <c r="B444" s="8">
        <v>2024</v>
      </c>
      <c r="C444" s="8">
        <v>3</v>
      </c>
      <c r="D444" s="8">
        <v>14</v>
      </c>
      <c r="E444" s="291">
        <f>DATE(LS[[#This Row],[Year]],LS[[#This Row],[Month]],LS[[#This Row],[Day]])</f>
        <v>45365</v>
      </c>
      <c r="F444" t="str" cm="1">
        <f t="array" ref="F444">INDEX(INVESTORS_LIST[INVESTOR NAME],MATCH(LS[[#This Row],[Investor ID]],INVESTORS_LIST[INVESTOR CODE],0),)</f>
        <v>MD. AL AMIN SARKER</v>
      </c>
      <c r="G444" s="201" t="s">
        <v>688</v>
      </c>
      <c r="H444" s="8">
        <f>COUNTIF(LS[[#Headers],[Investor ID]]:LS[[#This Row],[Investor ID]],LS[[#This Row],[Investor ID]])</f>
        <v>2</v>
      </c>
      <c r="I444" s="8" t="str">
        <f>CONCATENATE(LS[[#This Row],[Frequency]],LS[[#This Row],[Investor ID]])</f>
        <v>2A00371</v>
      </c>
      <c r="J444" s="204" t="str">
        <f>IF(LS[[#This Row],[B/S]]="B","BUY",(IF(LS[[#This Row],[B/S]]="S","SELL"," ")))</f>
        <v>BUY</v>
      </c>
      <c r="K444" s="8" t="s">
        <v>301</v>
      </c>
      <c r="L444" s="10">
        <v>13500</v>
      </c>
      <c r="M444" s="10"/>
      <c r="N444" s="168">
        <f>LS[[#This Row],[Amount]]/LS[[#This Row],[Unit]]</f>
        <v>9.8540145985401466</v>
      </c>
      <c r="O444" s="11">
        <f t="shared" si="75"/>
        <v>1370</v>
      </c>
      <c r="P444" s="11">
        <f>SUMIFS(LS[[#Headers],[Unit]]:LS[[#This Row],[Unit]],LS[[#Headers],[Investor ID]]:LS[[#This Row],[Investor ID]],LS[[#This Row],[Investor ID]])</f>
        <v>61370</v>
      </c>
      <c r="Q444" s="10">
        <v>13700</v>
      </c>
      <c r="R444" s="6">
        <f>LS[[#This Row],[Amount]]-LS[[#This Row],[Unit Capital]]</f>
        <v>-200</v>
      </c>
      <c r="S44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9.9967410787029483</v>
      </c>
      <c r="T444" s="168">
        <f t="shared" si="72"/>
        <v>12.552</v>
      </c>
      <c r="U44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44" s="10" cm="1">
        <f t="array" ref="V444">IF(LS[[#This Row],[B/S]]="S",ABS(LS[[#This Row],[Unit]])*(INDEX(LS[NAV at Cost (Average)],MATCH(CONCATENATE((LS[[#This Row],[Frequency]]-1),LS[[#This Row],[Investor ID]]),LS[Unique Code],0),0)),0)</f>
        <v>0</v>
      </c>
      <c r="W444" s="10">
        <f>IF(LS[[#This Row],[BO Transfer]]="YES",LS[[#This Row],[Unit]],)</f>
        <v>0</v>
      </c>
      <c r="X444" s="3">
        <f>SUMIFS(LS[[#Headers],[BO UNIT TRANSFER]]:LS[[#This Row],[BO UNIT TRANSFER]],LS[[#Headers],[Investor ID]]:LS[[#This Row],[Investor ID]],LS[[#This Row],[Investor ID]])</f>
        <v>0</v>
      </c>
    </row>
    <row r="445" spans="2:24">
      <c r="B445" s="8">
        <v>2024</v>
      </c>
      <c r="C445" s="8">
        <v>3</v>
      </c>
      <c r="D445" s="8">
        <v>14</v>
      </c>
      <c r="E445" s="291">
        <f>DATE(LS[[#This Row],[Year]],LS[[#This Row],[Month]],LS[[#This Row],[Day]])</f>
        <v>45365</v>
      </c>
      <c r="F445" t="str" cm="1">
        <f t="array" ref="F445">INDEX(INVESTORS_LIST[INVESTOR NAME],MATCH(LS[[#This Row],[Investor ID]],INVESTORS_LIST[INVESTOR CODE],0),)</f>
        <v>MD. SHAHIDUL ISLAM</v>
      </c>
      <c r="G445" s="201" t="s">
        <v>709</v>
      </c>
      <c r="H445" s="8">
        <f>COUNTIF(LS[[#Headers],[Investor ID]]:LS[[#This Row],[Investor ID]],LS[[#This Row],[Investor ID]])</f>
        <v>2</v>
      </c>
      <c r="I445" s="8" t="str">
        <f>CONCATENATE(LS[[#This Row],[Frequency]],LS[[#This Row],[Investor ID]])</f>
        <v>2A00382</v>
      </c>
      <c r="J445" s="204" t="str">
        <f>IF(LS[[#This Row],[B/S]]="B","BUY",(IF(LS[[#This Row],[B/S]]="S","SELL"," ")))</f>
        <v>BUY</v>
      </c>
      <c r="K445" s="8" t="s">
        <v>301</v>
      </c>
      <c r="L445" s="10">
        <v>45</v>
      </c>
      <c r="M445" s="10"/>
      <c r="N445" s="168">
        <f>LS[[#This Row],[Amount]]/LS[[#This Row],[Unit]]</f>
        <v>9</v>
      </c>
      <c r="O445" s="11">
        <f t="shared" ref="O445:O446" si="76">Q445/10</f>
        <v>5</v>
      </c>
      <c r="P445" s="11">
        <f>SUMIFS(LS[[#Headers],[Unit]]:LS[[#This Row],[Unit]],LS[[#Headers],[Investor ID]]:LS[[#This Row],[Investor ID]],LS[[#This Row],[Investor ID]])</f>
        <v>205</v>
      </c>
      <c r="Q445" s="10">
        <v>50</v>
      </c>
      <c r="R445" s="6">
        <f>LS[[#This Row],[Amount]]-LS[[#This Row],[Unit Capital]]</f>
        <v>-5</v>
      </c>
      <c r="S44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9.9756097560975601</v>
      </c>
      <c r="T445" s="168">
        <f t="shared" si="72"/>
        <v>12.552</v>
      </c>
      <c r="U44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45" s="10" cm="1">
        <f t="array" ref="V445">IF(LS[[#This Row],[B/S]]="S",ABS(LS[[#This Row],[Unit]])*(INDEX(LS[NAV at Cost (Average)],MATCH(CONCATENATE((LS[[#This Row],[Frequency]]-1),LS[[#This Row],[Investor ID]]),LS[Unique Code],0),0)),0)</f>
        <v>0</v>
      </c>
      <c r="W445" s="10">
        <f>IF(LS[[#This Row],[BO Transfer]]="YES",LS[[#This Row],[Unit]],)</f>
        <v>0</v>
      </c>
      <c r="X445" s="3">
        <f>SUMIFS(LS[[#Headers],[BO UNIT TRANSFER]]:LS[[#This Row],[BO UNIT TRANSFER]],LS[[#Headers],[Investor ID]]:LS[[#This Row],[Investor ID]],LS[[#This Row],[Investor ID]])</f>
        <v>0</v>
      </c>
    </row>
    <row r="446" spans="2:24">
      <c r="B446" s="8">
        <v>2024</v>
      </c>
      <c r="C446" s="8">
        <v>3</v>
      </c>
      <c r="D446" s="8">
        <v>14</v>
      </c>
      <c r="E446" s="291">
        <f>DATE(LS[[#This Row],[Year]],LS[[#This Row],[Month]],LS[[#This Row],[Day]])</f>
        <v>45365</v>
      </c>
      <c r="F446" t="str" cm="1">
        <f t="array" ref="F446">INDEX(INVESTORS_LIST[INVESTOR NAME],MATCH(LS[[#This Row],[Investor ID]],INVESTORS_LIST[INVESTOR CODE],0),)</f>
        <v>FOUZIA RAHMAN</v>
      </c>
      <c r="G446" s="201" t="s">
        <v>853</v>
      </c>
      <c r="H446" s="8">
        <f>COUNTIF(LS[[#Headers],[Investor ID]]:LS[[#This Row],[Investor ID]],LS[[#This Row],[Investor ID]])</f>
        <v>2</v>
      </c>
      <c r="I446" s="8" t="str">
        <f>CONCATENATE(LS[[#This Row],[Frequency]],LS[[#This Row],[Investor ID]])</f>
        <v>2A00389</v>
      </c>
      <c r="J446" s="8" t="str">
        <f>IF(LS[[#This Row],[B/S]]="B","BUY",(IF(LS[[#This Row],[B/S]]="S","SELL"," ")))</f>
        <v>BUY</v>
      </c>
      <c r="K446" s="8" t="s">
        <v>301</v>
      </c>
      <c r="L446" s="10">
        <v>3187.5</v>
      </c>
      <c r="M446" s="10"/>
      <c r="N446" s="168">
        <f>LS[[#This Row],[Amount]]/LS[[#This Row],[Unit]]</f>
        <v>9.2930029154518952</v>
      </c>
      <c r="O446" s="11">
        <f t="shared" si="76"/>
        <v>343</v>
      </c>
      <c r="P446" s="11">
        <f>SUMIFS(LS[[#Headers],[Unit]]:LS[[#This Row],[Unit]],LS[[#Headers],[Investor ID]]:LS[[#This Row],[Investor ID]],LS[[#This Row],[Investor ID]])</f>
        <v>15343</v>
      </c>
      <c r="Q446" s="10">
        <v>3430</v>
      </c>
      <c r="R446" s="6">
        <f>LS[[#This Row],[Amount]]-LS[[#This Row],[Unit Capital]]</f>
        <v>-242.5</v>
      </c>
      <c r="S44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9.9841947467900685</v>
      </c>
      <c r="T446" s="168">
        <f t="shared" si="72"/>
        <v>12.552</v>
      </c>
      <c r="U44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46" s="10" cm="1">
        <f t="array" ref="V446">IF(LS[[#This Row],[B/S]]="S",ABS(LS[[#This Row],[Unit]])*(INDEX(LS[NAV at Cost (Average)],MATCH(CONCATENATE((LS[[#This Row],[Frequency]]-1),LS[[#This Row],[Investor ID]]),LS[Unique Code],0),0)),0)</f>
        <v>0</v>
      </c>
      <c r="W446" s="10">
        <f>IF(LS[[#This Row],[BO Transfer]]="YES",LS[[#This Row],[Unit]],)</f>
        <v>0</v>
      </c>
      <c r="X446" s="3">
        <f>SUMIFS(LS[[#Headers],[BO UNIT TRANSFER]]:LS[[#This Row],[BO UNIT TRANSFER]],LS[[#Headers],[Investor ID]]:LS[[#This Row],[Investor ID]],LS[[#This Row],[Investor ID]])</f>
        <v>0</v>
      </c>
    </row>
    <row r="447" spans="2:24">
      <c r="B447" s="8">
        <v>2024</v>
      </c>
      <c r="C447" s="8">
        <v>3</v>
      </c>
      <c r="D447" s="8">
        <v>14</v>
      </c>
      <c r="E447" s="291">
        <f>DATE(LS[[#This Row],[Year]],LS[[#This Row],[Month]],LS[[#This Row],[Day]])</f>
        <v>45365</v>
      </c>
      <c r="F447" t="str" cm="1">
        <f t="array" ref="F447">INDEX(INVESTORS_LIST[INVESTOR NAME],MATCH(LS[[#This Row],[Investor ID]],INVESTORS_LIST[INVESTOR CODE],0),)</f>
        <v>SANDHANI AML SLIC FIXED INCOME FUND</v>
      </c>
      <c r="G447" s="201" t="s">
        <v>1036</v>
      </c>
      <c r="H447" s="8">
        <f>COUNTIF(LS[[#Headers],[Investor ID]]:LS[[#This Row],[Investor ID]],LS[[#This Row],[Investor ID]])</f>
        <v>3</v>
      </c>
      <c r="I447" s="8" t="str">
        <f>CONCATENATE(LS[[#This Row],[Frequency]],LS[[#This Row],[Investor ID]])</f>
        <v>3A00466</v>
      </c>
      <c r="J447" s="205" t="str">
        <f>IF(LS[[#This Row],[B/S]]="B","BUY",(IF(LS[[#This Row],[B/S]]="S","SELL"," ")))</f>
        <v>BUY</v>
      </c>
      <c r="K447" s="8" t="s">
        <v>301</v>
      </c>
      <c r="L447" s="10">
        <v>97687.5</v>
      </c>
      <c r="M447" s="10"/>
      <c r="N447" s="168">
        <f>LS[[#This Row],[Amount]]/LS[[#This Row],[Unit]]</f>
        <v>9.8524962178517406</v>
      </c>
      <c r="O447" s="11">
        <f t="shared" ref="O447:O454" si="77">Q447/10</f>
        <v>9915</v>
      </c>
      <c r="P447" s="11">
        <f>SUMIFS(LS[[#Headers],[Unit]]:LS[[#This Row],[Unit]],LS[[#Headers],[Investor ID]]:LS[[#This Row],[Investor ID]],LS[[#This Row],[Investor ID]])</f>
        <v>33360</v>
      </c>
      <c r="Q447" s="10">
        <v>99150</v>
      </c>
      <c r="R447" s="6">
        <f>LS[[#This Row],[Amount]]-LS[[#This Row],[Unit Capital]]</f>
        <v>-1462.5</v>
      </c>
      <c r="S44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10.12201798561151</v>
      </c>
      <c r="T447" s="168">
        <f t="shared" si="72"/>
        <v>12.552</v>
      </c>
      <c r="U44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47" s="10" cm="1">
        <f t="array" ref="V447">IF(LS[[#This Row],[B/S]]="S",ABS(LS[[#This Row],[Unit]])*(INDEX(LS[NAV at Cost (Average)],MATCH(CONCATENATE((LS[[#This Row],[Frequency]]-1),LS[[#This Row],[Investor ID]]),LS[Unique Code],0),0)),0)</f>
        <v>0</v>
      </c>
      <c r="W447" s="10">
        <f>IF(LS[[#This Row],[BO Transfer]]="YES",LS[[#This Row],[Unit]],)</f>
        <v>0</v>
      </c>
      <c r="X447" s="3">
        <f>SUMIFS(LS[[#Headers],[BO UNIT TRANSFER]]:LS[[#This Row],[BO UNIT TRANSFER]],LS[[#Headers],[Investor ID]]:LS[[#This Row],[Investor ID]],LS[[#This Row],[Investor ID]])</f>
        <v>0</v>
      </c>
    </row>
    <row r="448" spans="2:24">
      <c r="B448" s="8">
        <v>2024</v>
      </c>
      <c r="C448" s="8">
        <v>3</v>
      </c>
      <c r="D448" s="8">
        <v>14</v>
      </c>
      <c r="E448" s="291">
        <f>DATE(LS[[#This Row],[Year]],LS[[#This Row],[Month]],LS[[#This Row],[Day]])</f>
        <v>45365</v>
      </c>
      <c r="F448" t="str" cm="1">
        <f t="array" ref="F448">INDEX(INVESTORS_LIST[INVESTOR NAME],MATCH(LS[[#This Row],[Investor ID]],INVESTORS_LIST[INVESTOR CODE],0),)</f>
        <v>MR. NAYAN KUMAR CHOWDHURY</v>
      </c>
      <c r="G448" s="201" t="s">
        <v>357</v>
      </c>
      <c r="H448" s="8">
        <f>COUNTIF(LS[[#Headers],[Investor ID]]:LS[[#This Row],[Investor ID]],LS[[#This Row],[Investor ID]])</f>
        <v>2</v>
      </c>
      <c r="I448" s="8" t="str">
        <f>CONCATENATE(LS[[#This Row],[Frequency]],LS[[#This Row],[Investor ID]])</f>
        <v>2A00250</v>
      </c>
      <c r="J448" s="205" t="str">
        <f>IF(LS[[#This Row],[B/S]]="B","BUY",(IF(LS[[#This Row],[B/S]]="S","SELL"," ")))</f>
        <v>SELL</v>
      </c>
      <c r="K448" s="8" t="s">
        <v>866</v>
      </c>
      <c r="L448" s="10">
        <v>-125</v>
      </c>
      <c r="M448" s="10"/>
      <c r="N448" s="168">
        <f>LS[[#This Row],[Amount]]/LS[[#This Row],[Unit]]</f>
        <v>9.615384615384615</v>
      </c>
      <c r="O448" s="11">
        <f t="shared" si="77"/>
        <v>-13</v>
      </c>
      <c r="P448" s="11">
        <f>SUMIFS(LS[[#Headers],[Unit]]:LS[[#This Row],[Unit]],LS[[#Headers],[Investor ID]]:LS[[#This Row],[Investor ID]],LS[[#This Row],[Investor ID]])</f>
        <v>9987</v>
      </c>
      <c r="Q448" s="10">
        <v>-130</v>
      </c>
      <c r="R448" s="6">
        <f>LS[[#This Row],[Amount]]-LS[[#This Row],[Unit Capital]]</f>
        <v>5</v>
      </c>
      <c r="S44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48" s="168">
        <f t="shared" si="72"/>
        <v>12.552</v>
      </c>
      <c r="U448" s="10">
        <f>IF(LS[[#This Row],[B/S]]="B",0,ABS(LS[[#This Row],[Unit]])*(LS[[#This Row],[NAV (Strike Rate)]]-INDEX(LS[NAV at Cost (Average)],MATCH(CONCATENATE(LS[[#This Row],[Frequency]]-1,LS[[#This Row],[Investor ID]]),LS[Unique Code],0),)))</f>
        <v>-5.0000000000000053</v>
      </c>
      <c r="V448" s="10" cm="1">
        <f t="array" ref="V448">IF(LS[[#This Row],[B/S]]="S",ABS(LS[[#This Row],[Unit]])*(INDEX(LS[NAV at Cost (Average)],MATCH(CONCATENATE((LS[[#This Row],[Frequency]]-1),LS[[#This Row],[Investor ID]]),LS[Unique Code],0),0)),0)</f>
        <v>130</v>
      </c>
      <c r="W448" s="10">
        <f>IF(LS[[#This Row],[BO Transfer]]="YES",LS[[#This Row],[Unit]],)</f>
        <v>0</v>
      </c>
      <c r="X448" s="3">
        <f>SUMIFS(LS[[#Headers],[BO UNIT TRANSFER]]:LS[[#This Row],[BO UNIT TRANSFER]],LS[[#Headers],[Investor ID]]:LS[[#This Row],[Investor ID]],LS[[#This Row],[Investor ID]])</f>
        <v>0</v>
      </c>
    </row>
    <row r="449" spans="2:24">
      <c r="B449" s="8">
        <v>2024</v>
      </c>
      <c r="C449" s="8">
        <v>3</v>
      </c>
      <c r="D449" s="8">
        <v>14</v>
      </c>
      <c r="E449" s="291">
        <f>DATE(LS[[#This Row],[Year]],LS[[#This Row],[Month]],LS[[#This Row],[Day]])</f>
        <v>45365</v>
      </c>
      <c r="F449" t="str" cm="1">
        <f t="array" ref="F449">INDEX(INVESTORS_LIST[INVESTOR NAME],MATCH(LS[[#This Row],[Investor ID]],INVESTORS_LIST[INVESTOR CODE],0),)</f>
        <v>NAYEEMA TASNEEM</v>
      </c>
      <c r="G449" s="201" t="s">
        <v>679</v>
      </c>
      <c r="H449" s="8">
        <f>COUNTIF(LS[[#Headers],[Investor ID]]:LS[[#This Row],[Investor ID]],LS[[#This Row],[Investor ID]])</f>
        <v>8</v>
      </c>
      <c r="I449" s="8" t="str">
        <f>CONCATENATE(LS[[#This Row],[Frequency]],LS[[#This Row],[Investor ID]])</f>
        <v>8A00366</v>
      </c>
      <c r="J449" s="8" t="str">
        <f>IF(LS[[#This Row],[B/S]]="B","BUY",(IF(LS[[#This Row],[B/S]]="S","SELL"," ")))</f>
        <v>SELL</v>
      </c>
      <c r="K449" s="8" t="s">
        <v>866</v>
      </c>
      <c r="L449" s="10">
        <v>-29.38</v>
      </c>
      <c r="M449" s="10"/>
      <c r="N449" s="168">
        <f>LS[[#This Row],[Amount]]/LS[[#This Row],[Unit]]</f>
        <v>9.793333333333333</v>
      </c>
      <c r="O449" s="11">
        <f t="shared" si="77"/>
        <v>-3</v>
      </c>
      <c r="P449" s="11">
        <f>SUMIFS(LS[[#Headers],[Unit]]:LS[[#This Row],[Unit]],LS[[#Headers],[Investor ID]]:LS[[#This Row],[Investor ID]],LS[[#This Row],[Investor ID]])</f>
        <v>2348</v>
      </c>
      <c r="Q449" s="10">
        <v>-30</v>
      </c>
      <c r="R449" s="6">
        <f>LS[[#This Row],[Amount]]-LS[[#This Row],[Unit Capital]]</f>
        <v>0.62000000000000099</v>
      </c>
      <c r="S44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</v>
      </c>
      <c r="T449" s="168">
        <f t="shared" si="72"/>
        <v>12.552</v>
      </c>
      <c r="U449" s="10">
        <f>IF(LS[[#This Row],[B/S]]="B",0,ABS(LS[[#This Row],[Unit]])*(LS[[#This Row],[NAV (Strike Rate)]]-INDEX(LS[NAV at Cost (Average)],MATCH(CONCATENATE(LS[[#This Row],[Frequency]]-1,LS[[#This Row],[Investor ID]]),LS[Unique Code],0),)))</f>
        <v>-0.62000000000000099</v>
      </c>
      <c r="V449" s="10" cm="1">
        <f t="array" ref="V449">IF(LS[[#This Row],[B/S]]="S",ABS(LS[[#This Row],[Unit]])*(INDEX(LS[NAV at Cost (Average)],MATCH(CONCATENATE((LS[[#This Row],[Frequency]]-1),LS[[#This Row],[Investor ID]]),LS[Unique Code],0),0)),0)</f>
        <v>30</v>
      </c>
      <c r="W449" s="10">
        <f>IF(LS[[#This Row],[BO Transfer]]="YES",LS[[#This Row],[Unit]],)</f>
        <v>0</v>
      </c>
      <c r="X449" s="3">
        <f>SUMIFS(LS[[#Headers],[BO UNIT TRANSFER]]:LS[[#This Row],[BO UNIT TRANSFER]],LS[[#Headers],[Investor ID]]:LS[[#This Row],[Investor ID]],LS[[#This Row],[Investor ID]])</f>
        <v>0</v>
      </c>
    </row>
    <row r="450" spans="2:24">
      <c r="B450" s="8">
        <v>2024</v>
      </c>
      <c r="C450" s="8">
        <v>3</v>
      </c>
      <c r="D450" s="8">
        <v>14</v>
      </c>
      <c r="E450" s="291">
        <f>DATE(LS[[#This Row],[Year]],LS[[#This Row],[Month]],LS[[#This Row],[Day]])</f>
        <v>45365</v>
      </c>
      <c r="F450" t="str" cm="1">
        <f t="array" ref="F450">INDEX(INVESTORS_LIST[INVESTOR NAME],MATCH(LS[[#This Row],[Investor ID]],INVESTORS_LIST[INVESTOR CODE],0),)</f>
        <v>EKUSH WEALTH MANAGEMENT LIMITED</v>
      </c>
      <c r="G450" s="201" t="s">
        <v>4</v>
      </c>
      <c r="H450" s="8">
        <f>COUNTIF(LS[[#Headers],[Investor ID]]:LS[[#This Row],[Investor ID]],LS[[#This Row],[Investor ID]])</f>
        <v>16</v>
      </c>
      <c r="I450" s="8" t="str">
        <f>CONCATENATE(LS[[#This Row],[Frequency]],LS[[#This Row],[Investor ID]])</f>
        <v>16A00003</v>
      </c>
      <c r="J450" s="8" t="str">
        <f>IF(LS[[#This Row],[B/S]]="B","BUY",(IF(LS[[#This Row],[B/S]]="S","SELL"," ")))</f>
        <v>SELL</v>
      </c>
      <c r="K450" s="8" t="s">
        <v>866</v>
      </c>
      <c r="L450" s="10">
        <v>-3750</v>
      </c>
      <c r="M450" s="10"/>
      <c r="N450" s="168">
        <f>LS[[#This Row],[Amount]]/LS[[#This Row],[Unit]]</f>
        <v>9.8425196850393704</v>
      </c>
      <c r="O450" s="11">
        <f t="shared" si="77"/>
        <v>-381</v>
      </c>
      <c r="P450" s="11">
        <f>SUMIFS(LS[[#Headers],[Unit]]:LS[[#This Row],[Unit]],LS[[#Headers],[Investor ID]]:LS[[#This Row],[Investor ID]],LS[[#This Row],[Investor ID]])</f>
        <v>2060398</v>
      </c>
      <c r="Q450" s="10">
        <v>-3810</v>
      </c>
      <c r="R450" s="6">
        <f>LS[[#This Row],[Amount]]-LS[[#This Row],[Unit Capital]]</f>
        <v>60</v>
      </c>
      <c r="S45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9.9712494122991586</v>
      </c>
      <c r="T450" s="168">
        <f t="shared" si="72"/>
        <v>12.552</v>
      </c>
      <c r="U450" s="10">
        <f>IF(LS[[#This Row],[B/S]]="B",0,ABS(LS[[#This Row],[Unit]])*(LS[[#This Row],[NAV (Strike Rate)]]-INDEX(LS[NAV at Cost (Average)],MATCH(CONCATENATE(LS[[#This Row],[Frequency]]-1,LS[[#This Row],[Investor ID]]),LS[Unique Code],0),)))</f>
        <v>-49.046026085979328</v>
      </c>
      <c r="V450" s="10" cm="1">
        <f t="array" ref="V450">IF(LS[[#This Row],[B/S]]="S",ABS(LS[[#This Row],[Unit]])*(INDEX(LS[NAV at Cost (Average)],MATCH(CONCATENATE((LS[[#This Row],[Frequency]]-1),LS[[#This Row],[Investor ID]]),LS[Unique Code],0),0)),0)</f>
        <v>3799.0460260859795</v>
      </c>
      <c r="W450" s="10">
        <f>IF(LS[[#This Row],[BO Transfer]]="YES",LS[[#This Row],[Unit]],)</f>
        <v>0</v>
      </c>
      <c r="X450" s="3">
        <f>SUMIFS(LS[[#Headers],[BO UNIT TRANSFER]]:LS[[#This Row],[BO UNIT TRANSFER]],LS[[#Headers],[Investor ID]]:LS[[#This Row],[Investor ID]],LS[[#This Row],[Investor ID]])</f>
        <v>0</v>
      </c>
    </row>
    <row r="451" spans="2:24">
      <c r="B451" s="8">
        <v>2024</v>
      </c>
      <c r="C451" s="8">
        <v>3</v>
      </c>
      <c r="D451" s="8">
        <v>14</v>
      </c>
      <c r="E451" s="291">
        <f>DATE(LS[[#This Row],[Year]],LS[[#This Row],[Month]],LS[[#This Row],[Day]])</f>
        <v>45365</v>
      </c>
      <c r="F451" t="str" cm="1">
        <f t="array" ref="F451">INDEX(INVESTORS_LIST[INVESTOR NAME],MATCH(LS[[#This Row],[Investor ID]],INVESTORS_LIST[INVESTOR CODE],0),)</f>
        <v>NASRIN AHMED HELA</v>
      </c>
      <c r="G451" s="201" t="s">
        <v>935</v>
      </c>
      <c r="H451" s="8">
        <f>COUNTIF(LS[[#Headers],[Investor ID]]:LS[[#This Row],[Investor ID]],LS[[#This Row],[Investor ID]])</f>
        <v>6</v>
      </c>
      <c r="I451" s="8" t="str">
        <f>CONCATENATE(LS[[#This Row],[Frequency]],LS[[#This Row],[Investor ID]])</f>
        <v>6A00428</v>
      </c>
      <c r="J451" s="8" t="str">
        <f>IF(LS[[#This Row],[B/S]]="B","BUY",(IF(LS[[#This Row],[B/S]]="S","SELL"," ")))</f>
        <v>BUY</v>
      </c>
      <c r="K451" s="8" t="s">
        <v>301</v>
      </c>
      <c r="L451" s="10">
        <v>2369.25</v>
      </c>
      <c r="M451" s="10"/>
      <c r="N451" s="168">
        <f>LS[[#This Row],[Amount]]/LS[[#This Row],[Unit]]</f>
        <v>9.8309128630705391</v>
      </c>
      <c r="O451" s="11">
        <f t="shared" si="77"/>
        <v>241</v>
      </c>
      <c r="P451" s="11">
        <f>SUMIFS(LS[[#Headers],[Unit]]:LS[[#This Row],[Unit]],LS[[#Headers],[Investor ID]]:LS[[#This Row],[Investor ID]],LS[[#This Row],[Investor ID]])</f>
        <v>10771</v>
      </c>
      <c r="Q451" s="10">
        <v>2410</v>
      </c>
      <c r="R451" s="6">
        <f>LS[[#This Row],[Amount]]-LS[[#This Row],[Unit Capital]]</f>
        <v>-40.75</v>
      </c>
      <c r="S45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10.166615507407622</v>
      </c>
      <c r="T451" s="168">
        <f t="shared" ref="T451:T456" si="78">IFERROR(NAV_MKT,0)</f>
        <v>12.552</v>
      </c>
      <c r="U45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51" s="10" cm="1">
        <f t="array" ref="V451">IF(LS[[#This Row],[B/S]]="S",ABS(LS[[#This Row],[Unit]])*(INDEX(LS[NAV at Cost (Average)],MATCH(CONCATENATE((LS[[#This Row],[Frequency]]-1),LS[[#This Row],[Investor ID]]),LS[Unique Code],0),0)),0)</f>
        <v>0</v>
      </c>
      <c r="W451" s="10">
        <f>IF(LS[[#This Row],[BO Transfer]]="YES",LS[[#This Row],[Unit]],)</f>
        <v>0</v>
      </c>
      <c r="X451" s="3">
        <f>SUMIFS(LS[[#Headers],[BO UNIT TRANSFER]]:LS[[#This Row],[BO UNIT TRANSFER]],LS[[#Headers],[Investor ID]]:LS[[#This Row],[Investor ID]],LS[[#This Row],[Investor ID]])</f>
        <v>0</v>
      </c>
    </row>
    <row r="452" spans="2:24">
      <c r="B452" s="8">
        <v>2024</v>
      </c>
      <c r="C452" s="8">
        <v>3</v>
      </c>
      <c r="D452" s="8">
        <v>24</v>
      </c>
      <c r="E452" s="291">
        <f>DATE(LS[[#This Row],[Year]],LS[[#This Row],[Month]],LS[[#This Row],[Day]])</f>
        <v>45375</v>
      </c>
      <c r="F452" t="str" cm="1">
        <f t="array" ref="F452">INDEX(INVESTORS_LIST[INVESTOR NAME],MATCH(LS[[#This Row],[Investor ID]],INVESTORS_LIST[INVESTOR CODE],0),)</f>
        <v>RAIHAN RASHID MAJUMDAR</v>
      </c>
      <c r="G452" s="19" t="s">
        <v>216</v>
      </c>
      <c r="H452" s="8">
        <f>COUNTIF(LS[[#Headers],[Investor ID]]:LS[[#This Row],[Investor ID]],LS[[#This Row],[Investor ID]])</f>
        <v>5</v>
      </c>
      <c r="I452" s="8" t="str">
        <f>CONCATENATE(LS[[#This Row],[Frequency]],LS[[#This Row],[Investor ID]])</f>
        <v>5A00183</v>
      </c>
      <c r="J452" s="206" t="str">
        <f>IF(LS[[#This Row],[B/S]]="B","BUY",(IF(LS[[#This Row],[B/S]]="S","SELL"," ")))</f>
        <v>SELL</v>
      </c>
      <c r="K452" s="8" t="s">
        <v>866</v>
      </c>
      <c r="L452" s="10">
        <v>-500000</v>
      </c>
      <c r="M452" s="10"/>
      <c r="N452" s="168">
        <f>LS[[#This Row],[Amount]]/LS[[#This Row],[Unit]]</f>
        <v>9.9320646776051813</v>
      </c>
      <c r="O452" s="11">
        <f t="shared" si="77"/>
        <v>-50342</v>
      </c>
      <c r="P452" s="11">
        <f>SUMIFS(LS[[#Headers],[Unit]]:LS[[#This Row],[Unit]],LS[[#Headers],[Investor ID]]:LS[[#This Row],[Investor ID]],LS[[#This Row],[Investor ID]])</f>
        <v>159188</v>
      </c>
      <c r="Q452" s="10">
        <v>-503420</v>
      </c>
      <c r="R452" s="6">
        <f>LS[[#This Row],[Amount]]-LS[[#This Row],[Unit Capital]]</f>
        <v>3420</v>
      </c>
      <c r="S45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9.9968740514484793</v>
      </c>
      <c r="T452" s="168">
        <f t="shared" si="78"/>
        <v>12.552</v>
      </c>
      <c r="U452" s="10">
        <f>IF(LS[[#This Row],[B/S]]="B",0,ABS(LS[[#This Row],[Unit]])*(LS[[#This Row],[NAV (Strike Rate)]]-INDEX(LS[NAV at Cost (Average)],MATCH(CONCATENATE(LS[[#This Row],[Frequency]]-1,LS[[#This Row],[Investor ID]]),LS[Unique Code],0),)))</f>
        <v>-3262.6334980193074</v>
      </c>
      <c r="V452" s="10" cm="1">
        <f t="array" ref="V452">IF(LS[[#This Row],[B/S]]="S",ABS(LS[[#This Row],[Unit]])*(INDEX(LS[NAV at Cost (Average)],MATCH(CONCATENATE((LS[[#This Row],[Frequency]]-1),LS[[#This Row],[Investor ID]]),LS[Unique Code],0),0)),0)</f>
        <v>503262.63349801936</v>
      </c>
      <c r="W452" s="10">
        <f>IF(LS[[#This Row],[BO Transfer]]="YES",LS[[#This Row],[Unit]],)</f>
        <v>0</v>
      </c>
      <c r="X452" s="3">
        <f>SUMIFS(LS[[#Headers],[BO UNIT TRANSFER]]:LS[[#This Row],[BO UNIT TRANSFER]],LS[[#Headers],[Investor ID]]:LS[[#This Row],[Investor ID]],LS[[#This Row],[Investor ID]])</f>
        <v>0</v>
      </c>
    </row>
    <row r="453" spans="2:24">
      <c r="B453" s="8">
        <v>2024</v>
      </c>
      <c r="C453" s="8">
        <v>3</v>
      </c>
      <c r="D453" s="8">
        <v>24</v>
      </c>
      <c r="E453" s="291">
        <f>DATE(LS[[#This Row],[Year]],LS[[#This Row],[Month]],LS[[#This Row],[Day]])</f>
        <v>45375</v>
      </c>
      <c r="F453" t="str" cm="1">
        <f t="array" ref="F453">INDEX(INVESTORS_LIST[INVESTOR NAME],MATCH(LS[[#This Row],[Investor ID]],INVESTORS_LIST[INVESTOR CODE],0),)</f>
        <v>SANDHANI AML SLIC FIXED INCOME FUND</v>
      </c>
      <c r="G453" s="19" t="s">
        <v>1036</v>
      </c>
      <c r="H453" s="8">
        <f>COUNTIF(LS[[#Headers],[Investor ID]]:LS[[#This Row],[Investor ID]],LS[[#This Row],[Investor ID]])</f>
        <v>4</v>
      </c>
      <c r="I453" s="8" t="str">
        <f>CONCATENATE(LS[[#This Row],[Frequency]],LS[[#This Row],[Investor ID]])</f>
        <v>4A00466</v>
      </c>
      <c r="J453" s="206" t="str">
        <f>IF(LS[[#This Row],[B/S]]="B","BUY",(IF(LS[[#This Row],[B/S]]="S","SELL"," ")))</f>
        <v>SELL</v>
      </c>
      <c r="K453" s="8" t="s">
        <v>866</v>
      </c>
      <c r="L453" s="10">
        <v>-97687.5</v>
      </c>
      <c r="M453" s="10"/>
      <c r="N453" s="168">
        <f>LS[[#This Row],[Amount]]/LS[[#This Row],[Unit]]</f>
        <v>9.8524962178517406</v>
      </c>
      <c r="O453" s="11">
        <f t="shared" si="77"/>
        <v>-9915</v>
      </c>
      <c r="P453" s="11">
        <f>SUMIFS(LS[[#Headers],[Unit]]:LS[[#This Row],[Unit]],LS[[#Headers],[Investor ID]]:LS[[#This Row],[Investor ID]],LS[[#This Row],[Investor ID]])</f>
        <v>23445</v>
      </c>
      <c r="Q453" s="10">
        <v>-99150</v>
      </c>
      <c r="R453" s="6">
        <f>LS[[#This Row],[Amount]]-LS[[#This Row],[Unit Capital]]</f>
        <v>1462.5</v>
      </c>
      <c r="S45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10.12201798561151</v>
      </c>
      <c r="T453" s="168">
        <f t="shared" si="78"/>
        <v>12.552</v>
      </c>
      <c r="U453" s="10">
        <f>IF(LS[[#This Row],[B/S]]="B",0,ABS(LS[[#This Row],[Unit]])*(LS[[#This Row],[NAV (Strike Rate)]]-INDEX(LS[NAV at Cost (Average)],MATCH(CONCATENATE(LS[[#This Row],[Frequency]]-1,LS[[#This Row],[Investor ID]]),LS[Unique Code],0),)))</f>
        <v>-2672.3083273381162</v>
      </c>
      <c r="V453" s="10" cm="1">
        <f t="array" ref="V453">IF(LS[[#This Row],[B/S]]="S",ABS(LS[[#This Row],[Unit]])*(INDEX(LS[NAV at Cost (Average)],MATCH(CONCATENATE((LS[[#This Row],[Frequency]]-1),LS[[#This Row],[Investor ID]]),LS[Unique Code],0),0)),0)</f>
        <v>100359.80832733812</v>
      </c>
      <c r="W453" s="10">
        <f>IF(LS[[#This Row],[BO Transfer]]="YES",LS[[#This Row],[Unit]],)</f>
        <v>0</v>
      </c>
      <c r="X453" s="3">
        <f>SUMIFS(LS[[#Headers],[BO UNIT TRANSFER]]:LS[[#This Row],[BO UNIT TRANSFER]],LS[[#Headers],[Investor ID]]:LS[[#This Row],[Investor ID]],LS[[#This Row],[Investor ID]])</f>
        <v>0</v>
      </c>
    </row>
    <row r="454" spans="2:24">
      <c r="B454" s="8">
        <v>2024</v>
      </c>
      <c r="C454" s="8">
        <v>3</v>
      </c>
      <c r="D454" s="8">
        <v>24</v>
      </c>
      <c r="E454" s="291">
        <f>DATE(LS[[#This Row],[Year]],LS[[#This Row],[Month]],LS[[#This Row],[Day]])</f>
        <v>45375</v>
      </c>
      <c r="F454" t="str" cm="1">
        <f t="array" ref="F454">INDEX(INVESTORS_LIST[INVESTOR NAME],MATCH(LS[[#This Row],[Investor ID]],INVESTORS_LIST[INVESTOR CODE],0),)</f>
        <v>SANDHANI AML SLIC FIXED INCOME FUND</v>
      </c>
      <c r="G454" s="19" t="s">
        <v>1036</v>
      </c>
      <c r="H454" s="8">
        <f>COUNTIF(LS[[#Headers],[Investor ID]]:LS[[#This Row],[Investor ID]],LS[[#This Row],[Investor ID]])</f>
        <v>5</v>
      </c>
      <c r="I454" s="8" t="str">
        <f>CONCATENATE(LS[[#This Row],[Frequency]],LS[[#This Row],[Investor ID]])</f>
        <v>5A00466</v>
      </c>
      <c r="J454" s="206" t="str">
        <f>IF(LS[[#This Row],[B/S]]="B","BUY",(IF(LS[[#This Row],[B/S]]="S","SELL"," ")))</f>
        <v>SELL</v>
      </c>
      <c r="K454" s="8" t="s">
        <v>866</v>
      </c>
      <c r="L454" s="10">
        <v>-242585.41</v>
      </c>
      <c r="M454" s="10"/>
      <c r="N454" s="168">
        <f>LS[[#This Row],[Amount]]/LS[[#This Row],[Unit]]</f>
        <v>10.346999786734912</v>
      </c>
      <c r="O454" s="11">
        <f t="shared" si="77"/>
        <v>-23445</v>
      </c>
      <c r="P454" s="11">
        <f>SUMIFS(LS[[#Headers],[Unit]]:LS[[#This Row],[Unit]],LS[[#Headers],[Investor ID]]:LS[[#This Row],[Investor ID]],LS[[#This Row],[Investor ID]])</f>
        <v>0</v>
      </c>
      <c r="Q454" s="10">
        <v>-234450</v>
      </c>
      <c r="R454" s="6">
        <f>LS[[#This Row],[Amount]]-LS[[#This Row],[Unit Capital]]</f>
        <v>-8135.4100000000035</v>
      </c>
      <c r="S45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54" s="168">
        <f t="shared" si="78"/>
        <v>12.552</v>
      </c>
      <c r="U454" s="10">
        <f>IF(LS[[#This Row],[B/S]]="B",0,ABS(LS[[#This Row],[Unit]])*(LS[[#This Row],[NAV (Strike Rate)]]-INDEX(LS[NAV at Cost (Average)],MATCH(CONCATENATE(LS[[#This Row],[Frequency]]-1,LS[[#This Row],[Investor ID]]),LS[Unique Code],0),)))</f>
        <v>5274.6983273381584</v>
      </c>
      <c r="V454" s="10" cm="1">
        <f t="array" ref="V454">IF(LS[[#This Row],[B/S]]="S",ABS(LS[[#This Row],[Unit]])*(INDEX(LS[NAV at Cost (Average)],MATCH(CONCATENATE((LS[[#This Row],[Frequency]]-1),LS[[#This Row],[Investor ID]]),LS[Unique Code],0),0)),0)</f>
        <v>237310.71167266186</v>
      </c>
      <c r="W454" s="10">
        <f>IF(LS[[#This Row],[BO Transfer]]="YES",LS[[#This Row],[Unit]],)</f>
        <v>0</v>
      </c>
      <c r="X454" s="3">
        <f>SUMIFS(LS[[#Headers],[BO UNIT TRANSFER]]:LS[[#This Row],[BO UNIT TRANSFER]],LS[[#Headers],[Investor ID]]:LS[[#This Row],[Investor ID]],LS[[#This Row],[Investor ID]])</f>
        <v>0</v>
      </c>
    </row>
    <row r="455" spans="2:24">
      <c r="B455" s="8">
        <v>2024</v>
      </c>
      <c r="C455" s="8">
        <v>3</v>
      </c>
      <c r="D455" s="8">
        <v>28</v>
      </c>
      <c r="E455" s="291">
        <f>DATE(LS[[#This Row],[Year]],LS[[#This Row],[Month]],LS[[#This Row],[Day]])</f>
        <v>45379</v>
      </c>
      <c r="F455" t="str" cm="1">
        <f t="array" ref="F455">INDEX(INVESTORS_LIST[INVESTOR NAME],MATCH(LS[[#This Row],[Investor ID]],INVESTORS_LIST[INVESTOR CODE],0),)</f>
        <v>TANVIR AHMED SIDDIQUI</v>
      </c>
      <c r="G455" s="19" t="s">
        <v>39</v>
      </c>
      <c r="H455" s="8">
        <f>COUNTIF(LS[[#Headers],[Investor ID]]:LS[[#This Row],[Investor ID]],LS[[#This Row],[Investor ID]])</f>
        <v>5</v>
      </c>
      <c r="I455" s="8" t="str">
        <f>CONCATENATE(LS[[#This Row],[Frequency]],LS[[#This Row],[Investor ID]])</f>
        <v>5A00032</v>
      </c>
      <c r="J455" s="8" t="str">
        <f>IF(LS[[#This Row],[B/S]]="B","BUY",(IF(LS[[#This Row],[B/S]]="S","SELL"," ")))</f>
        <v>BUY</v>
      </c>
      <c r="K455" s="8" t="s">
        <v>301</v>
      </c>
      <c r="L455" s="10">
        <v>50000</v>
      </c>
      <c r="M455" s="10"/>
      <c r="N455" s="168">
        <f>LS[[#This Row],[Amount]]/LS[[#This Row],[Unit]]</f>
        <v>9.9324592769169655</v>
      </c>
      <c r="O455" s="11">
        <f t="shared" ref="O455:O460" si="79">Q455/10</f>
        <v>5034</v>
      </c>
      <c r="P455" s="11">
        <f>SUMIFS(LS[[#Headers],[Unit]]:LS[[#This Row],[Unit]],LS[[#Headers],[Investor ID]]:LS[[#This Row],[Investor ID]],LS[[#This Row],[Investor ID]])</f>
        <v>20239</v>
      </c>
      <c r="Q455" s="10">
        <v>50340</v>
      </c>
      <c r="R455" s="6">
        <f>LS[[#This Row],[Amount]]-LS[[#This Row],[Unit Capital]]</f>
        <v>-340</v>
      </c>
      <c r="S45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10.038186175206283</v>
      </c>
      <c r="T455" s="168">
        <f t="shared" si="78"/>
        <v>12.552</v>
      </c>
      <c r="U45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55" s="10" cm="1">
        <f t="array" ref="V455">IF(LS[[#This Row],[B/S]]="S",ABS(LS[[#This Row],[Unit]])*(INDEX(LS[NAV at Cost (Average)],MATCH(CONCATENATE((LS[[#This Row],[Frequency]]-1),LS[[#This Row],[Investor ID]]),LS[Unique Code],0),0)),0)</f>
        <v>0</v>
      </c>
      <c r="W455" s="10">
        <f>IF(LS[[#This Row],[BO Transfer]]="YES",LS[[#This Row],[Unit]],)</f>
        <v>0</v>
      </c>
      <c r="X455" s="3">
        <f>SUMIFS(LS[[#Headers],[BO UNIT TRANSFER]]:LS[[#This Row],[BO UNIT TRANSFER]],LS[[#Headers],[Investor ID]]:LS[[#This Row],[Investor ID]],LS[[#This Row],[Investor ID]])</f>
        <v>0</v>
      </c>
    </row>
    <row r="456" spans="2:24">
      <c r="B456" s="8">
        <v>2024</v>
      </c>
      <c r="C456" s="8">
        <v>4</v>
      </c>
      <c r="D456" s="8">
        <v>17</v>
      </c>
      <c r="E456" s="291">
        <f>DATE(LS[[#This Row],[Year]],LS[[#This Row],[Month]],LS[[#This Row],[Day]])</f>
        <v>45399</v>
      </c>
      <c r="F456" t="str" cm="1">
        <f t="array" ref="F456">INDEX(INVESTORS_LIST[INVESTOR NAME],MATCH(LS[[#This Row],[Investor ID]],INVESTORS_LIST[INVESTOR CODE],0),)</f>
        <v>EKUSH WEALTH MANAGEMENT LIMITED</v>
      </c>
      <c r="G456" s="19" t="s">
        <v>4</v>
      </c>
      <c r="H456" s="8">
        <f>COUNTIF(LS[[#Headers],[Investor ID]]:LS[[#This Row],[Investor ID]],LS[[#This Row],[Investor ID]])</f>
        <v>17</v>
      </c>
      <c r="I456" s="8" t="str">
        <f>CONCATENATE(LS[[#This Row],[Frequency]],LS[[#This Row],[Investor ID]])</f>
        <v>17A00003</v>
      </c>
      <c r="J456" s="8" t="str">
        <f>IF(LS[[#This Row],[B/S]]="B","BUY",(IF(LS[[#This Row],[B/S]]="S","SELL"," ")))</f>
        <v>SELL</v>
      </c>
      <c r="K456" s="8" t="s">
        <v>866</v>
      </c>
      <c r="L456" s="10">
        <v>-1910000</v>
      </c>
      <c r="M456" s="10"/>
      <c r="N456" s="168">
        <f>LS[[#This Row],[Amount]]/LS[[#This Row],[Unit]]</f>
        <v>9.8310196980693121</v>
      </c>
      <c r="O456" s="11">
        <f t="shared" si="79"/>
        <v>-194283</v>
      </c>
      <c r="P456" s="11">
        <f>SUMIFS(LS[[#Headers],[Unit]]:LS[[#This Row],[Unit]],LS[[#Headers],[Investor ID]]:LS[[#This Row],[Investor ID]],LS[[#This Row],[Investor ID]])</f>
        <v>1866115</v>
      </c>
      <c r="Q456" s="10">
        <v>-1942830</v>
      </c>
      <c r="R456" s="6">
        <f>LS[[#This Row],[Amount]]-LS[[#This Row],[Unit Capital]]</f>
        <v>32830</v>
      </c>
      <c r="S45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9.9712494122991586</v>
      </c>
      <c r="T456" s="168">
        <f t="shared" si="78"/>
        <v>12.552</v>
      </c>
      <c r="U456" s="10">
        <f>IF(LS[[#This Row],[B/S]]="B",0,ABS(LS[[#This Row],[Unit]])*(LS[[#This Row],[NAV (Strike Rate)]]-INDEX(LS[NAV at Cost (Average)],MATCH(CONCATENATE(LS[[#This Row],[Frequency]]-1,LS[[#This Row],[Investor ID]]),LS[Unique Code],0),)))</f>
        <v>-27244.249569717274</v>
      </c>
      <c r="V456" s="10" cm="1">
        <f t="array" ref="V456">IF(LS[[#This Row],[B/S]]="S",ABS(LS[[#This Row],[Unit]])*(INDEX(LS[NAV at Cost (Average)],MATCH(CONCATENATE((LS[[#This Row],[Frequency]]-1),LS[[#This Row],[Investor ID]]),LS[Unique Code],0),0)),0)</f>
        <v>1937244.2495697173</v>
      </c>
      <c r="W456" s="10">
        <f>IF(LS[[#This Row],[BO Transfer]]="YES",LS[[#This Row],[Unit]],)</f>
        <v>0</v>
      </c>
      <c r="X456" s="3">
        <f>SUMIFS(LS[[#Headers],[BO UNIT TRANSFER]]:LS[[#This Row],[BO UNIT TRANSFER]],LS[[#Headers],[Investor ID]]:LS[[#This Row],[Investor ID]],LS[[#This Row],[Investor ID]])</f>
        <v>0</v>
      </c>
    </row>
    <row r="457" spans="2:24">
      <c r="B457" s="8">
        <v>2024</v>
      </c>
      <c r="C457" s="8">
        <v>4</v>
      </c>
      <c r="D457" s="8">
        <v>22</v>
      </c>
      <c r="E457" s="291">
        <f>DATE(LS[[#This Row],[Year]],LS[[#This Row],[Month]],LS[[#This Row],[Day]])</f>
        <v>45404</v>
      </c>
      <c r="F457" t="str" cm="1">
        <f t="array" ref="F457">INDEX(INVESTORS_LIST[INVESTOR NAME],MATCH(LS[[#This Row],[Investor ID]],INVESTORS_LIST[INVESTOR CODE],0),)</f>
        <v>BABITA RANI BARMAN</v>
      </c>
      <c r="G457" s="25" t="s">
        <v>78</v>
      </c>
      <c r="H457" s="8">
        <f>COUNTIF(LS[[#Headers],[Investor ID]]:LS[[#This Row],[Investor ID]],LS[[#This Row],[Investor ID]])</f>
        <v>3</v>
      </c>
      <c r="I457" s="8" t="str">
        <f>CONCATENATE(LS[[#This Row],[Frequency]],LS[[#This Row],[Investor ID]])</f>
        <v>3A00070</v>
      </c>
      <c r="J457" s="8" t="str">
        <f>IF(LS[[#This Row],[B/S]]="B","BUY",(IF(LS[[#This Row],[B/S]]="S","SELL"," ")))</f>
        <v>SELL</v>
      </c>
      <c r="K457" s="8" t="s">
        <v>866</v>
      </c>
      <c r="L457" s="10">
        <v>-49910.27</v>
      </c>
      <c r="M457" s="10"/>
      <c r="N457" s="168">
        <f>LS[[#This Row],[Amount]]/LS[[#This Row],[Unit]]</f>
        <v>9.7710003915426782</v>
      </c>
      <c r="O457" s="11">
        <f t="shared" si="79"/>
        <v>-5108</v>
      </c>
      <c r="P457" s="11">
        <f>SUMIFS(LS[[#Headers],[Unit]]:LS[[#This Row],[Unit]],LS[[#Headers],[Investor ID]]:LS[[#This Row],[Investor ID]],LS[[#This Row],[Investor ID]])</f>
        <v>0</v>
      </c>
      <c r="Q457" s="10">
        <v>-51080</v>
      </c>
      <c r="R457" s="6">
        <f>LS[[#This Row],[Amount]]-LS[[#This Row],[Unit Capital]]</f>
        <v>1169.7300000000032</v>
      </c>
      <c r="S45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57" s="168">
        <f t="shared" ref="T457:T465" si="80">IFERROR(NAV_MKT,0)</f>
        <v>12.552</v>
      </c>
      <c r="U457" s="10">
        <f>IF(LS[[#This Row],[B/S]]="B",0,ABS(LS[[#This Row],[Unit]])*(LS[[#This Row],[NAV (Strike Rate)]]-INDEX(LS[NAV at Cost (Average)],MATCH(CONCATENATE(LS[[#This Row],[Frequency]]-1,LS[[#This Row],[Investor ID]]),LS[Unique Code],0),)))</f>
        <v>-1152.2300000000059</v>
      </c>
      <c r="V457" s="10" cm="1">
        <f t="array" ref="V457">IF(LS[[#This Row],[B/S]]="S",ABS(LS[[#This Row],[Unit]])*(INDEX(LS[NAV at Cost (Average)],MATCH(CONCATENATE((LS[[#This Row],[Frequency]]-1),LS[[#This Row],[Investor ID]]),LS[Unique Code],0),0)),0)</f>
        <v>51062.500000000007</v>
      </c>
      <c r="W457" s="10">
        <f>IF(LS[[#This Row],[BO Transfer]]="YES",LS[[#This Row],[Unit]],)</f>
        <v>0</v>
      </c>
      <c r="X457" s="3">
        <f>SUMIFS(LS[[#Headers],[BO UNIT TRANSFER]]:LS[[#This Row],[BO UNIT TRANSFER]],LS[[#Headers],[Investor ID]]:LS[[#This Row],[Investor ID]],LS[[#This Row],[Investor ID]])</f>
        <v>0</v>
      </c>
    </row>
    <row r="458" spans="2:24">
      <c r="B458" s="8">
        <v>2024</v>
      </c>
      <c r="C458" s="8">
        <v>4</v>
      </c>
      <c r="D458" s="8">
        <v>23</v>
      </c>
      <c r="E458" s="291">
        <f>DATE(LS[[#This Row],[Year]],LS[[#This Row],[Month]],LS[[#This Row],[Day]])</f>
        <v>45405</v>
      </c>
      <c r="F458" t="str" cm="1">
        <f t="array" ref="F458">INDEX(INVESTORS_LIST[INVESTOR NAME],MATCH(LS[[#This Row],[Investor ID]],INVESTORS_LIST[INVESTOR CODE],0),)</f>
        <v>EKUSH WEALTH MANAGEMENT LIMITED</v>
      </c>
      <c r="G458" s="19" t="s">
        <v>4</v>
      </c>
      <c r="H458" s="8">
        <f>COUNTIF(LS[[#Headers],[Investor ID]]:LS[[#This Row],[Investor ID]],LS[[#This Row],[Investor ID]])</f>
        <v>18</v>
      </c>
      <c r="I458" s="8" t="str">
        <f>CONCATENATE(LS[[#This Row],[Frequency]],LS[[#This Row],[Investor ID]])</f>
        <v>18A00003</v>
      </c>
      <c r="J458" s="8" t="str">
        <f>IF(LS[[#This Row],[B/S]]="B","BUY",(IF(LS[[#This Row],[B/S]]="S","SELL"," ")))</f>
        <v>SELL</v>
      </c>
      <c r="K458" s="8" t="s">
        <v>866</v>
      </c>
      <c r="L458" s="10">
        <v>-400000</v>
      </c>
      <c r="M458" s="10"/>
      <c r="N458" s="168">
        <f>LS[[#This Row],[Amount]]/LS[[#This Row],[Unit]]</f>
        <v>9.7711117082346046</v>
      </c>
      <c r="O458" s="11">
        <f t="shared" si="79"/>
        <v>-40937</v>
      </c>
      <c r="P458" s="11">
        <f>SUMIFS(LS[[#Headers],[Unit]]:LS[[#This Row],[Unit]],LS[[#Headers],[Investor ID]]:LS[[#This Row],[Investor ID]],LS[[#This Row],[Investor ID]])</f>
        <v>1825178</v>
      </c>
      <c r="Q458" s="10">
        <v>-409370</v>
      </c>
      <c r="R458" s="6">
        <f>LS[[#This Row],[Amount]]-LS[[#This Row],[Unit Capital]]</f>
        <v>9370</v>
      </c>
      <c r="S45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9.9712494122991586</v>
      </c>
      <c r="T458" s="168">
        <f t="shared" si="80"/>
        <v>12.552</v>
      </c>
      <c r="U458" s="10">
        <f>IF(LS[[#This Row],[B/S]]="B",0,ABS(LS[[#This Row],[Unit]])*(LS[[#This Row],[NAV (Strike Rate)]]-INDEX(LS[NAV at Cost (Average)],MATCH(CONCATENATE(LS[[#This Row],[Frequency]]-1,LS[[#This Row],[Investor ID]]),LS[Unique Code],0),)))</f>
        <v>-8193.0371912906467</v>
      </c>
      <c r="V458" s="10" cm="1">
        <f t="array" ref="V458">IF(LS[[#This Row],[B/S]]="S",ABS(LS[[#This Row],[Unit]])*(INDEX(LS[NAV at Cost (Average)],MATCH(CONCATENATE((LS[[#This Row],[Frequency]]-1),LS[[#This Row],[Investor ID]]),LS[Unique Code],0),0)),0)</f>
        <v>408193.03719129064</v>
      </c>
      <c r="W458" s="10">
        <f>IF(LS[[#This Row],[BO Transfer]]="YES",LS[[#This Row],[Unit]],)</f>
        <v>0</v>
      </c>
      <c r="X458" s="3">
        <f>SUMIFS(LS[[#Headers],[BO UNIT TRANSFER]]:LS[[#This Row],[BO UNIT TRANSFER]],LS[[#Headers],[Investor ID]]:LS[[#This Row],[Investor ID]],LS[[#This Row],[Investor ID]])</f>
        <v>0</v>
      </c>
    </row>
    <row r="459" spans="2:24">
      <c r="B459" s="8">
        <v>2024</v>
      </c>
      <c r="C459" s="8">
        <v>4</v>
      </c>
      <c r="D459" s="8">
        <v>29</v>
      </c>
      <c r="E459" s="291">
        <f>DATE(LS[[#This Row],[Year]],LS[[#This Row],[Month]],LS[[#This Row],[Day]])</f>
        <v>45411</v>
      </c>
      <c r="F459" t="str" cm="1">
        <f t="array" ref="F459">INDEX(INVESTORS_LIST[INVESTOR NAME],MATCH(LS[[#This Row],[Investor ID]],INVESTORS_LIST[INVESTOR CODE],0),)</f>
        <v>EKUSH WEALTH MANAGEMENT LIMITED</v>
      </c>
      <c r="G459" s="19" t="s">
        <v>4</v>
      </c>
      <c r="H459" s="8">
        <f>COUNTIF(LS[[#Headers],[Investor ID]]:LS[[#This Row],[Investor ID]],LS[[#This Row],[Investor ID]])</f>
        <v>19</v>
      </c>
      <c r="I459" s="8" t="str">
        <f>CONCATENATE(LS[[#This Row],[Frequency]],LS[[#This Row],[Investor ID]])</f>
        <v>19A00003</v>
      </c>
      <c r="J459" s="8" t="str">
        <f>IF(LS[[#This Row],[B/S]]="B","BUY",(IF(LS[[#This Row],[B/S]]="S","SELL"," ")))</f>
        <v>SELL</v>
      </c>
      <c r="K459" s="8" t="s">
        <v>866</v>
      </c>
      <c r="L459" s="10">
        <v>-225000</v>
      </c>
      <c r="M459" s="10"/>
      <c r="N459" s="168">
        <f>LS[[#This Row],[Amount]]/LS[[#This Row],[Unit]]</f>
        <v>9.7941061245810292</v>
      </c>
      <c r="O459" s="11">
        <f t="shared" si="79"/>
        <v>-22973</v>
      </c>
      <c r="P459" s="11">
        <f>SUMIFS(LS[[#Headers],[Unit]]:LS[[#This Row],[Unit]],LS[[#Headers],[Investor ID]]:LS[[#This Row],[Investor ID]],LS[[#This Row],[Investor ID]])</f>
        <v>1802205</v>
      </c>
      <c r="Q459" s="10">
        <v>-229730</v>
      </c>
      <c r="R459" s="6">
        <f>LS[[#This Row],[Amount]]-LS[[#This Row],[Unit Capital]]</f>
        <v>4730</v>
      </c>
      <c r="S45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9.9712494122991586</v>
      </c>
      <c r="T459" s="168">
        <f t="shared" si="80"/>
        <v>12.552</v>
      </c>
      <c r="U459" s="10">
        <f>IF(LS[[#This Row],[B/S]]="B",0,ABS(LS[[#This Row],[Unit]])*(LS[[#This Row],[NAV (Strike Rate)]]-INDEX(LS[NAV at Cost (Average)],MATCH(CONCATENATE(LS[[#This Row],[Frequency]]-1,LS[[#This Row],[Investor ID]]),LS[Unique Code],0),)))</f>
        <v>-4069.5127487485861</v>
      </c>
      <c r="V459" s="10" cm="1">
        <f t="array" ref="V459">IF(LS[[#This Row],[B/S]]="S",ABS(LS[[#This Row],[Unit]])*(INDEX(LS[NAV at Cost (Average)],MATCH(CONCATENATE((LS[[#This Row],[Frequency]]-1),LS[[#This Row],[Investor ID]]),LS[Unique Code],0),0)),0)</f>
        <v>229069.51274874856</v>
      </c>
      <c r="W459" s="10">
        <f>IF(LS[[#This Row],[BO Transfer]]="YES",LS[[#This Row],[Unit]],)</f>
        <v>0</v>
      </c>
      <c r="X459" s="3">
        <f>SUMIFS(LS[[#Headers],[BO UNIT TRANSFER]]:LS[[#This Row],[BO UNIT TRANSFER]],LS[[#Headers],[Investor ID]]:LS[[#This Row],[Investor ID]],LS[[#This Row],[Investor ID]])</f>
        <v>0</v>
      </c>
    </row>
    <row r="460" spans="2:24">
      <c r="B460" s="8">
        <v>2024</v>
      </c>
      <c r="C460" s="8">
        <v>5</v>
      </c>
      <c r="D460" s="8">
        <v>13</v>
      </c>
      <c r="E460" s="291">
        <f>DATE(LS[[#This Row],[Year]],LS[[#This Row],[Month]],LS[[#This Row],[Day]])</f>
        <v>45425</v>
      </c>
      <c r="F460" t="str" cm="1">
        <f t="array" ref="F460">INDEX(INVESTORS_LIST[INVESTOR NAME],MATCH(LS[[#This Row],[Investor ID]],INVESTORS_LIST[INVESTOR CODE],0),)</f>
        <v>NANDA DULAL SAHA</v>
      </c>
      <c r="G460" s="19" t="s">
        <v>912</v>
      </c>
      <c r="H460" s="8">
        <f>COUNTIF(LS[[#Headers],[Investor ID]]:LS[[#This Row],[Investor ID]],LS[[#This Row],[Investor ID]])</f>
        <v>3</v>
      </c>
      <c r="I460" s="8" t="str">
        <f>CONCATENATE(LS[[#This Row],[Frequency]],LS[[#This Row],[Investor ID]])</f>
        <v>3A00417</v>
      </c>
      <c r="J460" s="8" t="str">
        <f>IF(LS[[#This Row],[B/S]]="B","BUY",(IF(LS[[#This Row],[B/S]]="S","SELL"," ")))</f>
        <v>SELL</v>
      </c>
      <c r="K460" s="8" t="s">
        <v>866</v>
      </c>
      <c r="L460" s="10">
        <v>-53213.36</v>
      </c>
      <c r="M460" s="10"/>
      <c r="N460" s="168">
        <f>LS[[#This Row],[Amount]]/LS[[#This Row],[Unit]]</f>
        <v>9.98</v>
      </c>
      <c r="O460" s="11">
        <f t="shared" si="79"/>
        <v>-5332</v>
      </c>
      <c r="P460" s="11">
        <f>SUMIFS(LS[[#Headers],[Unit]]:LS[[#This Row],[Unit]],LS[[#Headers],[Investor ID]]:LS[[#This Row],[Investor ID]],LS[[#This Row],[Investor ID]])</f>
        <v>0</v>
      </c>
      <c r="Q460" s="10">
        <v>-53320</v>
      </c>
      <c r="R460" s="6">
        <f>LS[[#This Row],[Amount]]-LS[[#This Row],[Unit Capital]]</f>
        <v>106.63999999999942</v>
      </c>
      <c r="S46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60" s="168">
        <f t="shared" si="80"/>
        <v>12.552</v>
      </c>
      <c r="U460" s="10">
        <f>IF(LS[[#This Row],[B/S]]="B",0,ABS(LS[[#This Row],[Unit]])*(LS[[#This Row],[NAV (Strike Rate)]]-INDEX(LS[NAV at Cost (Average)],MATCH(CONCATENATE(LS[[#This Row],[Frequency]]-1,LS[[#This Row],[Investor ID]]),LS[Unique Code],0),)))</f>
        <v>800.7532542851867</v>
      </c>
      <c r="V460" s="10" cm="1">
        <f t="array" ref="V460">IF(LS[[#This Row],[B/S]]="S",ABS(LS[[#This Row],[Unit]])*(INDEX(LS[NAV at Cost (Average)],MATCH(CONCATENATE((LS[[#This Row],[Frequency]]-1),LS[[#This Row],[Investor ID]]),LS[Unique Code],0),0)),0)</f>
        <v>52412.606745714816</v>
      </c>
      <c r="W460" s="10">
        <f>IF(LS[[#This Row],[BO Transfer]]="YES",LS[[#This Row],[Unit]],)</f>
        <v>0</v>
      </c>
      <c r="X460" s="3">
        <f>SUMIFS(LS[[#Headers],[BO UNIT TRANSFER]]:LS[[#This Row],[BO UNIT TRANSFER]],LS[[#Headers],[Investor ID]]:LS[[#This Row],[Investor ID]],LS[[#This Row],[Investor ID]])</f>
        <v>0</v>
      </c>
    </row>
    <row r="461" spans="2:24">
      <c r="B461" s="8">
        <v>2024</v>
      </c>
      <c r="C461" s="8">
        <v>5</v>
      </c>
      <c r="D461" s="8">
        <v>16</v>
      </c>
      <c r="E461" s="291">
        <f>DATE(LS[[#This Row],[Year]],LS[[#This Row],[Month]],LS[[#This Row],[Day]])</f>
        <v>45428</v>
      </c>
      <c r="F461" t="str" cm="1">
        <f t="array" ref="F461">INDEX(INVESTORS_LIST[INVESTOR NAME],MATCH(LS[[#This Row],[Investor ID]],INVESTORS_LIST[INVESTOR CODE],0),)</f>
        <v>NANDINI SAHA</v>
      </c>
      <c r="G461" s="19" t="s">
        <v>111</v>
      </c>
      <c r="H461" s="8">
        <f>COUNTIF(LS[[#Headers],[Investor ID]]:LS[[#This Row],[Investor ID]],LS[[#This Row],[Investor ID]])</f>
        <v>3</v>
      </c>
      <c r="I461" s="8" t="str">
        <f>CONCATENATE(LS[[#This Row],[Frequency]],LS[[#This Row],[Investor ID]])</f>
        <v>3A00097</v>
      </c>
      <c r="J461" s="8" t="str">
        <f>IF(LS[[#This Row],[B/S]]="B","BUY",(IF(LS[[#This Row],[B/S]]="S","SELL"," ")))</f>
        <v>SELL</v>
      </c>
      <c r="K461" s="8" t="s">
        <v>866</v>
      </c>
      <c r="L461" s="10">
        <v>-1026712.46</v>
      </c>
      <c r="M461" s="10"/>
      <c r="N461" s="168">
        <f>LS[[#This Row],[Amount]]/LS[[#This Row],[Unit]]</f>
        <v>9.98</v>
      </c>
      <c r="O461" s="11">
        <f t="shared" ref="O461:O468" si="81">Q461/10</f>
        <v>-102877</v>
      </c>
      <c r="P461" s="11">
        <f>SUMIFS(LS[[#Headers],[Unit]]:LS[[#This Row],[Unit]],LS[[#Headers],[Investor ID]]:LS[[#This Row],[Investor ID]],LS[[#This Row],[Investor ID]])</f>
        <v>0</v>
      </c>
      <c r="Q461" s="10">
        <v>-1028770</v>
      </c>
      <c r="R461" s="6">
        <f>LS[[#This Row],[Amount]]-LS[[#This Row],[Unit Capital]]</f>
        <v>2057.5400000000373</v>
      </c>
      <c r="S46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61" s="168">
        <f t="shared" si="80"/>
        <v>12.552</v>
      </c>
      <c r="U461" s="10">
        <f>IF(LS[[#This Row],[B/S]]="B",0,ABS(LS[[#This Row],[Unit]])*(LS[[#This Row],[NAV (Strike Rate)]]-INDEX(LS[NAV at Cost (Average)],MATCH(CONCATENATE(LS[[#This Row],[Frequency]]-1,LS[[#This Row],[Investor ID]]),LS[Unique Code],0),)))</f>
        <v>5312.649999999916</v>
      </c>
      <c r="V461" s="10" cm="1">
        <f t="array" ref="V461">IF(LS[[#This Row],[B/S]]="S",ABS(LS[[#This Row],[Unit]])*(INDEX(LS[NAV at Cost (Average)],MATCH(CONCATENATE((LS[[#This Row],[Frequency]]-1),LS[[#This Row],[Investor ID]]),LS[Unique Code],0),0)),0)</f>
        <v>1021399.8100000002</v>
      </c>
      <c r="W461" s="10">
        <f>IF(LS[[#This Row],[BO Transfer]]="YES",LS[[#This Row],[Unit]],)</f>
        <v>0</v>
      </c>
      <c r="X461" s="3">
        <f>SUMIFS(LS[[#Headers],[BO UNIT TRANSFER]]:LS[[#This Row],[BO UNIT TRANSFER]],LS[[#Headers],[Investor ID]]:LS[[#This Row],[Investor ID]],LS[[#This Row],[Investor ID]])</f>
        <v>0</v>
      </c>
    </row>
    <row r="462" spans="2:24">
      <c r="B462" s="8">
        <v>2024</v>
      </c>
      <c r="C462" s="8">
        <v>5</v>
      </c>
      <c r="D462" s="8">
        <v>29</v>
      </c>
      <c r="E462" s="291">
        <f>DATE(LS[[#This Row],[Year]],LS[[#This Row],[Month]],LS[[#This Row],[Day]])</f>
        <v>45441</v>
      </c>
      <c r="F462" t="str" cm="1">
        <f t="array" ref="F462">INDEX(INVESTORS_LIST[INVESTOR NAME],MATCH(LS[[#This Row],[Investor ID]],INVESTORS_LIST[INVESTOR CODE],0),)</f>
        <v>HARI PADA SAHA</v>
      </c>
      <c r="G462" s="19" t="s">
        <v>1</v>
      </c>
      <c r="H462" s="8">
        <f>COUNTIF(LS[[#Headers],[Investor ID]]:LS[[#This Row],[Investor ID]],LS[[#This Row],[Investor ID]])</f>
        <v>4</v>
      </c>
      <c r="I462" s="8" t="str">
        <f>CONCATENATE(LS[[#This Row],[Frequency]],LS[[#This Row],[Investor ID]])</f>
        <v>4A00002</v>
      </c>
      <c r="J462" s="8" t="str">
        <f>IF(LS[[#This Row],[B/S]]="B","BUY",(IF(LS[[#This Row],[B/S]]="S","SELL"," ")))</f>
        <v>SELL</v>
      </c>
      <c r="K462" s="8" t="s">
        <v>866</v>
      </c>
      <c r="L462" s="10">
        <v>-3.35</v>
      </c>
      <c r="M462" s="10"/>
      <c r="N462" s="168">
        <f>LS[[#This Row],[Amount]]/LS[[#This Row],[Unit]]</f>
        <v>3.35</v>
      </c>
      <c r="O462" s="11">
        <f t="shared" si="81"/>
        <v>-1</v>
      </c>
      <c r="P462" s="11">
        <f>SUMIFS(LS[[#Headers],[Unit]]:LS[[#This Row],[Unit]],LS[[#Headers],[Investor ID]]:LS[[#This Row],[Investor ID]],LS[[#This Row],[Investor ID]])</f>
        <v>69467</v>
      </c>
      <c r="Q462" s="10">
        <v>-10</v>
      </c>
      <c r="R462" s="6">
        <f>LS[[#This Row],[Amount]]-LS[[#This Row],[Unit Capital]]</f>
        <v>6.65</v>
      </c>
      <c r="S46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10.061725830598261</v>
      </c>
      <c r="T462" s="168">
        <f t="shared" si="80"/>
        <v>12.552</v>
      </c>
      <c r="U462" s="10">
        <f>IF(LS[[#This Row],[B/S]]="B",0,ABS(LS[[#This Row],[Unit]])*(LS[[#This Row],[NAV (Strike Rate)]]-INDEX(LS[NAV at Cost (Average)],MATCH(CONCATENATE(LS[[#This Row],[Frequency]]-1,LS[[#This Row],[Investor ID]]),LS[Unique Code],0),)))</f>
        <v>-6.7117258305982617</v>
      </c>
      <c r="V462" s="10" cm="1">
        <f t="array" ref="V462">IF(LS[[#This Row],[B/S]]="S",ABS(LS[[#This Row],[Unit]])*(INDEX(LS[NAV at Cost (Average)],MATCH(CONCATENATE((LS[[#This Row],[Frequency]]-1),LS[[#This Row],[Investor ID]]),LS[Unique Code],0),0)),0)</f>
        <v>10.061725830598261</v>
      </c>
      <c r="W462" s="10">
        <f>IF(LS[[#This Row],[BO Transfer]]="YES",LS[[#This Row],[Unit]],)</f>
        <v>0</v>
      </c>
      <c r="X462" s="3">
        <f>SUMIFS(LS[[#Headers],[BO UNIT TRANSFER]]:LS[[#This Row],[BO UNIT TRANSFER]],LS[[#Headers],[Investor ID]]:LS[[#This Row],[Investor ID]],LS[[#This Row],[Investor ID]])</f>
        <v>0</v>
      </c>
    </row>
    <row r="463" spans="2:24">
      <c r="B463" s="8">
        <v>2024</v>
      </c>
      <c r="C463" s="8">
        <v>6</v>
      </c>
      <c r="D463" s="8">
        <v>10</v>
      </c>
      <c r="E463" s="291">
        <f>DATE(LS[[#This Row],[Year]],LS[[#This Row],[Month]],LS[[#This Row],[Day]])</f>
        <v>45453</v>
      </c>
      <c r="F463" t="str" cm="1">
        <f t="array" ref="F463">INDEX(INVESTORS_LIST[INVESTOR NAME],MATCH(LS[[#This Row],[Investor ID]],INVESTORS_LIST[INVESTOR CODE],0),)</f>
        <v>SUSMITA DHAR</v>
      </c>
      <c r="G463" s="19" t="s">
        <v>595</v>
      </c>
      <c r="H463" s="8">
        <f>COUNTIF(LS[[#Headers],[Investor ID]]:LS[[#This Row],[Investor ID]],LS[[#This Row],[Investor ID]])</f>
        <v>3</v>
      </c>
      <c r="I463" s="8" t="str">
        <f>CONCATENATE(LS[[#This Row],[Frequency]],LS[[#This Row],[Investor ID]])</f>
        <v>3A00334</v>
      </c>
      <c r="J463" s="8" t="str">
        <f>IF(LS[[#This Row],[B/S]]="B","BUY",(IF(LS[[#This Row],[B/S]]="S","SELL"," ")))</f>
        <v>SELL</v>
      </c>
      <c r="K463" s="8" t="s">
        <v>866</v>
      </c>
      <c r="L463" s="10">
        <v>-50183.68</v>
      </c>
      <c r="M463" s="10"/>
      <c r="N463" s="168">
        <f>LS[[#This Row],[Amount]]/LS[[#This Row],[Unit]]</f>
        <v>9.8129996089166998</v>
      </c>
      <c r="O463" s="11">
        <f t="shared" si="81"/>
        <v>-5114</v>
      </c>
      <c r="P463" s="11">
        <f>SUMIFS(LS[[#Headers],[Unit]]:LS[[#This Row],[Unit]],LS[[#Headers],[Investor ID]]:LS[[#This Row],[Investor ID]],LS[[#This Row],[Investor ID]])</f>
        <v>0</v>
      </c>
      <c r="Q463" s="10">
        <v>-51140</v>
      </c>
      <c r="R463" s="6">
        <f>LS[[#This Row],[Amount]]-LS[[#This Row],[Unit Capital]]</f>
        <v>956.31999999999971</v>
      </c>
      <c r="S46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63" s="168">
        <f t="shared" si="80"/>
        <v>12.552</v>
      </c>
      <c r="U463" s="10">
        <f>IF(LS[[#This Row],[B/S]]="B",0,ABS(LS[[#This Row],[Unit]])*(LS[[#This Row],[NAV (Strike Rate)]]-INDEX(LS[NAV at Cost (Average)],MATCH(CONCATENATE(LS[[#This Row],[Frequency]]-1,LS[[#This Row],[Investor ID]]),LS[Unique Code],0),)))</f>
        <v>-878.81999999999618</v>
      </c>
      <c r="V463" s="10" cm="1">
        <f t="array" ref="V463">IF(LS[[#This Row],[B/S]]="S",ABS(LS[[#This Row],[Unit]])*(INDEX(LS[NAV at Cost (Average)],MATCH(CONCATENATE((LS[[#This Row],[Frequency]]-1),LS[[#This Row],[Investor ID]]),LS[Unique Code],0),0)),0)</f>
        <v>51062.5</v>
      </c>
      <c r="W463" s="10">
        <f>IF(LS[[#This Row],[BO Transfer]]="YES",LS[[#This Row],[Unit]],)</f>
        <v>0</v>
      </c>
      <c r="X463" s="3">
        <f>SUMIFS(LS[[#Headers],[BO UNIT TRANSFER]]:LS[[#This Row],[BO UNIT TRANSFER]],LS[[#Headers],[Investor ID]]:LS[[#This Row],[Investor ID]],LS[[#This Row],[Investor ID]])</f>
        <v>0</v>
      </c>
    </row>
    <row r="464" spans="2:24">
      <c r="B464" s="8">
        <v>2024</v>
      </c>
      <c r="C464" s="8">
        <v>6</v>
      </c>
      <c r="D464" s="8">
        <v>11</v>
      </c>
      <c r="E464" s="291">
        <f>DATE(LS[[#This Row],[Year]],LS[[#This Row],[Month]],LS[[#This Row],[Day]])</f>
        <v>45454</v>
      </c>
      <c r="F464" t="str" cm="1">
        <f t="array" ref="F464">INDEX(INVESTORS_LIST[INVESTOR NAME],MATCH(LS[[#This Row],[Investor ID]],INVESTORS_LIST[INVESTOR CODE],0),)</f>
        <v>TANVIR AHMED SIDDIQUI</v>
      </c>
      <c r="G464" s="19" t="s">
        <v>39</v>
      </c>
      <c r="H464" s="8">
        <f>COUNTIF(LS[[#Headers],[Investor ID]]:LS[[#This Row],[Investor ID]],LS[[#This Row],[Investor ID]])</f>
        <v>6</v>
      </c>
      <c r="I464" s="8" t="str">
        <f>CONCATENATE(LS[[#This Row],[Frequency]],LS[[#This Row],[Investor ID]])</f>
        <v>6A00032</v>
      </c>
      <c r="J464" s="8" t="str">
        <f>IF(LS[[#This Row],[B/S]]="B","BUY",(IF(LS[[#This Row],[B/S]]="S","SELL"," ")))</f>
        <v>BUY</v>
      </c>
      <c r="K464" s="8" t="s">
        <v>301</v>
      </c>
      <c r="L464" s="10">
        <v>50000</v>
      </c>
      <c r="M464" s="10"/>
      <c r="N464" s="168">
        <f>LS[[#This Row],[Amount]]/LS[[#This Row],[Unit]]</f>
        <v>9.8135426889106974</v>
      </c>
      <c r="O464" s="11">
        <f t="shared" si="81"/>
        <v>5095</v>
      </c>
      <c r="P464" s="11">
        <f>SUMIFS(LS[[#Headers],[Unit]]:LS[[#This Row],[Unit]],LS[[#Headers],[Investor ID]]:LS[[#This Row],[Investor ID]],LS[[#This Row],[Investor ID]])</f>
        <v>25334</v>
      </c>
      <c r="Q464" s="10">
        <v>50950</v>
      </c>
      <c r="R464" s="6">
        <f>LS[[#This Row],[Amount]]-LS[[#This Row],[Unit Capital]]</f>
        <v>-950</v>
      </c>
      <c r="S46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9.9930074208573458</v>
      </c>
      <c r="T464" s="168">
        <f t="shared" si="80"/>
        <v>12.552</v>
      </c>
      <c r="U46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64" s="10" cm="1">
        <f t="array" ref="V464">IF(LS[[#This Row],[B/S]]="S",ABS(LS[[#This Row],[Unit]])*(INDEX(LS[NAV at Cost (Average)],MATCH(CONCATENATE((LS[[#This Row],[Frequency]]-1),LS[[#This Row],[Investor ID]]),LS[Unique Code],0),0)),0)</f>
        <v>0</v>
      </c>
      <c r="W464" s="10">
        <f>IF(LS[[#This Row],[BO Transfer]]="YES",LS[[#This Row],[Unit]],)</f>
        <v>0</v>
      </c>
      <c r="X464" s="3">
        <f>SUMIFS(LS[[#Headers],[BO UNIT TRANSFER]]:LS[[#This Row],[BO UNIT TRANSFER]],LS[[#Headers],[Investor ID]]:LS[[#This Row],[Investor ID]],LS[[#This Row],[Investor ID]])</f>
        <v>0</v>
      </c>
    </row>
    <row r="465" spans="2:24">
      <c r="B465" s="8">
        <v>2024</v>
      </c>
      <c r="C465" s="8">
        <v>6</v>
      </c>
      <c r="D465" s="8">
        <v>12</v>
      </c>
      <c r="E465" s="291">
        <f>DATE(LS[[#This Row],[Year]],LS[[#This Row],[Month]],LS[[#This Row],[Day]])</f>
        <v>45455</v>
      </c>
      <c r="F465" t="str" cm="1">
        <f t="array" ref="F465">INDEX(INVESTORS_LIST[INVESTOR NAME],MATCH(LS[[#This Row],[Investor ID]],INVESTORS_LIST[INVESTOR CODE],0),)</f>
        <v>EKUSH WEALTH MANAGEMENT LIMITED</v>
      </c>
      <c r="G465" s="19" t="s">
        <v>4</v>
      </c>
      <c r="H465" s="8">
        <f>COUNTIF(LS[[#Headers],[Investor ID]]:LS[[#This Row],[Investor ID]],LS[[#This Row],[Investor ID]])</f>
        <v>20</v>
      </c>
      <c r="I465" s="8" t="str">
        <f>CONCATENATE(LS[[#This Row],[Frequency]],LS[[#This Row],[Investor ID]])</f>
        <v>20A00003</v>
      </c>
      <c r="J465" s="8" t="str">
        <f>IF(LS[[#This Row],[B/S]]="B","BUY",(IF(LS[[#This Row],[B/S]]="S","SELL"," ")))</f>
        <v>SELL</v>
      </c>
      <c r="K465" s="8" t="s">
        <v>866</v>
      </c>
      <c r="L465" s="10">
        <v>-183193.21</v>
      </c>
      <c r="M465" s="10"/>
      <c r="N465" s="168">
        <f>LS[[#This Row],[Amount]]/LS[[#This Row],[Unit]]</f>
        <v>9.8132210199271483</v>
      </c>
      <c r="O465" s="11">
        <f t="shared" si="81"/>
        <v>-18668</v>
      </c>
      <c r="P465" s="11">
        <f>SUMIFS(LS[[#Headers],[Unit]]:LS[[#This Row],[Unit]],LS[[#Headers],[Investor ID]]:LS[[#This Row],[Investor ID]],LS[[#This Row],[Investor ID]])</f>
        <v>1783537</v>
      </c>
      <c r="Q465" s="10">
        <v>-186680</v>
      </c>
      <c r="R465" s="6">
        <f>LS[[#This Row],[Amount]]-LS[[#This Row],[Unit Capital]]</f>
        <v>3486.7900000000081</v>
      </c>
      <c r="S46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9.9712494122991586</v>
      </c>
      <c r="T465" s="168">
        <f t="shared" si="80"/>
        <v>12.552</v>
      </c>
      <c r="U465" s="10">
        <f>IF(LS[[#This Row],[B/S]]="B",0,ABS(LS[[#This Row],[Unit]])*(LS[[#This Row],[NAV (Strike Rate)]]-INDEX(LS[NAV at Cost (Average)],MATCH(CONCATENATE(LS[[#This Row],[Frequency]]-1,LS[[#This Row],[Investor ID]]),LS[Unique Code],0),)))</f>
        <v>-2950.0740288006878</v>
      </c>
      <c r="V465" s="10" cm="1">
        <f t="array" ref="V465">IF(LS[[#This Row],[B/S]]="S",ABS(LS[[#This Row],[Unit]])*(INDEX(LS[NAV at Cost (Average)],MATCH(CONCATENATE((LS[[#This Row],[Frequency]]-1),LS[[#This Row],[Investor ID]]),LS[Unique Code],0),0)),0)</f>
        <v>186143.2840288007</v>
      </c>
      <c r="W465" s="10">
        <f>IF(LS[[#This Row],[BO Transfer]]="YES",LS[[#This Row],[Unit]],)</f>
        <v>0</v>
      </c>
      <c r="X465" s="3">
        <f>SUMIFS(LS[[#Headers],[BO UNIT TRANSFER]]:LS[[#This Row],[BO UNIT TRANSFER]],LS[[#Headers],[Investor ID]]:LS[[#This Row],[Investor ID]],LS[[#This Row],[Investor ID]])</f>
        <v>0</v>
      </c>
    </row>
    <row r="466" spans="2:24">
      <c r="B466" s="8">
        <v>2024</v>
      </c>
      <c r="C466" s="8">
        <v>6</v>
      </c>
      <c r="D466" s="8">
        <v>24</v>
      </c>
      <c r="E466" s="291">
        <f>DATE(LS[[#This Row],[Year]],LS[[#This Row],[Month]],LS[[#This Row],[Day]])</f>
        <v>45467</v>
      </c>
      <c r="F466" t="str" cm="1">
        <f t="array" ref="F466">INDEX(INVESTORS_LIST[INVESTOR NAME],MATCH(LS[[#This Row],[Investor ID]],INVESTORS_LIST[INVESTOR CODE],0),)</f>
        <v>MD GOLAM SHAON</v>
      </c>
      <c r="G466" s="19" t="s">
        <v>1327</v>
      </c>
      <c r="H466" s="8">
        <f>COUNTIF(LS[[#Headers],[Investor ID]]:LS[[#This Row],[Investor ID]],LS[[#This Row],[Investor ID]])</f>
        <v>1</v>
      </c>
      <c r="I466" s="8" t="str">
        <f>CONCATENATE(LS[[#This Row],[Frequency]],LS[[#This Row],[Investor ID]])</f>
        <v>1A00567</v>
      </c>
      <c r="J466" s="8" t="str">
        <f>IF(LS[[#This Row],[B/S]]="B","BUY",(IF(LS[[#This Row],[B/S]]="S","SELL"," ")))</f>
        <v>BUY</v>
      </c>
      <c r="K466" s="8" t="s">
        <v>301</v>
      </c>
      <c r="L466" s="10">
        <v>130000</v>
      </c>
      <c r="M466" s="10"/>
      <c r="N466" s="168">
        <f>LS[[#This Row],[Amount]]/LS[[#This Row],[Unit]]</f>
        <v>9.8469928798666864</v>
      </c>
      <c r="O466" s="11">
        <f t="shared" si="81"/>
        <v>13202</v>
      </c>
      <c r="P466" s="11">
        <f>SUMIFS(LS[[#Headers],[Unit]]:LS[[#This Row],[Unit]],LS[[#Headers],[Investor ID]]:LS[[#This Row],[Investor ID]],LS[[#This Row],[Investor ID]])</f>
        <v>13202</v>
      </c>
      <c r="Q466" s="10">
        <v>132020</v>
      </c>
      <c r="R466" s="6">
        <f>LS[[#This Row],[Amount]]-LS[[#This Row],[Unit Capital]]</f>
        <v>-2020</v>
      </c>
      <c r="S46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9.8469928798666864</v>
      </c>
      <c r="T466" s="168">
        <f t="shared" ref="T466:T474" si="82">IFERROR(NAV_MKT,0)</f>
        <v>12.552</v>
      </c>
      <c r="U46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66" s="10" cm="1">
        <f t="array" ref="V466">IF(LS[[#This Row],[B/S]]="S",ABS(LS[[#This Row],[Unit]])*(INDEX(LS[NAV at Cost (Average)],MATCH(CONCATENATE((LS[[#This Row],[Frequency]]-1),LS[[#This Row],[Investor ID]]),LS[Unique Code],0),0)),0)</f>
        <v>0</v>
      </c>
      <c r="W466" s="10">
        <f>IF(LS[[#This Row],[BO Transfer]]="YES",LS[[#This Row],[Unit]],)</f>
        <v>0</v>
      </c>
      <c r="X466" s="3">
        <f>SUMIFS(LS[[#Headers],[BO UNIT TRANSFER]]:LS[[#This Row],[BO UNIT TRANSFER]],LS[[#Headers],[Investor ID]]:LS[[#This Row],[Investor ID]],LS[[#This Row],[Investor ID]])</f>
        <v>0</v>
      </c>
    </row>
    <row r="467" spans="2:24">
      <c r="B467" s="8">
        <v>2024</v>
      </c>
      <c r="C467" s="8">
        <v>6</v>
      </c>
      <c r="D467" s="8">
        <v>25</v>
      </c>
      <c r="E467" s="291">
        <f>DATE(LS[[#This Row],[Year]],LS[[#This Row],[Month]],LS[[#This Row],[Day]])</f>
        <v>45468</v>
      </c>
      <c r="F467" t="str" cm="1">
        <f t="array" ref="F467">INDEX(INVESTORS_LIST[INVESTOR NAME],MATCH(LS[[#This Row],[Investor ID]],INVESTORS_LIST[INVESTOR CODE],0),)</f>
        <v>SHUVA SAHA</v>
      </c>
      <c r="G467" s="19" t="s">
        <v>60</v>
      </c>
      <c r="H467" s="8">
        <f>COUNTIF(LS[[#Headers],[Investor ID]]:LS[[#This Row],[Investor ID]],LS[[#This Row],[Investor ID]])</f>
        <v>11</v>
      </c>
      <c r="I467" s="8" t="str">
        <f>CONCATENATE(LS[[#This Row],[Frequency]],LS[[#This Row],[Investor ID]])</f>
        <v>11A00053</v>
      </c>
      <c r="J467" s="8" t="str">
        <f>IF(LS[[#This Row],[B/S]]="B","BUY",(IF(LS[[#This Row],[B/S]]="S","SELL"," ")))</f>
        <v>SELL</v>
      </c>
      <c r="K467" s="8" t="s">
        <v>866</v>
      </c>
      <c r="L467" s="10">
        <v>-300000</v>
      </c>
      <c r="M467" s="10"/>
      <c r="N467" s="168">
        <f>LS[[#This Row],[Amount]]/LS[[#This Row],[Unit]]</f>
        <v>9.8470426048710031</v>
      </c>
      <c r="O467" s="11">
        <f t="shared" si="81"/>
        <v>-30466</v>
      </c>
      <c r="P467" s="11">
        <f>SUMIFS(LS[[#Headers],[Unit]]:LS[[#This Row],[Unit]],LS[[#Headers],[Investor ID]]:LS[[#This Row],[Investor ID]],LS[[#This Row],[Investor ID]])</f>
        <v>170080</v>
      </c>
      <c r="Q467" s="10">
        <v>-304660</v>
      </c>
      <c r="R467" s="6">
        <f>LS[[#This Row],[Amount]]-LS[[#This Row],[Unit Capital]]</f>
        <v>4660</v>
      </c>
      <c r="S46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9.9210061461683505</v>
      </c>
      <c r="T467" s="168">
        <f t="shared" si="82"/>
        <v>12.552</v>
      </c>
      <c r="U467" s="10">
        <f>IF(LS[[#This Row],[B/S]]="B",0,ABS(LS[[#This Row],[Unit]])*(LS[[#This Row],[NAV (Strike Rate)]]-INDEX(LS[NAV at Cost (Average)],MATCH(CONCATENATE(LS[[#This Row],[Frequency]]-1,LS[[#This Row],[Investor ID]]),LS[Unique Code],0),)))</f>
        <v>-2253.3732491649857</v>
      </c>
      <c r="V467" s="10" cm="1">
        <f t="array" ref="V467">IF(LS[[#This Row],[B/S]]="S",ABS(LS[[#This Row],[Unit]])*(INDEX(LS[NAV at Cost (Average)],MATCH(CONCATENATE((LS[[#This Row],[Frequency]]-1),LS[[#This Row],[Investor ID]]),LS[Unique Code],0),0)),0)</f>
        <v>302253.37324916496</v>
      </c>
      <c r="W467" s="10">
        <f>IF(LS[[#This Row],[BO Transfer]]="YES",LS[[#This Row],[Unit]],)</f>
        <v>0</v>
      </c>
      <c r="X467" s="3">
        <f>SUMIFS(LS[[#Headers],[BO UNIT TRANSFER]]:LS[[#This Row],[BO UNIT TRANSFER]],LS[[#Headers],[Investor ID]]:LS[[#This Row],[Investor ID]],LS[[#This Row],[Investor ID]])</f>
        <v>0</v>
      </c>
    </row>
    <row r="468" spans="2:24">
      <c r="B468" s="8">
        <v>2024</v>
      </c>
      <c r="C468" s="8">
        <v>6</v>
      </c>
      <c r="D468" s="8">
        <v>26</v>
      </c>
      <c r="E468" s="291">
        <f>DATE(LS[[#This Row],[Year]],LS[[#This Row],[Month]],LS[[#This Row],[Day]])</f>
        <v>45469</v>
      </c>
      <c r="F468" t="str" cm="1">
        <f t="array" ref="F468">INDEX(INVESTORS_LIST[INVESTOR NAME],MATCH(LS[[#This Row],[Investor ID]],INVESTORS_LIST[INVESTOR CODE],0),)</f>
        <v>EKUSH WEALTH MANAGEMENT LIMITED</v>
      </c>
      <c r="G468" s="19" t="s">
        <v>4</v>
      </c>
      <c r="H468" s="8">
        <f>COUNTIF(LS[[#Headers],[Investor ID]]:LS[[#This Row],[Investor ID]],LS[[#This Row],[Investor ID]])</f>
        <v>21</v>
      </c>
      <c r="I468" s="8" t="str">
        <f>CONCATENATE(LS[[#This Row],[Frequency]],LS[[#This Row],[Investor ID]])</f>
        <v>21A00003</v>
      </c>
      <c r="J468" s="8" t="str">
        <f>IF(LS[[#This Row],[B/S]]="B","BUY",(IF(LS[[#This Row],[B/S]]="S","SELL"," ")))</f>
        <v>SELL</v>
      </c>
      <c r="K468" s="8" t="s">
        <v>866</v>
      </c>
      <c r="L468" s="10">
        <v>-600000</v>
      </c>
      <c r="M468" s="10"/>
      <c r="N468" s="168">
        <f>LS[[#This Row],[Amount]]/LS[[#This Row],[Unit]]</f>
        <v>9.8470426048710031</v>
      </c>
      <c r="O468" s="11">
        <f t="shared" si="81"/>
        <v>-60932</v>
      </c>
      <c r="P468" s="11">
        <f>SUMIFS(LS[[#Headers],[Unit]]:LS[[#This Row],[Unit]],LS[[#Headers],[Investor ID]]:LS[[#This Row],[Investor ID]],LS[[#This Row],[Investor ID]])</f>
        <v>1722605</v>
      </c>
      <c r="Q468" s="10">
        <v>-609320</v>
      </c>
      <c r="R468" s="6">
        <f>LS[[#This Row],[Amount]]-LS[[#This Row],[Unit Capital]]</f>
        <v>9320</v>
      </c>
      <c r="S46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9.9712494122991586</v>
      </c>
      <c r="T468" s="168">
        <f t="shared" si="82"/>
        <v>12.552</v>
      </c>
      <c r="U468" s="10">
        <f>IF(LS[[#This Row],[B/S]]="B",0,ABS(LS[[#This Row],[Unit]])*(LS[[#This Row],[NAV (Strike Rate)]]-INDEX(LS[NAV at Cost (Average)],MATCH(CONCATENATE(LS[[#This Row],[Frequency]]-1,LS[[#This Row],[Investor ID]]),LS[Unique Code],0),)))</f>
        <v>-7568.1691902123703</v>
      </c>
      <c r="V468" s="10" cm="1">
        <f t="array" ref="V468">IF(LS[[#This Row],[B/S]]="S",ABS(LS[[#This Row],[Unit]])*(INDEX(LS[NAV at Cost (Average)],MATCH(CONCATENATE((LS[[#This Row],[Frequency]]-1),LS[[#This Row],[Investor ID]]),LS[Unique Code],0),0)),0)</f>
        <v>607568.16919021239</v>
      </c>
      <c r="W468" s="10">
        <f>IF(LS[[#This Row],[BO Transfer]]="YES",LS[[#This Row],[Unit]],)</f>
        <v>0</v>
      </c>
      <c r="X468" s="3">
        <f>SUMIFS(LS[[#Headers],[BO UNIT TRANSFER]]:LS[[#This Row],[BO UNIT TRANSFER]],LS[[#Headers],[Investor ID]]:LS[[#This Row],[Investor ID]],LS[[#This Row],[Investor ID]])</f>
        <v>0</v>
      </c>
    </row>
    <row r="469" spans="2:24">
      <c r="B469" s="8">
        <v>2024</v>
      </c>
      <c r="C469" s="8">
        <v>7</v>
      </c>
      <c r="D469" s="8">
        <v>11</v>
      </c>
      <c r="E469" s="291">
        <f>DATE(LS[[#This Row],[Year]],LS[[#This Row],[Month]],LS[[#This Row],[Day]])</f>
        <v>45484</v>
      </c>
      <c r="F469" t="str" cm="1">
        <f t="array" ref="F469">INDEX(INVESTORS_LIST[INVESTOR NAME],MATCH(LS[[#This Row],[Investor ID]],INVESTORS_LIST[INVESTOR CODE],0),)</f>
        <v>GREEN DELTA SECURITIES LIMITED</v>
      </c>
      <c r="G469" s="25" t="s">
        <v>310</v>
      </c>
      <c r="H469" s="8">
        <f>COUNTIF(LS[[#Headers],[Investor ID]]:LS[[#This Row],[Investor ID]],LS[[#This Row],[Investor ID]])</f>
        <v>2</v>
      </c>
      <c r="I469" s="8" t="str">
        <f>CONCATENATE(LS[[#This Row],[Frequency]],LS[[#This Row],[Investor ID]])</f>
        <v>2A00227</v>
      </c>
      <c r="J469" s="8" t="str">
        <f>IF(LS[[#This Row],[B/S]]="B","BUY",(IF(LS[[#This Row],[B/S]]="S","SELL"," ")))</f>
        <v>SELL</v>
      </c>
      <c r="K469" s="8" t="s">
        <v>866</v>
      </c>
      <c r="L469" s="10">
        <v>-1508400</v>
      </c>
      <c r="M469" s="10"/>
      <c r="N469" s="168">
        <f>LS[[#This Row],[Amount]]/LS[[#This Row],[Unit]]</f>
        <v>10.055999999999999</v>
      </c>
      <c r="O469" s="11">
        <f t="shared" ref="O469:O474" si="83">Q469/10</f>
        <v>-150000</v>
      </c>
      <c r="P469" s="11">
        <f>SUMIFS(LS[[#Headers],[Unit]]:LS[[#This Row],[Unit]],LS[[#Headers],[Investor ID]]:LS[[#This Row],[Investor ID]],LS[[#This Row],[Investor ID]])</f>
        <v>0</v>
      </c>
      <c r="Q469" s="10">
        <v>-1500000</v>
      </c>
      <c r="R469" s="6">
        <f>LS[[#This Row],[Amount]]-LS[[#This Row],[Unit Capital]]</f>
        <v>-8400</v>
      </c>
      <c r="S46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69" s="168">
        <f t="shared" si="82"/>
        <v>12.552</v>
      </c>
      <c r="U469" s="10">
        <f>IF(LS[[#This Row],[B/S]]="B",0,ABS(LS[[#This Row],[Unit]])*(LS[[#This Row],[NAV (Strike Rate)]]-INDEX(LS[NAV at Cost (Average)],MATCH(CONCATENATE(LS[[#This Row],[Frequency]]-1,LS[[#This Row],[Investor ID]]),LS[Unique Code],0),)))</f>
        <v>8399.9999999998745</v>
      </c>
      <c r="V469" s="10" cm="1">
        <f t="array" ref="V469">IF(LS[[#This Row],[B/S]]="S",ABS(LS[[#This Row],[Unit]])*(INDEX(LS[NAV at Cost (Average)],MATCH(CONCATENATE((LS[[#This Row],[Frequency]]-1),LS[[#This Row],[Investor ID]]),LS[Unique Code],0),0)),0)</f>
        <v>1500000</v>
      </c>
      <c r="W469" s="10">
        <f>IF(LS[[#This Row],[BO Transfer]]="YES",LS[[#This Row],[Unit]],)</f>
        <v>0</v>
      </c>
      <c r="X469" s="3">
        <f>SUMIFS(LS[[#Headers],[BO UNIT TRANSFER]]:LS[[#This Row],[BO UNIT TRANSFER]],LS[[#Headers],[Investor ID]]:LS[[#This Row],[Investor ID]],LS[[#This Row],[Investor ID]])</f>
        <v>0</v>
      </c>
    </row>
    <row r="470" spans="2:24">
      <c r="B470" s="8">
        <v>2024</v>
      </c>
      <c r="C470" s="8">
        <v>7</v>
      </c>
      <c r="D470" s="8">
        <v>3</v>
      </c>
      <c r="E470" s="291">
        <f>DATE(LS[[#This Row],[Year]],LS[[#This Row],[Month]],LS[[#This Row],[Day]])</f>
        <v>45476</v>
      </c>
      <c r="F470" t="str" cm="1">
        <f t="array" ref="F470">INDEX(INVESTORS_LIST[INVESTOR NAME],MATCH(LS[[#This Row],[Investor ID]],INVESTORS_LIST[INVESTOR CODE],0),)</f>
        <v>RAIHAN RASHID MAJUMDAR</v>
      </c>
      <c r="G470" s="19" t="s">
        <v>216</v>
      </c>
      <c r="H470" s="8">
        <f>COUNTIF(LS[[#Headers],[Investor ID]]:LS[[#This Row],[Investor ID]],LS[[#This Row],[Investor ID]])</f>
        <v>6</v>
      </c>
      <c r="I470" s="8" t="str">
        <f>CONCATENATE(LS[[#This Row],[Frequency]],LS[[#This Row],[Investor ID]])</f>
        <v>6A00183</v>
      </c>
      <c r="J470" s="8" t="str">
        <f>IF(LS[[#This Row],[B/S]]="B","BUY",(IF(LS[[#This Row],[B/S]]="S","SELL"," ")))</f>
        <v>SELL</v>
      </c>
      <c r="K470" s="8" t="s">
        <v>866</v>
      </c>
      <c r="L470" s="10">
        <v>-1000000</v>
      </c>
      <c r="M470" s="10"/>
      <c r="N470" s="168">
        <f>LS[[#This Row],[Amount]]/LS[[#This Row],[Unit]]</f>
        <v>9.9009900990099009</v>
      </c>
      <c r="O470" s="11">
        <f t="shared" si="83"/>
        <v>-101000</v>
      </c>
      <c r="P470" s="11">
        <f>SUMIFS(LS[[#Headers],[Unit]]:LS[[#This Row],[Unit]],LS[[#Headers],[Investor ID]]:LS[[#This Row],[Investor ID]],LS[[#This Row],[Investor ID]])</f>
        <v>58188</v>
      </c>
      <c r="Q470" s="10">
        <v>-1010000</v>
      </c>
      <c r="R470" s="6">
        <f>LS[[#This Row],[Amount]]-LS[[#This Row],[Unit Capital]]</f>
        <v>10000</v>
      </c>
      <c r="S47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9.9968740514484793</v>
      </c>
      <c r="T470" s="168">
        <f t="shared" si="82"/>
        <v>12.552</v>
      </c>
      <c r="U470" s="10">
        <f>IF(LS[[#This Row],[B/S]]="B",0,ABS(LS[[#This Row],[Unit]])*(LS[[#This Row],[NAV (Strike Rate)]]-INDEX(LS[NAV at Cost (Average)],MATCH(CONCATENATE(LS[[#This Row],[Frequency]]-1,LS[[#This Row],[Investor ID]]),LS[Unique Code],0),)))</f>
        <v>-9684.2791962964166</v>
      </c>
      <c r="V470" s="10" cm="1">
        <f t="array" ref="V470">IF(LS[[#This Row],[B/S]]="S",ABS(LS[[#This Row],[Unit]])*(INDEX(LS[NAV at Cost (Average)],MATCH(CONCATENATE((LS[[#This Row],[Frequency]]-1),LS[[#This Row],[Investor ID]]),LS[Unique Code],0),0)),0)</f>
        <v>1009684.2791962964</v>
      </c>
      <c r="W470" s="10">
        <f>IF(LS[[#This Row],[BO Transfer]]="YES",LS[[#This Row],[Unit]],)</f>
        <v>0</v>
      </c>
      <c r="X470" s="3">
        <f>SUMIFS(LS[[#Headers],[BO UNIT TRANSFER]]:LS[[#This Row],[BO UNIT TRANSFER]],LS[[#Headers],[Investor ID]]:LS[[#This Row],[Investor ID]],LS[[#This Row],[Investor ID]])</f>
        <v>0</v>
      </c>
    </row>
    <row r="471" spans="2:24">
      <c r="B471" s="8">
        <v>2024</v>
      </c>
      <c r="C471" s="8">
        <v>7</v>
      </c>
      <c r="D471" s="8">
        <v>18</v>
      </c>
      <c r="E471" s="291">
        <f>DATE(LS[[#This Row],[Year]],LS[[#This Row],[Month]],LS[[#This Row],[Day]])</f>
        <v>45491</v>
      </c>
      <c r="F471" t="str" cm="1">
        <f t="array" ref="F471">INDEX(INVESTORS_LIST[INVESTOR NAME],MATCH(LS[[#This Row],[Investor ID]],INVESTORS_LIST[INVESTOR CODE],0),)</f>
        <v>SHUVA SAHA</v>
      </c>
      <c r="G471" s="19" t="s">
        <v>60</v>
      </c>
      <c r="H471" s="8">
        <f>COUNTIF(LS[[#Headers],[Investor ID]]:LS[[#This Row],[Investor ID]],LS[[#This Row],[Investor ID]])</f>
        <v>12</v>
      </c>
      <c r="I471" s="8" t="str">
        <f>CONCATENATE(LS[[#This Row],[Frequency]],LS[[#This Row],[Investor ID]])</f>
        <v>12A00053</v>
      </c>
      <c r="J471" s="22" t="str">
        <f>IF(LS[[#This Row],[B/S]]="B","BUY",(IF(LS[[#This Row],[B/S]]="S","SELL"," ")))</f>
        <v>BUY</v>
      </c>
      <c r="K471" s="8" t="s">
        <v>301</v>
      </c>
      <c r="L471" s="10">
        <v>300000</v>
      </c>
      <c r="M471" s="10"/>
      <c r="N471" s="168">
        <f>LS[[#This Row],[Amount]]/LS[[#This Row],[Unit]]</f>
        <v>10.077936038699274</v>
      </c>
      <c r="O471" s="11">
        <f t="shared" si="83"/>
        <v>29768</v>
      </c>
      <c r="P471" s="11">
        <f>SUMIFS(LS[[#Headers],[Unit]]:LS[[#This Row],[Unit]],LS[[#Headers],[Investor ID]]:LS[[#This Row],[Investor ID]],LS[[#This Row],[Investor ID]])</f>
        <v>199848</v>
      </c>
      <c r="Q471" s="10">
        <v>297680</v>
      </c>
      <c r="R471" s="6">
        <f>LS[[#This Row],[Amount]]-LS[[#This Row],[Unit Capital]]</f>
        <v>2320</v>
      </c>
      <c r="S47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9.9443813565325296</v>
      </c>
      <c r="T471" s="168">
        <f t="shared" si="82"/>
        <v>12.552</v>
      </c>
      <c r="U47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71" s="10" cm="1">
        <f t="array" ref="V471">IF(LS[[#This Row],[B/S]]="S",ABS(LS[[#This Row],[Unit]])*(INDEX(LS[NAV at Cost (Average)],MATCH(CONCATENATE((LS[[#This Row],[Frequency]]-1),LS[[#This Row],[Investor ID]]),LS[Unique Code],0),0)),0)</f>
        <v>0</v>
      </c>
      <c r="W471" s="10">
        <f>IF(LS[[#This Row],[BO Transfer]]="YES",LS[[#This Row],[Unit]],)</f>
        <v>0</v>
      </c>
      <c r="X471" s="3">
        <f>SUMIFS(LS[[#Headers],[BO UNIT TRANSFER]]:LS[[#This Row],[BO UNIT TRANSFER]],LS[[#Headers],[Investor ID]]:LS[[#This Row],[Investor ID]],LS[[#This Row],[Investor ID]])</f>
        <v>0</v>
      </c>
    </row>
    <row r="472" spans="2:24">
      <c r="B472" s="8">
        <v>2024</v>
      </c>
      <c r="C472" s="8">
        <v>7</v>
      </c>
      <c r="D472" s="8">
        <v>18</v>
      </c>
      <c r="E472" s="291">
        <f>DATE(LS[[#This Row],[Year]],LS[[#This Row],[Month]],LS[[#This Row],[Day]])</f>
        <v>45491</v>
      </c>
      <c r="F472" t="str" cm="1">
        <f t="array" ref="F472">INDEX(INVESTORS_LIST[INVESTOR NAME],MATCH(LS[[#This Row],[Investor ID]],INVESTORS_LIST[INVESTOR CODE],0),)</f>
        <v>ASHIT BARAN SAHA</v>
      </c>
      <c r="G472" s="19" t="s">
        <v>82</v>
      </c>
      <c r="H472" s="8">
        <f>COUNTIF(LS[[#Headers],[Investor ID]]:LS[[#This Row],[Investor ID]],LS[[#This Row],[Investor ID]])</f>
        <v>1</v>
      </c>
      <c r="I472" s="8" t="str">
        <f>CONCATENATE(LS[[#This Row],[Frequency]],LS[[#This Row],[Investor ID]])</f>
        <v>1A00074</v>
      </c>
      <c r="J472" s="22" t="str">
        <f>IF(LS[[#This Row],[B/S]]="B","BUY",(IF(LS[[#This Row],[B/S]]="S","SELL"," ")))</f>
        <v>BUY</v>
      </c>
      <c r="K472" s="8" t="s">
        <v>301</v>
      </c>
      <c r="L472" s="10">
        <v>4600000</v>
      </c>
      <c r="M472" s="10"/>
      <c r="N472" s="168">
        <f>LS[[#This Row],[Amount]]/LS[[#This Row],[Unit]]</f>
        <v>10.077994917185173</v>
      </c>
      <c r="O472" s="11">
        <f t="shared" si="83"/>
        <v>456440</v>
      </c>
      <c r="P472" s="11">
        <f>SUMIFS(LS[[#Headers],[Unit]]:LS[[#This Row],[Unit]],LS[[#Headers],[Investor ID]]:LS[[#This Row],[Investor ID]],LS[[#This Row],[Investor ID]])</f>
        <v>456440</v>
      </c>
      <c r="Q472" s="10">
        <v>4564400</v>
      </c>
      <c r="R472" s="6">
        <f>LS[[#This Row],[Amount]]-LS[[#This Row],[Unit Capital]]</f>
        <v>35600</v>
      </c>
      <c r="S47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10.077994917185173</v>
      </c>
      <c r="T472" s="168">
        <f t="shared" si="82"/>
        <v>12.552</v>
      </c>
      <c r="U47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72" s="10" cm="1">
        <f t="array" ref="V472">IF(LS[[#This Row],[B/S]]="S",ABS(LS[[#This Row],[Unit]])*(INDEX(LS[NAV at Cost (Average)],MATCH(CONCATENATE((LS[[#This Row],[Frequency]]-1),LS[[#This Row],[Investor ID]]),LS[Unique Code],0),0)),0)</f>
        <v>0</v>
      </c>
      <c r="W472" s="10">
        <f>IF(LS[[#This Row],[BO Transfer]]="YES",LS[[#This Row],[Unit]],)</f>
        <v>0</v>
      </c>
      <c r="X472" s="3">
        <f>SUMIFS(LS[[#Headers],[BO UNIT TRANSFER]]:LS[[#This Row],[BO UNIT TRANSFER]],LS[[#Headers],[Investor ID]]:LS[[#This Row],[Investor ID]],LS[[#This Row],[Investor ID]])</f>
        <v>0</v>
      </c>
    </row>
    <row r="473" spans="2:24">
      <c r="B473" s="8">
        <v>2024</v>
      </c>
      <c r="C473" s="8">
        <v>7</v>
      </c>
      <c r="D473" s="8">
        <v>18</v>
      </c>
      <c r="E473" s="291">
        <f>DATE(LS[[#This Row],[Year]],LS[[#This Row],[Month]],LS[[#This Row],[Day]])</f>
        <v>45491</v>
      </c>
      <c r="F473" t="str" cm="1">
        <f t="array" ref="F473">INDEX(INVESTORS_LIST[INVESTOR NAME],MATCH(LS[[#This Row],[Investor ID]],INVESTORS_LIST[INVESTOR CODE],0),)</f>
        <v>ASHIT BARAN SAHA</v>
      </c>
      <c r="G473" s="19" t="s">
        <v>82</v>
      </c>
      <c r="H473" s="8">
        <f>COUNTIF(LS[[#Headers],[Investor ID]]:LS[[#This Row],[Investor ID]],LS[[#This Row],[Investor ID]])</f>
        <v>2</v>
      </c>
      <c r="I473" s="8" t="str">
        <f>CONCATENATE(LS[[#This Row],[Frequency]],LS[[#This Row],[Investor ID]])</f>
        <v>2A00074</v>
      </c>
      <c r="J473" s="22" t="str">
        <f>IF(LS[[#This Row],[B/S]]="B","BUY",(IF(LS[[#This Row],[B/S]]="S","SELL"," ")))</f>
        <v>BUY</v>
      </c>
      <c r="K473" s="8" t="s">
        <v>301</v>
      </c>
      <c r="L473" s="10">
        <v>5400000</v>
      </c>
      <c r="M473" s="10"/>
      <c r="N473" s="168">
        <f>LS[[#This Row],[Amount]]/LS[[#This Row],[Unit]]</f>
        <v>10.077992463901191</v>
      </c>
      <c r="O473" s="11">
        <f t="shared" si="83"/>
        <v>535821</v>
      </c>
      <c r="P473" s="11">
        <f>SUMIFS(LS[[#Headers],[Unit]]:LS[[#This Row],[Unit]],LS[[#Headers],[Investor ID]]:LS[[#This Row],[Investor ID]],LS[[#This Row],[Investor ID]])</f>
        <v>992261</v>
      </c>
      <c r="Q473" s="10">
        <v>5358210</v>
      </c>
      <c r="R473" s="6">
        <f>LS[[#This Row],[Amount]]-LS[[#This Row],[Unit Capital]]</f>
        <v>41790</v>
      </c>
      <c r="S47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10.077993592411675</v>
      </c>
      <c r="T473" s="168">
        <f t="shared" si="82"/>
        <v>12.552</v>
      </c>
      <c r="U47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73" s="10" cm="1">
        <f t="array" ref="V473">IF(LS[[#This Row],[B/S]]="S",ABS(LS[[#This Row],[Unit]])*(INDEX(LS[NAV at Cost (Average)],MATCH(CONCATENATE((LS[[#This Row],[Frequency]]-1),LS[[#This Row],[Investor ID]]),LS[Unique Code],0),0)),0)</f>
        <v>0</v>
      </c>
      <c r="W473" s="10">
        <f>IF(LS[[#This Row],[BO Transfer]]="YES",LS[[#This Row],[Unit]],)</f>
        <v>0</v>
      </c>
      <c r="X473" s="3">
        <f>SUMIFS(LS[[#Headers],[BO UNIT TRANSFER]]:LS[[#This Row],[BO UNIT TRANSFER]],LS[[#Headers],[Investor ID]]:LS[[#This Row],[Investor ID]],LS[[#This Row],[Investor ID]])</f>
        <v>0</v>
      </c>
    </row>
    <row r="474" spans="2:24">
      <c r="B474" s="8">
        <v>2024</v>
      </c>
      <c r="C474" s="8">
        <v>7</v>
      </c>
      <c r="D474" s="8">
        <v>15</v>
      </c>
      <c r="E474" s="291">
        <f>DATE(LS[[#This Row],[Year]],LS[[#This Row],[Month]],LS[[#This Row],[Day]])</f>
        <v>45488</v>
      </c>
      <c r="F474" t="str" cm="1">
        <f t="array" ref="F474">INDEX(INVESTORS_LIST[INVESTOR NAME],MATCH(LS[[#This Row],[Investor ID]],INVESTORS_LIST[INVESTOR CODE],0),)</f>
        <v>EKUSH WEALTH MANAGEMENT LIMITED</v>
      </c>
      <c r="G474" s="19" t="s">
        <v>4</v>
      </c>
      <c r="H474" s="8">
        <f>COUNTIF(LS[[#Headers],[Investor ID]]:LS[[#This Row],[Investor ID]],LS[[#This Row],[Investor ID]])</f>
        <v>22</v>
      </c>
      <c r="I474" s="8" t="str">
        <f>CONCATENATE(LS[[#This Row],[Frequency]],LS[[#This Row],[Investor ID]])</f>
        <v>22A00003</v>
      </c>
      <c r="J474" s="22" t="str">
        <f>IF(LS[[#This Row],[B/S]]="B","BUY",(IF(LS[[#This Row],[B/S]]="S","SELL"," ")))</f>
        <v>BUY</v>
      </c>
      <c r="K474" s="8" t="s">
        <v>301</v>
      </c>
      <c r="L474" s="10">
        <v>6000000</v>
      </c>
      <c r="M474" s="10"/>
      <c r="N474" s="168">
        <f>LS[[#This Row],[Amount]]/LS[[#This Row],[Unit]]</f>
        <v>10.078003749017395</v>
      </c>
      <c r="O474" s="11">
        <f t="shared" si="83"/>
        <v>595356</v>
      </c>
      <c r="P474" s="11">
        <f>SUMIFS(LS[[#Headers],[Unit]]:LS[[#This Row],[Unit]],LS[[#Headers],[Investor ID]]:LS[[#This Row],[Investor ID]],LS[[#This Row],[Investor ID]])</f>
        <v>2317961</v>
      </c>
      <c r="Q474" s="10">
        <v>5953560</v>
      </c>
      <c r="R474" s="6">
        <f>LS[[#This Row],[Amount]]-LS[[#This Row],[Unit Capital]]</f>
        <v>46440</v>
      </c>
      <c r="S47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9.9986686979951749</v>
      </c>
      <c r="T474" s="168">
        <f t="shared" si="82"/>
        <v>12.552</v>
      </c>
      <c r="U47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74" s="10" cm="1">
        <f t="array" ref="V474">IF(LS[[#This Row],[B/S]]="S",ABS(LS[[#This Row],[Unit]])*(INDEX(LS[NAV at Cost (Average)],MATCH(CONCATENATE((LS[[#This Row],[Frequency]]-1),LS[[#This Row],[Investor ID]]),LS[Unique Code],0),0)),0)</f>
        <v>0</v>
      </c>
      <c r="W474" s="10">
        <f>IF(LS[[#This Row],[BO Transfer]]="YES",LS[[#This Row],[Unit]],)</f>
        <v>0</v>
      </c>
      <c r="X474" s="3">
        <f>SUMIFS(LS[[#Headers],[BO UNIT TRANSFER]]:LS[[#This Row],[BO UNIT TRANSFER]],LS[[#Headers],[Investor ID]]:LS[[#This Row],[Investor ID]],LS[[#This Row],[Investor ID]])</f>
        <v>0</v>
      </c>
    </row>
    <row r="475" spans="2:24">
      <c r="B475" s="8">
        <v>2024</v>
      </c>
      <c r="C475" s="8">
        <v>8</v>
      </c>
      <c r="D475" s="8">
        <v>14</v>
      </c>
      <c r="E475" s="291">
        <f>DATE(LS[[#This Row],[Year]],LS[[#This Row],[Month]],LS[[#This Row],[Day]])</f>
        <v>45518</v>
      </c>
      <c r="F475" t="str" cm="1">
        <f t="array" ref="F475">INDEX(INVESTORS_LIST[INVESTOR NAME],MATCH(LS[[#This Row],[Investor ID]],INVESTORS_LIST[INVESTOR CODE],0),)</f>
        <v>EKUSH WEALTH MANAGEMENT LIMITED</v>
      </c>
      <c r="G475" s="19" t="s">
        <v>4</v>
      </c>
      <c r="H475" s="8">
        <f>COUNTIF(LS[[#Headers],[Investor ID]]:LS[[#This Row],[Investor ID]],LS[[#This Row],[Investor ID]])</f>
        <v>23</v>
      </c>
      <c r="I475" s="8" t="str">
        <f>CONCATENATE(LS[[#This Row],[Frequency]],LS[[#This Row],[Investor ID]])</f>
        <v>23A00003</v>
      </c>
      <c r="J475" s="22" t="str">
        <f>IF(LS[[#This Row],[B/S]]="B","BUY",(IF(LS[[#This Row],[B/S]]="S","SELL"," ")))</f>
        <v>SELL</v>
      </c>
      <c r="K475" s="8" t="s">
        <v>866</v>
      </c>
      <c r="L475" s="10">
        <v>-500000</v>
      </c>
      <c r="M475" s="10"/>
      <c r="N475" s="168">
        <f>LS[[#This Row],[Amount]]/LS[[#This Row],[Unit]]</f>
        <v>10.834940516176566</v>
      </c>
      <c r="O475" s="11">
        <f t="shared" ref="O475:O480" si="84">Q475/10</f>
        <v>-46147</v>
      </c>
      <c r="P475" s="11">
        <f>SUMIFS(LS[[#Headers],[Unit]]:LS[[#This Row],[Unit]],LS[[#Headers],[Investor ID]]:LS[[#This Row],[Investor ID]],LS[[#This Row],[Investor ID]])</f>
        <v>2271814</v>
      </c>
      <c r="Q475" s="10">
        <v>-461470</v>
      </c>
      <c r="R475" s="6">
        <f>LS[[#This Row],[Amount]]-LS[[#This Row],[Unit Capital]]</f>
        <v>-38530</v>
      </c>
      <c r="S47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9.9986686979951749</v>
      </c>
      <c r="T475" s="168">
        <f t="shared" ref="T475:T480" si="85">IFERROR(NAV_MKT,0)</f>
        <v>12.552</v>
      </c>
      <c r="U475" s="10">
        <f>IF(LS[[#This Row],[B/S]]="B",0,ABS(LS[[#This Row],[Unit]])*(LS[[#This Row],[NAV (Strike Rate)]]-INDEX(LS[NAV at Cost (Average)],MATCH(CONCATENATE(LS[[#This Row],[Frequency]]-1,LS[[#This Row],[Investor ID]]),LS[Unique Code],0),)))</f>
        <v>38591.435593616654</v>
      </c>
      <c r="V475" s="10" cm="1">
        <f t="array" ref="V475">IF(LS[[#This Row],[B/S]]="S",ABS(LS[[#This Row],[Unit]])*(INDEX(LS[NAV at Cost (Average)],MATCH(CONCATENATE((LS[[#This Row],[Frequency]]-1),LS[[#This Row],[Investor ID]]),LS[Unique Code],0),0)),0)</f>
        <v>461408.56440638332</v>
      </c>
      <c r="W475" s="10">
        <f>IF(LS[[#This Row],[BO Transfer]]="YES",LS[[#This Row],[Unit]],)</f>
        <v>0</v>
      </c>
      <c r="X475" s="3">
        <f>SUMIFS(LS[[#Headers],[BO UNIT TRANSFER]]:LS[[#This Row],[BO UNIT TRANSFER]],LS[[#Headers],[Investor ID]]:LS[[#This Row],[Investor ID]],LS[[#This Row],[Investor ID]])</f>
        <v>0</v>
      </c>
    </row>
    <row r="476" spans="2:24">
      <c r="B476" s="8">
        <v>2024</v>
      </c>
      <c r="C476" s="8">
        <v>8</v>
      </c>
      <c r="D476" s="8">
        <v>20</v>
      </c>
      <c r="E476" s="291">
        <f>DATE(LS[[#This Row],[Year]],LS[[#This Row],[Month]],LS[[#This Row],[Day]])</f>
        <v>45524</v>
      </c>
      <c r="F476" t="str" cm="1">
        <f t="array" ref="F476">INDEX(INVESTORS_LIST[INVESTOR NAME],MATCH(LS[[#This Row],[Investor ID]],INVESTORS_LIST[INVESTOR CODE],0),)</f>
        <v>RAIHAN RASHID MAJUMDAR</v>
      </c>
      <c r="G476" s="19" t="s">
        <v>216</v>
      </c>
      <c r="H476" s="8">
        <f>COUNTIF(LS[[#Headers],[Investor ID]]:LS[[#This Row],[Investor ID]],LS[[#This Row],[Investor ID]])</f>
        <v>7</v>
      </c>
      <c r="I476" s="8" t="str">
        <f>CONCATENATE(LS[[#This Row],[Frequency]],LS[[#This Row],[Investor ID]])</f>
        <v>7A00183</v>
      </c>
      <c r="J476" s="22" t="str">
        <f>IF(LS[[#This Row],[B/S]]="B","BUY",(IF(LS[[#This Row],[B/S]]="S","SELL"," ")))</f>
        <v>SELL</v>
      </c>
      <c r="K476" s="8" t="s">
        <v>866</v>
      </c>
      <c r="L476" s="10">
        <v>-642628.27</v>
      </c>
      <c r="M476" s="10"/>
      <c r="N476" s="168">
        <f>LS[[#This Row],[Amount]]/LS[[#This Row],[Unit]]</f>
        <v>11.043999965628652</v>
      </c>
      <c r="O476" s="11">
        <f t="shared" si="84"/>
        <v>-58188</v>
      </c>
      <c r="P476" s="11">
        <f>SUMIFS(LS[[#Headers],[Unit]]:LS[[#This Row],[Unit]],LS[[#Headers],[Investor ID]]:LS[[#This Row],[Investor ID]],LS[[#This Row],[Investor ID]])</f>
        <v>0</v>
      </c>
      <c r="Q476" s="10">
        <v>-581880</v>
      </c>
      <c r="R476" s="6">
        <f>LS[[#This Row],[Amount]]-LS[[#This Row],[Unit Capital]]</f>
        <v>-60748.270000000019</v>
      </c>
      <c r="S47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76" s="168">
        <f t="shared" si="85"/>
        <v>12.552</v>
      </c>
      <c r="U476" s="10">
        <f>IF(LS[[#This Row],[B/S]]="B",0,ABS(LS[[#This Row],[Unit]])*(LS[[#This Row],[NAV (Strike Rate)]]-INDEX(LS[NAV at Cost (Average)],MATCH(CONCATENATE(LS[[#This Row],[Frequency]]-1,LS[[#This Row],[Investor ID]]),LS[Unique Code],0),)))</f>
        <v>60930.162694315892</v>
      </c>
      <c r="V476" s="10" cm="1">
        <f t="array" ref="V476">IF(LS[[#This Row],[B/S]]="S",ABS(LS[[#This Row],[Unit]])*(INDEX(LS[NAV at Cost (Average)],MATCH(CONCATENATE((LS[[#This Row],[Frequency]]-1),LS[[#This Row],[Investor ID]]),LS[Unique Code],0),0)),0)</f>
        <v>581698.10730568413</v>
      </c>
      <c r="W476" s="10">
        <f>IF(LS[[#This Row],[BO Transfer]]="YES",LS[[#This Row],[Unit]],)</f>
        <v>0</v>
      </c>
      <c r="X476" s="3">
        <f>SUMIFS(LS[[#Headers],[BO UNIT TRANSFER]]:LS[[#This Row],[BO UNIT TRANSFER]],LS[[#Headers],[Investor ID]]:LS[[#This Row],[Investor ID]],LS[[#This Row],[Investor ID]])</f>
        <v>0</v>
      </c>
    </row>
    <row r="477" spans="2:24">
      <c r="B477" s="8">
        <v>2024</v>
      </c>
      <c r="C477" s="8">
        <v>8</v>
      </c>
      <c r="D477" s="8">
        <v>25</v>
      </c>
      <c r="E477" s="291">
        <f>DATE(LS[[#This Row],[Year]],LS[[#This Row],[Month]],LS[[#This Row],[Day]])</f>
        <v>45529</v>
      </c>
      <c r="F477" t="str" cm="1">
        <f t="array" ref="F477">INDEX(INVESTORS_LIST[INVESTOR NAME],MATCH(LS[[#This Row],[Investor ID]],INVESTORS_LIST[INVESTOR CODE],0),)</f>
        <v>EKUSH WEALTH MANAGEMENT LIMITED</v>
      </c>
      <c r="G477" s="19" t="s">
        <v>4</v>
      </c>
      <c r="H477" s="8">
        <f>COUNTIF(LS[[#Headers],[Investor ID]]:LS[[#This Row],[Investor ID]],LS[[#This Row],[Investor ID]])</f>
        <v>24</v>
      </c>
      <c r="I477" s="8" t="str">
        <f>CONCATENATE(LS[[#This Row],[Frequency]],LS[[#This Row],[Investor ID]])</f>
        <v>24A00003</v>
      </c>
      <c r="J477" s="22" t="str">
        <f>IF(LS[[#This Row],[B/S]]="B","BUY",(IF(LS[[#This Row],[B/S]]="S","SELL"," ")))</f>
        <v>BUY</v>
      </c>
      <c r="K477" s="8" t="s">
        <v>301</v>
      </c>
      <c r="L477" s="10">
        <v>600000</v>
      </c>
      <c r="M477" s="10"/>
      <c r="N477" s="168">
        <f>LS[[#This Row],[Amount]]/LS[[#This Row],[Unit]]</f>
        <v>11.041996392947844</v>
      </c>
      <c r="O477" s="11">
        <f t="shared" si="84"/>
        <v>54338</v>
      </c>
      <c r="P477" s="11">
        <f>SUMIFS(LS[[#Headers],[Unit]]:LS[[#This Row],[Unit]],LS[[#Headers],[Investor ID]]:LS[[#This Row],[Investor ID]],LS[[#This Row],[Investor ID]])</f>
        <v>2326152</v>
      </c>
      <c r="Q477" s="10">
        <v>543380</v>
      </c>
      <c r="R477" s="6">
        <f>LS[[#This Row],[Amount]]-LS[[#This Row],[Unit Capital]]</f>
        <v>56620</v>
      </c>
      <c r="S47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10.023040424472352</v>
      </c>
      <c r="T477" s="168">
        <f t="shared" si="85"/>
        <v>12.552</v>
      </c>
      <c r="U47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77" s="10" cm="1">
        <f t="array" ref="V477">IF(LS[[#This Row],[B/S]]="S",ABS(LS[[#This Row],[Unit]])*(INDEX(LS[NAV at Cost (Average)],MATCH(CONCATENATE((LS[[#This Row],[Frequency]]-1),LS[[#This Row],[Investor ID]]),LS[Unique Code],0),0)),0)</f>
        <v>0</v>
      </c>
      <c r="W477" s="10">
        <f>IF(LS[[#This Row],[BO Transfer]]="YES",LS[[#This Row],[Unit]],)</f>
        <v>0</v>
      </c>
      <c r="X477" s="3">
        <f>SUMIFS(LS[[#Headers],[BO UNIT TRANSFER]]:LS[[#This Row],[BO UNIT TRANSFER]],LS[[#Headers],[Investor ID]]:LS[[#This Row],[Investor ID]],LS[[#This Row],[Investor ID]])</f>
        <v>0</v>
      </c>
    </row>
    <row r="478" spans="2:24">
      <c r="B478" s="8">
        <v>2024</v>
      </c>
      <c r="C478" s="8">
        <v>8</v>
      </c>
      <c r="D478" s="8">
        <v>27</v>
      </c>
      <c r="E478" s="291">
        <f>DATE(LS[[#This Row],[Year]],LS[[#This Row],[Month]],LS[[#This Row],[Day]])</f>
        <v>45531</v>
      </c>
      <c r="F478" t="str" cm="1">
        <f t="array" ref="F478">INDEX(INVESTORS_LIST[INVESTOR NAME],MATCH(LS[[#This Row],[Investor ID]],INVESTORS_LIST[INVESTOR CODE],0),)</f>
        <v>ASHIT BARAN SAHA</v>
      </c>
      <c r="G478" s="19" t="s">
        <v>82</v>
      </c>
      <c r="H478" s="8">
        <f>COUNTIF(LS[[#Headers],[Investor ID]]:LS[[#This Row],[Investor ID]],LS[[#This Row],[Investor ID]])</f>
        <v>3</v>
      </c>
      <c r="I478" s="8" t="str">
        <f>CONCATENATE(LS[[#This Row],[Frequency]],LS[[#This Row],[Investor ID]])</f>
        <v>3A00074</v>
      </c>
      <c r="J478" s="22" t="str">
        <f>IF(LS[[#This Row],[B/S]]="B","BUY",(IF(LS[[#This Row],[B/S]]="S","SELL"," ")))</f>
        <v>SELL</v>
      </c>
      <c r="K478" s="8" t="s">
        <v>866</v>
      </c>
      <c r="L478" s="10">
        <v>-4500000</v>
      </c>
      <c r="M478" s="10"/>
      <c r="N478" s="168">
        <f>LS[[#This Row],[Amount]]/LS[[#This Row],[Unit]]</f>
        <v>11.041996392947844</v>
      </c>
      <c r="O478" s="11">
        <f t="shared" si="84"/>
        <v>-407535</v>
      </c>
      <c r="P478" s="11">
        <f>SUMIFS(LS[[#Headers],[Unit]]:LS[[#This Row],[Unit]],LS[[#Headers],[Investor ID]]:LS[[#This Row],[Investor ID]],LS[[#This Row],[Investor ID]])</f>
        <v>584726</v>
      </c>
      <c r="Q478" s="10">
        <v>-4075350</v>
      </c>
      <c r="R478" s="6">
        <f>LS[[#This Row],[Amount]]-LS[[#This Row],[Unit Capital]]</f>
        <v>-424650</v>
      </c>
      <c r="S47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10.077993592411675</v>
      </c>
      <c r="T478" s="168">
        <f t="shared" si="85"/>
        <v>12.552</v>
      </c>
      <c r="U478" s="10">
        <f>IF(LS[[#This Row],[B/S]]="B",0,ABS(LS[[#This Row],[Unit]])*(LS[[#This Row],[NAV (Strike Rate)]]-INDEX(LS[NAV at Cost (Average)],MATCH(CONCATENATE(LS[[#This Row],[Frequency]]-1,LS[[#This Row],[Investor ID]]),LS[Unique Code],0),)))</f>
        <v>392864.88131650788</v>
      </c>
      <c r="V478" s="10" cm="1">
        <f t="array" ref="V478">IF(LS[[#This Row],[B/S]]="S",ABS(LS[[#This Row],[Unit]])*(INDEX(LS[NAV at Cost (Average)],MATCH(CONCATENATE((LS[[#This Row],[Frequency]]-1),LS[[#This Row],[Investor ID]]),LS[Unique Code],0),0)),0)</f>
        <v>4107135.1186834918</v>
      </c>
      <c r="W478" s="10">
        <f>IF(LS[[#This Row],[BO Transfer]]="YES",LS[[#This Row],[Unit]],)</f>
        <v>0</v>
      </c>
      <c r="X478" s="3">
        <f>SUMIFS(LS[[#Headers],[BO UNIT TRANSFER]]:LS[[#This Row],[BO UNIT TRANSFER]],LS[[#Headers],[Investor ID]]:LS[[#This Row],[Investor ID]],LS[[#This Row],[Investor ID]])</f>
        <v>0</v>
      </c>
    </row>
    <row r="479" spans="2:24">
      <c r="B479" s="8">
        <v>2024</v>
      </c>
      <c r="C479" s="8">
        <v>8</v>
      </c>
      <c r="D479" s="8">
        <v>27</v>
      </c>
      <c r="E479" s="291">
        <f>DATE(LS[[#This Row],[Year]],LS[[#This Row],[Month]],LS[[#This Row],[Day]])</f>
        <v>45531</v>
      </c>
      <c r="F479" t="str" cm="1">
        <f t="array" ref="F479">INDEX(INVESTORS_LIST[INVESTOR NAME],MATCH(LS[[#This Row],[Investor ID]],INVESTORS_LIST[INVESTOR CODE],0),)</f>
        <v>ASHIT BARAN SAHA</v>
      </c>
      <c r="G479" s="19" t="s">
        <v>82</v>
      </c>
      <c r="H479" s="8">
        <f>COUNTIF(LS[[#Headers],[Investor ID]]:LS[[#This Row],[Investor ID]],LS[[#This Row],[Investor ID]])</f>
        <v>4</v>
      </c>
      <c r="I479" s="8" t="str">
        <f>CONCATENATE(LS[[#This Row],[Frequency]],LS[[#This Row],[Investor ID]])</f>
        <v>4A00074</v>
      </c>
      <c r="J479" s="22" t="str">
        <f>IF(LS[[#This Row],[B/S]]="B","BUY",(IF(LS[[#This Row],[B/S]]="S","SELL"," ")))</f>
        <v>SELL</v>
      </c>
      <c r="K479" s="8" t="s">
        <v>866</v>
      </c>
      <c r="L479" s="10">
        <v>-2000000</v>
      </c>
      <c r="M479" s="10"/>
      <c r="N479" s="168">
        <f>LS[[#This Row],[Amount]]/LS[[#This Row],[Unit]]</f>
        <v>11.041976072037851</v>
      </c>
      <c r="O479" s="11">
        <f t="shared" si="84"/>
        <v>-181127</v>
      </c>
      <c r="P479" s="11">
        <f>SUMIFS(LS[[#Headers],[Unit]]:LS[[#This Row],[Unit]],LS[[#Headers],[Investor ID]]:LS[[#This Row],[Investor ID]],LS[[#This Row],[Investor ID]])</f>
        <v>403599</v>
      </c>
      <c r="Q479" s="10">
        <v>-1811270</v>
      </c>
      <c r="R479" s="6">
        <f>LS[[#This Row],[Amount]]-LS[[#This Row],[Unit Capital]]</f>
        <v>-188730</v>
      </c>
      <c r="S47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10.077993592411675</v>
      </c>
      <c r="T479" s="168">
        <f t="shared" si="85"/>
        <v>12.552</v>
      </c>
      <c r="U479" s="10">
        <f>IF(LS[[#This Row],[B/S]]="B",0,ABS(LS[[#This Row],[Unit]])*(LS[[#This Row],[NAV (Strike Rate)]]-INDEX(LS[NAV at Cost (Average)],MATCH(CONCATENATE(LS[[#This Row],[Frequency]]-1,LS[[#This Row],[Investor ID]]),LS[Unique Code],0),)))</f>
        <v>174603.2545872505</v>
      </c>
      <c r="V479" s="10" cm="1">
        <f t="array" ref="V479">IF(LS[[#This Row],[B/S]]="S",ABS(LS[[#This Row],[Unit]])*(INDEX(LS[NAV at Cost (Average)],MATCH(CONCATENATE((LS[[#This Row],[Frequency]]-1),LS[[#This Row],[Investor ID]]),LS[Unique Code],0),0)),0)</f>
        <v>1825396.7454127495</v>
      </c>
      <c r="W479" s="10">
        <f>IF(LS[[#This Row],[BO Transfer]]="YES",LS[[#This Row],[Unit]],)</f>
        <v>0</v>
      </c>
      <c r="X479" s="3">
        <f>SUMIFS(LS[[#Headers],[BO UNIT TRANSFER]]:LS[[#This Row],[BO UNIT TRANSFER]],LS[[#Headers],[Investor ID]]:LS[[#This Row],[Investor ID]],LS[[#This Row],[Investor ID]])</f>
        <v>0</v>
      </c>
    </row>
    <row r="480" spans="2:24">
      <c r="B480" s="8">
        <v>2024</v>
      </c>
      <c r="C480" s="8">
        <v>8</v>
      </c>
      <c r="D480" s="8">
        <v>27</v>
      </c>
      <c r="E480" s="291">
        <f>DATE(LS[[#This Row],[Year]],LS[[#This Row],[Month]],LS[[#This Row],[Day]])</f>
        <v>45531</v>
      </c>
      <c r="F480" t="str" cm="1">
        <f t="array" ref="F480">INDEX(INVESTORS_LIST[INVESTOR NAME],MATCH(LS[[#This Row],[Investor ID]],INVESTORS_LIST[INVESTOR CODE],0),)</f>
        <v>ASHIT BARAN SAHA</v>
      </c>
      <c r="G480" s="19" t="s">
        <v>82</v>
      </c>
      <c r="H480" s="8">
        <f>COUNTIF(LS[[#Headers],[Investor ID]]:LS[[#This Row],[Investor ID]],LS[[#This Row],[Investor ID]])</f>
        <v>5</v>
      </c>
      <c r="I480" s="8" t="str">
        <f>CONCATENATE(LS[[#This Row],[Frequency]],LS[[#This Row],[Investor ID]])</f>
        <v>5A00074</v>
      </c>
      <c r="J480" s="22" t="str">
        <f>IF(LS[[#This Row],[B/S]]="B","BUY",(IF(LS[[#This Row],[B/S]]="S","SELL"," ")))</f>
        <v>SELL</v>
      </c>
      <c r="K480" s="8" t="s">
        <v>866</v>
      </c>
      <c r="L480" s="10">
        <v>-4456545.96</v>
      </c>
      <c r="M480" s="10"/>
      <c r="N480" s="168">
        <f>LS[[#This Row],[Amount]]/LS[[#This Row],[Unit]]</f>
        <v>11.042014375655043</v>
      </c>
      <c r="O480" s="11">
        <f t="shared" si="84"/>
        <v>-403599</v>
      </c>
      <c r="P480" s="11">
        <f>SUMIFS(LS[[#Headers],[Unit]]:LS[[#This Row],[Unit]],LS[[#Headers],[Investor ID]]:LS[[#This Row],[Investor ID]],LS[[#This Row],[Investor ID]])</f>
        <v>0</v>
      </c>
      <c r="Q480" s="10">
        <v>-4035990</v>
      </c>
      <c r="R480" s="6">
        <f>LS[[#This Row],[Amount]]-LS[[#This Row],[Unit Capital]]</f>
        <v>-420555.95999999996</v>
      </c>
      <c r="S48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80" s="168">
        <f t="shared" si="85"/>
        <v>12.552</v>
      </c>
      <c r="U480" s="10">
        <f>IF(LS[[#This Row],[B/S]]="B",0,ABS(LS[[#This Row],[Unit]])*(LS[[#This Row],[NAV (Strike Rate)]]-INDEX(LS[NAV at Cost (Average)],MATCH(CONCATENATE(LS[[#This Row],[Frequency]]-1,LS[[#This Row],[Investor ID]]),LS[Unique Code],0),)))</f>
        <v>389077.82409624028</v>
      </c>
      <c r="V480" s="10" cm="1">
        <f t="array" ref="V480">IF(LS[[#This Row],[B/S]]="S",ABS(LS[[#This Row],[Unit]])*(INDEX(LS[NAV at Cost (Average)],MATCH(CONCATENATE((LS[[#This Row],[Frequency]]-1),LS[[#This Row],[Investor ID]]),LS[Unique Code],0),0)),0)</f>
        <v>4067468.1359037594</v>
      </c>
      <c r="W480" s="10">
        <f>IF(LS[[#This Row],[BO Transfer]]="YES",LS[[#This Row],[Unit]],)</f>
        <v>0</v>
      </c>
      <c r="X480" s="3">
        <f>SUMIFS(LS[[#Headers],[BO UNIT TRANSFER]]:LS[[#This Row],[BO UNIT TRANSFER]],LS[[#Headers],[Investor ID]]:LS[[#This Row],[Investor ID]],LS[[#This Row],[Investor ID]])</f>
        <v>0</v>
      </c>
    </row>
    <row r="481" spans="2:24">
      <c r="B481" s="8">
        <v>2024</v>
      </c>
      <c r="C481" s="8">
        <v>9</v>
      </c>
      <c r="D481" s="8">
        <v>4</v>
      </c>
      <c r="E481" s="291">
        <f>DATE(LS[[#This Row],[Year]],LS[[#This Row],[Month]],LS[[#This Row],[Day]])</f>
        <v>45539</v>
      </c>
      <c r="F481" t="str" cm="1">
        <f t="array" ref="F481">INDEX(INVESTORS_LIST[INVESTOR NAME],MATCH(LS[[#This Row],[Investor ID]],INVESTORS_LIST[INVESTOR CODE],0),)</f>
        <v>EKUSH WEALTH MANAGEMENT LIMITED</v>
      </c>
      <c r="G481" s="19" t="s">
        <v>4</v>
      </c>
      <c r="H481" s="8">
        <f>COUNTIF(LS[[#Headers],[Investor ID]]:LS[[#This Row],[Investor ID]],LS[[#This Row],[Investor ID]])</f>
        <v>25</v>
      </c>
      <c r="I481" s="8" t="str">
        <f>CONCATENATE(LS[[#This Row],[Frequency]],LS[[#This Row],[Investor ID]])</f>
        <v>25A00003</v>
      </c>
      <c r="J481" s="22" t="str">
        <f>IF(LS[[#This Row],[B/S]]="B","BUY",(IF(LS[[#This Row],[B/S]]="S","SELL"," ")))</f>
        <v>SELL</v>
      </c>
      <c r="K481" s="8" t="s">
        <v>866</v>
      </c>
      <c r="L481" s="10">
        <v>-1100000</v>
      </c>
      <c r="M481" s="10"/>
      <c r="N481" s="168">
        <f>LS[[#This Row],[Amount]]/LS[[#This Row],[Unit]]</f>
        <v>11.003961426113401</v>
      </c>
      <c r="O481" s="11">
        <f t="shared" ref="O481:O486" si="86">Q481/10</f>
        <v>-99964</v>
      </c>
      <c r="P481" s="11">
        <f>SUMIFS(LS[[#Headers],[Unit]]:LS[[#This Row],[Unit]],LS[[#Headers],[Investor ID]]:LS[[#This Row],[Investor ID]],LS[[#This Row],[Investor ID]])</f>
        <v>2226188</v>
      </c>
      <c r="Q481" s="10">
        <v>-999640</v>
      </c>
      <c r="R481" s="6">
        <f>LS[[#This Row],[Amount]]-LS[[#This Row],[Unit Capital]]</f>
        <v>-100360</v>
      </c>
      <c r="S48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10.023040424472352</v>
      </c>
      <c r="T481" s="168">
        <f t="shared" ref="T481:T486" si="87">IFERROR(NAV_MKT,0)</f>
        <v>12.552</v>
      </c>
      <c r="U481" s="10">
        <f>IF(LS[[#This Row],[B/S]]="B",0,ABS(LS[[#This Row],[Unit]])*(LS[[#This Row],[NAV (Strike Rate)]]-INDEX(LS[NAV at Cost (Average)],MATCH(CONCATENATE(LS[[#This Row],[Frequency]]-1,LS[[#This Row],[Investor ID]]),LS[Unique Code],0),)))</f>
        <v>98056.78700804578</v>
      </c>
      <c r="V481" s="10" cm="1">
        <f t="array" ref="V481">IF(LS[[#This Row],[B/S]]="S",ABS(LS[[#This Row],[Unit]])*(INDEX(LS[NAV at Cost (Average)],MATCH(CONCATENATE((LS[[#This Row],[Frequency]]-1),LS[[#This Row],[Investor ID]]),LS[Unique Code],0),0)),0)</f>
        <v>1001943.2129919542</v>
      </c>
      <c r="W481" s="10">
        <f>IF(LS[[#This Row],[BO Transfer]]="YES",LS[[#This Row],[Unit]],)</f>
        <v>0</v>
      </c>
      <c r="X481" s="3">
        <f>SUMIFS(LS[[#Headers],[BO UNIT TRANSFER]]:LS[[#This Row],[BO UNIT TRANSFER]],LS[[#Headers],[Investor ID]]:LS[[#This Row],[Investor ID]],LS[[#This Row],[Investor ID]])</f>
        <v>0</v>
      </c>
    </row>
    <row r="482" spans="2:24">
      <c r="B482" s="8">
        <v>2024</v>
      </c>
      <c r="C482" s="8">
        <v>9</v>
      </c>
      <c r="D482" s="8">
        <v>4</v>
      </c>
      <c r="E482" s="291">
        <f>DATE(LS[[#This Row],[Year]],LS[[#This Row],[Month]],LS[[#This Row],[Day]])</f>
        <v>45539</v>
      </c>
      <c r="F482" t="str" cm="1">
        <f t="array" ref="F482">INDEX(INVESTORS_LIST[INVESTOR NAME],MATCH(LS[[#This Row],[Investor ID]],INVESTORS_LIST[INVESTOR CODE],0),)</f>
        <v>EKUSH WEALTH MANAGEMENT LIMITED</v>
      </c>
      <c r="G482" s="19" t="s">
        <v>4</v>
      </c>
      <c r="H482" s="8">
        <f>COUNTIF(LS[[#Headers],[Investor ID]]:LS[[#This Row],[Investor ID]],LS[[#This Row],[Investor ID]])</f>
        <v>26</v>
      </c>
      <c r="I482" s="8" t="str">
        <f>CONCATENATE(LS[[#This Row],[Frequency]],LS[[#This Row],[Investor ID]])</f>
        <v>26A00003</v>
      </c>
      <c r="J482" s="22" t="str">
        <f>IF(LS[[#This Row],[B/S]]="B","BUY",(IF(LS[[#This Row],[B/S]]="S","SELL"," ")))</f>
        <v>SELL</v>
      </c>
      <c r="K482" s="8" t="s">
        <v>866</v>
      </c>
      <c r="L482" s="10">
        <v>-400000</v>
      </c>
      <c r="M482" s="10"/>
      <c r="N482" s="168">
        <f>LS[[#This Row],[Amount]]/LS[[#This Row],[Unit]]</f>
        <v>11.004126547455297</v>
      </c>
      <c r="O482" s="11">
        <f t="shared" si="86"/>
        <v>-36350</v>
      </c>
      <c r="P482" s="11">
        <f>SUMIFS(LS[[#Headers],[Unit]]:LS[[#This Row],[Unit]],LS[[#Headers],[Investor ID]]:LS[[#This Row],[Investor ID]],LS[[#This Row],[Investor ID]])</f>
        <v>2189838</v>
      </c>
      <c r="Q482" s="10">
        <v>-363500</v>
      </c>
      <c r="R482" s="6">
        <f>LS[[#This Row],[Amount]]-LS[[#This Row],[Unit Capital]]</f>
        <v>-36500</v>
      </c>
      <c r="S48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10.023040424472352</v>
      </c>
      <c r="T482" s="168">
        <f t="shared" si="87"/>
        <v>12.552</v>
      </c>
      <c r="U482" s="10">
        <f>IF(LS[[#This Row],[B/S]]="B",0,ABS(LS[[#This Row],[Unit]])*(LS[[#This Row],[NAV (Strike Rate)]]-INDEX(LS[NAV at Cost (Average)],MATCH(CONCATENATE(LS[[#This Row],[Frequency]]-1,LS[[#This Row],[Investor ID]]),LS[Unique Code],0),)))</f>
        <v>35662.480570430023</v>
      </c>
      <c r="V482" s="10" cm="1">
        <f t="array" ref="V482">IF(LS[[#This Row],[B/S]]="S",ABS(LS[[#This Row],[Unit]])*(INDEX(LS[NAV at Cost (Average)],MATCH(CONCATENATE((LS[[#This Row],[Frequency]]-1),LS[[#This Row],[Investor ID]]),LS[Unique Code],0),0)),0)</f>
        <v>364337.51942957001</v>
      </c>
      <c r="W482" s="10">
        <f>IF(LS[[#This Row],[BO Transfer]]="YES",LS[[#This Row],[Unit]],)</f>
        <v>0</v>
      </c>
      <c r="X482" s="3">
        <f>SUMIFS(LS[[#Headers],[BO UNIT TRANSFER]]:LS[[#This Row],[BO UNIT TRANSFER]],LS[[#Headers],[Investor ID]]:LS[[#This Row],[Investor ID]],LS[[#This Row],[Investor ID]])</f>
        <v>0</v>
      </c>
    </row>
    <row r="483" spans="2:24">
      <c r="B483" s="8">
        <v>2024</v>
      </c>
      <c r="C483" s="8">
        <v>9</v>
      </c>
      <c r="D483" s="8">
        <v>3</v>
      </c>
      <c r="E483" s="291">
        <f>DATE(LS[[#This Row],[Year]],LS[[#This Row],[Month]],LS[[#This Row],[Day]])</f>
        <v>45538</v>
      </c>
      <c r="F483" t="str" cm="1">
        <f t="array" ref="F483">INDEX(INVESTORS_LIST[INVESTOR NAME],MATCH(LS[[#This Row],[Investor ID]],INVESTORS_LIST[INVESTOR CODE],0),)</f>
        <v>SRIJON GHOSH</v>
      </c>
      <c r="G483" s="19" t="s">
        <v>927</v>
      </c>
      <c r="H483" s="8">
        <f>COUNTIF(LS[[#Headers],[Investor ID]]:LS[[#This Row],[Investor ID]],LS[[#This Row],[Investor ID]])</f>
        <v>3</v>
      </c>
      <c r="I483" s="8" t="str">
        <f>CONCATENATE(LS[[#This Row],[Frequency]],LS[[#This Row],[Investor ID]])</f>
        <v>3A00424</v>
      </c>
      <c r="J483" s="22" t="str">
        <f>IF(LS[[#This Row],[B/S]]="B","BUY",(IF(LS[[#This Row],[B/S]]="S","SELL"," ")))</f>
        <v>BUY</v>
      </c>
      <c r="K483" s="8" t="s">
        <v>301</v>
      </c>
      <c r="L483" s="10">
        <v>500</v>
      </c>
      <c r="M483" s="10"/>
      <c r="N483" s="168">
        <f>LS[[#This Row],[Amount]]/LS[[#This Row],[Unit]]</f>
        <v>11.111111111111111</v>
      </c>
      <c r="O483" s="11">
        <f t="shared" si="86"/>
        <v>45</v>
      </c>
      <c r="P483" s="11">
        <f>SUMIFS(LS[[#Headers],[Unit]]:LS[[#This Row],[Unit]],LS[[#Headers],[Investor ID]]:LS[[#This Row],[Investor ID]],LS[[#This Row],[Investor ID]])</f>
        <v>45</v>
      </c>
      <c r="Q483" s="10">
        <v>450</v>
      </c>
      <c r="R483" s="6">
        <f>LS[[#This Row],[Amount]]-LS[[#This Row],[Unit Capital]]</f>
        <v>50</v>
      </c>
      <c r="S48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11.111111111111111</v>
      </c>
      <c r="T483" s="168">
        <f t="shared" si="87"/>
        <v>12.552</v>
      </c>
      <c r="U48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83" s="10" cm="1">
        <f t="array" ref="V483">IF(LS[[#This Row],[B/S]]="S",ABS(LS[[#This Row],[Unit]])*(INDEX(LS[NAV at Cost (Average)],MATCH(CONCATENATE((LS[[#This Row],[Frequency]]-1),LS[[#This Row],[Investor ID]]),LS[Unique Code],0),0)),0)</f>
        <v>0</v>
      </c>
      <c r="W483" s="10">
        <f>IF(LS[[#This Row],[BO Transfer]]="YES",LS[[#This Row],[Unit]],)</f>
        <v>0</v>
      </c>
      <c r="X483" s="3">
        <f>SUMIFS(LS[[#Headers],[BO UNIT TRANSFER]]:LS[[#This Row],[BO UNIT TRANSFER]],LS[[#Headers],[Investor ID]]:LS[[#This Row],[Investor ID]],LS[[#This Row],[Investor ID]])</f>
        <v>0</v>
      </c>
    </row>
    <row r="484" spans="2:24">
      <c r="B484" s="8">
        <v>2024</v>
      </c>
      <c r="C484" s="8">
        <v>9</v>
      </c>
      <c r="D484" s="8">
        <v>11</v>
      </c>
      <c r="E484" s="291">
        <f>DATE(LS[[#This Row],[Year]],LS[[#This Row],[Month]],LS[[#This Row],[Day]])</f>
        <v>45546</v>
      </c>
      <c r="F484" t="str" cm="1">
        <f t="array" ref="F484">INDEX(INVESTORS_LIST[INVESTOR NAME],MATCH(LS[[#This Row],[Investor ID]],INVESTORS_LIST[INVESTOR CODE],0),)</f>
        <v>ASHUTOSH TALUKDER</v>
      </c>
      <c r="G484" s="19" t="s">
        <v>178</v>
      </c>
      <c r="H484" s="8">
        <f>COUNTIF(LS[[#Headers],[Investor ID]]:LS[[#This Row],[Investor ID]],LS[[#This Row],[Investor ID]])</f>
        <v>3</v>
      </c>
      <c r="I484" s="8" t="str">
        <f>CONCATENATE(LS[[#This Row],[Frequency]],LS[[#This Row],[Investor ID]])</f>
        <v>3A00145</v>
      </c>
      <c r="J484" s="22" t="str">
        <f>IF(LS[[#This Row],[B/S]]="B","BUY",(IF(LS[[#This Row],[B/S]]="S","SELL"," ")))</f>
        <v>SELL</v>
      </c>
      <c r="K484" s="8" t="s">
        <v>866</v>
      </c>
      <c r="L484" s="10">
        <v>-186370.8</v>
      </c>
      <c r="M484" s="10"/>
      <c r="N484" s="168">
        <f>LS[[#This Row],[Amount]]/LS[[#This Row],[Unit]]</f>
        <v>11.065835411471321</v>
      </c>
      <c r="O484" s="11">
        <f t="shared" si="86"/>
        <v>-16842</v>
      </c>
      <c r="P484" s="11">
        <f>SUMIFS(LS[[#Headers],[Unit]]:LS[[#This Row],[Unit]],LS[[#Headers],[Investor ID]]:LS[[#This Row],[Investor ID]],LS[[#This Row],[Investor ID]])</f>
        <v>-6399</v>
      </c>
      <c r="Q484" s="10">
        <v>-168420</v>
      </c>
      <c r="R484" s="6">
        <f>LS[[#This Row],[Amount]]-LS[[#This Row],[Unit Capital]]</f>
        <v>-17950.799999999988</v>
      </c>
      <c r="S48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9.8200958441354391</v>
      </c>
      <c r="T484" s="168">
        <f t="shared" si="87"/>
        <v>12.552</v>
      </c>
      <c r="U484" s="10">
        <f>IF(LS[[#This Row],[B/S]]="B",0,ABS(LS[[#This Row],[Unit]])*(LS[[#This Row],[NAV (Strike Rate)]]-INDEX(LS[NAV at Cost (Average)],MATCH(CONCATENATE(LS[[#This Row],[Frequency]]-1,LS[[#This Row],[Investor ID]]),LS[Unique Code],0),)))</f>
        <v>20980.745793070921</v>
      </c>
      <c r="V484" s="10" cm="1">
        <f t="array" ref="V484">IF(LS[[#This Row],[B/S]]="S",ABS(LS[[#This Row],[Unit]])*(INDEX(LS[NAV at Cost (Average)],MATCH(CONCATENATE((LS[[#This Row],[Frequency]]-1),LS[[#This Row],[Investor ID]]),LS[Unique Code],0),0)),0)</f>
        <v>165390.05420692905</v>
      </c>
      <c r="W484" s="10">
        <f>IF(LS[[#This Row],[BO Transfer]]="YES",LS[[#This Row],[Unit]],)</f>
        <v>0</v>
      </c>
      <c r="X484" s="3">
        <f>SUMIFS(LS[[#Headers],[BO UNIT TRANSFER]]:LS[[#This Row],[BO UNIT TRANSFER]],LS[[#Headers],[Investor ID]]:LS[[#This Row],[Investor ID]],LS[[#This Row],[Investor ID]])</f>
        <v>0</v>
      </c>
    </row>
    <row r="485" spans="2:24">
      <c r="B485" s="8">
        <v>2024</v>
      </c>
      <c r="C485" s="8">
        <v>9</v>
      </c>
      <c r="D485" s="8">
        <v>18</v>
      </c>
      <c r="E485" s="291">
        <f>DATE(LS[[#This Row],[Year]],LS[[#This Row],[Month]],LS[[#This Row],[Day]])</f>
        <v>45553</v>
      </c>
      <c r="F485" t="str" cm="1">
        <f t="array" ref="F485">INDEX(INVESTORS_LIST[INVESTOR NAME],MATCH(LS[[#This Row],[Investor ID]],INVESTORS_LIST[INVESTOR CODE],0),)</f>
        <v>SHAHRIAR MAHMOOD</v>
      </c>
      <c r="G485" s="25" t="s">
        <v>158</v>
      </c>
      <c r="H485" s="8">
        <f>COUNTIF(LS[[#Headers],[Investor ID]]:LS[[#This Row],[Investor ID]],LS[[#This Row],[Investor ID]])</f>
        <v>3</v>
      </c>
      <c r="I485" s="8" t="str">
        <f>CONCATENATE(LS[[#This Row],[Frequency]],LS[[#This Row],[Investor ID]])</f>
        <v>3A00125</v>
      </c>
      <c r="J485" s="22" t="str">
        <f>IF(LS[[#This Row],[B/S]]="B","BUY",(IF(LS[[#This Row],[B/S]]="S","SELL"," ")))</f>
        <v>SELL</v>
      </c>
      <c r="K485" s="8" t="s">
        <v>866</v>
      </c>
      <c r="L485" s="10">
        <v>-168941.77</v>
      </c>
      <c r="M485" s="10"/>
      <c r="N485" s="168">
        <f>LS[[#This Row],[Amount]]/LS[[#This Row],[Unit]]</f>
        <v>11.010999804471094</v>
      </c>
      <c r="O485" s="11">
        <f t="shared" si="86"/>
        <v>-15343</v>
      </c>
      <c r="P485" s="11">
        <f>SUMIFS(LS[[#Headers],[Unit]]:LS[[#This Row],[Unit]],LS[[#Headers],[Investor ID]]:LS[[#This Row],[Investor ID]],LS[[#This Row],[Investor ID]])</f>
        <v>0</v>
      </c>
      <c r="Q485" s="10">
        <v>-153430</v>
      </c>
      <c r="R485" s="6">
        <f>LS[[#This Row],[Amount]]-LS[[#This Row],[Unit Capital]]</f>
        <v>-15511.76999999999</v>
      </c>
      <c r="S48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85" s="168">
        <f t="shared" si="87"/>
        <v>12.552</v>
      </c>
      <c r="U485" s="10">
        <f>IF(LS[[#This Row],[B/S]]="B",0,ABS(LS[[#This Row],[Unit]])*(LS[[#This Row],[NAV (Strike Rate)]]-INDEX(LS[NAV at Cost (Average)],MATCH(CONCATENATE(LS[[#This Row],[Frequency]]-1,LS[[#This Row],[Investor ID]]),LS[Unique Code],0),)))</f>
        <v>15566.769999999984</v>
      </c>
      <c r="V485" s="10" cm="1">
        <f t="array" ref="V485">IF(LS[[#This Row],[B/S]]="S",ABS(LS[[#This Row],[Unit]])*(INDEX(LS[NAV at Cost (Average)],MATCH(CONCATENATE((LS[[#This Row],[Frequency]]-1),LS[[#This Row],[Investor ID]]),LS[Unique Code],0),0)),0)</f>
        <v>153375</v>
      </c>
      <c r="W485" s="10">
        <f>IF(LS[[#This Row],[BO Transfer]]="YES",LS[[#This Row],[Unit]],)</f>
        <v>0</v>
      </c>
      <c r="X485" s="3">
        <f>SUMIFS(LS[[#Headers],[BO UNIT TRANSFER]]:LS[[#This Row],[BO UNIT TRANSFER]],LS[[#Headers],[Investor ID]]:LS[[#This Row],[Investor ID]],LS[[#This Row],[Investor ID]])</f>
        <v>0</v>
      </c>
    </row>
    <row r="486" spans="2:24">
      <c r="B486" s="8">
        <v>2024</v>
      </c>
      <c r="C486" s="8">
        <v>9</v>
      </c>
      <c r="D486" s="8">
        <v>22</v>
      </c>
      <c r="E486" s="291">
        <f>DATE(LS[[#This Row],[Year]],LS[[#This Row],[Month]],LS[[#This Row],[Day]])</f>
        <v>45557</v>
      </c>
      <c r="F486" t="str" cm="1">
        <f t="array" ref="F486">INDEX(INVESTORS_LIST[INVESTOR NAME],MATCH(LS[[#This Row],[Investor ID]],INVESTORS_LIST[INVESTOR CODE],0),)</f>
        <v>ASHUTOSH TALUKDER</v>
      </c>
      <c r="G486" s="19" t="s">
        <v>178</v>
      </c>
      <c r="H486" s="8">
        <f>COUNTIF(LS[[#Headers],[Investor ID]]:LS[[#This Row],[Investor ID]],LS[[#This Row],[Investor ID]])</f>
        <v>4</v>
      </c>
      <c r="I486" s="8" t="str">
        <f>CONCATENATE(LS[[#This Row],[Frequency]],LS[[#This Row],[Investor ID]])</f>
        <v>4A00145</v>
      </c>
      <c r="J486" s="22" t="str">
        <f>IF(LS[[#This Row],[B/S]]="B","BUY",(IF(LS[[#This Row],[B/S]]="S","SELL"," ")))</f>
        <v>BUY</v>
      </c>
      <c r="K486" s="8" t="s">
        <v>301</v>
      </c>
      <c r="L486" s="10">
        <v>71383</v>
      </c>
      <c r="M486" s="10"/>
      <c r="N486" s="168">
        <f>LS[[#This Row],[Amount]]/LS[[#This Row],[Unit]]</f>
        <v>11.155336771370527</v>
      </c>
      <c r="O486" s="11">
        <f t="shared" si="86"/>
        <v>6399</v>
      </c>
      <c r="P486" s="11">
        <f>SUMIFS(LS[[#Headers],[Unit]]:LS[[#This Row],[Unit]],LS[[#Headers],[Investor ID]]:LS[[#This Row],[Investor ID]],LS[[#This Row],[Investor ID]])</f>
        <v>0</v>
      </c>
      <c r="Q486" s="10">
        <v>63990</v>
      </c>
      <c r="R486" s="6">
        <f>LS[[#This Row],[Amount]]-LS[[#This Row],[Unit Capital]]</f>
        <v>7393</v>
      </c>
      <c r="S48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86" s="168">
        <f t="shared" si="87"/>
        <v>12.552</v>
      </c>
      <c r="U48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86" s="10" cm="1">
        <f t="array" ref="V486">IF(LS[[#This Row],[B/S]]="S",ABS(LS[[#This Row],[Unit]])*(INDEX(LS[NAV at Cost (Average)],MATCH(CONCATENATE((LS[[#This Row],[Frequency]]-1),LS[[#This Row],[Investor ID]]),LS[Unique Code],0),0)),0)</f>
        <v>0</v>
      </c>
      <c r="W486" s="10">
        <f>IF(LS[[#This Row],[BO Transfer]]="YES",LS[[#This Row],[Unit]],)</f>
        <v>0</v>
      </c>
      <c r="X486" s="3">
        <f>SUMIFS(LS[[#Headers],[BO UNIT TRANSFER]]:LS[[#This Row],[BO UNIT TRANSFER]],LS[[#Headers],[Investor ID]]:LS[[#This Row],[Investor ID]],LS[[#This Row],[Investor ID]])</f>
        <v>0</v>
      </c>
    </row>
    <row r="487" spans="2:24">
      <c r="B487" s="8">
        <v>2024</v>
      </c>
      <c r="C487" s="8">
        <v>10</v>
      </c>
      <c r="D487" s="8">
        <v>17</v>
      </c>
      <c r="E487" s="291">
        <f>DATE(LS[[#This Row],[Year]],LS[[#This Row],[Month]],LS[[#This Row],[Day]])</f>
        <v>45582</v>
      </c>
      <c r="F487" t="str" cm="1">
        <f t="array" ref="F487">INDEX(INVESTORS_LIST[INVESTOR NAME],MATCH(LS[[#This Row],[Investor ID]],INVESTORS_LIST[INVESTOR CODE],0),)</f>
        <v>THE GSP FINANCE COMPANY (BANGLADESH) LIMITED EMPLOYEES PROVIDENT FUND</v>
      </c>
      <c r="G487" s="19" t="s">
        <v>579</v>
      </c>
      <c r="H487" s="8">
        <f>COUNTIF(LS[[#Headers],[Investor ID]]:LS[[#This Row],[Investor ID]],LS[[#This Row],[Investor ID]])</f>
        <v>3</v>
      </c>
      <c r="I487" s="8" t="str">
        <f>CONCATENATE(LS[[#This Row],[Frequency]],LS[[#This Row],[Investor ID]])</f>
        <v>3A00326</v>
      </c>
      <c r="J487" s="22" t="str">
        <f>IF(LS[[#This Row],[B/S]]="B","BUY",(IF(LS[[#This Row],[B/S]]="S","SELL"," ")))</f>
        <v>SELL</v>
      </c>
      <c r="K487" s="8" t="s">
        <v>866</v>
      </c>
      <c r="L487" s="10">
        <v>-3248400</v>
      </c>
      <c r="M487" s="10"/>
      <c r="N487" s="168">
        <f>LS[[#This Row],[Amount]]/LS[[#This Row],[Unit]]</f>
        <v>10.827999999999999</v>
      </c>
      <c r="O487" s="11">
        <f t="shared" ref="O487:O492" si="88">Q487/10</f>
        <v>-300000</v>
      </c>
      <c r="P487" s="11">
        <f>SUMIFS(LS[[#Headers],[Unit]]:LS[[#This Row],[Unit]],LS[[#Headers],[Investor ID]]:LS[[#This Row],[Investor ID]],LS[[#This Row],[Investor ID]])</f>
        <v>0</v>
      </c>
      <c r="Q487" s="10">
        <v>-3000000</v>
      </c>
      <c r="R487" s="6">
        <f>LS[[#This Row],[Amount]]-LS[[#This Row],[Unit Capital]]</f>
        <v>-248400</v>
      </c>
      <c r="S48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87" s="168">
        <f t="shared" ref="T487:T492" si="89">IFERROR(NAV_MKT,0)</f>
        <v>12.552</v>
      </c>
      <c r="U487" s="10">
        <f>IF(LS[[#This Row],[B/S]]="B",0,ABS(LS[[#This Row],[Unit]])*(LS[[#This Row],[NAV (Strike Rate)]]-INDEX(LS[NAV at Cost (Average)],MATCH(CONCATENATE(LS[[#This Row],[Frequency]]-1,LS[[#This Row],[Investor ID]]),LS[Unique Code],0),)))</f>
        <v>248399.99999999983</v>
      </c>
      <c r="V487" s="10" cm="1">
        <f t="array" ref="V487">IF(LS[[#This Row],[B/S]]="S",ABS(LS[[#This Row],[Unit]])*(INDEX(LS[NAV at Cost (Average)],MATCH(CONCATENATE((LS[[#This Row],[Frequency]]-1),LS[[#This Row],[Investor ID]]),LS[Unique Code],0),0)),0)</f>
        <v>3000000</v>
      </c>
      <c r="W487" s="10">
        <f>IF(LS[[#This Row],[BO Transfer]]="YES",LS[[#This Row],[Unit]],)</f>
        <v>0</v>
      </c>
      <c r="X487" s="3">
        <f>SUMIFS(LS[[#Headers],[BO UNIT TRANSFER]]:LS[[#This Row],[BO UNIT TRANSFER]],LS[[#Headers],[Investor ID]]:LS[[#This Row],[Investor ID]],LS[[#This Row],[Investor ID]])</f>
        <v>0</v>
      </c>
    </row>
    <row r="488" spans="2:24">
      <c r="B488" s="8">
        <v>2024</v>
      </c>
      <c r="C488" s="8">
        <v>10</v>
      </c>
      <c r="D488" s="8">
        <v>21</v>
      </c>
      <c r="E488" s="291">
        <f>DATE(LS[[#This Row],[Year]],LS[[#This Row],[Month]],LS[[#This Row],[Day]])</f>
        <v>45586</v>
      </c>
      <c r="F488" t="str" cm="1">
        <f t="array" ref="F488">INDEX(INVESTORS_LIST[INVESTOR NAME],MATCH(LS[[#This Row],[Investor ID]],INVESTORS_LIST[INVESTOR CODE],0),)</f>
        <v>MD GOLAM SHAON</v>
      </c>
      <c r="G488" s="19" t="s">
        <v>1327</v>
      </c>
      <c r="H488" s="8">
        <f>COUNTIF(LS[[#Headers],[Investor ID]]:LS[[#This Row],[Investor ID]],LS[[#This Row],[Investor ID]])</f>
        <v>2</v>
      </c>
      <c r="I488" s="8" t="str">
        <f>CONCATENATE(LS[[#This Row],[Frequency]],LS[[#This Row],[Investor ID]])</f>
        <v>2A00567</v>
      </c>
      <c r="J488" s="22" t="str">
        <f>IF(LS[[#This Row],[B/S]]="B","BUY",(IF(LS[[#This Row],[B/S]]="S","SELL"," ")))</f>
        <v>SELL</v>
      </c>
      <c r="K488" s="8" t="s">
        <v>866</v>
      </c>
      <c r="L488" s="10">
        <v>-79157.8</v>
      </c>
      <c r="M488" s="10"/>
      <c r="N488" s="168">
        <f>LS[[#This Row],[Amount]]/LS[[#This Row],[Unit]]</f>
        <v>10.697000000000001</v>
      </c>
      <c r="O488" s="11">
        <f t="shared" si="88"/>
        <v>-7400</v>
      </c>
      <c r="P488" s="11">
        <f>SUMIFS(LS[[#Headers],[Unit]]:LS[[#This Row],[Unit]],LS[[#Headers],[Investor ID]]:LS[[#This Row],[Investor ID]],LS[[#This Row],[Investor ID]])</f>
        <v>5802</v>
      </c>
      <c r="Q488" s="10">
        <v>-74000</v>
      </c>
      <c r="R488" s="6">
        <f>LS[[#This Row],[Amount]]-LS[[#This Row],[Unit Capital]]</f>
        <v>-5157.8000000000029</v>
      </c>
      <c r="S48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9.8469928798666864</v>
      </c>
      <c r="T488" s="168">
        <f t="shared" si="89"/>
        <v>12.552</v>
      </c>
      <c r="U488" s="10">
        <f>IF(LS[[#This Row],[B/S]]="B",0,ABS(LS[[#This Row],[Unit]])*(LS[[#This Row],[NAV (Strike Rate)]]-INDEX(LS[NAV at Cost (Average)],MATCH(CONCATENATE(LS[[#This Row],[Frequency]]-1,LS[[#This Row],[Investor ID]]),LS[Unique Code],0),)))</f>
        <v>6290.0526889865278</v>
      </c>
      <c r="V488" s="10" cm="1">
        <f t="array" ref="V488">IF(LS[[#This Row],[B/S]]="S",ABS(LS[[#This Row],[Unit]])*(INDEX(LS[NAV at Cost (Average)],MATCH(CONCATENATE((LS[[#This Row],[Frequency]]-1),LS[[#This Row],[Investor ID]]),LS[Unique Code],0),0)),0)</f>
        <v>72867.747311013474</v>
      </c>
      <c r="W488" s="10">
        <f>IF(LS[[#This Row],[BO Transfer]]="YES",LS[[#This Row],[Unit]],)</f>
        <v>0</v>
      </c>
      <c r="X488" s="3">
        <f>SUMIFS(LS[[#Headers],[BO UNIT TRANSFER]]:LS[[#This Row],[BO UNIT TRANSFER]],LS[[#Headers],[Investor ID]]:LS[[#This Row],[Investor ID]],LS[[#This Row],[Investor ID]])</f>
        <v>0</v>
      </c>
    </row>
    <row r="489" spans="2:24">
      <c r="B489" s="8">
        <v>2024</v>
      </c>
      <c r="C489" s="8">
        <v>10</v>
      </c>
      <c r="D489" s="8">
        <v>21</v>
      </c>
      <c r="E489" s="291">
        <f>DATE(LS[[#This Row],[Year]],LS[[#This Row],[Month]],LS[[#This Row],[Day]])</f>
        <v>45586</v>
      </c>
      <c r="F489" t="str" cm="1">
        <f t="array" ref="F489">INDEX(INVESTORS_LIST[INVESTOR NAME],MATCH(LS[[#This Row],[Investor ID]],INVESTORS_LIST[INVESTOR CODE],0),)</f>
        <v>PHOENIX FINANCE &amp; INVESTMENTS LTD</v>
      </c>
      <c r="G489" s="19" t="s">
        <v>205</v>
      </c>
      <c r="H489" s="8">
        <f>COUNTIF(LS[[#Headers],[Investor ID]]:LS[[#This Row],[Investor ID]],LS[[#This Row],[Investor ID]])</f>
        <v>5</v>
      </c>
      <c r="I489" s="8" t="str">
        <f>CONCATENATE(LS[[#This Row],[Frequency]],LS[[#This Row],[Investor ID]])</f>
        <v>5A00172</v>
      </c>
      <c r="J489" s="22" t="str">
        <f>IF(LS[[#This Row],[B/S]]="B","BUY",(IF(LS[[#This Row],[B/S]]="S","SELL"," ")))</f>
        <v>SELL</v>
      </c>
      <c r="K489" s="8" t="s">
        <v>866</v>
      </c>
      <c r="L489" s="10">
        <v>-2500000</v>
      </c>
      <c r="M489" s="10"/>
      <c r="N489" s="168">
        <f>LS[[#This Row],[Amount]]/LS[[#This Row],[Unit]]</f>
        <v>10.971023333172425</v>
      </c>
      <c r="O489" s="11">
        <f t="shared" si="88"/>
        <v>-227873</v>
      </c>
      <c r="P489" s="11">
        <f>SUMIFS(LS[[#Headers],[Unit]]:LS[[#This Row],[Unit]],LS[[#Headers],[Investor ID]]:LS[[#This Row],[Investor ID]],LS[[#This Row],[Investor ID]])</f>
        <v>306025</v>
      </c>
      <c r="Q489" s="10">
        <v>-2278730</v>
      </c>
      <c r="R489" s="6">
        <f>LS[[#This Row],[Amount]]-LS[[#This Row],[Unit Capital]]</f>
        <v>-221270</v>
      </c>
      <c r="S48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9.9943809491700666</v>
      </c>
      <c r="T489" s="168">
        <f t="shared" si="89"/>
        <v>12.552</v>
      </c>
      <c r="U489" s="10">
        <f>IF(LS[[#This Row],[B/S]]="B",0,ABS(LS[[#This Row],[Unit]])*(LS[[#This Row],[NAV (Strike Rate)]]-INDEX(LS[NAV at Cost (Average)],MATCH(CONCATENATE(LS[[#This Row],[Frequency]]-1,LS[[#This Row],[Investor ID]]),LS[Unique Code],0),)))</f>
        <v>222550.4299697695</v>
      </c>
      <c r="V489" s="10" cm="1">
        <f t="array" ref="V489">IF(LS[[#This Row],[B/S]]="S",ABS(LS[[#This Row],[Unit]])*(INDEX(LS[NAV at Cost (Average)],MATCH(CONCATENATE((LS[[#This Row],[Frequency]]-1),LS[[#This Row],[Investor ID]]),LS[Unique Code],0),0)),0)</f>
        <v>2277449.5700302306</v>
      </c>
      <c r="W489" s="10">
        <f>IF(LS[[#This Row],[BO Transfer]]="YES",LS[[#This Row],[Unit]],)</f>
        <v>0</v>
      </c>
      <c r="X489" s="3">
        <f>SUMIFS(LS[[#Headers],[BO UNIT TRANSFER]]:LS[[#This Row],[BO UNIT TRANSFER]],LS[[#Headers],[Investor ID]]:LS[[#This Row],[Investor ID]],LS[[#This Row],[Investor ID]])</f>
        <v>0</v>
      </c>
    </row>
    <row r="490" spans="2:24">
      <c r="B490" s="8">
        <v>2024</v>
      </c>
      <c r="C490" s="8">
        <v>10</v>
      </c>
      <c r="D490" s="8">
        <v>29</v>
      </c>
      <c r="E490" s="291">
        <f>DATE(LS[[#This Row],[Year]],LS[[#This Row],[Month]],LS[[#This Row],[Day]])</f>
        <v>45594</v>
      </c>
      <c r="F490" t="str" cm="1">
        <f t="array" ref="F490">INDEX(INVESTORS_LIST[INVESTOR NAME],MATCH(LS[[#This Row],[Investor ID]],INVESTORS_LIST[INVESTOR CODE],0),)</f>
        <v>BILKISS ARA</v>
      </c>
      <c r="G490" s="19" t="s">
        <v>81</v>
      </c>
      <c r="H490" s="8">
        <f>COUNTIF(LS[[#Headers],[Investor ID]]:LS[[#This Row],[Investor ID]],LS[[#This Row],[Investor ID]])</f>
        <v>4</v>
      </c>
      <c r="I490" s="8" t="str">
        <f>CONCATENATE(LS[[#This Row],[Frequency]],LS[[#This Row],[Investor ID]])</f>
        <v>4A00073</v>
      </c>
      <c r="J490" s="23" t="str">
        <f>IF(LS[[#This Row],[B/S]]="B","BUY",(IF(LS[[#This Row],[B/S]]="S","SELL"," ")))</f>
        <v>BUY</v>
      </c>
      <c r="K490" s="8" t="s">
        <v>301</v>
      </c>
      <c r="L490" s="10">
        <v>1050000</v>
      </c>
      <c r="M490" s="3" t="s">
        <v>957</v>
      </c>
      <c r="N490" s="168">
        <f>LS[[#This Row],[Amount]]/LS[[#This Row],[Unit]]</f>
        <v>10.548947114611799</v>
      </c>
      <c r="O490" s="11">
        <f t="shared" si="88"/>
        <v>99536</v>
      </c>
      <c r="P490" s="11">
        <f>SUMIFS(LS[[#Headers],[Unit]]:LS[[#This Row],[Unit]],LS[[#Headers],[Investor ID]]:LS[[#This Row],[Investor ID]],LS[[#This Row],[Investor ID]])</f>
        <v>99536</v>
      </c>
      <c r="Q490" s="10">
        <v>995360</v>
      </c>
      <c r="R490" s="6">
        <f>LS[[#This Row],[Amount]]-LS[[#This Row],[Unit Capital]]</f>
        <v>54640</v>
      </c>
      <c r="S49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10.548947114611799</v>
      </c>
      <c r="T490" s="168">
        <f t="shared" si="89"/>
        <v>12.552</v>
      </c>
      <c r="U49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90" s="10" cm="1">
        <f t="array" ref="V490">IF(LS[[#This Row],[B/S]]="S",ABS(LS[[#This Row],[Unit]])*(INDEX(LS[NAV at Cost (Average)],MATCH(CONCATENATE((LS[[#This Row],[Frequency]]-1),LS[[#This Row],[Investor ID]]),LS[Unique Code],0),0)),0)</f>
        <v>0</v>
      </c>
      <c r="W490" s="10">
        <f>IF(LS[[#This Row],[BO Transfer]]="YES",LS[[#This Row],[Unit]],)</f>
        <v>99536</v>
      </c>
      <c r="X490" s="3">
        <f>SUMIFS(LS[[#Headers],[BO UNIT TRANSFER]]:LS[[#This Row],[BO UNIT TRANSFER]],LS[[#Headers],[Investor ID]]:LS[[#This Row],[Investor ID]],LS[[#This Row],[Investor ID]])</f>
        <v>99536</v>
      </c>
    </row>
    <row r="491" spans="2:24">
      <c r="B491" s="8">
        <v>2024</v>
      </c>
      <c r="C491" s="8">
        <v>10</v>
      </c>
      <c r="D491" s="8">
        <v>29</v>
      </c>
      <c r="E491" s="291">
        <f>DATE(LS[[#This Row],[Year]],LS[[#This Row],[Month]],LS[[#This Row],[Day]])</f>
        <v>45594</v>
      </c>
      <c r="F491" t="str" cm="1">
        <f t="array" ref="F491">INDEX(INVESTORS_LIST[INVESTOR NAME],MATCH(LS[[#This Row],[Investor ID]],INVESTORS_LIST[INVESTOR CODE],0),)</f>
        <v>MORSHEDA MIM</v>
      </c>
      <c r="G491" s="19" t="s">
        <v>10</v>
      </c>
      <c r="H491" s="8">
        <f>COUNTIF(LS[[#Headers],[Investor ID]]:LS[[#This Row],[Investor ID]],LS[[#This Row],[Investor ID]])</f>
        <v>1</v>
      </c>
      <c r="I491" s="8" t="str">
        <f>CONCATENATE(LS[[#This Row],[Frequency]],LS[[#This Row],[Investor ID]])</f>
        <v>1A00005</v>
      </c>
      <c r="J491" s="23" t="str">
        <f>IF(LS[[#This Row],[B/S]]="B","BUY",(IF(LS[[#This Row],[B/S]]="S","SELL"," ")))</f>
        <v>BUY</v>
      </c>
      <c r="K491" s="8" t="s">
        <v>301</v>
      </c>
      <c r="L491" s="10">
        <v>630000</v>
      </c>
      <c r="M491" s="10"/>
      <c r="N491" s="168">
        <f>LS[[#This Row],[Amount]]/LS[[#This Row],[Unit]]</f>
        <v>10.549053096900588</v>
      </c>
      <c r="O491" s="11">
        <f t="shared" si="88"/>
        <v>59721</v>
      </c>
      <c r="P491" s="11">
        <f>SUMIFS(LS[[#Headers],[Unit]]:LS[[#This Row],[Unit]],LS[[#Headers],[Investor ID]]:LS[[#This Row],[Investor ID]],LS[[#This Row],[Investor ID]])</f>
        <v>59721</v>
      </c>
      <c r="Q491" s="10">
        <v>597210</v>
      </c>
      <c r="R491" s="6">
        <f>LS[[#This Row],[Amount]]-LS[[#This Row],[Unit Capital]]</f>
        <v>32790</v>
      </c>
      <c r="S49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10.549053096900588</v>
      </c>
      <c r="T491" s="168">
        <f t="shared" si="89"/>
        <v>12.552</v>
      </c>
      <c r="U49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91" s="10" cm="1">
        <f t="array" ref="V491">IF(LS[[#This Row],[B/S]]="S",ABS(LS[[#This Row],[Unit]])*(INDEX(LS[NAV at Cost (Average)],MATCH(CONCATENATE((LS[[#This Row],[Frequency]]-1),LS[[#This Row],[Investor ID]]),LS[Unique Code],0),0)),0)</f>
        <v>0</v>
      </c>
      <c r="W491" s="10">
        <f>IF(LS[[#This Row],[BO Transfer]]="YES",LS[[#This Row],[Unit]],)</f>
        <v>0</v>
      </c>
      <c r="X491" s="3">
        <f>SUMIFS(LS[[#Headers],[BO UNIT TRANSFER]]:LS[[#This Row],[BO UNIT TRANSFER]],LS[[#Headers],[Investor ID]]:LS[[#This Row],[Investor ID]],LS[[#This Row],[Investor ID]])</f>
        <v>0</v>
      </c>
    </row>
    <row r="492" spans="2:24">
      <c r="B492" s="8">
        <v>2024</v>
      </c>
      <c r="C492" s="8">
        <v>10</v>
      </c>
      <c r="D492" s="8">
        <v>29</v>
      </c>
      <c r="E492" s="291">
        <f>DATE(LS[[#This Row],[Year]],LS[[#This Row],[Month]],LS[[#This Row],[Day]])</f>
        <v>45594</v>
      </c>
      <c r="F492" t="str" cm="1">
        <f t="array" ref="F492">INDEX(INVESTORS_LIST[INVESTOR NAME],MATCH(LS[[#This Row],[Investor ID]],INVESTORS_LIST[INVESTOR CODE],0),)</f>
        <v>KAZI AHSAN MARUF</v>
      </c>
      <c r="G492" s="19" t="s">
        <v>62</v>
      </c>
      <c r="H492" s="8">
        <f>COUNTIF(LS[[#Headers],[Investor ID]]:LS[[#This Row],[Investor ID]],LS[[#This Row],[Investor ID]])</f>
        <v>8</v>
      </c>
      <c r="I492" s="8" t="str">
        <f>CONCATENATE(LS[[#This Row],[Frequency]],LS[[#This Row],[Investor ID]])</f>
        <v>8A00055</v>
      </c>
      <c r="J492" s="23" t="str">
        <f>IF(LS[[#This Row],[B/S]]="B","BUY",(IF(LS[[#This Row],[B/S]]="S","SELL"," ")))</f>
        <v>BUY</v>
      </c>
      <c r="K492" s="8" t="s">
        <v>301</v>
      </c>
      <c r="L492" s="10">
        <v>1450000</v>
      </c>
      <c r="M492" s="10"/>
      <c r="N492" s="168">
        <f>LS[[#This Row],[Amount]]/LS[[#This Row],[Unit]]</f>
        <v>10.548983659988069</v>
      </c>
      <c r="O492" s="11">
        <f t="shared" si="88"/>
        <v>137454</v>
      </c>
      <c r="P492" s="11">
        <f>SUMIFS(LS[[#Headers],[Unit]]:LS[[#This Row],[Unit]],LS[[#Headers],[Investor ID]]:LS[[#This Row],[Investor ID]],LS[[#This Row],[Investor ID]])</f>
        <v>167018</v>
      </c>
      <c r="Q492" s="10">
        <v>1374540</v>
      </c>
      <c r="R492" s="6">
        <f>LS[[#This Row],[Amount]]-LS[[#This Row],[Unit Capital]]</f>
        <v>75460</v>
      </c>
      <c r="S49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10.473259633374109</v>
      </c>
      <c r="T492" s="168">
        <f t="shared" si="89"/>
        <v>12.552</v>
      </c>
      <c r="U49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92" s="10" cm="1">
        <f t="array" ref="V492">IF(LS[[#This Row],[B/S]]="S",ABS(LS[[#This Row],[Unit]])*(INDEX(LS[NAV at Cost (Average)],MATCH(CONCATENATE((LS[[#This Row],[Frequency]]-1),LS[[#This Row],[Investor ID]]),LS[Unique Code],0),0)),0)</f>
        <v>0</v>
      </c>
      <c r="W492" s="10">
        <f>IF(LS[[#This Row],[BO Transfer]]="YES",LS[[#This Row],[Unit]],)</f>
        <v>0</v>
      </c>
      <c r="X492" s="3">
        <f>SUMIFS(LS[[#Headers],[BO UNIT TRANSFER]]:LS[[#This Row],[BO UNIT TRANSFER]],LS[[#Headers],[Investor ID]]:LS[[#This Row],[Investor ID]],LS[[#This Row],[Investor ID]])</f>
        <v>0</v>
      </c>
    </row>
    <row r="493" spans="2:24">
      <c r="B493" s="8">
        <v>2024</v>
      </c>
      <c r="C493" s="8">
        <v>10</v>
      </c>
      <c r="D493" s="8">
        <v>31</v>
      </c>
      <c r="E493" s="291">
        <f>DATE(LS[[#This Row],[Year]],LS[[#This Row],[Month]],LS[[#This Row],[Day]])</f>
        <v>45596</v>
      </c>
      <c r="F493" t="str" cm="1">
        <f t="array" ref="F493">INDEX(INVESTORS_LIST[INVESTOR NAME],MATCH(LS[[#This Row],[Investor ID]],INVESTORS_LIST[INVESTOR CODE],0),)</f>
        <v>TANIA AKTER</v>
      </c>
      <c r="G493" s="19" t="s">
        <v>1214</v>
      </c>
      <c r="H493" s="8">
        <f>COUNTIF(LS[[#Headers],[Investor ID]]:LS[[#This Row],[Investor ID]],LS[[#This Row],[Investor ID]])</f>
        <v>1</v>
      </c>
      <c r="I493" s="8" t="str">
        <f>CONCATENATE(LS[[#This Row],[Frequency]],LS[[#This Row],[Investor ID]])</f>
        <v>1A00512</v>
      </c>
      <c r="J493" s="23" t="str">
        <f>IF(LS[[#This Row],[B/S]]="B","BUY",(IF(LS[[#This Row],[B/S]]="S","SELL"," ")))</f>
        <v>BUY</v>
      </c>
      <c r="K493" s="8" t="s">
        <v>301</v>
      </c>
      <c r="L493" s="10">
        <v>1950000</v>
      </c>
      <c r="M493" s="10"/>
      <c r="N493" s="168">
        <f>LS[[#This Row],[Amount]]/LS[[#This Row],[Unit]]</f>
        <v>10.548979724319997</v>
      </c>
      <c r="O493" s="11">
        <f t="shared" ref="O493:O498" si="90">Q493/10</f>
        <v>184852</v>
      </c>
      <c r="P493" s="11">
        <f>SUMIFS(LS[[#Headers],[Unit]]:LS[[#This Row],[Unit]],LS[[#Headers],[Investor ID]]:LS[[#This Row],[Investor ID]],LS[[#This Row],[Investor ID]])</f>
        <v>184852</v>
      </c>
      <c r="Q493" s="10">
        <v>1848520</v>
      </c>
      <c r="R493" s="6">
        <f>LS[[#This Row],[Amount]]-LS[[#This Row],[Unit Capital]]</f>
        <v>101480</v>
      </c>
      <c r="S49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10.548979724319997</v>
      </c>
      <c r="T493" s="168">
        <f t="shared" ref="T493:T498" si="91">IFERROR(NAV_MKT,0)</f>
        <v>12.552</v>
      </c>
      <c r="U49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93" s="10" cm="1">
        <f t="array" ref="V493">IF(LS[[#This Row],[B/S]]="S",ABS(LS[[#This Row],[Unit]])*(INDEX(LS[NAV at Cost (Average)],MATCH(CONCATENATE((LS[[#This Row],[Frequency]]-1),LS[[#This Row],[Investor ID]]),LS[Unique Code],0),0)),0)</f>
        <v>0</v>
      </c>
      <c r="W493" s="10">
        <f>IF(LS[[#This Row],[BO Transfer]]="YES",LS[[#This Row],[Unit]],)</f>
        <v>0</v>
      </c>
      <c r="X493" s="3">
        <f>SUMIFS(LS[[#Headers],[BO UNIT TRANSFER]]:LS[[#This Row],[BO UNIT TRANSFER]],LS[[#Headers],[Investor ID]]:LS[[#This Row],[Investor ID]],LS[[#This Row],[Investor ID]])</f>
        <v>0</v>
      </c>
    </row>
    <row r="494" spans="2:24">
      <c r="B494" s="8">
        <v>2024</v>
      </c>
      <c r="C494" s="8">
        <v>10</v>
      </c>
      <c r="D494" s="8">
        <v>31</v>
      </c>
      <c r="E494" s="291">
        <f>DATE(LS[[#This Row],[Year]],LS[[#This Row],[Month]],LS[[#This Row],[Day]])</f>
        <v>45596</v>
      </c>
      <c r="F494" t="str" cm="1">
        <f t="array" ref="F494">INDEX(INVESTORS_LIST[INVESTOR NAME],MATCH(LS[[#This Row],[Investor ID]],INVESTORS_LIST[INVESTOR CODE],0),)</f>
        <v>SHUVA SAHA</v>
      </c>
      <c r="G494" s="19" t="s">
        <v>60</v>
      </c>
      <c r="H494" s="8">
        <f>COUNTIF(LS[[#Headers],[Investor ID]]:LS[[#This Row],[Investor ID]],LS[[#This Row],[Investor ID]])</f>
        <v>13</v>
      </c>
      <c r="I494" s="8" t="str">
        <f>CONCATENATE(LS[[#This Row],[Frequency]],LS[[#This Row],[Investor ID]])</f>
        <v>13A00053</v>
      </c>
      <c r="J494" s="23" t="str">
        <f>IF(LS[[#This Row],[B/S]]="B","BUY",(IF(LS[[#This Row],[B/S]]="S","SELL"," ")))</f>
        <v>BUY</v>
      </c>
      <c r="K494" s="8" t="s">
        <v>301</v>
      </c>
      <c r="L494" s="10">
        <v>1000000</v>
      </c>
      <c r="M494" s="10"/>
      <c r="N494" s="168">
        <f>LS[[#This Row],[Amount]]/LS[[#This Row],[Unit]]</f>
        <v>10.548968310899195</v>
      </c>
      <c r="O494" s="11">
        <f t="shared" si="90"/>
        <v>94796</v>
      </c>
      <c r="P494" s="11">
        <f>SUMIFS(LS[[#Headers],[Unit]]:LS[[#This Row],[Unit]],LS[[#Headers],[Investor ID]]:LS[[#This Row],[Investor ID]],LS[[#This Row],[Investor ID]])</f>
        <v>294644</v>
      </c>
      <c r="Q494" s="10">
        <v>947960</v>
      </c>
      <c r="R494" s="6">
        <f>LS[[#This Row],[Amount]]-LS[[#This Row],[Unit Capital]]</f>
        <v>52040</v>
      </c>
      <c r="S49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10.138895498772461</v>
      </c>
      <c r="T494" s="168">
        <f t="shared" si="91"/>
        <v>12.552</v>
      </c>
      <c r="U49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94" s="10" cm="1">
        <f t="array" ref="V494">IF(LS[[#This Row],[B/S]]="S",ABS(LS[[#This Row],[Unit]])*(INDEX(LS[NAV at Cost (Average)],MATCH(CONCATENATE((LS[[#This Row],[Frequency]]-1),LS[[#This Row],[Investor ID]]),LS[Unique Code],0),0)),0)</f>
        <v>0</v>
      </c>
      <c r="W494" s="10">
        <f>IF(LS[[#This Row],[BO Transfer]]="YES",LS[[#This Row],[Unit]],)</f>
        <v>0</v>
      </c>
      <c r="X494" s="3">
        <f>SUMIFS(LS[[#Headers],[BO UNIT TRANSFER]]:LS[[#This Row],[BO UNIT TRANSFER]],LS[[#Headers],[Investor ID]]:LS[[#This Row],[Investor ID]],LS[[#This Row],[Investor ID]])</f>
        <v>0</v>
      </c>
    </row>
    <row r="495" spans="2:24">
      <c r="B495" s="8">
        <v>2024</v>
      </c>
      <c r="C495" s="8">
        <v>10</v>
      </c>
      <c r="D495" s="8">
        <v>31</v>
      </c>
      <c r="E495" s="291">
        <f>DATE(LS[[#This Row],[Year]],LS[[#This Row],[Month]],LS[[#This Row],[Day]])</f>
        <v>45596</v>
      </c>
      <c r="F495" t="str" cm="1">
        <f t="array" ref="F495">INDEX(INVESTORS_LIST[INVESTOR NAME],MATCH(LS[[#This Row],[Investor ID]],INVESTORS_LIST[INVESTOR CODE],0),)</f>
        <v>EKUSH WEALTH MANAGEMENT LIMITED</v>
      </c>
      <c r="G495" s="19" t="s">
        <v>4</v>
      </c>
      <c r="H495" s="8">
        <f>COUNTIF(LS[[#Headers],[Investor ID]]:LS[[#This Row],[Investor ID]],LS[[#This Row],[Investor ID]])</f>
        <v>27</v>
      </c>
      <c r="I495" s="8" t="str">
        <f>CONCATENATE(LS[[#This Row],[Frequency]],LS[[#This Row],[Investor ID]])</f>
        <v>27A00003</v>
      </c>
      <c r="J495" s="23" t="str">
        <f>IF(LS[[#This Row],[B/S]]="B","BUY",(IF(LS[[#This Row],[B/S]]="S","SELL"," ")))</f>
        <v>BUY</v>
      </c>
      <c r="K495" s="8" t="s">
        <v>301</v>
      </c>
      <c r="L495" s="10">
        <v>1000000</v>
      </c>
      <c r="M495" s="10"/>
      <c r="N495" s="168">
        <f>LS[[#This Row],[Amount]]/LS[[#This Row],[Unit]]</f>
        <v>10.548968310899195</v>
      </c>
      <c r="O495" s="11">
        <f t="shared" si="90"/>
        <v>94796</v>
      </c>
      <c r="P495" s="11">
        <f>SUMIFS(LS[[#Headers],[Unit]]:LS[[#This Row],[Unit]],LS[[#Headers],[Investor ID]]:LS[[#This Row],[Investor ID]],LS[[#This Row],[Investor ID]])</f>
        <v>2284634</v>
      </c>
      <c r="Q495" s="10">
        <v>947960</v>
      </c>
      <c r="R495" s="6">
        <f>LS[[#This Row],[Amount]]-LS[[#This Row],[Unit Capital]]</f>
        <v>52040</v>
      </c>
      <c r="S49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10.044862676930173</v>
      </c>
      <c r="T495" s="168">
        <f t="shared" si="91"/>
        <v>12.552</v>
      </c>
      <c r="U49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495" s="10" cm="1">
        <f t="array" ref="V495">IF(LS[[#This Row],[B/S]]="S",ABS(LS[[#This Row],[Unit]])*(INDEX(LS[NAV at Cost (Average)],MATCH(CONCATENATE((LS[[#This Row],[Frequency]]-1),LS[[#This Row],[Investor ID]]),LS[Unique Code],0),0)),0)</f>
        <v>0</v>
      </c>
      <c r="W495" s="10">
        <f>IF(LS[[#This Row],[BO Transfer]]="YES",LS[[#This Row],[Unit]],)</f>
        <v>0</v>
      </c>
      <c r="X495" s="3">
        <f>SUMIFS(LS[[#Headers],[BO UNIT TRANSFER]]:LS[[#This Row],[BO UNIT TRANSFER]],LS[[#Headers],[Investor ID]]:LS[[#This Row],[Investor ID]],LS[[#This Row],[Investor ID]])</f>
        <v>0</v>
      </c>
    </row>
    <row r="496" spans="2:24">
      <c r="B496" s="8">
        <v>2024</v>
      </c>
      <c r="C496" s="8">
        <v>11</v>
      </c>
      <c r="D496" s="8">
        <v>11</v>
      </c>
      <c r="E496" s="291">
        <f>DATE(LS[[#This Row],[Year]],LS[[#This Row],[Month]],LS[[#This Row],[Day]])</f>
        <v>45607</v>
      </c>
      <c r="F496" t="str" cm="1">
        <f t="array" ref="F496">INDEX(INVESTORS_LIST[INVESTOR NAME],MATCH(LS[[#This Row],[Investor ID]],INVESTORS_LIST[INVESTOR CODE],0),)</f>
        <v>FATEMA-TUZ JOHURA NILA</v>
      </c>
      <c r="G496" s="19" t="s">
        <v>309</v>
      </c>
      <c r="H496" s="8">
        <f>COUNTIF(LS[[#Headers],[Investor ID]]:LS[[#This Row],[Investor ID]],LS[[#This Row],[Investor ID]])</f>
        <v>3</v>
      </c>
      <c r="I496" s="8" t="str">
        <f>CONCATENATE(LS[[#This Row],[Frequency]],LS[[#This Row],[Investor ID]])</f>
        <v>3A00226</v>
      </c>
      <c r="J496" s="23" t="str">
        <f>IF(LS[[#This Row],[B/S]]="B","BUY",(IF(LS[[#This Row],[B/S]]="S","SELL"," ")))</f>
        <v>SELL</v>
      </c>
      <c r="K496" s="8" t="s">
        <v>866</v>
      </c>
      <c r="L496" s="10">
        <v>-220838.68</v>
      </c>
      <c r="M496" s="10"/>
      <c r="N496" s="168">
        <f>LS[[#This Row],[Amount]]/LS[[#This Row],[Unit]]</f>
        <v>10.809000048945229</v>
      </c>
      <c r="O496" s="11">
        <f t="shared" si="90"/>
        <v>-20431</v>
      </c>
      <c r="P496" s="11">
        <f>SUMIFS(LS[[#Headers],[Unit]]:LS[[#This Row],[Unit]],LS[[#Headers],[Investor ID]]:LS[[#This Row],[Investor ID]],LS[[#This Row],[Investor ID]])</f>
        <v>0</v>
      </c>
      <c r="Q496" s="10">
        <v>-204310</v>
      </c>
      <c r="R496" s="6">
        <f>LS[[#This Row],[Amount]]-LS[[#This Row],[Unit Capital]]</f>
        <v>-16528.679999999993</v>
      </c>
      <c r="S49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96" s="168">
        <f t="shared" si="91"/>
        <v>12.552</v>
      </c>
      <c r="U496" s="10">
        <f>IF(LS[[#This Row],[B/S]]="B",0,ABS(LS[[#This Row],[Unit]])*(LS[[#This Row],[NAV (Strike Rate)]]-INDEX(LS[NAV at Cost (Average)],MATCH(CONCATENATE(LS[[#This Row],[Frequency]]-1,LS[[#This Row],[Investor ID]]),LS[Unique Code],0),)))</f>
        <v>16588.679999999975</v>
      </c>
      <c r="V496" s="10" cm="1">
        <f t="array" ref="V496">IF(LS[[#This Row],[B/S]]="S",ABS(LS[[#This Row],[Unit]])*(INDEX(LS[NAV at Cost (Average)],MATCH(CONCATENATE((LS[[#This Row],[Frequency]]-1),LS[[#This Row],[Investor ID]]),LS[Unique Code],0),0)),0)</f>
        <v>204250</v>
      </c>
      <c r="W496" s="10">
        <f>IF(LS[[#This Row],[BO Transfer]]="YES",LS[[#This Row],[Unit]],)</f>
        <v>0</v>
      </c>
      <c r="X496" s="3">
        <f>SUMIFS(LS[[#Headers],[BO UNIT TRANSFER]]:LS[[#This Row],[BO UNIT TRANSFER]],LS[[#Headers],[Investor ID]]:LS[[#This Row],[Investor ID]],LS[[#This Row],[Investor ID]])</f>
        <v>0</v>
      </c>
    </row>
    <row r="497" spans="2:24">
      <c r="B497" s="8">
        <v>2024</v>
      </c>
      <c r="C497" s="8">
        <v>11</v>
      </c>
      <c r="D497" s="8">
        <v>20</v>
      </c>
      <c r="E497" s="291">
        <f>DATE(LS[[#This Row],[Year]],LS[[#This Row],[Month]],LS[[#This Row],[Day]])</f>
        <v>45616</v>
      </c>
      <c r="F497" t="str" cm="1">
        <f t="array" ref="F497">INDEX(INVESTORS_LIST[INVESTOR NAME],MATCH(LS[[#This Row],[Investor ID]],INVESTORS_LIST[INVESTOR CODE],0),)</f>
        <v>REZIA RAHMAT</v>
      </c>
      <c r="G497" s="19" t="s">
        <v>247</v>
      </c>
      <c r="H497" s="8">
        <f>COUNTIF(LS[[#Headers],[Investor ID]]:LS[[#This Row],[Investor ID]],LS[[#This Row],[Investor ID]])</f>
        <v>3</v>
      </c>
      <c r="I497" s="8" t="str">
        <f>CONCATENATE(LS[[#This Row],[Frequency]],LS[[#This Row],[Investor ID]])</f>
        <v>3A00203</v>
      </c>
      <c r="J497" s="23" t="str">
        <f>IF(LS[[#This Row],[B/S]]="B","BUY",(IF(LS[[#This Row],[B/S]]="S","SELL"," ")))</f>
        <v>SELL</v>
      </c>
      <c r="K497" s="8" t="s">
        <v>866</v>
      </c>
      <c r="L497" s="10">
        <v>-1799127.96</v>
      </c>
      <c r="M497" s="10"/>
      <c r="N497" s="168">
        <f>LS[[#This Row],[Amount]]/LS[[#This Row],[Unit]]</f>
        <v>10.82</v>
      </c>
      <c r="O497" s="11">
        <f t="shared" si="90"/>
        <v>-166278</v>
      </c>
      <c r="P497" s="11">
        <f>SUMIFS(LS[[#Headers],[Unit]]:LS[[#This Row],[Unit]],LS[[#Headers],[Investor ID]]:LS[[#This Row],[Investor ID]],LS[[#This Row],[Investor ID]])</f>
        <v>0</v>
      </c>
      <c r="Q497" s="10">
        <v>-1662780</v>
      </c>
      <c r="R497" s="6">
        <f>LS[[#This Row],[Amount]]-LS[[#This Row],[Unit Capital]]</f>
        <v>-136347.95999999996</v>
      </c>
      <c r="S49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97" s="168">
        <f t="shared" si="91"/>
        <v>12.552</v>
      </c>
      <c r="U497" s="10">
        <f>IF(LS[[#This Row],[B/S]]="B",0,ABS(LS[[#This Row],[Unit]])*(LS[[#This Row],[NAV (Strike Rate)]]-INDEX(LS[NAV at Cost (Average)],MATCH(CONCATENATE(LS[[#This Row],[Frequency]]-1,LS[[#This Row],[Investor ID]]),LS[Unique Code],0),)))</f>
        <v>164539.96999999988</v>
      </c>
      <c r="V497" s="10" cm="1">
        <f t="array" ref="V497">IF(LS[[#This Row],[B/S]]="S",ABS(LS[[#This Row],[Unit]])*(INDEX(LS[NAV at Cost (Average)],MATCH(CONCATENATE((LS[[#This Row],[Frequency]]-1),LS[[#This Row],[Investor ID]]),LS[Unique Code],0),0)),0)</f>
        <v>1634587.9900000002</v>
      </c>
      <c r="W497" s="10">
        <f>IF(LS[[#This Row],[BO Transfer]]="YES",LS[[#This Row],[Unit]],)</f>
        <v>0</v>
      </c>
      <c r="X497" s="3">
        <f>SUMIFS(LS[[#Headers],[BO UNIT TRANSFER]]:LS[[#This Row],[BO UNIT TRANSFER]],LS[[#Headers],[Investor ID]]:LS[[#This Row],[Investor ID]],LS[[#This Row],[Investor ID]])</f>
        <v>0</v>
      </c>
    </row>
    <row r="498" spans="2:24">
      <c r="B498" s="8">
        <v>2024</v>
      </c>
      <c r="C498" s="8">
        <v>11</v>
      </c>
      <c r="D498" s="8">
        <v>20</v>
      </c>
      <c r="E498" s="291">
        <f>DATE(LS[[#This Row],[Year]],LS[[#This Row],[Month]],LS[[#This Row],[Day]])</f>
        <v>45616</v>
      </c>
      <c r="F498" t="str" cm="1">
        <f t="array" ref="F498">INDEX(INVESTORS_LIST[INVESTOR NAME],MATCH(LS[[#This Row],[Investor ID]],INVESTORS_LIST[INVESTOR CODE],0),)</f>
        <v>TANIZA MAZED</v>
      </c>
      <c r="G498" s="19" t="s">
        <v>26</v>
      </c>
      <c r="H498" s="8">
        <f>COUNTIF(LS[[#Headers],[Investor ID]]:LS[[#This Row],[Investor ID]],LS[[#This Row],[Investor ID]])</f>
        <v>3</v>
      </c>
      <c r="I498" s="8" t="str">
        <f>CONCATENATE(LS[[#This Row],[Frequency]],LS[[#This Row],[Investor ID]])</f>
        <v>3A00019</v>
      </c>
      <c r="J498" s="24" t="str">
        <f>IF(LS[[#This Row],[B/S]]="B","BUY",(IF(LS[[#This Row],[B/S]]="S","SELL"," ")))</f>
        <v>SELL</v>
      </c>
      <c r="K498" s="8" t="s">
        <v>866</v>
      </c>
      <c r="L498" s="10">
        <v>-1106712.8799999999</v>
      </c>
      <c r="M498" s="10"/>
      <c r="N498" s="168">
        <f>LS[[#This Row],[Amount]]/LS[[#This Row],[Unit]]</f>
        <v>10.819999999999999</v>
      </c>
      <c r="O498" s="11">
        <f t="shared" si="90"/>
        <v>-102284</v>
      </c>
      <c r="P498" s="11">
        <f>SUMIFS(LS[[#Headers],[Unit]]:LS[[#This Row],[Unit]],LS[[#Headers],[Investor ID]]:LS[[#This Row],[Investor ID]],LS[[#This Row],[Investor ID]])</f>
        <v>0</v>
      </c>
      <c r="Q498" s="10">
        <v>-1022840</v>
      </c>
      <c r="R498" s="6">
        <f>LS[[#This Row],[Amount]]-LS[[#This Row],[Unit Capital]]</f>
        <v>-83872.879999999888</v>
      </c>
      <c r="S49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98" s="168">
        <f t="shared" si="91"/>
        <v>12.552</v>
      </c>
      <c r="U498" s="10">
        <f>IF(LS[[#This Row],[B/S]]="B",0,ABS(LS[[#This Row],[Unit]])*(LS[[#This Row],[NAV (Strike Rate)]]-INDEX(LS[NAV at Cost (Average)],MATCH(CONCATENATE(LS[[#This Row],[Frequency]]-1,LS[[#This Row],[Investor ID]]),LS[Unique Code],0),)))</f>
        <v>84212.879999999845</v>
      </c>
      <c r="V498" s="10" cm="1">
        <f t="array" ref="V498">IF(LS[[#This Row],[B/S]]="S",ABS(LS[[#This Row],[Unit]])*(INDEX(LS[NAV at Cost (Average)],MATCH(CONCATENATE((LS[[#This Row],[Frequency]]-1),LS[[#This Row],[Investor ID]]),LS[Unique Code],0),0)),0)</f>
        <v>1022500</v>
      </c>
      <c r="W498" s="10">
        <f>IF(LS[[#This Row],[BO Transfer]]="YES",LS[[#This Row],[Unit]],)</f>
        <v>0</v>
      </c>
      <c r="X498" s="3">
        <f>SUMIFS(LS[[#Headers],[BO UNIT TRANSFER]]:LS[[#This Row],[BO UNIT TRANSFER]],LS[[#Headers],[Investor ID]]:LS[[#This Row],[Investor ID]],LS[[#This Row],[Investor ID]])</f>
        <v>0</v>
      </c>
    </row>
    <row r="499" spans="2:24">
      <c r="B499" s="8">
        <v>2024</v>
      </c>
      <c r="C499" s="8">
        <v>11</v>
      </c>
      <c r="D499" s="8">
        <v>27</v>
      </c>
      <c r="E499" s="291">
        <f>DATE(LS[[#This Row],[Year]],LS[[#This Row],[Month]],LS[[#This Row],[Day]])</f>
        <v>45623</v>
      </c>
      <c r="F499" t="str" cm="1">
        <f t="array" ref="F499">INDEX(INVESTORS_LIST[INVESTOR NAME],MATCH(LS[[#This Row],[Investor ID]],INVESTORS_LIST[INVESTOR CODE],0),)</f>
        <v>TANIA AKTER</v>
      </c>
      <c r="G499" s="19" t="s">
        <v>1214</v>
      </c>
      <c r="H499" s="8">
        <f>COUNTIF(LS[[#Headers],[Investor ID]]:LS[[#This Row],[Investor ID]],LS[[#This Row],[Investor ID]])</f>
        <v>2</v>
      </c>
      <c r="I499" s="8" t="str">
        <f>CONCATENATE(LS[[#This Row],[Frequency]],LS[[#This Row],[Investor ID]])</f>
        <v>2A00512</v>
      </c>
      <c r="J499" s="24" t="str">
        <f>IF(LS[[#This Row],[B/S]]="B","BUY",(IF(LS[[#This Row],[B/S]]="S","SELL"," ")))</f>
        <v>SELL</v>
      </c>
      <c r="K499" s="8" t="s">
        <v>866</v>
      </c>
      <c r="L499" s="10">
        <v>-1977361.84</v>
      </c>
      <c r="M499" s="10"/>
      <c r="N499" s="168">
        <f>LS[[#This Row],[Amount]]/LS[[#This Row],[Unit]]</f>
        <v>10.696999978361069</v>
      </c>
      <c r="O499" s="11">
        <f>Q499/10</f>
        <v>-184852</v>
      </c>
      <c r="P499" s="11">
        <f>SUMIFS(LS[[#Headers],[Unit]]:LS[[#This Row],[Unit]],LS[[#Headers],[Investor ID]]:LS[[#This Row],[Investor ID]],LS[[#This Row],[Investor ID]])</f>
        <v>0</v>
      </c>
      <c r="Q499" s="10">
        <v>-1848520</v>
      </c>
      <c r="R499" s="6">
        <f>LS[[#This Row],[Amount]]-LS[[#This Row],[Unit Capital]]</f>
        <v>-128841.84000000008</v>
      </c>
      <c r="S49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499" s="168">
        <f t="shared" ref="T499:T541" si="92">IFERROR(NAV_MKT,0)</f>
        <v>12.552</v>
      </c>
      <c r="U499" s="10">
        <f>IF(LS[[#This Row],[B/S]]="B",0,ABS(LS[[#This Row],[Unit]])*(LS[[#This Row],[NAV (Strike Rate)]]-INDEX(LS[NAV at Cost (Average)],MATCH(CONCATENATE(LS[[#This Row],[Frequency]]-1,LS[[#This Row],[Investor ID]]),LS[Unique Code],0),)))</f>
        <v>27361.84000000016</v>
      </c>
      <c r="V499" s="10" cm="1">
        <f t="array" ref="V499">IF(LS[[#This Row],[B/S]]="S",ABS(LS[[#This Row],[Unit]])*(INDEX(LS[NAV at Cost (Average)],MATCH(CONCATENATE((LS[[#This Row],[Frequency]]-1),LS[[#This Row],[Investor ID]]),LS[Unique Code],0),0)),0)</f>
        <v>1950000</v>
      </c>
      <c r="W499" s="10">
        <f>IF(LS[[#This Row],[BO Transfer]]="YES",LS[[#This Row],[Unit]],)</f>
        <v>0</v>
      </c>
      <c r="X499" s="3">
        <f>SUMIFS(LS[[#Headers],[BO UNIT TRANSFER]]:LS[[#This Row],[BO UNIT TRANSFER]],LS[[#Headers],[Investor ID]]:LS[[#This Row],[Investor ID]],LS[[#This Row],[Investor ID]])</f>
        <v>0</v>
      </c>
    </row>
    <row r="500" spans="2:24">
      <c r="B500" s="8">
        <v>2024</v>
      </c>
      <c r="C500" s="8">
        <v>12</v>
      </c>
      <c r="D500" s="8">
        <v>9</v>
      </c>
      <c r="E500" s="291">
        <f>DATE(LS[[#This Row],[Year]],LS[[#This Row],[Month]],LS[[#This Row],[Day]])</f>
        <v>45635</v>
      </c>
      <c r="F500" t="str" cm="1">
        <f t="array" ref="F500">INDEX(INVESTORS_LIST[INVESTOR NAME],MATCH(LS[[#This Row],[Investor ID]],INVESTORS_LIST[INVESTOR CODE],0),)</f>
        <v>SAJJAD CHOWDHURY</v>
      </c>
      <c r="G500" s="19" t="s">
        <v>252</v>
      </c>
      <c r="H500" s="8">
        <f>COUNTIF(LS[[#Headers],[Investor ID]]:LS[[#This Row],[Investor ID]],LS[[#This Row],[Investor ID]])</f>
        <v>3</v>
      </c>
      <c r="I500" s="8" t="str">
        <f>CONCATENATE(LS[[#This Row],[Frequency]],LS[[#This Row],[Investor ID]])</f>
        <v>3A00206</v>
      </c>
      <c r="J500" s="24" t="str">
        <f>IF(LS[[#This Row],[B/S]]="B","BUY",(IF(LS[[#This Row],[B/S]]="S","SELL"," ")))</f>
        <v>SELL</v>
      </c>
      <c r="K500" s="8" t="s">
        <v>866</v>
      </c>
      <c r="L500" s="10">
        <v>-55333.67</v>
      </c>
      <c r="M500" s="10"/>
      <c r="N500" s="168">
        <f>LS[[#This Row],[Amount]]/LS[[#This Row],[Unit]]</f>
        <v>10.636999231064975</v>
      </c>
      <c r="O500" s="11">
        <f>Q500/10</f>
        <v>-5202</v>
      </c>
      <c r="P500" s="11">
        <f>SUMIFS(LS[[#Headers],[Unit]]:LS[[#This Row],[Unit]],LS[[#Headers],[Investor ID]]:LS[[#This Row],[Investor ID]],LS[[#This Row],[Investor ID]])</f>
        <v>0</v>
      </c>
      <c r="Q500" s="10">
        <v>-52020</v>
      </c>
      <c r="R500" s="6">
        <f>LS[[#This Row],[Amount]]-LS[[#This Row],[Unit Capital]]</f>
        <v>-3313.6699999999983</v>
      </c>
      <c r="S50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00" s="168">
        <f t="shared" si="92"/>
        <v>12.552</v>
      </c>
      <c r="U500" s="10">
        <f>IF(LS[[#This Row],[B/S]]="B",0,ABS(LS[[#This Row],[Unit]])*(LS[[#This Row],[NAV (Strike Rate)]]-INDEX(LS[NAV at Cost (Average)],MATCH(CONCATENATE(LS[[#This Row],[Frequency]]-1,LS[[#This Row],[Investor ID]]),LS[Unique Code],0),)))</f>
        <v>4251.619999999999</v>
      </c>
      <c r="V500" s="10" cm="1">
        <f t="array" ref="V500">IF(LS[[#This Row],[B/S]]="S",ABS(LS[[#This Row],[Unit]])*(INDEX(LS[NAV at Cost (Average)],MATCH(CONCATENATE((LS[[#This Row],[Frequency]]-1),LS[[#This Row],[Investor ID]]),LS[Unique Code],0),0)),0)</f>
        <v>51082.049999999996</v>
      </c>
      <c r="W500" s="10">
        <f>IF(LS[[#This Row],[BO Transfer]]="YES",LS[[#This Row],[Unit]],)</f>
        <v>0</v>
      </c>
      <c r="X500" s="3">
        <f>SUMIFS(LS[[#Headers],[BO UNIT TRANSFER]]:LS[[#This Row],[BO UNIT TRANSFER]],LS[[#Headers],[Investor ID]]:LS[[#This Row],[Investor ID]],LS[[#This Row],[Investor ID]])</f>
        <v>0</v>
      </c>
    </row>
    <row r="501" spans="2:24">
      <c r="B501" s="8">
        <v>2024</v>
      </c>
      <c r="C501" s="8">
        <v>12</v>
      </c>
      <c r="D501" s="8">
        <v>17</v>
      </c>
      <c r="E501" s="291">
        <f>DATE(LS[[#This Row],[Year]],LS[[#This Row],[Month]],LS[[#This Row],[Day]])</f>
        <v>45643</v>
      </c>
      <c r="F501" t="str" cm="1">
        <f t="array" ref="F501">INDEX(INVESTORS_LIST[INVESTOR NAME],MATCH(LS[[#This Row],[Investor ID]],INVESTORS_LIST[INVESTOR CODE],0),)</f>
        <v>EKUSH WEALTH MANAGEMENT LIMITED</v>
      </c>
      <c r="G501" s="19" t="s">
        <v>4</v>
      </c>
      <c r="H501" s="8">
        <f>COUNTIF(LS[[#Headers],[Investor ID]]:LS[[#This Row],[Investor ID]],LS[[#This Row],[Investor ID]])</f>
        <v>28</v>
      </c>
      <c r="I501" s="8" t="str">
        <f>CONCATENATE(LS[[#This Row],[Frequency]],LS[[#This Row],[Investor ID]])</f>
        <v>28A00003</v>
      </c>
      <c r="J501" s="24" t="str">
        <f>IF(LS[[#This Row],[B/S]]="B","BUY",(IF(LS[[#This Row],[B/S]]="S","SELL"," ")))</f>
        <v>BUY</v>
      </c>
      <c r="K501" s="8" t="s">
        <v>301</v>
      </c>
      <c r="L501" s="10">
        <v>1800000</v>
      </c>
      <c r="M501" s="10"/>
      <c r="N501" s="168">
        <f>LS[[#This Row],[Amount]]/LS[[#This Row],[Unit]]</f>
        <v>10.603017147434953</v>
      </c>
      <c r="O501" s="11">
        <f>Q501/10</f>
        <v>169763</v>
      </c>
      <c r="P501" s="11">
        <f>SUMIFS(LS[[#Headers],[Unit]]:LS[[#This Row],[Unit]],LS[[#Headers],[Investor ID]]:LS[[#This Row],[Investor ID]],LS[[#This Row],[Investor ID]])</f>
        <v>2454397</v>
      </c>
      <c r="Q501" s="10">
        <v>1697630</v>
      </c>
      <c r="R501" s="6">
        <f>LS[[#This Row],[Amount]]-LS[[#This Row],[Unit Capital]]</f>
        <v>102370</v>
      </c>
      <c r="S50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10.083468484131005</v>
      </c>
      <c r="T501" s="168">
        <f t="shared" si="92"/>
        <v>12.552</v>
      </c>
      <c r="U50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01" s="10" cm="1">
        <f t="array" ref="V501">IF(LS[[#This Row],[B/S]]="S",ABS(LS[[#This Row],[Unit]])*(INDEX(LS[NAV at Cost (Average)],MATCH(CONCATENATE((LS[[#This Row],[Frequency]]-1),LS[[#This Row],[Investor ID]]),LS[Unique Code],0),0)),0)</f>
        <v>0</v>
      </c>
      <c r="W501" s="10">
        <f>IF(LS[[#This Row],[BO Transfer]]="YES",LS[[#This Row],[Unit]],)</f>
        <v>0</v>
      </c>
      <c r="X501" s="3">
        <f>SUMIFS(LS[[#Headers],[BO UNIT TRANSFER]]:LS[[#This Row],[BO UNIT TRANSFER]],LS[[#Headers],[Investor ID]]:LS[[#This Row],[Investor ID]],LS[[#This Row],[Investor ID]])</f>
        <v>0</v>
      </c>
    </row>
    <row r="502" spans="2:24">
      <c r="B502" s="8">
        <v>2024</v>
      </c>
      <c r="C502" s="8">
        <v>12</v>
      </c>
      <c r="D502" s="8">
        <v>19</v>
      </c>
      <c r="E502" s="291">
        <f>DATE(LS[[#This Row],[Year]],LS[[#This Row],[Month]],LS[[#This Row],[Day]])</f>
        <v>45645</v>
      </c>
      <c r="F502" t="str" cm="1">
        <f t="array" ref="F502">INDEX(INVESTORS_LIST[INVESTOR NAME],MATCH(LS[[#This Row],[Investor ID]],INVESTORS_LIST[INVESTOR CODE],0),)</f>
        <v>EKUSH WEALTH MANAGEMENT LIMITED</v>
      </c>
      <c r="G502" s="19" t="s">
        <v>4</v>
      </c>
      <c r="H502" s="8">
        <f>COUNTIF(LS[[#Headers],[Investor ID]]:LS[[#This Row],[Investor ID]],LS[[#This Row],[Investor ID]])</f>
        <v>29</v>
      </c>
      <c r="I502" s="8" t="str">
        <f>CONCATENATE(LS[[#This Row],[Frequency]],LS[[#This Row],[Investor ID]])</f>
        <v>29A00003</v>
      </c>
      <c r="J502" s="24" t="str">
        <f>IF(LS[[#This Row],[B/S]]="B","BUY",(IF(LS[[#This Row],[B/S]]="S","SELL"," ")))</f>
        <v>BUY</v>
      </c>
      <c r="K502" s="8" t="s">
        <v>301</v>
      </c>
      <c r="L502" s="10">
        <v>4100000</v>
      </c>
      <c r="M502" s="10"/>
      <c r="N502" s="168">
        <f>LS[[#This Row],[Amount]]/LS[[#This Row],[Unit]]</f>
        <v>10.603000390500746</v>
      </c>
      <c r="O502" s="11">
        <f>Q502/10</f>
        <v>386683</v>
      </c>
      <c r="P502" s="11">
        <f>SUMIFS(LS[[#Headers],[Unit]]:LS[[#This Row],[Unit]],LS[[#Headers],[Investor ID]]:LS[[#This Row],[Investor ID]],LS[[#This Row],[Investor ID]])</f>
        <v>2841080</v>
      </c>
      <c r="Q502" s="10">
        <v>3866830</v>
      </c>
      <c r="R502" s="6">
        <f>LS[[#This Row],[Amount]]-LS[[#This Row],[Unit Capital]]</f>
        <v>233170</v>
      </c>
      <c r="S50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10.154178973153057</v>
      </c>
      <c r="T502" s="168">
        <f t="shared" si="92"/>
        <v>12.552</v>
      </c>
      <c r="U50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02" s="10" cm="1">
        <f t="array" ref="V502">IF(LS[[#This Row],[B/S]]="S",ABS(LS[[#This Row],[Unit]])*(INDEX(LS[NAV at Cost (Average)],MATCH(CONCATENATE((LS[[#This Row],[Frequency]]-1),LS[[#This Row],[Investor ID]]),LS[Unique Code],0),0)),0)</f>
        <v>0</v>
      </c>
      <c r="W502" s="10">
        <f>IF(LS[[#This Row],[BO Transfer]]="YES",LS[[#This Row],[Unit]],)</f>
        <v>0</v>
      </c>
      <c r="X502" s="3">
        <f>SUMIFS(LS[[#Headers],[BO UNIT TRANSFER]]:LS[[#This Row],[BO UNIT TRANSFER]],LS[[#Headers],[Investor ID]]:LS[[#This Row],[Investor ID]],LS[[#This Row],[Investor ID]])</f>
        <v>0</v>
      </c>
    </row>
    <row r="503" spans="2:24">
      <c r="B503" s="8">
        <v>2025</v>
      </c>
      <c r="C503" s="8">
        <v>2</v>
      </c>
      <c r="D503" s="8">
        <v>17</v>
      </c>
      <c r="E503" s="291">
        <f>DATE(LS[[#This Row],[Year]],LS[[#This Row],[Month]],LS[[#This Row],[Day]])</f>
        <v>45705</v>
      </c>
      <c r="F503" t="str" cm="1">
        <f t="array" ref="F503">INDEX(INVESTORS_LIST[INVESTOR NAME],MATCH(LS[[#This Row],[Investor ID]],INVESTORS_LIST[INVESTOR CODE],0),)</f>
        <v>EKUSH WEALTH MANAGEMENT LIMITED</v>
      </c>
      <c r="G503" s="19" t="s">
        <v>4</v>
      </c>
      <c r="H503" s="8">
        <f>COUNTIF(LS[[#Headers],[Investor ID]]:LS[[#This Row],[Investor ID]],LS[[#This Row],[Investor ID]])</f>
        <v>30</v>
      </c>
      <c r="I503" s="8" t="str">
        <f>CONCATENATE(LS[[#This Row],[Frequency]],LS[[#This Row],[Investor ID]])</f>
        <v>30A00003</v>
      </c>
      <c r="J503" s="24" t="str">
        <f>IF(LS[[#This Row],[B/S]]="B","BUY",(IF(LS[[#This Row],[B/S]]="S","SELL"," ")))</f>
        <v>SELL</v>
      </c>
      <c r="K503" s="8" t="s">
        <v>866</v>
      </c>
      <c r="L503" s="10">
        <v>-385000</v>
      </c>
      <c r="M503" s="10"/>
      <c r="N503" s="168">
        <f>LS[[#This Row],[Amount]]/LS[[#This Row],[Unit]]</f>
        <v>10.491892628423491</v>
      </c>
      <c r="O503" s="11">
        <f>Q503/10</f>
        <v>-36695</v>
      </c>
      <c r="P503" s="11">
        <f>SUMIFS(LS[[#Headers],[Unit]]:LS[[#This Row],[Unit]],LS[[#Headers],[Investor ID]]:LS[[#This Row],[Investor ID]],LS[[#This Row],[Investor ID]])</f>
        <v>2804385</v>
      </c>
      <c r="Q503" s="10">
        <v>-366950</v>
      </c>
      <c r="R503" s="6">
        <f>LS[[#This Row],[Amount]]-LS[[#This Row],[Unit Capital]]</f>
        <v>-18050</v>
      </c>
      <c r="S50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10.154178973153057</v>
      </c>
      <c r="T503" s="168">
        <f t="shared" si="92"/>
        <v>12.552</v>
      </c>
      <c r="U503" s="10">
        <f>IF(LS[[#This Row],[B/S]]="B",0,ABS(LS[[#This Row],[Unit]])*(LS[[#This Row],[NAV (Strike Rate)]]-INDEX(LS[NAV at Cost (Average)],MATCH(CONCATENATE(LS[[#This Row],[Frequency]]-1,LS[[#This Row],[Investor ID]]),LS[Unique Code],0),)))</f>
        <v>12392.402580148586</v>
      </c>
      <c r="V503" s="10" cm="1">
        <f t="array" ref="V503">IF(LS[[#This Row],[B/S]]="S",ABS(LS[[#This Row],[Unit]])*(INDEX(LS[NAV at Cost (Average)],MATCH(CONCATENATE((LS[[#This Row],[Frequency]]-1),LS[[#This Row],[Investor ID]]),LS[Unique Code],0),0)),0)</f>
        <v>372607.5974198514</v>
      </c>
      <c r="W503" s="10">
        <f>IF(LS[[#This Row],[BO Transfer]]="YES",LS[[#This Row],[Unit]],)</f>
        <v>0</v>
      </c>
      <c r="X503" s="3">
        <f>SUMIFS(LS[[#Headers],[BO UNIT TRANSFER]]:LS[[#This Row],[BO UNIT TRANSFER]],LS[[#Headers],[Investor ID]]:LS[[#This Row],[Investor ID]],LS[[#This Row],[Investor ID]])</f>
        <v>0</v>
      </c>
    </row>
    <row r="504" spans="2:24">
      <c r="B504" s="8">
        <v>2025</v>
      </c>
      <c r="C504" s="8">
        <v>3</v>
      </c>
      <c r="D504" s="8">
        <v>12</v>
      </c>
      <c r="E504" s="291">
        <f>DATE(LS[[#This Row],[Year]],LS[[#This Row],[Month]],LS[[#This Row],[Day]])</f>
        <v>45728</v>
      </c>
      <c r="F504" t="str" cm="1">
        <f t="array" ref="F504">INDEX(INVESTORS_LIST[INVESTOR NAME],MATCH(LS[[#This Row],[Investor ID]],INVESTORS_LIST[INVESTOR CODE],0),)</f>
        <v>HARI PADA SAHA</v>
      </c>
      <c r="G504" s="19" t="s">
        <v>1</v>
      </c>
      <c r="H504" s="8">
        <f>COUNTIF(LS[[#Headers],[Investor ID]]:LS[[#This Row],[Investor ID]],LS[[#This Row],[Investor ID]])</f>
        <v>5</v>
      </c>
      <c r="I504" s="8" t="str">
        <f>CONCATENATE(LS[[#This Row],[Frequency]],LS[[#This Row],[Investor ID]])</f>
        <v>5A00002</v>
      </c>
      <c r="J504" s="212" t="str">
        <f>IF(LS[[#This Row],[B/S]]="B","BUY",(IF(LS[[#This Row],[B/S]]="S","SELL"," ")))</f>
        <v>BUY</v>
      </c>
      <c r="K504" s="8" t="s">
        <v>301</v>
      </c>
      <c r="L504" s="10">
        <v>29523.47</v>
      </c>
      <c r="M504" s="10"/>
      <c r="N504" s="168">
        <f>LS[[#This Row],[Amount]]/LS[[#This Row],[Unit]]</f>
        <v>10.536570306923627</v>
      </c>
      <c r="O504" s="11">
        <f t="shared" ref="O504:O510" si="93">Q504/10</f>
        <v>2802</v>
      </c>
      <c r="P504" s="11">
        <f>SUMIFS(LS[[#Headers],[Unit]]:LS[[#This Row],[Unit]],LS[[#Headers],[Investor ID]]:LS[[#This Row],[Investor ID]],LS[[#This Row],[Investor ID]])</f>
        <v>72269</v>
      </c>
      <c r="Q504" s="10">
        <v>28020</v>
      </c>
      <c r="R504" s="6">
        <f>LS[[#This Row],[Amount]]-LS[[#This Row],[Unit Capital]]</f>
        <v>1503.4700000000012</v>
      </c>
      <c r="S50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10.080136410828564</v>
      </c>
      <c r="T504" s="168">
        <f t="shared" si="92"/>
        <v>12.552</v>
      </c>
      <c r="U50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04" s="10" cm="1">
        <f t="array" ref="V504">IF(LS[[#This Row],[B/S]]="S",ABS(LS[[#This Row],[Unit]])*(INDEX(LS[NAV at Cost (Average)],MATCH(CONCATENATE((LS[[#This Row],[Frequency]]-1),LS[[#This Row],[Investor ID]]),LS[Unique Code],0),0)),0)</f>
        <v>0</v>
      </c>
      <c r="W504" s="10">
        <f>IF(LS[[#This Row],[BO Transfer]]="YES",LS[[#This Row],[Unit]],)</f>
        <v>0</v>
      </c>
      <c r="X504" s="3">
        <f>SUMIFS(LS[[#Headers],[BO UNIT TRANSFER]]:LS[[#This Row],[BO UNIT TRANSFER]],LS[[#Headers],[Investor ID]]:LS[[#This Row],[Investor ID]],LS[[#This Row],[Investor ID]])</f>
        <v>0</v>
      </c>
    </row>
    <row r="505" spans="2:24">
      <c r="B505" s="8">
        <v>2025</v>
      </c>
      <c r="C505" s="8">
        <v>3</v>
      </c>
      <c r="D505" s="8">
        <v>12</v>
      </c>
      <c r="E505" s="291">
        <f>DATE(LS[[#This Row],[Year]],LS[[#This Row],[Month]],LS[[#This Row],[Day]])</f>
        <v>45728</v>
      </c>
      <c r="F505" t="str" cm="1">
        <f t="array" ref="F505">INDEX(INVESTORS_LIST[INVESTOR NAME],MATCH(LS[[#This Row],[Investor ID]],INVESTORS_LIST[INVESTOR CODE],0),)</f>
        <v>EKUSH WEALTH MANAGEMENT LIMITED</v>
      </c>
      <c r="G505" s="19" t="s">
        <v>4</v>
      </c>
      <c r="H505" s="8">
        <f>COUNTIF(LS[[#Headers],[Investor ID]]:LS[[#This Row],[Investor ID]],LS[[#This Row],[Investor ID]])</f>
        <v>31</v>
      </c>
      <c r="I505" s="8" t="str">
        <f>CONCATENATE(LS[[#This Row],[Frequency]],LS[[#This Row],[Investor ID]])</f>
        <v>31A00003</v>
      </c>
      <c r="J505" s="212" t="str">
        <f>IF(LS[[#This Row],[B/S]]="B","BUY",(IF(LS[[#This Row],[B/S]]="S","SELL"," ")))</f>
        <v>BUY</v>
      </c>
      <c r="K505" s="8" t="s">
        <v>301</v>
      </c>
      <c r="L505" s="10">
        <v>1136432</v>
      </c>
      <c r="M505" s="10"/>
      <c r="N505" s="168">
        <f>LS[[#This Row],[Amount]]/LS[[#This Row],[Unit]]</f>
        <v>10.536958053629046</v>
      </c>
      <c r="O505" s="11">
        <f t="shared" si="93"/>
        <v>107852</v>
      </c>
      <c r="P505" s="11">
        <f>SUMIFS(LS[[#Headers],[Unit]]:LS[[#This Row],[Unit]],LS[[#Headers],[Investor ID]]:LS[[#This Row],[Investor ID]],LS[[#This Row],[Investor ID]])</f>
        <v>2912237</v>
      </c>
      <c r="Q505" s="10">
        <v>1078520</v>
      </c>
      <c r="R505" s="6">
        <f>LS[[#This Row],[Amount]]-LS[[#This Row],[Unit Capital]]</f>
        <v>57912</v>
      </c>
      <c r="S50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10.168354841870986</v>
      </c>
      <c r="T505" s="168">
        <f t="shared" si="92"/>
        <v>12.552</v>
      </c>
      <c r="U50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05" s="10" cm="1">
        <f t="array" ref="V505">IF(LS[[#This Row],[B/S]]="S",ABS(LS[[#This Row],[Unit]])*(INDEX(LS[NAV at Cost (Average)],MATCH(CONCATENATE((LS[[#This Row],[Frequency]]-1),LS[[#This Row],[Investor ID]]),LS[Unique Code],0),0)),0)</f>
        <v>0</v>
      </c>
      <c r="W505" s="10">
        <f>IF(LS[[#This Row],[BO Transfer]]="YES",LS[[#This Row],[Unit]],)</f>
        <v>0</v>
      </c>
      <c r="X505" s="3">
        <f>SUMIFS(LS[[#Headers],[BO UNIT TRANSFER]]:LS[[#This Row],[BO UNIT TRANSFER]],LS[[#Headers],[Investor ID]]:LS[[#This Row],[Investor ID]],LS[[#This Row],[Investor ID]])</f>
        <v>0</v>
      </c>
    </row>
    <row r="506" spans="2:24">
      <c r="B506" s="8">
        <v>2025</v>
      </c>
      <c r="C506" s="8">
        <v>3</v>
      </c>
      <c r="D506" s="8">
        <v>12</v>
      </c>
      <c r="E506" s="291">
        <f>DATE(LS[[#This Row],[Year]],LS[[#This Row],[Month]],LS[[#This Row],[Day]])</f>
        <v>45728</v>
      </c>
      <c r="F506" t="str" cm="1">
        <f t="array" ref="F506">INDEX(INVESTORS_LIST[INVESTOR NAME],MATCH(LS[[#This Row],[Investor ID]],INVESTORS_LIST[INVESTOR CODE],0),)</f>
        <v>MORSHEDA MIM</v>
      </c>
      <c r="G506" s="19" t="s">
        <v>10</v>
      </c>
      <c r="H506" s="8">
        <f>COUNTIF(LS[[#Headers],[Investor ID]]:LS[[#This Row],[Investor ID]],LS[[#This Row],[Investor ID]])</f>
        <v>2</v>
      </c>
      <c r="I506" s="8" t="str">
        <f>CONCATENATE(LS[[#This Row],[Frequency]],LS[[#This Row],[Investor ID]])</f>
        <v>2A00005</v>
      </c>
      <c r="J506" s="212" t="str">
        <f>IF(LS[[#This Row],[B/S]]="B","BUY",(IF(LS[[#This Row],[B/S]]="S","SELL"," ")))</f>
        <v>BUY</v>
      </c>
      <c r="K506" s="8" t="s">
        <v>301</v>
      </c>
      <c r="L506" s="10">
        <v>25381.42</v>
      </c>
      <c r="M506" s="10"/>
      <c r="N506" s="168">
        <f>LS[[#This Row],[Amount]]/LS[[#This Row],[Unit]]</f>
        <v>10.536081361560813</v>
      </c>
      <c r="O506" s="11">
        <f t="shared" si="93"/>
        <v>2409</v>
      </c>
      <c r="P506" s="11">
        <f>SUMIFS(LS[[#Headers],[Unit]]:LS[[#This Row],[Unit]],LS[[#Headers],[Investor ID]]:LS[[#This Row],[Investor ID]],LS[[#This Row],[Investor ID]])</f>
        <v>62130</v>
      </c>
      <c r="Q506" s="10">
        <v>24090</v>
      </c>
      <c r="R506" s="6">
        <f>LS[[#This Row],[Amount]]-LS[[#This Row],[Unit Capital]]</f>
        <v>1291.4199999999983</v>
      </c>
      <c r="S506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10.548550136809915</v>
      </c>
      <c r="T506" s="168">
        <f t="shared" si="92"/>
        <v>12.552</v>
      </c>
      <c r="U506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06" s="10" cm="1">
        <f t="array" ref="V506">IF(LS[[#This Row],[B/S]]="S",ABS(LS[[#This Row],[Unit]])*(INDEX(LS[NAV at Cost (Average)],MATCH(CONCATENATE((LS[[#This Row],[Frequency]]-1),LS[[#This Row],[Investor ID]]),LS[Unique Code],0),0)),0)</f>
        <v>0</v>
      </c>
      <c r="W506" s="10">
        <f>IF(LS[[#This Row],[BO Transfer]]="YES",LS[[#This Row],[Unit]],)</f>
        <v>0</v>
      </c>
      <c r="X506" s="3">
        <f>SUMIFS(LS[[#Headers],[BO UNIT TRANSFER]]:LS[[#This Row],[BO UNIT TRANSFER]],LS[[#Headers],[Investor ID]]:LS[[#This Row],[Investor ID]],LS[[#This Row],[Investor ID]])</f>
        <v>0</v>
      </c>
    </row>
    <row r="507" spans="2:24">
      <c r="B507" s="8">
        <v>2025</v>
      </c>
      <c r="C507" s="8">
        <v>3</v>
      </c>
      <c r="D507" s="8">
        <v>12</v>
      </c>
      <c r="E507" s="291">
        <f>DATE(LS[[#This Row],[Year]],LS[[#This Row],[Month]],LS[[#This Row],[Day]])</f>
        <v>45728</v>
      </c>
      <c r="F507" t="str" cm="1">
        <f t="array" ref="F507">INDEX(INVESTORS_LIST[INVESTOR NAME],MATCH(LS[[#This Row],[Investor ID]],INVESTORS_LIST[INVESTOR CODE],0),)</f>
        <v>ABDUL HAI BHUYAN</v>
      </c>
      <c r="G507" s="19" t="s">
        <v>22</v>
      </c>
      <c r="H507" s="8">
        <f>COUNTIF(LS[[#Headers],[Investor ID]]:LS[[#This Row],[Investor ID]],LS[[#This Row],[Investor ID]])</f>
        <v>3</v>
      </c>
      <c r="I507" s="8" t="str">
        <f>CONCATENATE(LS[[#This Row],[Frequency]],LS[[#This Row],[Investor ID]])</f>
        <v>3A00015</v>
      </c>
      <c r="J507" s="212" t="str">
        <f>IF(LS[[#This Row],[B/S]]="B","BUY",(IF(LS[[#This Row],[B/S]]="S","SELL"," ")))</f>
        <v>BUY</v>
      </c>
      <c r="K507" s="8" t="s">
        <v>301</v>
      </c>
      <c r="L507" s="10">
        <v>9205.65</v>
      </c>
      <c r="M507" s="10"/>
      <c r="N507" s="168">
        <f>LS[[#This Row],[Amount]]/LS[[#This Row],[Unit]]</f>
        <v>10.532780320366133</v>
      </c>
      <c r="O507" s="11">
        <f t="shared" si="93"/>
        <v>874</v>
      </c>
      <c r="P507" s="11">
        <f>SUMIFS(LS[[#Headers],[Unit]]:LS[[#This Row],[Unit]],LS[[#Headers],[Investor ID]]:LS[[#This Row],[Investor ID]],LS[[#This Row],[Investor ID]])</f>
        <v>21331</v>
      </c>
      <c r="Q507" s="10">
        <v>8740</v>
      </c>
      <c r="R507" s="6">
        <f>LS[[#This Row],[Amount]]-LS[[#This Row],[Unit Capital]]</f>
        <v>465.64999999999964</v>
      </c>
      <c r="S507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10.018548122450893</v>
      </c>
      <c r="T507" s="168">
        <f t="shared" si="92"/>
        <v>12.552</v>
      </c>
      <c r="U507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07" s="10" cm="1">
        <f t="array" ref="V507">IF(LS[[#This Row],[B/S]]="S",ABS(LS[[#This Row],[Unit]])*(INDEX(LS[NAV at Cost (Average)],MATCH(CONCATENATE((LS[[#This Row],[Frequency]]-1),LS[[#This Row],[Investor ID]]),LS[Unique Code],0),0)),0)</f>
        <v>0</v>
      </c>
      <c r="W507" s="10">
        <f>IF(LS[[#This Row],[BO Transfer]]="YES",LS[[#This Row],[Unit]],)</f>
        <v>0</v>
      </c>
      <c r="X507" s="3">
        <f>SUMIFS(LS[[#Headers],[BO UNIT TRANSFER]]:LS[[#This Row],[BO UNIT TRANSFER]],LS[[#Headers],[Investor ID]]:LS[[#This Row],[Investor ID]],LS[[#This Row],[Investor ID]])</f>
        <v>0</v>
      </c>
    </row>
    <row r="508" spans="2:24">
      <c r="B508" s="8">
        <v>2025</v>
      </c>
      <c r="C508" s="8">
        <v>3</v>
      </c>
      <c r="D508" s="8">
        <v>12</v>
      </c>
      <c r="E508" s="291">
        <f>DATE(LS[[#This Row],[Year]],LS[[#This Row],[Month]],LS[[#This Row],[Day]])</f>
        <v>45728</v>
      </c>
      <c r="F508" t="str" cm="1">
        <f t="array" ref="F508">INDEX(INVESTORS_LIST[INVESTOR NAME],MATCH(LS[[#This Row],[Investor ID]],INVESTORS_LIST[INVESTOR CODE],0),)</f>
        <v>MRIDUL KUMAR DEY</v>
      </c>
      <c r="G508" s="19" t="s">
        <v>27</v>
      </c>
      <c r="H508" s="8">
        <f>COUNTIF(LS[[#Headers],[Investor ID]]:LS[[#This Row],[Investor ID]],LS[[#This Row],[Investor ID]])</f>
        <v>2</v>
      </c>
      <c r="I508" s="8" t="str">
        <f>CONCATENATE(LS[[#This Row],[Frequency]],LS[[#This Row],[Investor ID]])</f>
        <v>2A00020</v>
      </c>
      <c r="J508" s="213" t="str">
        <f>IF(LS[[#This Row],[B/S]]="B","BUY",(IF(LS[[#This Row],[B/S]]="S","SELL"," ")))</f>
        <v>BUY</v>
      </c>
      <c r="K508" s="8" t="s">
        <v>301</v>
      </c>
      <c r="L508" s="10">
        <v>7408.35</v>
      </c>
      <c r="M508" s="10"/>
      <c r="N508" s="168">
        <f>LS[[#This Row],[Amount]]/LS[[#This Row],[Unit]]</f>
        <v>10.538193456614509</v>
      </c>
      <c r="O508" s="11">
        <f t="shared" si="93"/>
        <v>703</v>
      </c>
      <c r="P508" s="11">
        <f>SUMIFS(LS[[#Headers],[Unit]]:LS[[#This Row],[Unit]],LS[[#Headers],[Investor ID]]:LS[[#This Row],[Investor ID]],LS[[#This Row],[Investor ID]])</f>
        <v>941</v>
      </c>
      <c r="Q508" s="10">
        <v>7030</v>
      </c>
      <c r="R508" s="6">
        <f>LS[[#This Row],[Amount]]-LS[[#This Row],[Unit Capital]]</f>
        <v>378.35000000000036</v>
      </c>
      <c r="S508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10.363623804463337</v>
      </c>
      <c r="T508" s="168">
        <f t="shared" si="92"/>
        <v>12.552</v>
      </c>
      <c r="U508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08" s="10" cm="1">
        <f t="array" ref="V508">IF(LS[[#This Row],[B/S]]="S",ABS(LS[[#This Row],[Unit]])*(INDEX(LS[NAV at Cost (Average)],MATCH(CONCATENATE((LS[[#This Row],[Frequency]]-1),LS[[#This Row],[Investor ID]]),LS[Unique Code],0),0)),0)</f>
        <v>0</v>
      </c>
      <c r="W508" s="10">
        <f>IF(LS[[#This Row],[BO Transfer]]="YES",LS[[#This Row],[Unit]],)</f>
        <v>0</v>
      </c>
      <c r="X508" s="3">
        <f>SUMIFS(LS[[#Headers],[BO UNIT TRANSFER]]:LS[[#This Row],[BO UNIT TRANSFER]],LS[[#Headers],[Investor ID]]:LS[[#This Row],[Investor ID]],LS[[#This Row],[Investor ID]])</f>
        <v>0</v>
      </c>
    </row>
    <row r="509" spans="2:24">
      <c r="B509" s="8">
        <v>2025</v>
      </c>
      <c r="C509" s="8">
        <v>3</v>
      </c>
      <c r="D509" s="8">
        <v>12</v>
      </c>
      <c r="E509" s="291">
        <f>DATE(LS[[#This Row],[Year]],LS[[#This Row],[Month]],LS[[#This Row],[Day]])</f>
        <v>45728</v>
      </c>
      <c r="F509" t="str" cm="1">
        <f t="array" ref="F509">INDEX(INVESTORS_LIST[INVESTOR NAME],MATCH(LS[[#This Row],[Investor ID]],INVESTORS_LIST[INVESTOR CODE],0),)</f>
        <v>FAHMIDA HAQUE</v>
      </c>
      <c r="G509" s="19" t="s">
        <v>33</v>
      </c>
      <c r="H509" s="8">
        <f>COUNTIF(LS[[#Headers],[Investor ID]]:LS[[#This Row],[Investor ID]],LS[[#This Row],[Investor ID]])</f>
        <v>3</v>
      </c>
      <c r="I509" s="8" t="str">
        <f>CONCATENATE(LS[[#This Row],[Frequency]],LS[[#This Row],[Investor ID]])</f>
        <v>3A00026</v>
      </c>
      <c r="J509" s="213" t="str">
        <f>IF(LS[[#This Row],[B/S]]="B","BUY",(IF(LS[[#This Row],[B/S]]="S","SELL"," ")))</f>
        <v>BUY</v>
      </c>
      <c r="K509" s="8" t="s">
        <v>301</v>
      </c>
      <c r="L509" s="10">
        <v>23246.1</v>
      </c>
      <c r="M509" s="10"/>
      <c r="N509" s="168">
        <f>LS[[#This Row],[Amount]]/LS[[#This Row],[Unit]]</f>
        <v>10.537669990933816</v>
      </c>
      <c r="O509" s="11">
        <f t="shared" si="93"/>
        <v>2206</v>
      </c>
      <c r="P509" s="11">
        <f>SUMIFS(LS[[#Headers],[Unit]]:LS[[#This Row],[Unit]],LS[[#Headers],[Investor ID]]:LS[[#This Row],[Investor ID]],LS[[#This Row],[Investor ID]])</f>
        <v>53864</v>
      </c>
      <c r="Q509" s="10">
        <v>22060</v>
      </c>
      <c r="R509" s="6">
        <f>LS[[#This Row],[Amount]]-LS[[#This Row],[Unit Capital]]</f>
        <v>1186.0999999999985</v>
      </c>
      <c r="S509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9.9251767414228418</v>
      </c>
      <c r="T509" s="168">
        <f t="shared" si="92"/>
        <v>12.552</v>
      </c>
      <c r="U509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09" s="10" cm="1">
        <f t="array" ref="V509">IF(LS[[#This Row],[B/S]]="S",ABS(LS[[#This Row],[Unit]])*(INDEX(LS[NAV at Cost (Average)],MATCH(CONCATENATE((LS[[#This Row],[Frequency]]-1),LS[[#This Row],[Investor ID]]),LS[Unique Code],0),0)),0)</f>
        <v>0</v>
      </c>
      <c r="W509" s="10">
        <f>IF(LS[[#This Row],[BO Transfer]]="YES",LS[[#This Row],[Unit]],)</f>
        <v>0</v>
      </c>
      <c r="X509" s="3">
        <f>SUMIFS(LS[[#Headers],[BO UNIT TRANSFER]]:LS[[#This Row],[BO UNIT TRANSFER]],LS[[#Headers],[Investor ID]]:LS[[#This Row],[Investor ID]],LS[[#This Row],[Investor ID]])</f>
        <v>0</v>
      </c>
    </row>
    <row r="510" spans="2:24">
      <c r="B510" s="8">
        <v>2025</v>
      </c>
      <c r="C510" s="8">
        <v>3</v>
      </c>
      <c r="D510" s="8">
        <v>12</v>
      </c>
      <c r="E510" s="291">
        <f>DATE(LS[[#This Row],[Year]],LS[[#This Row],[Month]],LS[[#This Row],[Day]])</f>
        <v>45728</v>
      </c>
      <c r="F510" t="str" cm="1">
        <f t="array" ref="F510">INDEX(INVESTORS_LIST[INVESTOR NAME],MATCH(LS[[#This Row],[Investor ID]],INVESTORS_LIST[INVESTOR CODE],0),)</f>
        <v>TANVIR AHMED SIDDIQUI</v>
      </c>
      <c r="G510" s="19" t="s">
        <v>39</v>
      </c>
      <c r="H510" s="8">
        <f>COUNTIF(LS[[#Headers],[Investor ID]]:LS[[#This Row],[Investor ID]],LS[[#This Row],[Investor ID]])</f>
        <v>7</v>
      </c>
      <c r="I510" s="8" t="str">
        <f>CONCATENATE(LS[[#This Row],[Frequency]],LS[[#This Row],[Investor ID]])</f>
        <v>7A00032</v>
      </c>
      <c r="J510" s="214" t="str">
        <f>IF(LS[[#This Row],[B/S]]="B","BUY",(IF(LS[[#This Row],[B/S]]="S","SELL"," ")))</f>
        <v>BUY</v>
      </c>
      <c r="K510" s="8" t="s">
        <v>301</v>
      </c>
      <c r="L510" s="10">
        <v>10766.95</v>
      </c>
      <c r="M510" s="10"/>
      <c r="N510" s="168">
        <f>LS[[#This Row],[Amount]]/LS[[#This Row],[Unit]]</f>
        <v>10.53517612524462</v>
      </c>
      <c r="O510" s="11">
        <f t="shared" si="93"/>
        <v>1022</v>
      </c>
      <c r="P510" s="11">
        <f>SUMIFS(LS[[#Headers],[Unit]]:LS[[#This Row],[Unit]],LS[[#Headers],[Investor ID]]:LS[[#This Row],[Investor ID]],LS[[#This Row],[Investor ID]])</f>
        <v>26356</v>
      </c>
      <c r="Q510" s="10">
        <v>10220</v>
      </c>
      <c r="R510" s="6">
        <f>LS[[#This Row],[Amount]]-LS[[#This Row],[Unit Capital]]</f>
        <v>546.95000000000073</v>
      </c>
      <c r="S510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10.014030960692063</v>
      </c>
      <c r="T510" s="168">
        <f t="shared" si="92"/>
        <v>12.552</v>
      </c>
      <c r="U510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10" s="10" cm="1">
        <f t="array" ref="V510">IF(LS[[#This Row],[B/S]]="S",ABS(LS[[#This Row],[Unit]])*(INDEX(LS[NAV at Cost (Average)],MATCH(CONCATENATE((LS[[#This Row],[Frequency]]-1),LS[[#This Row],[Investor ID]]),LS[Unique Code],0),0)),0)</f>
        <v>0</v>
      </c>
      <c r="W510" s="10">
        <f>IF(LS[[#This Row],[BO Transfer]]="YES",LS[[#This Row],[Unit]],)</f>
        <v>0</v>
      </c>
      <c r="X510" s="3">
        <f>SUMIFS(LS[[#Headers],[BO UNIT TRANSFER]]:LS[[#This Row],[BO UNIT TRANSFER]],LS[[#Headers],[Investor ID]]:LS[[#This Row],[Investor ID]],LS[[#This Row],[Investor ID]])</f>
        <v>0</v>
      </c>
    </row>
    <row r="511" spans="2:24">
      <c r="B511" s="8">
        <v>2025</v>
      </c>
      <c r="C511" s="8">
        <v>3</v>
      </c>
      <c r="D511" s="8">
        <v>12</v>
      </c>
      <c r="E511" s="291">
        <f>DATE(LS[[#This Row],[Year]],LS[[#This Row],[Month]],LS[[#This Row],[Day]])</f>
        <v>45728</v>
      </c>
      <c r="F511" t="str" cm="1">
        <f t="array" ref="F511">INDEX(INVESTORS_LIST[INVESTOR NAME],MATCH(LS[[#This Row],[Investor ID]],INVESTORS_LIST[INVESTOR CODE],0),)</f>
        <v>UCB STOCK BROKERAGE LIMITED</v>
      </c>
      <c r="G511" s="19" t="s">
        <v>50</v>
      </c>
      <c r="H511" s="8">
        <f>COUNTIF(LS[[#Headers],[Investor ID]]:LS[[#This Row],[Investor ID]],LS[[#This Row],[Investor ID]])</f>
        <v>3</v>
      </c>
      <c r="I511" s="8" t="str">
        <f>CONCATENATE(LS[[#This Row],[Frequency]],LS[[#This Row],[Investor ID]])</f>
        <v>3A00043</v>
      </c>
      <c r="J511" s="8" t="str">
        <f>IF(LS[[#This Row],[B/S]]="B","BUY",(IF(LS[[#This Row],[B/S]]="S","SELL"," ")))</f>
        <v>BUY</v>
      </c>
      <c r="K511" s="8" t="s">
        <v>301</v>
      </c>
      <c r="L511" s="10">
        <v>102030</v>
      </c>
      <c r="M511" s="10"/>
      <c r="N511" s="168">
        <f>LS[[#This Row],[Amount]]/LS[[#This Row],[Unit]]</f>
        <v>10.537023649695342</v>
      </c>
      <c r="O511" s="11">
        <f>Q511/10</f>
        <v>9683</v>
      </c>
      <c r="P511" s="11">
        <f>SUMIFS(LS[[#Headers],[Unit]]:LS[[#This Row],[Unit]],LS[[#Headers],[Investor ID]]:LS[[#This Row],[Investor ID]],LS[[#This Row],[Investor ID]])</f>
        <v>264758</v>
      </c>
      <c r="Q511" s="10">
        <v>96830</v>
      </c>
      <c r="R511" s="6">
        <f>LS[[#This Row],[Amount]]-LS[[#This Row],[Unit Capital]]</f>
        <v>5200</v>
      </c>
      <c r="S511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10.016807801841683</v>
      </c>
      <c r="T511" s="168">
        <f t="shared" si="92"/>
        <v>12.552</v>
      </c>
      <c r="U511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11" s="10" cm="1">
        <f t="array" ref="V511">IF(LS[[#This Row],[B/S]]="S",ABS(LS[[#This Row],[Unit]])*(INDEX(LS[NAV at Cost (Average)],MATCH(CONCATENATE((LS[[#This Row],[Frequency]]-1),LS[[#This Row],[Investor ID]]),LS[Unique Code],0),0)),0)</f>
        <v>0</v>
      </c>
      <c r="W511" s="10">
        <f>IF(LS[[#This Row],[BO Transfer]]="YES",LS[[#This Row],[Unit]],)</f>
        <v>0</v>
      </c>
      <c r="X511" s="3">
        <f>SUMIFS(LS[[#Headers],[BO UNIT TRANSFER]]:LS[[#This Row],[BO UNIT TRANSFER]],LS[[#Headers],[Investor ID]]:LS[[#This Row],[Investor ID]],LS[[#This Row],[Investor ID]])</f>
        <v>0</v>
      </c>
    </row>
    <row r="512" spans="2:24">
      <c r="B512" s="8">
        <v>2025</v>
      </c>
      <c r="C512" s="8">
        <v>3</v>
      </c>
      <c r="D512" s="8">
        <v>12</v>
      </c>
      <c r="E512" s="291">
        <f>DATE(LS[[#This Row],[Year]],LS[[#This Row],[Month]],LS[[#This Row],[Day]])</f>
        <v>45728</v>
      </c>
      <c r="F512" t="str" cm="1">
        <f t="array" ref="F512">INDEX(INVESTORS_LIST[INVESTOR NAME],MATCH(LS[[#This Row],[Investor ID]],INVESTORS_LIST[INVESTOR CODE],0),)</f>
        <v>SATCOM IT LTD. PROVIDENT FUND</v>
      </c>
      <c r="G512" s="19" t="s">
        <v>58</v>
      </c>
      <c r="H512" s="8">
        <f>COUNTIF(LS[[#Headers],[Investor ID]]:LS[[#This Row],[Investor ID]],LS[[#This Row],[Investor ID]])</f>
        <v>3</v>
      </c>
      <c r="I512" s="8" t="str">
        <f>CONCATENATE(LS[[#This Row],[Frequency]],LS[[#This Row],[Investor ID]])</f>
        <v>3A00051</v>
      </c>
      <c r="J512" s="8" t="str">
        <f>IF(LS[[#This Row],[B/S]]="B","BUY",(IF(LS[[#This Row],[B/S]]="S","SELL"," ")))</f>
        <v>BUY</v>
      </c>
      <c r="K512" s="8" t="s">
        <v>301</v>
      </c>
      <c r="L512" s="10">
        <v>45970.65</v>
      </c>
      <c r="M512" s="10"/>
      <c r="N512" s="168">
        <f>LS[[#This Row],[Amount]]/LS[[#This Row],[Unit]]</f>
        <v>10.536477194590878</v>
      </c>
      <c r="O512" s="11">
        <f t="shared" ref="O512:O515" si="94">Q512/10</f>
        <v>4363</v>
      </c>
      <c r="P512" s="11">
        <f>SUMIFS(LS[[#Headers],[Unit]]:LS[[#This Row],[Unit]],LS[[#Headers],[Investor ID]]:LS[[#This Row],[Investor ID]],LS[[#This Row],[Investor ID]])</f>
        <v>106520</v>
      </c>
      <c r="Q512" s="10">
        <v>43630</v>
      </c>
      <c r="R512" s="6">
        <f>LS[[#This Row],[Amount]]-LS[[#This Row],[Unit Capital]]</f>
        <v>2340.6500000000015</v>
      </c>
      <c r="S512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10.018969677055951</v>
      </c>
      <c r="T512" s="168">
        <f t="shared" si="92"/>
        <v>12.552</v>
      </c>
      <c r="U512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12" s="10" cm="1">
        <f t="array" ref="V512">IF(LS[[#This Row],[B/S]]="S",ABS(LS[[#This Row],[Unit]])*(INDEX(LS[NAV at Cost (Average)],MATCH(CONCATENATE((LS[[#This Row],[Frequency]]-1),LS[[#This Row],[Investor ID]]),LS[Unique Code],0),0)),0)</f>
        <v>0</v>
      </c>
      <c r="W512" s="10">
        <f>IF(LS[[#This Row],[BO Transfer]]="YES",LS[[#This Row],[Unit]],)</f>
        <v>0</v>
      </c>
      <c r="X512" s="3">
        <f>SUMIFS(LS[[#Headers],[BO UNIT TRANSFER]]:LS[[#This Row],[BO UNIT TRANSFER]],LS[[#Headers],[Investor ID]]:LS[[#This Row],[Investor ID]],LS[[#This Row],[Investor ID]])</f>
        <v>0</v>
      </c>
    </row>
    <row r="513" spans="2:26">
      <c r="B513" s="8">
        <v>2025</v>
      </c>
      <c r="C513" s="8">
        <v>3</v>
      </c>
      <c r="D513" s="8">
        <v>12</v>
      </c>
      <c r="E513" s="291">
        <f>DATE(LS[[#This Row],[Year]],LS[[#This Row],[Month]],LS[[#This Row],[Day]])</f>
        <v>45728</v>
      </c>
      <c r="F513" t="str" cm="1">
        <f t="array" ref="F513">INDEX(INVESTORS_LIST[INVESTOR NAME],MATCH(LS[[#This Row],[Investor ID]],INVESTORS_LIST[INVESTOR CODE],0),)</f>
        <v>SHUVA SAHA</v>
      </c>
      <c r="G513" s="19" t="s">
        <v>60</v>
      </c>
      <c r="H513" s="8">
        <f>COUNTIF(LS[[#Headers],[Investor ID]]:LS[[#This Row],[Investor ID]],LS[[#This Row],[Investor ID]])</f>
        <v>14</v>
      </c>
      <c r="I513" s="8" t="str">
        <f>CONCATENATE(LS[[#This Row],[Frequency]],LS[[#This Row],[Investor ID]])</f>
        <v>14A00053</v>
      </c>
      <c r="J513" s="8" t="str">
        <f>IF(LS[[#This Row],[B/S]]="B","BUY",(IF(LS[[#This Row],[B/S]]="S","SELL"," ")))</f>
        <v>BUY</v>
      </c>
      <c r="K513" s="8" t="s">
        <v>301</v>
      </c>
      <c r="L513" s="10">
        <v>132589.79999999999</v>
      </c>
      <c r="M513" s="10"/>
      <c r="N513" s="168">
        <f>LS[[#This Row],[Amount]]/LS[[#This Row],[Unit]]</f>
        <v>10.537216879917349</v>
      </c>
      <c r="O513" s="11">
        <f t="shared" si="94"/>
        <v>12583</v>
      </c>
      <c r="P513" s="11">
        <f>SUMIFS(LS[[#Headers],[Unit]]:LS[[#This Row],[Unit]],LS[[#Headers],[Investor ID]]:LS[[#This Row],[Investor ID]],LS[[#This Row],[Investor ID]])</f>
        <v>307227</v>
      </c>
      <c r="Q513" s="10">
        <v>125830</v>
      </c>
      <c r="R513" s="6">
        <f>LS[[#This Row],[Amount]]-LS[[#This Row],[Unit Capital]]</f>
        <v>6759.7999999999884</v>
      </c>
      <c r="S513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10.155209422805655</v>
      </c>
      <c r="T513" s="168">
        <f t="shared" si="92"/>
        <v>12.552</v>
      </c>
      <c r="U513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13" s="10" cm="1">
        <f t="array" ref="V513">IF(LS[[#This Row],[B/S]]="S",ABS(LS[[#This Row],[Unit]])*(INDEX(LS[NAV at Cost (Average)],MATCH(CONCATENATE((LS[[#This Row],[Frequency]]-1),LS[[#This Row],[Investor ID]]),LS[Unique Code],0),0)),0)</f>
        <v>0</v>
      </c>
      <c r="W513" s="10">
        <f>IF(LS[[#This Row],[BO Transfer]]="YES",LS[[#This Row],[Unit]],)</f>
        <v>0</v>
      </c>
      <c r="X513" s="3">
        <f>SUMIFS(LS[[#Headers],[BO UNIT TRANSFER]]:LS[[#This Row],[BO UNIT TRANSFER]],LS[[#Headers],[Investor ID]]:LS[[#This Row],[Investor ID]],LS[[#This Row],[Investor ID]])</f>
        <v>0</v>
      </c>
    </row>
    <row r="514" spans="2:26">
      <c r="B514" s="8">
        <v>2025</v>
      </c>
      <c r="C514" s="8">
        <v>3</v>
      </c>
      <c r="D514" s="8">
        <v>12</v>
      </c>
      <c r="E514" s="291">
        <f>DATE(LS[[#This Row],[Year]],LS[[#This Row],[Month]],LS[[#This Row],[Day]])</f>
        <v>45728</v>
      </c>
      <c r="F514" t="str" cm="1">
        <f t="array" ref="F514">INDEX(INVESTORS_LIST[INVESTOR NAME],MATCH(LS[[#This Row],[Investor ID]],INVESTORS_LIST[INVESTOR CODE],0),)</f>
        <v>KAZI AHSAN MARUF</v>
      </c>
      <c r="G514" s="19" t="s">
        <v>62</v>
      </c>
      <c r="H514" s="8">
        <f>COUNTIF(LS[[#Headers],[Investor ID]]:LS[[#This Row],[Investor ID]],LS[[#This Row],[Investor ID]])</f>
        <v>9</v>
      </c>
      <c r="I514" s="8" t="str">
        <f>CONCATENATE(LS[[#This Row],[Frequency]],LS[[#This Row],[Investor ID]])</f>
        <v>9A00055</v>
      </c>
      <c r="J514" s="8" t="str">
        <f>IF(LS[[#This Row],[B/S]]="B","BUY",(IF(LS[[#This Row],[B/S]]="S","SELL"," ")))</f>
        <v>BUY</v>
      </c>
      <c r="K514" s="8" t="s">
        <v>301</v>
      </c>
      <c r="L514" s="10">
        <v>75158.100000000006</v>
      </c>
      <c r="M514" s="10"/>
      <c r="N514" s="168">
        <f>LS[[#This Row],[Amount]]/LS[[#This Row],[Unit]]</f>
        <v>10.53667461096313</v>
      </c>
      <c r="O514" s="11">
        <f t="shared" si="94"/>
        <v>7133</v>
      </c>
      <c r="P514" s="11">
        <f>SUMIFS(LS[[#Headers],[Unit]]:LS[[#This Row],[Unit]],LS[[#Headers],[Investor ID]]:LS[[#This Row],[Investor ID]],LS[[#This Row],[Investor ID]])</f>
        <v>174151</v>
      </c>
      <c r="Q514" s="10">
        <v>71330</v>
      </c>
      <c r="R514" s="6">
        <f>LS[[#This Row],[Amount]]-LS[[#This Row],[Unit Capital]]</f>
        <v>3828.1000000000058</v>
      </c>
      <c r="S514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10.475857028939696</v>
      </c>
      <c r="T514" s="168">
        <f t="shared" si="92"/>
        <v>12.552</v>
      </c>
      <c r="U514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14" s="10" cm="1">
        <f t="array" ref="V514">IF(LS[[#This Row],[B/S]]="S",ABS(LS[[#This Row],[Unit]])*(INDEX(LS[NAV at Cost (Average)],MATCH(CONCATENATE((LS[[#This Row],[Frequency]]-1),LS[[#This Row],[Investor ID]]),LS[Unique Code],0),0)),0)</f>
        <v>0</v>
      </c>
      <c r="W514" s="10">
        <f>IF(LS[[#This Row],[BO Transfer]]="YES",LS[[#This Row],[Unit]],)</f>
        <v>0</v>
      </c>
      <c r="X514" s="3">
        <f>SUMIFS(LS[[#Headers],[BO UNIT TRANSFER]]:LS[[#This Row],[BO UNIT TRANSFER]],LS[[#Headers],[Investor ID]]:LS[[#This Row],[Investor ID]],LS[[#This Row],[Investor ID]])</f>
        <v>0</v>
      </c>
    </row>
    <row r="515" spans="2:26">
      <c r="B515" s="8">
        <v>2025</v>
      </c>
      <c r="C515" s="8">
        <v>3</v>
      </c>
      <c r="D515" s="8">
        <v>12</v>
      </c>
      <c r="E515" s="291">
        <f>DATE(LS[[#This Row],[Year]],LS[[#This Row],[Month]],LS[[#This Row],[Day]])</f>
        <v>45728</v>
      </c>
      <c r="F515" t="str" cm="1">
        <f t="array" ref="F515">INDEX(INVESTORS_LIST[INVESTOR NAME],MATCH(LS[[#This Row],[Investor ID]],INVESTORS_LIST[INVESTOR CODE],0),)</f>
        <v>KANKA SAHA</v>
      </c>
      <c r="G515" s="19" t="s">
        <v>67</v>
      </c>
      <c r="H515" s="8">
        <f>COUNTIF(LS[[#Headers],[Investor ID]]:LS[[#This Row],[Investor ID]],LS[[#This Row],[Investor ID]])</f>
        <v>5</v>
      </c>
      <c r="I515" s="8" t="str">
        <f>CONCATENATE(LS[[#This Row],[Frequency]],LS[[#This Row],[Investor ID]])</f>
        <v>5A00060</v>
      </c>
      <c r="J515" s="8" t="str">
        <f>IF(LS[[#This Row],[B/S]]="B","BUY",(IF(LS[[#This Row],[B/S]]="S","SELL"," ")))</f>
        <v>BUY</v>
      </c>
      <c r="K515" s="8" t="s">
        <v>301</v>
      </c>
      <c r="L515" s="10">
        <v>21859.45</v>
      </c>
      <c r="M515" s="10"/>
      <c r="N515" s="168">
        <f>LS[[#This Row],[Amount]]/LS[[#This Row],[Unit]]</f>
        <v>10.534674698795181</v>
      </c>
      <c r="O515" s="11">
        <f t="shared" si="94"/>
        <v>2075</v>
      </c>
      <c r="P515" s="11">
        <f>SUMIFS(LS[[#Headers],[Unit]]:LS[[#This Row],[Unit]],LS[[#Headers],[Investor ID]]:LS[[#This Row],[Investor ID]],LS[[#This Row],[Investor ID]])</f>
        <v>53509</v>
      </c>
      <c r="Q515" s="10">
        <v>20750</v>
      </c>
      <c r="R515" s="6">
        <f>LS[[#This Row],[Amount]]-LS[[#This Row],[Unit Capital]]</f>
        <v>1109.4500000000007</v>
      </c>
      <c r="S515" s="168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10.017724121175878</v>
      </c>
      <c r="T515" s="168">
        <f t="shared" si="92"/>
        <v>12.552</v>
      </c>
      <c r="U515" s="1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15" s="10" cm="1">
        <f t="array" ref="V515">IF(LS[[#This Row],[B/S]]="S",ABS(LS[[#This Row],[Unit]])*(INDEX(LS[NAV at Cost (Average)],MATCH(CONCATENATE((LS[[#This Row],[Frequency]]-1),LS[[#This Row],[Investor ID]]),LS[Unique Code],0),0)),0)</f>
        <v>0</v>
      </c>
      <c r="W515" s="10">
        <f>IF(LS[[#This Row],[BO Transfer]]="YES",LS[[#This Row],[Unit]],)</f>
        <v>0</v>
      </c>
      <c r="X515" s="3">
        <f>SUMIFS(LS[[#Headers],[BO UNIT TRANSFER]]:LS[[#This Row],[BO UNIT TRANSFER]],LS[[#Headers],[Investor ID]]:LS[[#This Row],[Investor ID]],LS[[#This Row],[Investor ID]])</f>
        <v>0</v>
      </c>
      <c r="Z515" s="6"/>
    </row>
    <row r="516" spans="2:26">
      <c r="B516" s="8">
        <v>2025</v>
      </c>
      <c r="C516" s="8">
        <v>3</v>
      </c>
      <c r="D516" s="8">
        <v>12</v>
      </c>
      <c r="E516" s="291">
        <f>DATE(LS[[#This Row],[Year]],LS[[#This Row],[Month]],LS[[#This Row],[Day]])</f>
        <v>45728</v>
      </c>
      <c r="F516" t="str" cm="1">
        <f t="array" ref="F516">INDEX(INVESTORS_LIST[INVESTOR NAME],MATCH(LS[[#This Row],[Investor ID]],INVESTORS_LIST[INVESTOR CODE],0),)</f>
        <v>PHOENIX INSURANCE CO. LTD.</v>
      </c>
      <c r="G516" s="25" t="s">
        <v>76</v>
      </c>
      <c r="H516" s="8">
        <f>COUNTIF(LS[[#Headers],[Investor ID]]:LS[[#This Row],[Investor ID]],LS[[#This Row],[Investor ID]])</f>
        <v>3</v>
      </c>
      <c r="I516" s="8" t="str">
        <f>CONCATENATE(LS[[#This Row],[Frequency]],LS[[#This Row],[Investor ID]])</f>
        <v>3A00068</v>
      </c>
      <c r="J516" s="215" t="str">
        <f>IF(LS[[#This Row],[B/S]]="B","BUY",(IF(LS[[#This Row],[B/S]]="S","SELL"," ")))</f>
        <v>BUY</v>
      </c>
      <c r="K516" s="8" t="s">
        <v>301</v>
      </c>
      <c r="L516" s="3">
        <v>81624</v>
      </c>
      <c r="M516" s="3"/>
      <c r="N516" s="216">
        <f>LS[[#This Row],[Amount]]/LS[[#This Row],[Unit]]</f>
        <v>10.537567776917118</v>
      </c>
      <c r="O516" s="1">
        <f t="shared" ref="O516:O518" si="95">Q516/10</f>
        <v>7746</v>
      </c>
      <c r="P516" s="1">
        <f>SUMIFS(LS[[#Headers],[Unit]]:LS[[#This Row],[Unit]],LS[[#Headers],[Investor ID]]:LS[[#This Row],[Investor ID]],LS[[#This Row],[Investor ID]])</f>
        <v>211806</v>
      </c>
      <c r="Q516" s="10">
        <v>77460</v>
      </c>
      <c r="R516" s="6">
        <f>LS[[#This Row],[Amount]]-LS[[#This Row],[Unit Capital]]</f>
        <v>4164</v>
      </c>
      <c r="S51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10.016826718789837</v>
      </c>
      <c r="T516" s="216">
        <f t="shared" si="92"/>
        <v>12.552</v>
      </c>
      <c r="U51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16" s="3" cm="1">
        <f t="array" ref="V516">IF(LS[[#This Row],[B/S]]="S",ABS(LS[[#This Row],[Unit]])*(INDEX(LS[NAV at Cost (Average)],MATCH(CONCATENATE((LS[[#This Row],[Frequency]]-1),LS[[#This Row],[Investor ID]]),LS[Unique Code],0),0)),0)</f>
        <v>0</v>
      </c>
      <c r="W516" s="3">
        <f>IF(LS[[#This Row],[BO Transfer]]="YES",LS[[#This Row],[Unit]],)</f>
        <v>0</v>
      </c>
      <c r="X516" s="3">
        <f>SUMIFS(LS[[#Headers],[BO UNIT TRANSFER]]:LS[[#This Row],[BO UNIT TRANSFER]],LS[[#Headers],[Investor ID]]:LS[[#This Row],[Investor ID]],LS[[#This Row],[Investor ID]])</f>
        <v>0</v>
      </c>
    </row>
    <row r="517" spans="2:26">
      <c r="B517" s="8">
        <v>2025</v>
      </c>
      <c r="C517" s="8">
        <v>3</v>
      </c>
      <c r="D517" s="8">
        <v>12</v>
      </c>
      <c r="E517" s="291">
        <f>DATE(LS[[#This Row],[Year]],LS[[#This Row],[Month]],LS[[#This Row],[Day]])</f>
        <v>45728</v>
      </c>
      <c r="F517" t="str" cm="1">
        <f t="array" ref="F517">INDEX(INVESTORS_LIST[INVESTOR NAME],MATCH(LS[[#This Row],[Investor ID]],INVESTORS_LIST[INVESTOR CODE],0),)</f>
        <v>UNICAP INVESTMENTS LIMITED</v>
      </c>
      <c r="G517" s="25" t="s">
        <v>77</v>
      </c>
      <c r="H517" s="8">
        <f>COUNTIF(LS[[#Headers],[Investor ID]]:LS[[#This Row],[Investor ID]],LS[[#This Row],[Investor ID]])</f>
        <v>3</v>
      </c>
      <c r="I517" s="8" t="str">
        <f>CONCATENATE(LS[[#This Row],[Frequency]],LS[[#This Row],[Investor ID]])</f>
        <v>3A00069</v>
      </c>
      <c r="J517" s="215" t="str">
        <f>IF(LS[[#This Row],[B/S]]="B","BUY",(IF(LS[[#This Row],[B/S]]="S","SELL"," ")))</f>
        <v>BUY</v>
      </c>
      <c r="K517" s="8" t="s">
        <v>301</v>
      </c>
      <c r="L517" s="3">
        <v>40812</v>
      </c>
      <c r="M517" s="3"/>
      <c r="N517" s="216">
        <f>LS[[#This Row],[Amount]]/LS[[#This Row],[Unit]]</f>
        <v>10.537567776917118</v>
      </c>
      <c r="O517" s="1">
        <f t="shared" si="95"/>
        <v>3873</v>
      </c>
      <c r="P517" s="1">
        <f>SUMIFS(LS[[#Headers],[Unit]]:LS[[#This Row],[Unit]],LS[[#Headers],[Investor ID]]:LS[[#This Row],[Investor ID]],LS[[#This Row],[Investor ID]])</f>
        <v>105903</v>
      </c>
      <c r="Q517" s="10">
        <v>38730</v>
      </c>
      <c r="R517" s="6">
        <f>LS[[#This Row],[Amount]]-LS[[#This Row],[Unit Capital]]</f>
        <v>2082</v>
      </c>
      <c r="S51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10.016826718789837</v>
      </c>
      <c r="T517" s="216">
        <f t="shared" si="92"/>
        <v>12.552</v>
      </c>
      <c r="U51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17" s="3" cm="1">
        <f t="array" ref="V517">IF(LS[[#This Row],[B/S]]="S",ABS(LS[[#This Row],[Unit]])*(INDEX(LS[NAV at Cost (Average)],MATCH(CONCATENATE((LS[[#This Row],[Frequency]]-1),LS[[#This Row],[Investor ID]]),LS[Unique Code],0),0)),0)</f>
        <v>0</v>
      </c>
      <c r="W517" s="3">
        <f>IF(LS[[#This Row],[BO Transfer]]="YES",LS[[#This Row],[Unit]],)</f>
        <v>0</v>
      </c>
      <c r="X517" s="3">
        <f>SUMIFS(LS[[#Headers],[BO UNIT TRANSFER]]:LS[[#This Row],[BO UNIT TRANSFER]],LS[[#Headers],[Investor ID]]:LS[[#This Row],[Investor ID]],LS[[#This Row],[Investor ID]])</f>
        <v>0</v>
      </c>
    </row>
    <row r="518" spans="2:26">
      <c r="B518" s="8">
        <v>2025</v>
      </c>
      <c r="C518" s="8">
        <v>3</v>
      </c>
      <c r="D518" s="8">
        <v>12</v>
      </c>
      <c r="E518" s="291">
        <f>DATE(LS[[#This Row],[Year]],LS[[#This Row],[Month]],LS[[#This Row],[Day]])</f>
        <v>45728</v>
      </c>
      <c r="F518" t="str" cm="1">
        <f t="array" ref="F518">INDEX(INVESTORS_LIST[INVESTOR NAME],MATCH(LS[[#This Row],[Investor ID]],INVESTORS_LIST[INVESTOR CODE],0),)</f>
        <v>BILKISS ARA</v>
      </c>
      <c r="G518" s="25" t="s">
        <v>81</v>
      </c>
      <c r="H518" s="8">
        <f>COUNTIF(LS[[#Headers],[Investor ID]]:LS[[#This Row],[Investor ID]],LS[[#This Row],[Investor ID]])</f>
        <v>5</v>
      </c>
      <c r="I518" s="8" t="str">
        <f>CONCATENATE(LS[[#This Row],[Frequency]],LS[[#This Row],[Investor ID]])</f>
        <v>5A00073</v>
      </c>
      <c r="J518" s="215" t="str">
        <f>IF(LS[[#This Row],[B/S]]="B","BUY",(IF(LS[[#This Row],[B/S]]="S","SELL"," ")))</f>
        <v>BUY</v>
      </c>
      <c r="K518" s="8" t="s">
        <v>301</v>
      </c>
      <c r="L518" s="3">
        <v>42302.8</v>
      </c>
      <c r="M518" s="3" t="s">
        <v>957</v>
      </c>
      <c r="N518" s="216">
        <f>LS[[#This Row],[Amount]]/LS[[#This Row],[Unit]]</f>
        <v>10.536189290161893</v>
      </c>
      <c r="O518" s="1">
        <f t="shared" si="95"/>
        <v>4015</v>
      </c>
      <c r="P518" s="1">
        <f>SUMIFS(LS[[#Headers],[Unit]]:LS[[#This Row],[Unit]],LS[[#Headers],[Investor ID]]:LS[[#This Row],[Investor ID]],LS[[#This Row],[Investor ID]])</f>
        <v>103551</v>
      </c>
      <c r="Q518" s="10">
        <v>40150</v>
      </c>
      <c r="R518" s="6">
        <f>LS[[#This Row],[Amount]]-LS[[#This Row],[Unit Capital]]</f>
        <v>2152.8000000000029</v>
      </c>
      <c r="S51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10.54845245338046</v>
      </c>
      <c r="T518" s="216">
        <f t="shared" si="92"/>
        <v>12.552</v>
      </c>
      <c r="U51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18" s="3" cm="1">
        <f t="array" ref="V518">IF(LS[[#This Row],[B/S]]="S",ABS(LS[[#This Row],[Unit]])*(INDEX(LS[NAV at Cost (Average)],MATCH(CONCATENATE((LS[[#This Row],[Frequency]]-1),LS[[#This Row],[Investor ID]]),LS[Unique Code],0),0)),0)</f>
        <v>0</v>
      </c>
      <c r="W518" s="3">
        <f>IF(LS[[#This Row],[BO Transfer]]="YES",LS[[#This Row],[Unit]],)</f>
        <v>4015</v>
      </c>
      <c r="X518" s="3">
        <f>SUMIFS(LS[[#Headers],[BO UNIT TRANSFER]]:LS[[#This Row],[BO UNIT TRANSFER]],LS[[#Headers],[Investor ID]]:LS[[#This Row],[Investor ID]],LS[[#This Row],[Investor ID]])</f>
        <v>103551</v>
      </c>
    </row>
    <row r="519" spans="2:26">
      <c r="B519" s="8">
        <v>2025</v>
      </c>
      <c r="C519" s="8">
        <v>3</v>
      </c>
      <c r="D519" s="8">
        <v>12</v>
      </c>
      <c r="E519" s="291">
        <f>DATE(LS[[#This Row],[Year]],LS[[#This Row],[Month]],LS[[#This Row],[Day]])</f>
        <v>45728</v>
      </c>
      <c r="F519" t="str" cm="1">
        <f t="array" ref="F519">INDEX(INVESTORS_LIST[INVESTOR NAME],MATCH(LS[[#This Row],[Investor ID]],INVESTORS_LIST[INVESTOR CODE],0),)</f>
        <v>MOHAMMAD SAYDUZZAMAN</v>
      </c>
      <c r="G519" s="25" t="s">
        <v>84</v>
      </c>
      <c r="H519" s="8">
        <f>COUNTIF(LS[[#Headers],[Investor ID]]:LS[[#This Row],[Investor ID]],LS[[#This Row],[Investor ID]])</f>
        <v>3</v>
      </c>
      <c r="I519" s="8" t="str">
        <f>CONCATENATE(LS[[#This Row],[Frequency]],LS[[#This Row],[Investor ID]])</f>
        <v>3A00076</v>
      </c>
      <c r="J519" s="217" t="str">
        <f>IF(LS[[#This Row],[B/S]]="B","BUY",(IF(LS[[#This Row],[B/S]]="S","SELL"," ")))</f>
        <v>BUY</v>
      </c>
      <c r="K519" s="8" t="s">
        <v>301</v>
      </c>
      <c r="L519" s="3">
        <v>13808.25</v>
      </c>
      <c r="M519" s="3"/>
      <c r="N519" s="216">
        <f>LS[[#This Row],[Amount]]/LS[[#This Row],[Unit]]</f>
        <v>10.540648854961832</v>
      </c>
      <c r="O519" s="1">
        <f t="shared" ref="O519:O520" si="96">Q519/10</f>
        <v>1310</v>
      </c>
      <c r="P519" s="1">
        <f>SUMIFS(LS[[#Headers],[Unit]]:LS[[#This Row],[Unit]],LS[[#Headers],[Investor ID]]:LS[[#This Row],[Investor ID]],LS[[#This Row],[Investor ID]])</f>
        <v>31995</v>
      </c>
      <c r="Q519" s="10">
        <v>13100</v>
      </c>
      <c r="R519" s="6">
        <f>LS[[#This Row],[Amount]]-LS[[#This Row],[Unit Capital]]</f>
        <v>708.25</v>
      </c>
      <c r="S51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10.019010782934833</v>
      </c>
      <c r="T519" s="216">
        <f t="shared" si="92"/>
        <v>12.552</v>
      </c>
      <c r="U51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19" s="3" cm="1">
        <f t="array" ref="V519">IF(LS[[#This Row],[B/S]]="S",ABS(LS[[#This Row],[Unit]])*(INDEX(LS[NAV at Cost (Average)],MATCH(CONCATENATE((LS[[#This Row],[Frequency]]-1),LS[[#This Row],[Investor ID]]),LS[Unique Code],0),0)),0)</f>
        <v>0</v>
      </c>
      <c r="W519" s="3">
        <f>IF(LS[[#This Row],[BO Transfer]]="YES",LS[[#This Row],[Unit]],)</f>
        <v>0</v>
      </c>
      <c r="X519" s="3">
        <f>SUMIFS(LS[[#Headers],[BO UNIT TRANSFER]]:LS[[#This Row],[BO UNIT TRANSFER]],LS[[#Headers],[Investor ID]]:LS[[#This Row],[Investor ID]],LS[[#This Row],[Investor ID]])</f>
        <v>0</v>
      </c>
    </row>
    <row r="520" spans="2:26">
      <c r="B520" s="8">
        <v>2025</v>
      </c>
      <c r="C520" s="8">
        <v>3</v>
      </c>
      <c r="D520" s="8">
        <v>12</v>
      </c>
      <c r="E520" s="291">
        <f>DATE(LS[[#This Row],[Year]],LS[[#This Row],[Month]],LS[[#This Row],[Day]])</f>
        <v>45728</v>
      </c>
      <c r="F520" t="str" cm="1">
        <f t="array" ref="F520">INDEX(INVESTORS_LIST[INVESTOR NAME],MATCH(LS[[#This Row],[Investor ID]],INVESTORS_LIST[INVESTOR CODE],0),)</f>
        <v>JHARNA RANI SAHA</v>
      </c>
      <c r="G520" s="25" t="s">
        <v>85</v>
      </c>
      <c r="H520" s="8">
        <f>COUNTIF(LS[[#Headers],[Investor ID]]:LS[[#This Row],[Investor ID]],LS[[#This Row],[Investor ID]])</f>
        <v>3</v>
      </c>
      <c r="I520" s="8" t="str">
        <f>CONCATENATE(LS[[#This Row],[Frequency]],LS[[#This Row],[Investor ID]])</f>
        <v>3A00077</v>
      </c>
      <c r="J520" s="217" t="str">
        <f>IF(LS[[#This Row],[B/S]]="B","BUY",(IF(LS[[#This Row],[B/S]]="S","SELL"," ")))</f>
        <v>BUY</v>
      </c>
      <c r="K520" s="8" t="s">
        <v>301</v>
      </c>
      <c r="L520" s="3">
        <v>6904.35</v>
      </c>
      <c r="M520" s="3"/>
      <c r="N520" s="216">
        <f>LS[[#This Row],[Amount]]/LS[[#This Row],[Unit]]</f>
        <v>10.540992366412214</v>
      </c>
      <c r="O520" s="1">
        <f t="shared" si="96"/>
        <v>655</v>
      </c>
      <c r="P520" s="1">
        <f>SUMIFS(LS[[#Headers],[Unit]]:LS[[#This Row],[Unit]],LS[[#Headers],[Investor ID]]:LS[[#This Row],[Investor ID]],LS[[#This Row],[Investor ID]])</f>
        <v>15998</v>
      </c>
      <c r="Q520" s="10">
        <v>6550</v>
      </c>
      <c r="R520" s="6">
        <f>LS[[#This Row],[Amount]]-LS[[#This Row],[Unit Capital]]</f>
        <v>354.35000000000036</v>
      </c>
      <c r="S52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10.018711713964246</v>
      </c>
      <c r="T520" s="216">
        <f t="shared" si="92"/>
        <v>12.552</v>
      </c>
      <c r="U52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20" s="3" cm="1">
        <f t="array" ref="V520">IF(LS[[#This Row],[B/S]]="S",ABS(LS[[#This Row],[Unit]])*(INDEX(LS[NAV at Cost (Average)],MATCH(CONCATENATE((LS[[#This Row],[Frequency]]-1),LS[[#This Row],[Investor ID]]),LS[Unique Code],0),0)),0)</f>
        <v>0</v>
      </c>
      <c r="W520" s="3">
        <f>IF(LS[[#This Row],[BO Transfer]]="YES",LS[[#This Row],[Unit]],)</f>
        <v>0</v>
      </c>
      <c r="X520" s="3">
        <f>SUMIFS(LS[[#Headers],[BO UNIT TRANSFER]]:LS[[#This Row],[BO UNIT TRANSFER]],LS[[#Headers],[Investor ID]]:LS[[#This Row],[Investor ID]],LS[[#This Row],[Investor ID]])</f>
        <v>0</v>
      </c>
    </row>
    <row r="521" spans="2:26">
      <c r="B521" s="8">
        <v>2025</v>
      </c>
      <c r="C521" s="8">
        <v>3</v>
      </c>
      <c r="D521" s="8">
        <v>12</v>
      </c>
      <c r="E521" s="291">
        <f>DATE(LS[[#This Row],[Year]],LS[[#This Row],[Month]],LS[[#This Row],[Day]])</f>
        <v>45728</v>
      </c>
      <c r="F521" t="str" cm="1">
        <f t="array" ref="F521">INDEX(INVESTORS_LIST[INVESTOR NAME],MATCH(LS[[#This Row],[Investor ID]],INVESTORS_LIST[INVESTOR CODE],0),)</f>
        <v>MD. ARIFUL ISLAM</v>
      </c>
      <c r="G521" s="25" t="s">
        <v>95</v>
      </c>
      <c r="H521" s="8">
        <f>COUNTIF(LS[[#Headers],[Investor ID]]:LS[[#This Row],[Investor ID]],LS[[#This Row],[Investor ID]])</f>
        <v>4</v>
      </c>
      <c r="I521" s="8" t="str">
        <f>CONCATENATE(LS[[#This Row],[Frequency]],LS[[#This Row],[Investor ID]])</f>
        <v>4A00087</v>
      </c>
      <c r="J521" s="217" t="str">
        <f>IF(LS[[#This Row],[B/S]]="B","BUY",(IF(LS[[#This Row],[B/S]]="S","SELL"," ")))</f>
        <v>BUY</v>
      </c>
      <c r="K521" s="8" t="s">
        <v>301</v>
      </c>
      <c r="L521" s="3">
        <v>217500.3</v>
      </c>
      <c r="M521" s="10" t="s">
        <v>957</v>
      </c>
      <c r="N521" s="216">
        <f>LS[[#This Row],[Amount]]/LS[[#This Row],[Unit]]</f>
        <v>10.536784226334657</v>
      </c>
      <c r="O521" s="1">
        <f t="shared" ref="O521:O525" si="97">Q521/10</f>
        <v>20642</v>
      </c>
      <c r="P521" s="1">
        <f>SUMIFS(LS[[#Headers],[Unit]]:LS[[#This Row],[Unit]],LS[[#Headers],[Investor ID]]:LS[[#This Row],[Investor ID]],LS[[#This Row],[Investor ID]])</f>
        <v>503976</v>
      </c>
      <c r="Q521" s="10">
        <v>206420</v>
      </c>
      <c r="R521" s="6">
        <f>LS[[#This Row],[Amount]]-LS[[#This Row],[Unit Capital]]</f>
        <v>11080.299999999988</v>
      </c>
      <c r="S52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10.018814884042097</v>
      </c>
      <c r="T521" s="216">
        <f t="shared" si="92"/>
        <v>12.552</v>
      </c>
      <c r="U52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21" s="3" cm="1">
        <f t="array" ref="V521">IF(LS[[#This Row],[B/S]]="S",ABS(LS[[#This Row],[Unit]])*(INDEX(LS[NAV at Cost (Average)],MATCH(CONCATENATE((LS[[#This Row],[Frequency]]-1),LS[[#This Row],[Investor ID]]),LS[Unique Code],0),0)),0)</f>
        <v>0</v>
      </c>
      <c r="W521" s="3">
        <f>IF(LS[[#This Row],[BO Transfer]]="YES",LS[[#This Row],[Unit]],)</f>
        <v>20642</v>
      </c>
      <c r="X521" s="3">
        <f>SUMIFS(LS[[#Headers],[BO UNIT TRANSFER]]:LS[[#This Row],[BO UNIT TRANSFER]],LS[[#Headers],[Investor ID]]:LS[[#This Row],[Investor ID]],LS[[#This Row],[Investor ID]])</f>
        <v>3976</v>
      </c>
    </row>
    <row r="522" spans="2:26">
      <c r="B522" s="8">
        <v>2025</v>
      </c>
      <c r="C522" s="8">
        <v>3</v>
      </c>
      <c r="D522" s="8">
        <v>12</v>
      </c>
      <c r="E522" s="291">
        <f>DATE(LS[[#This Row],[Year]],LS[[#This Row],[Month]],LS[[#This Row],[Day]])</f>
        <v>45728</v>
      </c>
      <c r="F522" t="str" cm="1">
        <f t="array" ref="F522">INDEX(INVESTORS_LIST[INVESTOR NAME],MATCH(LS[[#This Row],[Investor ID]],INVESTORS_LIST[INVESTOR CODE],0),)</f>
        <v>MAYA RANI SAHA</v>
      </c>
      <c r="G522" s="25" t="s">
        <v>96</v>
      </c>
      <c r="H522" s="8">
        <f>COUNTIF(LS[[#Headers],[Investor ID]]:LS[[#This Row],[Investor ID]],LS[[#This Row],[Investor ID]])</f>
        <v>4</v>
      </c>
      <c r="I522" s="8" t="str">
        <f>CONCATENATE(LS[[#This Row],[Frequency]],LS[[#This Row],[Investor ID]])</f>
        <v>4A00088</v>
      </c>
      <c r="J522" s="8" t="str">
        <f>IF(LS[[#This Row],[B/S]]="B","BUY",(IF(LS[[#This Row],[B/S]]="S","SELL"," ")))</f>
        <v>BUY</v>
      </c>
      <c r="K522" s="8" t="s">
        <v>301</v>
      </c>
      <c r="L522" s="3">
        <v>45065.7</v>
      </c>
      <c r="M522" s="3"/>
      <c r="N522" s="216">
        <f>LS[[#This Row],[Amount]]/LS[[#This Row],[Unit]]</f>
        <v>10.536754734627074</v>
      </c>
      <c r="O522" s="1">
        <f t="shared" si="97"/>
        <v>4277</v>
      </c>
      <c r="P522" s="1">
        <f>SUMIFS(LS[[#Headers],[Unit]]:LS[[#This Row],[Unit]],LS[[#Headers],[Investor ID]]:LS[[#This Row],[Investor ID]],LS[[#This Row],[Investor ID]])</f>
        <v>104423</v>
      </c>
      <c r="Q522" s="10">
        <v>42770</v>
      </c>
      <c r="R522" s="6">
        <f>LS[[#This Row],[Amount]]-LS[[#This Row],[Unit Capital]]</f>
        <v>2295.6999999999971</v>
      </c>
      <c r="S52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10.018822002815471</v>
      </c>
      <c r="T522" s="216">
        <f t="shared" si="92"/>
        <v>12.552</v>
      </c>
      <c r="U52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22" s="3" cm="1">
        <f t="array" ref="V522">IF(LS[[#This Row],[B/S]]="S",ABS(LS[[#This Row],[Unit]])*(INDEX(LS[NAV at Cost (Average)],MATCH(CONCATENATE((LS[[#This Row],[Frequency]]-1),LS[[#This Row],[Investor ID]]),LS[Unique Code],0),0)),0)</f>
        <v>0</v>
      </c>
      <c r="W522" s="3">
        <f>IF(LS[[#This Row],[BO Transfer]]="YES",LS[[#This Row],[Unit]],)</f>
        <v>0</v>
      </c>
      <c r="X522" s="3">
        <f>SUMIFS(LS[[#Headers],[BO UNIT TRANSFER]]:LS[[#This Row],[BO UNIT TRANSFER]],LS[[#Headers],[Investor ID]]:LS[[#This Row],[Investor ID]],LS[[#This Row],[Investor ID]])</f>
        <v>0</v>
      </c>
    </row>
    <row r="523" spans="2:26">
      <c r="B523" s="8">
        <v>2025</v>
      </c>
      <c r="C523" s="8">
        <v>3</v>
      </c>
      <c r="D523" s="8">
        <v>12</v>
      </c>
      <c r="E523" s="291">
        <f>DATE(LS[[#This Row],[Year]],LS[[#This Row],[Month]],LS[[#This Row],[Day]])</f>
        <v>45728</v>
      </c>
      <c r="F523" t="str" cm="1">
        <f t="array" ref="F523">INDEX(INVESTORS_LIST[INVESTOR NAME],MATCH(LS[[#This Row],[Investor ID]],INVESTORS_LIST[INVESTOR CODE],0),)</f>
        <v>SYED ADNAN HUDA</v>
      </c>
      <c r="G523" s="25" t="s">
        <v>106</v>
      </c>
      <c r="H523" s="8">
        <f>COUNTIF(LS[[#Headers],[Investor ID]]:LS[[#This Row],[Investor ID]],LS[[#This Row],[Investor ID]])</f>
        <v>3</v>
      </c>
      <c r="I523" s="8" t="str">
        <f>CONCATENATE(LS[[#This Row],[Frequency]],LS[[#This Row],[Investor ID]])</f>
        <v>3A00094</v>
      </c>
      <c r="J523" s="8" t="str">
        <f>IF(LS[[#This Row],[B/S]]="B","BUY",(IF(LS[[#This Row],[B/S]]="S","SELL"," ")))</f>
        <v>BUY</v>
      </c>
      <c r="K523" s="8" t="s">
        <v>301</v>
      </c>
      <c r="L523" s="3">
        <v>138082.95000000001</v>
      </c>
      <c r="M523" s="3"/>
      <c r="N523" s="216">
        <f>LS[[#This Row],[Amount]]/LS[[#This Row],[Unit]]</f>
        <v>10.536661579549792</v>
      </c>
      <c r="O523" s="1">
        <f t="shared" si="97"/>
        <v>13105</v>
      </c>
      <c r="P523" s="1">
        <f>SUMIFS(LS[[#Headers],[Unit]]:LS[[#This Row],[Unit]],LS[[#Headers],[Investor ID]]:LS[[#This Row],[Investor ID]],LS[[#This Row],[Investor ID]])</f>
        <v>319956</v>
      </c>
      <c r="Q523" s="10">
        <v>131050</v>
      </c>
      <c r="R523" s="6">
        <f>LS[[#This Row],[Amount]]-LS[[#This Row],[Unit Capital]]</f>
        <v>7032.9500000000116</v>
      </c>
      <c r="S52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10.018824307092226</v>
      </c>
      <c r="T523" s="216">
        <f t="shared" si="92"/>
        <v>12.552</v>
      </c>
      <c r="U52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23" s="3" cm="1">
        <f t="array" ref="V523">IF(LS[[#This Row],[B/S]]="S",ABS(LS[[#This Row],[Unit]])*(INDEX(LS[NAV at Cost (Average)],MATCH(CONCATENATE((LS[[#This Row],[Frequency]]-1),LS[[#This Row],[Investor ID]]),LS[Unique Code],0),0)),0)</f>
        <v>0</v>
      </c>
      <c r="W523" s="3">
        <f>IF(LS[[#This Row],[BO Transfer]]="YES",LS[[#This Row],[Unit]],)</f>
        <v>0</v>
      </c>
      <c r="X523" s="3">
        <f>SUMIFS(LS[[#Headers],[BO UNIT TRANSFER]]:LS[[#This Row],[BO UNIT TRANSFER]],LS[[#Headers],[Investor ID]]:LS[[#This Row],[Investor ID]],LS[[#This Row],[Investor ID]])</f>
        <v>0</v>
      </c>
    </row>
    <row r="524" spans="2:26">
      <c r="B524" s="8">
        <v>2025</v>
      </c>
      <c r="C524" s="8">
        <v>3</v>
      </c>
      <c r="D524" s="8">
        <v>12</v>
      </c>
      <c r="E524" s="291">
        <f>DATE(LS[[#This Row],[Year]],LS[[#This Row],[Month]],LS[[#This Row],[Day]])</f>
        <v>45728</v>
      </c>
      <c r="F524" t="str" cm="1">
        <f t="array" ref="F524">INDEX(INVESTORS_LIST[INVESTOR NAME],MATCH(LS[[#This Row],[Investor ID]],INVESTORS_LIST[INVESTOR CODE],0),)</f>
        <v>MD. MONIRUZZAMAN</v>
      </c>
      <c r="G524" s="25" t="s">
        <v>142</v>
      </c>
      <c r="H524" s="8">
        <f>COUNTIF(LS[[#Headers],[Investor ID]]:LS[[#This Row],[Investor ID]],LS[[#This Row],[Investor ID]])</f>
        <v>3</v>
      </c>
      <c r="I524" s="8" t="str">
        <f>CONCATENATE(LS[[#This Row],[Frequency]],LS[[#This Row],[Investor ID]])</f>
        <v>3A00113</v>
      </c>
      <c r="J524" s="8" t="str">
        <f>IF(LS[[#This Row],[B/S]]="B","BUY",(IF(LS[[#This Row],[B/S]]="S","SELL"," ")))</f>
        <v>BUY</v>
      </c>
      <c r="K524" s="8" t="s">
        <v>301</v>
      </c>
      <c r="L524" s="3">
        <v>8683.17</v>
      </c>
      <c r="M524" s="3"/>
      <c r="N524" s="216">
        <f>LS[[#This Row],[Amount]]/LS[[#This Row],[Unit]]</f>
        <v>10.537827669902912</v>
      </c>
      <c r="O524" s="1">
        <f t="shared" si="97"/>
        <v>824</v>
      </c>
      <c r="P524" s="1">
        <f>SUMIFS(LS[[#Headers],[Unit]]:LS[[#This Row],[Unit]],LS[[#Headers],[Investor ID]]:LS[[#This Row],[Investor ID]],LS[[#This Row],[Investor ID]])</f>
        <v>21255</v>
      </c>
      <c r="Q524" s="10">
        <v>8240</v>
      </c>
      <c r="R524" s="6">
        <f>LS[[#This Row],[Amount]]-LS[[#This Row],[Unit Capital]]</f>
        <v>443.17000000000007</v>
      </c>
      <c r="S52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10.018027287697013</v>
      </c>
      <c r="T524" s="216">
        <f t="shared" si="92"/>
        <v>12.552</v>
      </c>
      <c r="U52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24" s="3" cm="1">
        <f t="array" ref="V524">IF(LS[[#This Row],[B/S]]="S",ABS(LS[[#This Row],[Unit]])*(INDEX(LS[NAV at Cost (Average)],MATCH(CONCATENATE((LS[[#This Row],[Frequency]]-1),LS[[#This Row],[Investor ID]]),LS[Unique Code],0),0)),0)</f>
        <v>0</v>
      </c>
      <c r="W524" s="3">
        <f>IF(LS[[#This Row],[BO Transfer]]="YES",LS[[#This Row],[Unit]],)</f>
        <v>0</v>
      </c>
      <c r="X524" s="3">
        <f>SUMIFS(LS[[#Headers],[BO UNIT TRANSFER]]:LS[[#This Row],[BO UNIT TRANSFER]],LS[[#Headers],[Investor ID]]:LS[[#This Row],[Investor ID]],LS[[#This Row],[Investor ID]])</f>
        <v>0</v>
      </c>
    </row>
    <row r="525" spans="2:26">
      <c r="B525" s="8">
        <v>2025</v>
      </c>
      <c r="C525" s="8">
        <v>3</v>
      </c>
      <c r="D525" s="8">
        <v>12</v>
      </c>
      <c r="E525" s="291">
        <f>DATE(LS[[#This Row],[Year]],LS[[#This Row],[Month]],LS[[#This Row],[Day]])</f>
        <v>45728</v>
      </c>
      <c r="F525" t="str" cm="1">
        <f t="array" ref="F525">INDEX(INVESTORS_LIST[INVESTOR NAME],MATCH(LS[[#This Row],[Investor ID]],INVESTORS_LIST[INVESTOR CODE],0),)</f>
        <v>ARIFUR RAHMAN</v>
      </c>
      <c r="G525" s="25" t="s">
        <v>145</v>
      </c>
      <c r="H525" s="8">
        <f>COUNTIF(LS[[#Headers],[Investor ID]]:LS[[#This Row],[Investor ID]],LS[[#This Row],[Investor ID]])</f>
        <v>3</v>
      </c>
      <c r="I525" s="8" t="str">
        <f>CONCATENATE(LS[[#This Row],[Frequency]],LS[[#This Row],[Investor ID]])</f>
        <v>3A00115</v>
      </c>
      <c r="J525" s="8" t="str">
        <f>IF(LS[[#This Row],[B/S]]="B","BUY",(IF(LS[[#This Row],[B/S]]="S","SELL"," ")))</f>
        <v>BUY</v>
      </c>
      <c r="K525" s="8" t="s">
        <v>301</v>
      </c>
      <c r="L525" s="3">
        <v>4616.55</v>
      </c>
      <c r="M525" s="3"/>
      <c r="N525" s="216">
        <f>LS[[#This Row],[Amount]]/LS[[#This Row],[Unit]]</f>
        <v>10.540068493150685</v>
      </c>
      <c r="O525" s="1">
        <f t="shared" si="97"/>
        <v>438</v>
      </c>
      <c r="P525" s="1">
        <f>SUMIFS(LS[[#Headers],[Unit]]:LS[[#This Row],[Unit]],LS[[#Headers],[Investor ID]]:LS[[#This Row],[Investor ID]],LS[[#This Row],[Investor ID]])</f>
        <v>10697</v>
      </c>
      <c r="Q525" s="10">
        <v>4380</v>
      </c>
      <c r="R525" s="6">
        <f>LS[[#This Row],[Amount]]-LS[[#This Row],[Unit Capital]]</f>
        <v>236.55000000000018</v>
      </c>
      <c r="S52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9.9909600822660547</v>
      </c>
      <c r="T525" s="216">
        <f t="shared" si="92"/>
        <v>12.552</v>
      </c>
      <c r="U52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25" s="3" cm="1">
        <f t="array" ref="V525">IF(LS[[#This Row],[B/S]]="S",ABS(LS[[#This Row],[Unit]])*(INDEX(LS[NAV at Cost (Average)],MATCH(CONCATENATE((LS[[#This Row],[Frequency]]-1),LS[[#This Row],[Investor ID]]),LS[Unique Code],0),0)),0)</f>
        <v>0</v>
      </c>
      <c r="W525" s="3">
        <f>IF(LS[[#This Row],[BO Transfer]]="YES",LS[[#This Row],[Unit]],)</f>
        <v>0</v>
      </c>
      <c r="X525" s="3">
        <f>SUMIFS(LS[[#Headers],[BO UNIT TRANSFER]]:LS[[#This Row],[BO UNIT TRANSFER]],LS[[#Headers],[Investor ID]]:LS[[#This Row],[Investor ID]],LS[[#This Row],[Investor ID]])</f>
        <v>0</v>
      </c>
    </row>
    <row r="526" spans="2:26">
      <c r="B526" s="8">
        <v>2025</v>
      </c>
      <c r="C526" s="8">
        <v>3</v>
      </c>
      <c r="D526" s="8">
        <v>12</v>
      </c>
      <c r="E526" s="291">
        <f>DATE(LS[[#This Row],[Year]],LS[[#This Row],[Month]],LS[[#This Row],[Day]])</f>
        <v>45728</v>
      </c>
      <c r="F526" t="str" cm="1">
        <f t="array" ref="F526">INDEX(INVESTORS_LIST[INVESTOR NAME],MATCH(LS[[#This Row],[Investor ID]],INVESTORS_LIST[INVESTOR CODE],0),)</f>
        <v>HASIB MUSTABSIR</v>
      </c>
      <c r="G526" s="25" t="s">
        <v>230</v>
      </c>
      <c r="H526" s="8">
        <f>COUNTIF(LS[[#Headers],[Investor ID]]:LS[[#This Row],[Investor ID]],LS[[#This Row],[Investor ID]])</f>
        <v>5</v>
      </c>
      <c r="I526" s="8" t="str">
        <f>CONCATENATE(LS[[#This Row],[Frequency]],LS[[#This Row],[Investor ID]])</f>
        <v>5A00194</v>
      </c>
      <c r="J526" s="8" t="str">
        <f>IF(LS[[#This Row],[B/S]]="B","BUY",(IF(LS[[#This Row],[B/S]]="S","SELL"," ")))</f>
        <v>BUY</v>
      </c>
      <c r="K526" s="8" t="s">
        <v>301</v>
      </c>
      <c r="L526" s="3">
        <v>86658.77</v>
      </c>
      <c r="M526" s="3"/>
      <c r="N526" s="216">
        <f>LS[[#This Row],[Amount]]/LS[[#This Row],[Unit]]</f>
        <v>10.537301799610896</v>
      </c>
      <c r="O526" s="1">
        <f t="shared" ref="O526:O528" si="98">Q526/10</f>
        <v>8224</v>
      </c>
      <c r="P526" s="1">
        <f>SUMIFS(LS[[#Headers],[Unit]]:LS[[#This Row],[Unit]],LS[[#Headers],[Investor ID]]:LS[[#This Row],[Investor ID]],LS[[#This Row],[Investor ID]])</f>
        <v>212127</v>
      </c>
      <c r="Q526" s="10">
        <v>82240</v>
      </c>
      <c r="R526" s="6">
        <f>LS[[#This Row],[Amount]]-LS[[#This Row],[Unit Capital]]</f>
        <v>4418.7700000000041</v>
      </c>
      <c r="S52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10.017835259066501</v>
      </c>
      <c r="T526" s="216">
        <f t="shared" si="92"/>
        <v>12.552</v>
      </c>
      <c r="U52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26" s="3" cm="1">
        <f t="array" ref="V526">IF(LS[[#This Row],[B/S]]="S",ABS(LS[[#This Row],[Unit]])*(INDEX(LS[NAV at Cost (Average)],MATCH(CONCATENATE((LS[[#This Row],[Frequency]]-1),LS[[#This Row],[Investor ID]]),LS[Unique Code],0),0)),0)</f>
        <v>0</v>
      </c>
      <c r="W526" s="3">
        <f>IF(LS[[#This Row],[BO Transfer]]="YES",LS[[#This Row],[Unit]],)</f>
        <v>0</v>
      </c>
      <c r="X526" s="3">
        <f>SUMIFS(LS[[#Headers],[BO UNIT TRANSFER]]:LS[[#This Row],[BO UNIT TRANSFER]],LS[[#Headers],[Investor ID]]:LS[[#This Row],[Investor ID]],LS[[#This Row],[Investor ID]])</f>
        <v>0</v>
      </c>
    </row>
    <row r="527" spans="2:26">
      <c r="B527" s="8">
        <v>2025</v>
      </c>
      <c r="C527" s="8">
        <v>3</v>
      </c>
      <c r="D527" s="8">
        <v>12</v>
      </c>
      <c r="E527" s="291">
        <f>DATE(LS[[#This Row],[Year]],LS[[#This Row],[Month]],LS[[#This Row],[Day]])</f>
        <v>45728</v>
      </c>
      <c r="F527" t="str" cm="1">
        <f t="array" ref="F527">INDEX(INVESTORS_LIST[INVESTOR NAME],MATCH(LS[[#This Row],[Investor ID]],INVESTORS_LIST[INVESTOR CODE],0),)</f>
        <v>MD. WALI ULLAH</v>
      </c>
      <c r="G527" s="25" t="s">
        <v>236</v>
      </c>
      <c r="H527" s="8">
        <f>COUNTIF(LS[[#Headers],[Investor ID]]:LS[[#This Row],[Investor ID]],LS[[#This Row],[Investor ID]])</f>
        <v>3</v>
      </c>
      <c r="I527" s="8" t="str">
        <f>CONCATENATE(LS[[#This Row],[Frequency]],LS[[#This Row],[Investor ID]])</f>
        <v>3A00197</v>
      </c>
      <c r="J527" s="8" t="str">
        <f>IF(LS[[#This Row],[B/S]]="B","BUY",(IF(LS[[#This Row],[B/S]]="S","SELL"," ")))</f>
        <v>BUY</v>
      </c>
      <c r="K527" s="8" t="s">
        <v>301</v>
      </c>
      <c r="L527" s="3">
        <v>4341.8</v>
      </c>
      <c r="M527" s="3"/>
      <c r="N527" s="216">
        <f>LS[[#This Row],[Amount]]/LS[[#This Row],[Unit]]</f>
        <v>10.538349514563107</v>
      </c>
      <c r="O527" s="1">
        <f t="shared" si="98"/>
        <v>412</v>
      </c>
      <c r="P527" s="1">
        <f>SUMIFS(LS[[#Headers],[Unit]]:LS[[#This Row],[Unit]],LS[[#Headers],[Investor ID]]:LS[[#This Row],[Investor ID]],LS[[#This Row],[Investor ID]])</f>
        <v>10628</v>
      </c>
      <c r="Q527" s="10">
        <v>4120</v>
      </c>
      <c r="R527" s="6">
        <f>LS[[#This Row],[Amount]]-LS[[#This Row],[Unit Capital]]</f>
        <v>221.80000000000018</v>
      </c>
      <c r="S52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10.017576213774936</v>
      </c>
      <c r="T527" s="216">
        <f t="shared" si="92"/>
        <v>12.552</v>
      </c>
      <c r="U52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27" s="3" cm="1">
        <f t="array" ref="V527">IF(LS[[#This Row],[B/S]]="S",ABS(LS[[#This Row],[Unit]])*(INDEX(LS[NAV at Cost (Average)],MATCH(CONCATENATE((LS[[#This Row],[Frequency]]-1),LS[[#This Row],[Investor ID]]),LS[Unique Code],0),0)),0)</f>
        <v>0</v>
      </c>
      <c r="W527" s="3">
        <f>IF(LS[[#This Row],[BO Transfer]]="YES",LS[[#This Row],[Unit]],)</f>
        <v>0</v>
      </c>
      <c r="X527" s="3">
        <f>SUMIFS(LS[[#Headers],[BO UNIT TRANSFER]]:LS[[#This Row],[BO UNIT TRANSFER]],LS[[#Headers],[Investor ID]]:LS[[#This Row],[Investor ID]],LS[[#This Row],[Investor ID]])</f>
        <v>0</v>
      </c>
    </row>
    <row r="528" spans="2:26">
      <c r="B528" s="8">
        <v>2025</v>
      </c>
      <c r="C528" s="8">
        <v>3</v>
      </c>
      <c r="D528" s="8">
        <v>12</v>
      </c>
      <c r="E528" s="291">
        <f>DATE(LS[[#This Row],[Year]],LS[[#This Row],[Month]],LS[[#This Row],[Day]])</f>
        <v>45728</v>
      </c>
      <c r="F528" t="str" cm="1">
        <f t="array" ref="F528">INDEX(INVESTORS_LIST[INVESTOR NAME],MATCH(LS[[#This Row],[Investor ID]],INVESTORS_LIST[INVESTOR CODE],0),)</f>
        <v>MD. NIAZ MURSHED</v>
      </c>
      <c r="G528" s="25" t="s">
        <v>238</v>
      </c>
      <c r="H528" s="8">
        <f>COUNTIF(LS[[#Headers],[Investor ID]]:LS[[#This Row],[Investor ID]],LS[[#This Row],[Investor ID]])</f>
        <v>4</v>
      </c>
      <c r="I528" s="8" t="str">
        <f>CONCATENATE(LS[[#This Row],[Frequency]],LS[[#This Row],[Investor ID]])</f>
        <v>4A00198</v>
      </c>
      <c r="J528" s="8" t="str">
        <f>IF(LS[[#This Row],[B/S]]="B","BUY",(IF(LS[[#This Row],[B/S]]="S","SELL"," ")))</f>
        <v>BUY</v>
      </c>
      <c r="K528" s="8" t="s">
        <v>301</v>
      </c>
      <c r="L528" s="3">
        <v>19128.150000000001</v>
      </c>
      <c r="M528" s="3"/>
      <c r="N528" s="216">
        <f>LS[[#This Row],[Amount]]/LS[[#This Row],[Unit]]</f>
        <v>10.538925619834712</v>
      </c>
      <c r="O528" s="1">
        <f t="shared" si="98"/>
        <v>1815</v>
      </c>
      <c r="P528" s="1">
        <f>SUMIFS(LS[[#Headers],[Unit]]:LS[[#This Row],[Unit]],LS[[#Headers],[Investor ID]]:LS[[#This Row],[Investor ID]],LS[[#This Row],[Investor ID]])</f>
        <v>44322</v>
      </c>
      <c r="Q528" s="10">
        <v>18150</v>
      </c>
      <c r="R528" s="6">
        <f>LS[[#This Row],[Amount]]-LS[[#This Row],[Unit Capital]]</f>
        <v>978.15000000000146</v>
      </c>
      <c r="S52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9.8502100532854922</v>
      </c>
      <c r="T528" s="216">
        <f t="shared" si="92"/>
        <v>12.552</v>
      </c>
      <c r="U52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28" s="3" cm="1">
        <f t="array" ref="V528">IF(LS[[#This Row],[B/S]]="S",ABS(LS[[#This Row],[Unit]])*(INDEX(LS[NAV at Cost (Average)],MATCH(CONCATENATE((LS[[#This Row],[Frequency]]-1),LS[[#This Row],[Investor ID]]),LS[Unique Code],0),0)),0)</f>
        <v>0</v>
      </c>
      <c r="W528" s="3">
        <f>IF(LS[[#This Row],[BO Transfer]]="YES",LS[[#This Row],[Unit]],)</f>
        <v>0</v>
      </c>
      <c r="X528" s="3">
        <f>SUMIFS(LS[[#Headers],[BO UNIT TRANSFER]]:LS[[#This Row],[BO UNIT TRANSFER]],LS[[#Headers],[Investor ID]]:LS[[#This Row],[Investor ID]],LS[[#This Row],[Investor ID]])</f>
        <v>0</v>
      </c>
    </row>
    <row r="529" spans="2:24">
      <c r="B529" s="8">
        <v>2025</v>
      </c>
      <c r="C529" s="8">
        <v>3</v>
      </c>
      <c r="D529" s="8">
        <v>12</v>
      </c>
      <c r="E529" s="291">
        <f>DATE(LS[[#This Row],[Year]],LS[[#This Row],[Month]],LS[[#This Row],[Day]])</f>
        <v>45728</v>
      </c>
      <c r="F529" t="str" cm="1">
        <f t="array" ref="F529">INDEX(INVESTORS_LIST[INVESTOR NAME],MATCH(LS[[#This Row],[Investor ID]],INVESTORS_LIST[INVESTOR CODE],0),)</f>
        <v>BIJOY CHANDRA DAS</v>
      </c>
      <c r="G529" s="25" t="s">
        <v>305</v>
      </c>
      <c r="H529" s="8">
        <f>COUNTIF(LS[[#Headers],[Investor ID]]:LS[[#This Row],[Investor ID]],LS[[#This Row],[Investor ID]])</f>
        <v>3</v>
      </c>
      <c r="I529" s="8" t="str">
        <f>CONCATENATE(LS[[#This Row],[Frequency]],LS[[#This Row],[Investor ID]])</f>
        <v>3A00224</v>
      </c>
      <c r="J529" s="8" t="str">
        <f>IF(LS[[#This Row],[B/S]]="B","BUY",(IF(LS[[#This Row],[B/S]]="S","SELL"," ")))</f>
        <v>BUY</v>
      </c>
      <c r="K529" s="8" t="s">
        <v>301</v>
      </c>
      <c r="L529" s="3">
        <v>4602.6000000000004</v>
      </c>
      <c r="M529" s="3" t="s">
        <v>957</v>
      </c>
      <c r="N529" s="216">
        <f>LS[[#This Row],[Amount]]/LS[[#This Row],[Unit]]</f>
        <v>10.532265446224256</v>
      </c>
      <c r="O529" s="1">
        <f>Q529/10</f>
        <v>437</v>
      </c>
      <c r="P529" s="1">
        <f>SUMIFS(LS[[#Headers],[Unit]]:LS[[#This Row],[Unit]],LS[[#Headers],[Investor ID]]:LS[[#This Row],[Investor ID]],LS[[#This Row],[Investor ID]])</f>
        <v>10665</v>
      </c>
      <c r="Q529" s="10">
        <v>4370</v>
      </c>
      <c r="R529" s="6">
        <f>LS[[#This Row],[Amount]]-LS[[#This Row],[Unit Capital]]</f>
        <v>232.60000000000036</v>
      </c>
      <c r="S52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10.018996718237224</v>
      </c>
      <c r="T529" s="216">
        <f t="shared" si="92"/>
        <v>12.552</v>
      </c>
      <c r="U52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29" s="3" cm="1">
        <f t="array" ref="V529">IF(LS[[#This Row],[B/S]]="S",ABS(LS[[#This Row],[Unit]])*(INDEX(LS[NAV at Cost (Average)],MATCH(CONCATENATE((LS[[#This Row],[Frequency]]-1),LS[[#This Row],[Investor ID]]),LS[Unique Code],0),0)),0)</f>
        <v>0</v>
      </c>
      <c r="W529" s="3">
        <f>IF(LS[[#This Row],[BO Transfer]]="YES",LS[[#This Row],[Unit]],)</f>
        <v>437</v>
      </c>
      <c r="X529" s="3">
        <f>SUMIFS(LS[[#Headers],[BO UNIT TRANSFER]]:LS[[#This Row],[BO UNIT TRANSFER]],LS[[#Headers],[Investor ID]]:LS[[#This Row],[Investor ID]],LS[[#This Row],[Investor ID]])</f>
        <v>665</v>
      </c>
    </row>
    <row r="530" spans="2:24">
      <c r="B530" s="8">
        <v>2025</v>
      </c>
      <c r="C530" s="8">
        <v>3</v>
      </c>
      <c r="D530" s="8">
        <v>12</v>
      </c>
      <c r="E530" s="291">
        <f>DATE(LS[[#This Row],[Year]],LS[[#This Row],[Month]],LS[[#This Row],[Day]])</f>
        <v>45728</v>
      </c>
      <c r="F530" t="str" cm="1">
        <f t="array" ref="F530">INDEX(INVESTORS_LIST[INVESTOR NAME],MATCH(LS[[#This Row],[Investor ID]],INVESTORS_LIST[INVESTOR CODE],0),)</f>
        <v>ANJAN MALLIK</v>
      </c>
      <c r="G530" s="25" t="s">
        <v>353</v>
      </c>
      <c r="H530" s="8">
        <f>COUNTIF(LS[[#Headers],[Investor ID]]:LS[[#This Row],[Investor ID]],LS[[#This Row],[Investor ID]])</f>
        <v>3</v>
      </c>
      <c r="I530" s="8" t="str">
        <f>CONCATENATE(LS[[#This Row],[Frequency]],LS[[#This Row],[Investor ID]])</f>
        <v>3A00248</v>
      </c>
      <c r="J530" s="8" t="str">
        <f>IF(LS[[#This Row],[B/S]]="B","BUY",(IF(LS[[#This Row],[B/S]]="S","SELL"," ")))</f>
        <v>BUY</v>
      </c>
      <c r="K530" s="8" t="s">
        <v>301</v>
      </c>
      <c r="L530" s="3">
        <v>115069.5</v>
      </c>
      <c r="M530" s="3"/>
      <c r="N530" s="216">
        <f>LS[[#This Row],[Amount]]/LS[[#This Row],[Unit]]</f>
        <v>10.536535115831883</v>
      </c>
      <c r="O530" s="1">
        <f>Q530/10</f>
        <v>10921</v>
      </c>
      <c r="P530" s="1">
        <f>SUMIFS(LS[[#Headers],[Unit]]:LS[[#This Row],[Unit]],LS[[#Headers],[Investor ID]]:LS[[#This Row],[Investor ID]],LS[[#This Row],[Investor ID]])</f>
        <v>266631</v>
      </c>
      <c r="Q530" s="10">
        <v>109210</v>
      </c>
      <c r="R530" s="6">
        <f>LS[[#This Row],[Amount]]-LS[[#This Row],[Unit Capital]]</f>
        <v>5859.5</v>
      </c>
      <c r="S53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10.018788137913447</v>
      </c>
      <c r="T530" s="216">
        <f t="shared" si="92"/>
        <v>12.552</v>
      </c>
      <c r="U53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30" s="3" cm="1">
        <f t="array" ref="V530">IF(LS[[#This Row],[B/S]]="S",ABS(LS[[#This Row],[Unit]])*(INDEX(LS[NAV at Cost (Average)],MATCH(CONCATENATE((LS[[#This Row],[Frequency]]-1),LS[[#This Row],[Investor ID]]),LS[Unique Code],0),0)),0)</f>
        <v>0</v>
      </c>
      <c r="W530" s="3">
        <f>IF(LS[[#This Row],[BO Transfer]]="YES",LS[[#This Row],[Unit]],)</f>
        <v>0</v>
      </c>
      <c r="X530" s="3">
        <f>SUMIFS(LS[[#Headers],[BO UNIT TRANSFER]]:LS[[#This Row],[BO UNIT TRANSFER]],LS[[#Headers],[Investor ID]]:LS[[#This Row],[Investor ID]],LS[[#This Row],[Investor ID]])</f>
        <v>0</v>
      </c>
    </row>
    <row r="531" spans="2:24">
      <c r="B531" s="8">
        <v>2025</v>
      </c>
      <c r="C531" s="8">
        <v>3</v>
      </c>
      <c r="D531" s="8">
        <v>12</v>
      </c>
      <c r="E531" s="291">
        <f>DATE(LS[[#This Row],[Year]],LS[[#This Row],[Month]],LS[[#This Row],[Day]])</f>
        <v>45728</v>
      </c>
      <c r="F531" t="str" cm="1">
        <f t="array" ref="F531">INDEX(INVESTORS_LIST[INVESTOR NAME],MATCH(LS[[#This Row],[Investor ID]],INVESTORS_LIST[INVESTOR CODE],0),)</f>
        <v>MASTURA MUNIAT</v>
      </c>
      <c r="G531" s="25" t="s">
        <v>381</v>
      </c>
      <c r="H531" s="8">
        <f>COUNTIF(LS[[#Headers],[Investor ID]]:LS[[#This Row],[Investor ID]],LS[[#This Row],[Investor ID]])</f>
        <v>4</v>
      </c>
      <c r="I531" s="8" t="str">
        <f>CONCATENATE(LS[[#This Row],[Frequency]],LS[[#This Row],[Investor ID]])</f>
        <v>4A00262</v>
      </c>
      <c r="J531" s="8" t="str">
        <f>IF(LS[[#This Row],[B/S]]="B","BUY",(IF(LS[[#This Row],[B/S]]="S","SELL"," ")))</f>
        <v>BUY</v>
      </c>
      <c r="K531" s="8" t="s">
        <v>301</v>
      </c>
      <c r="L531" s="3">
        <v>420.3</v>
      </c>
      <c r="M531" s="3"/>
      <c r="N531" s="216">
        <f>LS[[#This Row],[Amount]]/LS[[#This Row],[Unit]]</f>
        <v>10.5075</v>
      </c>
      <c r="O531" s="1">
        <f t="shared" ref="O531:O532" si="99">Q531/10</f>
        <v>40</v>
      </c>
      <c r="P531" s="1">
        <f>SUMIFS(LS[[#Headers],[Unit]]:LS[[#This Row],[Unit]],LS[[#Headers],[Investor ID]]:LS[[#This Row],[Investor ID]],LS[[#This Row],[Investor ID]])</f>
        <v>974</v>
      </c>
      <c r="Q531" s="10">
        <v>400</v>
      </c>
      <c r="R531" s="6">
        <f>LS[[#This Row],[Amount]]-LS[[#This Row],[Unit Capital]]</f>
        <v>20.300000000000011</v>
      </c>
      <c r="S53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10.074166075361298</v>
      </c>
      <c r="T531" s="216">
        <f t="shared" si="92"/>
        <v>12.552</v>
      </c>
      <c r="U53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31" s="3" cm="1">
        <f t="array" ref="V531">IF(LS[[#This Row],[B/S]]="S",ABS(LS[[#This Row],[Unit]])*(INDEX(LS[NAV at Cost (Average)],MATCH(CONCATENATE((LS[[#This Row],[Frequency]]-1),LS[[#This Row],[Investor ID]]),LS[Unique Code],0),0)),0)</f>
        <v>0</v>
      </c>
      <c r="W531" s="3">
        <f>IF(LS[[#This Row],[BO Transfer]]="YES",LS[[#This Row],[Unit]],)</f>
        <v>0</v>
      </c>
      <c r="X531" s="3">
        <f>SUMIFS(LS[[#Headers],[BO UNIT TRANSFER]]:LS[[#This Row],[BO UNIT TRANSFER]],LS[[#Headers],[Investor ID]]:LS[[#This Row],[Investor ID]],LS[[#This Row],[Investor ID]])</f>
        <v>0</v>
      </c>
    </row>
    <row r="532" spans="2:24">
      <c r="B532" s="8">
        <v>2025</v>
      </c>
      <c r="C532" s="8">
        <v>3</v>
      </c>
      <c r="D532" s="8">
        <v>12</v>
      </c>
      <c r="E532" s="291">
        <f>DATE(LS[[#This Row],[Year]],LS[[#This Row],[Month]],LS[[#This Row],[Day]])</f>
        <v>45728</v>
      </c>
      <c r="F532" t="str" cm="1">
        <f t="array" ref="F532">INDEX(INVESTORS_LIST[INVESTOR NAME],MATCH(LS[[#This Row],[Investor ID]],INVESTORS_LIST[INVESTOR CODE],0),)</f>
        <v>SAILENDRA SAHA</v>
      </c>
      <c r="G532" s="25" t="s">
        <v>581</v>
      </c>
      <c r="H532" s="8">
        <f>COUNTIF(LS[[#Headers],[Investor ID]]:LS[[#This Row],[Investor ID]],LS[[#This Row],[Investor ID]])</f>
        <v>3</v>
      </c>
      <c r="I532" s="8" t="str">
        <f>CONCATENATE(LS[[#This Row],[Frequency]],LS[[#This Row],[Investor ID]])</f>
        <v>3A00328</v>
      </c>
      <c r="J532" s="8" t="str">
        <f>IF(LS[[#This Row],[B/S]]="B","BUY",(IF(LS[[#This Row],[B/S]]="S","SELL"," ")))</f>
        <v>BUY</v>
      </c>
      <c r="K532" s="8" t="s">
        <v>301</v>
      </c>
      <c r="L532" s="3">
        <v>18411.3</v>
      </c>
      <c r="M532" s="3"/>
      <c r="N532" s="216">
        <f>LS[[#This Row],[Amount]]/LS[[#This Row],[Unit]]</f>
        <v>10.538809387521464</v>
      </c>
      <c r="O532" s="1">
        <f t="shared" si="99"/>
        <v>1747</v>
      </c>
      <c r="P532" s="1">
        <f>SUMIFS(LS[[#Headers],[Unit]]:LS[[#This Row],[Unit]],LS[[#Headers],[Investor ID]]:LS[[#This Row],[Investor ID]],LS[[#This Row],[Investor ID]])</f>
        <v>42661</v>
      </c>
      <c r="Q532" s="10">
        <v>17470</v>
      </c>
      <c r="R532" s="6">
        <f>LS[[#This Row],[Amount]]-LS[[#This Row],[Unit Capital]]</f>
        <v>941.29999999999927</v>
      </c>
      <c r="S53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10.018782963362321</v>
      </c>
      <c r="T532" s="216">
        <f t="shared" si="92"/>
        <v>12.552</v>
      </c>
      <c r="U53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32" s="3" cm="1">
        <f t="array" ref="V532">IF(LS[[#This Row],[B/S]]="S",ABS(LS[[#This Row],[Unit]])*(INDEX(LS[NAV at Cost (Average)],MATCH(CONCATENATE((LS[[#This Row],[Frequency]]-1),LS[[#This Row],[Investor ID]]),LS[Unique Code],0),0)),0)</f>
        <v>0</v>
      </c>
      <c r="W532" s="3">
        <f>IF(LS[[#This Row],[BO Transfer]]="YES",LS[[#This Row],[Unit]],)</f>
        <v>0</v>
      </c>
      <c r="X532" s="3">
        <f>SUMIFS(LS[[#Headers],[BO UNIT TRANSFER]]:LS[[#This Row],[BO UNIT TRANSFER]],LS[[#Headers],[Investor ID]]:LS[[#This Row],[Investor ID]],LS[[#This Row],[Investor ID]])</f>
        <v>0</v>
      </c>
    </row>
    <row r="533" spans="2:24">
      <c r="B533" s="8">
        <v>2025</v>
      </c>
      <c r="C533" s="8">
        <v>3</v>
      </c>
      <c r="D533" s="8">
        <v>12</v>
      </c>
      <c r="E533" s="291">
        <f>DATE(LS[[#This Row],[Year]],LS[[#This Row],[Month]],LS[[#This Row],[Day]])</f>
        <v>45728</v>
      </c>
      <c r="F533" t="str" cm="1">
        <f t="array" ref="F533">INDEX(INVESTORS_LIST[INVESTOR NAME],MATCH(LS[[#This Row],[Investor ID]],INVESTORS_LIST[INVESTOR CODE],0),)</f>
        <v>BIPLAB SAHA</v>
      </c>
      <c r="G533" s="25" t="s">
        <v>598</v>
      </c>
      <c r="H533" s="8">
        <f>COUNTIF(LS[[#Headers],[Investor ID]]:LS[[#This Row],[Investor ID]],LS[[#This Row],[Investor ID]])</f>
        <v>4</v>
      </c>
      <c r="I533" s="8" t="str">
        <f>CONCATENATE(LS[[#This Row],[Frequency]],LS[[#This Row],[Investor ID]])</f>
        <v>4A00336</v>
      </c>
      <c r="J533" s="8" t="str">
        <f>IF(LS[[#This Row],[B/S]]="B","BUY",(IF(LS[[#This Row],[B/S]]="S","SELL"," ")))</f>
        <v>BUY</v>
      </c>
      <c r="K533" s="8" t="s">
        <v>301</v>
      </c>
      <c r="L533" s="3">
        <v>52164.92</v>
      </c>
      <c r="M533" s="3"/>
      <c r="N533" s="216">
        <f>LS[[#This Row],[Amount]]/LS[[#This Row],[Unit]]</f>
        <v>10.536239143607352</v>
      </c>
      <c r="O533" s="1">
        <f>Q533/10</f>
        <v>4951</v>
      </c>
      <c r="P533" s="1">
        <f>SUMIFS(LS[[#Headers],[Unit]]:LS[[#This Row],[Unit]],LS[[#Headers],[Investor ID]]:LS[[#This Row],[Investor ID]],LS[[#This Row],[Investor ID]])</f>
        <v>127692</v>
      </c>
      <c r="Q533" s="10">
        <v>49510</v>
      </c>
      <c r="R533" s="6">
        <f>LS[[#This Row],[Amount]]-LS[[#This Row],[Unit Capital]]</f>
        <v>2654.9199999999983</v>
      </c>
      <c r="S53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10.005833724900542</v>
      </c>
      <c r="T533" s="216">
        <f t="shared" si="92"/>
        <v>12.552</v>
      </c>
      <c r="U53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33" s="3" cm="1">
        <f t="array" ref="V533">IF(LS[[#This Row],[B/S]]="S",ABS(LS[[#This Row],[Unit]])*(INDEX(LS[NAV at Cost (Average)],MATCH(CONCATENATE((LS[[#This Row],[Frequency]]-1),LS[[#This Row],[Investor ID]]),LS[Unique Code],0),0)),0)</f>
        <v>0</v>
      </c>
      <c r="W533" s="3">
        <f>IF(LS[[#This Row],[BO Transfer]]="YES",LS[[#This Row],[Unit]],)</f>
        <v>0</v>
      </c>
      <c r="X533" s="3">
        <f>SUMIFS(LS[[#Headers],[BO UNIT TRANSFER]]:LS[[#This Row],[BO UNIT TRANSFER]],LS[[#Headers],[Investor ID]]:LS[[#This Row],[Investor ID]],LS[[#This Row],[Investor ID]])</f>
        <v>0</v>
      </c>
    </row>
    <row r="534" spans="2:24">
      <c r="B534" s="8">
        <v>2025</v>
      </c>
      <c r="C534" s="8">
        <v>3</v>
      </c>
      <c r="D534" s="8">
        <v>12</v>
      </c>
      <c r="E534" s="291">
        <f>DATE(LS[[#This Row],[Year]],LS[[#This Row],[Month]],LS[[#This Row],[Day]])</f>
        <v>45728</v>
      </c>
      <c r="F534" t="str" cm="1">
        <f t="array" ref="F534">INDEX(INVESTORS_LIST[INVESTOR NAME],MATCH(LS[[#This Row],[Investor ID]],INVESTORS_LIST[INVESTOR CODE],0),)</f>
        <v>MD. ZAKIR HOSSAIN</v>
      </c>
      <c r="G534" s="25" t="s">
        <v>647</v>
      </c>
      <c r="H534" s="8">
        <f>COUNTIF(LS[[#Headers],[Investor ID]]:LS[[#This Row],[Investor ID]],LS[[#This Row],[Investor ID]])</f>
        <v>3</v>
      </c>
      <c r="I534" s="8" t="str">
        <f>CONCATENATE(LS[[#This Row],[Frequency]],LS[[#This Row],[Investor ID]])</f>
        <v>3A00350</v>
      </c>
      <c r="J534" s="8" t="str">
        <f>IF(LS[[#This Row],[B/S]]="B","BUY",(IF(LS[[#This Row],[B/S]]="S","SELL"," ")))</f>
        <v>BUY</v>
      </c>
      <c r="K534" s="8" t="s">
        <v>301</v>
      </c>
      <c r="L534" s="3">
        <v>46027.8</v>
      </c>
      <c r="M534" s="3"/>
      <c r="N534" s="216">
        <f>LS[[#This Row],[Amount]]/LS[[#This Row],[Unit]]</f>
        <v>10.537500000000001</v>
      </c>
      <c r="O534" s="1">
        <f>Q534/10</f>
        <v>4368</v>
      </c>
      <c r="P534" s="1">
        <f>SUMIFS(LS[[#Headers],[Unit]]:LS[[#This Row],[Unit]],LS[[#Headers],[Investor ID]]:LS[[#This Row],[Investor ID]],LS[[#This Row],[Investor ID]])</f>
        <v>106652</v>
      </c>
      <c r="Q534" s="10">
        <v>43680</v>
      </c>
      <c r="R534" s="6">
        <f>LS[[#This Row],[Amount]]-LS[[#This Row],[Unit Capital]]</f>
        <v>2347.8000000000029</v>
      </c>
      <c r="S53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10.018825713535611</v>
      </c>
      <c r="T534" s="216">
        <f t="shared" si="92"/>
        <v>12.552</v>
      </c>
      <c r="U53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34" s="3" cm="1">
        <f t="array" ref="V534">IF(LS[[#This Row],[B/S]]="S",ABS(LS[[#This Row],[Unit]])*(INDEX(LS[NAV at Cost (Average)],MATCH(CONCATENATE((LS[[#This Row],[Frequency]]-1),LS[[#This Row],[Investor ID]]),LS[Unique Code],0),0)),0)</f>
        <v>0</v>
      </c>
      <c r="W534" s="3">
        <f>IF(LS[[#This Row],[BO Transfer]]="YES",LS[[#This Row],[Unit]],)</f>
        <v>0</v>
      </c>
      <c r="X534" s="3">
        <f>SUMIFS(LS[[#Headers],[BO UNIT TRANSFER]]:LS[[#This Row],[BO UNIT TRANSFER]],LS[[#Headers],[Investor ID]]:LS[[#This Row],[Investor ID]],LS[[#This Row],[Investor ID]])</f>
        <v>0</v>
      </c>
    </row>
    <row r="535" spans="2:24">
      <c r="B535" s="8">
        <v>2025</v>
      </c>
      <c r="C535" s="8">
        <v>3</v>
      </c>
      <c r="D535" s="8">
        <v>12</v>
      </c>
      <c r="E535" s="291">
        <f>DATE(LS[[#This Row],[Year]],LS[[#This Row],[Month]],LS[[#This Row],[Day]])</f>
        <v>45728</v>
      </c>
      <c r="F535" t="str" cm="1">
        <f t="array" ref="F535">INDEX(INVESTORS_LIST[INVESTOR NAME],MATCH(LS[[#This Row],[Investor ID]],INVESTORS_LIST[INVESTOR CODE],0),)</f>
        <v>ASRAAR HOSSAIN</v>
      </c>
      <c r="G535" s="25" t="s">
        <v>684</v>
      </c>
      <c r="H535" s="8">
        <f>COUNTIF(LS[[#Headers],[Investor ID]]:LS[[#This Row],[Investor ID]],LS[[#This Row],[Investor ID]])</f>
        <v>4</v>
      </c>
      <c r="I535" s="8" t="str">
        <f>CONCATENATE(LS[[#This Row],[Frequency]],LS[[#This Row],[Investor ID]])</f>
        <v>4A00369</v>
      </c>
      <c r="J535" s="8" t="str">
        <f>IF(LS[[#This Row],[B/S]]="B","BUY",(IF(LS[[#This Row],[B/S]]="S","SELL"," ")))</f>
        <v>BUY</v>
      </c>
      <c r="K535" s="8" t="s">
        <v>301</v>
      </c>
      <c r="L535" s="3">
        <v>75.150000000000006</v>
      </c>
      <c r="M535" s="3" t="s">
        <v>957</v>
      </c>
      <c r="N535" s="216">
        <f>LS[[#This Row],[Amount]]/LS[[#This Row],[Unit]]</f>
        <v>10.735714285714286</v>
      </c>
      <c r="O535" s="1">
        <f t="shared" ref="O535:O537" si="100">Q535/10</f>
        <v>7</v>
      </c>
      <c r="P535" s="1">
        <f>SUMIFS(LS[[#Headers],[Unit]]:LS[[#This Row],[Unit]],LS[[#Headers],[Investor ID]]:LS[[#This Row],[Investor ID]],LS[[#This Row],[Investor ID]])</f>
        <v>174</v>
      </c>
      <c r="Q535" s="10">
        <v>70</v>
      </c>
      <c r="R535" s="6">
        <f>LS[[#This Row],[Amount]]-LS[[#This Row],[Unit Capital]]</f>
        <v>5.1500000000000057</v>
      </c>
      <c r="S53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9.9721264367816094</v>
      </c>
      <c r="T535" s="216">
        <f t="shared" si="92"/>
        <v>12.552</v>
      </c>
      <c r="U53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35" s="3" cm="1">
        <f t="array" ref="V535">IF(LS[[#This Row],[B/S]]="S",ABS(LS[[#This Row],[Unit]])*(INDEX(LS[NAV at Cost (Average)],MATCH(CONCATENATE((LS[[#This Row],[Frequency]]-1),LS[[#This Row],[Investor ID]]),LS[Unique Code],0),0)),0)</f>
        <v>0</v>
      </c>
      <c r="W535" s="3">
        <f>IF(LS[[#This Row],[BO Transfer]]="YES",LS[[#This Row],[Unit]],)</f>
        <v>7</v>
      </c>
      <c r="X535" s="3">
        <f>SUMIFS(LS[[#Headers],[BO UNIT TRANSFER]]:LS[[#This Row],[BO UNIT TRANSFER]],LS[[#Headers],[Investor ID]]:LS[[#This Row],[Investor ID]],LS[[#This Row],[Investor ID]])</f>
        <v>174</v>
      </c>
    </row>
    <row r="536" spans="2:24">
      <c r="B536" s="8">
        <v>2025</v>
      </c>
      <c r="C536" s="8">
        <v>3</v>
      </c>
      <c r="D536" s="8">
        <v>12</v>
      </c>
      <c r="E536" s="291">
        <f>DATE(LS[[#This Row],[Year]],LS[[#This Row],[Month]],LS[[#This Row],[Day]])</f>
        <v>45728</v>
      </c>
      <c r="F536" t="str" cm="1">
        <f t="array" ref="F536">INDEX(INVESTORS_LIST[INVESTOR NAME],MATCH(LS[[#This Row],[Investor ID]],INVESTORS_LIST[INVESTOR CODE],0),)</f>
        <v>ZAIN MOHAMMAD YASEEN</v>
      </c>
      <c r="G536" s="25" t="s">
        <v>686</v>
      </c>
      <c r="H536" s="8">
        <f>COUNTIF(LS[[#Headers],[Investor ID]]:LS[[#This Row],[Investor ID]],LS[[#This Row],[Investor ID]])</f>
        <v>4</v>
      </c>
      <c r="I536" s="8" t="str">
        <f>CONCATENATE(LS[[#This Row],[Frequency]],LS[[#This Row],[Investor ID]])</f>
        <v>4A00370</v>
      </c>
      <c r="J536" s="8" t="str">
        <f>IF(LS[[#This Row],[B/S]]="B","BUY",(IF(LS[[#This Row],[B/S]]="S","SELL"," ")))</f>
        <v>BUY</v>
      </c>
      <c r="K536" s="8" t="s">
        <v>301</v>
      </c>
      <c r="L536" s="3">
        <v>1431.9</v>
      </c>
      <c r="M536" s="3"/>
      <c r="N536" s="216">
        <f>LS[[#This Row],[Amount]]/LS[[#This Row],[Unit]]</f>
        <v>10.528676470588236</v>
      </c>
      <c r="O536" s="1">
        <f t="shared" si="100"/>
        <v>136</v>
      </c>
      <c r="P536" s="1">
        <f>SUMIFS(LS[[#Headers],[Unit]]:LS[[#This Row],[Unit]],LS[[#Headers],[Investor ID]]:LS[[#This Row],[Investor ID]],LS[[#This Row],[Investor ID]])</f>
        <v>3318</v>
      </c>
      <c r="Q536" s="10">
        <v>1360</v>
      </c>
      <c r="R536" s="6">
        <f>LS[[#This Row],[Amount]]-LS[[#This Row],[Unit Capital]]</f>
        <v>71.900000000000091</v>
      </c>
      <c r="S53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10.018948161543097</v>
      </c>
      <c r="T536" s="216">
        <f t="shared" si="92"/>
        <v>12.552</v>
      </c>
      <c r="U53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36" s="3" cm="1">
        <f t="array" ref="V536">IF(LS[[#This Row],[B/S]]="S",ABS(LS[[#This Row],[Unit]])*(INDEX(LS[NAV at Cost (Average)],MATCH(CONCATENATE((LS[[#This Row],[Frequency]]-1),LS[[#This Row],[Investor ID]]),LS[Unique Code],0),0)),0)</f>
        <v>0</v>
      </c>
      <c r="W536" s="3">
        <f>IF(LS[[#This Row],[BO Transfer]]="YES",LS[[#This Row],[Unit]],)</f>
        <v>0</v>
      </c>
      <c r="X536" s="3">
        <f>SUMIFS(LS[[#Headers],[BO UNIT TRANSFER]]:LS[[#This Row],[BO UNIT TRANSFER]],LS[[#Headers],[Investor ID]]:LS[[#This Row],[Investor ID]],LS[[#This Row],[Investor ID]])</f>
        <v>0</v>
      </c>
    </row>
    <row r="537" spans="2:24">
      <c r="B537" s="8">
        <v>2025</v>
      </c>
      <c r="C537" s="8">
        <v>3</v>
      </c>
      <c r="D537" s="8">
        <v>12</v>
      </c>
      <c r="E537" s="291">
        <f>DATE(LS[[#This Row],[Year]],LS[[#This Row],[Month]],LS[[#This Row],[Day]])</f>
        <v>45728</v>
      </c>
      <c r="F537" t="str" cm="1">
        <f t="array" ref="F537">INDEX(INVESTORS_LIST[INVESTOR NAME],MATCH(LS[[#This Row],[Investor ID]],INVESTORS_LIST[INVESTOR CODE],0),)</f>
        <v>MD. AL AMIN SARKER</v>
      </c>
      <c r="G537" s="25" t="s">
        <v>688</v>
      </c>
      <c r="H537" s="8">
        <f>COUNTIF(LS[[#Headers],[Investor ID]]:LS[[#This Row],[Investor ID]],LS[[#This Row],[Investor ID]])</f>
        <v>3</v>
      </c>
      <c r="I537" s="8" t="str">
        <f>CONCATENATE(LS[[#This Row],[Frequency]],LS[[#This Row],[Investor ID]])</f>
        <v>3A00371</v>
      </c>
      <c r="J537" s="8" t="str">
        <f>IF(LS[[#This Row],[B/S]]="B","BUY",(IF(LS[[#This Row],[B/S]]="S","SELL"," ")))</f>
        <v>BUY</v>
      </c>
      <c r="K537" s="8" t="s">
        <v>301</v>
      </c>
      <c r="L537" s="3">
        <v>27616.5</v>
      </c>
      <c r="M537" s="3"/>
      <c r="N537" s="216">
        <f>LS[[#This Row],[Amount]]/LS[[#This Row],[Unit]]</f>
        <v>10.536627241510875</v>
      </c>
      <c r="O537" s="1">
        <f t="shared" si="100"/>
        <v>2621</v>
      </c>
      <c r="P537" s="1">
        <f>SUMIFS(LS[[#Headers],[Unit]]:LS[[#This Row],[Unit]],LS[[#Headers],[Investor ID]]:LS[[#This Row],[Investor ID]],LS[[#This Row],[Investor ID]])</f>
        <v>63991</v>
      </c>
      <c r="Q537" s="10">
        <v>26210</v>
      </c>
      <c r="R537" s="6">
        <f>LS[[#This Row],[Amount]]-LS[[#This Row],[Unit Capital]]</f>
        <v>1406.5</v>
      </c>
      <c r="S53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10.018854213873825</v>
      </c>
      <c r="T537" s="216">
        <f t="shared" si="92"/>
        <v>12.552</v>
      </c>
      <c r="U53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37" s="3" cm="1">
        <f t="array" ref="V537">IF(LS[[#This Row],[B/S]]="S",ABS(LS[[#This Row],[Unit]])*(INDEX(LS[NAV at Cost (Average)],MATCH(CONCATENATE((LS[[#This Row],[Frequency]]-1),LS[[#This Row],[Investor ID]]),LS[Unique Code],0),0)),0)</f>
        <v>0</v>
      </c>
      <c r="W537" s="3">
        <f>IF(LS[[#This Row],[BO Transfer]]="YES",LS[[#This Row],[Unit]],)</f>
        <v>0</v>
      </c>
      <c r="X537" s="3">
        <f>SUMIFS(LS[[#Headers],[BO UNIT TRANSFER]]:LS[[#This Row],[BO UNIT TRANSFER]],LS[[#Headers],[Investor ID]]:LS[[#This Row],[Investor ID]],LS[[#This Row],[Investor ID]])</f>
        <v>0</v>
      </c>
    </row>
    <row r="538" spans="2:24">
      <c r="B538" s="8">
        <v>2025</v>
      </c>
      <c r="C538" s="8">
        <v>3</v>
      </c>
      <c r="D538" s="8">
        <v>12</v>
      </c>
      <c r="E538" s="291">
        <f>DATE(LS[[#This Row],[Year]],LS[[#This Row],[Month]],LS[[#This Row],[Day]])</f>
        <v>45728</v>
      </c>
      <c r="F538" t="str" cm="1">
        <f t="array" ref="F538">INDEX(INVESTORS_LIST[INVESTOR NAME],MATCH(LS[[#This Row],[Investor ID]],INVESTORS_LIST[INVESTOR CODE],0),)</f>
        <v>MD. SHAHIDUL ISLAM</v>
      </c>
      <c r="G538" s="25" t="s">
        <v>709</v>
      </c>
      <c r="H538" s="8">
        <f>COUNTIF(LS[[#Headers],[Investor ID]]:LS[[#This Row],[Investor ID]],LS[[#This Row],[Investor ID]])</f>
        <v>3</v>
      </c>
      <c r="I538" s="8" t="str">
        <f>CONCATENATE(LS[[#This Row],[Frequency]],LS[[#This Row],[Investor ID]])</f>
        <v>3A00382</v>
      </c>
      <c r="J538" s="8" t="str">
        <f>IF(LS[[#This Row],[B/S]]="B","BUY",(IF(LS[[#This Row],[B/S]]="S","SELL"," ")))</f>
        <v>BUY</v>
      </c>
      <c r="K538" s="8" t="s">
        <v>301</v>
      </c>
      <c r="L538" s="3">
        <v>92.25</v>
      </c>
      <c r="M538" s="3"/>
      <c r="N538" s="216">
        <f>LS[[#This Row],[Amount]]/LS[[#This Row],[Unit]]</f>
        <v>10.25</v>
      </c>
      <c r="O538" s="1">
        <f t="shared" ref="O538:O539" si="101">Q538/10</f>
        <v>9</v>
      </c>
      <c r="P538" s="1">
        <f>SUMIFS(LS[[#Headers],[Unit]]:LS[[#This Row],[Unit]],LS[[#Headers],[Investor ID]]:LS[[#This Row],[Investor ID]],LS[[#This Row],[Investor ID]])</f>
        <v>214</v>
      </c>
      <c r="Q538" s="10">
        <v>90</v>
      </c>
      <c r="R538" s="6">
        <f>LS[[#This Row],[Amount]]-LS[[#This Row],[Unit Capital]]</f>
        <v>2.25</v>
      </c>
      <c r="S53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9.9871495327102799</v>
      </c>
      <c r="T538" s="216">
        <f t="shared" si="92"/>
        <v>12.552</v>
      </c>
      <c r="U53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38" s="3" cm="1">
        <f t="array" ref="V538">IF(LS[[#This Row],[B/S]]="S",ABS(LS[[#This Row],[Unit]])*(INDEX(LS[NAV at Cost (Average)],MATCH(CONCATENATE((LS[[#This Row],[Frequency]]-1),LS[[#This Row],[Investor ID]]),LS[Unique Code],0),0)),0)</f>
        <v>0</v>
      </c>
      <c r="W538" s="3">
        <f>IF(LS[[#This Row],[BO Transfer]]="YES",LS[[#This Row],[Unit]],)</f>
        <v>0</v>
      </c>
      <c r="X538" s="3">
        <f>SUMIFS(LS[[#Headers],[BO UNIT TRANSFER]]:LS[[#This Row],[BO UNIT TRANSFER]],LS[[#Headers],[Investor ID]]:LS[[#This Row],[Investor ID]],LS[[#This Row],[Investor ID]])</f>
        <v>0</v>
      </c>
    </row>
    <row r="539" spans="2:24">
      <c r="B539" s="8">
        <v>2025</v>
      </c>
      <c r="C539" s="8">
        <v>3</v>
      </c>
      <c r="D539" s="8">
        <v>12</v>
      </c>
      <c r="E539" s="291">
        <f>DATE(LS[[#This Row],[Year]],LS[[#This Row],[Month]],LS[[#This Row],[Day]])</f>
        <v>45728</v>
      </c>
      <c r="F539" t="str" cm="1">
        <f t="array" ref="F539">INDEX(INVESTORS_LIST[INVESTOR NAME],MATCH(LS[[#This Row],[Investor ID]],INVESTORS_LIST[INVESTOR CODE],0),)</f>
        <v>FOUZIA RAHMAN</v>
      </c>
      <c r="G539" s="25" t="s">
        <v>853</v>
      </c>
      <c r="H539" s="8">
        <f>COUNTIF(LS[[#Headers],[Investor ID]]:LS[[#This Row],[Investor ID]],LS[[#This Row],[Investor ID]])</f>
        <v>3</v>
      </c>
      <c r="I539" s="8" t="str">
        <f>CONCATENATE(LS[[#This Row],[Frequency]],LS[[#This Row],[Investor ID]])</f>
        <v>3A00389</v>
      </c>
      <c r="J539" s="8" t="str">
        <f>IF(LS[[#This Row],[B/S]]="B","BUY",(IF(LS[[#This Row],[B/S]]="S","SELL"," ")))</f>
        <v>BUY</v>
      </c>
      <c r="K539" s="8" t="s">
        <v>301</v>
      </c>
      <c r="L539" s="3">
        <v>6520.77</v>
      </c>
      <c r="M539" s="10"/>
      <c r="N539" s="216">
        <f>LS[[#This Row],[Amount]]/LS[[#This Row],[Unit]]</f>
        <v>10.534361873990308</v>
      </c>
      <c r="O539" s="1">
        <f t="shared" si="101"/>
        <v>619</v>
      </c>
      <c r="P539" s="1">
        <f>SUMIFS(LS[[#Headers],[Unit]]:LS[[#This Row],[Unit]],LS[[#Headers],[Investor ID]]:LS[[#This Row],[Investor ID]],LS[[#This Row],[Investor ID]])</f>
        <v>15962</v>
      </c>
      <c r="Q539" s="10">
        <v>6190</v>
      </c>
      <c r="R539" s="6">
        <f>LS[[#This Row],[Amount]]-LS[[#This Row],[Unit Capital]]</f>
        <v>330.77000000000044</v>
      </c>
      <c r="S53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10.005530008770833</v>
      </c>
      <c r="T539" s="216">
        <f t="shared" si="92"/>
        <v>12.552</v>
      </c>
      <c r="U53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39" s="3" cm="1">
        <f t="array" ref="V539">IF(LS[[#This Row],[B/S]]="S",ABS(LS[[#This Row],[Unit]])*(INDEX(LS[NAV at Cost (Average)],MATCH(CONCATENATE((LS[[#This Row],[Frequency]]-1),LS[[#This Row],[Investor ID]]),LS[Unique Code],0),0)),0)</f>
        <v>0</v>
      </c>
      <c r="W539" s="3">
        <f>IF(LS[[#This Row],[BO Transfer]]="YES",LS[[#This Row],[Unit]],)</f>
        <v>0</v>
      </c>
      <c r="X539" s="3">
        <f>SUMIFS(LS[[#Headers],[BO UNIT TRANSFER]]:LS[[#This Row],[BO UNIT TRANSFER]],LS[[#Headers],[Investor ID]]:LS[[#This Row],[Investor ID]],LS[[#This Row],[Investor ID]])</f>
        <v>0</v>
      </c>
    </row>
    <row r="540" spans="2:24">
      <c r="B540" s="8">
        <v>2025</v>
      </c>
      <c r="C540" s="8">
        <v>3</v>
      </c>
      <c r="D540" s="8">
        <v>12</v>
      </c>
      <c r="E540" s="291">
        <f>DATE(LS[[#This Row],[Year]],LS[[#This Row],[Month]],LS[[#This Row],[Day]])</f>
        <v>45728</v>
      </c>
      <c r="F540" t="str" cm="1">
        <f t="array" ref="F540">INDEX(INVESTORS_LIST[INVESTOR NAME],MATCH(LS[[#This Row],[Investor ID]],INVESTORS_LIST[INVESTOR CODE],0),)</f>
        <v>SRIJON GHOSH</v>
      </c>
      <c r="G540" s="25" t="s">
        <v>927</v>
      </c>
      <c r="H540" s="8">
        <f>COUNTIF(LS[[#Headers],[Investor ID]]:LS[[#This Row],[Investor ID]],LS[[#This Row],[Investor ID]])</f>
        <v>4</v>
      </c>
      <c r="I540" s="8" t="str">
        <f>CONCATENATE(LS[[#This Row],[Frequency]],LS[[#This Row],[Investor ID]])</f>
        <v>4A00424</v>
      </c>
      <c r="J540" s="8" t="str">
        <f>IF(LS[[#This Row],[B/S]]="B","BUY",(IF(LS[[#This Row],[B/S]]="S","SELL"," ")))</f>
        <v>BUY</v>
      </c>
      <c r="K540" s="8" t="s">
        <v>301</v>
      </c>
      <c r="L540" s="3">
        <v>20.25</v>
      </c>
      <c r="M540" s="3"/>
      <c r="N540" s="216">
        <f>LS[[#This Row],[Amount]]/LS[[#This Row],[Unit]]</f>
        <v>10.125</v>
      </c>
      <c r="O540" s="1">
        <f t="shared" ref="O540:O541" si="102">Q540/10</f>
        <v>2</v>
      </c>
      <c r="P540" s="1">
        <f>SUMIFS(LS[[#Headers],[Unit]]:LS[[#This Row],[Unit]],LS[[#Headers],[Investor ID]]:LS[[#This Row],[Investor ID]],LS[[#This Row],[Investor ID]])</f>
        <v>47</v>
      </c>
      <c r="Q540" s="10">
        <v>20</v>
      </c>
      <c r="R540" s="6">
        <f>LS[[#This Row],[Amount]]-LS[[#This Row],[Unit Capital]]</f>
        <v>0.25</v>
      </c>
      <c r="S54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11.069148936170212</v>
      </c>
      <c r="T540" s="216">
        <f t="shared" si="92"/>
        <v>12.552</v>
      </c>
      <c r="U54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40" s="3" cm="1">
        <f t="array" ref="V540">IF(LS[[#This Row],[B/S]]="S",ABS(LS[[#This Row],[Unit]])*(INDEX(LS[NAV at Cost (Average)],MATCH(CONCATENATE((LS[[#This Row],[Frequency]]-1),LS[[#This Row],[Investor ID]]),LS[Unique Code],0),0)),0)</f>
        <v>0</v>
      </c>
      <c r="W540" s="3">
        <f>IF(LS[[#This Row],[BO Transfer]]="YES",LS[[#This Row],[Unit]],)</f>
        <v>0</v>
      </c>
      <c r="X540" s="3">
        <f>SUMIFS(LS[[#Headers],[BO UNIT TRANSFER]]:LS[[#This Row],[BO UNIT TRANSFER]],LS[[#Headers],[Investor ID]]:LS[[#This Row],[Investor ID]],LS[[#This Row],[Investor ID]])</f>
        <v>0</v>
      </c>
    </row>
    <row r="541" spans="2:24">
      <c r="B541" s="8">
        <v>2025</v>
      </c>
      <c r="C541" s="8">
        <v>3</v>
      </c>
      <c r="D541" s="8">
        <v>12</v>
      </c>
      <c r="E541" s="291">
        <f>DATE(LS[[#This Row],[Year]],LS[[#This Row],[Month]],LS[[#This Row],[Day]])</f>
        <v>45728</v>
      </c>
      <c r="F541" t="str" cm="1">
        <f t="array" ref="F541">INDEX(INVESTORS_LIST[INVESTOR NAME],MATCH(LS[[#This Row],[Investor ID]],INVESTORS_LIST[INVESTOR CODE],0),)</f>
        <v>NASRIN AHMED HELA</v>
      </c>
      <c r="G541" s="25" t="s">
        <v>935</v>
      </c>
      <c r="H541" s="8">
        <f>COUNTIF(LS[[#Headers],[Investor ID]]:LS[[#This Row],[Investor ID]],LS[[#This Row],[Investor ID]])</f>
        <v>7</v>
      </c>
      <c r="I541" s="8" t="str">
        <f>CONCATENATE(LS[[#This Row],[Frequency]],LS[[#This Row],[Investor ID]])</f>
        <v>7A00428</v>
      </c>
      <c r="J541" s="8" t="str">
        <f>IF(LS[[#This Row],[B/S]]="B","BUY",(IF(LS[[#This Row],[B/S]]="S","SELL"," ")))</f>
        <v>BUY</v>
      </c>
      <c r="K541" s="8" t="s">
        <v>301</v>
      </c>
      <c r="L541" s="3">
        <v>4846.95</v>
      </c>
      <c r="M541" s="3"/>
      <c r="N541" s="216">
        <f>LS[[#This Row],[Amount]]/LS[[#This Row],[Unit]]</f>
        <v>10.536847826086957</v>
      </c>
      <c r="O541" s="1">
        <f t="shared" si="102"/>
        <v>460</v>
      </c>
      <c r="P541" s="1">
        <f>SUMIFS(LS[[#Headers],[Unit]]:LS[[#This Row],[Unit]],LS[[#Headers],[Investor ID]]:LS[[#This Row],[Investor ID]],LS[[#This Row],[Investor ID]])</f>
        <v>11231</v>
      </c>
      <c r="Q541" s="10">
        <v>4600</v>
      </c>
      <c r="R541" s="6">
        <f>LS[[#This Row],[Amount]]-LS[[#This Row],[Unit Capital]]</f>
        <v>246.94999999999982</v>
      </c>
      <c r="S54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10.181779505857671</v>
      </c>
      <c r="T541" s="216">
        <f t="shared" si="92"/>
        <v>12.552</v>
      </c>
      <c r="U54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41" s="3" cm="1">
        <f t="array" ref="V541">IF(LS[[#This Row],[B/S]]="S",ABS(LS[[#This Row],[Unit]])*(INDEX(LS[NAV at Cost (Average)],MATCH(CONCATENATE((LS[[#This Row],[Frequency]]-1),LS[[#This Row],[Investor ID]]),LS[Unique Code],0),0)),0)</f>
        <v>0</v>
      </c>
      <c r="W541" s="3">
        <f>IF(LS[[#This Row],[BO Transfer]]="YES",LS[[#This Row],[Unit]],)</f>
        <v>0</v>
      </c>
      <c r="X541" s="3">
        <f>SUMIFS(LS[[#Headers],[BO UNIT TRANSFER]]:LS[[#This Row],[BO UNIT TRANSFER]],LS[[#Headers],[Investor ID]]:LS[[#This Row],[Investor ID]],LS[[#This Row],[Investor ID]])</f>
        <v>0</v>
      </c>
    </row>
    <row r="542" spans="2:24">
      <c r="B542" s="8">
        <v>2025</v>
      </c>
      <c r="C542" s="8">
        <v>3</v>
      </c>
      <c r="D542" s="8">
        <v>13</v>
      </c>
      <c r="E542" s="291">
        <f>DATE(LS[[#This Row],[Year]],LS[[#This Row],[Month]],LS[[#This Row],[Day]])</f>
        <v>45729</v>
      </c>
      <c r="F542" t="str" cm="1">
        <f t="array" ref="F542">INDEX(INVESTORS_LIST[INVESTOR NAME],MATCH(LS[[#This Row],[Investor ID]],INVESTORS_LIST[INVESTOR CODE],0),)</f>
        <v>FARUQUE AHMED &amp; ZAHEDA BEGUM HENA</v>
      </c>
      <c r="G542" s="25" t="s">
        <v>260</v>
      </c>
      <c r="H542" s="8">
        <f>COUNTIF(LS[[#Headers],[Investor ID]]:LS[[#This Row],[Investor ID]],LS[[#This Row],[Investor ID]])</f>
        <v>5</v>
      </c>
      <c r="I542" s="8" t="str">
        <f>CONCATENATE(LS[[#This Row],[Frequency]],LS[[#This Row],[Investor ID]])</f>
        <v>5A00210</v>
      </c>
      <c r="J542" s="8" t="str">
        <f>IF(LS[[#This Row],[B/S]]="B","BUY",(IF(LS[[#This Row],[B/S]]="S","SELL"," ")))</f>
        <v>SELL</v>
      </c>
      <c r="K542" s="8" t="s">
        <v>866</v>
      </c>
      <c r="L542" s="3">
        <v>-1063509.95</v>
      </c>
      <c r="M542" s="3"/>
      <c r="N542" s="216">
        <f>LS[[#This Row],[Amount]]/LS[[#This Row],[Unit]]</f>
        <v>10.537000029723275</v>
      </c>
      <c r="O542" s="1">
        <f t="shared" ref="O542:O549" si="103">Q542/10</f>
        <v>-100931</v>
      </c>
      <c r="P542" s="1">
        <f>SUMIFS(LS[[#Headers],[Unit]]:LS[[#This Row],[Unit]],LS[[#Headers],[Investor ID]]:LS[[#This Row],[Investor ID]],LS[[#This Row],[Investor ID]])</f>
        <v>0</v>
      </c>
      <c r="Q542" s="3">
        <v>-1009310</v>
      </c>
      <c r="R542" s="6">
        <f>LS[[#This Row],[Amount]]-LS[[#This Row],[Unit Capital]]</f>
        <v>-54199.949999999953</v>
      </c>
      <c r="S54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42" s="216">
        <f t="shared" ref="T542:T549" si="104">IFERROR(NAV_MKT,0)</f>
        <v>12.552</v>
      </c>
      <c r="U542" s="3">
        <f>IF(LS[[#This Row],[B/S]]="B",0,ABS(LS[[#This Row],[Unit]])*(LS[[#This Row],[NAV (Strike Rate)]]-INDEX(LS[NAV at Cost (Average)],MATCH(CONCATENATE(LS[[#This Row],[Frequency]]-1,LS[[#This Row],[Investor ID]]),LS[Unique Code],0),)))</f>
        <v>49501.611949999911</v>
      </c>
      <c r="V542" s="3" cm="1">
        <f t="array" ref="V542">IF(LS[[#This Row],[B/S]]="S",ABS(LS[[#This Row],[Unit]])*(INDEX(LS[NAV at Cost (Average)],MATCH(CONCATENATE((LS[[#This Row],[Frequency]]-1),LS[[#This Row],[Investor ID]]),LS[Unique Code],0),0)),0)</f>
        <v>1014008.33805</v>
      </c>
      <c r="W542" s="3">
        <f>IF(LS[[#This Row],[BO Transfer]]="YES",LS[[#This Row],[Unit]],)</f>
        <v>0</v>
      </c>
      <c r="X542" s="3">
        <f>SUMIFS(LS[[#Headers],[BO UNIT TRANSFER]]:LS[[#This Row],[BO UNIT TRANSFER]],LS[[#Headers],[Investor ID]]:LS[[#This Row],[Investor ID]],LS[[#This Row],[Investor ID]])</f>
        <v>0</v>
      </c>
    </row>
    <row r="543" spans="2:24">
      <c r="B543" s="8">
        <v>2025</v>
      </c>
      <c r="C543" s="8">
        <v>3</v>
      </c>
      <c r="D543" s="8">
        <v>13</v>
      </c>
      <c r="E543" s="291">
        <f>DATE(LS[[#This Row],[Year]],LS[[#This Row],[Month]],LS[[#This Row],[Day]])</f>
        <v>45729</v>
      </c>
      <c r="F543" t="str" cm="1">
        <f t="array" ref="F543">INDEX(INVESTORS_LIST[INVESTOR NAME],MATCH(LS[[#This Row],[Investor ID]],INVESTORS_LIST[INVESTOR CODE],0),)</f>
        <v>ADNAN NOOR</v>
      </c>
      <c r="G543" s="25" t="s">
        <v>1248</v>
      </c>
      <c r="H543" s="8">
        <f>COUNTIF(LS[[#Headers],[Investor ID]]:LS[[#This Row],[Investor ID]],LS[[#This Row],[Investor ID]])</f>
        <v>1</v>
      </c>
      <c r="I543" s="8" t="str">
        <f>CONCATENATE(LS[[#This Row],[Frequency]],LS[[#This Row],[Investor ID]])</f>
        <v>1A00529</v>
      </c>
      <c r="J543" s="8" t="str">
        <f>IF(LS[[#This Row],[B/S]]="B","BUY",(IF(LS[[#This Row],[B/S]]="S","SELL"," ")))</f>
        <v>BUY</v>
      </c>
      <c r="K543" s="8" t="s">
        <v>301</v>
      </c>
      <c r="L543" s="3">
        <v>500000</v>
      </c>
      <c r="M543" s="3" t="s">
        <v>957</v>
      </c>
      <c r="N543" s="216">
        <f>LS[[#This Row],[Amount]]/LS[[#This Row],[Unit]]</f>
        <v>10.536963668549271</v>
      </c>
      <c r="O543" s="1">
        <f t="shared" si="103"/>
        <v>47452</v>
      </c>
      <c r="P543" s="1">
        <f>SUMIFS(LS[[#Headers],[Unit]]:LS[[#This Row],[Unit]],LS[[#Headers],[Investor ID]]:LS[[#This Row],[Investor ID]],LS[[#This Row],[Investor ID]])</f>
        <v>47452</v>
      </c>
      <c r="Q543" s="3">
        <v>474520</v>
      </c>
      <c r="R543" s="6">
        <f>LS[[#This Row],[Amount]]-LS[[#This Row],[Unit Capital]]</f>
        <v>25480</v>
      </c>
      <c r="S54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10.536963668549271</v>
      </c>
      <c r="T543" s="216">
        <f t="shared" si="104"/>
        <v>12.552</v>
      </c>
      <c r="U54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43" s="3" cm="1">
        <f t="array" ref="V543">IF(LS[[#This Row],[B/S]]="S",ABS(LS[[#This Row],[Unit]])*(INDEX(LS[NAV at Cost (Average)],MATCH(CONCATENATE((LS[[#This Row],[Frequency]]-1),LS[[#This Row],[Investor ID]]),LS[Unique Code],0),0)),0)</f>
        <v>0</v>
      </c>
      <c r="W543" s="3">
        <f>IF(LS[[#This Row],[BO Transfer]]="YES",LS[[#This Row],[Unit]],)</f>
        <v>47452</v>
      </c>
      <c r="X543" s="3">
        <f>SUMIFS(LS[[#Headers],[BO UNIT TRANSFER]]:LS[[#This Row],[BO UNIT TRANSFER]],LS[[#Headers],[Investor ID]]:LS[[#This Row],[Investor ID]],LS[[#This Row],[Investor ID]])</f>
        <v>47452</v>
      </c>
    </row>
    <row r="544" spans="2:24">
      <c r="B544" s="8">
        <v>2025</v>
      </c>
      <c r="C544" s="8">
        <v>3</v>
      </c>
      <c r="D544" s="8">
        <v>13</v>
      </c>
      <c r="E544" s="291">
        <f>DATE(LS[[#This Row],[Year]],LS[[#This Row],[Month]],LS[[#This Row],[Day]])</f>
        <v>45729</v>
      </c>
      <c r="F544" t="str" cm="1">
        <f t="array" ref="F544">INDEX(INVESTORS_LIST[INVESTOR NAME],MATCH(LS[[#This Row],[Investor ID]],INVESTORS_LIST[INVESTOR CODE],0),)</f>
        <v>ADNAN NOOR</v>
      </c>
      <c r="G544" s="25" t="s">
        <v>1248</v>
      </c>
      <c r="H544" s="8">
        <f>COUNTIF(LS[[#Headers],[Investor ID]]:LS[[#This Row],[Investor ID]],LS[[#This Row],[Investor ID]])</f>
        <v>2</v>
      </c>
      <c r="I544" s="8" t="str">
        <f>CONCATENATE(LS[[#This Row],[Frequency]],LS[[#This Row],[Investor ID]])</f>
        <v>2A00529</v>
      </c>
      <c r="J544" s="8" t="str">
        <f>IF(LS[[#This Row],[B/S]]="B","BUY",(IF(LS[[#This Row],[B/S]]="S","SELL"," ")))</f>
        <v>BUY</v>
      </c>
      <c r="K544" s="8" t="s">
        <v>301</v>
      </c>
      <c r="L544" s="3">
        <v>500000</v>
      </c>
      <c r="M544" s="3" t="s">
        <v>957</v>
      </c>
      <c r="N544" s="216">
        <f>LS[[#This Row],[Amount]]/LS[[#This Row],[Unit]]</f>
        <v>10.536963668549271</v>
      </c>
      <c r="O544" s="1">
        <f t="shared" si="103"/>
        <v>47452</v>
      </c>
      <c r="P544" s="1">
        <f>SUMIFS(LS[[#Headers],[Unit]]:LS[[#This Row],[Unit]],LS[[#Headers],[Investor ID]]:LS[[#This Row],[Investor ID]],LS[[#This Row],[Investor ID]])</f>
        <v>94904</v>
      </c>
      <c r="Q544" s="3">
        <v>474520</v>
      </c>
      <c r="R544" s="6">
        <f>LS[[#This Row],[Amount]]-LS[[#This Row],[Unit Capital]]</f>
        <v>25480</v>
      </c>
      <c r="S54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10.536963668549271</v>
      </c>
      <c r="T544" s="216">
        <f t="shared" si="104"/>
        <v>12.552</v>
      </c>
      <c r="U54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44" s="3" cm="1">
        <f t="array" ref="V544">IF(LS[[#This Row],[B/S]]="S",ABS(LS[[#This Row],[Unit]])*(INDEX(LS[NAV at Cost (Average)],MATCH(CONCATENATE((LS[[#This Row],[Frequency]]-1),LS[[#This Row],[Investor ID]]),LS[Unique Code],0),0)),0)</f>
        <v>0</v>
      </c>
      <c r="W544" s="3">
        <f>IF(LS[[#This Row],[BO Transfer]]="YES",LS[[#This Row],[Unit]],)</f>
        <v>47452</v>
      </c>
      <c r="X544" s="3">
        <f>SUMIFS(LS[[#Headers],[BO UNIT TRANSFER]]:LS[[#This Row],[BO UNIT TRANSFER]],LS[[#Headers],[Investor ID]]:LS[[#This Row],[Investor ID]],LS[[#This Row],[Investor ID]])</f>
        <v>94904</v>
      </c>
    </row>
    <row r="545" spans="2:24">
      <c r="B545" s="8">
        <v>2025</v>
      </c>
      <c r="C545" s="8">
        <v>3</v>
      </c>
      <c r="D545" s="8">
        <v>13</v>
      </c>
      <c r="E545" s="291">
        <f>DATE(LS[[#This Row],[Year]],LS[[#This Row],[Month]],LS[[#This Row],[Day]])</f>
        <v>45729</v>
      </c>
      <c r="F545" t="str" cm="1">
        <f t="array" ref="F545">INDEX(INVESTORS_LIST[INVESTOR NAME],MATCH(LS[[#This Row],[Investor ID]],INVESTORS_LIST[INVESTOR CODE],0),)</f>
        <v>ASMA UL HUSNA</v>
      </c>
      <c r="G545" s="25" t="s">
        <v>171</v>
      </c>
      <c r="H545" s="8">
        <f>COUNTIF(LS[[#Headers],[Investor ID]]:LS[[#This Row],[Investor ID]],LS[[#This Row],[Investor ID]])</f>
        <v>1</v>
      </c>
      <c r="I545" s="8" t="str">
        <f>CONCATENATE(LS[[#This Row],[Frequency]],LS[[#This Row],[Investor ID]])</f>
        <v>1A00138</v>
      </c>
      <c r="J545" s="8" t="str">
        <f>IF(LS[[#This Row],[B/S]]="B","BUY",(IF(LS[[#This Row],[B/S]]="S","SELL"," ")))</f>
        <v>BUY</v>
      </c>
      <c r="K545" s="8" t="s">
        <v>301</v>
      </c>
      <c r="L545" s="3">
        <v>400000</v>
      </c>
      <c r="M545" s="3"/>
      <c r="N545" s="216">
        <f>LS[[#This Row],[Amount]]/LS[[#This Row],[Unit]]</f>
        <v>10.537130212586602</v>
      </c>
      <c r="O545" s="1">
        <f t="shared" si="103"/>
        <v>37961</v>
      </c>
      <c r="P545" s="1">
        <f>SUMIFS(LS[[#Headers],[Unit]]:LS[[#This Row],[Unit]],LS[[#Headers],[Investor ID]]:LS[[#This Row],[Investor ID]],LS[[#This Row],[Investor ID]])</f>
        <v>37961</v>
      </c>
      <c r="Q545" s="3">
        <v>379610</v>
      </c>
      <c r="R545" s="6">
        <f>LS[[#This Row],[Amount]]-LS[[#This Row],[Unit Capital]]</f>
        <v>20390</v>
      </c>
      <c r="S54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10.537130212586602</v>
      </c>
      <c r="T545" s="216">
        <f t="shared" si="104"/>
        <v>12.552</v>
      </c>
      <c r="U54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45" s="3" cm="1">
        <f t="array" ref="V545">IF(LS[[#This Row],[B/S]]="S",ABS(LS[[#This Row],[Unit]])*(INDEX(LS[NAV at Cost (Average)],MATCH(CONCATENATE((LS[[#This Row],[Frequency]]-1),LS[[#This Row],[Investor ID]]),LS[Unique Code],0),0)),0)</f>
        <v>0</v>
      </c>
      <c r="W545" s="3">
        <f>IF(LS[[#This Row],[BO Transfer]]="YES",LS[[#This Row],[Unit]],)</f>
        <v>0</v>
      </c>
      <c r="X545" s="3">
        <f>SUMIFS(LS[[#Headers],[BO UNIT TRANSFER]]:LS[[#This Row],[BO UNIT TRANSFER]],LS[[#Headers],[Investor ID]]:LS[[#This Row],[Investor ID]],LS[[#This Row],[Investor ID]])</f>
        <v>0</v>
      </c>
    </row>
    <row r="546" spans="2:24">
      <c r="B546" s="8">
        <v>2025</v>
      </c>
      <c r="C546" s="8">
        <v>3</v>
      </c>
      <c r="D546" s="8">
        <v>13</v>
      </c>
      <c r="E546" s="291">
        <f>DATE(LS[[#This Row],[Year]],LS[[#This Row],[Month]],LS[[#This Row],[Day]])</f>
        <v>45729</v>
      </c>
      <c r="F546" t="str" cm="1">
        <f t="array" ref="F546">INDEX(INVESTORS_LIST[INVESTOR NAME],MATCH(LS[[#This Row],[Investor ID]],INVESTORS_LIST[INVESTOR CODE],0),)</f>
        <v>ASMA UL HUSNA</v>
      </c>
      <c r="G546" s="25" t="s">
        <v>171</v>
      </c>
      <c r="H546" s="8">
        <f>COUNTIF(LS[[#Headers],[Investor ID]]:LS[[#This Row],[Investor ID]],LS[[#This Row],[Investor ID]])</f>
        <v>2</v>
      </c>
      <c r="I546" s="8" t="str">
        <f>CONCATENATE(LS[[#This Row],[Frequency]],LS[[#This Row],[Investor ID]])</f>
        <v>2A00138</v>
      </c>
      <c r="J546" s="8" t="str">
        <f>IF(LS[[#This Row],[B/S]]="B","BUY",(IF(LS[[#This Row],[B/S]]="S","SELL"," ")))</f>
        <v>BUY</v>
      </c>
      <c r="K546" s="8" t="s">
        <v>301</v>
      </c>
      <c r="L546" s="3">
        <v>400000</v>
      </c>
      <c r="M546" s="3"/>
      <c r="N546" s="216">
        <f>LS[[#This Row],[Amount]]/LS[[#This Row],[Unit]]</f>
        <v>10.537130212586602</v>
      </c>
      <c r="O546" s="1">
        <f t="shared" si="103"/>
        <v>37961</v>
      </c>
      <c r="P546" s="1">
        <f>SUMIFS(LS[[#Headers],[Unit]]:LS[[#This Row],[Unit]],LS[[#Headers],[Investor ID]]:LS[[#This Row],[Investor ID]],LS[[#This Row],[Investor ID]])</f>
        <v>75922</v>
      </c>
      <c r="Q546" s="3">
        <v>379610</v>
      </c>
      <c r="R546" s="6">
        <f>LS[[#This Row],[Amount]]-LS[[#This Row],[Unit Capital]]</f>
        <v>20390</v>
      </c>
      <c r="S54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10.537130212586602</v>
      </c>
      <c r="T546" s="216">
        <f t="shared" si="104"/>
        <v>12.552</v>
      </c>
      <c r="U54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46" s="3" cm="1">
        <f t="array" ref="V546">IF(LS[[#This Row],[B/S]]="S",ABS(LS[[#This Row],[Unit]])*(INDEX(LS[NAV at Cost (Average)],MATCH(CONCATENATE((LS[[#This Row],[Frequency]]-1),LS[[#This Row],[Investor ID]]),LS[Unique Code],0),0)),0)</f>
        <v>0</v>
      </c>
      <c r="W546" s="3">
        <f>IF(LS[[#This Row],[BO Transfer]]="YES",LS[[#This Row],[Unit]],)</f>
        <v>0</v>
      </c>
      <c r="X546" s="3">
        <f>SUMIFS(LS[[#Headers],[BO UNIT TRANSFER]]:LS[[#This Row],[BO UNIT TRANSFER]],LS[[#Headers],[Investor ID]]:LS[[#This Row],[Investor ID]],LS[[#This Row],[Investor ID]])</f>
        <v>0</v>
      </c>
    </row>
    <row r="547" spans="2:24">
      <c r="B547" s="8">
        <v>2025</v>
      </c>
      <c r="C547" s="8">
        <v>3</v>
      </c>
      <c r="D547" s="8">
        <v>13</v>
      </c>
      <c r="E547" s="291">
        <f>DATE(LS[[#This Row],[Year]],LS[[#This Row],[Month]],LS[[#This Row],[Day]])</f>
        <v>45729</v>
      </c>
      <c r="F547" t="str" cm="1">
        <f t="array" ref="F547">INDEX(INVESTORS_LIST[INVESTOR NAME],MATCH(LS[[#This Row],[Investor ID]],INVESTORS_LIST[INVESTOR CODE],0),)</f>
        <v>ARIFUR RAHMAN</v>
      </c>
      <c r="G547" s="25" t="s">
        <v>145</v>
      </c>
      <c r="H547" s="8">
        <f>COUNTIF(LS[[#Headers],[Investor ID]]:LS[[#This Row],[Investor ID]],LS[[#This Row],[Investor ID]])</f>
        <v>4</v>
      </c>
      <c r="I547" s="8" t="str">
        <f>CONCATENATE(LS[[#This Row],[Frequency]],LS[[#This Row],[Investor ID]])</f>
        <v>4A00115</v>
      </c>
      <c r="J547" s="8" t="str">
        <f>IF(LS[[#This Row],[B/S]]="B","BUY",(IF(LS[[#This Row],[B/S]]="S","SELL"," ")))</f>
        <v>BUY</v>
      </c>
      <c r="K547" s="8" t="s">
        <v>301</v>
      </c>
      <c r="L547" s="3">
        <v>60000</v>
      </c>
      <c r="M547" s="3"/>
      <c r="N547" s="216">
        <f>LS[[#This Row],[Amount]]/LS[[#This Row],[Unit]]</f>
        <v>10.537407797681769</v>
      </c>
      <c r="O547" s="1">
        <f>Q547/10</f>
        <v>5694</v>
      </c>
      <c r="P547" s="1">
        <f>SUMIFS(LS[[#Headers],[Unit]]:LS[[#This Row],[Unit]],LS[[#Headers],[Investor ID]]:LS[[#This Row],[Investor ID]],LS[[#This Row],[Investor ID]])</f>
        <v>16391</v>
      </c>
      <c r="Q547" s="3">
        <v>56940</v>
      </c>
      <c r="R547" s="6">
        <f>LS[[#This Row],[Amount]]-LS[[#This Row],[Unit Capital]]</f>
        <v>3060</v>
      </c>
      <c r="S54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10.180788237447379</v>
      </c>
      <c r="T547" s="216">
        <f>IFERROR(NAV_MKT,0)</f>
        <v>12.552</v>
      </c>
      <c r="U54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47" s="3" cm="1">
        <f t="array" ref="V547">IF(LS[[#This Row],[B/S]]="S",ABS(LS[[#This Row],[Unit]])*(INDEX(LS[NAV at Cost (Average)],MATCH(CONCATENATE((LS[[#This Row],[Frequency]]-1),LS[[#This Row],[Investor ID]]),LS[Unique Code],0),0)),0)</f>
        <v>0</v>
      </c>
      <c r="W547" s="3">
        <f>IF(LS[[#This Row],[BO Transfer]]="YES",LS[[#This Row],[Unit]],)</f>
        <v>0</v>
      </c>
      <c r="X547" s="3">
        <f>SUMIFS(LS[[#Headers],[BO UNIT TRANSFER]]:LS[[#This Row],[BO UNIT TRANSFER]],LS[[#Headers],[Investor ID]]:LS[[#This Row],[Investor ID]],LS[[#This Row],[Investor ID]])</f>
        <v>0</v>
      </c>
    </row>
    <row r="548" spans="2:24">
      <c r="B548" s="8">
        <v>2025</v>
      </c>
      <c r="C548" s="8">
        <v>3</v>
      </c>
      <c r="D548" s="8">
        <v>17</v>
      </c>
      <c r="E548" s="291">
        <f>DATE(LS[[#This Row],[Year]],LS[[#This Row],[Month]],LS[[#This Row],[Day]])</f>
        <v>45733</v>
      </c>
      <c r="F548" t="str" cm="1">
        <f t="array" ref="F548">INDEX(INVESTORS_LIST[INVESTOR NAME],MATCH(LS[[#This Row],[Investor ID]],INVESTORS_LIST[INVESTOR CODE],0),)</f>
        <v>MD KAMRUL ISLAM</v>
      </c>
      <c r="G548" s="25" t="s">
        <v>221</v>
      </c>
      <c r="H548" s="8">
        <f>COUNTIF(LS[[#Headers],[Investor ID]]:LS[[#This Row],[Investor ID]],LS[[#This Row],[Investor ID]])</f>
        <v>4</v>
      </c>
      <c r="I548" s="8" t="str">
        <f>CONCATENATE(LS[[#This Row],[Frequency]],LS[[#This Row],[Investor ID]])</f>
        <v>4A00189</v>
      </c>
      <c r="J548" s="8" t="str">
        <f>IF(LS[[#This Row],[B/S]]="B","BUY",(IF(LS[[#This Row],[B/S]]="S","SELL"," ")))</f>
        <v>SELL</v>
      </c>
      <c r="K548" s="8" t="s">
        <v>866</v>
      </c>
      <c r="L548" s="3">
        <v>-63444</v>
      </c>
      <c r="M548" s="3"/>
      <c r="N548" s="216">
        <f>LS[[#This Row],[Amount]]/LS[[#This Row],[Unit]]</f>
        <v>10.574</v>
      </c>
      <c r="O548" s="1">
        <f>Q548/10</f>
        <v>-6000</v>
      </c>
      <c r="P548" s="1">
        <f>SUMIFS(LS[[#Headers],[Unit]]:LS[[#This Row],[Unit]],LS[[#Headers],[Investor ID]]:LS[[#This Row],[Investor ID]],LS[[#This Row],[Investor ID]])</f>
        <v>0</v>
      </c>
      <c r="Q548" s="3">
        <v>-60000</v>
      </c>
      <c r="R548" s="6">
        <f>LS[[#This Row],[Amount]]-LS[[#This Row],[Unit Capital]]</f>
        <v>-3444</v>
      </c>
      <c r="S54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48" s="216">
        <f>IFERROR(NAV_MKT,0)</f>
        <v>12.552</v>
      </c>
      <c r="U548" s="3">
        <f>IF(LS[[#This Row],[B/S]]="B",0,ABS(LS[[#This Row],[Unit]])*(LS[[#This Row],[NAV (Strike Rate)]]-INDEX(LS[NAV at Cost (Average)],MATCH(CONCATENATE(LS[[#This Row],[Frequency]]-1,LS[[#This Row],[Investor ID]]),LS[Unique Code],0),)))</f>
        <v>3443.9999999999991</v>
      </c>
      <c r="V548" s="3" cm="1">
        <f t="array" ref="V548">IF(LS[[#This Row],[B/S]]="S",ABS(LS[[#This Row],[Unit]])*(INDEX(LS[NAV at Cost (Average)],MATCH(CONCATENATE((LS[[#This Row],[Frequency]]-1),LS[[#This Row],[Investor ID]]),LS[Unique Code],0),0)),0)</f>
        <v>60000</v>
      </c>
      <c r="W548" s="3">
        <f>IF(LS[[#This Row],[BO Transfer]]="YES",LS[[#This Row],[Unit]],)</f>
        <v>0</v>
      </c>
      <c r="X548" s="3">
        <f>SUMIFS(LS[[#Headers],[BO UNIT TRANSFER]]:LS[[#This Row],[BO UNIT TRANSFER]],LS[[#Headers],[Investor ID]]:LS[[#This Row],[Investor ID]],LS[[#This Row],[Investor ID]])</f>
        <v>0</v>
      </c>
    </row>
    <row r="549" spans="2:24">
      <c r="B549" s="8">
        <v>2025</v>
      </c>
      <c r="C549" s="8">
        <v>3</v>
      </c>
      <c r="D549" s="8">
        <v>20</v>
      </c>
      <c r="E549" s="291">
        <f>DATE(LS[[#This Row],[Year]],LS[[#This Row],[Month]],LS[[#This Row],[Day]])</f>
        <v>45736</v>
      </c>
      <c r="F549" t="str" cm="1">
        <f t="array" ref="F549">INDEX(INVESTORS_LIST[INVESTOR NAME],MATCH(LS[[#This Row],[Investor ID]],INVESTORS_LIST[INVESTOR CODE],0),)</f>
        <v>BILKISS ARA</v>
      </c>
      <c r="G549" s="25" t="s">
        <v>81</v>
      </c>
      <c r="H549" s="8">
        <f>COUNTIF(LS[[#Headers],[Investor ID]]:LS[[#This Row],[Investor ID]],LS[[#This Row],[Investor ID]])</f>
        <v>6</v>
      </c>
      <c r="I549" s="8" t="str">
        <f>CONCATENATE(LS[[#This Row],[Frequency]],LS[[#This Row],[Investor ID]])</f>
        <v>6A00073</v>
      </c>
      <c r="J549" s="8" t="str">
        <f>IF(LS[[#This Row],[B/S]]="B","BUY",(IF(LS[[#This Row],[B/S]]="S","SELL"," ")))</f>
        <v>SELL</v>
      </c>
      <c r="K549" s="8" t="s">
        <v>866</v>
      </c>
      <c r="L549" s="3">
        <v>-25000</v>
      </c>
      <c r="M549" s="3" t="s">
        <v>957</v>
      </c>
      <c r="N549" s="216">
        <f>LS[[#This Row],[Amount]]/LS[[#This Row],[Unit]]</f>
        <v>10.575296108291033</v>
      </c>
      <c r="O549" s="1">
        <f t="shared" si="103"/>
        <v>-2364</v>
      </c>
      <c r="P549" s="1">
        <f>SUMIFS(LS[[#Headers],[Unit]]:LS[[#This Row],[Unit]],LS[[#Headers],[Investor ID]]:LS[[#This Row],[Investor ID]],LS[[#This Row],[Investor ID]])</f>
        <v>101187</v>
      </c>
      <c r="Q549" s="3">
        <v>-23640</v>
      </c>
      <c r="R549" s="6">
        <f>LS[[#This Row],[Amount]]-LS[[#This Row],[Unit Capital]]</f>
        <v>-1360</v>
      </c>
      <c r="S54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10.54845245338046</v>
      </c>
      <c r="T549" s="216">
        <f t="shared" si="104"/>
        <v>12.552</v>
      </c>
      <c r="U549" s="3">
        <f>IF(LS[[#This Row],[B/S]]="B",0,ABS(LS[[#This Row],[Unit]])*(LS[[#This Row],[NAV (Strike Rate)]]-INDEX(LS[NAV at Cost (Average)],MATCH(CONCATENATE(LS[[#This Row],[Frequency]]-1,LS[[#This Row],[Investor ID]]),LS[Unique Code],0),)))</f>
        <v>63.458400208595229</v>
      </c>
      <c r="V549" s="3" cm="1">
        <f t="array" ref="V549">IF(LS[[#This Row],[B/S]]="S",ABS(LS[[#This Row],[Unit]])*(INDEX(LS[NAV at Cost (Average)],MATCH(CONCATENATE((LS[[#This Row],[Frequency]]-1),LS[[#This Row],[Investor ID]]),LS[Unique Code],0),0)),0)</f>
        <v>24936.541599791406</v>
      </c>
      <c r="W549" s="3">
        <f>IF(LS[[#This Row],[BO Transfer]]="YES",LS[[#This Row],[Unit]],)</f>
        <v>-2364</v>
      </c>
      <c r="X549" s="3">
        <f>SUMIFS(LS[[#Headers],[BO UNIT TRANSFER]]:LS[[#This Row],[BO UNIT TRANSFER]],LS[[#Headers],[Investor ID]]:LS[[#This Row],[Investor ID]],LS[[#This Row],[Investor ID]])</f>
        <v>101187</v>
      </c>
    </row>
    <row r="550" spans="2:24">
      <c r="B550" s="8">
        <v>2025</v>
      </c>
      <c r="C550" s="8">
        <v>4</v>
      </c>
      <c r="D550" s="8">
        <v>28</v>
      </c>
      <c r="E550" s="291">
        <f>DATE(LS[[#This Row],[Year]],LS[[#This Row],[Month]],LS[[#This Row],[Day]])</f>
        <v>45775</v>
      </c>
      <c r="F550" t="str" cm="1">
        <f t="array" ref="F550">INDEX(INVESTORS_LIST[INVESTOR NAME],MATCH(LS[[#This Row],[Investor ID]],INVESTORS_LIST[INVESTOR CODE],0),)</f>
        <v>MD. AL AMIN SARKER</v>
      </c>
      <c r="G550" s="25" t="s">
        <v>688</v>
      </c>
      <c r="H550" s="8">
        <f>COUNTIF(LS[[#Headers],[Investor ID]]:LS[[#This Row],[Investor ID]],LS[[#This Row],[Investor ID]])</f>
        <v>4</v>
      </c>
      <c r="I550" s="8" t="str">
        <f>CONCATENATE(LS[[#This Row],[Frequency]],LS[[#This Row],[Investor ID]])</f>
        <v>4A00371</v>
      </c>
      <c r="J550" s="8" t="str">
        <f>IF(LS[[#This Row],[B/S]]="B","BUY",(IF(LS[[#This Row],[B/S]]="S","SELL"," ")))</f>
        <v>SELL</v>
      </c>
      <c r="K550" s="8" t="s">
        <v>866</v>
      </c>
      <c r="L550" s="3">
        <v>-673057.34</v>
      </c>
      <c r="M550" s="3"/>
      <c r="N550" s="216">
        <f>LS[[#This Row],[Amount]]/LS[[#This Row],[Unit]]</f>
        <v>10.518000031254395</v>
      </c>
      <c r="O550" s="1">
        <f t="shared" ref="O550:O555" si="105">Q550/10</f>
        <v>-63991</v>
      </c>
      <c r="P550" s="1">
        <f>SUMIFS(LS[[#Headers],[Unit]]:LS[[#This Row],[Unit]],LS[[#Headers],[Investor ID]]:LS[[#This Row],[Investor ID]],LS[[#This Row],[Investor ID]])</f>
        <v>0</v>
      </c>
      <c r="Q550" s="3">
        <v>-639910</v>
      </c>
      <c r="R550" s="6">
        <f>LS[[#This Row],[Amount]]-LS[[#This Row],[Unit Capital]]</f>
        <v>-33147.339999999967</v>
      </c>
      <c r="S55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50" s="216">
        <f t="shared" ref="T550:T555" si="106">IFERROR(NAV_MKT,0)</f>
        <v>12.552</v>
      </c>
      <c r="U550" s="3">
        <f>IF(LS[[#This Row],[B/S]]="B",0,ABS(LS[[#This Row],[Unit]])*(LS[[#This Row],[NAV (Strike Rate)]]-INDEX(LS[NAV at Cost (Average)],MATCH(CONCATENATE(LS[[#This Row],[Frequency]]-1,LS[[#This Row],[Investor ID]]),LS[Unique Code],0),)))</f>
        <v>31940.840000000102</v>
      </c>
      <c r="V550" s="3" cm="1">
        <f t="array" ref="V550">IF(LS[[#This Row],[B/S]]="S",ABS(LS[[#This Row],[Unit]])*(INDEX(LS[NAV at Cost (Average)],MATCH(CONCATENATE((LS[[#This Row],[Frequency]]-1),LS[[#This Row],[Investor ID]]),LS[Unique Code],0),0)),0)</f>
        <v>641116.49999999988</v>
      </c>
      <c r="W550" s="3">
        <f>IF(LS[[#This Row],[BO Transfer]]="YES",LS[[#This Row],[Unit]],)</f>
        <v>0</v>
      </c>
      <c r="X550" s="3">
        <f>SUMIFS(LS[[#Headers],[BO UNIT TRANSFER]]:LS[[#This Row],[BO UNIT TRANSFER]],LS[[#Headers],[Investor ID]]:LS[[#This Row],[Investor ID]],LS[[#This Row],[Investor ID]])</f>
        <v>0</v>
      </c>
    </row>
    <row r="551" spans="2:24">
      <c r="B551" s="8">
        <v>2025</v>
      </c>
      <c r="C551" s="8">
        <v>5</v>
      </c>
      <c r="D551" s="8">
        <v>4</v>
      </c>
      <c r="E551" s="291">
        <f>DATE(LS[[#This Row],[Year]],LS[[#This Row],[Month]],LS[[#This Row],[Day]])</f>
        <v>45781</v>
      </c>
      <c r="F551" t="str" cm="1">
        <f t="array" ref="F551">INDEX(INVESTORS_LIST[INVESTOR NAME],MATCH(LS[[#This Row],[Investor ID]],INVESTORS_LIST[INVESTOR CODE],0),)</f>
        <v>ARIFUR RAHMAN</v>
      </c>
      <c r="G551" s="25" t="s">
        <v>145</v>
      </c>
      <c r="H551" s="8">
        <f>COUNTIF(LS[[#Headers],[Investor ID]]:LS[[#This Row],[Investor ID]],LS[[#This Row],[Investor ID]])</f>
        <v>5</v>
      </c>
      <c r="I551" s="8" t="str">
        <f>CONCATENATE(LS[[#This Row],[Frequency]],LS[[#This Row],[Investor ID]])</f>
        <v>5A00115</v>
      </c>
      <c r="J551" s="8" t="str">
        <f>IF(LS[[#This Row],[B/S]]="B","BUY",(IF(LS[[#This Row],[B/S]]="S","SELL"," ")))</f>
        <v>BUY</v>
      </c>
      <c r="K551" s="8" t="s">
        <v>301</v>
      </c>
      <c r="L551" s="3">
        <v>25000</v>
      </c>
      <c r="M551" s="3"/>
      <c r="N551" s="216">
        <f>LS[[#This Row],[Amount]]/LS[[#This Row],[Unit]]</f>
        <v>10.566356720202874</v>
      </c>
      <c r="O551" s="1">
        <f t="shared" si="105"/>
        <v>2366</v>
      </c>
      <c r="P551" s="1">
        <f>SUMIFS(LS[[#Headers],[Unit]]:LS[[#This Row],[Unit]],LS[[#Headers],[Investor ID]]:LS[[#This Row],[Investor ID]],LS[[#This Row],[Investor ID]])</f>
        <v>18757</v>
      </c>
      <c r="Q551" s="3">
        <v>23660</v>
      </c>
      <c r="R551" s="6">
        <f>LS[[#This Row],[Amount]]-LS[[#This Row],[Unit Capital]]</f>
        <v>1340</v>
      </c>
      <c r="S55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10.229423681825452</v>
      </c>
      <c r="T551" s="216">
        <f t="shared" si="106"/>
        <v>12.552</v>
      </c>
      <c r="U55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51" s="3" cm="1">
        <f t="array" ref="V551">IF(LS[[#This Row],[B/S]]="S",ABS(LS[[#This Row],[Unit]])*(INDEX(LS[NAV at Cost (Average)],MATCH(CONCATENATE((LS[[#This Row],[Frequency]]-1),LS[[#This Row],[Investor ID]]),LS[Unique Code],0),0)),0)</f>
        <v>0</v>
      </c>
      <c r="W551" s="3">
        <f>IF(LS[[#This Row],[BO Transfer]]="YES",LS[[#This Row],[Unit]],)</f>
        <v>0</v>
      </c>
      <c r="X551" s="3">
        <f>SUMIFS(LS[[#Headers],[BO UNIT TRANSFER]]:LS[[#This Row],[BO UNIT TRANSFER]],LS[[#Headers],[Investor ID]]:LS[[#This Row],[Investor ID]],LS[[#This Row],[Investor ID]])</f>
        <v>0</v>
      </c>
    </row>
    <row r="552" spans="2:24">
      <c r="B552" s="8">
        <v>2025</v>
      </c>
      <c r="C552" s="8">
        <v>5</v>
      </c>
      <c r="D552" s="8">
        <v>22</v>
      </c>
      <c r="E552" s="291">
        <f>DATE(LS[[#This Row],[Year]],LS[[#This Row],[Month]],LS[[#This Row],[Day]])</f>
        <v>45799</v>
      </c>
      <c r="F552" t="str" cm="1">
        <f t="array" ref="F552">INDEX(INVESTORS_LIST[INVESTOR NAME],MATCH(LS[[#This Row],[Investor ID]],INVESTORS_LIST[INVESTOR CODE],0),)</f>
        <v>ADNAN NOOR</v>
      </c>
      <c r="G552" s="25" t="s">
        <v>1248</v>
      </c>
      <c r="H552" s="8">
        <f>COUNTIF(LS[[#Headers],[Investor ID]]:LS[[#This Row],[Investor ID]],LS[[#This Row],[Investor ID]])</f>
        <v>3</v>
      </c>
      <c r="I552" s="8" t="str">
        <f>CONCATENATE(LS[[#This Row],[Frequency]],LS[[#This Row],[Investor ID]])</f>
        <v>3A00529</v>
      </c>
      <c r="J552" s="8" t="str">
        <f>IF(LS[[#This Row],[B/S]]="B","BUY",(IF(LS[[#This Row],[B/S]]="S","SELL"," ")))</f>
        <v>SELL</v>
      </c>
      <c r="K552" s="8" t="s">
        <v>866</v>
      </c>
      <c r="L552" s="3">
        <v>-500000</v>
      </c>
      <c r="M552" s="3" t="s">
        <v>957</v>
      </c>
      <c r="N552" s="216">
        <f>LS[[#This Row],[Amount]]/LS[[#This Row],[Unit]]</f>
        <v>10.563901037375082</v>
      </c>
      <c r="O552" s="1">
        <f t="shared" si="105"/>
        <v>-47331</v>
      </c>
      <c r="P552" s="1">
        <f>SUMIFS(LS[[#Headers],[Unit]]:LS[[#This Row],[Unit]],LS[[#Headers],[Investor ID]]:LS[[#This Row],[Investor ID]],LS[[#This Row],[Investor ID]])</f>
        <v>47573</v>
      </c>
      <c r="Q552" s="3">
        <v>-473310</v>
      </c>
      <c r="R552" s="6">
        <f>LS[[#This Row],[Amount]]-LS[[#This Row],[Unit Capital]]</f>
        <v>-26690</v>
      </c>
      <c r="S55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10.536963668549271</v>
      </c>
      <c r="T552" s="216">
        <f t="shared" si="106"/>
        <v>12.552</v>
      </c>
      <c r="U552" s="3">
        <f>IF(LS[[#This Row],[B/S]]="B",0,ABS(LS[[#This Row],[Unit]])*(LS[[#This Row],[NAV (Strike Rate)]]-INDEX(LS[NAV at Cost (Average)],MATCH(CONCATENATE(LS[[#This Row],[Frequency]]-1,LS[[#This Row],[Investor ID]]),LS[Unique Code],0),)))</f>
        <v>1274.97260389446</v>
      </c>
      <c r="V552" s="3" cm="1">
        <f t="array" ref="V552">IF(LS[[#This Row],[B/S]]="S",ABS(LS[[#This Row],[Unit]])*(INDEX(LS[NAV at Cost (Average)],MATCH(CONCATENATE((LS[[#This Row],[Frequency]]-1),LS[[#This Row],[Investor ID]]),LS[Unique Code],0),0)),0)</f>
        <v>498725.02739610558</v>
      </c>
      <c r="W552" s="3">
        <f>IF(LS[[#This Row],[BO Transfer]]="YES",LS[[#This Row],[Unit]],)</f>
        <v>-47331</v>
      </c>
      <c r="X552" s="3">
        <f>SUMIFS(LS[[#Headers],[BO UNIT TRANSFER]]:LS[[#This Row],[BO UNIT TRANSFER]],LS[[#Headers],[Investor ID]]:LS[[#This Row],[Investor ID]],LS[[#This Row],[Investor ID]])</f>
        <v>47573</v>
      </c>
    </row>
    <row r="553" spans="2:24">
      <c r="B553" s="8">
        <v>2025</v>
      </c>
      <c r="C553" s="8">
        <v>5</v>
      </c>
      <c r="D553" s="8">
        <v>26</v>
      </c>
      <c r="E553" s="291">
        <f>DATE(LS[[#This Row],[Year]],LS[[#This Row],[Month]],LS[[#This Row],[Day]])</f>
        <v>45803</v>
      </c>
      <c r="F553" t="str" cm="1">
        <f t="array" ref="F553">INDEX(INVESTORS_LIST[INVESTOR NAME],MATCH(LS[[#This Row],[Investor ID]],INVESTORS_LIST[INVESTOR CODE],0),)</f>
        <v>MYAT MOE KHAING</v>
      </c>
      <c r="G553" s="25" t="s">
        <v>925</v>
      </c>
      <c r="H553" s="8">
        <f>COUNTIF(LS[[#Headers],[Investor ID]]:LS[[#This Row],[Investor ID]],LS[[#This Row],[Investor ID]])</f>
        <v>2</v>
      </c>
      <c r="I553" s="8" t="str">
        <f>CONCATENATE(LS[[#This Row],[Frequency]],LS[[#This Row],[Investor ID]])</f>
        <v>2A00423</v>
      </c>
      <c r="J553" s="46" t="str">
        <f>IF(LS[[#This Row],[B/S]]="B","BUY",(IF(LS[[#This Row],[B/S]]="S","SELL"," ")))</f>
        <v>SELL</v>
      </c>
      <c r="K553" s="8" t="s">
        <v>866</v>
      </c>
      <c r="L553" s="3">
        <v>-536196.4</v>
      </c>
      <c r="M553" s="3"/>
      <c r="N553" s="216">
        <f>LS[[#This Row],[Amount]]/LS[[#This Row],[Unit]]</f>
        <v>10.531000078560767</v>
      </c>
      <c r="O553" s="1">
        <f t="shared" si="105"/>
        <v>-50916</v>
      </c>
      <c r="P553" s="1">
        <f>SUMIFS(LS[[#Headers],[Unit]]:LS[[#This Row],[Unit]],LS[[#Headers],[Investor ID]]:LS[[#This Row],[Investor ID]],LS[[#This Row],[Investor ID]])</f>
        <v>0</v>
      </c>
      <c r="Q553" s="3">
        <v>-509160</v>
      </c>
      <c r="R553" s="6">
        <f>LS[[#This Row],[Amount]]-LS[[#This Row],[Unit Capital]]</f>
        <v>-27036.400000000023</v>
      </c>
      <c r="S55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53" s="216">
        <f t="shared" si="106"/>
        <v>12.552</v>
      </c>
      <c r="U553" s="3">
        <f>IF(LS[[#This Row],[B/S]]="B",0,ABS(LS[[#This Row],[Unit]])*(LS[[#This Row],[NAV (Strike Rate)]]-INDEX(LS[NAV at Cost (Average)],MATCH(CONCATENATE(LS[[#This Row],[Frequency]]-1,LS[[#This Row],[Investor ID]]),LS[Unique Code],0),)))</f>
        <v>36196.400000000016</v>
      </c>
      <c r="V553" s="3" cm="1">
        <f t="array" ref="V553">IF(LS[[#This Row],[B/S]]="S",ABS(LS[[#This Row],[Unit]])*(INDEX(LS[NAV at Cost (Average)],MATCH(CONCATENATE((LS[[#This Row],[Frequency]]-1),LS[[#This Row],[Investor ID]]),LS[Unique Code],0),0)),0)</f>
        <v>500000</v>
      </c>
      <c r="W553" s="3">
        <f>IF(LS[[#This Row],[BO Transfer]]="YES",LS[[#This Row],[Unit]],)</f>
        <v>0</v>
      </c>
      <c r="X553" s="3">
        <f>SUMIFS(LS[[#Headers],[BO UNIT TRANSFER]]:LS[[#This Row],[BO UNIT TRANSFER]],LS[[#Headers],[Investor ID]]:LS[[#This Row],[Investor ID]],LS[[#This Row],[Investor ID]])</f>
        <v>0</v>
      </c>
    </row>
    <row r="554" spans="2:24">
      <c r="B554" s="8">
        <v>2025</v>
      </c>
      <c r="C554" s="8">
        <v>6</v>
      </c>
      <c r="D554" s="8">
        <v>3</v>
      </c>
      <c r="E554" s="291">
        <f>DATE(LS[[#This Row],[Year]],LS[[#This Row],[Month]],LS[[#This Row],[Day]])</f>
        <v>45811</v>
      </c>
      <c r="F554" t="str" cm="1">
        <f t="array" ref="F554">INDEX(INVESTORS_LIST[INVESTOR NAME],MATCH(LS[[#This Row],[Investor ID]],INVESTORS_LIST[INVESTOR CODE],0),)</f>
        <v>MD KAMRUL ISLAM</v>
      </c>
      <c r="G554" s="25" t="s">
        <v>221</v>
      </c>
      <c r="H554" s="8">
        <f>COUNTIF(LS[[#Headers],[Investor ID]]:LS[[#This Row],[Investor ID]],LS[[#This Row],[Investor ID]])</f>
        <v>5</v>
      </c>
      <c r="I554" s="8" t="str">
        <f>CONCATENATE(LS[[#This Row],[Frequency]],LS[[#This Row],[Investor ID]])</f>
        <v>5A00189</v>
      </c>
      <c r="J554" s="46" t="str">
        <f>IF(LS[[#This Row],[B/S]]="B","BUY",(IF(LS[[#This Row],[B/S]]="S","SELL"," ")))</f>
        <v>BUY</v>
      </c>
      <c r="K554" s="8" t="s">
        <v>301</v>
      </c>
      <c r="L554" s="3">
        <v>300000</v>
      </c>
      <c r="M554" s="3"/>
      <c r="N554" s="216">
        <f>LS[[#This Row],[Amount]]/LS[[#This Row],[Unit]]</f>
        <v>10.488043630261503</v>
      </c>
      <c r="O554" s="1">
        <f t="shared" si="105"/>
        <v>28604</v>
      </c>
      <c r="P554" s="1">
        <f>SUMIFS(LS[[#Headers],[Unit]]:LS[[#This Row],[Unit]],LS[[#Headers],[Investor ID]]:LS[[#This Row],[Investor ID]],LS[[#This Row],[Investor ID]])</f>
        <v>28604</v>
      </c>
      <c r="Q554" s="3">
        <v>286040</v>
      </c>
      <c r="R554" s="6">
        <f>LS[[#This Row],[Amount]]-LS[[#This Row],[Unit Capital]]</f>
        <v>13960</v>
      </c>
      <c r="S55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10.488043630261503</v>
      </c>
      <c r="T554" s="216">
        <f t="shared" si="106"/>
        <v>12.552</v>
      </c>
      <c r="U55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54" s="3" cm="1">
        <f t="array" ref="V554">IF(LS[[#This Row],[B/S]]="S",ABS(LS[[#This Row],[Unit]])*(INDEX(LS[NAV at Cost (Average)],MATCH(CONCATENATE((LS[[#This Row],[Frequency]]-1),LS[[#This Row],[Investor ID]]),LS[Unique Code],0),0)),0)</f>
        <v>0</v>
      </c>
      <c r="W554" s="3">
        <f>IF(LS[[#This Row],[BO Transfer]]="YES",LS[[#This Row],[Unit]],)</f>
        <v>0</v>
      </c>
      <c r="X554" s="3">
        <f>SUMIFS(LS[[#Headers],[BO UNIT TRANSFER]]:LS[[#This Row],[BO UNIT TRANSFER]],LS[[#Headers],[Investor ID]]:LS[[#This Row],[Investor ID]],LS[[#This Row],[Investor ID]])</f>
        <v>0</v>
      </c>
    </row>
    <row r="555" spans="2:24">
      <c r="B555" s="8">
        <v>2025</v>
      </c>
      <c r="C555" s="8">
        <v>6</v>
      </c>
      <c r="D555" s="8">
        <v>3</v>
      </c>
      <c r="E555" s="291">
        <f>DATE(LS[[#This Row],[Year]],LS[[#This Row],[Month]],LS[[#This Row],[Day]])</f>
        <v>45811</v>
      </c>
      <c r="F555" t="str" cm="1">
        <f t="array" ref="F555">INDEX(INVESTORS_LIST[INVESTOR NAME],MATCH(LS[[#This Row],[Investor ID]],INVESTORS_LIST[INVESTOR CODE],0),)</f>
        <v>MASTURA MUNIAT</v>
      </c>
      <c r="G555" s="25" t="s">
        <v>381</v>
      </c>
      <c r="H555" s="8">
        <f>COUNTIF(LS[[#Headers],[Investor ID]]:LS[[#This Row],[Investor ID]],LS[[#This Row],[Investor ID]])</f>
        <v>5</v>
      </c>
      <c r="I555" s="8" t="str">
        <f>CONCATENATE(LS[[#This Row],[Frequency]],LS[[#This Row],[Investor ID]])</f>
        <v>5A00262</v>
      </c>
      <c r="J555" s="8" t="str">
        <f>IF(LS[[#This Row],[B/S]]="B","BUY",(IF(LS[[#This Row],[B/S]]="S","SELL"," ")))</f>
        <v>SELL</v>
      </c>
      <c r="K555" s="8" t="s">
        <v>866</v>
      </c>
      <c r="L555" s="3">
        <v>-10215.31</v>
      </c>
      <c r="M555" s="3"/>
      <c r="N555" s="216">
        <f>LS[[#This Row],[Amount]]/LS[[#This Row],[Unit]]</f>
        <v>10.487997946611909</v>
      </c>
      <c r="O555" s="1">
        <f t="shared" si="105"/>
        <v>-974</v>
      </c>
      <c r="P555" s="1">
        <f>SUMIFS(LS[[#Headers],[Unit]]:LS[[#This Row],[Unit]],LS[[#Headers],[Investor ID]]:LS[[#This Row],[Investor ID]],LS[[#This Row],[Investor ID]])</f>
        <v>0</v>
      </c>
      <c r="Q555" s="3">
        <v>-9740</v>
      </c>
      <c r="R555" s="6">
        <f>LS[[#This Row],[Amount]]-LS[[#This Row],[Unit Capital]]</f>
        <v>-475.30999999999949</v>
      </c>
      <c r="S55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55" s="216">
        <f t="shared" si="106"/>
        <v>12.552</v>
      </c>
      <c r="U555" s="3">
        <f>IF(LS[[#This Row],[B/S]]="B",0,ABS(LS[[#This Row],[Unit]])*(LS[[#This Row],[NAV (Strike Rate)]]-INDEX(LS[NAV at Cost (Average)],MATCH(CONCATENATE(LS[[#This Row],[Frequency]]-1,LS[[#This Row],[Investor ID]]),LS[Unique Code],0),)))</f>
        <v>403.07224259809539</v>
      </c>
      <c r="V555" s="3" cm="1">
        <f t="array" ref="V555">IF(LS[[#This Row],[B/S]]="S",ABS(LS[[#This Row],[Unit]])*(INDEX(LS[NAV at Cost (Average)],MATCH(CONCATENATE((LS[[#This Row],[Frequency]]-1),LS[[#This Row],[Investor ID]]),LS[Unique Code],0),0)),0)</f>
        <v>9812.2377574019047</v>
      </c>
      <c r="W555" s="3">
        <f>IF(LS[[#This Row],[BO Transfer]]="YES",LS[[#This Row],[Unit]],)</f>
        <v>0</v>
      </c>
      <c r="X555" s="3">
        <f>SUMIFS(LS[[#Headers],[BO UNIT TRANSFER]]:LS[[#This Row],[BO UNIT TRANSFER]],LS[[#Headers],[Investor ID]]:LS[[#This Row],[Investor ID]],LS[[#This Row],[Investor ID]])</f>
        <v>0</v>
      </c>
    </row>
    <row r="556" spans="2:24">
      <c r="B556" s="8">
        <v>2025</v>
      </c>
      <c r="C556" s="8">
        <v>6</v>
      </c>
      <c r="D556" s="8">
        <v>3</v>
      </c>
      <c r="E556" s="291">
        <f>DATE(LS[[#This Row],[Year]],LS[[#This Row],[Month]],LS[[#This Row],[Day]])</f>
        <v>45811</v>
      </c>
      <c r="F556" t="str" cm="1">
        <f t="array" ref="F556">INDEX(INVESTORS_LIST[INVESTOR NAME],MATCH(LS[[#This Row],[Investor ID]],INVESTORS_LIST[INVESTOR CODE],0),)</f>
        <v>MD. MOMINUL HOQUE</v>
      </c>
      <c r="G556" s="25" t="s">
        <v>41</v>
      </c>
      <c r="H556" s="8">
        <f>COUNTIF(LS[[#Headers],[Investor ID]]:LS[[#This Row],[Investor ID]],LS[[#This Row],[Investor ID]])</f>
        <v>1</v>
      </c>
      <c r="I556" s="8" t="str">
        <f>CONCATENATE(LS[[#This Row],[Frequency]],LS[[#This Row],[Investor ID]])</f>
        <v>1A00034</v>
      </c>
      <c r="J556" s="8" t="str">
        <f>IF(LS[[#This Row],[B/S]]="B","BUY",(IF(LS[[#This Row],[B/S]]="S","SELL"," ")))</f>
        <v>BUY</v>
      </c>
      <c r="K556" s="8" t="s">
        <v>301</v>
      </c>
      <c r="L556" s="3">
        <v>100000</v>
      </c>
      <c r="M556" s="3"/>
      <c r="N556" s="216">
        <f>LS[[#This Row],[Amount]]/LS[[#This Row],[Unit]]</f>
        <v>10.487676979549031</v>
      </c>
      <c r="O556" s="1">
        <f t="shared" ref="O556:O562" si="107">Q556/10</f>
        <v>9535</v>
      </c>
      <c r="P556" s="1">
        <f>SUMIFS(LS[[#Headers],[Unit]]:LS[[#This Row],[Unit]],LS[[#Headers],[Investor ID]]:LS[[#This Row],[Investor ID]],LS[[#This Row],[Investor ID]])</f>
        <v>9535</v>
      </c>
      <c r="Q556" s="3">
        <v>95350</v>
      </c>
      <c r="R556" s="6">
        <f>LS[[#This Row],[Amount]]-LS[[#This Row],[Unit Capital]]</f>
        <v>4650</v>
      </c>
      <c r="S55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10.487676979549031</v>
      </c>
      <c r="T556" s="216">
        <f t="shared" ref="T556:T562" si="108">IFERROR(NAV_MKT,0)</f>
        <v>12.552</v>
      </c>
      <c r="U55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56" s="3" cm="1">
        <f t="array" ref="V556">IF(LS[[#This Row],[B/S]]="S",ABS(LS[[#This Row],[Unit]])*(INDEX(LS[NAV at Cost (Average)],MATCH(CONCATENATE((LS[[#This Row],[Frequency]]-1),LS[[#This Row],[Investor ID]]),LS[Unique Code],0),0)),0)</f>
        <v>0</v>
      </c>
      <c r="W556" s="3">
        <f>IF(LS[[#This Row],[BO Transfer]]="YES",LS[[#This Row],[Unit]],)</f>
        <v>0</v>
      </c>
      <c r="X556" s="3">
        <f>SUMIFS(LS[[#Headers],[BO UNIT TRANSFER]]:LS[[#This Row],[BO UNIT TRANSFER]],LS[[#Headers],[Investor ID]]:LS[[#This Row],[Investor ID]],LS[[#This Row],[Investor ID]])</f>
        <v>0</v>
      </c>
    </row>
    <row r="557" spans="2:24">
      <c r="B557" s="8">
        <v>2025</v>
      </c>
      <c r="C557" s="8">
        <v>6</v>
      </c>
      <c r="D557" s="8">
        <v>4</v>
      </c>
      <c r="E557" s="291">
        <f>DATE(LS[[#This Row],[Year]],LS[[#This Row],[Month]],LS[[#This Row],[Day]])</f>
        <v>45812</v>
      </c>
      <c r="F557" t="str" cm="1">
        <f t="array" ref="F557">INDEX(INVESTORS_LIST[INVESTOR NAME],MATCH(LS[[#This Row],[Investor ID]],INVESTORS_LIST[INVESTOR CODE],0),)</f>
        <v>MD KAMRUL ISLAM</v>
      </c>
      <c r="G557" s="25" t="s">
        <v>221</v>
      </c>
      <c r="H557" s="8">
        <f>COUNTIF(LS[[#Headers],[Investor ID]]:LS[[#This Row],[Investor ID]],LS[[#This Row],[Investor ID]])</f>
        <v>6</v>
      </c>
      <c r="I557" s="8" t="str">
        <f>CONCATENATE(LS[[#This Row],[Frequency]],LS[[#This Row],[Investor ID]])</f>
        <v>6A00189</v>
      </c>
      <c r="J557" s="8" t="str">
        <f>IF(LS[[#This Row],[B/S]]="B","BUY",(IF(LS[[#This Row],[B/S]]="S","SELL"," ")))</f>
        <v>BUY</v>
      </c>
      <c r="K557" s="8" t="s">
        <v>301</v>
      </c>
      <c r="L557" s="3">
        <v>100000</v>
      </c>
      <c r="M557" s="3"/>
      <c r="N557" s="216">
        <f>LS[[#This Row],[Amount]]/LS[[#This Row],[Unit]]</f>
        <v>10.487676979549031</v>
      </c>
      <c r="O557" s="1">
        <f t="shared" si="107"/>
        <v>9535</v>
      </c>
      <c r="P557" s="1">
        <f>SUMIFS(LS[[#Headers],[Unit]]:LS[[#This Row],[Unit]],LS[[#Headers],[Investor ID]]:LS[[#This Row],[Investor ID]],LS[[#This Row],[Investor ID]])</f>
        <v>38139</v>
      </c>
      <c r="Q557" s="3">
        <v>95350</v>
      </c>
      <c r="R557" s="6">
        <f>LS[[#This Row],[Amount]]-LS[[#This Row],[Unit Capital]]</f>
        <v>4650</v>
      </c>
      <c r="S55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10.487951965180001</v>
      </c>
      <c r="T557" s="216">
        <f t="shared" si="108"/>
        <v>12.552</v>
      </c>
      <c r="U55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57" s="3" cm="1">
        <f t="array" ref="V557">IF(LS[[#This Row],[B/S]]="S",ABS(LS[[#This Row],[Unit]])*(INDEX(LS[NAV at Cost (Average)],MATCH(CONCATENATE((LS[[#This Row],[Frequency]]-1),LS[[#This Row],[Investor ID]]),LS[Unique Code],0),0)),0)</f>
        <v>0</v>
      </c>
      <c r="W557" s="3">
        <f>IF(LS[[#This Row],[BO Transfer]]="YES",LS[[#This Row],[Unit]],)</f>
        <v>0</v>
      </c>
      <c r="X557" s="3">
        <f>SUMIFS(LS[[#Headers],[BO UNIT TRANSFER]]:LS[[#This Row],[BO UNIT TRANSFER]],LS[[#Headers],[Investor ID]]:LS[[#This Row],[Investor ID]],LS[[#This Row],[Investor ID]])</f>
        <v>0</v>
      </c>
    </row>
    <row r="558" spans="2:24">
      <c r="B558" s="8">
        <v>2025</v>
      </c>
      <c r="C558" s="8">
        <v>6</v>
      </c>
      <c r="D558" s="8">
        <v>4</v>
      </c>
      <c r="E558" s="291">
        <f>DATE(LS[[#This Row],[Year]],LS[[#This Row],[Month]],LS[[#This Row],[Day]])</f>
        <v>45812</v>
      </c>
      <c r="F558" t="str" cm="1">
        <f t="array" ref="F558">INDEX(INVESTORS_LIST[INVESTOR NAME],MATCH(LS[[#This Row],[Investor ID]],INVESTORS_LIST[INVESTOR CODE],0),)</f>
        <v>SHUVA SAHA</v>
      </c>
      <c r="G558" s="25" t="s">
        <v>60</v>
      </c>
      <c r="H558" s="8">
        <f>COUNTIF(LS[[#Headers],[Investor ID]]:LS[[#This Row],[Investor ID]],LS[[#This Row],[Investor ID]])</f>
        <v>15</v>
      </c>
      <c r="I558" s="8" t="str">
        <f>CONCATENATE(LS[[#This Row],[Frequency]],LS[[#This Row],[Investor ID]])</f>
        <v>15A00053</v>
      </c>
      <c r="J558" s="8" t="str">
        <f>IF(LS[[#This Row],[B/S]]="B","BUY",(IF(LS[[#This Row],[B/S]]="S","SELL"," ")))</f>
        <v>BUY</v>
      </c>
      <c r="K558" s="8" t="s">
        <v>301</v>
      </c>
      <c r="L558" s="3">
        <v>500000</v>
      </c>
      <c r="M558" s="3"/>
      <c r="N558" s="216">
        <f>LS[[#This Row],[Amount]]/LS[[#This Row],[Unit]]</f>
        <v>10.487896966900196</v>
      </c>
      <c r="O558" s="1">
        <f t="shared" si="107"/>
        <v>47674</v>
      </c>
      <c r="P558" s="1">
        <f>SUMIFS(LS[[#Headers],[Unit]]:LS[[#This Row],[Unit]],LS[[#Headers],[Investor ID]]:LS[[#This Row],[Investor ID]],LS[[#This Row],[Investor ID]])</f>
        <v>354901</v>
      </c>
      <c r="Q558" s="3">
        <v>476740</v>
      </c>
      <c r="R558" s="6">
        <f>LS[[#This Row],[Amount]]-LS[[#This Row],[Unit Capital]]</f>
        <v>23260</v>
      </c>
      <c r="S55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10.199899479968535</v>
      </c>
      <c r="T558" s="216">
        <f t="shared" si="108"/>
        <v>12.552</v>
      </c>
      <c r="U55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58" s="3" cm="1">
        <f t="array" ref="V558">IF(LS[[#This Row],[B/S]]="S",ABS(LS[[#This Row],[Unit]])*(INDEX(LS[NAV at Cost (Average)],MATCH(CONCATENATE((LS[[#This Row],[Frequency]]-1),LS[[#This Row],[Investor ID]]),LS[Unique Code],0),0)),0)</f>
        <v>0</v>
      </c>
      <c r="W558" s="3">
        <f>IF(LS[[#This Row],[BO Transfer]]="YES",LS[[#This Row],[Unit]],)</f>
        <v>0</v>
      </c>
      <c r="X558" s="3">
        <f>SUMIFS(LS[[#Headers],[BO UNIT TRANSFER]]:LS[[#This Row],[BO UNIT TRANSFER]],LS[[#Headers],[Investor ID]]:LS[[#This Row],[Investor ID]],LS[[#This Row],[Investor ID]])</f>
        <v>0</v>
      </c>
    </row>
    <row r="559" spans="2:24">
      <c r="B559" s="8">
        <v>2025</v>
      </c>
      <c r="C559" s="8">
        <v>6</v>
      </c>
      <c r="D559" s="8">
        <v>15</v>
      </c>
      <c r="E559" s="291">
        <f>DATE(LS[[#This Row],[Year]],LS[[#This Row],[Month]],LS[[#This Row],[Day]])</f>
        <v>45823</v>
      </c>
      <c r="F559" t="str" cm="1">
        <f t="array" ref="F559">INDEX(INVESTORS_LIST[INVESTOR NAME],MATCH(LS[[#This Row],[Investor ID]],INVESTORS_LIST[INVESTOR CODE],0),)</f>
        <v>MD GOLAM SHAON</v>
      </c>
      <c r="G559" s="25" t="s">
        <v>1327</v>
      </c>
      <c r="H559" s="8">
        <f>COUNTIF(LS[[#Headers],[Investor ID]]:LS[[#This Row],[Investor ID]],LS[[#This Row],[Investor ID]])</f>
        <v>3</v>
      </c>
      <c r="I559" s="8" t="str">
        <f>CONCATENATE(LS[[#This Row],[Frequency]],LS[[#This Row],[Investor ID]])</f>
        <v>3A00567</v>
      </c>
      <c r="J559" s="8" t="str">
        <f>IF(LS[[#This Row],[B/S]]="B","BUY",(IF(LS[[#This Row],[B/S]]="S","SELL"," ")))</f>
        <v>BUY</v>
      </c>
      <c r="K559" s="8" t="s">
        <v>301</v>
      </c>
      <c r="L559" s="3">
        <v>100000</v>
      </c>
      <c r="M559" s="3"/>
      <c r="N559" s="216">
        <f>LS[[#This Row],[Amount]]/LS[[#This Row],[Unit]]</f>
        <v>10.67463706233988</v>
      </c>
      <c r="O559" s="1">
        <f t="shared" si="107"/>
        <v>9368</v>
      </c>
      <c r="P559" s="1">
        <f>SUMIFS(LS[[#Headers],[Unit]]:LS[[#This Row],[Unit]],LS[[#Headers],[Investor ID]]:LS[[#This Row],[Investor ID]],LS[[#This Row],[Investor ID]])</f>
        <v>15170</v>
      </c>
      <c r="Q559" s="3">
        <v>93680</v>
      </c>
      <c r="R559" s="6">
        <f>LS[[#This Row],[Amount]]-LS[[#This Row],[Unit Capital]]</f>
        <v>6320</v>
      </c>
      <c r="S55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10.358091805470435</v>
      </c>
      <c r="T559" s="216">
        <f t="shared" si="108"/>
        <v>12.552</v>
      </c>
      <c r="U55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59" s="3" cm="1">
        <f t="array" ref="V559">IF(LS[[#This Row],[B/S]]="S",ABS(LS[[#This Row],[Unit]])*(INDEX(LS[NAV at Cost (Average)],MATCH(CONCATENATE((LS[[#This Row],[Frequency]]-1),LS[[#This Row],[Investor ID]]),LS[Unique Code],0),0)),0)</f>
        <v>0</v>
      </c>
      <c r="W559" s="3">
        <f>IF(LS[[#This Row],[BO Transfer]]="YES",LS[[#This Row],[Unit]],)</f>
        <v>0</v>
      </c>
      <c r="X559" s="3">
        <f>SUMIFS(LS[[#Headers],[BO UNIT TRANSFER]]:LS[[#This Row],[BO UNIT TRANSFER]],LS[[#Headers],[Investor ID]]:LS[[#This Row],[Investor ID]],LS[[#This Row],[Investor ID]])</f>
        <v>0</v>
      </c>
    </row>
    <row r="560" spans="2:24">
      <c r="B560" s="8">
        <v>2025</v>
      </c>
      <c r="C560" s="8">
        <v>6</v>
      </c>
      <c r="D560" s="8">
        <v>18</v>
      </c>
      <c r="E560" s="291">
        <f>DATE(LS[[#This Row],[Year]],LS[[#This Row],[Month]],LS[[#This Row],[Day]])</f>
        <v>45826</v>
      </c>
      <c r="F560" t="str" cm="1">
        <f t="array" ref="F560">INDEX(INVESTORS_LIST[INVESTOR NAME],MATCH(LS[[#This Row],[Investor ID]],INVESTORS_LIST[INVESTOR CODE],0),)</f>
        <v>MD GOLAM SHAON</v>
      </c>
      <c r="G560" s="25" t="s">
        <v>1327</v>
      </c>
      <c r="H560" s="8">
        <f>COUNTIF(LS[[#Headers],[Investor ID]]:LS[[#This Row],[Investor ID]],LS[[#This Row],[Investor ID]])</f>
        <v>4</v>
      </c>
      <c r="I560" s="8" t="str">
        <f>CONCATENATE(LS[[#This Row],[Frequency]],LS[[#This Row],[Investor ID]])</f>
        <v>4A00567</v>
      </c>
      <c r="J560" s="8" t="str">
        <f>IF(LS[[#This Row],[B/S]]="B","BUY",(IF(LS[[#This Row],[B/S]]="S","SELL"," ")))</f>
        <v>BUY</v>
      </c>
      <c r="K560" s="8" t="s">
        <v>301</v>
      </c>
      <c r="L560" s="3">
        <v>90000</v>
      </c>
      <c r="M560" s="3"/>
      <c r="N560" s="216">
        <f>LS[[#This Row],[Amount]]/LS[[#This Row],[Unit]]</f>
        <v>10.674890285849839</v>
      </c>
      <c r="O560" s="1">
        <f t="shared" si="107"/>
        <v>8431</v>
      </c>
      <c r="P560" s="1">
        <f>SUMIFS(LS[[#Headers],[Unit]]:LS[[#This Row],[Unit]],LS[[#Headers],[Investor ID]]:LS[[#This Row],[Investor ID]],LS[[#This Row],[Investor ID]])</f>
        <v>23601</v>
      </c>
      <c r="Q560" s="3">
        <v>84310</v>
      </c>
      <c r="R560" s="6">
        <f>LS[[#This Row],[Amount]]-LS[[#This Row],[Unit Capital]]</f>
        <v>5690</v>
      </c>
      <c r="S56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10.471261924875492</v>
      </c>
      <c r="T560" s="216">
        <f t="shared" si="108"/>
        <v>12.552</v>
      </c>
      <c r="U56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60" s="3" cm="1">
        <f t="array" ref="V560">IF(LS[[#This Row],[B/S]]="S",ABS(LS[[#This Row],[Unit]])*(INDEX(LS[NAV at Cost (Average)],MATCH(CONCATENATE((LS[[#This Row],[Frequency]]-1),LS[[#This Row],[Investor ID]]),LS[Unique Code],0),0)),0)</f>
        <v>0</v>
      </c>
      <c r="W560" s="3">
        <f>IF(LS[[#This Row],[BO Transfer]]="YES",LS[[#This Row],[Unit]],)</f>
        <v>0</v>
      </c>
      <c r="X560" s="3">
        <f>SUMIFS(LS[[#Headers],[BO UNIT TRANSFER]]:LS[[#This Row],[BO UNIT TRANSFER]],LS[[#Headers],[Investor ID]]:LS[[#This Row],[Investor ID]],LS[[#This Row],[Investor ID]])</f>
        <v>0</v>
      </c>
    </row>
    <row r="561" spans="2:24">
      <c r="B561" s="8">
        <v>2025</v>
      </c>
      <c r="C561" s="8">
        <v>6</v>
      </c>
      <c r="D561" s="8">
        <v>19</v>
      </c>
      <c r="E561" s="291">
        <f>DATE(LS[[#This Row],[Year]],LS[[#This Row],[Month]],LS[[#This Row],[Day]])</f>
        <v>45827</v>
      </c>
      <c r="F561" t="str">
        <f t="array" ref="F561">INDEX(INVESTORS_LIST[INVESTOR NAME],MATCH(LS[[#This Row],[Investor ID]],INVESTORS_LIST[INVESTOR CODE],0),)</f>
        <v>SHAHRIAR AZAD SHASHI</v>
      </c>
      <c r="G561" s="25" t="s">
        <v>1107</v>
      </c>
      <c r="H561" s="8">
        <f>COUNTIF(LS[[#Headers],[Investor ID]]:LS[[#This Row],[Investor ID]],LS[[#This Row],[Investor ID]])</f>
        <v>1</v>
      </c>
      <c r="I561" s="8" t="str">
        <f>CONCATENATE(LS[[#This Row],[Frequency]],LS[[#This Row],[Investor ID]])</f>
        <v>1A00497</v>
      </c>
      <c r="J561" s="8" t="str">
        <f>IF(LS[[#This Row],[B/S]]="B","BUY",(IF(LS[[#This Row],[B/S]]="S","SELL"," ")))</f>
        <v>BUY</v>
      </c>
      <c r="K561" s="8" t="s">
        <v>301</v>
      </c>
      <c r="L561" s="3">
        <v>400000</v>
      </c>
      <c r="M561" s="3"/>
      <c r="N561" s="216">
        <f>LS[[#This Row],[Amount]]/LS[[#This Row],[Unit]]</f>
        <v>10.674921939633316</v>
      </c>
      <c r="O561" s="1">
        <f t="shared" si="107"/>
        <v>37471</v>
      </c>
      <c r="P561" s="1">
        <f>SUMIFS(LS[[#Headers],[Unit]]:LS[[#This Row],[Unit]],LS[[#Headers],[Investor ID]]:LS[[#This Row],[Investor ID]],LS[[#This Row],[Investor ID]])</f>
        <v>37471</v>
      </c>
      <c r="Q561" s="3">
        <v>374710</v>
      </c>
      <c r="R561" s="6">
        <f>LS[[#This Row],[Amount]]-LS[[#This Row],[Unit Capital]]</f>
        <v>25290</v>
      </c>
      <c r="S56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10.674921939633316</v>
      </c>
      <c r="T561" s="216">
        <f t="shared" si="108"/>
        <v>12.552</v>
      </c>
      <c r="U56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61" s="3">
        <f t="array" ref="V561">IF(LS[[#This Row],[B/S]]="S",ABS(LS[[#This Row],[Unit]])*(INDEX(LS[NAV at Cost (Average)],MATCH(CONCATENATE((LS[[#This Row],[Frequency]]-1),LS[[#This Row],[Investor ID]]),LS[Unique Code],0),0)),0)</f>
        <v>0</v>
      </c>
      <c r="W561" s="3">
        <f>IF(LS[[#This Row],[BO Transfer]]="YES",LS[[#This Row],[Unit]],)</f>
        <v>0</v>
      </c>
      <c r="X561" s="3">
        <f>SUMIFS(LS[[#Headers],[BO UNIT TRANSFER]]:LS[[#This Row],[BO UNIT TRANSFER]],LS[[#Headers],[Investor ID]]:LS[[#This Row],[Investor ID]],LS[[#This Row],[Investor ID]])</f>
        <v>0</v>
      </c>
    </row>
    <row r="562" spans="2:24">
      <c r="B562" s="8">
        <v>2025</v>
      </c>
      <c r="C562" s="8">
        <v>6</v>
      </c>
      <c r="D562" s="8">
        <v>26</v>
      </c>
      <c r="E562" s="291">
        <f>DATE(LS[[#This Row],[Year]],LS[[#This Row],[Month]],LS[[#This Row],[Day]])</f>
        <v>45834</v>
      </c>
      <c r="F562" t="str">
        <f t="array" ref="F562">INDEX(INVESTORS_LIST[INVESTOR NAME],MATCH(LS[[#This Row],[Investor ID]],INVESTORS_LIST[INVESTOR CODE],0),)</f>
        <v>MD. MOMINUL HOQUE</v>
      </c>
      <c r="G562" s="25" t="s">
        <v>41</v>
      </c>
      <c r="H562" s="8">
        <f>COUNTIF(LS[[#Headers],[Investor ID]]:LS[[#This Row],[Investor ID]],LS[[#This Row],[Investor ID]])</f>
        <v>2</v>
      </c>
      <c r="I562" s="8" t="str">
        <f>CONCATENATE(LS[[#This Row],[Frequency]],LS[[#This Row],[Investor ID]])</f>
        <v>2A00034</v>
      </c>
      <c r="J562" s="8" t="str">
        <f>IF(LS[[#This Row],[B/S]]="B","BUY",(IF(LS[[#This Row],[B/S]]="S","SELL"," ")))</f>
        <v>BUY</v>
      </c>
      <c r="K562" s="8" t="s">
        <v>301</v>
      </c>
      <c r="L562" s="3">
        <v>100000</v>
      </c>
      <c r="M562" s="3"/>
      <c r="N562" s="216">
        <f>LS[[#This Row],[Amount]]/LS[[#This Row],[Unit]]</f>
        <v>10.742292405199269</v>
      </c>
      <c r="O562" s="1">
        <f t="shared" si="107"/>
        <v>9309</v>
      </c>
      <c r="P562" s="1">
        <f>SUMIFS(LS[[#Headers],[Unit]]:LS[[#This Row],[Unit]],LS[[#Headers],[Investor ID]]:LS[[#This Row],[Investor ID]],LS[[#This Row],[Investor ID]])</f>
        <v>18844</v>
      </c>
      <c r="Q562" s="3">
        <v>93090</v>
      </c>
      <c r="R562" s="6">
        <f>LS[[#This Row],[Amount]]-LS[[#This Row],[Unit Capital]]</f>
        <v>6910</v>
      </c>
      <c r="S56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10.613457864572277</v>
      </c>
      <c r="T562" s="216">
        <f t="shared" si="108"/>
        <v>12.552</v>
      </c>
      <c r="U56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62" s="3">
        <f t="array" ref="V562">IF(LS[[#This Row],[B/S]]="S",ABS(LS[[#This Row],[Unit]])*(INDEX(LS[NAV at Cost (Average)],MATCH(CONCATENATE((LS[[#This Row],[Frequency]]-1),LS[[#This Row],[Investor ID]]),LS[Unique Code],0),0)),0)</f>
        <v>0</v>
      </c>
      <c r="W562" s="3">
        <f>IF(LS[[#This Row],[BO Transfer]]="YES",LS[[#This Row],[Unit]],)</f>
        <v>0</v>
      </c>
      <c r="X562" s="3">
        <f>SUMIFS(LS[[#Headers],[BO UNIT TRANSFER]]:LS[[#This Row],[BO UNIT TRANSFER]],LS[[#Headers],[Investor ID]]:LS[[#This Row],[Investor ID]],LS[[#This Row],[Investor ID]])</f>
        <v>0</v>
      </c>
    </row>
    <row r="563" spans="2:24">
      <c r="B563" s="8">
        <v>2025</v>
      </c>
      <c r="C563" s="8">
        <v>6</v>
      </c>
      <c r="D563" s="8">
        <v>29</v>
      </c>
      <c r="E563" s="291">
        <f>DATE(LS[[#This Row],[Year]],LS[[#This Row],[Month]],LS[[#This Row],[Day]])</f>
        <v>45837</v>
      </c>
      <c r="F563" t="str">
        <f t="array" ref="F563">INDEX(INVESTORS_LIST[INVESTOR NAME],MATCH(LS[[#This Row],[Investor ID]],INVESTORS_LIST[INVESTOR CODE],0),)</f>
        <v>SAJIB ARAFAT SIDDIQUI</v>
      </c>
      <c r="G563" s="25" t="s">
        <v>1467</v>
      </c>
      <c r="H563" s="8">
        <f>COUNTIF(LS[[#Headers],[Investor ID]]:LS[[#This Row],[Investor ID]],LS[[#This Row],[Investor ID]])</f>
        <v>1</v>
      </c>
      <c r="I563" s="8" t="str">
        <f>CONCATENATE(LS[[#This Row],[Frequency]],LS[[#This Row],[Investor ID]])</f>
        <v>1A00638</v>
      </c>
      <c r="J563" s="8" t="str">
        <f>IF(LS[[#This Row],[B/S]]="B","BUY",(IF(LS[[#This Row],[B/S]]="S","SELL"," ")))</f>
        <v>BUY</v>
      </c>
      <c r="K563" s="8" t="s">
        <v>301</v>
      </c>
      <c r="L563" s="3">
        <v>120000</v>
      </c>
      <c r="M563" s="3"/>
      <c r="N563" s="216">
        <f>LS[[#This Row],[Amount]]/LS[[#This Row],[Unit]]</f>
        <v>10.845986984815617</v>
      </c>
      <c r="O563" s="1">
        <f t="shared" ref="O563:O568" si="109">Q563/10</f>
        <v>11064</v>
      </c>
      <c r="P563" s="1">
        <f>SUMIFS(LS[[#Headers],[Unit]]:LS[[#This Row],[Unit]],LS[[#Headers],[Investor ID]]:LS[[#This Row],[Investor ID]],LS[[#This Row],[Investor ID]])</f>
        <v>11064</v>
      </c>
      <c r="Q563" s="3">
        <v>110640</v>
      </c>
      <c r="R563" s="6">
        <f>LS[[#This Row],[Amount]]-LS[[#This Row],[Unit Capital]]</f>
        <v>9360</v>
      </c>
      <c r="S56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10.845986984815617</v>
      </c>
      <c r="T563" s="216">
        <f t="shared" ref="T563:T568" si="110">IFERROR(NAV_MKT,0)</f>
        <v>12.552</v>
      </c>
      <c r="U56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63" s="3">
        <f t="array" ref="V563">IF(LS[[#This Row],[B/S]]="S",ABS(LS[[#This Row],[Unit]])*(INDEX(LS[NAV at Cost (Average)],MATCH(CONCATENATE((LS[[#This Row],[Frequency]]-1),LS[[#This Row],[Investor ID]]),LS[Unique Code],0),0)),0)</f>
        <v>0</v>
      </c>
      <c r="W563" s="3">
        <f>IF(LS[[#This Row],[BO Transfer]]="YES",LS[[#This Row],[Unit]],)</f>
        <v>0</v>
      </c>
      <c r="X563" s="3">
        <f>SUMIFS(LS[[#Headers],[BO UNIT TRANSFER]]:LS[[#This Row],[BO UNIT TRANSFER]],LS[[#Headers],[Investor ID]]:LS[[#This Row],[Investor ID]],LS[[#This Row],[Investor ID]])</f>
        <v>0</v>
      </c>
    </row>
    <row r="564" spans="2:24">
      <c r="B564" s="8">
        <v>2025</v>
      </c>
      <c r="C564" s="8">
        <v>6</v>
      </c>
      <c r="D564" s="8">
        <v>30</v>
      </c>
      <c r="E564" s="291">
        <f>DATE(LS[[#This Row],[Year]],LS[[#This Row],[Month]],LS[[#This Row],[Day]])</f>
        <v>45838</v>
      </c>
      <c r="F564" t="str" cm="1">
        <f t="array" ref="F564">INDEX(INVESTORS_LIST[INVESTOR NAME],MATCH(LS[[#This Row],[Investor ID]],INVESTORS_LIST[INVESTOR CODE],0),)</f>
        <v>MD. KAMRUL HASAN</v>
      </c>
      <c r="G564" s="25" t="s">
        <v>1472</v>
      </c>
      <c r="H564" s="8">
        <f>COUNTIF(LS[[#Headers],[Investor ID]]:LS[[#This Row],[Investor ID]],LS[[#This Row],[Investor ID]])</f>
        <v>1</v>
      </c>
      <c r="I564" s="8" t="str">
        <f>CONCATENATE(LS[[#This Row],[Frequency]],LS[[#This Row],[Investor ID]])</f>
        <v>1A00641</v>
      </c>
      <c r="J564" s="8" t="str">
        <f>IF(LS[[#This Row],[B/S]]="B","BUY",(IF(LS[[#This Row],[B/S]]="S","SELL"," ")))</f>
        <v>BUY</v>
      </c>
      <c r="K564" s="8" t="s">
        <v>301</v>
      </c>
      <c r="L564" s="3">
        <v>100000</v>
      </c>
      <c r="M564" s="3"/>
      <c r="N564" s="216">
        <f>LS[[#This Row],[Amount]]/LS[[#This Row],[Unit]]</f>
        <v>10.845986984815617</v>
      </c>
      <c r="O564" s="1">
        <f t="shared" si="109"/>
        <v>9220</v>
      </c>
      <c r="P564" s="1">
        <f>SUMIFS(LS[[#Headers],[Unit]]:LS[[#This Row],[Unit]],LS[[#Headers],[Investor ID]]:LS[[#This Row],[Investor ID]],LS[[#This Row],[Investor ID]])</f>
        <v>9220</v>
      </c>
      <c r="Q564" s="3">
        <v>92200</v>
      </c>
      <c r="R564" s="6">
        <f>LS[[#This Row],[Amount]]-LS[[#This Row],[Unit Capital]]</f>
        <v>7800</v>
      </c>
      <c r="S56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10.845986984815617</v>
      </c>
      <c r="T564" s="216">
        <f t="shared" si="110"/>
        <v>12.552</v>
      </c>
      <c r="U56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64" s="3" cm="1">
        <f t="array" ref="V564">IF(LS[[#This Row],[B/S]]="S",ABS(LS[[#This Row],[Unit]])*(INDEX(LS[NAV at Cost (Average)],MATCH(CONCATENATE((LS[[#This Row],[Frequency]]-1),LS[[#This Row],[Investor ID]]),LS[Unique Code],0),0)),0)</f>
        <v>0</v>
      </c>
      <c r="W564" s="3">
        <f>IF(LS[[#This Row],[BO Transfer]]="YES",LS[[#This Row],[Unit]],)</f>
        <v>0</v>
      </c>
      <c r="X564" s="3">
        <f>SUMIFS(LS[[#Headers],[BO UNIT TRANSFER]]:LS[[#This Row],[BO UNIT TRANSFER]],LS[[#Headers],[Investor ID]]:LS[[#This Row],[Investor ID]],LS[[#This Row],[Investor ID]])</f>
        <v>0</v>
      </c>
    </row>
    <row r="565" spans="2:24">
      <c r="B565" s="8">
        <v>2025</v>
      </c>
      <c r="C565" s="8">
        <v>6</v>
      </c>
      <c r="D565" s="8">
        <v>30</v>
      </c>
      <c r="E565" s="291">
        <f>DATE(LS[[#This Row],[Year]],LS[[#This Row],[Month]],LS[[#This Row],[Day]])</f>
        <v>45838</v>
      </c>
      <c r="F565" t="str" cm="1">
        <f t="array" ref="F565">INDEX(INVESTORS_LIST[INVESTOR NAME],MATCH(LS[[#This Row],[Investor ID]],INVESTORS_LIST[INVESTOR CODE],0),)</f>
        <v>MD. KAMRUL HASAN</v>
      </c>
      <c r="G565" s="25" t="s">
        <v>1472</v>
      </c>
      <c r="H565" s="8">
        <f>COUNTIF(LS[[#Headers],[Investor ID]]:LS[[#This Row],[Investor ID]],LS[[#This Row],[Investor ID]])</f>
        <v>2</v>
      </c>
      <c r="I565" s="8" t="str">
        <f>CONCATENATE(LS[[#This Row],[Frequency]],LS[[#This Row],[Investor ID]])</f>
        <v>2A00641</v>
      </c>
      <c r="J565" s="8" t="str">
        <f>IF(LS[[#This Row],[B/S]]="B","BUY",(IF(LS[[#This Row],[B/S]]="S","SELL"," ")))</f>
        <v>BUY</v>
      </c>
      <c r="K565" s="8" t="s">
        <v>301</v>
      </c>
      <c r="L565" s="3">
        <v>50000</v>
      </c>
      <c r="M565" s="3"/>
      <c r="N565" s="216">
        <f>LS[[#This Row],[Amount]]/LS[[#This Row],[Unit]]</f>
        <v>10.845986984815617</v>
      </c>
      <c r="O565" s="1">
        <f t="shared" si="109"/>
        <v>4610</v>
      </c>
      <c r="P565" s="1">
        <f>SUMIFS(LS[[#Headers],[Unit]]:LS[[#This Row],[Unit]],LS[[#Headers],[Investor ID]]:LS[[#This Row],[Investor ID]],LS[[#This Row],[Investor ID]])</f>
        <v>13830</v>
      </c>
      <c r="Q565" s="3">
        <v>46100</v>
      </c>
      <c r="R565" s="6">
        <f>LS[[#This Row],[Amount]]-LS[[#This Row],[Unit Capital]]</f>
        <v>3900</v>
      </c>
      <c r="S56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10.845986984815617</v>
      </c>
      <c r="T565" s="216">
        <f t="shared" si="110"/>
        <v>12.552</v>
      </c>
      <c r="U56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65" s="3" cm="1">
        <f t="array" ref="V565">IF(LS[[#This Row],[B/S]]="S",ABS(LS[[#This Row],[Unit]])*(INDEX(LS[NAV at Cost (Average)],MATCH(CONCATENATE((LS[[#This Row],[Frequency]]-1),LS[[#This Row],[Investor ID]]),LS[Unique Code],0),0)),0)</f>
        <v>0</v>
      </c>
      <c r="W565" s="3">
        <f>IF(LS[[#This Row],[BO Transfer]]="YES",LS[[#This Row],[Unit]],)</f>
        <v>0</v>
      </c>
      <c r="X565" s="3">
        <f>SUMIFS(LS[[#Headers],[BO UNIT TRANSFER]]:LS[[#This Row],[BO UNIT TRANSFER]],LS[[#Headers],[Investor ID]]:LS[[#This Row],[Investor ID]],LS[[#This Row],[Investor ID]])</f>
        <v>0</v>
      </c>
    </row>
    <row r="566" spans="2:24">
      <c r="B566" s="8">
        <v>2025</v>
      </c>
      <c r="C566" s="8">
        <v>7</v>
      </c>
      <c r="D566" s="8">
        <v>2</v>
      </c>
      <c r="E566" s="291">
        <f>DATE(LS[[#This Row],[Year]],LS[[#This Row],[Month]],LS[[#This Row],[Day]])</f>
        <v>45840</v>
      </c>
      <c r="F566" t="str" cm="1">
        <f t="array" ref="F566">INDEX(INVESTORS_LIST[INVESTOR NAME],MATCH(LS[[#This Row],[Investor ID]],INVESTORS_LIST[INVESTOR CODE],0),)</f>
        <v>SHAHINOOR KHANUM</v>
      </c>
      <c r="G566" s="25" t="s">
        <v>883</v>
      </c>
      <c r="H566" s="8">
        <f>COUNTIF(LS[[#Headers],[Investor ID]]:LS[[#This Row],[Investor ID]],LS[[#This Row],[Investor ID]])</f>
        <v>2</v>
      </c>
      <c r="I566" s="8" t="str">
        <f>CONCATENATE(LS[[#This Row],[Frequency]],LS[[#This Row],[Investor ID]])</f>
        <v>2A00405</v>
      </c>
      <c r="J566" s="8" t="str">
        <f>IF(LS[[#This Row],[B/S]]="B","BUY",(IF(LS[[#This Row],[B/S]]="S","SELL"," ")))</f>
        <v>SELL</v>
      </c>
      <c r="K566" s="8" t="s">
        <v>866</v>
      </c>
      <c r="L566" s="3">
        <v>-114002.31</v>
      </c>
      <c r="M566" s="3"/>
      <c r="N566" s="216">
        <f>LS[[#This Row],[Amount]]/LS[[#This Row],[Unit]]</f>
        <v>10.846000380553706</v>
      </c>
      <c r="O566" s="1">
        <f t="shared" si="109"/>
        <v>-10511</v>
      </c>
      <c r="P566" s="1">
        <f>SUMIFS(LS[[#Headers],[Unit]]:LS[[#This Row],[Unit]],LS[[#Headers],[Investor ID]]:LS[[#This Row],[Investor ID]],LS[[#This Row],[Investor ID]])</f>
        <v>0</v>
      </c>
      <c r="Q566" s="3">
        <v>-105110</v>
      </c>
      <c r="R566" s="6">
        <f>LS[[#This Row],[Amount]]-LS[[#This Row],[Unit Capital]]</f>
        <v>-8892.3099999999977</v>
      </c>
      <c r="S56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66" s="216">
        <f t="shared" si="110"/>
        <v>12.552</v>
      </c>
      <c r="U566" s="3">
        <f>IF(LS[[#This Row],[B/S]]="B",0,ABS(LS[[#This Row],[Unit]])*(LS[[#This Row],[NAV (Strike Rate)]]-INDEX(LS[NAV at Cost (Average)],MATCH(CONCATENATE(LS[[#This Row],[Frequency]]-1,LS[[#This Row],[Investor ID]]),LS[Unique Code],0),)))</f>
        <v>9002.3100000000049</v>
      </c>
      <c r="V566" s="3" cm="1">
        <f t="array" ref="V566">IF(LS[[#This Row],[B/S]]="S",ABS(LS[[#This Row],[Unit]])*(INDEX(LS[NAV at Cost (Average)],MATCH(CONCATENATE((LS[[#This Row],[Frequency]]-1),LS[[#This Row],[Investor ID]]),LS[Unique Code],0),0)),0)</f>
        <v>105000</v>
      </c>
      <c r="W566" s="3">
        <f>IF(LS[[#This Row],[BO Transfer]]="YES",LS[[#This Row],[Unit]],)</f>
        <v>0</v>
      </c>
      <c r="X566" s="3">
        <f>SUMIFS(LS[[#Headers],[BO UNIT TRANSFER]]:LS[[#This Row],[BO UNIT TRANSFER]],LS[[#Headers],[Investor ID]]:LS[[#This Row],[Investor ID]],LS[[#This Row],[Investor ID]])</f>
        <v>0</v>
      </c>
    </row>
    <row r="567" spans="2:24">
      <c r="B567" s="8">
        <v>2025</v>
      </c>
      <c r="C567" s="8">
        <v>7</v>
      </c>
      <c r="D567" s="8">
        <v>10</v>
      </c>
      <c r="E567" s="291">
        <f>DATE(LS[[#This Row],[Year]],LS[[#This Row],[Month]],LS[[#This Row],[Day]])</f>
        <v>45848</v>
      </c>
      <c r="F567" t="str" cm="1">
        <f t="array" ref="F567">INDEX(INVESTORS_LIST[INVESTOR NAME],MATCH(LS[[#This Row],[Investor ID]],INVESTORS_LIST[INVESTOR CODE],0),)</f>
        <v>RAJIV HASSAN</v>
      </c>
      <c r="G567" s="25" t="s">
        <v>1105</v>
      </c>
      <c r="H567" s="8">
        <f>COUNTIF(LS[[#Headers],[Investor ID]]:LS[[#This Row],[Investor ID]],LS[[#This Row],[Investor ID]])</f>
        <v>1</v>
      </c>
      <c r="I567" s="8" t="str">
        <f>CONCATENATE(LS[[#This Row],[Frequency]],LS[[#This Row],[Investor ID]])</f>
        <v>1A00496</v>
      </c>
      <c r="J567" s="8" t="str">
        <f>IF(LS[[#This Row],[B/S]]="B","BUY",(IF(LS[[#This Row],[B/S]]="S","SELL"," ")))</f>
        <v>BUY</v>
      </c>
      <c r="K567" s="8" t="s">
        <v>301</v>
      </c>
      <c r="L567" s="3">
        <v>500000</v>
      </c>
      <c r="M567" s="3"/>
      <c r="N567" s="216">
        <f>LS[[#This Row],[Amount]]/LS[[#This Row],[Unit]]</f>
        <v>10.964912280701755</v>
      </c>
      <c r="O567" s="1">
        <f t="shared" si="109"/>
        <v>45600</v>
      </c>
      <c r="P567" s="1">
        <f>SUMIFS(LS[[#Headers],[Unit]]:LS[[#This Row],[Unit]],LS[[#Headers],[Investor ID]]:LS[[#This Row],[Investor ID]],LS[[#This Row],[Investor ID]])</f>
        <v>45600</v>
      </c>
      <c r="Q567" s="3">
        <v>456000</v>
      </c>
      <c r="R567" s="6">
        <f>LS[[#This Row],[Amount]]-LS[[#This Row],[Unit Capital]]</f>
        <v>44000</v>
      </c>
      <c r="S56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10.964912280701755</v>
      </c>
      <c r="T567" s="216">
        <f t="shared" si="110"/>
        <v>12.552</v>
      </c>
      <c r="U56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67" s="3" cm="1">
        <f t="array" ref="V567">IF(LS[[#This Row],[B/S]]="S",ABS(LS[[#This Row],[Unit]])*(INDEX(LS[NAV at Cost (Average)],MATCH(CONCATENATE((LS[[#This Row],[Frequency]]-1),LS[[#This Row],[Investor ID]]),LS[Unique Code],0),0)),0)</f>
        <v>0</v>
      </c>
      <c r="W567" s="3">
        <f>IF(LS[[#This Row],[BO Transfer]]="YES",LS[[#This Row],[Unit]],)</f>
        <v>0</v>
      </c>
      <c r="X567" s="3">
        <f>SUMIFS(LS[[#Headers],[BO UNIT TRANSFER]]:LS[[#This Row],[BO UNIT TRANSFER]],LS[[#Headers],[Investor ID]]:LS[[#This Row],[Investor ID]],LS[[#This Row],[Investor ID]])</f>
        <v>0</v>
      </c>
    </row>
    <row r="568" spans="2:24">
      <c r="B568" s="8">
        <v>2025</v>
      </c>
      <c r="C568" s="8">
        <v>7</v>
      </c>
      <c r="D568" s="8">
        <v>17</v>
      </c>
      <c r="E568" s="291">
        <f>DATE(LS[[#This Row],[Year]],LS[[#This Row],[Month]],LS[[#This Row],[Day]])</f>
        <v>45855</v>
      </c>
      <c r="F568" t="str" cm="1">
        <f t="array" ref="F568">INDEX(INVESTORS_LIST[INVESTOR NAME],MATCH(LS[[#This Row],[Investor ID]],INVESTORS_LIST[INVESTOR CODE],0),)</f>
        <v>MADHAB GHOSH</v>
      </c>
      <c r="G568" s="25" t="s">
        <v>1038</v>
      </c>
      <c r="H568" s="8">
        <f>COUNTIF(LS[[#Headers],[Investor ID]]:LS[[#This Row],[Investor ID]],LS[[#This Row],[Investor ID]])</f>
        <v>1</v>
      </c>
      <c r="I568" s="8" t="str">
        <f>CONCATENATE(LS[[#This Row],[Frequency]],LS[[#This Row],[Investor ID]])</f>
        <v>1A00468</v>
      </c>
      <c r="J568" s="8" t="str">
        <f>IF(LS[[#This Row],[B/S]]="B","BUY",(IF(LS[[#This Row],[B/S]]="S","SELL"," ")))</f>
        <v>BUY</v>
      </c>
      <c r="K568" s="8" t="s">
        <v>301</v>
      </c>
      <c r="L568" s="3">
        <v>230000</v>
      </c>
      <c r="M568" s="3"/>
      <c r="N568" s="216">
        <f>LS[[#This Row],[Amount]]/LS[[#This Row],[Unit]]</f>
        <v>11.228823902748621</v>
      </c>
      <c r="O568" s="1">
        <f t="shared" si="109"/>
        <v>20483</v>
      </c>
      <c r="P568" s="1">
        <f>SUMIFS(LS[[#Headers],[Unit]]:LS[[#This Row],[Unit]],LS[[#Headers],[Investor ID]]:LS[[#This Row],[Investor ID]],LS[[#This Row],[Investor ID]])</f>
        <v>20483</v>
      </c>
      <c r="Q568" s="3">
        <v>204830</v>
      </c>
      <c r="R568" s="6">
        <f>LS[[#This Row],[Amount]]-LS[[#This Row],[Unit Capital]]</f>
        <v>25170</v>
      </c>
      <c r="S56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11.228823902748621</v>
      </c>
      <c r="T568" s="216">
        <f t="shared" si="110"/>
        <v>12.552</v>
      </c>
      <c r="U56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68" s="3" cm="1">
        <f t="array" ref="V568">IF(LS[[#This Row],[B/S]]="S",ABS(LS[[#This Row],[Unit]])*(INDEX(LS[NAV at Cost (Average)],MATCH(CONCATENATE((LS[[#This Row],[Frequency]]-1),LS[[#This Row],[Investor ID]]),LS[Unique Code],0),0)),0)</f>
        <v>0</v>
      </c>
      <c r="W568" s="3">
        <f>IF(LS[[#This Row],[BO Transfer]]="YES",LS[[#This Row],[Unit]],)</f>
        <v>0</v>
      </c>
      <c r="X568" s="3">
        <f>SUMIFS(LS[[#Headers],[BO UNIT TRANSFER]]:LS[[#This Row],[BO UNIT TRANSFER]],LS[[#Headers],[Investor ID]]:LS[[#This Row],[Investor ID]],LS[[#This Row],[Investor ID]])</f>
        <v>0</v>
      </c>
    </row>
    <row r="569" spans="2:24">
      <c r="B569" s="8">
        <v>2025</v>
      </c>
      <c r="C569" s="8">
        <v>7</v>
      </c>
      <c r="D569" s="8">
        <v>21</v>
      </c>
      <c r="E569" s="291">
        <f>DATE(LS[[#This Row],[Year]],LS[[#This Row],[Month]],LS[[#This Row],[Day]])</f>
        <v>45859</v>
      </c>
      <c r="F569" t="str" cm="1">
        <f t="array" ref="F569">INDEX(INVESTORS_LIST[INVESTOR NAME],MATCH(LS[[#This Row],[Investor ID]],INVESTORS_LIST[INVESTOR CODE],0),)</f>
        <v>MADHAB GHOSH</v>
      </c>
      <c r="G569" s="25" t="s">
        <v>1038</v>
      </c>
      <c r="H569" s="8">
        <f>COUNTIF(LS[[#Headers],[Investor ID]]:LS[[#This Row],[Investor ID]],LS[[#This Row],[Investor ID]])</f>
        <v>2</v>
      </c>
      <c r="I569" s="8" t="str">
        <f>CONCATENATE(LS[[#This Row],[Frequency]],LS[[#This Row],[Investor ID]])</f>
        <v>2A00468</v>
      </c>
      <c r="J569" s="8" t="str">
        <f>IF(LS[[#This Row],[B/S]]="B","BUY",(IF(LS[[#This Row],[B/S]]="S","SELL"," ")))</f>
        <v>SELL</v>
      </c>
      <c r="K569" s="8" t="s">
        <v>866</v>
      </c>
      <c r="L569" s="3">
        <v>-233383.3</v>
      </c>
      <c r="M569" s="3"/>
      <c r="N569" s="216">
        <f>LS[[#This Row],[Amount]]/LS[[#This Row],[Unit]]</f>
        <v>11.393999902358052</v>
      </c>
      <c r="O569" s="1">
        <f t="shared" ref="O569:O575" si="111">Q569/10</f>
        <v>-20483</v>
      </c>
      <c r="P569" s="1">
        <f>SUMIFS(LS[[#Headers],[Unit]]:LS[[#This Row],[Unit]],LS[[#Headers],[Investor ID]]:LS[[#This Row],[Investor ID]],LS[[#This Row],[Investor ID]])</f>
        <v>0</v>
      </c>
      <c r="Q569" s="3">
        <v>-204830</v>
      </c>
      <c r="R569" s="6">
        <f>LS[[#This Row],[Amount]]-LS[[#This Row],[Unit Capital]]</f>
        <v>-28553.299999999988</v>
      </c>
      <c r="S56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69" s="216">
        <f t="shared" ref="T569:T575" si="112">IFERROR(NAV_MKT,0)</f>
        <v>12.552</v>
      </c>
      <c r="U569" s="3">
        <f>IF(LS[[#This Row],[B/S]]="B",0,ABS(LS[[#This Row],[Unit]])*(LS[[#This Row],[NAV (Strike Rate)]]-INDEX(LS[NAV at Cost (Average)],MATCH(CONCATENATE(LS[[#This Row],[Frequency]]-1,LS[[#This Row],[Investor ID]]),LS[Unique Code],0),)))</f>
        <v>3383.2999999999815</v>
      </c>
      <c r="V569" s="3" cm="1">
        <f t="array" ref="V569">IF(LS[[#This Row],[B/S]]="S",ABS(LS[[#This Row],[Unit]])*(INDEX(LS[NAV at Cost (Average)],MATCH(CONCATENATE((LS[[#This Row],[Frequency]]-1),LS[[#This Row],[Investor ID]]),LS[Unique Code],0),0)),0)</f>
        <v>230000</v>
      </c>
      <c r="W569" s="3">
        <f>IF(LS[[#This Row],[BO Transfer]]="YES",LS[[#This Row],[Unit]],)</f>
        <v>0</v>
      </c>
      <c r="X569" s="3">
        <f>SUMIFS(LS[[#Headers],[BO UNIT TRANSFER]]:LS[[#This Row],[BO UNIT TRANSFER]],LS[[#Headers],[Investor ID]]:LS[[#This Row],[Investor ID]],LS[[#This Row],[Investor ID]])</f>
        <v>0</v>
      </c>
    </row>
    <row r="570" spans="2:24">
      <c r="B570" s="8">
        <v>2025</v>
      </c>
      <c r="C570" s="8">
        <v>7</v>
      </c>
      <c r="D570" s="8">
        <v>24</v>
      </c>
      <c r="E570" s="291">
        <f>DATE(LS[[#This Row],[Year]],LS[[#This Row],[Month]],LS[[#This Row],[Day]])</f>
        <v>45862</v>
      </c>
      <c r="F570" t="str" cm="1">
        <f t="array" ref="F570">INDEX(INVESTORS_LIST[INVESTOR NAME],MATCH(LS[[#This Row],[Investor ID]],INVESTORS_LIST[INVESTOR CODE],0),)</f>
        <v>MD. MUSTAFA KAMAL</v>
      </c>
      <c r="G570" s="25" t="s">
        <v>1390</v>
      </c>
      <c r="H570" s="8">
        <f>COUNTIF(LS[[#Headers],[Investor ID]]:LS[[#This Row],[Investor ID]],LS[[#This Row],[Investor ID]])</f>
        <v>1</v>
      </c>
      <c r="I570" s="8" t="str">
        <f>CONCATENATE(LS[[#This Row],[Frequency]],LS[[#This Row],[Investor ID]])</f>
        <v>1A00597</v>
      </c>
      <c r="J570" s="8" t="str">
        <f>IF(LS[[#This Row],[B/S]]="B","BUY",(IF(LS[[#This Row],[B/S]]="S","SELL"," ")))</f>
        <v>BUY</v>
      </c>
      <c r="K570" s="8" t="s">
        <v>301</v>
      </c>
      <c r="L570" s="3">
        <v>200000</v>
      </c>
      <c r="M570" s="3"/>
      <c r="N570" s="216">
        <f>LS[[#This Row],[Amount]]/LS[[#This Row],[Unit]]</f>
        <v>11.394063692816044</v>
      </c>
      <c r="O570" s="1">
        <f t="shared" si="111"/>
        <v>17553</v>
      </c>
      <c r="P570" s="1">
        <f>SUMIFS(LS[[#Headers],[Unit]]:LS[[#This Row],[Unit]],LS[[#Headers],[Investor ID]]:LS[[#This Row],[Investor ID]],LS[[#This Row],[Investor ID]])</f>
        <v>17553</v>
      </c>
      <c r="Q570" s="3">
        <v>175530</v>
      </c>
      <c r="R570" s="6">
        <f>LS[[#This Row],[Amount]]-LS[[#This Row],[Unit Capital]]</f>
        <v>24470</v>
      </c>
      <c r="S57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11.394063692816044</v>
      </c>
      <c r="T570" s="216">
        <f t="shared" si="112"/>
        <v>12.552</v>
      </c>
      <c r="U57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70" s="3" cm="1">
        <f t="array" ref="V570">IF(LS[[#This Row],[B/S]]="S",ABS(LS[[#This Row],[Unit]])*(INDEX(LS[NAV at Cost (Average)],MATCH(CONCATENATE((LS[[#This Row],[Frequency]]-1),LS[[#This Row],[Investor ID]]),LS[Unique Code],0),0)),0)</f>
        <v>0</v>
      </c>
      <c r="W570" s="3">
        <f>IF(LS[[#This Row],[BO Transfer]]="YES",LS[[#This Row],[Unit]],)</f>
        <v>0</v>
      </c>
      <c r="X570" s="3">
        <f>SUMIFS(LS[[#Headers],[BO UNIT TRANSFER]]:LS[[#This Row],[BO UNIT TRANSFER]],LS[[#Headers],[Investor ID]]:LS[[#This Row],[Investor ID]],LS[[#This Row],[Investor ID]])</f>
        <v>0</v>
      </c>
    </row>
    <row r="571" spans="2:24">
      <c r="B571" s="8">
        <v>2025</v>
      </c>
      <c r="C571" s="8">
        <v>7</v>
      </c>
      <c r="D571" s="8">
        <v>24</v>
      </c>
      <c r="E571" s="291">
        <f>DATE(LS[[#This Row],[Year]],LS[[#This Row],[Month]],LS[[#This Row],[Day]])</f>
        <v>45862</v>
      </c>
      <c r="F571" t="str" cm="1">
        <f t="array" ref="F571">INDEX(INVESTORS_LIST[INVESTOR NAME],MATCH(LS[[#This Row],[Investor ID]],INVESTORS_LIST[INVESTOR CODE],0),)</f>
        <v>MD. MUSTAFA KAMAL</v>
      </c>
      <c r="G571" s="25" t="s">
        <v>1390</v>
      </c>
      <c r="H571" s="8">
        <f>COUNTIF(LS[[#Headers],[Investor ID]]:LS[[#This Row],[Investor ID]],LS[[#This Row],[Investor ID]])</f>
        <v>2</v>
      </c>
      <c r="I571" s="8" t="str">
        <f>CONCATENATE(LS[[#This Row],[Frequency]],LS[[#This Row],[Investor ID]])</f>
        <v>2A00597</v>
      </c>
      <c r="J571" s="8" t="str">
        <f>IF(LS[[#This Row],[B/S]]="B","BUY",(IF(LS[[#This Row],[B/S]]="S","SELL"," ")))</f>
        <v>BUY</v>
      </c>
      <c r="K571" s="8" t="s">
        <v>301</v>
      </c>
      <c r="L571" s="3">
        <v>90000</v>
      </c>
      <c r="M571" s="3"/>
      <c r="N571" s="216">
        <f>LS[[#This Row],[Amount]]/LS[[#This Row],[Unit]]</f>
        <v>11.393847322445879</v>
      </c>
      <c r="O571" s="1">
        <f t="shared" si="111"/>
        <v>7899</v>
      </c>
      <c r="P571" s="1">
        <f>SUMIFS(LS[[#Headers],[Unit]]:LS[[#This Row],[Unit]],LS[[#Headers],[Investor ID]]:LS[[#This Row],[Investor ID]],LS[[#This Row],[Investor ID]])</f>
        <v>25452</v>
      </c>
      <c r="Q571" s="3">
        <v>78990</v>
      </c>
      <c r="R571" s="6">
        <f>LS[[#This Row],[Amount]]-LS[[#This Row],[Unit Capital]]</f>
        <v>11010</v>
      </c>
      <c r="S57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11.393996542511394</v>
      </c>
      <c r="T571" s="216">
        <f t="shared" si="112"/>
        <v>12.552</v>
      </c>
      <c r="U57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71" s="3" cm="1">
        <f t="array" ref="V571">IF(LS[[#This Row],[B/S]]="S",ABS(LS[[#This Row],[Unit]])*(INDEX(LS[NAV at Cost (Average)],MATCH(CONCATENATE((LS[[#This Row],[Frequency]]-1),LS[[#This Row],[Investor ID]]),LS[Unique Code],0),0)),0)</f>
        <v>0</v>
      </c>
      <c r="W571" s="3">
        <f>IF(LS[[#This Row],[BO Transfer]]="YES",LS[[#This Row],[Unit]],)</f>
        <v>0</v>
      </c>
      <c r="X571" s="3">
        <f>SUMIFS(LS[[#Headers],[BO UNIT TRANSFER]]:LS[[#This Row],[BO UNIT TRANSFER]],LS[[#Headers],[Investor ID]]:LS[[#This Row],[Investor ID]],LS[[#This Row],[Investor ID]])</f>
        <v>0</v>
      </c>
    </row>
    <row r="572" spans="2:24">
      <c r="B572" s="8">
        <v>2025</v>
      </c>
      <c r="C572" s="8">
        <v>7</v>
      </c>
      <c r="D572" s="8">
        <v>24</v>
      </c>
      <c r="E572" s="291">
        <f>DATE(LS[[#This Row],[Year]],LS[[#This Row],[Month]],LS[[#This Row],[Day]])</f>
        <v>45862</v>
      </c>
      <c r="F572" t="str" cm="1">
        <f t="array" ref="F572">INDEX(INVESTORS_LIST[INVESTOR NAME],MATCH(LS[[#This Row],[Investor ID]],INVESTORS_LIST[INVESTOR CODE],0),)</f>
        <v>SHUVA SAHA</v>
      </c>
      <c r="G572" s="25" t="s">
        <v>60</v>
      </c>
      <c r="H572" s="8">
        <f>COUNTIF(LS[[#Headers],[Investor ID]]:LS[[#This Row],[Investor ID]],LS[[#This Row],[Investor ID]])</f>
        <v>16</v>
      </c>
      <c r="I572" s="8" t="str">
        <f>CONCATENATE(LS[[#This Row],[Frequency]],LS[[#This Row],[Investor ID]])</f>
        <v>16A00053</v>
      </c>
      <c r="J572" s="8" t="str">
        <f>IF(LS[[#This Row],[B/S]]="B","BUY",(IF(LS[[#This Row],[B/S]]="S","SELL"," ")))</f>
        <v>BUY</v>
      </c>
      <c r="K572" s="8" t="s">
        <v>301</v>
      </c>
      <c r="L572" s="3">
        <v>80000</v>
      </c>
      <c r="M572" s="3" t="s">
        <v>957</v>
      </c>
      <c r="N572" s="216">
        <f>LS[[#This Row],[Amount]]/LS[[#This Row],[Unit]]</f>
        <v>11.394388263780089</v>
      </c>
      <c r="O572" s="1">
        <f t="shared" si="111"/>
        <v>7021</v>
      </c>
      <c r="P572" s="1">
        <f>SUMIFS(LS[[#Headers],[Unit]]:LS[[#This Row],[Unit]],LS[[#Headers],[Investor ID]]:LS[[#This Row],[Investor ID]],LS[[#This Row],[Investor ID]])</f>
        <v>361922</v>
      </c>
      <c r="Q572" s="3">
        <v>70210</v>
      </c>
      <c r="R572" s="6">
        <f>LS[[#This Row],[Amount]]-LS[[#This Row],[Unit Capital]]</f>
        <v>9790</v>
      </c>
      <c r="S57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10.223071615818638</v>
      </c>
      <c r="T572" s="216">
        <f t="shared" si="112"/>
        <v>12.552</v>
      </c>
      <c r="U57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72" s="3" cm="1">
        <f t="array" ref="V572">IF(LS[[#This Row],[B/S]]="S",ABS(LS[[#This Row],[Unit]])*(INDEX(LS[NAV at Cost (Average)],MATCH(CONCATENATE((LS[[#This Row],[Frequency]]-1),LS[[#This Row],[Investor ID]]),LS[Unique Code],0),0)),0)</f>
        <v>0</v>
      </c>
      <c r="W572" s="3">
        <f>IF(LS[[#This Row],[BO Transfer]]="YES",LS[[#This Row],[Unit]],)</f>
        <v>7021</v>
      </c>
      <c r="X572" s="3">
        <f>SUMIFS(LS[[#Headers],[BO UNIT TRANSFER]]:LS[[#This Row],[BO UNIT TRANSFER]],LS[[#Headers],[Investor ID]]:LS[[#This Row],[Investor ID]],LS[[#This Row],[Investor ID]])</f>
        <v>7021</v>
      </c>
    </row>
    <row r="573" spans="2:24">
      <c r="B573" s="8">
        <v>2025</v>
      </c>
      <c r="C573" s="8">
        <v>7</v>
      </c>
      <c r="D573" s="8">
        <v>24</v>
      </c>
      <c r="E573" s="299">
        <f>DATE(LS[[#This Row],[Year]],LS[[#This Row],[Month]],LS[[#This Row],[Day]])</f>
        <v>45862</v>
      </c>
      <c r="F573" s="220" t="str" cm="1">
        <f t="array" ref="F573">INDEX(INVESTORS_LIST[INVESTOR NAME],MATCH(LS[[#This Row],[Investor ID]],INVESTORS_LIST[INVESTOR CODE],0),)</f>
        <v>PUJA GHOSH</v>
      </c>
      <c r="G573" s="221" t="s">
        <v>1474</v>
      </c>
      <c r="H573" s="222">
        <f>COUNTIF(LS[[#Headers],[Investor ID]]:LS[[#This Row],[Investor ID]],LS[[#This Row],[Investor ID]])</f>
        <v>1</v>
      </c>
      <c r="I573" s="222" t="str">
        <f>CONCATENATE(LS[[#This Row],[Frequency]],LS[[#This Row],[Investor ID]])</f>
        <v>1A00642</v>
      </c>
      <c r="J573" s="8" t="str">
        <f>IF(LS[[#This Row],[B/S]]="B","BUY",(IF(LS[[#This Row],[B/S]]="S","SELL"," ")))</f>
        <v>BUY</v>
      </c>
      <c r="K573" s="8" t="s">
        <v>301</v>
      </c>
      <c r="L573" s="223">
        <v>285000</v>
      </c>
      <c r="M573" s="3"/>
      <c r="N573" s="224">
        <f>LS[[#This Row],[Amount]]/LS[[#This Row],[Unit]]</f>
        <v>11.394075080957903</v>
      </c>
      <c r="O573" s="225">
        <f t="shared" si="111"/>
        <v>25013</v>
      </c>
      <c r="P573" s="225">
        <f>SUMIFS(LS[[#Headers],[Unit]]:LS[[#This Row],[Unit]],LS[[#Headers],[Investor ID]]:LS[[#This Row],[Investor ID]],LS[[#This Row],[Investor ID]])</f>
        <v>25013</v>
      </c>
      <c r="Q573" s="223">
        <v>250130</v>
      </c>
      <c r="R573" s="226">
        <f>LS[[#This Row],[Amount]]-LS[[#This Row],[Unit Capital]]</f>
        <v>34870</v>
      </c>
      <c r="S573" s="224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11.394075080957903</v>
      </c>
      <c r="T573" s="224">
        <f t="shared" si="112"/>
        <v>12.552</v>
      </c>
      <c r="U573" s="22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73" s="223" cm="1">
        <f t="array" ref="V573">IF(LS[[#This Row],[B/S]]="S",ABS(LS[[#This Row],[Unit]])*(INDEX(LS[NAV at Cost (Average)],MATCH(CONCATENATE((LS[[#This Row],[Frequency]]-1),LS[[#This Row],[Investor ID]]),LS[Unique Code],0),0)),0)</f>
        <v>0</v>
      </c>
      <c r="W573" s="3">
        <f>IF(LS[[#This Row],[BO Transfer]]="YES",LS[[#This Row],[Unit]],)</f>
        <v>0</v>
      </c>
      <c r="X573" s="223">
        <f>SUMIFS(LS[[#Headers],[BO UNIT TRANSFER]]:LS[[#This Row],[BO UNIT TRANSFER]],LS[[#Headers],[Investor ID]]:LS[[#This Row],[Investor ID]],LS[[#This Row],[Investor ID]])</f>
        <v>0</v>
      </c>
    </row>
    <row r="574" spans="2:24">
      <c r="B574" s="8">
        <v>2025</v>
      </c>
      <c r="C574" s="8">
        <v>7</v>
      </c>
      <c r="D574" s="8">
        <v>27</v>
      </c>
      <c r="E574" s="291">
        <f>DATE(LS[[#This Row],[Year]],LS[[#This Row],[Month]],LS[[#This Row],[Day]])</f>
        <v>45865</v>
      </c>
      <c r="F574" t="str" cm="1">
        <f t="array" ref="F574">INDEX(INVESTORS_LIST[INVESTOR NAME],MATCH(LS[[#This Row],[Investor ID]],INVESTORS_LIST[INVESTOR CODE],0),)</f>
        <v>MD. MUSTAFA KAMAL</v>
      </c>
      <c r="G574" s="25" t="s">
        <v>1390</v>
      </c>
      <c r="H574" s="8">
        <f>COUNTIF(LS[[#Headers],[Investor ID]]:LS[[#This Row],[Investor ID]],LS[[#This Row],[Investor ID]])</f>
        <v>3</v>
      </c>
      <c r="I574" s="8" t="str">
        <f>CONCATENATE(LS[[#This Row],[Frequency]],LS[[#This Row],[Investor ID]])</f>
        <v>3A00597</v>
      </c>
      <c r="J574" s="8" t="str">
        <f>IF(LS[[#This Row],[B/S]]="B","BUY",(IF(LS[[#This Row],[B/S]]="S","SELL"," ")))</f>
        <v>SELL</v>
      </c>
      <c r="K574" s="8" t="s">
        <v>866</v>
      </c>
      <c r="L574" s="3">
        <v>-301835.27</v>
      </c>
      <c r="M574" s="3"/>
      <c r="N574" s="216">
        <f>LS[[#This Row],[Amount]]/LS[[#This Row],[Unit]]</f>
        <v>11.859000078579287</v>
      </c>
      <c r="O574" s="1">
        <f t="shared" si="111"/>
        <v>-25452</v>
      </c>
      <c r="P574" s="1">
        <f>SUMIFS(LS[[#Headers],[Unit]]:LS[[#This Row],[Unit]],LS[[#Headers],[Investor ID]]:LS[[#This Row],[Investor ID]],LS[[#This Row],[Investor ID]])</f>
        <v>0</v>
      </c>
      <c r="Q574" s="3">
        <v>-254520</v>
      </c>
      <c r="R574" s="6">
        <f>LS[[#This Row],[Amount]]-LS[[#This Row],[Unit Capital]]</f>
        <v>-47315.270000000019</v>
      </c>
      <c r="S57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74" s="216">
        <f t="shared" si="112"/>
        <v>12.552</v>
      </c>
      <c r="U574" s="3">
        <f>IF(LS[[#This Row],[B/S]]="B",0,ABS(LS[[#This Row],[Unit]])*(LS[[#This Row],[NAV (Strike Rate)]]-INDEX(LS[NAV at Cost (Average)],MATCH(CONCATENATE(LS[[#This Row],[Frequency]]-1,LS[[#This Row],[Investor ID]]),LS[Unique Code],0),)))</f>
        <v>11835.270000000024</v>
      </c>
      <c r="V574" s="3" cm="1">
        <f t="array" ref="V574">IF(LS[[#This Row],[B/S]]="S",ABS(LS[[#This Row],[Unit]])*(INDEX(LS[NAV at Cost (Average)],MATCH(CONCATENATE((LS[[#This Row],[Frequency]]-1),LS[[#This Row],[Investor ID]]),LS[Unique Code],0),0)),0)</f>
        <v>290000</v>
      </c>
      <c r="W574" s="3">
        <f>IF(LS[[#This Row],[BO Transfer]]="YES",LS[[#This Row],[Unit]],)</f>
        <v>0</v>
      </c>
      <c r="X574" s="3">
        <f>SUMIFS(LS[[#Headers],[BO UNIT TRANSFER]]:LS[[#This Row],[BO UNIT TRANSFER]],LS[[#Headers],[Investor ID]]:LS[[#This Row],[Investor ID]],LS[[#This Row],[Investor ID]])</f>
        <v>0</v>
      </c>
    </row>
    <row r="575" spans="2:24">
      <c r="B575" s="8">
        <v>2025</v>
      </c>
      <c r="C575" s="8">
        <v>7</v>
      </c>
      <c r="D575" s="8">
        <v>27</v>
      </c>
      <c r="E575" s="291">
        <f>DATE(LS[[#This Row],[Year]],LS[[#This Row],[Month]],LS[[#This Row],[Day]])</f>
        <v>45865</v>
      </c>
      <c r="F575" t="str" cm="1">
        <f t="array" ref="F575">INDEX(INVESTORS_LIST[INVESTOR NAME],MATCH(LS[[#This Row],[Investor ID]],INVESTORS_LIST[INVESTOR CODE],0),)</f>
        <v>MORSHEDA MIM</v>
      </c>
      <c r="G575" s="25" t="s">
        <v>10</v>
      </c>
      <c r="H575" s="8">
        <f>COUNTIF(LS[[#Headers],[Investor ID]]:LS[[#This Row],[Investor ID]],LS[[#This Row],[Investor ID]])</f>
        <v>3</v>
      </c>
      <c r="I575" s="8" t="str">
        <f>CONCATENATE(LS[[#This Row],[Frequency]],LS[[#This Row],[Investor ID]])</f>
        <v>3A00005</v>
      </c>
      <c r="J575" s="8" t="str">
        <f>IF(LS[[#This Row],[B/S]]="B","BUY",(IF(LS[[#This Row],[B/S]]="S","SELL"," ")))</f>
        <v>SELL</v>
      </c>
      <c r="K575" s="8" t="s">
        <v>866</v>
      </c>
      <c r="L575" s="3">
        <v>-736799.67</v>
      </c>
      <c r="M575" s="3"/>
      <c r="N575" s="216">
        <f>LS[[#This Row],[Amount]]/LS[[#This Row],[Unit]]</f>
        <v>11.859</v>
      </c>
      <c r="O575" s="1">
        <f t="shared" si="111"/>
        <v>-62130</v>
      </c>
      <c r="P575" s="1">
        <f>SUMIFS(LS[[#Headers],[Unit]]:LS[[#This Row],[Unit]],LS[[#Headers],[Investor ID]]:LS[[#This Row],[Investor ID]],LS[[#This Row],[Investor ID]])</f>
        <v>0</v>
      </c>
      <c r="Q575" s="3">
        <v>-621300</v>
      </c>
      <c r="R575" s="6">
        <f>LS[[#This Row],[Amount]]-LS[[#This Row],[Unit Capital]]</f>
        <v>-115499.67000000004</v>
      </c>
      <c r="S57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75" s="216">
        <f t="shared" si="112"/>
        <v>12.552</v>
      </c>
      <c r="U575" s="3">
        <f>IF(LS[[#This Row],[B/S]]="B",0,ABS(LS[[#This Row],[Unit]])*(LS[[#This Row],[NAV (Strike Rate)]]-INDEX(LS[NAV at Cost (Average)],MATCH(CONCATENATE(LS[[#This Row],[Frequency]]-1,LS[[#This Row],[Investor ID]]),LS[Unique Code],0),)))</f>
        <v>81418.249999999971</v>
      </c>
      <c r="V575" s="3" cm="1">
        <f t="array" ref="V575">IF(LS[[#This Row],[B/S]]="S",ABS(LS[[#This Row],[Unit]])*(INDEX(LS[NAV at Cost (Average)],MATCH(CONCATENATE((LS[[#This Row],[Frequency]]-1),LS[[#This Row],[Investor ID]]),LS[Unique Code],0),0)),0)</f>
        <v>655381.42000000004</v>
      </c>
      <c r="W575" s="3">
        <f>IF(LS[[#This Row],[BO Transfer]]="YES",LS[[#This Row],[Unit]],)</f>
        <v>0</v>
      </c>
      <c r="X575" s="3">
        <f>SUMIFS(LS[[#Headers],[BO UNIT TRANSFER]]:LS[[#This Row],[BO UNIT TRANSFER]],LS[[#Headers],[Investor ID]]:LS[[#This Row],[Investor ID]],LS[[#This Row],[Investor ID]])</f>
        <v>0</v>
      </c>
    </row>
    <row r="576" spans="2:24">
      <c r="B576" s="8">
        <v>2025</v>
      </c>
      <c r="C576" s="8">
        <v>7</v>
      </c>
      <c r="D576" s="8">
        <v>28</v>
      </c>
      <c r="E576" s="291">
        <f>DATE(LS[[#This Row],[Year]],LS[[#This Row],[Month]],LS[[#This Row],[Day]])</f>
        <v>45866</v>
      </c>
      <c r="F576" t="str" cm="1">
        <f t="array" ref="F576">INDEX(INVESTORS_LIST[INVESTOR NAME],MATCH(LS[[#This Row],[Investor ID]],INVESTORS_LIST[INVESTOR CODE],0),)</f>
        <v>PUJA GHOSH</v>
      </c>
      <c r="G576" s="25" t="s">
        <v>1474</v>
      </c>
      <c r="H576" s="8">
        <f>COUNTIF(LS[[#Headers],[Investor ID]]:LS[[#This Row],[Investor ID]],LS[[#This Row],[Investor ID]])</f>
        <v>2</v>
      </c>
      <c r="I576" s="8" t="str">
        <f>CONCATENATE(LS[[#This Row],[Frequency]],LS[[#This Row],[Investor ID]])</f>
        <v>2A00642</v>
      </c>
      <c r="J576" s="8" t="str">
        <f>IF(LS[[#This Row],[B/S]]="B","BUY",(IF(LS[[#This Row],[B/S]]="S","SELL"," ")))</f>
        <v>SELL</v>
      </c>
      <c r="K576" s="8" t="s">
        <v>866</v>
      </c>
      <c r="L576" s="3">
        <v>-296629.17</v>
      </c>
      <c r="M576" s="3"/>
      <c r="N576" s="216">
        <f>LS[[#This Row],[Amount]]/LS[[#This Row],[Unit]]</f>
        <v>11.859000119937631</v>
      </c>
      <c r="O576" s="1">
        <f t="shared" ref="O576:O585" si="113">Q576/10</f>
        <v>-25013</v>
      </c>
      <c r="P576" s="1">
        <f>SUMIFS(LS[[#Headers],[Unit]]:LS[[#This Row],[Unit]],LS[[#Headers],[Investor ID]]:LS[[#This Row],[Investor ID]],LS[[#This Row],[Investor ID]])</f>
        <v>0</v>
      </c>
      <c r="Q576" s="3">
        <v>-250130</v>
      </c>
      <c r="R576" s="6">
        <f>LS[[#This Row],[Amount]]-LS[[#This Row],[Unit Capital]]</f>
        <v>-46499.169999999984</v>
      </c>
      <c r="S57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76" s="216">
        <f t="shared" ref="T576:T585" si="114">IFERROR(NAV_MKT,0)</f>
        <v>12.552</v>
      </c>
      <c r="U576" s="3">
        <f>IF(LS[[#This Row],[B/S]]="B",0,ABS(LS[[#This Row],[Unit]])*(LS[[#This Row],[NAV (Strike Rate)]]-INDEX(LS[NAV at Cost (Average)],MATCH(CONCATENATE(LS[[#This Row],[Frequency]]-1,LS[[#This Row],[Investor ID]]),LS[Unique Code],0),)))</f>
        <v>11629.169999999956</v>
      </c>
      <c r="V576" s="3" cm="1">
        <f t="array" ref="V576">IF(LS[[#This Row],[B/S]]="S",ABS(LS[[#This Row],[Unit]])*(INDEX(LS[NAV at Cost (Average)],MATCH(CONCATENATE((LS[[#This Row],[Frequency]]-1),LS[[#This Row],[Investor ID]]),LS[Unique Code],0),0)),0)</f>
        <v>285000</v>
      </c>
      <c r="W576" s="3">
        <f>IF(LS[[#This Row],[BO Transfer]]="YES",LS[[#This Row],[Unit]],)</f>
        <v>0</v>
      </c>
      <c r="X576" s="3">
        <f>SUMIFS(LS[[#Headers],[BO UNIT TRANSFER]]:LS[[#This Row],[BO UNIT TRANSFER]],LS[[#Headers],[Investor ID]]:LS[[#This Row],[Investor ID]],LS[[#This Row],[Investor ID]])</f>
        <v>0</v>
      </c>
    </row>
    <row r="577" spans="2:24">
      <c r="B577" s="8">
        <v>2025</v>
      </c>
      <c r="C577" s="8">
        <v>7</v>
      </c>
      <c r="D577" s="8">
        <v>29</v>
      </c>
      <c r="E577" s="291">
        <f>DATE(LS[[#This Row],[Year]],LS[[#This Row],[Month]],LS[[#This Row],[Day]])</f>
        <v>45867</v>
      </c>
      <c r="F577" t="str" cm="1">
        <f t="array" ref="F577">INDEX(INVESTORS_LIST[INVESTOR NAME],MATCH(LS[[#This Row],[Investor ID]],INVESTORS_LIST[INVESTOR CODE],0),)</f>
        <v>MRIDUL KUMAR DEY</v>
      </c>
      <c r="G577" s="25" t="s">
        <v>27</v>
      </c>
      <c r="H577" s="8">
        <f>COUNTIF(LS[[#Headers],[Investor ID]]:LS[[#This Row],[Investor ID]],LS[[#This Row],[Investor ID]])</f>
        <v>3</v>
      </c>
      <c r="I577" s="8" t="str">
        <f>CONCATENATE(LS[[#This Row],[Frequency]],LS[[#This Row],[Investor ID]])</f>
        <v>3A00020</v>
      </c>
      <c r="J577" s="8" t="str">
        <f>IF(LS[[#This Row],[B/S]]="B","BUY",(IF(LS[[#This Row],[B/S]]="S","SELL"," ")))</f>
        <v>SELL</v>
      </c>
      <c r="K577" s="8" t="s">
        <v>866</v>
      </c>
      <c r="L577" s="3">
        <v>-11159.32</v>
      </c>
      <c r="M577" s="3"/>
      <c r="N577" s="216">
        <f>LS[[#This Row],[Amount]]/LS[[#This Row],[Unit]]</f>
        <v>11.859001062699257</v>
      </c>
      <c r="O577" s="1">
        <f t="shared" si="113"/>
        <v>-941</v>
      </c>
      <c r="P577" s="1">
        <f>SUMIFS(LS[[#Headers],[Unit]]:LS[[#This Row],[Unit]],LS[[#Headers],[Investor ID]]:LS[[#This Row],[Investor ID]],LS[[#This Row],[Investor ID]])</f>
        <v>0</v>
      </c>
      <c r="Q577" s="3">
        <v>-9410</v>
      </c>
      <c r="R577" s="6">
        <f>LS[[#This Row],[Amount]]-LS[[#This Row],[Unit Capital]]</f>
        <v>-1749.3199999999997</v>
      </c>
      <c r="S57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77" s="216">
        <f t="shared" si="114"/>
        <v>12.552</v>
      </c>
      <c r="U577" s="3">
        <f>IF(LS[[#This Row],[B/S]]="B",0,ABS(LS[[#This Row],[Unit]])*(LS[[#This Row],[NAV (Strike Rate)]]-INDEX(LS[NAV at Cost (Average)],MATCH(CONCATENATE(LS[[#This Row],[Frequency]]-1,LS[[#This Row],[Investor ID]]),LS[Unique Code],0),)))</f>
        <v>1407.15</v>
      </c>
      <c r="V577" s="3" cm="1">
        <f t="array" ref="V577">IF(LS[[#This Row],[B/S]]="S",ABS(LS[[#This Row],[Unit]])*(INDEX(LS[NAV at Cost (Average)],MATCH(CONCATENATE((LS[[#This Row],[Frequency]]-1),LS[[#This Row],[Investor ID]]),LS[Unique Code],0),0)),0)</f>
        <v>9752.17</v>
      </c>
      <c r="W577" s="3">
        <f>IF(LS[[#This Row],[BO Transfer]]="YES",LS[[#This Row],[Unit]],)</f>
        <v>0</v>
      </c>
      <c r="X577" s="3">
        <f>SUMIFS(LS[[#Headers],[BO UNIT TRANSFER]]:LS[[#This Row],[BO UNIT TRANSFER]],LS[[#Headers],[Investor ID]]:LS[[#This Row],[Investor ID]],LS[[#This Row],[Investor ID]])</f>
        <v>0</v>
      </c>
    </row>
    <row r="578" spans="2:24">
      <c r="B578" s="8">
        <v>2025</v>
      </c>
      <c r="C578" s="8">
        <v>7</v>
      </c>
      <c r="D578" s="8">
        <v>31</v>
      </c>
      <c r="E578" s="291">
        <f>DATE(LS[[#This Row],[Year]],LS[[#This Row],[Month]],LS[[#This Row],[Day]])</f>
        <v>45869</v>
      </c>
      <c r="F578" t="str" cm="1">
        <f t="array" ref="F578">INDEX(INVESTORS_LIST[INVESTOR NAME],MATCH(LS[[#This Row],[Investor ID]],INVESTORS_LIST[INVESTOR CODE],0),)</f>
        <v>MD. MUSTAFA KAMAL</v>
      </c>
      <c r="G578" s="25" t="s">
        <v>1390</v>
      </c>
      <c r="H578" s="8">
        <f>COUNTIF(LS[[#Headers],[Investor ID]]:LS[[#This Row],[Investor ID]],LS[[#This Row],[Investor ID]])</f>
        <v>4</v>
      </c>
      <c r="I578" s="8" t="str">
        <f>CONCATENATE(LS[[#This Row],[Frequency]],LS[[#This Row],[Investor ID]])</f>
        <v>4A00597</v>
      </c>
      <c r="J578" s="8" t="str">
        <f>IF(LS[[#This Row],[B/S]]="B","BUY",(IF(LS[[#This Row],[B/S]]="S","SELL"," ")))</f>
        <v>BUY</v>
      </c>
      <c r="K578" s="8" t="s">
        <v>301</v>
      </c>
      <c r="L578" s="3">
        <v>300000</v>
      </c>
      <c r="M578" s="3"/>
      <c r="N578" s="216">
        <f>LS[[#This Row],[Amount]]/LS[[#This Row],[Unit]]</f>
        <v>11.85911372890066</v>
      </c>
      <c r="O578" s="1">
        <f t="shared" si="113"/>
        <v>25297</v>
      </c>
      <c r="P578" s="1">
        <f>SUMIFS(LS[[#Headers],[Unit]]:LS[[#This Row],[Unit]],LS[[#Headers],[Investor ID]]:LS[[#This Row],[Investor ID]],LS[[#This Row],[Investor ID]])</f>
        <v>25297</v>
      </c>
      <c r="Q578" s="3">
        <v>252970</v>
      </c>
      <c r="R578" s="6">
        <f>LS[[#This Row],[Amount]]-LS[[#This Row],[Unit Capital]]</f>
        <v>47030</v>
      </c>
      <c r="S57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11.85911372890066</v>
      </c>
      <c r="T578" s="216">
        <f t="shared" si="114"/>
        <v>12.552</v>
      </c>
      <c r="U57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78" s="3" cm="1">
        <f t="array" ref="V578">IF(LS[[#This Row],[B/S]]="S",ABS(LS[[#This Row],[Unit]])*(INDEX(LS[NAV at Cost (Average)],MATCH(CONCATENATE((LS[[#This Row],[Frequency]]-1),LS[[#This Row],[Investor ID]]),LS[Unique Code],0),0)),0)</f>
        <v>0</v>
      </c>
      <c r="W578" s="3">
        <f>IF(LS[[#This Row],[BO Transfer]]="YES",LS[[#This Row],[Unit]],)</f>
        <v>0</v>
      </c>
      <c r="X578" s="3">
        <f>SUMIFS(LS[[#Headers],[BO UNIT TRANSFER]]:LS[[#This Row],[BO UNIT TRANSFER]],LS[[#Headers],[Investor ID]]:LS[[#This Row],[Investor ID]],LS[[#This Row],[Investor ID]])</f>
        <v>0</v>
      </c>
    </row>
    <row r="579" spans="2:24">
      <c r="B579" s="8">
        <v>2025</v>
      </c>
      <c r="C579" s="8">
        <v>7</v>
      </c>
      <c r="D579" s="8">
        <v>31</v>
      </c>
      <c r="E579" s="291">
        <f>DATE(LS[[#This Row],[Year]],LS[[#This Row],[Month]],LS[[#This Row],[Day]])</f>
        <v>45869</v>
      </c>
      <c r="F579" t="str" cm="1">
        <f t="array" ref="F579">INDEX(INVESTORS_LIST[INVESTOR NAME],MATCH(LS[[#This Row],[Investor ID]],INVESTORS_LIST[INVESTOR CODE],0),)</f>
        <v>MD. MUSTAFA KAMAL</v>
      </c>
      <c r="G579" s="25" t="s">
        <v>1390</v>
      </c>
      <c r="H579" s="8">
        <f>COUNTIF(LS[[#Headers],[Investor ID]]:LS[[#This Row],[Investor ID]],LS[[#This Row],[Investor ID]])</f>
        <v>5</v>
      </c>
      <c r="I579" s="8" t="str">
        <f>CONCATENATE(LS[[#This Row],[Frequency]],LS[[#This Row],[Investor ID]])</f>
        <v>5A00597</v>
      </c>
      <c r="J579" s="8" t="str">
        <f>IF(LS[[#This Row],[B/S]]="B","BUY",(IF(LS[[#This Row],[B/S]]="S","SELL"," ")))</f>
        <v>BUY</v>
      </c>
      <c r="K579" s="8" t="s">
        <v>301</v>
      </c>
      <c r="L579" s="3">
        <v>300000</v>
      </c>
      <c r="M579" s="3"/>
      <c r="N579" s="216">
        <f>LS[[#This Row],[Amount]]/LS[[#This Row],[Unit]]</f>
        <v>11.85911372890066</v>
      </c>
      <c r="O579" s="1">
        <f t="shared" si="113"/>
        <v>25297</v>
      </c>
      <c r="P579" s="1">
        <f>SUMIFS(LS[[#Headers],[Unit]]:LS[[#This Row],[Unit]],LS[[#Headers],[Investor ID]]:LS[[#This Row],[Investor ID]],LS[[#This Row],[Investor ID]])</f>
        <v>50594</v>
      </c>
      <c r="Q579" s="3">
        <v>252970</v>
      </c>
      <c r="R579" s="6">
        <f>LS[[#This Row],[Amount]]-LS[[#This Row],[Unit Capital]]</f>
        <v>47030</v>
      </c>
      <c r="S57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11.85911372890066</v>
      </c>
      <c r="T579" s="216">
        <f t="shared" si="114"/>
        <v>12.552</v>
      </c>
      <c r="U57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79" s="3" cm="1">
        <f t="array" ref="V579">IF(LS[[#This Row],[B/S]]="S",ABS(LS[[#This Row],[Unit]])*(INDEX(LS[NAV at Cost (Average)],MATCH(CONCATENATE((LS[[#This Row],[Frequency]]-1),LS[[#This Row],[Investor ID]]),LS[Unique Code],0),0)),0)</f>
        <v>0</v>
      </c>
      <c r="W579" s="3">
        <f>IF(LS[[#This Row],[BO Transfer]]="YES",LS[[#This Row],[Unit]],)</f>
        <v>0</v>
      </c>
      <c r="X579" s="3">
        <f>SUMIFS(LS[[#Headers],[BO UNIT TRANSFER]]:LS[[#This Row],[BO UNIT TRANSFER]],LS[[#Headers],[Investor ID]]:LS[[#This Row],[Investor ID]],LS[[#This Row],[Investor ID]])</f>
        <v>0</v>
      </c>
    </row>
    <row r="580" spans="2:24">
      <c r="B580" s="8">
        <v>2025</v>
      </c>
      <c r="C580" s="8">
        <v>7</v>
      </c>
      <c r="D580" s="8">
        <v>31</v>
      </c>
      <c r="E580" s="291">
        <f>DATE(LS[[#This Row],[Year]],LS[[#This Row],[Month]],LS[[#This Row],[Day]])</f>
        <v>45869</v>
      </c>
      <c r="F580" t="str" cm="1">
        <f t="array" ref="F580">INDEX(INVESTORS_LIST[INVESTOR NAME],MATCH(LS[[#This Row],[Investor ID]],INVESTORS_LIST[INVESTOR CODE],0),)</f>
        <v>MD. MUSTAFA KAMAL</v>
      </c>
      <c r="G580" s="25" t="s">
        <v>1390</v>
      </c>
      <c r="H580" s="8">
        <f>COUNTIF(LS[[#Headers],[Investor ID]]:LS[[#This Row],[Investor ID]],LS[[#This Row],[Investor ID]])</f>
        <v>6</v>
      </c>
      <c r="I580" s="8" t="str">
        <f>CONCATENATE(LS[[#This Row],[Frequency]],LS[[#This Row],[Investor ID]])</f>
        <v>6A00597</v>
      </c>
      <c r="J580" s="8" t="str">
        <f>IF(LS[[#This Row],[B/S]]="B","BUY",(IF(LS[[#This Row],[B/S]]="S","SELL"," ")))</f>
        <v>BUY</v>
      </c>
      <c r="K580" s="8" t="s">
        <v>301</v>
      </c>
      <c r="L580" s="3">
        <v>25000</v>
      </c>
      <c r="M580" s="3"/>
      <c r="N580" s="216">
        <f>LS[[#This Row],[Amount]]/LS[[#This Row],[Unit]]</f>
        <v>11.859582542694497</v>
      </c>
      <c r="O580" s="1">
        <f t="shared" si="113"/>
        <v>2108</v>
      </c>
      <c r="P580" s="1">
        <f>SUMIFS(LS[[#Headers],[Unit]]:LS[[#This Row],[Unit]],LS[[#Headers],[Investor ID]]:LS[[#This Row],[Investor ID]],LS[[#This Row],[Investor ID]])</f>
        <v>52702</v>
      </c>
      <c r="Q580" s="3">
        <v>21080</v>
      </c>
      <c r="R580" s="6">
        <f>LS[[#This Row],[Amount]]-LS[[#This Row],[Unit Capital]]</f>
        <v>3920</v>
      </c>
      <c r="S58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11.859132480740767</v>
      </c>
      <c r="T580" s="216">
        <f t="shared" si="114"/>
        <v>12.552</v>
      </c>
      <c r="U58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80" s="3" cm="1">
        <f t="array" ref="V580">IF(LS[[#This Row],[B/S]]="S",ABS(LS[[#This Row],[Unit]])*(INDEX(LS[NAV at Cost (Average)],MATCH(CONCATENATE((LS[[#This Row],[Frequency]]-1),LS[[#This Row],[Investor ID]]),LS[Unique Code],0),0)),0)</f>
        <v>0</v>
      </c>
      <c r="W580" s="3">
        <f>IF(LS[[#This Row],[BO Transfer]]="YES",LS[[#This Row],[Unit]],)</f>
        <v>0</v>
      </c>
      <c r="X580" s="3">
        <f>SUMIFS(LS[[#Headers],[BO UNIT TRANSFER]]:LS[[#This Row],[BO UNIT TRANSFER]],LS[[#Headers],[Investor ID]]:LS[[#This Row],[Investor ID]],LS[[#This Row],[Investor ID]])</f>
        <v>0</v>
      </c>
    </row>
    <row r="581" spans="2:24">
      <c r="B581" s="8">
        <v>2025</v>
      </c>
      <c r="C581" s="8">
        <v>8</v>
      </c>
      <c r="D581" s="8">
        <v>3</v>
      </c>
      <c r="E581" s="291">
        <f>DATE(LS[[#This Row],[Year]],LS[[#This Row],[Month]],LS[[#This Row],[Day]])</f>
        <v>45872</v>
      </c>
      <c r="F581" t="str" cm="1">
        <f t="array" ref="F581">INDEX(INVESTORS_LIST[INVESTOR NAME],MATCH(LS[[#This Row],[Investor ID]],INVESTORS_LIST[INVESTOR CODE],0),)</f>
        <v>MUHAMMAD SHOHIDUZZAMAN</v>
      </c>
      <c r="G581" s="25" t="s">
        <v>1043</v>
      </c>
      <c r="H581" s="8">
        <f>COUNTIF(LS[[#Headers],[Investor ID]]:LS[[#This Row],[Investor ID]],LS[[#This Row],[Investor ID]])</f>
        <v>1</v>
      </c>
      <c r="I581" s="8" t="str">
        <f>CONCATENATE(LS[[#This Row],[Frequency]],LS[[#This Row],[Investor ID]])</f>
        <v>1A00470</v>
      </c>
      <c r="J581" s="8" t="str">
        <f>IF(LS[[#This Row],[B/S]]="B","BUY",(IF(LS[[#This Row],[B/S]]="S","SELL"," ")))</f>
        <v>BUY</v>
      </c>
      <c r="K581" s="8" t="s">
        <v>301</v>
      </c>
      <c r="L581" s="3">
        <v>4000000</v>
      </c>
      <c r="M581" s="3" t="s">
        <v>957</v>
      </c>
      <c r="N581" s="216">
        <f>LS[[#This Row],[Amount]]/LS[[#This Row],[Unit]]</f>
        <v>11.858984811605202</v>
      </c>
      <c r="O581" s="1">
        <f t="shared" si="113"/>
        <v>337297</v>
      </c>
      <c r="P581" s="1">
        <f>SUMIFS(LS[[#Headers],[Unit]]:LS[[#This Row],[Unit]],LS[[#Headers],[Investor ID]]:LS[[#This Row],[Investor ID]],LS[[#This Row],[Investor ID]])</f>
        <v>337297</v>
      </c>
      <c r="Q581" s="3">
        <v>3372970</v>
      </c>
      <c r="R581" s="6">
        <f>LS[[#This Row],[Amount]]-LS[[#This Row],[Unit Capital]]</f>
        <v>627030</v>
      </c>
      <c r="S58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11.858984811605202</v>
      </c>
      <c r="T581" s="216">
        <f t="shared" si="114"/>
        <v>12.552</v>
      </c>
      <c r="U58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81" s="3" cm="1">
        <f t="array" ref="V581">IF(LS[[#This Row],[B/S]]="S",ABS(LS[[#This Row],[Unit]])*(INDEX(LS[NAV at Cost (Average)],MATCH(CONCATENATE((LS[[#This Row],[Frequency]]-1),LS[[#This Row],[Investor ID]]),LS[Unique Code],0),0)),0)</f>
        <v>0</v>
      </c>
      <c r="W581" s="3">
        <f>IF(LS[[#This Row],[BO Transfer]]="YES",LS[[#This Row],[Unit]],)</f>
        <v>337297</v>
      </c>
      <c r="X581" s="3">
        <f>SUMIFS(LS[[#Headers],[BO UNIT TRANSFER]]:LS[[#This Row],[BO UNIT TRANSFER]],LS[[#Headers],[Investor ID]]:LS[[#This Row],[Investor ID]],LS[[#This Row],[Investor ID]])</f>
        <v>337297</v>
      </c>
    </row>
    <row r="582" spans="2:24">
      <c r="B582" s="8">
        <v>2025</v>
      </c>
      <c r="C582" s="8">
        <v>8</v>
      </c>
      <c r="D582" s="8">
        <v>4</v>
      </c>
      <c r="E582" s="291">
        <f>DATE(LS[[#This Row],[Year]],LS[[#This Row],[Month]],LS[[#This Row],[Day]])</f>
        <v>45873</v>
      </c>
      <c r="F582" t="str" cm="1">
        <f t="array" ref="F582">INDEX(INVESTORS_LIST[INVESTOR NAME],MATCH(LS[[#This Row],[Investor ID]],INVESTORS_LIST[INVESTOR CODE],0),)</f>
        <v>MD. NIAZ MURSHED</v>
      </c>
      <c r="G582" s="25" t="s">
        <v>238</v>
      </c>
      <c r="H582" s="8">
        <f>COUNTIF(LS[[#Headers],[Investor ID]]:LS[[#This Row],[Investor ID]],LS[[#This Row],[Investor ID]])</f>
        <v>5</v>
      </c>
      <c r="I582" s="8" t="str">
        <f>CONCATENATE(LS[[#This Row],[Frequency]],LS[[#This Row],[Investor ID]])</f>
        <v>5A00198</v>
      </c>
      <c r="J582" s="8" t="str">
        <f>IF(LS[[#This Row],[B/S]]="B","BUY",(IF(LS[[#This Row],[B/S]]="S","SELL"," ")))</f>
        <v>SELL</v>
      </c>
      <c r="K582" s="8" t="s">
        <v>866</v>
      </c>
      <c r="L582" s="3">
        <v>-46557.45</v>
      </c>
      <c r="M582" s="3"/>
      <c r="N582" s="216">
        <f>LS[[#This Row],[Amount]]/LS[[#This Row],[Unit]]</f>
        <v>12.092844155844155</v>
      </c>
      <c r="O582" s="1">
        <f t="shared" si="113"/>
        <v>-3850</v>
      </c>
      <c r="P582" s="1">
        <f>SUMIFS(LS[[#Headers],[Unit]]:LS[[#This Row],[Unit]],LS[[#Headers],[Investor ID]]:LS[[#This Row],[Investor ID]],LS[[#This Row],[Investor ID]])</f>
        <v>40472</v>
      </c>
      <c r="Q582" s="3">
        <v>-38500</v>
      </c>
      <c r="R582" s="6">
        <f>LS[[#This Row],[Amount]]-LS[[#This Row],[Unit Capital]]</f>
        <v>-8057.4499999999971</v>
      </c>
      <c r="S58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9.8502100532854922</v>
      </c>
      <c r="T582" s="216">
        <f t="shared" si="114"/>
        <v>12.552</v>
      </c>
      <c r="U582" s="3">
        <f>IF(LS[[#This Row],[B/S]]="B",0,ABS(LS[[#This Row],[Unit]])*(LS[[#This Row],[NAV (Strike Rate)]]-INDEX(LS[NAV at Cost (Average)],MATCH(CONCATENATE(LS[[#This Row],[Frequency]]-1,LS[[#This Row],[Investor ID]]),LS[Unique Code],0),)))</f>
        <v>8634.1412948508514</v>
      </c>
      <c r="V582" s="3" cm="1">
        <f t="array" ref="V582">IF(LS[[#This Row],[B/S]]="S",ABS(LS[[#This Row],[Unit]])*(INDEX(LS[NAV at Cost (Average)],MATCH(CONCATENATE((LS[[#This Row],[Frequency]]-1),LS[[#This Row],[Investor ID]]),LS[Unique Code],0),0)),0)</f>
        <v>37923.308705149146</v>
      </c>
      <c r="W582" s="3">
        <f>IF(LS[[#This Row],[BO Transfer]]="YES",LS[[#This Row],[Unit]],)</f>
        <v>0</v>
      </c>
      <c r="X582" s="3">
        <f>SUMIFS(LS[[#Headers],[BO UNIT TRANSFER]]:LS[[#This Row],[BO UNIT TRANSFER]],LS[[#Headers],[Investor ID]]:LS[[#This Row],[Investor ID]],LS[[#This Row],[Investor ID]])</f>
        <v>0</v>
      </c>
    </row>
    <row r="583" spans="2:24">
      <c r="B583" s="8">
        <v>2025</v>
      </c>
      <c r="C583" s="8">
        <v>8</v>
      </c>
      <c r="D583" s="8">
        <v>6</v>
      </c>
      <c r="E583" s="291">
        <f>DATE(LS[[#This Row],[Year]],LS[[#This Row],[Month]],LS[[#This Row],[Day]])</f>
        <v>45875</v>
      </c>
      <c r="F583" t="str" cm="1">
        <f t="array" ref="F583">INDEX(INVESTORS_LIST[INVESTOR NAME],MATCH(LS[[#This Row],[Investor ID]],INVESTORS_LIST[INVESTOR CODE],0),)</f>
        <v>MD. MUSTAFA KAMAL</v>
      </c>
      <c r="G583" s="25" t="s">
        <v>1390</v>
      </c>
      <c r="H583" s="8">
        <f>COUNTIF(LS[[#Headers],[Investor ID]]:LS[[#This Row],[Investor ID]],LS[[#This Row],[Investor ID]])</f>
        <v>7</v>
      </c>
      <c r="I583" s="8" t="str">
        <f>CONCATENATE(LS[[#This Row],[Frequency]],LS[[#This Row],[Investor ID]])</f>
        <v>7A00597</v>
      </c>
      <c r="J583" s="8" t="str">
        <f>IF(LS[[#This Row],[B/S]]="B","BUY",(IF(LS[[#This Row],[B/S]]="S","SELL"," ")))</f>
        <v>SELL</v>
      </c>
      <c r="K583" s="8" t="s">
        <v>866</v>
      </c>
      <c r="L583" s="3">
        <v>-637377.99</v>
      </c>
      <c r="M583" s="3"/>
      <c r="N583" s="216">
        <f>LS[[#This Row],[Amount]]/LS[[#This Row],[Unit]]</f>
        <v>12.094000037949224</v>
      </c>
      <c r="O583" s="1">
        <f t="shared" si="113"/>
        <v>-52702</v>
      </c>
      <c r="P583" s="1">
        <f>SUMIFS(LS[[#Headers],[Unit]]:LS[[#This Row],[Unit]],LS[[#Headers],[Investor ID]]:LS[[#This Row],[Investor ID]],LS[[#This Row],[Investor ID]])</f>
        <v>0</v>
      </c>
      <c r="Q583" s="3">
        <v>-527020</v>
      </c>
      <c r="R583" s="6">
        <f>LS[[#This Row],[Amount]]-LS[[#This Row],[Unit Capital]]</f>
        <v>-110357.98999999999</v>
      </c>
      <c r="S58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83" s="216">
        <f t="shared" si="114"/>
        <v>12.552</v>
      </c>
      <c r="U583" s="3">
        <f>IF(LS[[#This Row],[B/S]]="B",0,ABS(LS[[#This Row],[Unit]])*(LS[[#This Row],[NAV (Strike Rate)]]-INDEX(LS[NAV at Cost (Average)],MATCH(CONCATENATE(LS[[#This Row],[Frequency]]-1,LS[[#This Row],[Investor ID]]),LS[Unique Code],0),)))</f>
        <v>12377.990000000082</v>
      </c>
      <c r="V583" s="3" cm="1">
        <f t="array" ref="V583">IF(LS[[#This Row],[B/S]]="S",ABS(LS[[#This Row],[Unit]])*(INDEX(LS[NAV at Cost (Average)],MATCH(CONCATENATE((LS[[#This Row],[Frequency]]-1),LS[[#This Row],[Investor ID]]),LS[Unique Code],0),0)),0)</f>
        <v>624999.99999999988</v>
      </c>
      <c r="W583" s="3">
        <f>IF(LS[[#This Row],[BO Transfer]]="YES",LS[[#This Row],[Unit]],)</f>
        <v>0</v>
      </c>
      <c r="X583" s="3">
        <f>SUMIFS(LS[[#Headers],[BO UNIT TRANSFER]]:LS[[#This Row],[BO UNIT TRANSFER]],LS[[#Headers],[Investor ID]]:LS[[#This Row],[Investor ID]],LS[[#This Row],[Investor ID]])</f>
        <v>0</v>
      </c>
    </row>
    <row r="584" spans="2:24">
      <c r="B584" s="8">
        <v>2025</v>
      </c>
      <c r="C584" s="8">
        <v>8</v>
      </c>
      <c r="D584" s="8">
        <v>6</v>
      </c>
      <c r="E584" s="291">
        <f>DATE(LS[[#This Row],[Year]],LS[[#This Row],[Month]],LS[[#This Row],[Day]])</f>
        <v>45875</v>
      </c>
      <c r="F584" t="str" cm="1">
        <f t="array" ref="F584">INDEX(INVESTORS_LIST[INVESTOR NAME],MATCH(LS[[#This Row],[Investor ID]],INVESTORS_LIST[INVESTOR CODE],0),)</f>
        <v>SHAHRIAR AZAD SHASHI</v>
      </c>
      <c r="G584" s="25" t="s">
        <v>1107</v>
      </c>
      <c r="H584" s="8">
        <f>COUNTIF(LS[[#Headers],[Investor ID]]:LS[[#This Row],[Investor ID]],LS[[#This Row],[Investor ID]])</f>
        <v>2</v>
      </c>
      <c r="I584" s="8" t="str">
        <f>CONCATENATE(LS[[#This Row],[Frequency]],LS[[#This Row],[Investor ID]])</f>
        <v>2A00497</v>
      </c>
      <c r="J584" s="8" t="str">
        <f>IF(LS[[#This Row],[B/S]]="B","BUY",(IF(LS[[#This Row],[B/S]]="S","SELL"," ")))</f>
        <v>SELL</v>
      </c>
      <c r="K584" s="8" t="s">
        <v>866</v>
      </c>
      <c r="L584" s="3">
        <v>-54072.27</v>
      </c>
      <c r="M584" s="3"/>
      <c r="N584" s="216">
        <f>LS[[#This Row],[Amount]]/LS[[#This Row],[Unit]]</f>
        <v>12.09399910534556</v>
      </c>
      <c r="O584" s="1">
        <f t="shared" si="113"/>
        <v>-4471</v>
      </c>
      <c r="P584" s="1">
        <f>SUMIFS(LS[[#Headers],[Unit]]:LS[[#This Row],[Unit]],LS[[#Headers],[Investor ID]]:LS[[#This Row],[Investor ID]],LS[[#This Row],[Investor ID]])</f>
        <v>33000</v>
      </c>
      <c r="Q584" s="3">
        <v>-44710</v>
      </c>
      <c r="R584" s="6">
        <f>LS[[#This Row],[Amount]]-LS[[#This Row],[Unit Capital]]</f>
        <v>-9362.2699999999968</v>
      </c>
      <c r="S58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10.674921939633316</v>
      </c>
      <c r="T584" s="216">
        <f t="shared" si="114"/>
        <v>12.552</v>
      </c>
      <c r="U584" s="3">
        <f>IF(LS[[#This Row],[B/S]]="B",0,ABS(LS[[#This Row],[Unit]])*(LS[[#This Row],[NAV (Strike Rate)]]-INDEX(LS[NAV at Cost (Average)],MATCH(CONCATENATE(LS[[#This Row],[Frequency]]-1,LS[[#This Row],[Investor ID]]),LS[Unique Code],0),)))</f>
        <v>6344.6940078994412</v>
      </c>
      <c r="V584" s="3" cm="1">
        <f t="array" ref="V584">IF(LS[[#This Row],[B/S]]="S",ABS(LS[[#This Row],[Unit]])*(INDEX(LS[NAV at Cost (Average)],MATCH(CONCATENATE((LS[[#This Row],[Frequency]]-1),LS[[#This Row],[Investor ID]]),LS[Unique Code],0),0)),0)</f>
        <v>47727.575992100559</v>
      </c>
      <c r="W584" s="3">
        <f>IF(LS[[#This Row],[BO Transfer]]="YES",LS[[#This Row],[Unit]],)</f>
        <v>0</v>
      </c>
      <c r="X584" s="3">
        <f>SUMIFS(LS[[#Headers],[BO UNIT TRANSFER]]:LS[[#This Row],[BO UNIT TRANSFER]],LS[[#Headers],[Investor ID]]:LS[[#This Row],[Investor ID]],LS[[#This Row],[Investor ID]])</f>
        <v>0</v>
      </c>
    </row>
    <row r="585" spans="2:24">
      <c r="B585" s="8">
        <v>2025</v>
      </c>
      <c r="C585" s="8">
        <v>8</v>
      </c>
      <c r="D585" s="8">
        <v>6</v>
      </c>
      <c r="E585" s="291">
        <f>DATE(LS[[#This Row],[Year]],LS[[#This Row],[Month]],LS[[#This Row],[Day]])</f>
        <v>45875</v>
      </c>
      <c r="F585" t="str" cm="1">
        <f t="array" ref="F585">INDEX(INVESTORS_LIST[INVESTOR NAME],MATCH(LS[[#This Row],[Investor ID]],INVESTORS_LIST[INVESTOR CODE],0),)</f>
        <v>MD. NIAZ MURSHED</v>
      </c>
      <c r="G585" s="25" t="s">
        <v>238</v>
      </c>
      <c r="H585" s="8">
        <f>COUNTIF(LS[[#Headers],[Investor ID]]:LS[[#This Row],[Investor ID]],LS[[#This Row],[Investor ID]])</f>
        <v>6</v>
      </c>
      <c r="I585" s="8" t="str">
        <f>CONCATENATE(LS[[#This Row],[Frequency]],LS[[#This Row],[Investor ID]])</f>
        <v>6A00198</v>
      </c>
      <c r="J585" s="8" t="str">
        <f>IF(LS[[#This Row],[B/S]]="B","BUY",(IF(LS[[#This Row],[B/S]]="S","SELL"," ")))</f>
        <v>SELL</v>
      </c>
      <c r="K585" s="8" t="s">
        <v>866</v>
      </c>
      <c r="L585" s="3">
        <v>-100000</v>
      </c>
      <c r="M585" s="3"/>
      <c r="N585" s="216">
        <f>LS[[#This Row],[Amount]]/LS[[#This Row],[Unit]]</f>
        <v>12.093360744951022</v>
      </c>
      <c r="O585" s="1">
        <f t="shared" si="113"/>
        <v>-8269</v>
      </c>
      <c r="P585" s="1">
        <f>SUMIFS(LS[[#Headers],[Unit]]:LS[[#This Row],[Unit]],LS[[#Headers],[Investor ID]]:LS[[#This Row],[Investor ID]],LS[[#This Row],[Investor ID]])</f>
        <v>32203</v>
      </c>
      <c r="Q585" s="3">
        <v>-82690</v>
      </c>
      <c r="R585" s="6">
        <f>LS[[#This Row],[Amount]]-LS[[#This Row],[Unit Capital]]</f>
        <v>-17310</v>
      </c>
      <c r="S58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9.8502100532854922</v>
      </c>
      <c r="T585" s="216">
        <f t="shared" si="114"/>
        <v>12.552</v>
      </c>
      <c r="U585" s="3">
        <f>IF(LS[[#This Row],[B/S]]="B",0,ABS(LS[[#This Row],[Unit]])*(LS[[#This Row],[NAV (Strike Rate)]]-INDEX(LS[NAV at Cost (Average)],MATCH(CONCATENATE(LS[[#This Row],[Frequency]]-1,LS[[#This Row],[Investor ID]]),LS[Unique Code],0),)))</f>
        <v>18548.613069382271</v>
      </c>
      <c r="V585" s="3" cm="1">
        <f t="array" ref="V585">IF(LS[[#This Row],[B/S]]="S",ABS(LS[[#This Row],[Unit]])*(INDEX(LS[NAV at Cost (Average)],MATCH(CONCATENATE((LS[[#This Row],[Frequency]]-1),LS[[#This Row],[Investor ID]]),LS[Unique Code],0),0)),0)</f>
        <v>81451.386930617737</v>
      </c>
      <c r="W585" s="3">
        <f>IF(LS[[#This Row],[BO Transfer]]="YES",LS[[#This Row],[Unit]],)</f>
        <v>0</v>
      </c>
      <c r="X585" s="3">
        <f>SUMIFS(LS[[#Headers],[BO UNIT TRANSFER]]:LS[[#This Row],[BO UNIT TRANSFER]],LS[[#Headers],[Investor ID]]:LS[[#This Row],[Investor ID]],LS[[#This Row],[Investor ID]])</f>
        <v>0</v>
      </c>
    </row>
    <row r="586" spans="2:24">
      <c r="B586" s="8">
        <v>2025</v>
      </c>
      <c r="C586" s="8">
        <v>8</v>
      </c>
      <c r="D586" s="8">
        <v>7</v>
      </c>
      <c r="E586" s="291">
        <f>DATE(LS[[#This Row],[Year]],LS[[#This Row],[Month]],LS[[#This Row],[Day]])</f>
        <v>45876</v>
      </c>
      <c r="F586" t="str" cm="1">
        <f t="array" ref="F586">INDEX(INVESTORS_LIST[INVESTOR NAME],MATCH(LS[[#This Row],[Investor ID]],INVESTORS_LIST[INVESTOR CODE],0),)</f>
        <v>SHEIKH ASHRAFUL HAQUE</v>
      </c>
      <c r="G586" s="25" t="s">
        <v>1492</v>
      </c>
      <c r="H586" s="8">
        <f>COUNTIF(LS[[#Headers],[Investor ID]]:LS[[#This Row],[Investor ID]],LS[[#This Row],[Investor ID]])</f>
        <v>1</v>
      </c>
      <c r="I586" s="8" t="str">
        <f>CONCATENATE(LS[[#This Row],[Frequency]],LS[[#This Row],[Investor ID]])</f>
        <v>1A00654</v>
      </c>
      <c r="J586" s="8" t="str">
        <f>IF(LS[[#This Row],[B/S]]="B","BUY",(IF(LS[[#This Row],[B/S]]="S","SELL"," ")))</f>
        <v>BUY</v>
      </c>
      <c r="K586" s="8" t="s">
        <v>301</v>
      </c>
      <c r="L586" s="3">
        <v>500000</v>
      </c>
      <c r="M586" s="3"/>
      <c r="N586" s="216">
        <f>LS[[#This Row],[Amount]]/LS[[#This Row],[Unit]]</f>
        <v>12.093945770747164</v>
      </c>
      <c r="O586" s="1">
        <f t="shared" ref="O586:O593" si="115">Q586/10</f>
        <v>41343</v>
      </c>
      <c r="P586" s="1">
        <f>SUMIFS(LS[[#Headers],[Unit]]:LS[[#This Row],[Unit]],LS[[#Headers],[Investor ID]]:LS[[#This Row],[Investor ID]],LS[[#This Row],[Investor ID]])</f>
        <v>41343</v>
      </c>
      <c r="Q586" s="3">
        <v>413430</v>
      </c>
      <c r="R586" s="6">
        <f>LS[[#This Row],[Amount]]-LS[[#This Row],[Unit Capital]]</f>
        <v>86570</v>
      </c>
      <c r="S58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12.093945770747164</v>
      </c>
      <c r="T586" s="216">
        <f t="shared" ref="T586:T593" si="116">IFERROR(NAV_MKT,0)</f>
        <v>12.552</v>
      </c>
      <c r="U58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86" s="3" cm="1">
        <f t="array" ref="V586">IF(LS[[#This Row],[B/S]]="S",ABS(LS[[#This Row],[Unit]])*(INDEX(LS[NAV at Cost (Average)],MATCH(CONCATENATE((LS[[#This Row],[Frequency]]-1),LS[[#This Row],[Investor ID]]),LS[Unique Code],0),0)),0)</f>
        <v>0</v>
      </c>
      <c r="W586" s="3">
        <f>IF(LS[[#This Row],[BO Transfer]]="YES",LS[[#This Row],[Unit]],)</f>
        <v>0</v>
      </c>
      <c r="X586" s="3">
        <f>SUMIFS(LS[[#Headers],[BO UNIT TRANSFER]]:LS[[#This Row],[BO UNIT TRANSFER]],LS[[#Headers],[Investor ID]]:LS[[#This Row],[Investor ID]],LS[[#This Row],[Investor ID]])</f>
        <v>0</v>
      </c>
    </row>
    <row r="587" spans="2:24">
      <c r="B587" s="8">
        <v>2025</v>
      </c>
      <c r="C587" s="8">
        <v>8</v>
      </c>
      <c r="D587" s="8">
        <v>12</v>
      </c>
      <c r="E587" s="291">
        <f>DATE(LS[[#This Row],[Year]],LS[[#This Row],[Month]],LS[[#This Row],[Day]])</f>
        <v>45881</v>
      </c>
      <c r="F587" t="str" cm="1">
        <f t="array" ref="F587">INDEX(INVESTORS_LIST[INVESTOR NAME],MATCH(LS[[#This Row],[Investor ID]],INVESTORS_LIST[INVESTOR CODE],0),)</f>
        <v>MD KAMRUL ISLAM</v>
      </c>
      <c r="G587" s="25" t="s">
        <v>221</v>
      </c>
      <c r="H587" s="8">
        <f>COUNTIF(LS[[#Headers],[Investor ID]]:LS[[#This Row],[Investor ID]],LS[[#This Row],[Investor ID]])</f>
        <v>7</v>
      </c>
      <c r="I587" s="8" t="str">
        <f>CONCATENATE(LS[[#This Row],[Frequency]],LS[[#This Row],[Investor ID]])</f>
        <v>7A00189</v>
      </c>
      <c r="J587" s="8" t="str">
        <f>IF(LS[[#This Row],[B/S]]="B","BUY",(IF(LS[[#This Row],[B/S]]="S","SELL"," ")))</f>
        <v>SELL</v>
      </c>
      <c r="K587" s="8" t="s">
        <v>866</v>
      </c>
      <c r="L587" s="3">
        <v>-459994.48</v>
      </c>
      <c r="M587" s="3"/>
      <c r="N587" s="216">
        <f>LS[[#This Row],[Amount]]/LS[[#This Row],[Unit]]</f>
        <v>12.06100002621988</v>
      </c>
      <c r="O587" s="1">
        <f t="shared" si="115"/>
        <v>-38139</v>
      </c>
      <c r="P587" s="1">
        <f>SUMIFS(LS[[#Headers],[Unit]]:LS[[#This Row],[Unit]],LS[[#Headers],[Investor ID]]:LS[[#This Row],[Investor ID]],LS[[#This Row],[Investor ID]])</f>
        <v>0</v>
      </c>
      <c r="Q587" s="3">
        <v>-381390</v>
      </c>
      <c r="R587" s="6">
        <f>LS[[#This Row],[Amount]]-LS[[#This Row],[Unit Capital]]</f>
        <v>-78604.479999999981</v>
      </c>
      <c r="S58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87" s="216">
        <f t="shared" si="116"/>
        <v>12.552</v>
      </c>
      <c r="U587" s="3">
        <f>IF(LS[[#This Row],[B/S]]="B",0,ABS(LS[[#This Row],[Unit]])*(LS[[#This Row],[NAV (Strike Rate)]]-INDEX(LS[NAV at Cost (Average)],MATCH(CONCATENATE(LS[[#This Row],[Frequency]]-1,LS[[#This Row],[Investor ID]]),LS[Unique Code],0),)))</f>
        <v>59994.479999999945</v>
      </c>
      <c r="V587" s="3" cm="1">
        <f t="array" ref="V587">IF(LS[[#This Row],[B/S]]="S",ABS(LS[[#This Row],[Unit]])*(INDEX(LS[NAV at Cost (Average)],MATCH(CONCATENATE((LS[[#This Row],[Frequency]]-1),LS[[#This Row],[Investor ID]]),LS[Unique Code],0),0)),0)</f>
        <v>400000.00000000006</v>
      </c>
      <c r="W587" s="3">
        <f>IF(LS[[#This Row],[BO Transfer]]="YES",LS[[#This Row],[Unit]],)</f>
        <v>0</v>
      </c>
      <c r="X587" s="3">
        <f>SUMIFS(LS[[#Headers],[BO UNIT TRANSFER]]:LS[[#This Row],[BO UNIT TRANSFER]],LS[[#Headers],[Investor ID]]:LS[[#This Row],[Investor ID]],LS[[#This Row],[Investor ID]])</f>
        <v>0</v>
      </c>
    </row>
    <row r="588" spans="2:24">
      <c r="B588" s="8">
        <v>2025</v>
      </c>
      <c r="C588" s="8">
        <v>8</v>
      </c>
      <c r="D588" s="8">
        <v>12</v>
      </c>
      <c r="E588" s="291">
        <f>DATE(LS[[#This Row],[Year]],LS[[#This Row],[Month]],LS[[#This Row],[Day]])</f>
        <v>45881</v>
      </c>
      <c r="F588" t="str" cm="1">
        <f t="array" ref="F588">INDEX(INVESTORS_LIST[INVESTOR NAME],MATCH(LS[[#This Row],[Investor ID]],INVESTORS_LIST[INVESTOR CODE],0),)</f>
        <v>TANVIR AHMED SIDDIQUI</v>
      </c>
      <c r="G588" s="25" t="s">
        <v>39</v>
      </c>
      <c r="H588" s="8">
        <f>COUNTIF(LS[[#Headers],[Investor ID]]:LS[[#This Row],[Investor ID]],LS[[#This Row],[Investor ID]])</f>
        <v>8</v>
      </c>
      <c r="I588" s="8" t="str">
        <f>CONCATENATE(LS[[#This Row],[Frequency]],LS[[#This Row],[Investor ID]])</f>
        <v>8A00032</v>
      </c>
      <c r="J588" s="8" t="str">
        <f>IF(LS[[#This Row],[B/S]]="B","BUY",(IF(LS[[#This Row],[B/S]]="S","SELL"," ")))</f>
        <v>SELL</v>
      </c>
      <c r="K588" s="8" t="s">
        <v>866</v>
      </c>
      <c r="L588" s="3">
        <v>-317879.71999999997</v>
      </c>
      <c r="M588" s="3"/>
      <c r="N588" s="216">
        <f>LS[[#This Row],[Amount]]/LS[[#This Row],[Unit]]</f>
        <v>12.061000151768097</v>
      </c>
      <c r="O588" s="1">
        <f t="shared" si="115"/>
        <v>-26356</v>
      </c>
      <c r="P588" s="1">
        <f>SUMIFS(LS[[#Headers],[Unit]]:LS[[#This Row],[Unit]],LS[[#Headers],[Investor ID]]:LS[[#This Row],[Investor ID]],LS[[#This Row],[Investor ID]])</f>
        <v>0</v>
      </c>
      <c r="Q588" s="3">
        <v>-263560</v>
      </c>
      <c r="R588" s="6">
        <f>LS[[#This Row],[Amount]]-LS[[#This Row],[Unit Capital]]</f>
        <v>-54319.719999999972</v>
      </c>
      <c r="S58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588" s="216">
        <f t="shared" si="116"/>
        <v>12.552</v>
      </c>
      <c r="U588" s="3">
        <f>IF(LS[[#This Row],[B/S]]="B",0,ABS(LS[[#This Row],[Unit]])*(LS[[#This Row],[NAV (Strike Rate)]]-INDEX(LS[NAV at Cost (Average)],MATCH(CONCATENATE(LS[[#This Row],[Frequency]]-1,LS[[#This Row],[Investor ID]]),LS[Unique Code],0),)))</f>
        <v>53949.919999999947</v>
      </c>
      <c r="V588" s="3" cm="1">
        <f t="array" ref="V588">IF(LS[[#This Row],[B/S]]="S",ABS(LS[[#This Row],[Unit]])*(INDEX(LS[NAV at Cost (Average)],MATCH(CONCATENATE((LS[[#This Row],[Frequency]]-1),LS[[#This Row],[Investor ID]]),LS[Unique Code],0),0)),0)</f>
        <v>263929.8</v>
      </c>
      <c r="W588" s="3">
        <f>IF(LS[[#This Row],[BO Transfer]]="YES",LS[[#This Row],[Unit]],)</f>
        <v>0</v>
      </c>
      <c r="X588" s="3">
        <f>SUMIFS(LS[[#Headers],[BO UNIT TRANSFER]]:LS[[#This Row],[BO UNIT TRANSFER]],LS[[#Headers],[Investor ID]]:LS[[#This Row],[Investor ID]],LS[[#This Row],[Investor ID]])</f>
        <v>0</v>
      </c>
    </row>
    <row r="589" spans="2:24">
      <c r="B589" s="8">
        <v>2025</v>
      </c>
      <c r="C589" s="8">
        <v>8</v>
      </c>
      <c r="D589" s="8">
        <v>18</v>
      </c>
      <c r="E589" s="291">
        <f>DATE(LS[[#This Row],[Year]],LS[[#This Row],[Month]],LS[[#This Row],[Day]])</f>
        <v>45887</v>
      </c>
      <c r="F589" t="str" cm="1">
        <f t="array" ref="F589">INDEX(INVESTORS_LIST[INVESTOR NAME],MATCH(LS[[#This Row],[Investor ID]],INVESTORS_LIST[INVESTOR CODE],0),)</f>
        <v>SHUVA SAHA</v>
      </c>
      <c r="G589" s="25" t="s">
        <v>60</v>
      </c>
      <c r="H589" s="8">
        <f>COUNTIF(LS[[#Headers],[Investor ID]]:LS[[#This Row],[Investor ID]],LS[[#This Row],[Investor ID]])</f>
        <v>17</v>
      </c>
      <c r="I589" s="8" t="str">
        <f>CONCATENATE(LS[[#This Row],[Frequency]],LS[[#This Row],[Investor ID]])</f>
        <v>17A00053</v>
      </c>
      <c r="J589" s="8" t="str">
        <f>IF(LS[[#This Row],[B/S]]="B","BUY",(IF(LS[[#This Row],[B/S]]="S","SELL"," ")))</f>
        <v>BUY</v>
      </c>
      <c r="K589" s="8" t="s">
        <v>301</v>
      </c>
      <c r="L589" s="3">
        <v>150000</v>
      </c>
      <c r="M589" s="3" t="s">
        <v>957</v>
      </c>
      <c r="N589" s="216">
        <f>LS[[#This Row],[Amount]]/LS[[#This Row],[Unit]]</f>
        <v>12.080212611741967</v>
      </c>
      <c r="O589" s="1">
        <f t="shared" si="115"/>
        <v>12417</v>
      </c>
      <c r="P589" s="1">
        <f>SUMIFS(LS[[#Headers],[Unit]]:LS[[#This Row],[Unit]],LS[[#Headers],[Investor ID]]:LS[[#This Row],[Investor ID]],LS[[#This Row],[Investor ID]])</f>
        <v>374339</v>
      </c>
      <c r="Q589" s="3">
        <v>124170</v>
      </c>
      <c r="R589" s="6">
        <f>LS[[#This Row],[Amount]]-LS[[#This Row],[Unit Capital]]</f>
        <v>25830</v>
      </c>
      <c r="S58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10.284673852685168</v>
      </c>
      <c r="T589" s="216">
        <f t="shared" si="116"/>
        <v>12.552</v>
      </c>
      <c r="U58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89" s="3" cm="1">
        <f t="array" ref="V589">IF(LS[[#This Row],[B/S]]="S",ABS(LS[[#This Row],[Unit]])*(INDEX(LS[NAV at Cost (Average)],MATCH(CONCATENATE((LS[[#This Row],[Frequency]]-1),LS[[#This Row],[Investor ID]]),LS[Unique Code],0),0)),0)</f>
        <v>0</v>
      </c>
      <c r="W589" s="3">
        <f>IF(LS[[#This Row],[BO Transfer]]="YES",LS[[#This Row],[Unit]],)</f>
        <v>12417</v>
      </c>
      <c r="X589" s="3">
        <f>SUMIFS(LS[[#Headers],[BO UNIT TRANSFER]]:LS[[#This Row],[BO UNIT TRANSFER]],LS[[#Headers],[Investor ID]]:LS[[#This Row],[Investor ID]],LS[[#This Row],[Investor ID]])</f>
        <v>19438</v>
      </c>
    </row>
    <row r="590" spans="2:24">
      <c r="B590" s="8">
        <v>2025</v>
      </c>
      <c r="C590" s="8">
        <v>8</v>
      </c>
      <c r="D590" s="8">
        <v>20</v>
      </c>
      <c r="E590" s="291">
        <f>DATE(LS[[#This Row],[Year]],LS[[#This Row],[Month]],LS[[#This Row],[Day]])</f>
        <v>45889</v>
      </c>
      <c r="F590" t="str" cm="1">
        <f t="array" ref="F590">INDEX(INVESTORS_LIST[INVESTOR NAME],MATCH(LS[[#This Row],[Investor ID]],INVESTORS_LIST[INVESTOR CODE],0),)</f>
        <v>MD. NIAZ MURSHED</v>
      </c>
      <c r="G590" s="25" t="s">
        <v>238</v>
      </c>
      <c r="H590" s="8">
        <f>COUNTIF(LS[[#Headers],[Investor ID]]:LS[[#This Row],[Investor ID]],LS[[#This Row],[Investor ID]])</f>
        <v>7</v>
      </c>
      <c r="I590" s="8" t="str">
        <f>CONCATENATE(LS[[#This Row],[Frequency]],LS[[#This Row],[Investor ID]])</f>
        <v>7A00198</v>
      </c>
      <c r="J590" s="8" t="str">
        <f>IF(LS[[#This Row],[B/S]]="B","BUY",(IF(LS[[#This Row],[B/S]]="S","SELL"," ")))</f>
        <v>SELL</v>
      </c>
      <c r="K590" s="8" t="s">
        <v>866</v>
      </c>
      <c r="L590" s="3">
        <v>-100000</v>
      </c>
      <c r="M590" s="3"/>
      <c r="N590" s="216">
        <f>LS[[#This Row],[Amount]]/LS[[#This Row],[Unit]]</f>
        <v>12.080212611741967</v>
      </c>
      <c r="O590" s="1">
        <f t="shared" si="115"/>
        <v>-8278</v>
      </c>
      <c r="P590" s="1">
        <f>SUMIFS(LS[[#Headers],[Unit]]:LS[[#This Row],[Unit]],LS[[#Headers],[Investor ID]]:LS[[#This Row],[Investor ID]],LS[[#This Row],[Investor ID]])</f>
        <v>23925</v>
      </c>
      <c r="Q590" s="3">
        <v>-82780</v>
      </c>
      <c r="R590" s="6">
        <f>LS[[#This Row],[Amount]]-LS[[#This Row],[Unit Capital]]</f>
        <v>-17220</v>
      </c>
      <c r="S59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9.8502100532854922</v>
      </c>
      <c r="T590" s="216">
        <f t="shared" si="116"/>
        <v>12.552</v>
      </c>
      <c r="U590" s="3">
        <f>IF(LS[[#This Row],[B/S]]="B",0,ABS(LS[[#This Row],[Unit]])*(LS[[#This Row],[NAV (Strike Rate)]]-INDEX(LS[NAV at Cost (Average)],MATCH(CONCATENATE(LS[[#This Row],[Frequency]]-1,LS[[#This Row],[Investor ID]]),LS[Unique Code],0),)))</f>
        <v>18459.961178902697</v>
      </c>
      <c r="V590" s="3" cm="1">
        <f t="array" ref="V590">IF(LS[[#This Row],[B/S]]="S",ABS(LS[[#This Row],[Unit]])*(INDEX(LS[NAV at Cost (Average)],MATCH(CONCATENATE((LS[[#This Row],[Frequency]]-1),LS[[#This Row],[Investor ID]]),LS[Unique Code],0),0)),0)</f>
        <v>81540.038821097303</v>
      </c>
      <c r="W590" s="3">
        <f>IF(LS[[#This Row],[BO Transfer]]="YES",LS[[#This Row],[Unit]],)</f>
        <v>0</v>
      </c>
      <c r="X590" s="3">
        <f>SUMIFS(LS[[#Headers],[BO UNIT TRANSFER]]:LS[[#This Row],[BO UNIT TRANSFER]],LS[[#Headers],[Investor ID]]:LS[[#This Row],[Investor ID]],LS[[#This Row],[Investor ID]])</f>
        <v>0</v>
      </c>
    </row>
    <row r="591" spans="2:24">
      <c r="B591" s="8">
        <v>2025</v>
      </c>
      <c r="C591" s="8">
        <v>8</v>
      </c>
      <c r="D591" s="8">
        <v>27</v>
      </c>
      <c r="E591" s="291">
        <f>DATE(LS[[#This Row],[Year]],LS[[#This Row],[Month]],LS[[#This Row],[Day]])</f>
        <v>45896</v>
      </c>
      <c r="F591" t="str" cm="1">
        <f t="array" ref="F591">INDEX(INVESTORS_LIST[INVESTOR NAME],MATCH(LS[[#This Row],[Investor ID]],INVESTORS_LIST[INVESTOR CODE],0),)</f>
        <v>BILKISS ARA</v>
      </c>
      <c r="G591" s="25" t="s">
        <v>81</v>
      </c>
      <c r="H591" s="8">
        <f>COUNTIF(LS[[#Headers],[Investor ID]]:LS[[#This Row],[Investor ID]],LS[[#This Row],[Investor ID]])</f>
        <v>7</v>
      </c>
      <c r="I591" s="8" t="str">
        <f>CONCATENATE(LS[[#This Row],[Frequency]],LS[[#This Row],[Investor ID]])</f>
        <v>7A00073</v>
      </c>
      <c r="J591" s="51" t="str">
        <f>IF(LS[[#This Row],[B/S]]="B","BUY",(IF(LS[[#This Row],[B/S]]="S","SELL"," ")))</f>
        <v>BUY</v>
      </c>
      <c r="K591" s="8" t="s">
        <v>301</v>
      </c>
      <c r="L591" s="3">
        <v>200000</v>
      </c>
      <c r="M591" s="3" t="s">
        <v>957</v>
      </c>
      <c r="N591" s="216">
        <f>LS[[#This Row],[Amount]]/LS[[#This Row],[Unit]]</f>
        <v>12.136658777838461</v>
      </c>
      <c r="O591" s="1">
        <f t="shared" si="115"/>
        <v>16479</v>
      </c>
      <c r="P591" s="1">
        <f>SUMIFS(LS[[#Headers],[Unit]]:LS[[#This Row],[Unit]],LS[[#Headers],[Investor ID]]:LS[[#This Row],[Investor ID]],LS[[#This Row],[Investor ID]])</f>
        <v>117666</v>
      </c>
      <c r="Q591" s="3">
        <v>164790</v>
      </c>
      <c r="R591" s="6">
        <f>LS[[#This Row],[Amount]]-LS[[#This Row],[Unit Capital]]</f>
        <v>35210</v>
      </c>
      <c r="S59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10.770879084869108</v>
      </c>
      <c r="T591" s="216">
        <f t="shared" si="116"/>
        <v>12.552</v>
      </c>
      <c r="U59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91" s="3" cm="1">
        <f t="array" ref="V591">IF(LS[[#This Row],[B/S]]="S",ABS(LS[[#This Row],[Unit]])*(INDEX(LS[NAV at Cost (Average)],MATCH(CONCATENATE((LS[[#This Row],[Frequency]]-1),LS[[#This Row],[Investor ID]]),LS[Unique Code],0),0)),0)</f>
        <v>0</v>
      </c>
      <c r="W591" s="3">
        <f>IF(LS[[#This Row],[BO Transfer]]="YES",LS[[#This Row],[Unit]],)</f>
        <v>16479</v>
      </c>
      <c r="X591" s="3">
        <f>SUMIFS(LS[[#Headers],[BO UNIT TRANSFER]]:LS[[#This Row],[BO UNIT TRANSFER]],LS[[#Headers],[Investor ID]]:LS[[#This Row],[Investor ID]],LS[[#This Row],[Investor ID]])</f>
        <v>117666</v>
      </c>
    </row>
    <row r="592" spans="2:24">
      <c r="B592" s="8">
        <v>2025</v>
      </c>
      <c r="C592" s="8">
        <v>8</v>
      </c>
      <c r="D592" s="8">
        <v>27</v>
      </c>
      <c r="E592" s="291">
        <f>DATE(LS[[#This Row],[Year]],LS[[#This Row],[Month]],LS[[#This Row],[Day]])</f>
        <v>45896</v>
      </c>
      <c r="F592" t="str" cm="1">
        <f t="array" ref="F592">INDEX(INVESTORS_LIST[INVESTOR NAME],MATCH(LS[[#This Row],[Investor ID]],INVESTORS_LIST[INVESTOR CODE],0),)</f>
        <v>SHUVA SAHA</v>
      </c>
      <c r="G592" s="25" t="s">
        <v>60</v>
      </c>
      <c r="H592" s="8">
        <f>COUNTIF(LS[[#Headers],[Investor ID]]:LS[[#This Row],[Investor ID]],LS[[#This Row],[Investor ID]])</f>
        <v>18</v>
      </c>
      <c r="I592" s="8" t="str">
        <f>CONCATENATE(LS[[#This Row],[Frequency]],LS[[#This Row],[Investor ID]])</f>
        <v>18A00053</v>
      </c>
      <c r="J592" s="8" t="str">
        <f>IF(LS[[#This Row],[B/S]]="B","BUY",(IF(LS[[#This Row],[B/S]]="S","SELL"," ")))</f>
        <v>BUY</v>
      </c>
      <c r="K592" s="8" t="s">
        <v>301</v>
      </c>
      <c r="L592" s="3">
        <v>1000000</v>
      </c>
      <c r="M592" s="3" t="s">
        <v>957</v>
      </c>
      <c r="N592" s="216">
        <f>LS[[#This Row],[Amount]]/LS[[#This Row],[Unit]]</f>
        <v>12.137984609035517</v>
      </c>
      <c r="O592" s="1">
        <f t="shared" si="115"/>
        <v>82386</v>
      </c>
      <c r="P592" s="1">
        <f>SUMIFS(LS[[#Headers],[Unit]]:LS[[#This Row],[Unit]],LS[[#Headers],[Investor ID]]:LS[[#This Row],[Investor ID]],LS[[#This Row],[Investor ID]])</f>
        <v>456725</v>
      </c>
      <c r="Q592" s="3">
        <v>823860</v>
      </c>
      <c r="R592" s="6">
        <f>LS[[#This Row],[Amount]]-LS[[#This Row],[Unit Capital]]</f>
        <v>176140</v>
      </c>
      <c r="S59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10.618981937359052</v>
      </c>
      <c r="T592" s="216">
        <f t="shared" si="116"/>
        <v>12.552</v>
      </c>
      <c r="U59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92" s="3" cm="1">
        <f t="array" ref="V592">IF(LS[[#This Row],[B/S]]="S",ABS(LS[[#This Row],[Unit]])*(INDEX(LS[NAV at Cost (Average)],MATCH(CONCATENATE((LS[[#This Row],[Frequency]]-1),LS[[#This Row],[Investor ID]]),LS[Unique Code],0),0)),0)</f>
        <v>0</v>
      </c>
      <c r="W592" s="3">
        <f>IF(LS[[#This Row],[BO Transfer]]="YES",LS[[#This Row],[Unit]],)</f>
        <v>82386</v>
      </c>
      <c r="X592" s="3">
        <f>SUMIFS(LS[[#Headers],[BO UNIT TRANSFER]]:LS[[#This Row],[BO UNIT TRANSFER]],LS[[#Headers],[Investor ID]]:LS[[#This Row],[Investor ID]],LS[[#This Row],[Investor ID]])</f>
        <v>101824</v>
      </c>
    </row>
    <row r="593" spans="2:24">
      <c r="B593" s="8">
        <v>2025</v>
      </c>
      <c r="C593" s="8">
        <v>8</v>
      </c>
      <c r="D593" s="8">
        <v>27</v>
      </c>
      <c r="E593" s="291">
        <f>DATE(LS[[#This Row],[Year]],LS[[#This Row],[Month]],LS[[#This Row],[Day]])</f>
        <v>45896</v>
      </c>
      <c r="F593" t="str" cm="1">
        <f t="array" ref="F593">INDEX(INVESTORS_LIST[INVESTOR NAME],MATCH(LS[[#This Row],[Investor ID]],INVESTORS_LIST[INVESTOR CODE],0),)</f>
        <v>ARIF HASAN KHAN</v>
      </c>
      <c r="G593" s="25" t="s">
        <v>1436</v>
      </c>
      <c r="H593" s="8">
        <f>COUNTIF(LS[[#Headers],[Investor ID]]:LS[[#This Row],[Investor ID]],LS[[#This Row],[Investor ID]])</f>
        <v>1</v>
      </c>
      <c r="I593" s="8" t="str">
        <f>CONCATENATE(LS[[#This Row],[Frequency]],LS[[#This Row],[Investor ID]])</f>
        <v>1A00621</v>
      </c>
      <c r="J593" s="8" t="str">
        <f>IF(LS[[#This Row],[B/S]]="B","BUY",(IF(LS[[#This Row],[B/S]]="S","SELL"," ")))</f>
        <v>BUY</v>
      </c>
      <c r="K593" s="8" t="s">
        <v>301</v>
      </c>
      <c r="L593" s="3">
        <v>200000</v>
      </c>
      <c r="M593" s="3"/>
      <c r="N593" s="216">
        <f>LS[[#This Row],[Amount]]/LS[[#This Row],[Unit]]</f>
        <v>12.136658777838461</v>
      </c>
      <c r="O593" s="1">
        <f t="shared" si="115"/>
        <v>16479</v>
      </c>
      <c r="P593" s="1">
        <f>SUMIFS(LS[[#Headers],[Unit]]:LS[[#This Row],[Unit]],LS[[#Headers],[Investor ID]]:LS[[#This Row],[Investor ID]],LS[[#This Row],[Investor ID]])</f>
        <v>16479</v>
      </c>
      <c r="Q593" s="3">
        <v>164790</v>
      </c>
      <c r="R593" s="6">
        <f>LS[[#This Row],[Amount]]-LS[[#This Row],[Unit Capital]]</f>
        <v>35210</v>
      </c>
      <c r="S59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12.136658777838461</v>
      </c>
      <c r="T593" s="216">
        <f t="shared" si="116"/>
        <v>12.552</v>
      </c>
      <c r="U59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93" s="3" cm="1">
        <f t="array" ref="V593">IF(LS[[#This Row],[B/S]]="S",ABS(LS[[#This Row],[Unit]])*(INDEX(LS[NAV at Cost (Average)],MATCH(CONCATENATE((LS[[#This Row],[Frequency]]-1),LS[[#This Row],[Investor ID]]),LS[Unique Code],0),0)),0)</f>
        <v>0</v>
      </c>
      <c r="W593" s="3">
        <f>IF(LS[[#This Row],[BO Transfer]]="YES",LS[[#This Row],[Unit]],)</f>
        <v>0</v>
      </c>
      <c r="X593" s="3">
        <f>SUMIFS(LS[[#Headers],[BO UNIT TRANSFER]]:LS[[#This Row],[BO UNIT TRANSFER]],LS[[#Headers],[Investor ID]]:LS[[#This Row],[Investor ID]],LS[[#This Row],[Investor ID]])</f>
        <v>0</v>
      </c>
    </row>
    <row r="594" spans="2:24">
      <c r="B594" s="8">
        <v>2025</v>
      </c>
      <c r="C594" s="8">
        <v>8</v>
      </c>
      <c r="D594" s="8">
        <v>27</v>
      </c>
      <c r="E594" s="291">
        <f>DATE(LS[[#This Row],[Year]],LS[[#This Row],[Month]],LS[[#This Row],[Day]])</f>
        <v>45896</v>
      </c>
      <c r="F594" t="str" cm="1">
        <f t="array" ref="F594">INDEX(INVESTORS_LIST[INVESTOR NAME],MATCH(LS[[#This Row],[Investor ID]],INVESTORS_LIST[INVESTOR CODE],0),)</f>
        <v>KAZI AHSAN MARUF</v>
      </c>
      <c r="G594" s="25" t="s">
        <v>62</v>
      </c>
      <c r="H594" s="8">
        <f>COUNTIF(LS[[#Headers],[Investor ID]]:LS[[#This Row],[Investor ID]],LS[[#This Row],[Investor ID]])</f>
        <v>10</v>
      </c>
      <c r="I594" s="8" t="str">
        <f>CONCATENATE(LS[[#This Row],[Frequency]],LS[[#This Row],[Investor ID]])</f>
        <v>10A00055</v>
      </c>
      <c r="J594" s="8" t="str">
        <f>IF(LS[[#This Row],[B/S]]="B","BUY",(IF(LS[[#This Row],[B/S]]="S","SELL"," ")))</f>
        <v>BUY</v>
      </c>
      <c r="K594" s="8" t="s">
        <v>301</v>
      </c>
      <c r="L594" s="3">
        <v>810000</v>
      </c>
      <c r="M594" s="3" t="s">
        <v>957</v>
      </c>
      <c r="N594" s="216">
        <f>LS[[#This Row],[Amount]]/LS[[#This Row],[Unit]]</f>
        <v>12.137013395666637</v>
      </c>
      <c r="O594" s="1">
        <f t="shared" ref="O594:O599" si="117">Q594/10</f>
        <v>66738</v>
      </c>
      <c r="P594" s="1">
        <f>SUMIFS(LS[[#Headers],[Unit]]:LS[[#This Row],[Unit]],LS[[#Headers],[Investor ID]]:LS[[#This Row],[Investor ID]],LS[[#This Row],[Investor ID]])</f>
        <v>240889</v>
      </c>
      <c r="Q594" s="3">
        <v>667380</v>
      </c>
      <c r="R594" s="6">
        <f>LS[[#This Row],[Amount]]-LS[[#This Row],[Unit Capital]]</f>
        <v>142620</v>
      </c>
      <c r="S59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10.936078349143701</v>
      </c>
      <c r="T594" s="216">
        <f t="shared" ref="T594:T599" si="118">IFERROR(NAV_MKT,0)</f>
        <v>12.552</v>
      </c>
      <c r="U59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94" s="3" cm="1">
        <f t="array" ref="V594">IF(LS[[#This Row],[B/S]]="S",ABS(LS[[#This Row],[Unit]])*(INDEX(LS[NAV at Cost (Average)],MATCH(CONCATENATE((LS[[#This Row],[Frequency]]-1),LS[[#This Row],[Investor ID]]),LS[Unique Code],0),0)),0)</f>
        <v>0</v>
      </c>
      <c r="W594" s="3">
        <f>IF(LS[[#This Row],[BO Transfer]]="YES",LS[[#This Row],[Unit]],)</f>
        <v>66738</v>
      </c>
      <c r="X594" s="3">
        <f>SUMIFS(LS[[#Headers],[BO UNIT TRANSFER]]:LS[[#This Row],[BO UNIT TRANSFER]],LS[[#Headers],[Investor ID]]:LS[[#This Row],[Investor ID]],LS[[#This Row],[Investor ID]])</f>
        <v>66738</v>
      </c>
    </row>
    <row r="595" spans="2:24">
      <c r="B595" s="8">
        <v>2025</v>
      </c>
      <c r="C595" s="8">
        <v>8</v>
      </c>
      <c r="D595" s="8">
        <v>27</v>
      </c>
      <c r="E595" s="291">
        <f>DATE(LS[[#This Row],[Year]],LS[[#This Row],[Month]],LS[[#This Row],[Day]])</f>
        <v>45896</v>
      </c>
      <c r="F595" t="str" cm="1">
        <f t="array" ref="F595">INDEX(INVESTORS_LIST[INVESTOR NAME],MATCH(LS[[#This Row],[Investor ID]],INVESTORS_LIST[INVESTOR CODE],0),)</f>
        <v>SHUVA SAHA</v>
      </c>
      <c r="G595" s="25" t="s">
        <v>60</v>
      </c>
      <c r="H595" s="8">
        <f>COUNTIF(LS[[#Headers],[Investor ID]]:LS[[#This Row],[Investor ID]],LS[[#This Row],[Investor ID]])</f>
        <v>19</v>
      </c>
      <c r="I595" s="8" t="str">
        <f>CONCATENATE(LS[[#This Row],[Frequency]],LS[[#This Row],[Investor ID]])</f>
        <v>19A00053</v>
      </c>
      <c r="J595" s="8" t="str">
        <f>IF(LS[[#This Row],[B/S]]="B","BUY",(IF(LS[[#This Row],[B/S]]="S","SELL"," ")))</f>
        <v>BUY</v>
      </c>
      <c r="K595" s="8" t="s">
        <v>301</v>
      </c>
      <c r="L595" s="3">
        <v>80000</v>
      </c>
      <c r="M595" s="3" t="s">
        <v>957</v>
      </c>
      <c r="N595" s="216">
        <f>LS[[#This Row],[Amount]]/LS[[#This Row],[Unit]]</f>
        <v>12.137763617053558</v>
      </c>
      <c r="O595" s="1">
        <f t="shared" si="117"/>
        <v>6591</v>
      </c>
      <c r="P595" s="1">
        <f>SUMIFS(LS[[#Headers],[Unit]]:LS[[#This Row],[Unit]],LS[[#Headers],[Investor ID]]:LS[[#This Row],[Investor ID]],LS[[#This Row],[Investor ID]])</f>
        <v>463316</v>
      </c>
      <c r="Q595" s="3">
        <v>65910</v>
      </c>
      <c r="R595" s="6">
        <f>LS[[#This Row],[Amount]]-LS[[#This Row],[Unit Capital]]</f>
        <v>14090</v>
      </c>
      <c r="S59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10.640587688187573</v>
      </c>
      <c r="T595" s="216">
        <f t="shared" si="118"/>
        <v>12.552</v>
      </c>
      <c r="U59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95" s="3" cm="1">
        <f t="array" ref="V595">IF(LS[[#This Row],[B/S]]="S",ABS(LS[[#This Row],[Unit]])*(INDEX(LS[NAV at Cost (Average)],MATCH(CONCATENATE((LS[[#This Row],[Frequency]]-1),LS[[#This Row],[Investor ID]]),LS[Unique Code],0),0)),0)</f>
        <v>0</v>
      </c>
      <c r="W595" s="3">
        <f>IF(LS[[#This Row],[BO Transfer]]="YES",LS[[#This Row],[Unit]],)</f>
        <v>6591</v>
      </c>
      <c r="X595" s="3">
        <f>SUMIFS(LS[[#Headers],[BO UNIT TRANSFER]]:LS[[#This Row],[BO UNIT TRANSFER]],LS[[#Headers],[Investor ID]]:LS[[#This Row],[Investor ID]],LS[[#This Row],[Investor ID]])</f>
        <v>108415</v>
      </c>
    </row>
    <row r="596" spans="2:24">
      <c r="B596" s="8">
        <v>2025</v>
      </c>
      <c r="C596" s="8">
        <v>8</v>
      </c>
      <c r="D596" s="8">
        <v>28</v>
      </c>
      <c r="E596" s="291">
        <f>DATE(LS[[#This Row],[Year]],LS[[#This Row],[Month]],LS[[#This Row],[Day]])</f>
        <v>45897</v>
      </c>
      <c r="F596" t="str" cm="1">
        <f t="array" ref="F596">INDEX(INVESTORS_LIST[INVESTOR NAME],MATCH(LS[[#This Row],[Investor ID]],INVESTORS_LIST[INVESTOR CODE],0),)</f>
        <v>SHARMIN AKTER</v>
      </c>
      <c r="G596" s="25" t="s">
        <v>1428</v>
      </c>
      <c r="H596" s="8">
        <f>COUNTIF(LS[[#Headers],[Investor ID]]:LS[[#This Row],[Investor ID]],LS[[#This Row],[Investor ID]])</f>
        <v>1</v>
      </c>
      <c r="I596" s="8" t="str">
        <f>CONCATENATE(LS[[#This Row],[Frequency]],LS[[#This Row],[Investor ID]])</f>
        <v>1A00617</v>
      </c>
      <c r="J596" s="51" t="str">
        <f>IF(LS[[#This Row],[B/S]]="B","BUY",(IF(LS[[#This Row],[B/S]]="S","SELL"," ")))</f>
        <v>BUY</v>
      </c>
      <c r="K596" s="8" t="s">
        <v>301</v>
      </c>
      <c r="L596" s="3">
        <v>300000</v>
      </c>
      <c r="M596" s="3"/>
      <c r="N596" s="216">
        <f>LS[[#This Row],[Amount]]/LS[[#This Row],[Unit]]</f>
        <v>12.136904280281577</v>
      </c>
      <c r="O596" s="1">
        <f t="shared" si="117"/>
        <v>24718</v>
      </c>
      <c r="P596" s="1">
        <f>SUMIFS(LS[[#Headers],[Unit]]:LS[[#This Row],[Unit]],LS[[#Headers],[Investor ID]]:LS[[#This Row],[Investor ID]],LS[[#This Row],[Investor ID]])</f>
        <v>24718</v>
      </c>
      <c r="Q596" s="3">
        <v>247180</v>
      </c>
      <c r="R596" s="6">
        <f>LS[[#This Row],[Amount]]-LS[[#This Row],[Unit Capital]]</f>
        <v>52820</v>
      </c>
      <c r="S59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12.136904280281577</v>
      </c>
      <c r="T596" s="216">
        <f t="shared" si="118"/>
        <v>12.552</v>
      </c>
      <c r="U59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96" s="3" cm="1">
        <f t="array" ref="V596">IF(LS[[#This Row],[B/S]]="S",ABS(LS[[#This Row],[Unit]])*(INDEX(LS[NAV at Cost (Average)],MATCH(CONCATENATE((LS[[#This Row],[Frequency]]-1),LS[[#This Row],[Investor ID]]),LS[Unique Code],0),0)),0)</f>
        <v>0</v>
      </c>
      <c r="W596" s="3">
        <f>IF(LS[[#This Row],[BO Transfer]]="YES",LS[[#This Row],[Unit]],)</f>
        <v>0</v>
      </c>
      <c r="X596" s="3">
        <f>SUMIFS(LS[[#Headers],[BO UNIT TRANSFER]]:LS[[#This Row],[BO UNIT TRANSFER]],LS[[#Headers],[Investor ID]]:LS[[#This Row],[Investor ID]],LS[[#This Row],[Investor ID]])</f>
        <v>0</v>
      </c>
    </row>
    <row r="597" spans="2:24">
      <c r="B597" s="8">
        <v>2025</v>
      </c>
      <c r="C597" s="8">
        <v>8</v>
      </c>
      <c r="D597" s="8">
        <v>28</v>
      </c>
      <c r="E597" s="291">
        <f>DATE(LS[[#This Row],[Year]],LS[[#This Row],[Month]],LS[[#This Row],[Day]])</f>
        <v>45897</v>
      </c>
      <c r="F597" t="str" cm="1">
        <f t="array" ref="F597">INDEX(INVESTORS_LIST[INVESTOR NAME],MATCH(LS[[#This Row],[Investor ID]],INVESTORS_LIST[INVESTOR CODE],0),)</f>
        <v>SHARMIN AKTER</v>
      </c>
      <c r="G597" s="25" t="s">
        <v>1428</v>
      </c>
      <c r="H597" s="8">
        <f>COUNTIF(LS[[#Headers],[Investor ID]]:LS[[#This Row],[Investor ID]],LS[[#This Row],[Investor ID]])</f>
        <v>2</v>
      </c>
      <c r="I597" s="8" t="str">
        <f>CONCATENATE(LS[[#This Row],[Frequency]],LS[[#This Row],[Investor ID]])</f>
        <v>2A00617</v>
      </c>
      <c r="J597" s="8" t="str">
        <f>IF(LS[[#This Row],[B/S]]="B","BUY",(IF(LS[[#This Row],[B/S]]="S","SELL"," ")))</f>
        <v>BUY</v>
      </c>
      <c r="K597" s="8" t="s">
        <v>301</v>
      </c>
      <c r="L597" s="3">
        <v>200000</v>
      </c>
      <c r="M597" s="3"/>
      <c r="N597" s="216">
        <f>LS[[#This Row],[Amount]]/LS[[#This Row],[Unit]]</f>
        <v>12.136658777838461</v>
      </c>
      <c r="O597" s="1">
        <f t="shared" si="117"/>
        <v>16479</v>
      </c>
      <c r="P597" s="1">
        <f>SUMIFS(LS[[#Headers],[Unit]]:LS[[#This Row],[Unit]],LS[[#Headers],[Investor ID]]:LS[[#This Row],[Investor ID]],LS[[#This Row],[Investor ID]])</f>
        <v>41197</v>
      </c>
      <c r="Q597" s="3">
        <v>164790</v>
      </c>
      <c r="R597" s="6">
        <f>LS[[#This Row],[Amount]]-LS[[#This Row],[Unit Capital]]</f>
        <v>35210</v>
      </c>
      <c r="S59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12.136806078112485</v>
      </c>
      <c r="T597" s="216">
        <f t="shared" si="118"/>
        <v>12.552</v>
      </c>
      <c r="U59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97" s="3" cm="1">
        <f t="array" ref="V597">IF(LS[[#This Row],[B/S]]="S",ABS(LS[[#This Row],[Unit]])*(INDEX(LS[NAV at Cost (Average)],MATCH(CONCATENATE((LS[[#This Row],[Frequency]]-1),LS[[#This Row],[Investor ID]]),LS[Unique Code],0),0)),0)</f>
        <v>0</v>
      </c>
      <c r="W597" s="3">
        <f>IF(LS[[#This Row],[BO Transfer]]="YES",LS[[#This Row],[Unit]],)</f>
        <v>0</v>
      </c>
      <c r="X597" s="3">
        <f>SUMIFS(LS[[#Headers],[BO UNIT TRANSFER]]:LS[[#This Row],[BO UNIT TRANSFER]],LS[[#Headers],[Investor ID]]:LS[[#This Row],[Investor ID]],LS[[#This Row],[Investor ID]])</f>
        <v>0</v>
      </c>
    </row>
    <row r="598" spans="2:24">
      <c r="B598" s="8">
        <v>2025</v>
      </c>
      <c r="C598" s="8">
        <v>8</v>
      </c>
      <c r="D598" s="8">
        <v>28</v>
      </c>
      <c r="E598" s="291">
        <f>DATE(LS[[#This Row],[Year]],LS[[#This Row],[Month]],LS[[#This Row],[Day]])</f>
        <v>45897</v>
      </c>
      <c r="F598" t="str" cm="1">
        <f t="array" ref="F598">INDEX(INVESTORS_LIST[INVESTOR NAME],MATCH(LS[[#This Row],[Investor ID]],INVESTORS_LIST[INVESTOR CODE],0),)</f>
        <v>MD. MUSTAFA KAMAL</v>
      </c>
      <c r="G598" s="25" t="s">
        <v>1390</v>
      </c>
      <c r="H598" s="8">
        <f>COUNTIF(LS[[#Headers],[Investor ID]]:LS[[#This Row],[Investor ID]],LS[[#This Row],[Investor ID]])</f>
        <v>8</v>
      </c>
      <c r="I598" s="8" t="str">
        <f>CONCATENATE(LS[[#This Row],[Frequency]],LS[[#This Row],[Investor ID]])</f>
        <v>8A00597</v>
      </c>
      <c r="J598" s="8" t="str">
        <f>IF(LS[[#This Row],[B/S]]="B","BUY",(IF(LS[[#This Row],[B/S]]="S","SELL"," ")))</f>
        <v>BUY</v>
      </c>
      <c r="K598" s="8" t="s">
        <v>301</v>
      </c>
      <c r="L598" s="3">
        <v>300000</v>
      </c>
      <c r="M598" s="3"/>
      <c r="N598" s="216">
        <f>LS[[#This Row],[Amount]]/LS[[#This Row],[Unit]]</f>
        <v>12.136904280281577</v>
      </c>
      <c r="O598" s="1">
        <f t="shared" si="117"/>
        <v>24718</v>
      </c>
      <c r="P598" s="1">
        <f>SUMIFS(LS[[#Headers],[Unit]]:LS[[#This Row],[Unit]],LS[[#Headers],[Investor ID]]:LS[[#This Row],[Investor ID]],LS[[#This Row],[Investor ID]])</f>
        <v>24718</v>
      </c>
      <c r="Q598" s="3">
        <v>247180</v>
      </c>
      <c r="R598" s="6">
        <f>LS[[#This Row],[Amount]]-LS[[#This Row],[Unit Capital]]</f>
        <v>52820</v>
      </c>
      <c r="S59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12.136904280281577</v>
      </c>
      <c r="T598" s="216">
        <f t="shared" si="118"/>
        <v>12.552</v>
      </c>
      <c r="U59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98" s="3" cm="1">
        <f t="array" ref="V598">IF(LS[[#This Row],[B/S]]="S",ABS(LS[[#This Row],[Unit]])*(INDEX(LS[NAV at Cost (Average)],MATCH(CONCATENATE((LS[[#This Row],[Frequency]]-1),LS[[#This Row],[Investor ID]]),LS[Unique Code],0),0)),0)</f>
        <v>0</v>
      </c>
      <c r="W598" s="3">
        <f>IF(LS[[#This Row],[BO Transfer]]="YES",LS[[#This Row],[Unit]],)</f>
        <v>0</v>
      </c>
      <c r="X598" s="3">
        <f>SUMIFS(LS[[#Headers],[BO UNIT TRANSFER]]:LS[[#This Row],[BO UNIT TRANSFER]],LS[[#Headers],[Investor ID]]:LS[[#This Row],[Investor ID]],LS[[#This Row],[Investor ID]])</f>
        <v>0</v>
      </c>
    </row>
    <row r="599" spans="2:24">
      <c r="B599" s="8">
        <v>2025</v>
      </c>
      <c r="C599" s="8">
        <v>8</v>
      </c>
      <c r="D599" s="8">
        <v>28</v>
      </c>
      <c r="E599" s="291">
        <f>DATE(LS[[#This Row],[Year]],LS[[#This Row],[Month]],LS[[#This Row],[Day]])</f>
        <v>45897</v>
      </c>
      <c r="F599" t="str" cm="1">
        <f t="array" ref="F599">INDEX(INVESTORS_LIST[INVESTOR NAME],MATCH(LS[[#This Row],[Investor ID]],INVESTORS_LIST[INVESTOR CODE],0),)</f>
        <v>MD. MUSTAFA KAMAL</v>
      </c>
      <c r="G599" s="25" t="s">
        <v>1390</v>
      </c>
      <c r="H599" s="8">
        <f>COUNTIF(LS[[#Headers],[Investor ID]]:LS[[#This Row],[Investor ID]],LS[[#This Row],[Investor ID]])</f>
        <v>9</v>
      </c>
      <c r="I599" s="8" t="str">
        <f>CONCATENATE(LS[[#This Row],[Frequency]],LS[[#This Row],[Investor ID]])</f>
        <v>9A00597</v>
      </c>
      <c r="J599" s="8" t="str">
        <f>IF(LS[[#This Row],[B/S]]="B","BUY",(IF(LS[[#This Row],[B/S]]="S","SELL"," ")))</f>
        <v>BUY</v>
      </c>
      <c r="K599" s="8" t="s">
        <v>301</v>
      </c>
      <c r="L599" s="3">
        <v>100000</v>
      </c>
      <c r="M599" s="3"/>
      <c r="N599" s="216">
        <f>LS[[#This Row],[Amount]]/LS[[#This Row],[Unit]]</f>
        <v>12.137395314965408</v>
      </c>
      <c r="O599" s="1">
        <f t="shared" si="117"/>
        <v>8239</v>
      </c>
      <c r="P599" s="1">
        <f>SUMIFS(LS[[#Headers],[Unit]]:LS[[#This Row],[Unit]],LS[[#Headers],[Investor ID]]:LS[[#This Row],[Investor ID]],LS[[#This Row],[Investor ID]])</f>
        <v>32957</v>
      </c>
      <c r="Q599" s="3">
        <v>82390</v>
      </c>
      <c r="R599" s="6">
        <f>LS[[#This Row],[Amount]]-LS[[#This Row],[Unit Capital]]</f>
        <v>17610</v>
      </c>
      <c r="S59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12.137027035227721</v>
      </c>
      <c r="T599" s="216">
        <f t="shared" si="118"/>
        <v>12.552</v>
      </c>
      <c r="U59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599" s="3" cm="1">
        <f t="array" ref="V599">IF(LS[[#This Row],[B/S]]="S",ABS(LS[[#This Row],[Unit]])*(INDEX(LS[NAV at Cost (Average)],MATCH(CONCATENATE((LS[[#This Row],[Frequency]]-1),LS[[#This Row],[Investor ID]]),LS[Unique Code],0),0)),0)</f>
        <v>0</v>
      </c>
      <c r="W599" s="3">
        <f>IF(LS[[#This Row],[BO Transfer]]="YES",LS[[#This Row],[Unit]],)</f>
        <v>0</v>
      </c>
      <c r="X599" s="3">
        <f>SUMIFS(LS[[#Headers],[BO UNIT TRANSFER]]:LS[[#This Row],[BO UNIT TRANSFER]],LS[[#Headers],[Investor ID]]:LS[[#This Row],[Investor ID]],LS[[#This Row],[Investor ID]])</f>
        <v>0</v>
      </c>
    </row>
    <row r="600" spans="2:24">
      <c r="B600" s="8">
        <v>2025</v>
      </c>
      <c r="C600" s="8">
        <v>8</v>
      </c>
      <c r="D600" s="8">
        <v>28</v>
      </c>
      <c r="E600" s="291">
        <f>DATE(LS[[#This Row],[Year]],LS[[#This Row],[Month]],LS[[#This Row],[Day]])</f>
        <v>45897</v>
      </c>
      <c r="F600" t="str" cm="1">
        <f t="array" ref="F600">INDEX(INVESTORS_LIST[INVESTOR NAME],MATCH(LS[[#This Row],[Investor ID]],INVESTORS_LIST[INVESTOR CODE],0),)</f>
        <v>RAKIBUL HASSAN</v>
      </c>
      <c r="G600" s="25" t="s">
        <v>1500</v>
      </c>
      <c r="H600" s="8">
        <f>COUNTIF(LS[[#Headers],[Investor ID]]:LS[[#This Row],[Investor ID]],LS[[#This Row],[Investor ID]])</f>
        <v>1</v>
      </c>
      <c r="I600" s="8" t="str">
        <f>CONCATENATE(LS[[#This Row],[Frequency]],LS[[#This Row],[Investor ID]])</f>
        <v>1A00655</v>
      </c>
      <c r="J600" s="8" t="str">
        <f>IF(LS[[#This Row],[B/S]]="B","BUY",(IF(LS[[#This Row],[B/S]]="S","SELL"," ")))</f>
        <v>BUY</v>
      </c>
      <c r="K600" s="8" t="s">
        <v>301</v>
      </c>
      <c r="L600" s="3">
        <v>100000</v>
      </c>
      <c r="M600" s="3"/>
      <c r="N600" s="216">
        <f>LS[[#This Row],[Amount]]/LS[[#This Row],[Unit]]</f>
        <v>12.137395314965408</v>
      </c>
      <c r="O600" s="1">
        <f t="shared" ref="O600:O612" si="119">Q600/10</f>
        <v>8239</v>
      </c>
      <c r="P600" s="1">
        <f>SUMIFS(LS[[#Headers],[Unit]]:LS[[#This Row],[Unit]],LS[[#Headers],[Investor ID]]:LS[[#This Row],[Investor ID]],LS[[#This Row],[Investor ID]])</f>
        <v>8239</v>
      </c>
      <c r="Q600" s="3">
        <v>82390</v>
      </c>
      <c r="R600" s="6">
        <f>LS[[#This Row],[Amount]]-LS[[#This Row],[Unit Capital]]</f>
        <v>17610</v>
      </c>
      <c r="S60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12.137395314965408</v>
      </c>
      <c r="T600" s="216">
        <f t="shared" ref="T600:T612" si="120">IFERROR(NAV_MKT,0)</f>
        <v>12.552</v>
      </c>
      <c r="U60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00" s="3" cm="1">
        <f t="array" ref="V600">IF(LS[[#This Row],[B/S]]="S",ABS(LS[[#This Row],[Unit]])*(INDEX(LS[NAV at Cost (Average)],MATCH(CONCATENATE((LS[[#This Row],[Frequency]]-1),LS[[#This Row],[Investor ID]]),LS[Unique Code],0),0)),0)</f>
        <v>0</v>
      </c>
      <c r="W600" s="3">
        <f>IF(LS[[#This Row],[BO Transfer]]="YES",LS[[#This Row],[Unit]],)</f>
        <v>0</v>
      </c>
      <c r="X600" s="3">
        <f>SUMIFS(LS[[#Headers],[BO UNIT TRANSFER]]:LS[[#This Row],[BO UNIT TRANSFER]],LS[[#Headers],[Investor ID]]:LS[[#This Row],[Investor ID]],LS[[#This Row],[Investor ID]])</f>
        <v>0</v>
      </c>
    </row>
    <row r="601" spans="2:24">
      <c r="B601" s="8">
        <v>2025</v>
      </c>
      <c r="C601" s="8">
        <v>9</v>
      </c>
      <c r="D601" s="8">
        <v>1</v>
      </c>
      <c r="E601" s="291">
        <f>DATE(LS[[#This Row],[Year]],LS[[#This Row],[Month]],LS[[#This Row],[Day]])</f>
        <v>45901</v>
      </c>
      <c r="F601" t="str" cm="1">
        <f t="array" ref="F601">INDEX(INVESTORS_LIST[INVESTOR NAME],MATCH(LS[[#This Row],[Investor ID]],INVESTORS_LIST[INVESTOR CODE],0),)</f>
        <v>KHAN MUHAMMAD KAWSER AHMED</v>
      </c>
      <c r="G601" s="25" t="s">
        <v>1004</v>
      </c>
      <c r="H601" s="8">
        <f>COUNTIF(LS[[#Headers],[Investor ID]]:LS[[#This Row],[Investor ID]],LS[[#This Row],[Investor ID]])</f>
        <v>1</v>
      </c>
      <c r="I601" s="8" t="str">
        <f>CONCATENATE(LS[[#This Row],[Frequency]],LS[[#This Row],[Investor ID]])</f>
        <v>1A00449</v>
      </c>
      <c r="J601" s="8" t="str">
        <f>IF(LS[[#This Row],[B/S]]="B","BUY",(IF(LS[[#This Row],[B/S]]="S","SELL"," ")))</f>
        <v>BUY</v>
      </c>
      <c r="K601" s="8" t="s">
        <v>301</v>
      </c>
      <c r="L601" s="3">
        <v>10000000</v>
      </c>
      <c r="M601" s="3" t="s">
        <v>957</v>
      </c>
      <c r="N601" s="216">
        <f>LS[[#This Row],[Amount]]/LS[[#This Row],[Unit]]</f>
        <v>12.339996520120982</v>
      </c>
      <c r="O601" s="1">
        <f t="shared" si="119"/>
        <v>810373</v>
      </c>
      <c r="P601" s="1">
        <f>SUMIFS(LS[[#Headers],[Unit]]:LS[[#This Row],[Unit]],LS[[#Headers],[Investor ID]]:LS[[#This Row],[Investor ID]],LS[[#This Row],[Investor ID]])</f>
        <v>810373</v>
      </c>
      <c r="Q601" s="3">
        <v>8103730</v>
      </c>
      <c r="R601" s="6">
        <f>LS[[#This Row],[Amount]]-LS[[#This Row],[Unit Capital]]</f>
        <v>1896270</v>
      </c>
      <c r="S60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12.339996520120982</v>
      </c>
      <c r="T601" s="216">
        <f t="shared" si="120"/>
        <v>12.552</v>
      </c>
      <c r="U60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01" s="3" cm="1">
        <f t="array" ref="V601">IF(LS[[#This Row],[B/S]]="S",ABS(LS[[#This Row],[Unit]])*(INDEX(LS[NAV at Cost (Average)],MATCH(CONCATENATE((LS[[#This Row],[Frequency]]-1),LS[[#This Row],[Investor ID]]),LS[Unique Code],0),0)),0)</f>
        <v>0</v>
      </c>
      <c r="W601" s="3">
        <f>IF(LS[[#This Row],[BO Transfer]]="YES",LS[[#This Row],[Unit]],)</f>
        <v>810373</v>
      </c>
      <c r="X601" s="3">
        <f>SUMIFS(LS[[#Headers],[BO UNIT TRANSFER]]:LS[[#This Row],[BO UNIT TRANSFER]],LS[[#Headers],[Investor ID]]:LS[[#This Row],[Investor ID]],LS[[#This Row],[Investor ID]])</f>
        <v>810373</v>
      </c>
    </row>
    <row r="602" spans="2:24">
      <c r="B602" s="8">
        <v>2025</v>
      </c>
      <c r="C602" s="8">
        <v>9</v>
      </c>
      <c r="D602" s="8">
        <v>2</v>
      </c>
      <c r="E602" s="291">
        <f>DATE(LS[[#This Row],[Year]],LS[[#This Row],[Month]],LS[[#This Row],[Day]])</f>
        <v>45902</v>
      </c>
      <c r="F602" t="str" cm="1">
        <f t="array" ref="F602">INDEX(INVESTORS_LIST[INVESTOR NAME],MATCH(LS[[#This Row],[Investor ID]],INVESTORS_LIST[INVESTOR CODE],0),)</f>
        <v>MD. KAMRUL HASAN</v>
      </c>
      <c r="G602" s="25" t="s">
        <v>1472</v>
      </c>
      <c r="H602" s="8">
        <f>COUNTIF(LS[[#Headers],[Investor ID]]:LS[[#This Row],[Investor ID]],LS[[#This Row],[Investor ID]])</f>
        <v>3</v>
      </c>
      <c r="I602" s="8" t="str">
        <f>CONCATENATE(LS[[#This Row],[Frequency]],LS[[#This Row],[Investor ID]])</f>
        <v>3A00641</v>
      </c>
      <c r="J602" s="8" t="str">
        <f>IF(LS[[#This Row],[B/S]]="B","BUY",(IF(LS[[#This Row],[B/S]]="S","SELL"," ")))</f>
        <v>SELL</v>
      </c>
      <c r="K602" s="8" t="s">
        <v>866</v>
      </c>
      <c r="L602" s="3">
        <v>-170662.2</v>
      </c>
      <c r="M602" s="3"/>
      <c r="N602" s="216">
        <f>LS[[#This Row],[Amount]]/LS[[#This Row],[Unit]]</f>
        <v>12.340000000000002</v>
      </c>
      <c r="O602" s="1">
        <f t="shared" si="119"/>
        <v>-13830</v>
      </c>
      <c r="P602" s="1">
        <f>SUMIFS(LS[[#Headers],[Unit]]:LS[[#This Row],[Unit]],LS[[#Headers],[Investor ID]]:LS[[#This Row],[Investor ID]],LS[[#This Row],[Investor ID]])</f>
        <v>0</v>
      </c>
      <c r="Q602" s="3">
        <v>-138300</v>
      </c>
      <c r="R602" s="6">
        <f>LS[[#This Row],[Amount]]-LS[[#This Row],[Unit Capital]]</f>
        <v>-32362.200000000012</v>
      </c>
      <c r="S60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602" s="216">
        <f t="shared" si="120"/>
        <v>12.552</v>
      </c>
      <c r="U602" s="3">
        <f>IF(LS[[#This Row],[B/S]]="B",0,ABS(LS[[#This Row],[Unit]])*(LS[[#This Row],[NAV (Strike Rate)]]-INDEX(LS[NAV at Cost (Average)],MATCH(CONCATENATE(LS[[#This Row],[Frequency]]-1,LS[[#This Row],[Investor ID]]),LS[Unique Code],0),)))</f>
        <v>20662.200000000033</v>
      </c>
      <c r="V602" s="3" cm="1">
        <f t="array" ref="V602">IF(LS[[#This Row],[B/S]]="S",ABS(LS[[#This Row],[Unit]])*(INDEX(LS[NAV at Cost (Average)],MATCH(CONCATENATE((LS[[#This Row],[Frequency]]-1),LS[[#This Row],[Investor ID]]),LS[Unique Code],0),0)),0)</f>
        <v>150000</v>
      </c>
      <c r="W602" s="3">
        <f>IF(LS[[#This Row],[BO Transfer]]="YES",LS[[#This Row],[Unit]],)</f>
        <v>0</v>
      </c>
      <c r="X602" s="3">
        <f>SUMIFS(LS[[#Headers],[BO UNIT TRANSFER]]:LS[[#This Row],[BO UNIT TRANSFER]],LS[[#Headers],[Investor ID]]:LS[[#This Row],[Investor ID]],LS[[#This Row],[Investor ID]])</f>
        <v>0</v>
      </c>
    </row>
    <row r="603" spans="2:24">
      <c r="B603" s="8">
        <v>2025</v>
      </c>
      <c r="C603" s="8">
        <v>9</v>
      </c>
      <c r="D603" s="8">
        <v>2</v>
      </c>
      <c r="E603" s="291">
        <f>DATE(LS[[#This Row],[Year]],LS[[#This Row],[Month]],LS[[#This Row],[Day]])</f>
        <v>45902</v>
      </c>
      <c r="F603" t="str" cm="1">
        <f t="array" ref="F603">INDEX(INVESTORS_LIST[INVESTOR NAME],MATCH(LS[[#This Row],[Investor ID]],INVESTORS_LIST[INVESTOR CODE],0),)</f>
        <v>SHUVA SAHA</v>
      </c>
      <c r="G603" s="25" t="s">
        <v>60</v>
      </c>
      <c r="H603" s="8">
        <f>COUNTIF(LS[[#Headers],[Investor ID]]:LS[[#This Row],[Investor ID]],LS[[#This Row],[Investor ID]])</f>
        <v>20</v>
      </c>
      <c r="I603" s="8" t="str">
        <f>CONCATENATE(LS[[#This Row],[Frequency]],LS[[#This Row],[Investor ID]])</f>
        <v>20A00053</v>
      </c>
      <c r="J603" s="8" t="str">
        <f>IF(LS[[#This Row],[B/S]]="B","BUY",(IF(LS[[#This Row],[B/S]]="S","SELL"," ")))</f>
        <v>BUY</v>
      </c>
      <c r="K603" s="8" t="s">
        <v>301</v>
      </c>
      <c r="L603" s="3">
        <v>80000</v>
      </c>
      <c r="M603" s="3" t="s">
        <v>957</v>
      </c>
      <c r="N603" s="216">
        <f>LS[[#This Row],[Amount]]/LS[[#This Row],[Unit]]</f>
        <v>12.339966065093321</v>
      </c>
      <c r="O603" s="1">
        <f t="shared" si="119"/>
        <v>6483</v>
      </c>
      <c r="P603" s="1">
        <f>SUMIFS(LS[[#Headers],[Unit]]:LS[[#This Row],[Unit]],LS[[#Headers],[Investor ID]]:LS[[#This Row],[Investor ID]],LS[[#This Row],[Investor ID]])</f>
        <v>469799</v>
      </c>
      <c r="Q603" s="3">
        <v>64830</v>
      </c>
      <c r="R603" s="6">
        <f>LS[[#This Row],[Amount]]-LS[[#This Row],[Unit Capital]]</f>
        <v>15170</v>
      </c>
      <c r="S60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10.664038291567913</v>
      </c>
      <c r="T603" s="216">
        <f t="shared" si="120"/>
        <v>12.552</v>
      </c>
      <c r="U60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03" s="3" cm="1">
        <f t="array" ref="V603">IF(LS[[#This Row],[B/S]]="S",ABS(LS[[#This Row],[Unit]])*(INDEX(LS[NAV at Cost (Average)],MATCH(CONCATENATE((LS[[#This Row],[Frequency]]-1),LS[[#This Row],[Investor ID]]),LS[Unique Code],0),0)),0)</f>
        <v>0</v>
      </c>
      <c r="W603" s="3">
        <f>IF(LS[[#This Row],[BO Transfer]]="YES",LS[[#This Row],[Unit]],)</f>
        <v>6483</v>
      </c>
      <c r="X603" s="3">
        <f>SUMIFS(LS[[#Headers],[BO UNIT TRANSFER]]:LS[[#This Row],[BO UNIT TRANSFER]],LS[[#Headers],[Investor ID]]:LS[[#This Row],[Investor ID]],LS[[#This Row],[Investor ID]])</f>
        <v>114898</v>
      </c>
    </row>
    <row r="604" spans="2:24">
      <c r="B604" s="8">
        <v>2025</v>
      </c>
      <c r="C604" s="8">
        <v>9</v>
      </c>
      <c r="D604" s="8">
        <v>2</v>
      </c>
      <c r="E604" s="291">
        <f>DATE(LS[[#This Row],[Year]],LS[[#This Row],[Month]],LS[[#This Row],[Day]])</f>
        <v>45902</v>
      </c>
      <c r="F604" t="str" cm="1">
        <f t="array" ref="F604">INDEX(INVESTORS_LIST[INVESTOR NAME],MATCH(LS[[#This Row],[Investor ID]],INVESTORS_LIST[INVESTOR CODE],0),)</f>
        <v>RIPAN CHOWDHURY</v>
      </c>
      <c r="G604" s="25" t="s">
        <v>1513</v>
      </c>
      <c r="H604" s="8">
        <f>COUNTIF(LS[[#Headers],[Investor ID]]:LS[[#This Row],[Investor ID]],LS[[#This Row],[Investor ID]])</f>
        <v>1</v>
      </c>
      <c r="I604" s="8" t="str">
        <f>CONCATENATE(LS[[#This Row],[Frequency]],LS[[#This Row],[Investor ID]])</f>
        <v>1A00659</v>
      </c>
      <c r="J604" s="8" t="str">
        <f>IF(LS[[#This Row],[B/S]]="B","BUY",(IF(LS[[#This Row],[B/S]]="S","SELL"," ")))</f>
        <v>BUY</v>
      </c>
      <c r="K604" s="8" t="s">
        <v>301</v>
      </c>
      <c r="L604" s="3">
        <v>12340</v>
      </c>
      <c r="M604" s="3" t="s">
        <v>957</v>
      </c>
      <c r="N604" s="216">
        <f>LS[[#This Row],[Amount]]/LS[[#This Row],[Unit]]</f>
        <v>12.34</v>
      </c>
      <c r="O604" s="1">
        <f t="shared" si="119"/>
        <v>1000</v>
      </c>
      <c r="P604" s="1">
        <f>SUMIFS(LS[[#Headers],[Unit]]:LS[[#This Row],[Unit]],LS[[#Headers],[Investor ID]]:LS[[#This Row],[Investor ID]],LS[[#This Row],[Investor ID]])</f>
        <v>1000</v>
      </c>
      <c r="Q604" s="3">
        <v>10000</v>
      </c>
      <c r="R604" s="6">
        <f>LS[[#This Row],[Amount]]-LS[[#This Row],[Unit Capital]]</f>
        <v>2340</v>
      </c>
      <c r="S60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</v>
      </c>
      <c r="T604" s="216">
        <f t="shared" si="120"/>
        <v>12.552</v>
      </c>
      <c r="U60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04" s="3" cm="1">
        <f t="array" ref="V604">IF(LS[[#This Row],[B/S]]="S",ABS(LS[[#This Row],[Unit]])*(INDEX(LS[NAV at Cost (Average)],MATCH(CONCATENATE((LS[[#This Row],[Frequency]]-1),LS[[#This Row],[Investor ID]]),LS[Unique Code],0),0)),0)</f>
        <v>0</v>
      </c>
      <c r="W604" s="3">
        <f>IF(LS[[#This Row],[BO Transfer]]="YES",LS[[#This Row],[Unit]],)</f>
        <v>1000</v>
      </c>
      <c r="X604" s="3">
        <f>SUMIFS(LS[[#Headers],[BO UNIT TRANSFER]]:LS[[#This Row],[BO UNIT TRANSFER]],LS[[#Headers],[Investor ID]]:LS[[#This Row],[Investor ID]],LS[[#This Row],[Investor ID]])</f>
        <v>1000</v>
      </c>
    </row>
    <row r="605" spans="2:24">
      <c r="B605" s="8">
        <v>2025</v>
      </c>
      <c r="C605" s="8">
        <v>9</v>
      </c>
      <c r="D605" s="8">
        <v>3</v>
      </c>
      <c r="E605" s="291">
        <f>DATE(LS[[#This Row],[Year]],LS[[#This Row],[Month]],LS[[#This Row],[Day]])</f>
        <v>45903</v>
      </c>
      <c r="F605" t="str" cm="1">
        <f t="array" ref="F605">INDEX(INVESTORS_LIST[INVESTOR NAME],MATCH(LS[[#This Row],[Investor ID]],INVESTORS_LIST[INVESTOR CODE],0),)</f>
        <v>MD SHAHIDUZZAMAN</v>
      </c>
      <c r="G605" s="25" t="s">
        <v>1511</v>
      </c>
      <c r="H605" s="8">
        <f>COUNTIF(LS[[#Headers],[Investor ID]]:LS[[#This Row],[Investor ID]],LS[[#This Row],[Investor ID]])</f>
        <v>1</v>
      </c>
      <c r="I605" s="8" t="str">
        <f>CONCATENATE(LS[[#This Row],[Frequency]],LS[[#This Row],[Investor ID]])</f>
        <v>1A00660</v>
      </c>
      <c r="J605" s="8" t="str">
        <f>IF(LS[[#This Row],[B/S]]="B","BUY",(IF(LS[[#This Row],[B/S]]="S","SELL"," ")))</f>
        <v>BUY</v>
      </c>
      <c r="K605" s="8" t="s">
        <v>301</v>
      </c>
      <c r="L605" s="3">
        <v>300000</v>
      </c>
      <c r="M605" s="3"/>
      <c r="N605" s="216">
        <f>LS[[#This Row],[Amount]]/LS[[#This Row],[Unit]]</f>
        <v>12.340092962033648</v>
      </c>
      <c r="O605" s="1">
        <f t="shared" si="119"/>
        <v>24311</v>
      </c>
      <c r="P605" s="1">
        <f>SUMIFS(LS[[#Headers],[Unit]]:LS[[#This Row],[Unit]],LS[[#Headers],[Investor ID]]:LS[[#This Row],[Investor ID]],LS[[#This Row],[Investor ID]])</f>
        <v>24311</v>
      </c>
      <c r="Q605" s="3">
        <v>243110</v>
      </c>
      <c r="R605" s="6">
        <f>LS[[#This Row],[Amount]]-LS[[#This Row],[Unit Capital]]</f>
        <v>56890</v>
      </c>
      <c r="S60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12.340092962033648</v>
      </c>
      <c r="T605" s="216">
        <f t="shared" si="120"/>
        <v>12.552</v>
      </c>
      <c r="U60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05" s="3" cm="1">
        <f t="array" ref="V605">IF(LS[[#This Row],[B/S]]="S",ABS(LS[[#This Row],[Unit]])*(INDEX(LS[NAV at Cost (Average)],MATCH(CONCATENATE((LS[[#This Row],[Frequency]]-1),LS[[#This Row],[Investor ID]]),LS[Unique Code],0),0)),0)</f>
        <v>0</v>
      </c>
      <c r="W605" s="3">
        <f>IF(LS[[#This Row],[BO Transfer]]="YES",LS[[#This Row],[Unit]],)</f>
        <v>0</v>
      </c>
      <c r="X605" s="3">
        <f>SUMIFS(LS[[#Headers],[BO UNIT TRANSFER]]:LS[[#This Row],[BO UNIT TRANSFER]],LS[[#Headers],[Investor ID]]:LS[[#This Row],[Investor ID]],LS[[#This Row],[Investor ID]])</f>
        <v>0</v>
      </c>
    </row>
    <row r="606" spans="2:24">
      <c r="B606" s="8">
        <v>2025</v>
      </c>
      <c r="C606" s="8">
        <v>9</v>
      </c>
      <c r="D606" s="8">
        <v>3</v>
      </c>
      <c r="E606" s="291">
        <f>DATE(LS[[#This Row],[Year]],LS[[#This Row],[Month]],LS[[#This Row],[Day]])</f>
        <v>45903</v>
      </c>
      <c r="F606" t="str" cm="1">
        <f t="array" ref="F606">INDEX(INVESTORS_LIST[INVESTOR NAME],MATCH(LS[[#This Row],[Investor ID]],INVESTORS_LIST[INVESTOR CODE],0),)</f>
        <v>MD SHAHIDUZZAMAN</v>
      </c>
      <c r="G606" s="25" t="s">
        <v>1511</v>
      </c>
      <c r="H606" s="8">
        <f>COUNTIF(LS[[#Headers],[Investor ID]]:LS[[#This Row],[Investor ID]],LS[[#This Row],[Investor ID]])</f>
        <v>2</v>
      </c>
      <c r="I606" s="8" t="str">
        <f>CONCATENATE(LS[[#This Row],[Frequency]],LS[[#This Row],[Investor ID]])</f>
        <v>2A00660</v>
      </c>
      <c r="J606" s="8" t="str">
        <f>IF(LS[[#This Row],[B/S]]="B","BUY",(IF(LS[[#This Row],[B/S]]="S","SELL"," ")))</f>
        <v>BUY</v>
      </c>
      <c r="K606" s="8" t="s">
        <v>301</v>
      </c>
      <c r="L606" s="3">
        <v>200000</v>
      </c>
      <c r="M606" s="3"/>
      <c r="N606" s="216">
        <f>LS[[#This Row],[Amount]]/LS[[#This Row],[Unit]]</f>
        <v>12.340346763744062</v>
      </c>
      <c r="O606" s="1">
        <f t="shared" si="119"/>
        <v>16207</v>
      </c>
      <c r="P606" s="1">
        <f>SUMIFS(LS[[#Headers],[Unit]]:LS[[#This Row],[Unit]],LS[[#Headers],[Investor ID]]:LS[[#This Row],[Investor ID]],LS[[#This Row],[Investor ID]])</f>
        <v>40518</v>
      </c>
      <c r="Q606" s="3">
        <v>162070</v>
      </c>
      <c r="R606" s="6">
        <f>LS[[#This Row],[Amount]]-LS[[#This Row],[Unit Capital]]</f>
        <v>37930</v>
      </c>
      <c r="S60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12.340194481465028</v>
      </c>
      <c r="T606" s="216">
        <f t="shared" si="120"/>
        <v>12.552</v>
      </c>
      <c r="U60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06" s="3" cm="1">
        <f t="array" ref="V606">IF(LS[[#This Row],[B/S]]="S",ABS(LS[[#This Row],[Unit]])*(INDEX(LS[NAV at Cost (Average)],MATCH(CONCATENATE((LS[[#This Row],[Frequency]]-1),LS[[#This Row],[Investor ID]]),LS[Unique Code],0),0)),0)</f>
        <v>0</v>
      </c>
      <c r="W606" s="3">
        <f>IF(LS[[#This Row],[BO Transfer]]="YES",LS[[#This Row],[Unit]],)</f>
        <v>0</v>
      </c>
      <c r="X606" s="3">
        <f>SUMIFS(LS[[#Headers],[BO UNIT TRANSFER]]:LS[[#This Row],[BO UNIT TRANSFER]],LS[[#Headers],[Investor ID]]:LS[[#This Row],[Investor ID]],LS[[#This Row],[Investor ID]])</f>
        <v>0</v>
      </c>
    </row>
    <row r="607" spans="2:24">
      <c r="B607" s="8">
        <v>2025</v>
      </c>
      <c r="C607" s="8">
        <v>9</v>
      </c>
      <c r="D607" s="8">
        <v>3</v>
      </c>
      <c r="E607" s="291">
        <f>DATE(LS[[#This Row],[Year]],LS[[#This Row],[Month]],LS[[#This Row],[Day]])</f>
        <v>45903</v>
      </c>
      <c r="F607" t="str" cm="1">
        <f t="array" ref="F607">INDEX(INVESTORS_LIST[INVESTOR NAME],MATCH(LS[[#This Row],[Investor ID]],INVESTORS_LIST[INVESTOR CODE],0),)</f>
        <v>TANVIR HASAN</v>
      </c>
      <c r="G607" s="25" t="s">
        <v>368</v>
      </c>
      <c r="H607" s="8">
        <f>COUNTIF(LS[[#Headers],[Investor ID]]:LS[[#This Row],[Investor ID]],LS[[#This Row],[Investor ID]])</f>
        <v>1</v>
      </c>
      <c r="I607" s="8" t="str">
        <f>CONCATENATE(LS[[#This Row],[Frequency]],LS[[#This Row],[Investor ID]])</f>
        <v>1A00256</v>
      </c>
      <c r="J607" s="8" t="str">
        <f>IF(LS[[#This Row],[B/S]]="B","BUY",(IF(LS[[#This Row],[B/S]]="S","SELL"," ")))</f>
        <v>BUY</v>
      </c>
      <c r="K607" s="8" t="s">
        <v>301</v>
      </c>
      <c r="L607" s="3">
        <v>300000</v>
      </c>
      <c r="M607" s="3" t="s">
        <v>957</v>
      </c>
      <c r="N607" s="216">
        <f>LS[[#This Row],[Amount]]/LS[[#This Row],[Unit]]</f>
        <v>12.340092962033648</v>
      </c>
      <c r="O607" s="1">
        <f t="shared" si="119"/>
        <v>24311</v>
      </c>
      <c r="P607" s="1">
        <f>SUMIFS(LS[[#Headers],[Unit]]:LS[[#This Row],[Unit]],LS[[#Headers],[Investor ID]]:LS[[#This Row],[Investor ID]],LS[[#This Row],[Investor ID]])</f>
        <v>24311</v>
      </c>
      <c r="Q607" s="3">
        <v>243110</v>
      </c>
      <c r="R607" s="6">
        <f>LS[[#This Row],[Amount]]-LS[[#This Row],[Unit Capital]]</f>
        <v>56890</v>
      </c>
      <c r="S60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12.340092962033648</v>
      </c>
      <c r="T607" s="216">
        <f t="shared" si="120"/>
        <v>12.552</v>
      </c>
      <c r="U60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07" s="3" cm="1">
        <f t="array" ref="V607">IF(LS[[#This Row],[B/S]]="S",ABS(LS[[#This Row],[Unit]])*(INDEX(LS[NAV at Cost (Average)],MATCH(CONCATENATE((LS[[#This Row],[Frequency]]-1),LS[[#This Row],[Investor ID]]),LS[Unique Code],0),0)),0)</f>
        <v>0</v>
      </c>
      <c r="W607" s="3">
        <f>IF(LS[[#This Row],[BO Transfer]]="YES",LS[[#This Row],[Unit]],)</f>
        <v>24311</v>
      </c>
      <c r="X607" s="3">
        <f>SUMIFS(LS[[#Headers],[BO UNIT TRANSFER]]:LS[[#This Row],[BO UNIT TRANSFER]],LS[[#Headers],[Investor ID]]:LS[[#This Row],[Investor ID]],LS[[#This Row],[Investor ID]])</f>
        <v>24311</v>
      </c>
    </row>
    <row r="608" spans="2:24">
      <c r="B608" s="8">
        <v>2025</v>
      </c>
      <c r="C608" s="8">
        <v>9</v>
      </c>
      <c r="D608" s="8">
        <v>3</v>
      </c>
      <c r="E608" s="291">
        <f>DATE(LS[[#This Row],[Year]],LS[[#This Row],[Month]],LS[[#This Row],[Day]])</f>
        <v>45903</v>
      </c>
      <c r="F608" t="str" cm="1">
        <f t="array" ref="F608">INDEX(INVESTORS_LIST[INVESTOR NAME],MATCH(LS[[#This Row],[Investor ID]],INVESTORS_LIST[INVESTOR CODE],0),)</f>
        <v>ROKSABA KASEM</v>
      </c>
      <c r="G608" s="25" t="s">
        <v>933</v>
      </c>
      <c r="H608" s="8">
        <f>COUNTIF(LS[[#Headers],[Investor ID]]:LS[[#This Row],[Investor ID]],LS[[#This Row],[Investor ID]])</f>
        <v>3</v>
      </c>
      <c r="I608" s="8" t="str">
        <f>CONCATENATE(LS[[#This Row],[Frequency]],LS[[#This Row],[Investor ID]])</f>
        <v>3A00427</v>
      </c>
      <c r="J608" s="8" t="str">
        <f>IF(LS[[#This Row],[B/S]]="B","BUY",(IF(LS[[#This Row],[B/S]]="S","SELL"," ")))</f>
        <v>BUY</v>
      </c>
      <c r="K608" s="8" t="s">
        <v>301</v>
      </c>
      <c r="L608" s="3">
        <v>500000</v>
      </c>
      <c r="M608" s="3" t="s">
        <v>957</v>
      </c>
      <c r="N608" s="216">
        <f>LS[[#This Row],[Amount]]/LS[[#This Row],[Unit]]</f>
        <v>12.33988992818184</v>
      </c>
      <c r="O608" s="1">
        <f t="shared" si="119"/>
        <v>40519</v>
      </c>
      <c r="P608" s="1">
        <f>SUMIFS(LS[[#Headers],[Unit]]:LS[[#This Row],[Unit]],LS[[#Headers],[Investor ID]]:LS[[#This Row],[Investor ID]],LS[[#This Row],[Investor ID]])</f>
        <v>40519</v>
      </c>
      <c r="Q608" s="3">
        <v>405190</v>
      </c>
      <c r="R608" s="6">
        <f>LS[[#This Row],[Amount]]-LS[[#This Row],[Unit Capital]]</f>
        <v>94810</v>
      </c>
      <c r="S60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12.33988992818184</v>
      </c>
      <c r="T608" s="216">
        <f t="shared" si="120"/>
        <v>12.552</v>
      </c>
      <c r="U60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08" s="3" cm="1">
        <f t="array" ref="V608">IF(LS[[#This Row],[B/S]]="S",ABS(LS[[#This Row],[Unit]])*(INDEX(LS[NAV at Cost (Average)],MATCH(CONCATENATE((LS[[#This Row],[Frequency]]-1),LS[[#This Row],[Investor ID]]),LS[Unique Code],0),0)),0)</f>
        <v>0</v>
      </c>
      <c r="W608" s="3">
        <f>IF(LS[[#This Row],[BO Transfer]]="YES",LS[[#This Row],[Unit]],)</f>
        <v>40519</v>
      </c>
      <c r="X608" s="3">
        <f>SUMIFS(LS[[#Headers],[BO UNIT TRANSFER]]:LS[[#This Row],[BO UNIT TRANSFER]],LS[[#Headers],[Investor ID]]:LS[[#This Row],[Investor ID]],LS[[#This Row],[Investor ID]])</f>
        <v>40519</v>
      </c>
    </row>
    <row r="609" spans="2:24">
      <c r="B609" s="8">
        <v>2025</v>
      </c>
      <c r="C609" s="8">
        <v>9</v>
      </c>
      <c r="D609" s="8">
        <v>4</v>
      </c>
      <c r="E609" s="291">
        <f>DATE(LS[[#This Row],[Year]],LS[[#This Row],[Month]],LS[[#This Row],[Day]])</f>
        <v>45904</v>
      </c>
      <c r="F609" t="str" cm="1">
        <f t="array" ref="F609">INDEX(INVESTORS_LIST[INVESTOR NAME],MATCH(LS[[#This Row],[Investor ID]],INVESTORS_LIST[INVESTOR CODE],0),)</f>
        <v>SHARMIN AKTER</v>
      </c>
      <c r="G609" s="25" t="s">
        <v>1428</v>
      </c>
      <c r="H609" s="8">
        <f>COUNTIF(LS[[#Headers],[Investor ID]]:LS[[#This Row],[Investor ID]],LS[[#This Row],[Investor ID]])</f>
        <v>3</v>
      </c>
      <c r="I609" s="8" t="str">
        <f>CONCATENATE(LS[[#This Row],[Frequency]],LS[[#This Row],[Investor ID]])</f>
        <v>3A00617</v>
      </c>
      <c r="J609" s="8" t="str">
        <f>IF(LS[[#This Row],[B/S]]="B","BUY",(IF(LS[[#This Row],[B/S]]="S","SELL"," ")))</f>
        <v>BUY</v>
      </c>
      <c r="K609" s="8" t="s">
        <v>301</v>
      </c>
      <c r="L609" s="3">
        <v>200000</v>
      </c>
      <c r="M609" s="3"/>
      <c r="N609" s="216">
        <f>LS[[#This Row],[Amount]]/LS[[#This Row],[Unit]]</f>
        <v>12.340346763744062</v>
      </c>
      <c r="O609" s="1">
        <f t="shared" si="119"/>
        <v>16207</v>
      </c>
      <c r="P609" s="1">
        <f>SUMIFS(LS[[#Headers],[Unit]]:LS[[#This Row],[Unit]],LS[[#Headers],[Investor ID]]:LS[[#This Row],[Investor ID]],LS[[#This Row],[Investor ID]])</f>
        <v>57404</v>
      </c>
      <c r="Q609" s="3">
        <v>162070</v>
      </c>
      <c r="R609" s="6">
        <f>LS[[#This Row],[Amount]]-LS[[#This Row],[Unit Capital]]</f>
        <v>37930</v>
      </c>
      <c r="S60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12.194272176154973</v>
      </c>
      <c r="T609" s="216">
        <f t="shared" si="120"/>
        <v>12.552</v>
      </c>
      <c r="U60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09" s="3" cm="1">
        <f t="array" ref="V609">IF(LS[[#This Row],[B/S]]="S",ABS(LS[[#This Row],[Unit]])*(INDEX(LS[NAV at Cost (Average)],MATCH(CONCATENATE((LS[[#This Row],[Frequency]]-1),LS[[#This Row],[Investor ID]]),LS[Unique Code],0),0)),0)</f>
        <v>0</v>
      </c>
      <c r="W609" s="3">
        <f>IF(LS[[#This Row],[BO Transfer]]="YES",LS[[#This Row],[Unit]],)</f>
        <v>0</v>
      </c>
      <c r="X609" s="3">
        <f>SUMIFS(LS[[#Headers],[BO UNIT TRANSFER]]:LS[[#This Row],[BO UNIT TRANSFER]],LS[[#Headers],[Investor ID]]:LS[[#This Row],[Investor ID]],LS[[#This Row],[Investor ID]])</f>
        <v>0</v>
      </c>
    </row>
    <row r="610" spans="2:24">
      <c r="B610" s="8">
        <v>2025</v>
      </c>
      <c r="C610" s="8">
        <v>9</v>
      </c>
      <c r="D610" s="8">
        <v>4</v>
      </c>
      <c r="E610" s="291">
        <f>DATE(LS[[#This Row],[Year]],LS[[#This Row],[Month]],LS[[#This Row],[Day]])</f>
        <v>45904</v>
      </c>
      <c r="F610" t="str" cm="1">
        <f t="array" ref="F610">INDEX(INVESTORS_LIST[INVESTOR NAME],MATCH(LS[[#This Row],[Investor ID]],INVESTORS_LIST[INVESTOR CODE],0),)</f>
        <v>MD. NIAZ MURSHED</v>
      </c>
      <c r="G610" s="25" t="s">
        <v>238</v>
      </c>
      <c r="H610" s="8">
        <f>COUNTIF(LS[[#Headers],[Investor ID]]:LS[[#This Row],[Investor ID]],LS[[#This Row],[Investor ID]])</f>
        <v>8</v>
      </c>
      <c r="I610" s="8" t="str">
        <f>CONCATENATE(LS[[#This Row],[Frequency]],LS[[#This Row],[Investor ID]])</f>
        <v>8A00198</v>
      </c>
      <c r="J610" s="8" t="str">
        <f>IF(LS[[#This Row],[B/S]]="B","BUY",(IF(LS[[#This Row],[B/S]]="S","SELL"," ")))</f>
        <v>SELL</v>
      </c>
      <c r="K610" s="8" t="s">
        <v>866</v>
      </c>
      <c r="L610" s="3">
        <v>-100000</v>
      </c>
      <c r="M610" s="3"/>
      <c r="N610" s="216">
        <f>LS[[#This Row],[Amount]]/LS[[#This Row],[Unit]]</f>
        <v>12.339585389930898</v>
      </c>
      <c r="O610" s="1">
        <f t="shared" si="119"/>
        <v>-8104</v>
      </c>
      <c r="P610" s="1">
        <f>SUMIFS(LS[[#Headers],[Unit]]:LS[[#This Row],[Unit]],LS[[#Headers],[Investor ID]]:LS[[#This Row],[Investor ID]],LS[[#This Row],[Investor ID]])</f>
        <v>15821</v>
      </c>
      <c r="Q610" s="3">
        <v>-81040</v>
      </c>
      <c r="R610" s="6">
        <f>LS[[#This Row],[Amount]]-LS[[#This Row],[Unit Capital]]</f>
        <v>-18960</v>
      </c>
      <c r="S61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9.8502100532854922</v>
      </c>
      <c r="T610" s="216">
        <f t="shared" si="120"/>
        <v>12.552</v>
      </c>
      <c r="U610" s="3">
        <f>IF(LS[[#This Row],[B/S]]="B",0,ABS(LS[[#This Row],[Unit]])*(LS[[#This Row],[NAV (Strike Rate)]]-INDEX(LS[NAV at Cost (Average)],MATCH(CONCATENATE(LS[[#This Row],[Frequency]]-1,LS[[#This Row],[Investor ID]]),LS[Unique Code],0),)))</f>
        <v>20173.897728174368</v>
      </c>
      <c r="V610" s="3" cm="1">
        <f t="array" ref="V610">IF(LS[[#This Row],[B/S]]="S",ABS(LS[[#This Row],[Unit]])*(INDEX(LS[NAV at Cost (Average)],MATCH(CONCATENATE((LS[[#This Row],[Frequency]]-1),LS[[#This Row],[Investor ID]]),LS[Unique Code],0),0)),0)</f>
        <v>79826.102271825628</v>
      </c>
      <c r="W610" s="3">
        <f>IF(LS[[#This Row],[BO Transfer]]="YES",LS[[#This Row],[Unit]],)</f>
        <v>0</v>
      </c>
      <c r="X610" s="3">
        <f>SUMIFS(LS[[#Headers],[BO UNIT TRANSFER]]:LS[[#This Row],[BO UNIT TRANSFER]],LS[[#Headers],[Investor ID]]:LS[[#This Row],[Investor ID]],LS[[#This Row],[Investor ID]])</f>
        <v>0</v>
      </c>
    </row>
    <row r="611" spans="2:24">
      <c r="B611" s="8">
        <v>2025</v>
      </c>
      <c r="C611" s="8">
        <v>9</v>
      </c>
      <c r="D611" s="8">
        <v>4</v>
      </c>
      <c r="E611" s="291">
        <f>DATE(LS[[#This Row],[Year]],LS[[#This Row],[Month]],LS[[#This Row],[Day]])</f>
        <v>45904</v>
      </c>
      <c r="F611" t="str" cm="1">
        <f t="array" ref="F611">INDEX(INVESTORS_LIST[INVESTOR NAME],MATCH(LS[[#This Row],[Investor ID]],INVESTORS_LIST[INVESTOR CODE],0),)</f>
        <v>NAUSHEEN AHMED</v>
      </c>
      <c r="G611" s="25" t="s">
        <v>393</v>
      </c>
      <c r="H611" s="8">
        <f>COUNTIF(LS[[#Headers],[Investor ID]]:LS[[#This Row],[Investor ID]],LS[[#This Row],[Investor ID]])</f>
        <v>1</v>
      </c>
      <c r="I611" s="8" t="str">
        <f>CONCATENATE(LS[[#This Row],[Frequency]],LS[[#This Row],[Investor ID]])</f>
        <v>1A00268</v>
      </c>
      <c r="J611" s="8" t="str">
        <f>IF(LS[[#This Row],[B/S]]="B","BUY",(IF(LS[[#This Row],[B/S]]="S","SELL"," ")))</f>
        <v>BUY</v>
      </c>
      <c r="K611" s="8" t="s">
        <v>301</v>
      </c>
      <c r="L611" s="3">
        <v>667535</v>
      </c>
      <c r="M611" s="3"/>
      <c r="N611" s="216">
        <f>LS[[#This Row],[Amount]]/LS[[#This Row],[Unit]]</f>
        <v>12.340049912191516</v>
      </c>
      <c r="O611" s="1">
        <f t="shared" si="119"/>
        <v>54095</v>
      </c>
      <c r="P611" s="1">
        <f>SUMIFS(LS[[#Headers],[Unit]]:LS[[#This Row],[Unit]],LS[[#Headers],[Investor ID]]:LS[[#This Row],[Investor ID]],LS[[#This Row],[Investor ID]])</f>
        <v>54095</v>
      </c>
      <c r="Q611" s="3">
        <v>540950</v>
      </c>
      <c r="R611" s="6">
        <f>LS[[#This Row],[Amount]]-LS[[#This Row],[Unit Capital]]</f>
        <v>126585</v>
      </c>
      <c r="S61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12.340049912191516</v>
      </c>
      <c r="T611" s="216">
        <f t="shared" si="120"/>
        <v>12.552</v>
      </c>
      <c r="U61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11" s="3" cm="1">
        <f t="array" ref="V611">IF(LS[[#This Row],[B/S]]="S",ABS(LS[[#This Row],[Unit]])*(INDEX(LS[NAV at Cost (Average)],MATCH(CONCATENATE((LS[[#This Row],[Frequency]]-1),LS[[#This Row],[Investor ID]]),LS[Unique Code],0),0)),0)</f>
        <v>0</v>
      </c>
      <c r="W611" s="3">
        <f>IF(LS[[#This Row],[BO Transfer]]="YES",LS[[#This Row],[Unit]],)</f>
        <v>0</v>
      </c>
      <c r="X611" s="3">
        <f>SUMIFS(LS[[#Headers],[BO UNIT TRANSFER]]:LS[[#This Row],[BO UNIT TRANSFER]],LS[[#Headers],[Investor ID]]:LS[[#This Row],[Investor ID]],LS[[#This Row],[Investor ID]])</f>
        <v>0</v>
      </c>
    </row>
    <row r="612" spans="2:24">
      <c r="B612" s="8">
        <v>2025</v>
      </c>
      <c r="C612" s="8">
        <v>9</v>
      </c>
      <c r="D612" s="8">
        <v>4</v>
      </c>
      <c r="E612" s="291">
        <f>DATE(LS[[#This Row],[Year]],LS[[#This Row],[Month]],LS[[#This Row],[Day]])</f>
        <v>45904</v>
      </c>
      <c r="F612" t="str" cm="1">
        <f t="array" ref="F612">INDEX(INVESTORS_LIST[INVESTOR NAME],MATCH(LS[[#This Row],[Investor ID]],INVESTORS_LIST[INVESTOR CODE],0),)</f>
        <v>PUJA BHATTACHARJEE</v>
      </c>
      <c r="G612" s="25" t="s">
        <v>1376</v>
      </c>
      <c r="H612" s="8">
        <f>COUNTIF(LS[[#Headers],[Investor ID]]:LS[[#This Row],[Investor ID]],LS[[#This Row],[Investor ID]])</f>
        <v>1</v>
      </c>
      <c r="I612" s="8" t="str">
        <f>CONCATENATE(LS[[#This Row],[Frequency]],LS[[#This Row],[Investor ID]])</f>
        <v>1A00590</v>
      </c>
      <c r="J612" s="8" t="str">
        <f>IF(LS[[#This Row],[B/S]]="B","BUY",(IF(LS[[#This Row],[B/S]]="S","SELL"," ")))</f>
        <v>BUY</v>
      </c>
      <c r="K612" s="8" t="s">
        <v>301</v>
      </c>
      <c r="L612" s="3">
        <v>300000</v>
      </c>
      <c r="M612" s="3" t="s">
        <v>957</v>
      </c>
      <c r="N612" s="216">
        <f>LS[[#This Row],[Amount]]/LS[[#This Row],[Unit]]</f>
        <v>12.340092962033648</v>
      </c>
      <c r="O612" s="1">
        <f t="shared" si="119"/>
        <v>24311</v>
      </c>
      <c r="P612" s="1">
        <f>SUMIFS(LS[[#Headers],[Unit]]:LS[[#This Row],[Unit]],LS[[#Headers],[Investor ID]]:LS[[#This Row],[Investor ID]],LS[[#This Row],[Investor ID]])</f>
        <v>24311</v>
      </c>
      <c r="Q612" s="3">
        <v>243110</v>
      </c>
      <c r="R612" s="6">
        <f>LS[[#This Row],[Amount]]-LS[[#This Row],[Unit Capital]]</f>
        <v>56890</v>
      </c>
      <c r="S61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12.340092962033648</v>
      </c>
      <c r="T612" s="216">
        <f t="shared" si="120"/>
        <v>12.552</v>
      </c>
      <c r="U61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12" s="3" cm="1">
        <f t="array" ref="V612">IF(LS[[#This Row],[B/S]]="S",ABS(LS[[#This Row],[Unit]])*(INDEX(LS[NAV at Cost (Average)],MATCH(CONCATENATE((LS[[#This Row],[Frequency]]-1),LS[[#This Row],[Investor ID]]),LS[Unique Code],0),0)),0)</f>
        <v>0</v>
      </c>
      <c r="W612" s="3">
        <f>IF(LS[[#This Row],[BO Transfer]]="YES",LS[[#This Row],[Unit]],)</f>
        <v>24311</v>
      </c>
      <c r="X612" s="3">
        <f>SUMIFS(LS[[#Headers],[BO UNIT TRANSFER]]:LS[[#This Row],[BO UNIT TRANSFER]],LS[[#Headers],[Investor ID]]:LS[[#This Row],[Investor ID]],LS[[#This Row],[Investor ID]])</f>
        <v>24311</v>
      </c>
    </row>
    <row r="613" spans="2:24">
      <c r="B613" s="8">
        <v>2025</v>
      </c>
      <c r="C613" s="8">
        <v>9</v>
      </c>
      <c r="D613" s="8">
        <v>8</v>
      </c>
      <c r="E613" s="291">
        <f>DATE(LS[[#This Row],[Year]],LS[[#This Row],[Month]],LS[[#This Row],[Day]])</f>
        <v>45908</v>
      </c>
      <c r="F613" t="str" cm="1">
        <f t="array" ref="F613">INDEX(INVESTORS_LIST[INVESTOR NAME],MATCH(LS[[#This Row],[Investor ID]],INVESTORS_LIST[INVESTOR CODE],0),)</f>
        <v>MD. MUSTAFA KAMAL</v>
      </c>
      <c r="G613" s="25" t="s">
        <v>1390</v>
      </c>
      <c r="H613" s="8">
        <f>COUNTIF(LS[[#Headers],[Investor ID]]:LS[[#This Row],[Investor ID]],LS[[#This Row],[Investor ID]])</f>
        <v>10</v>
      </c>
      <c r="I613" s="8" t="str">
        <f>CONCATENATE(LS[[#This Row],[Frequency]],LS[[#This Row],[Investor ID]])</f>
        <v>10A00597</v>
      </c>
      <c r="J613" s="8" t="str">
        <f>IF(LS[[#This Row],[B/S]]="B","BUY",(IF(LS[[#This Row],[B/S]]="S","SELL"," ")))</f>
        <v>SELL</v>
      </c>
      <c r="K613" s="8" t="s">
        <v>866</v>
      </c>
      <c r="L613" s="3">
        <v>-412357.98</v>
      </c>
      <c r="M613" s="3"/>
      <c r="N613" s="216">
        <f>LS[[#This Row],[Amount]]/LS[[#This Row],[Unit]]</f>
        <v>12.511999878629728</v>
      </c>
      <c r="O613" s="1">
        <f t="shared" ref="O613:O620" si="121">Q613/10</f>
        <v>-32957</v>
      </c>
      <c r="P613" s="1">
        <f>SUMIFS(LS[[#Headers],[Unit]]:LS[[#This Row],[Unit]],LS[[#Headers],[Investor ID]]:LS[[#This Row],[Investor ID]],LS[[#This Row],[Investor ID]])</f>
        <v>0</v>
      </c>
      <c r="Q613" s="3">
        <v>-329570</v>
      </c>
      <c r="R613" s="6">
        <f>LS[[#This Row],[Amount]]-LS[[#This Row],[Unit Capital]]</f>
        <v>-82787.979999999981</v>
      </c>
      <c r="S61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613" s="216">
        <f t="shared" ref="T613:T620" si="122">IFERROR(NAV_MKT,0)</f>
        <v>12.552</v>
      </c>
      <c r="U613" s="3">
        <f>IF(LS[[#This Row],[B/S]]="B",0,ABS(LS[[#This Row],[Unit]])*(LS[[#This Row],[NAV (Strike Rate)]]-INDEX(LS[NAV at Cost (Average)],MATCH(CONCATENATE(LS[[#This Row],[Frequency]]-1,LS[[#This Row],[Investor ID]]),LS[Unique Code],0),)))</f>
        <v>12357.97999999996</v>
      </c>
      <c r="V613" s="3" cm="1">
        <f t="array" ref="V613">IF(LS[[#This Row],[B/S]]="S",ABS(LS[[#This Row],[Unit]])*(INDEX(LS[NAV at Cost (Average)],MATCH(CONCATENATE((LS[[#This Row],[Frequency]]-1),LS[[#This Row],[Investor ID]]),LS[Unique Code],0),0)),0)</f>
        <v>400000</v>
      </c>
      <c r="W613" s="3">
        <f>IF(LS[[#This Row],[BO Transfer]]="YES",LS[[#This Row],[Unit]],)</f>
        <v>0</v>
      </c>
      <c r="X613" s="3">
        <f>SUMIFS(LS[[#Headers],[BO UNIT TRANSFER]]:LS[[#This Row],[BO UNIT TRANSFER]],LS[[#Headers],[Investor ID]]:LS[[#This Row],[Investor ID]],LS[[#This Row],[Investor ID]])</f>
        <v>0</v>
      </c>
    </row>
    <row r="614" spans="2:24">
      <c r="B614" s="8">
        <v>2025</v>
      </c>
      <c r="C614" s="8">
        <v>9</v>
      </c>
      <c r="D614" s="8">
        <v>9</v>
      </c>
      <c r="E614" s="291">
        <f>DATE(LS[[#This Row],[Year]],LS[[#This Row],[Month]],LS[[#This Row],[Day]])</f>
        <v>45909</v>
      </c>
      <c r="F614" t="str" cm="1">
        <f t="array" ref="F614">INDEX(INVESTORS_LIST[INVESTOR NAME],MATCH(LS[[#This Row],[Investor ID]],INVESTORS_LIST[INVESTOR CODE],0),)</f>
        <v>KANKA SAHA</v>
      </c>
      <c r="G614" s="25" t="s">
        <v>67</v>
      </c>
      <c r="H614" s="8">
        <f>COUNTIF(LS[[#Headers],[Investor ID]]:LS[[#This Row],[Investor ID]],LS[[#This Row],[Investor ID]])</f>
        <v>6</v>
      </c>
      <c r="I614" s="8" t="str">
        <f>CONCATENATE(LS[[#This Row],[Frequency]],LS[[#This Row],[Investor ID]])</f>
        <v>6A00060</v>
      </c>
      <c r="J614" s="230" t="str">
        <f>IF(LS[[#This Row],[B/S]]="B","BUY",(IF(LS[[#This Row],[B/S]]="S","SELL"," ")))</f>
        <v>SELL</v>
      </c>
      <c r="K614" s="8" t="s">
        <v>866</v>
      </c>
      <c r="L614" s="3">
        <v>-169504.61</v>
      </c>
      <c r="M614" s="3"/>
      <c r="N614" s="216">
        <f>LS[[#This Row],[Amount]]/LS[[#This Row],[Unit]]</f>
        <v>12.512335572451464</v>
      </c>
      <c r="O614" s="1">
        <f t="shared" si="121"/>
        <v>-13547</v>
      </c>
      <c r="P614" s="1">
        <f>SUMIFS(LS[[#Headers],[Unit]]:LS[[#This Row],[Unit]],LS[[#Headers],[Investor ID]]:LS[[#This Row],[Investor ID]],LS[[#This Row],[Investor ID]])</f>
        <v>39962</v>
      </c>
      <c r="Q614" s="3">
        <v>-135470</v>
      </c>
      <c r="R614" s="6">
        <f>LS[[#This Row],[Amount]]-LS[[#This Row],[Unit Capital]]</f>
        <v>-34034.609999999986</v>
      </c>
      <c r="S61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10.017724121175878</v>
      </c>
      <c r="T614" s="216">
        <f t="shared" si="122"/>
        <v>12.552</v>
      </c>
      <c r="U614" s="3">
        <f>IF(LS[[#This Row],[B/S]]="B",0,ABS(LS[[#This Row],[Unit]])*(LS[[#This Row],[NAV (Strike Rate)]]-INDEX(LS[NAV at Cost (Average)],MATCH(CONCATENATE(LS[[#This Row],[Frequency]]-1,LS[[#This Row],[Investor ID]]),LS[Unique Code],0),)))</f>
        <v>33794.501330430372</v>
      </c>
      <c r="V614" s="3" cm="1">
        <f t="array" ref="V614">IF(LS[[#This Row],[B/S]]="S",ABS(LS[[#This Row],[Unit]])*(INDEX(LS[NAV at Cost (Average)],MATCH(CONCATENATE((LS[[#This Row],[Frequency]]-1),LS[[#This Row],[Investor ID]]),LS[Unique Code],0),0)),0)</f>
        <v>135710.10866956963</v>
      </c>
      <c r="W614" s="3">
        <f>IF(LS[[#This Row],[BO Transfer]]="YES",LS[[#This Row],[Unit]],)</f>
        <v>0</v>
      </c>
      <c r="X614" s="3">
        <f>SUMIFS(LS[[#Headers],[BO UNIT TRANSFER]]:LS[[#This Row],[BO UNIT TRANSFER]],LS[[#Headers],[Investor ID]]:LS[[#This Row],[Investor ID]],LS[[#This Row],[Investor ID]])</f>
        <v>0</v>
      </c>
    </row>
    <row r="615" spans="2:24">
      <c r="B615" s="8">
        <v>2025</v>
      </c>
      <c r="C615" s="8">
        <v>9</v>
      </c>
      <c r="D615" s="8">
        <v>17</v>
      </c>
      <c r="E615" s="291">
        <f>DATE(LS[[#This Row],[Year]],LS[[#This Row],[Month]],LS[[#This Row],[Day]])</f>
        <v>45917</v>
      </c>
      <c r="F615" t="str" cm="1">
        <f t="array" ref="F615">INDEX(INVESTORS_LIST[INVESTOR NAME],MATCH(LS[[#This Row],[Investor ID]],INVESTORS_LIST[INVESTOR CODE],0),)</f>
        <v>EKUSH WEALTH MANAGEMENT LIMITED</v>
      </c>
      <c r="G615" s="25" t="s">
        <v>4</v>
      </c>
      <c r="H615" s="8">
        <f>COUNTIF(LS[[#Headers],[Investor ID]]:LS[[#This Row],[Investor ID]],LS[[#This Row],[Investor ID]])</f>
        <v>32</v>
      </c>
      <c r="I615" s="8" t="str">
        <f>CONCATENATE(LS[[#This Row],[Frequency]],LS[[#This Row],[Investor ID]])</f>
        <v>32A00003</v>
      </c>
      <c r="J615" s="8" t="str">
        <f>IF(LS[[#This Row],[B/S]]="B","BUY",(IF(LS[[#This Row],[B/S]]="S","SELL"," ")))</f>
        <v>SELL</v>
      </c>
      <c r="K615" s="8" t="s">
        <v>866</v>
      </c>
      <c r="L615" s="3">
        <v>-15000</v>
      </c>
      <c r="M615" s="3"/>
      <c r="N615" s="216">
        <f>LS[[#This Row],[Amount]]/LS[[#This Row],[Unit]]</f>
        <v>12.376237623762377</v>
      </c>
      <c r="O615" s="1">
        <f t="shared" si="121"/>
        <v>-1212</v>
      </c>
      <c r="P615" s="1">
        <f>SUMIFS(LS[[#Headers],[Unit]]:LS[[#This Row],[Unit]],LS[[#Headers],[Investor ID]]:LS[[#This Row],[Investor ID]],LS[[#This Row],[Investor ID]])</f>
        <v>2911025</v>
      </c>
      <c r="Q615" s="3">
        <v>-12120</v>
      </c>
      <c r="R615" s="6">
        <f>LS[[#This Row],[Amount]]-LS[[#This Row],[Unit Capital]]</f>
        <v>-2880</v>
      </c>
      <c r="S61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10.168354841870986</v>
      </c>
      <c r="T615" s="216">
        <f t="shared" si="122"/>
        <v>12.552</v>
      </c>
      <c r="U615" s="3">
        <f>IF(LS[[#This Row],[B/S]]="B",0,ABS(LS[[#This Row],[Unit]])*(LS[[#This Row],[NAV (Strike Rate)]]-INDEX(LS[NAV at Cost (Average)],MATCH(CONCATENATE(LS[[#This Row],[Frequency]]-1,LS[[#This Row],[Investor ID]]),LS[Unique Code],0),)))</f>
        <v>2675.9539316523651</v>
      </c>
      <c r="V615" s="3" cm="1">
        <f t="array" ref="V615">IF(LS[[#This Row],[B/S]]="S",ABS(LS[[#This Row],[Unit]])*(INDEX(LS[NAV at Cost (Average)],MATCH(CONCATENATE((LS[[#This Row],[Frequency]]-1),LS[[#This Row],[Investor ID]]),LS[Unique Code],0),0)),0)</f>
        <v>12324.046068347636</v>
      </c>
      <c r="W615" s="3">
        <f>IF(LS[[#This Row],[BO Transfer]]="YES",LS[[#This Row],[Unit]],)</f>
        <v>0</v>
      </c>
      <c r="X615" s="3">
        <f>SUMIFS(LS[[#Headers],[BO UNIT TRANSFER]]:LS[[#This Row],[BO UNIT TRANSFER]],LS[[#Headers],[Investor ID]]:LS[[#This Row],[Investor ID]],LS[[#This Row],[Investor ID]])</f>
        <v>0</v>
      </c>
    </row>
    <row r="616" spans="2:24">
      <c r="B616" s="8">
        <v>2025</v>
      </c>
      <c r="C616" s="8">
        <v>9</v>
      </c>
      <c r="D616" s="8">
        <v>17</v>
      </c>
      <c r="E616" s="291">
        <f>DATE(LS[[#This Row],[Year]],LS[[#This Row],[Month]],LS[[#This Row],[Day]])</f>
        <v>45917</v>
      </c>
      <c r="F616" t="str" cm="1">
        <f t="array" ref="F616">INDEX(INVESTORS_LIST[INVESTOR NAME],MATCH(LS[[#This Row],[Investor ID]],INVESTORS_LIST[INVESTOR CODE],0),)</f>
        <v>SHARMIN AKTER</v>
      </c>
      <c r="G616" s="25" t="s">
        <v>1428</v>
      </c>
      <c r="H616" s="8">
        <f>COUNTIF(LS[[#Headers],[Investor ID]]:LS[[#This Row],[Investor ID]],LS[[#This Row],[Investor ID]])</f>
        <v>4</v>
      </c>
      <c r="I616" s="8" t="str">
        <f>CONCATENATE(LS[[#This Row],[Frequency]],LS[[#This Row],[Investor ID]])</f>
        <v>4A00617</v>
      </c>
      <c r="J616" s="8" t="str">
        <f>IF(LS[[#This Row],[B/S]]="B","BUY",(IF(LS[[#This Row],[B/S]]="S","SELL"," ")))</f>
        <v>SELL</v>
      </c>
      <c r="K616" s="8" t="s">
        <v>866</v>
      </c>
      <c r="L616" s="3">
        <v>-500000</v>
      </c>
      <c r="M616" s="3"/>
      <c r="N616" s="216">
        <f>LS[[#This Row],[Amount]]/LS[[#This Row],[Unit]]</f>
        <v>12.371950314247538</v>
      </c>
      <c r="O616" s="1">
        <f t="shared" si="121"/>
        <v>-40414</v>
      </c>
      <c r="P616" s="1">
        <f>SUMIFS(LS[[#Headers],[Unit]]:LS[[#This Row],[Unit]],LS[[#Headers],[Investor ID]]:LS[[#This Row],[Investor ID]],LS[[#This Row],[Investor ID]])</f>
        <v>16990</v>
      </c>
      <c r="Q616" s="3">
        <v>-404140</v>
      </c>
      <c r="R616" s="6">
        <f>LS[[#This Row],[Amount]]-LS[[#This Row],[Unit Capital]]</f>
        <v>-95860</v>
      </c>
      <c r="S61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12.194272176154973</v>
      </c>
      <c r="T616" s="216">
        <f t="shared" si="122"/>
        <v>12.552</v>
      </c>
      <c r="U616" s="3">
        <f>IF(LS[[#This Row],[B/S]]="B",0,ABS(LS[[#This Row],[Unit]])*(LS[[#This Row],[NAV (Strike Rate)]]-INDEX(LS[NAV at Cost (Average)],MATCH(CONCATENATE(LS[[#This Row],[Frequency]]-1,LS[[#This Row],[Investor ID]]),LS[Unique Code],0),)))</f>
        <v>7180.6842728729289</v>
      </c>
      <c r="V616" s="3" cm="1">
        <f t="array" ref="V616">IF(LS[[#This Row],[B/S]]="S",ABS(LS[[#This Row],[Unit]])*(INDEX(LS[NAV at Cost (Average)],MATCH(CONCATENATE((LS[[#This Row],[Frequency]]-1),LS[[#This Row],[Investor ID]]),LS[Unique Code],0),0)),0)</f>
        <v>492819.31572712708</v>
      </c>
      <c r="W616" s="3">
        <f>IF(LS[[#This Row],[BO Transfer]]="YES",LS[[#This Row],[Unit]],)</f>
        <v>0</v>
      </c>
      <c r="X616" s="3">
        <f>SUMIFS(LS[[#Headers],[BO UNIT TRANSFER]]:LS[[#This Row],[BO UNIT TRANSFER]],LS[[#Headers],[Investor ID]]:LS[[#This Row],[Investor ID]],LS[[#This Row],[Investor ID]])</f>
        <v>0</v>
      </c>
    </row>
    <row r="617" spans="2:24">
      <c r="B617" s="8">
        <v>2025</v>
      </c>
      <c r="C617" s="8">
        <v>9</v>
      </c>
      <c r="D617" s="8">
        <v>21</v>
      </c>
      <c r="E617" s="291">
        <f>DATE(LS[[#This Row],[Year]],LS[[#This Row],[Month]],LS[[#This Row],[Day]])</f>
        <v>45921</v>
      </c>
      <c r="F617" t="str" cm="1">
        <f t="array" ref="F617">INDEX(INVESTORS_LIST[INVESTOR NAME],MATCH(LS[[#This Row],[Investor ID]],INVESTORS_LIST[INVESTOR CODE],0),)</f>
        <v>SHUVA SAHA</v>
      </c>
      <c r="G617" s="25" t="s">
        <v>60</v>
      </c>
      <c r="H617" s="8">
        <f>COUNTIF(LS[[#Headers],[Investor ID]]:LS[[#This Row],[Investor ID]],LS[[#This Row],[Investor ID]])</f>
        <v>21</v>
      </c>
      <c r="I617" s="8" t="str">
        <f>CONCATENATE(LS[[#This Row],[Frequency]],LS[[#This Row],[Investor ID]])</f>
        <v>21A00053</v>
      </c>
      <c r="J617" s="8" t="str">
        <f>IF(LS[[#This Row],[B/S]]="B","BUY",(IF(LS[[#This Row],[B/S]]="S","SELL"," ")))</f>
        <v>SELL</v>
      </c>
      <c r="K617" s="8" t="s">
        <v>866</v>
      </c>
      <c r="L617" s="3">
        <v>-30000</v>
      </c>
      <c r="M617" s="3" t="s">
        <v>957</v>
      </c>
      <c r="N617" s="216">
        <f>LS[[#This Row],[Amount]]/LS[[#This Row],[Unit]]</f>
        <v>12.160518848804216</v>
      </c>
      <c r="O617" s="1">
        <f t="shared" si="121"/>
        <v>-2467</v>
      </c>
      <c r="P617" s="1">
        <f>SUMIFS(LS[[#Headers],[Unit]]:LS[[#This Row],[Unit]],LS[[#Headers],[Investor ID]]:LS[[#This Row],[Investor ID]],LS[[#This Row],[Investor ID]])</f>
        <v>467332</v>
      </c>
      <c r="Q617" s="3">
        <v>-24670</v>
      </c>
      <c r="R617" s="6">
        <f>LS[[#This Row],[Amount]]-LS[[#This Row],[Unit Capital]]</f>
        <v>-5330</v>
      </c>
      <c r="S61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10.664038291567913</v>
      </c>
      <c r="T617" s="216">
        <f t="shared" si="122"/>
        <v>12.552</v>
      </c>
      <c r="U617" s="3">
        <f>IF(LS[[#This Row],[B/S]]="B",0,ABS(LS[[#This Row],[Unit]])*(LS[[#This Row],[NAV (Strike Rate)]]-INDEX(LS[NAV at Cost (Average)],MATCH(CONCATENATE(LS[[#This Row],[Frequency]]-1,LS[[#This Row],[Investor ID]]),LS[Unique Code],0),)))</f>
        <v>3691.8175347019605</v>
      </c>
      <c r="V617" s="3" cm="1">
        <f t="array" ref="V617">IF(LS[[#This Row],[B/S]]="S",ABS(LS[[#This Row],[Unit]])*(INDEX(LS[NAV at Cost (Average)],MATCH(CONCATENATE((LS[[#This Row],[Frequency]]-1),LS[[#This Row],[Investor ID]]),LS[Unique Code],0),0)),0)</f>
        <v>26308.182465298039</v>
      </c>
      <c r="W617" s="3">
        <f>IF(LS[[#This Row],[BO Transfer]]="YES",LS[[#This Row],[Unit]],)</f>
        <v>-2467</v>
      </c>
      <c r="X617" s="3">
        <f>SUMIFS(LS[[#Headers],[BO UNIT TRANSFER]]:LS[[#This Row],[BO UNIT TRANSFER]],LS[[#Headers],[Investor ID]]:LS[[#This Row],[Investor ID]],LS[[#This Row],[Investor ID]])</f>
        <v>112431</v>
      </c>
    </row>
    <row r="618" spans="2:24">
      <c r="B618" s="8">
        <v>2025</v>
      </c>
      <c r="C618" s="8">
        <v>9</v>
      </c>
      <c r="D618" s="8">
        <v>21</v>
      </c>
      <c r="E618" s="291">
        <f>DATE(LS[[#This Row],[Year]],LS[[#This Row],[Month]],LS[[#This Row],[Day]])</f>
        <v>45921</v>
      </c>
      <c r="F618" t="str" cm="1">
        <f t="array" ref="F618">INDEX(INVESTORS_LIST[INVESTOR NAME],MATCH(LS[[#This Row],[Investor ID]],INVESTORS_LIST[INVESTOR CODE],0),)</f>
        <v>SHUVA SAHA</v>
      </c>
      <c r="G618" s="25" t="s">
        <v>60</v>
      </c>
      <c r="H618" s="8">
        <f>COUNTIF(LS[[#Headers],[Investor ID]]:LS[[#This Row],[Investor ID]],LS[[#This Row],[Investor ID]])</f>
        <v>22</v>
      </c>
      <c r="I618" s="8" t="str">
        <f>CONCATENATE(LS[[#This Row],[Frequency]],LS[[#This Row],[Investor ID]])</f>
        <v>22A00053</v>
      </c>
      <c r="J618" s="8" t="str">
        <f>IF(LS[[#This Row],[B/S]]="B","BUY",(IF(LS[[#This Row],[B/S]]="S","SELL"," ")))</f>
        <v>SELL</v>
      </c>
      <c r="K618" s="8" t="s">
        <v>866</v>
      </c>
      <c r="L618" s="3">
        <v>-30000</v>
      </c>
      <c r="M618" s="3" t="s">
        <v>957</v>
      </c>
      <c r="N618" s="216">
        <f>LS[[#This Row],[Amount]]/LS[[#This Row],[Unit]]</f>
        <v>12.160518848804216</v>
      </c>
      <c r="O618" s="1">
        <f t="shared" si="121"/>
        <v>-2467</v>
      </c>
      <c r="P618" s="1">
        <f>SUMIFS(LS[[#Headers],[Unit]]:LS[[#This Row],[Unit]],LS[[#Headers],[Investor ID]]:LS[[#This Row],[Investor ID]],LS[[#This Row],[Investor ID]])</f>
        <v>464865</v>
      </c>
      <c r="Q618" s="3">
        <v>-24670</v>
      </c>
      <c r="R618" s="6">
        <f>LS[[#This Row],[Amount]]-LS[[#This Row],[Unit Capital]]</f>
        <v>-5330</v>
      </c>
      <c r="S61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10.664038291567913</v>
      </c>
      <c r="T618" s="216">
        <f t="shared" si="122"/>
        <v>12.552</v>
      </c>
      <c r="U618" s="3">
        <f>IF(LS[[#This Row],[B/S]]="B",0,ABS(LS[[#This Row],[Unit]])*(LS[[#This Row],[NAV (Strike Rate)]]-INDEX(LS[NAV at Cost (Average)],MATCH(CONCATENATE(LS[[#This Row],[Frequency]]-1,LS[[#This Row],[Investor ID]]),LS[Unique Code],0),)))</f>
        <v>3691.8175347019605</v>
      </c>
      <c r="V618" s="3" cm="1">
        <f t="array" ref="V618">IF(LS[[#This Row],[B/S]]="S",ABS(LS[[#This Row],[Unit]])*(INDEX(LS[NAV at Cost (Average)],MATCH(CONCATENATE((LS[[#This Row],[Frequency]]-1),LS[[#This Row],[Investor ID]]),LS[Unique Code],0),0)),0)</f>
        <v>26308.182465298039</v>
      </c>
      <c r="W618" s="3">
        <f>IF(LS[[#This Row],[BO Transfer]]="YES",LS[[#This Row],[Unit]],)</f>
        <v>-2467</v>
      </c>
      <c r="X618" s="3">
        <f>SUMIFS(LS[[#Headers],[BO UNIT TRANSFER]]:LS[[#This Row],[BO UNIT TRANSFER]],LS[[#Headers],[Investor ID]]:LS[[#This Row],[Investor ID]],LS[[#This Row],[Investor ID]])</f>
        <v>109964</v>
      </c>
    </row>
    <row r="619" spans="2:24">
      <c r="B619" s="8">
        <v>2025</v>
      </c>
      <c r="C619" s="8">
        <v>9</v>
      </c>
      <c r="D619" s="8">
        <v>21</v>
      </c>
      <c r="E619" s="291">
        <f>DATE(LS[[#This Row],[Year]],LS[[#This Row],[Month]],LS[[#This Row],[Day]])</f>
        <v>45921</v>
      </c>
      <c r="F619" t="str" cm="1">
        <f t="array" ref="F619">INDEX(INVESTORS_LIST[INVESTOR NAME],MATCH(LS[[#This Row],[Investor ID]],INVESTORS_LIST[INVESTOR CODE],0),)</f>
        <v>RAKIBUL HASSAN</v>
      </c>
      <c r="G619" s="25" t="s">
        <v>1500</v>
      </c>
      <c r="H619" s="8">
        <f>COUNTIF(LS[[#Headers],[Investor ID]]:LS[[#This Row],[Investor ID]],LS[[#This Row],[Investor ID]])</f>
        <v>2</v>
      </c>
      <c r="I619" s="8" t="str">
        <f>CONCATENATE(LS[[#This Row],[Frequency]],LS[[#This Row],[Investor ID]])</f>
        <v>2A00655</v>
      </c>
      <c r="J619" s="8" t="str">
        <f>IF(LS[[#This Row],[B/S]]="B","BUY",(IF(LS[[#This Row],[B/S]]="S","SELL"," ")))</f>
        <v>SELL</v>
      </c>
      <c r="K619" s="8" t="s">
        <v>866</v>
      </c>
      <c r="L619" s="3">
        <v>-100194.48</v>
      </c>
      <c r="M619" s="3"/>
      <c r="N619" s="216">
        <f>LS[[#This Row],[Amount]]/LS[[#This Row],[Unit]]</f>
        <v>12.161000121373952</v>
      </c>
      <c r="O619" s="1">
        <f t="shared" si="121"/>
        <v>-8239</v>
      </c>
      <c r="P619" s="1">
        <f>SUMIFS(LS[[#Headers],[Unit]]:LS[[#This Row],[Unit]],LS[[#Headers],[Investor ID]]:LS[[#This Row],[Investor ID]],LS[[#This Row],[Investor ID]])</f>
        <v>0</v>
      </c>
      <c r="Q619" s="3">
        <v>-82390</v>
      </c>
      <c r="R619" s="6">
        <f>LS[[#This Row],[Amount]]-LS[[#This Row],[Unit Capital]]</f>
        <v>-17804.479999999996</v>
      </c>
      <c r="S61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619" s="216">
        <f t="shared" si="122"/>
        <v>12.552</v>
      </c>
      <c r="U619" s="3">
        <f>IF(LS[[#This Row],[B/S]]="B",0,ABS(LS[[#This Row],[Unit]])*(LS[[#This Row],[NAV (Strike Rate)]]-INDEX(LS[NAV at Cost (Average)],MATCH(CONCATENATE(LS[[#This Row],[Frequency]]-1,LS[[#This Row],[Investor ID]]),LS[Unique Code],0),)))</f>
        <v>194.47999999999502</v>
      </c>
      <c r="V619" s="3" cm="1">
        <f t="array" ref="V619">IF(LS[[#This Row],[B/S]]="S",ABS(LS[[#This Row],[Unit]])*(INDEX(LS[NAV at Cost (Average)],MATCH(CONCATENATE((LS[[#This Row],[Frequency]]-1),LS[[#This Row],[Investor ID]]),LS[Unique Code],0),0)),0)</f>
        <v>100000</v>
      </c>
      <c r="W619" s="3">
        <f>IF(LS[[#This Row],[BO Transfer]]="YES",LS[[#This Row],[Unit]],)</f>
        <v>0</v>
      </c>
      <c r="X619" s="3">
        <f>SUMIFS(LS[[#Headers],[BO UNIT TRANSFER]]:LS[[#This Row],[BO UNIT TRANSFER]],LS[[#Headers],[Investor ID]]:LS[[#This Row],[Investor ID]],LS[[#This Row],[Investor ID]])</f>
        <v>0</v>
      </c>
    </row>
    <row r="620" spans="2:24">
      <c r="B620" s="8">
        <v>2025</v>
      </c>
      <c r="C620" s="8">
        <v>9</v>
      </c>
      <c r="D620" s="8">
        <v>24</v>
      </c>
      <c r="E620" s="291">
        <f>DATE(LS[[#This Row],[Year]],LS[[#This Row],[Month]],LS[[#This Row],[Day]])</f>
        <v>45924</v>
      </c>
      <c r="F620" t="str" cm="1">
        <f t="array" ref="F620">INDEX(INVESTORS_LIST[INVESTOR NAME],MATCH(LS[[#This Row],[Investor ID]],INVESTORS_LIST[INVESTOR CODE],0),)</f>
        <v>SAJIB ARAFAT SIDDIQUI</v>
      </c>
      <c r="G620" s="25" t="s">
        <v>1467</v>
      </c>
      <c r="H620" s="8">
        <f>COUNTIF(LS[[#Headers],[Investor ID]]:LS[[#This Row],[Investor ID]],LS[[#This Row],[Investor ID]])</f>
        <v>2</v>
      </c>
      <c r="I620" s="8" t="str">
        <f>CONCATENATE(LS[[#This Row],[Frequency]],LS[[#This Row],[Investor ID]])</f>
        <v>2A00638</v>
      </c>
      <c r="J620" s="8" t="str">
        <f>IF(LS[[#This Row],[B/S]]="B","BUY",(IF(LS[[#This Row],[B/S]]="S","SELL"," ")))</f>
        <v>SELL</v>
      </c>
      <c r="K620" s="8" t="s">
        <v>866</v>
      </c>
      <c r="L620" s="3">
        <v>-134549.29999999999</v>
      </c>
      <c r="M620" s="3"/>
      <c r="N620" s="216">
        <f>LS[[#This Row],[Amount]]/LS[[#This Row],[Unit]]</f>
        <v>12.1609996384671</v>
      </c>
      <c r="O620" s="1">
        <f t="shared" si="121"/>
        <v>-11064</v>
      </c>
      <c r="P620" s="1">
        <f>SUMIFS(LS[[#Headers],[Unit]]:LS[[#This Row],[Unit]],LS[[#Headers],[Investor ID]]:LS[[#This Row],[Investor ID]],LS[[#This Row],[Investor ID]])</f>
        <v>0</v>
      </c>
      <c r="Q620" s="3">
        <v>-110640</v>
      </c>
      <c r="R620" s="6">
        <f>LS[[#This Row],[Amount]]-LS[[#This Row],[Unit Capital]]</f>
        <v>-23909.299999999988</v>
      </c>
      <c r="S62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620" s="216">
        <f t="shared" si="122"/>
        <v>12.552</v>
      </c>
      <c r="U620" s="3">
        <f>IF(LS[[#This Row],[B/S]]="B",0,ABS(LS[[#This Row],[Unit]])*(LS[[#This Row],[NAV (Strike Rate)]]-INDEX(LS[NAV at Cost (Average)],MATCH(CONCATENATE(LS[[#This Row],[Frequency]]-1,LS[[#This Row],[Investor ID]]),LS[Unique Code],0),)))</f>
        <v>14549.300000000003</v>
      </c>
      <c r="V620" s="3" cm="1">
        <f t="array" ref="V620">IF(LS[[#This Row],[B/S]]="S",ABS(LS[[#This Row],[Unit]])*(INDEX(LS[NAV at Cost (Average)],MATCH(CONCATENATE((LS[[#This Row],[Frequency]]-1),LS[[#This Row],[Investor ID]]),LS[Unique Code],0),0)),0)</f>
        <v>119999.99999999999</v>
      </c>
      <c r="W620" s="3">
        <f>IF(LS[[#This Row],[BO Transfer]]="YES",LS[[#This Row],[Unit]],)</f>
        <v>0</v>
      </c>
      <c r="X620" s="3">
        <f>SUMIFS(LS[[#Headers],[BO UNIT TRANSFER]]:LS[[#This Row],[BO UNIT TRANSFER]],LS[[#Headers],[Investor ID]]:LS[[#This Row],[Investor ID]],LS[[#This Row],[Investor ID]])</f>
        <v>0</v>
      </c>
    </row>
    <row r="621" spans="2:24">
      <c r="B621" s="8">
        <v>2025</v>
      </c>
      <c r="C621" s="8">
        <v>9</v>
      </c>
      <c r="D621" s="8">
        <v>29</v>
      </c>
      <c r="E621" s="291">
        <f>DATE(LS[[#This Row],[Year]],LS[[#This Row],[Month]],LS[[#This Row],[Day]])</f>
        <v>45929</v>
      </c>
      <c r="F621" t="str" cm="1">
        <f t="array" ref="F621">INDEX(INVESTORS_LIST[INVESTOR NAME],MATCH(LS[[#This Row],[Investor ID]],INVESTORS_LIST[INVESTOR CODE],0),)</f>
        <v>SONIA REZINA</v>
      </c>
      <c r="G621" s="25" t="s">
        <v>1518</v>
      </c>
      <c r="H621" s="8">
        <f>COUNTIF(LS[[#Headers],[Investor ID]]:LS[[#This Row],[Investor ID]],LS[[#This Row],[Investor ID]])</f>
        <v>1</v>
      </c>
      <c r="I621" s="8" t="str">
        <f>CONCATENATE(LS[[#This Row],[Frequency]],LS[[#This Row],[Investor ID]])</f>
        <v>1A00662</v>
      </c>
      <c r="J621" s="8" t="str">
        <f>IF(LS[[#This Row],[B/S]]="B","BUY",(IF(LS[[#This Row],[B/S]]="S","SELL"," ")))</f>
        <v>BUY</v>
      </c>
      <c r="K621" s="8" t="s">
        <v>301</v>
      </c>
      <c r="L621" s="3">
        <v>310000</v>
      </c>
      <c r="M621" s="3" t="s">
        <v>957</v>
      </c>
      <c r="N621" s="216">
        <f>LS[[#This Row],[Amount]]/LS[[#This Row],[Unit]]</f>
        <v>12.154956085319951</v>
      </c>
      <c r="O621" s="1">
        <f t="shared" ref="O621:O626" si="123">Q621/10</f>
        <v>25504</v>
      </c>
      <c r="P621" s="1">
        <f>SUMIFS(LS[[#Headers],[Unit]]:LS[[#This Row],[Unit]],LS[[#Headers],[Investor ID]]:LS[[#This Row],[Investor ID]],LS[[#This Row],[Investor ID]])</f>
        <v>25504</v>
      </c>
      <c r="Q621" s="3">
        <v>255040</v>
      </c>
      <c r="R621" s="6">
        <f>LS[[#This Row],[Amount]]-LS[[#This Row],[Unit Capital]]</f>
        <v>54960</v>
      </c>
      <c r="S62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12.154956085319951</v>
      </c>
      <c r="T621" s="216">
        <f t="shared" ref="T621:T626" si="124">IFERROR(NAV_MKT,0)</f>
        <v>12.552</v>
      </c>
      <c r="U62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21" s="3" cm="1">
        <f t="array" ref="V621">IF(LS[[#This Row],[B/S]]="S",ABS(LS[[#This Row],[Unit]])*(INDEX(LS[NAV at Cost (Average)],MATCH(CONCATENATE((LS[[#This Row],[Frequency]]-1),LS[[#This Row],[Investor ID]]),LS[Unique Code],0),0)),0)</f>
        <v>0</v>
      </c>
      <c r="W621" s="3">
        <f>IF(LS[[#This Row],[BO Transfer]]="YES",LS[[#This Row],[Unit]],)</f>
        <v>25504</v>
      </c>
      <c r="X621" s="3">
        <f>SUMIFS(LS[[#Headers],[BO UNIT TRANSFER]]:LS[[#This Row],[BO UNIT TRANSFER]],LS[[#Headers],[Investor ID]]:LS[[#This Row],[Investor ID]],LS[[#This Row],[Investor ID]])</f>
        <v>25504</v>
      </c>
    </row>
    <row r="622" spans="2:24">
      <c r="B622" s="8">
        <v>2025</v>
      </c>
      <c r="C622" s="8">
        <v>10</v>
      </c>
      <c r="D622" s="8">
        <v>13</v>
      </c>
      <c r="E622" s="291">
        <f>DATE(LS[[#This Row],[Year]],LS[[#This Row],[Month]],LS[[#This Row],[Day]])</f>
        <v>45943</v>
      </c>
      <c r="F622" t="str" cm="1">
        <f t="array" ref="F622">INDEX(INVESTORS_LIST[INVESTOR NAME],MATCH(LS[[#This Row],[Investor ID]],INVESTORS_LIST[INVESTOR CODE],0),)</f>
        <v>SHARMIN AKTER</v>
      </c>
      <c r="G622" s="25" t="s">
        <v>1428</v>
      </c>
      <c r="H622" s="8">
        <f>COUNTIF(LS[[#Headers],[Investor ID]]:LS[[#This Row],[Investor ID]],LS[[#This Row],[Investor ID]])</f>
        <v>5</v>
      </c>
      <c r="I622" s="8" t="str">
        <f>CONCATENATE(LS[[#This Row],[Frequency]],LS[[#This Row],[Investor ID]])</f>
        <v>5A00617</v>
      </c>
      <c r="J622" s="52" t="str">
        <f>IF(LS[[#This Row],[B/S]]="B","BUY",(IF(LS[[#This Row],[B/S]]="S","SELL"," ")))</f>
        <v>SELL</v>
      </c>
      <c r="K622" s="8" t="s">
        <v>866</v>
      </c>
      <c r="L622" s="3">
        <v>-206003.75</v>
      </c>
      <c r="M622" s="3"/>
      <c r="N622" s="216">
        <f>LS[[#This Row],[Amount]]/LS[[#This Row],[Unit]]</f>
        <v>12.125</v>
      </c>
      <c r="O622" s="1">
        <f t="shared" si="123"/>
        <v>-16990</v>
      </c>
      <c r="P622" s="1">
        <f>SUMIFS(LS[[#Headers],[Unit]]:LS[[#This Row],[Unit]],LS[[#Headers],[Investor ID]]:LS[[#This Row],[Investor ID]],LS[[#This Row],[Investor ID]])</f>
        <v>0</v>
      </c>
      <c r="Q622" s="3">
        <v>-169900</v>
      </c>
      <c r="R622" s="6">
        <f>LS[[#This Row],[Amount]]-LS[[#This Row],[Unit Capital]]</f>
        <v>-36103.75</v>
      </c>
      <c r="S62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622" s="216">
        <f t="shared" si="124"/>
        <v>12.552</v>
      </c>
      <c r="U622" s="3">
        <f>IF(LS[[#This Row],[B/S]]="B",0,ABS(LS[[#This Row],[Unit]])*(LS[[#This Row],[NAV (Strike Rate)]]-INDEX(LS[NAV at Cost (Average)],MATCH(CONCATENATE(LS[[#This Row],[Frequency]]-1,LS[[#This Row],[Investor ID]]),LS[Unique Code],0),)))</f>
        <v>-1176.9342728729921</v>
      </c>
      <c r="V622" s="3" cm="1">
        <f t="array" ref="V622">IF(LS[[#This Row],[B/S]]="S",ABS(LS[[#This Row],[Unit]])*(INDEX(LS[NAV at Cost (Average)],MATCH(CONCATENATE((LS[[#This Row],[Frequency]]-1),LS[[#This Row],[Investor ID]]),LS[Unique Code],0),0)),0)</f>
        <v>207180.68427287298</v>
      </c>
      <c r="W622" s="3">
        <f>IF(LS[[#This Row],[BO Transfer]]="YES",LS[[#This Row],[Unit]],)</f>
        <v>0</v>
      </c>
      <c r="X622" s="3">
        <f>SUMIFS(LS[[#Headers],[BO UNIT TRANSFER]]:LS[[#This Row],[BO UNIT TRANSFER]],LS[[#Headers],[Investor ID]]:LS[[#This Row],[Investor ID]],LS[[#This Row],[Investor ID]])</f>
        <v>0</v>
      </c>
    </row>
    <row r="623" spans="2:24">
      <c r="B623" s="8">
        <v>2025</v>
      </c>
      <c r="C623" s="8">
        <v>10</v>
      </c>
      <c r="D623" s="8">
        <v>22</v>
      </c>
      <c r="E623" s="291">
        <f>DATE(LS[[#This Row],[Year]],LS[[#This Row],[Month]],LS[[#This Row],[Day]])</f>
        <v>45952</v>
      </c>
      <c r="F623" t="str" cm="1">
        <f t="array" ref="F623">INDEX(INVESTORS_LIST[INVESTOR NAME],MATCH(LS[[#This Row],[Investor ID]],INVESTORS_LIST[INVESTOR CODE],0),)</f>
        <v>MAZED AHMED ABDULLAH</v>
      </c>
      <c r="G623" s="25" t="s">
        <v>913</v>
      </c>
      <c r="H623" s="8">
        <f>COUNTIF(LS[[#Headers],[Investor ID]]:LS[[#This Row],[Investor ID]],LS[[#This Row],[Investor ID]])</f>
        <v>6</v>
      </c>
      <c r="I623" s="8" t="str">
        <f>CONCATENATE(LS[[#This Row],[Frequency]],LS[[#This Row],[Investor ID]])</f>
        <v>6A00419</v>
      </c>
      <c r="J623" s="52" t="str">
        <f>IF(LS[[#This Row],[B/S]]="B","BUY",(IF(LS[[#This Row],[B/S]]="S","SELL"," ")))</f>
        <v>SELL</v>
      </c>
      <c r="K623" s="8" t="s">
        <v>866</v>
      </c>
      <c r="L623" s="3">
        <v>-200000</v>
      </c>
      <c r="M623" s="3"/>
      <c r="N623" s="216">
        <f>LS[[#This Row],[Amount]]/LS[[#This Row],[Unit]]</f>
        <v>11.94600406164138</v>
      </c>
      <c r="O623" s="1">
        <f t="shared" si="123"/>
        <v>-16742</v>
      </c>
      <c r="P623" s="1">
        <f>SUMIFS(LS[[#Headers],[Unit]]:LS[[#This Row],[Unit]],LS[[#Headers],[Investor ID]]:LS[[#This Row],[Investor ID]],LS[[#This Row],[Investor ID]])</f>
        <v>3471</v>
      </c>
      <c r="Q623" s="3">
        <v>-167420</v>
      </c>
      <c r="R623" s="6">
        <f>LS[[#This Row],[Amount]]-LS[[#This Row],[Unit Capital]]</f>
        <v>-32580</v>
      </c>
      <c r="S62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10.175160232680835</v>
      </c>
      <c r="T623" s="216">
        <f t="shared" si="124"/>
        <v>12.552</v>
      </c>
      <c r="U623" s="3">
        <f>IF(LS[[#This Row],[B/S]]="B",0,ABS(LS[[#This Row],[Unit]])*(LS[[#This Row],[NAV (Strike Rate)]]-INDEX(LS[NAV at Cost (Average)],MATCH(CONCATENATE(LS[[#This Row],[Frequency]]-1,LS[[#This Row],[Investor ID]]),LS[Unique Code],0),)))</f>
        <v>29647.467384457457</v>
      </c>
      <c r="V623" s="3" cm="1">
        <f t="array" ref="V623">IF(LS[[#This Row],[B/S]]="S",ABS(LS[[#This Row],[Unit]])*(INDEX(LS[NAV at Cost (Average)],MATCH(CONCATENATE((LS[[#This Row],[Frequency]]-1),LS[[#This Row],[Investor ID]]),LS[Unique Code],0),0)),0)</f>
        <v>170352.53261554253</v>
      </c>
      <c r="W623" s="3">
        <f>IF(LS[[#This Row],[BO Transfer]]="YES",LS[[#This Row],[Unit]],)</f>
        <v>0</v>
      </c>
      <c r="X623" s="3">
        <f>SUMIFS(LS[[#Headers],[BO UNIT TRANSFER]]:LS[[#This Row],[BO UNIT TRANSFER]],LS[[#Headers],[Investor ID]]:LS[[#This Row],[Investor ID]],LS[[#This Row],[Investor ID]])</f>
        <v>0</v>
      </c>
    </row>
    <row r="624" spans="2:24">
      <c r="B624" s="8">
        <v>2025</v>
      </c>
      <c r="C624" s="8">
        <v>10</v>
      </c>
      <c r="D624" s="8">
        <v>22</v>
      </c>
      <c r="E624" s="291">
        <f>DATE(LS[[#This Row],[Year]],LS[[#This Row],[Month]],LS[[#This Row],[Day]])</f>
        <v>45952</v>
      </c>
      <c r="F624" t="str" cm="1">
        <f t="array" ref="F624">INDEX(INVESTORS_LIST[INVESTOR NAME],MATCH(LS[[#This Row],[Investor ID]],INVESTORS_LIST[INVESTOR CODE],0),)</f>
        <v>NASRIN AHMED HELA</v>
      </c>
      <c r="G624" s="25" t="s">
        <v>935</v>
      </c>
      <c r="H624" s="8">
        <f>COUNTIF(LS[[#Headers],[Investor ID]]:LS[[#This Row],[Investor ID]],LS[[#This Row],[Investor ID]])</f>
        <v>8</v>
      </c>
      <c r="I624" s="8" t="str">
        <f>CONCATENATE(LS[[#This Row],[Frequency]],LS[[#This Row],[Investor ID]])</f>
        <v>8A00428</v>
      </c>
      <c r="J624" s="8" t="str">
        <f>IF(LS[[#This Row],[B/S]]="B","BUY",(IF(LS[[#This Row],[B/S]]="S","SELL"," ")))</f>
        <v>SELL</v>
      </c>
      <c r="K624" s="8" t="s">
        <v>866</v>
      </c>
      <c r="L624" s="3">
        <v>-100000</v>
      </c>
      <c r="M624" s="3"/>
      <c r="N624" s="216">
        <f>LS[[#This Row],[Amount]]/LS[[#This Row],[Unit]]</f>
        <v>11.94600406164138</v>
      </c>
      <c r="O624" s="1">
        <f t="shared" si="123"/>
        <v>-8371</v>
      </c>
      <c r="P624" s="1">
        <f>SUMIFS(LS[[#Headers],[Unit]]:LS[[#This Row],[Unit]],LS[[#Headers],[Investor ID]]:LS[[#This Row],[Investor ID]],LS[[#This Row],[Investor ID]])</f>
        <v>2860</v>
      </c>
      <c r="Q624" s="3">
        <v>-83710</v>
      </c>
      <c r="R624" s="6">
        <f>LS[[#This Row],[Amount]]-LS[[#This Row],[Unit Capital]]</f>
        <v>-16290</v>
      </c>
      <c r="S62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10.181779505857671</v>
      </c>
      <c r="T624" s="216">
        <f t="shared" si="124"/>
        <v>12.552</v>
      </c>
      <c r="U624" s="3">
        <f>IF(LS[[#This Row],[B/S]]="B",0,ABS(LS[[#This Row],[Unit]])*(LS[[#This Row],[NAV (Strike Rate)]]-INDEX(LS[NAV at Cost (Average)],MATCH(CONCATENATE(LS[[#This Row],[Frequency]]-1,LS[[#This Row],[Investor ID]]),LS[Unique Code],0),)))</f>
        <v>14768.32375646543</v>
      </c>
      <c r="V624" s="3" cm="1">
        <f t="array" ref="V624">IF(LS[[#This Row],[B/S]]="S",ABS(LS[[#This Row],[Unit]])*(INDEX(LS[NAV at Cost (Average)],MATCH(CONCATENATE((LS[[#This Row],[Frequency]]-1),LS[[#This Row],[Investor ID]]),LS[Unique Code],0),0)),0)</f>
        <v>85231.676243534559</v>
      </c>
      <c r="W624" s="3">
        <f>IF(LS[[#This Row],[BO Transfer]]="YES",LS[[#This Row],[Unit]],)</f>
        <v>0</v>
      </c>
      <c r="X624" s="3">
        <f>SUMIFS(LS[[#Headers],[BO UNIT TRANSFER]]:LS[[#This Row],[BO UNIT TRANSFER]],LS[[#Headers],[Investor ID]]:LS[[#This Row],[Investor ID]],LS[[#This Row],[Investor ID]])</f>
        <v>0</v>
      </c>
    </row>
    <row r="625" spans="2:24">
      <c r="B625" s="8">
        <v>2025</v>
      </c>
      <c r="C625" s="8">
        <v>10</v>
      </c>
      <c r="D625" s="8">
        <v>28</v>
      </c>
      <c r="E625" s="291">
        <f>DATE(LS[[#This Row],[Year]],LS[[#This Row],[Month]],LS[[#This Row],[Day]])</f>
        <v>45958</v>
      </c>
      <c r="F625" t="str" cm="1">
        <f t="array" ref="F625">INDEX(INVESTORS_LIST[INVESTOR NAME],MATCH(LS[[#This Row],[Investor ID]],INVESTORS_LIST[INVESTOR CODE],0),)</f>
        <v>EKUSH WEALTH MANAGEMENT LIMITED</v>
      </c>
      <c r="G625" s="25" t="s">
        <v>4</v>
      </c>
      <c r="H625" s="8">
        <f>COUNTIF(LS[[#Headers],[Investor ID]]:LS[[#This Row],[Investor ID]],LS[[#This Row],[Investor ID]])</f>
        <v>33</v>
      </c>
      <c r="I625" s="8" t="str">
        <f>CONCATENATE(LS[[#This Row],[Frequency]],LS[[#This Row],[Investor ID]])</f>
        <v>33A00003</v>
      </c>
      <c r="J625" s="8" t="str">
        <f>IF(LS[[#This Row],[B/S]]="B","BUY",(IF(LS[[#This Row],[B/S]]="S","SELL"," ")))</f>
        <v>SELL</v>
      </c>
      <c r="K625" s="8" t="s">
        <v>866</v>
      </c>
      <c r="L625" s="3">
        <v>-20000</v>
      </c>
      <c r="M625" s="3"/>
      <c r="N625" s="216">
        <f>LS[[#This Row],[Amount]]/LS[[#This Row],[Unit]]</f>
        <v>12.01923076923077</v>
      </c>
      <c r="O625" s="1">
        <f t="shared" si="123"/>
        <v>-1664</v>
      </c>
      <c r="P625" s="1">
        <f>SUMIFS(LS[[#Headers],[Unit]]:LS[[#This Row],[Unit]],LS[[#Headers],[Investor ID]]:LS[[#This Row],[Investor ID]],LS[[#This Row],[Investor ID]])</f>
        <v>2909361</v>
      </c>
      <c r="Q625" s="3">
        <v>-16640</v>
      </c>
      <c r="R625" s="6">
        <f>LS[[#This Row],[Amount]]-LS[[#This Row],[Unit Capital]]</f>
        <v>-3360</v>
      </c>
      <c r="S62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10.168354841870986</v>
      </c>
      <c r="T625" s="216">
        <f t="shared" si="124"/>
        <v>12.552</v>
      </c>
      <c r="U625" s="3">
        <f>IF(LS[[#This Row],[B/S]]="B",0,ABS(LS[[#This Row],[Unit]])*(LS[[#This Row],[NAV (Strike Rate)]]-INDEX(LS[NAV at Cost (Average)],MATCH(CONCATENATE(LS[[#This Row],[Frequency]]-1,LS[[#This Row],[Investor ID]]),LS[Unique Code],0),)))</f>
        <v>3079.8575431266804</v>
      </c>
      <c r="V625" s="3" cm="1">
        <f t="array" ref="V625">IF(LS[[#This Row],[B/S]]="S",ABS(LS[[#This Row],[Unit]])*(INDEX(LS[NAV at Cost (Average)],MATCH(CONCATENATE((LS[[#This Row],[Frequency]]-1),LS[[#This Row],[Investor ID]]),LS[Unique Code],0),0)),0)</f>
        <v>16920.14245687332</v>
      </c>
      <c r="W625" s="3">
        <f>IF(LS[[#This Row],[BO Transfer]]="YES",LS[[#This Row],[Unit]],)</f>
        <v>0</v>
      </c>
      <c r="X625" s="3">
        <f>SUMIFS(LS[[#Headers],[BO UNIT TRANSFER]]:LS[[#This Row],[BO UNIT TRANSFER]],LS[[#Headers],[Investor ID]]:LS[[#This Row],[Investor ID]],LS[[#This Row],[Investor ID]])</f>
        <v>0</v>
      </c>
    </row>
    <row r="626" spans="2:24">
      <c r="B626" s="8">
        <v>2025</v>
      </c>
      <c r="C626" s="8">
        <v>10</v>
      </c>
      <c r="D626" s="8">
        <v>29</v>
      </c>
      <c r="E626" s="291">
        <f>DATE(LS[[#This Row],[Year]],LS[[#This Row],[Month]],LS[[#This Row],[Day]])</f>
        <v>45959</v>
      </c>
      <c r="F626" t="str" cm="1">
        <f t="array" ref="F626">INDEX(INVESTORS_LIST[INVESTOR NAME],MATCH(LS[[#This Row],[Investor ID]],INVESTORS_LIST[INVESTOR CODE],0),)</f>
        <v>MD. OMAR FARUQUE Al QUADERI</v>
      </c>
      <c r="G626" s="25" t="s">
        <v>63</v>
      </c>
      <c r="H626" s="8">
        <f>COUNTIF(LS[[#Headers],[Investor ID]]:LS[[#This Row],[Investor ID]],LS[[#This Row],[Investor ID]])</f>
        <v>1</v>
      </c>
      <c r="I626" s="8" t="str">
        <f>CONCATENATE(LS[[#This Row],[Frequency]],LS[[#This Row],[Investor ID]])</f>
        <v>1A00056</v>
      </c>
      <c r="J626" s="8" t="str">
        <f>IF(LS[[#This Row],[B/S]]="B","BUY",(IF(LS[[#This Row],[B/S]]="S","SELL"," ")))</f>
        <v>BUY</v>
      </c>
      <c r="K626" s="8" t="s">
        <v>301</v>
      </c>
      <c r="L626" s="3">
        <v>5000</v>
      </c>
      <c r="M626" s="3"/>
      <c r="N626" s="216">
        <f>LS[[#This Row],[Amount]]/LS[[#This Row],[Unit]]</f>
        <v>12.01923076923077</v>
      </c>
      <c r="O626" s="1">
        <f t="shared" si="123"/>
        <v>416</v>
      </c>
      <c r="P626" s="1">
        <f>SUMIFS(LS[[#Headers],[Unit]]:LS[[#This Row],[Unit]],LS[[#Headers],[Investor ID]]:LS[[#This Row],[Investor ID]],LS[[#This Row],[Investor ID]])</f>
        <v>416</v>
      </c>
      <c r="Q626" s="3">
        <v>4160</v>
      </c>
      <c r="R626" s="6">
        <f>LS[[#This Row],[Amount]]-LS[[#This Row],[Unit Capital]]</f>
        <v>840</v>
      </c>
      <c r="S62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12.01923076923077</v>
      </c>
      <c r="T626" s="216">
        <f t="shared" si="124"/>
        <v>12.552</v>
      </c>
      <c r="U62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26" s="3" cm="1">
        <f t="array" ref="V626">IF(LS[[#This Row],[B/S]]="S",ABS(LS[[#This Row],[Unit]])*(INDEX(LS[NAV at Cost (Average)],MATCH(CONCATENATE((LS[[#This Row],[Frequency]]-1),LS[[#This Row],[Investor ID]]),LS[Unique Code],0),0)),0)</f>
        <v>0</v>
      </c>
      <c r="W626" s="3">
        <f>IF(LS[[#This Row],[BO Transfer]]="YES",LS[[#This Row],[Unit]],)</f>
        <v>0</v>
      </c>
      <c r="X626" s="3">
        <f>SUMIFS(LS[[#Headers],[BO UNIT TRANSFER]]:LS[[#This Row],[BO UNIT TRANSFER]],LS[[#Headers],[Investor ID]]:LS[[#This Row],[Investor ID]],LS[[#This Row],[Investor ID]])</f>
        <v>0</v>
      </c>
    </row>
    <row r="627" spans="2:24">
      <c r="B627" s="8">
        <v>2025</v>
      </c>
      <c r="C627" s="8">
        <v>11</v>
      </c>
      <c r="D627" s="8">
        <v>5</v>
      </c>
      <c r="E627" s="291">
        <f>DATE(LS[[#This Row],[Year]],LS[[#This Row],[Month]],LS[[#This Row],[Day]])</f>
        <v>45966</v>
      </c>
      <c r="F627" t="str" cm="1">
        <f t="array" ref="F627">INDEX(INVESTORS_LIST[INVESTOR NAME],MATCH(LS[[#This Row],[Investor ID]],INVESTORS_LIST[INVESTOR CODE],0),)</f>
        <v>EKUSH WEALTH MANAGEMENT LIMITED</v>
      </c>
      <c r="G627" s="25" t="s">
        <v>4</v>
      </c>
      <c r="H627" s="8">
        <f>COUNTIF(LS[[#Headers],[Investor ID]]:LS[[#This Row],[Investor ID]],LS[[#This Row],[Investor ID]])</f>
        <v>34</v>
      </c>
      <c r="I627" s="8" t="str">
        <f>CONCATENATE(LS[[#This Row],[Frequency]],LS[[#This Row],[Investor ID]])</f>
        <v>34A00003</v>
      </c>
      <c r="J627" s="8" t="str">
        <f>IF(LS[[#This Row],[B/S]]="B","BUY",(IF(LS[[#This Row],[B/S]]="S","SELL"," ")))</f>
        <v>SELL</v>
      </c>
      <c r="K627" s="8" t="s">
        <v>866</v>
      </c>
      <c r="L627" s="3">
        <v>-10000</v>
      </c>
      <c r="M627" s="3"/>
      <c r="N627" s="216">
        <f>LS[[#This Row],[Amount]]/LS[[#This Row],[Unit]]</f>
        <v>11.918951132300357</v>
      </c>
      <c r="O627" s="1">
        <f t="shared" ref="O627:O632" si="125">Q627/10</f>
        <v>-839</v>
      </c>
      <c r="P627" s="1">
        <f>SUMIFS(LS[[#Headers],[Unit]]:LS[[#This Row],[Unit]],LS[[#Headers],[Investor ID]]:LS[[#This Row],[Investor ID]],LS[[#This Row],[Investor ID]])</f>
        <v>2908522</v>
      </c>
      <c r="Q627" s="3">
        <v>-8390</v>
      </c>
      <c r="R627" s="6">
        <f>LS[[#This Row],[Amount]]-LS[[#This Row],[Unit Capital]]</f>
        <v>-1610</v>
      </c>
      <c r="S62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10.168354841870986</v>
      </c>
      <c r="T627" s="216">
        <f t="shared" ref="T627:T632" si="126">IFERROR(NAV_MKT,0)</f>
        <v>12.552</v>
      </c>
      <c r="U627" s="3">
        <f>IF(LS[[#This Row],[B/S]]="B",0,ABS(LS[[#This Row],[Unit]])*(LS[[#This Row],[NAV (Strike Rate)]]-INDEX(LS[NAV at Cost (Average)],MATCH(CONCATENATE(LS[[#This Row],[Frequency]]-1,LS[[#This Row],[Investor ID]]),LS[Unique Code],0),)))</f>
        <v>1468.7502876702424</v>
      </c>
      <c r="V627" s="3" cm="1">
        <f t="array" ref="V627">IF(LS[[#This Row],[B/S]]="S",ABS(LS[[#This Row],[Unit]])*(INDEX(LS[NAV at Cost (Average)],MATCH(CONCATENATE((LS[[#This Row],[Frequency]]-1),LS[[#This Row],[Investor ID]]),LS[Unique Code],0),0)),0)</f>
        <v>8531.249712329758</v>
      </c>
      <c r="W627" s="3">
        <f>IF(LS[[#This Row],[BO Transfer]]="YES",LS[[#This Row],[Unit]],)</f>
        <v>0</v>
      </c>
      <c r="X627" s="3">
        <f>SUMIFS(LS[[#Headers],[BO UNIT TRANSFER]]:LS[[#This Row],[BO UNIT TRANSFER]],LS[[#Headers],[Investor ID]]:LS[[#This Row],[Investor ID]],LS[[#This Row],[Investor ID]])</f>
        <v>0</v>
      </c>
    </row>
    <row r="628" spans="2:24">
      <c r="B628" s="8">
        <v>2025</v>
      </c>
      <c r="C628" s="8">
        <v>11</v>
      </c>
      <c r="D628" s="8">
        <v>5</v>
      </c>
      <c r="E628" s="291">
        <f>DATE(LS[[#This Row],[Year]],LS[[#This Row],[Month]],LS[[#This Row],[Day]])</f>
        <v>45966</v>
      </c>
      <c r="F628" t="str" cm="1">
        <f t="array" ref="F628">INDEX(INVESTORS_LIST[INVESTOR NAME],MATCH(LS[[#This Row],[Investor ID]],INVESTORS_LIST[INVESTOR CODE],0),)</f>
        <v>IMRANUL GANI FIRA</v>
      </c>
      <c r="G628" s="25" t="s">
        <v>1646</v>
      </c>
      <c r="H628" s="8">
        <f>COUNTIF(LS[[#Headers],[Investor ID]]:LS[[#This Row],[Investor ID]],LS[[#This Row],[Investor ID]])</f>
        <v>1</v>
      </c>
      <c r="I628" s="8" t="str">
        <f>CONCATENATE(LS[[#This Row],[Frequency]],LS[[#This Row],[Investor ID]])</f>
        <v>1BR0005</v>
      </c>
      <c r="J628" s="8" t="str">
        <f>IF(LS[[#This Row],[B/S]]="B","BUY",(IF(LS[[#This Row],[B/S]]="S","SELL"," ")))</f>
        <v>BUY</v>
      </c>
      <c r="K628" s="8" t="s">
        <v>301</v>
      </c>
      <c r="L628" s="3">
        <v>25000</v>
      </c>
      <c r="M628" s="3" t="s">
        <v>957</v>
      </c>
      <c r="N628" s="216">
        <f>LS[[#This Row],[Amount]]/LS[[#This Row],[Unit]]</f>
        <v>11.921793037672867</v>
      </c>
      <c r="O628" s="1">
        <f t="shared" si="125"/>
        <v>2097</v>
      </c>
      <c r="P628" s="1">
        <f>SUMIFS(LS[[#Headers],[Unit]]:LS[[#This Row],[Unit]],LS[[#Headers],[Investor ID]]:LS[[#This Row],[Investor ID]],LS[[#This Row],[Investor ID]])</f>
        <v>2097</v>
      </c>
      <c r="Q628" s="3">
        <v>20970</v>
      </c>
      <c r="R628" s="6">
        <f>LS[[#This Row],[Amount]]-LS[[#This Row],[Unit Capital]]</f>
        <v>4030</v>
      </c>
      <c r="S62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11.921793037672867</v>
      </c>
      <c r="T628" s="216">
        <f t="shared" si="126"/>
        <v>12.552</v>
      </c>
      <c r="U62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28" s="3" cm="1">
        <f t="array" ref="V628">IF(LS[[#This Row],[B/S]]="S",ABS(LS[[#This Row],[Unit]])*(INDEX(LS[NAV at Cost (Average)],MATCH(CONCATENATE((LS[[#This Row],[Frequency]]-1),LS[[#This Row],[Investor ID]]),LS[Unique Code],0),0)),0)</f>
        <v>0</v>
      </c>
      <c r="W628" s="3">
        <f>IF(LS[[#This Row],[BO Transfer]]="YES",LS[[#This Row],[Unit]],)</f>
        <v>2097</v>
      </c>
      <c r="X628" s="3">
        <f>SUMIFS(LS[[#Headers],[BO UNIT TRANSFER]]:LS[[#This Row],[BO UNIT TRANSFER]],LS[[#Headers],[Investor ID]]:LS[[#This Row],[Investor ID]],LS[[#This Row],[Investor ID]])</f>
        <v>2097</v>
      </c>
    </row>
    <row r="629" spans="2:24">
      <c r="B629" s="8">
        <v>2025</v>
      </c>
      <c r="C629" s="8">
        <v>11</v>
      </c>
      <c r="D629" s="8">
        <v>5</v>
      </c>
      <c r="E629" s="291">
        <f>DATE(LS[[#This Row],[Year]],LS[[#This Row],[Month]],LS[[#This Row],[Day]])</f>
        <v>45966</v>
      </c>
      <c r="F629" t="str" cm="1">
        <f t="array" ref="F629">INDEX(INVESTORS_LIST[INVESTOR NAME],MATCH(LS[[#This Row],[Investor ID]],INVESTORS_LIST[INVESTOR CODE],0),)</f>
        <v>IMRANUL GANI FIRA</v>
      </c>
      <c r="G629" s="25" t="s">
        <v>1646</v>
      </c>
      <c r="H629" s="8">
        <f>COUNTIF(LS[[#Headers],[Investor ID]]:LS[[#This Row],[Investor ID]],LS[[#This Row],[Investor ID]])</f>
        <v>2</v>
      </c>
      <c r="I629" s="8" t="str">
        <f>CONCATENATE(LS[[#This Row],[Frequency]],LS[[#This Row],[Investor ID]])</f>
        <v>2BR0005</v>
      </c>
      <c r="J629" s="8" t="str">
        <f>IF(LS[[#This Row],[B/S]]="B","BUY",(IF(LS[[#This Row],[B/S]]="S","SELL"," ")))</f>
        <v>BUY</v>
      </c>
      <c r="K629" s="8" t="s">
        <v>301</v>
      </c>
      <c r="L629" s="3">
        <v>25000</v>
      </c>
      <c r="M629" s="3" t="s">
        <v>957</v>
      </c>
      <c r="N629" s="216">
        <f>LS[[#This Row],[Amount]]/LS[[#This Row],[Unit]]</f>
        <v>11.921793037672867</v>
      </c>
      <c r="O629" s="1">
        <f t="shared" si="125"/>
        <v>2097</v>
      </c>
      <c r="P629" s="1">
        <f>SUMIFS(LS[[#Headers],[Unit]]:LS[[#This Row],[Unit]],LS[[#Headers],[Investor ID]]:LS[[#This Row],[Investor ID]],LS[[#This Row],[Investor ID]])</f>
        <v>4194</v>
      </c>
      <c r="Q629" s="3">
        <v>20970</v>
      </c>
      <c r="R629" s="6">
        <f>LS[[#This Row],[Amount]]-LS[[#This Row],[Unit Capital]]</f>
        <v>4030</v>
      </c>
      <c r="S62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11.921793037672867</v>
      </c>
      <c r="T629" s="216">
        <f t="shared" si="126"/>
        <v>12.552</v>
      </c>
      <c r="U62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29" s="3" cm="1">
        <f t="array" ref="V629">IF(LS[[#This Row],[B/S]]="S",ABS(LS[[#This Row],[Unit]])*(INDEX(LS[NAV at Cost (Average)],MATCH(CONCATENATE((LS[[#This Row],[Frequency]]-1),LS[[#This Row],[Investor ID]]),LS[Unique Code],0),0)),0)</f>
        <v>0</v>
      </c>
      <c r="W629" s="3">
        <f>IF(LS[[#This Row],[BO Transfer]]="YES",LS[[#This Row],[Unit]],)</f>
        <v>2097</v>
      </c>
      <c r="X629" s="3">
        <f>SUMIFS(LS[[#Headers],[BO UNIT TRANSFER]]:LS[[#This Row],[BO UNIT TRANSFER]],LS[[#Headers],[Investor ID]]:LS[[#This Row],[Investor ID]],LS[[#This Row],[Investor ID]])</f>
        <v>4194</v>
      </c>
    </row>
    <row r="630" spans="2:24">
      <c r="B630" s="8">
        <v>2025</v>
      </c>
      <c r="C630" s="8">
        <v>11</v>
      </c>
      <c r="D630" s="8">
        <v>16</v>
      </c>
      <c r="E630" s="291">
        <f>DATE(LS[[#This Row],[Year]],LS[[#This Row],[Month]],LS[[#This Row],[Day]])</f>
        <v>45977</v>
      </c>
      <c r="F630" t="str" cm="1">
        <f t="array" ref="F630">INDEX(INVESTORS_LIST[INVESTOR NAME],MATCH(LS[[#This Row],[Investor ID]],INVESTORS_LIST[INVESTOR CODE],0),)</f>
        <v>IMRANUL GANI FIRA</v>
      </c>
      <c r="G630" s="25" t="s">
        <v>1646</v>
      </c>
      <c r="H630" s="8">
        <f>COUNTIF(LS[[#Headers],[Investor ID]]:LS[[#This Row],[Investor ID]],LS[[#This Row],[Investor ID]])</f>
        <v>3</v>
      </c>
      <c r="I630" s="8" t="str">
        <f>CONCATENATE(LS[[#This Row],[Frequency]],LS[[#This Row],[Investor ID]])</f>
        <v>3BR0005</v>
      </c>
      <c r="J630" s="8" t="str">
        <f>IF(LS[[#This Row],[B/S]]="B","BUY",(IF(LS[[#This Row],[B/S]]="S","SELL"," ")))</f>
        <v>BUY</v>
      </c>
      <c r="K630" s="8" t="s">
        <v>301</v>
      </c>
      <c r="L630" s="3">
        <v>25000</v>
      </c>
      <c r="M630" s="3" t="s">
        <v>957</v>
      </c>
      <c r="N630" s="216">
        <f>LS[[#This Row],[Amount]]/LS[[#This Row],[Unit]]</f>
        <v>11.66044776119403</v>
      </c>
      <c r="O630" s="1">
        <f t="shared" si="125"/>
        <v>2144</v>
      </c>
      <c r="P630" s="1">
        <f>SUMIFS(LS[[#Headers],[Unit]]:LS[[#This Row],[Unit]],LS[[#Headers],[Investor ID]]:LS[[#This Row],[Investor ID]],LS[[#This Row],[Investor ID]])</f>
        <v>6338</v>
      </c>
      <c r="Q630" s="3">
        <v>21440</v>
      </c>
      <c r="R630" s="6">
        <f>LS[[#This Row],[Amount]]-LS[[#This Row],[Unit Capital]]</f>
        <v>3560</v>
      </c>
      <c r="S63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11.833385926159671</v>
      </c>
      <c r="T630" s="216">
        <f t="shared" si="126"/>
        <v>12.552</v>
      </c>
      <c r="U63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30" s="3" cm="1">
        <f t="array" ref="V630">IF(LS[[#This Row],[B/S]]="S",ABS(LS[[#This Row],[Unit]])*(INDEX(LS[NAV at Cost (Average)],MATCH(CONCATENATE((LS[[#This Row],[Frequency]]-1),LS[[#This Row],[Investor ID]]),LS[Unique Code],0),0)),0)</f>
        <v>0</v>
      </c>
      <c r="W630" s="3">
        <f>IF(LS[[#This Row],[BO Transfer]]="YES",LS[[#This Row],[Unit]],)</f>
        <v>2144</v>
      </c>
      <c r="X630" s="3">
        <f>SUMIFS(LS[[#Headers],[BO UNIT TRANSFER]]:LS[[#This Row],[BO UNIT TRANSFER]],LS[[#Headers],[Investor ID]]:LS[[#This Row],[Investor ID]],LS[[#This Row],[Investor ID]])</f>
        <v>6338</v>
      </c>
    </row>
    <row r="631" spans="2:24">
      <c r="B631" s="8">
        <v>2025</v>
      </c>
      <c r="C631" s="8">
        <v>11</v>
      </c>
      <c r="D631" s="8">
        <v>18</v>
      </c>
      <c r="E631" s="291">
        <f>DATE(LS[[#This Row],[Year]],LS[[#This Row],[Month]],LS[[#This Row],[Day]])</f>
        <v>45979</v>
      </c>
      <c r="F631" t="str" cm="1">
        <f t="array" ref="F631">INDEX(INVESTORS_LIST[INVESTOR NAME],MATCH(LS[[#This Row],[Investor ID]],INVESTORS_LIST[INVESTOR CODE],0),)</f>
        <v>SEML FBLSL GROWTH FUND</v>
      </c>
      <c r="G631" s="25" t="s">
        <v>1534</v>
      </c>
      <c r="H631" s="8">
        <f>COUNTIF(LS[[#Headers],[Investor ID]]:LS[[#This Row],[Investor ID]],LS[[#This Row],[Investor ID]])</f>
        <v>1</v>
      </c>
      <c r="I631" s="8" t="str">
        <f>CONCATENATE(LS[[#This Row],[Frequency]],LS[[#This Row],[Investor ID]])</f>
        <v>1A00673</v>
      </c>
      <c r="J631" s="8" t="str">
        <f>IF(LS[[#This Row],[B/S]]="B","BUY",(IF(LS[[#This Row],[B/S]]="S","SELL"," ")))</f>
        <v>BUY</v>
      </c>
      <c r="K631" s="8" t="s">
        <v>301</v>
      </c>
      <c r="L631" s="3">
        <v>2500000</v>
      </c>
      <c r="M631" s="3"/>
      <c r="N631" s="216">
        <f>LS[[#This Row],[Amount]]/LS[[#This Row],[Unit]]</f>
        <v>11.66202518064477</v>
      </c>
      <c r="O631" s="1">
        <f t="shared" si="125"/>
        <v>214371</v>
      </c>
      <c r="P631" s="1">
        <f>SUMIFS(LS[[#Headers],[Unit]]:LS[[#This Row],[Unit]],LS[[#Headers],[Investor ID]]:LS[[#This Row],[Investor ID]],LS[[#This Row],[Investor ID]])</f>
        <v>214371</v>
      </c>
      <c r="Q631" s="3">
        <v>2143710</v>
      </c>
      <c r="R631" s="6">
        <f>LS[[#This Row],[Amount]]-LS[[#This Row],[Unit Capital]]</f>
        <v>356290</v>
      </c>
      <c r="S63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11.66202518064477</v>
      </c>
      <c r="T631" s="216">
        <f t="shared" si="126"/>
        <v>12.552</v>
      </c>
      <c r="U63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31" s="3" cm="1">
        <f t="array" ref="V631">IF(LS[[#This Row],[B/S]]="S",ABS(LS[[#This Row],[Unit]])*(INDEX(LS[NAV at Cost (Average)],MATCH(CONCATENATE((LS[[#This Row],[Frequency]]-1),LS[[#This Row],[Investor ID]]),LS[Unique Code],0),0)),0)</f>
        <v>0</v>
      </c>
      <c r="W631" s="3">
        <f>IF(LS[[#This Row],[BO Transfer]]="YES",LS[[#This Row],[Unit]],)</f>
        <v>0</v>
      </c>
      <c r="X631" s="3">
        <f>SUMIFS(LS[[#Headers],[BO UNIT TRANSFER]]:LS[[#This Row],[BO UNIT TRANSFER]],LS[[#Headers],[Investor ID]]:LS[[#This Row],[Investor ID]],LS[[#This Row],[Investor ID]])</f>
        <v>0</v>
      </c>
    </row>
    <row r="632" spans="2:24">
      <c r="B632" s="8">
        <v>2025</v>
      </c>
      <c r="C632" s="8">
        <v>11</v>
      </c>
      <c r="D632" s="8">
        <v>18</v>
      </c>
      <c r="E632" s="291">
        <f>DATE(LS[[#This Row],[Year]],LS[[#This Row],[Month]],LS[[#This Row],[Day]])</f>
        <v>45979</v>
      </c>
      <c r="F632" t="str" cm="1">
        <f t="array" ref="F632">INDEX(INVESTORS_LIST[INVESTOR NAME],MATCH(LS[[#This Row],[Investor ID]],INVESTORS_LIST[INVESTOR CODE],0),)</f>
        <v>NANDINI SAHA</v>
      </c>
      <c r="G632" s="25" t="s">
        <v>111</v>
      </c>
      <c r="H632" s="8">
        <f>COUNTIF(LS[[#Headers],[Investor ID]]:LS[[#This Row],[Investor ID]],LS[[#This Row],[Investor ID]])</f>
        <v>4</v>
      </c>
      <c r="I632" s="8" t="str">
        <f>CONCATENATE(LS[[#This Row],[Frequency]],LS[[#This Row],[Investor ID]])</f>
        <v>4A00097</v>
      </c>
      <c r="J632" s="8" t="str">
        <f>IF(LS[[#This Row],[B/S]]="B","BUY",(IF(LS[[#This Row],[B/S]]="S","SELL"," ")))</f>
        <v>BUY</v>
      </c>
      <c r="K632" s="8" t="s">
        <v>301</v>
      </c>
      <c r="L632" s="3">
        <v>2000000</v>
      </c>
      <c r="M632" s="3"/>
      <c r="N632" s="216">
        <f>LS[[#This Row],[Amount]]/LS[[#This Row],[Unit]]</f>
        <v>11.662011580377499</v>
      </c>
      <c r="O632" s="1">
        <f t="shared" si="125"/>
        <v>171497</v>
      </c>
      <c r="P632" s="1">
        <f>SUMIFS(LS[[#Headers],[Unit]]:LS[[#This Row],[Unit]],LS[[#Headers],[Investor ID]]:LS[[#This Row],[Investor ID]],LS[[#This Row],[Investor ID]])</f>
        <v>171497</v>
      </c>
      <c r="Q632" s="3">
        <v>1714970</v>
      </c>
      <c r="R632" s="6">
        <f>LS[[#This Row],[Amount]]-LS[[#This Row],[Unit Capital]]</f>
        <v>285030</v>
      </c>
      <c r="S63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11.662011580377499</v>
      </c>
      <c r="T632" s="216">
        <f t="shared" si="126"/>
        <v>12.552</v>
      </c>
      <c r="U63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32" s="3" cm="1">
        <f t="array" ref="V632">IF(LS[[#This Row],[B/S]]="S",ABS(LS[[#This Row],[Unit]])*(INDEX(LS[NAV at Cost (Average)],MATCH(CONCATENATE((LS[[#This Row],[Frequency]]-1),LS[[#This Row],[Investor ID]]),LS[Unique Code],0),0)),0)</f>
        <v>0</v>
      </c>
      <c r="W632" s="3">
        <f>IF(LS[[#This Row],[BO Transfer]]="YES",LS[[#This Row],[Unit]],)</f>
        <v>0</v>
      </c>
      <c r="X632" s="3">
        <f>SUMIFS(LS[[#Headers],[BO UNIT TRANSFER]]:LS[[#This Row],[BO UNIT TRANSFER]],LS[[#Headers],[Investor ID]]:LS[[#This Row],[Investor ID]],LS[[#This Row],[Investor ID]])</f>
        <v>0</v>
      </c>
    </row>
    <row r="633" spans="2:24">
      <c r="B633" s="8">
        <v>2025</v>
      </c>
      <c r="C633" s="8">
        <v>11</v>
      </c>
      <c r="D633" s="8">
        <v>19</v>
      </c>
      <c r="E633" s="291">
        <f>DATE(LS[[#This Row],[Year]],LS[[#This Row],[Month]],LS[[#This Row],[Day]])</f>
        <v>45980</v>
      </c>
      <c r="F633" t="str" cm="1">
        <f t="array" ref="F633">INDEX(INVESTORS_LIST[INVESTOR NAME],MATCH(LS[[#This Row],[Investor ID]],INVESTORS_LIST[INVESTOR CODE],0),)</f>
        <v>SUHAIEB CHOWDHURY</v>
      </c>
      <c r="G633" s="25" t="s">
        <v>153</v>
      </c>
      <c r="H633" s="8">
        <f>COUNTIF(LS[[#Headers],[Investor ID]]:LS[[#This Row],[Investor ID]],LS[[#This Row],[Investor ID]])</f>
        <v>3</v>
      </c>
      <c r="I633" s="8" t="str">
        <f>CONCATENATE(LS[[#This Row],[Frequency]],LS[[#This Row],[Investor ID]])</f>
        <v>3A00120</v>
      </c>
      <c r="J633" s="8" t="str">
        <f>IF(LS[[#This Row],[B/S]]="B","BUY",(IF(LS[[#This Row],[B/S]]="S","SELL"," ")))</f>
        <v>BUY</v>
      </c>
      <c r="K633" s="8" t="s">
        <v>301</v>
      </c>
      <c r="L633" s="3">
        <v>3498600</v>
      </c>
      <c r="M633" s="3"/>
      <c r="N633" s="216">
        <f>LS[[#This Row],[Amount]]/LS[[#This Row],[Unit]]</f>
        <v>11.662000000000001</v>
      </c>
      <c r="O633" s="1">
        <f t="shared" ref="O633:O638" si="127">Q633/10</f>
        <v>300000</v>
      </c>
      <c r="P633" s="1">
        <f>SUMIFS(LS[[#Headers],[Unit]]:LS[[#This Row],[Unit]],LS[[#Headers],[Investor ID]]:LS[[#This Row],[Investor ID]],LS[[#This Row],[Investor ID]])</f>
        <v>300000</v>
      </c>
      <c r="Q633" s="3">
        <v>3000000</v>
      </c>
      <c r="R633" s="6">
        <f>LS[[#This Row],[Amount]]-LS[[#This Row],[Unit Capital]]</f>
        <v>498600</v>
      </c>
      <c r="S63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11.662000000000001</v>
      </c>
      <c r="T633" s="216">
        <f t="shared" ref="T633:T638" si="128">IFERROR(NAV_MKT,0)</f>
        <v>12.552</v>
      </c>
      <c r="U63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33" s="3" cm="1">
        <f t="array" ref="V633">IF(LS[[#This Row],[B/S]]="S",ABS(LS[[#This Row],[Unit]])*(INDEX(LS[NAV at Cost (Average)],MATCH(CONCATENATE((LS[[#This Row],[Frequency]]-1),LS[[#This Row],[Investor ID]]),LS[Unique Code],0),0)),0)</f>
        <v>0</v>
      </c>
      <c r="W633" s="3">
        <f>IF(LS[[#This Row],[BO Transfer]]="YES",LS[[#This Row],[Unit]],)</f>
        <v>0</v>
      </c>
      <c r="X633" s="3">
        <f>SUMIFS(LS[[#Headers],[BO UNIT TRANSFER]]:LS[[#This Row],[BO UNIT TRANSFER]],LS[[#Headers],[Investor ID]]:LS[[#This Row],[Investor ID]],LS[[#This Row],[Investor ID]])</f>
        <v>0</v>
      </c>
    </row>
    <row r="634" spans="2:24">
      <c r="B634" s="8">
        <v>2025</v>
      </c>
      <c r="C634" s="8">
        <v>11</v>
      </c>
      <c r="D634" s="8">
        <v>19</v>
      </c>
      <c r="E634" s="291">
        <f>DATE(LS[[#This Row],[Year]],LS[[#This Row],[Month]],LS[[#This Row],[Day]])</f>
        <v>45980</v>
      </c>
      <c r="F634" t="str" cm="1">
        <f t="array" ref="F634">INDEX(INVESTORS_LIST[INVESTOR NAME],MATCH(LS[[#This Row],[Investor ID]],INVESTORS_LIST[INVESTOR CODE],0),)</f>
        <v>KHAN MUHAMMAD KAWSER AHMED</v>
      </c>
      <c r="G634" s="25" t="s">
        <v>1004</v>
      </c>
      <c r="H634" s="8">
        <f>COUNTIF(LS[[#Headers],[Investor ID]]:LS[[#This Row],[Investor ID]],LS[[#This Row],[Investor ID]])</f>
        <v>2</v>
      </c>
      <c r="I634" s="8" t="str">
        <f>CONCATENATE(LS[[#This Row],[Frequency]],LS[[#This Row],[Investor ID]])</f>
        <v>2A00449</v>
      </c>
      <c r="J634" s="8" t="str">
        <f>IF(LS[[#This Row],[B/S]]="B","BUY",(IF(LS[[#This Row],[B/S]]="S","SELL"," ")))</f>
        <v>BUY</v>
      </c>
      <c r="K634" s="8" t="s">
        <v>301</v>
      </c>
      <c r="L634" s="3">
        <v>5000000</v>
      </c>
      <c r="M634" s="3" t="s">
        <v>957</v>
      </c>
      <c r="N634" s="216">
        <f>LS[[#This Row],[Amount]]/LS[[#This Row],[Unit]]</f>
        <v>11.661997980141949</v>
      </c>
      <c r="O634" s="1">
        <f t="shared" si="127"/>
        <v>428743</v>
      </c>
      <c r="P634" s="1">
        <f>SUMIFS(LS[[#Headers],[Unit]]:LS[[#This Row],[Unit]],LS[[#Headers],[Investor ID]]:LS[[#This Row],[Investor ID]],LS[[#This Row],[Investor ID]])</f>
        <v>1239116</v>
      </c>
      <c r="Q634" s="3">
        <v>4287430</v>
      </c>
      <c r="R634" s="6">
        <f>LS[[#This Row],[Amount]]-LS[[#This Row],[Unit Capital]]</f>
        <v>712570</v>
      </c>
      <c r="S63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12.105404175234604</v>
      </c>
      <c r="T634" s="216">
        <f t="shared" si="128"/>
        <v>12.552</v>
      </c>
      <c r="U63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34" s="3" cm="1">
        <f t="array" ref="V634">IF(LS[[#This Row],[B/S]]="S",ABS(LS[[#This Row],[Unit]])*(INDEX(LS[NAV at Cost (Average)],MATCH(CONCATENATE((LS[[#This Row],[Frequency]]-1),LS[[#This Row],[Investor ID]]),LS[Unique Code],0),0)),0)</f>
        <v>0</v>
      </c>
      <c r="W634" s="3">
        <f>IF(LS[[#This Row],[BO Transfer]]="YES",LS[[#This Row],[Unit]],)</f>
        <v>428743</v>
      </c>
      <c r="X634" s="3">
        <f>SUMIFS(LS[[#Headers],[BO UNIT TRANSFER]]:LS[[#This Row],[BO UNIT TRANSFER]],LS[[#Headers],[Investor ID]]:LS[[#This Row],[Investor ID]],LS[[#This Row],[Investor ID]])</f>
        <v>1239116</v>
      </c>
    </row>
    <row r="635" spans="2:24">
      <c r="B635" s="8">
        <v>2025</v>
      </c>
      <c r="C635" s="8">
        <v>11</v>
      </c>
      <c r="D635" s="8">
        <v>20</v>
      </c>
      <c r="E635" s="291">
        <f>DATE(LS[[#This Row],[Year]],LS[[#This Row],[Month]],LS[[#This Row],[Day]])</f>
        <v>45981</v>
      </c>
      <c r="F635" t="str" cm="1">
        <f t="array" ref="F635">INDEX(INVESTORS_LIST[INVESTOR NAME],MATCH(LS[[#This Row],[Investor ID]],INVESTORS_LIST[INVESTOR CODE],0),)</f>
        <v>MADHAB GHOSH</v>
      </c>
      <c r="G635" s="25" t="s">
        <v>1038</v>
      </c>
      <c r="H635" s="8">
        <f>COUNTIF(LS[[#Headers],[Investor ID]]:LS[[#This Row],[Investor ID]],LS[[#This Row],[Investor ID]])</f>
        <v>3</v>
      </c>
      <c r="I635" s="8" t="str">
        <f>CONCATENATE(LS[[#This Row],[Frequency]],LS[[#This Row],[Investor ID]])</f>
        <v>3A00468</v>
      </c>
      <c r="J635" s="8" t="str">
        <f>IF(LS[[#This Row],[B/S]]="B","BUY",(IF(LS[[#This Row],[B/S]]="S","SELL"," ")))</f>
        <v>BUY</v>
      </c>
      <c r="K635" s="8" t="s">
        <v>301</v>
      </c>
      <c r="L635" s="3">
        <v>284000</v>
      </c>
      <c r="M635" s="3"/>
      <c r="N635" s="216">
        <f>LS[[#This Row],[Amount]]/LS[[#This Row],[Unit]]</f>
        <v>11.661807580174926</v>
      </c>
      <c r="O635" s="1">
        <f t="shared" si="127"/>
        <v>24353</v>
      </c>
      <c r="P635" s="1">
        <f>SUMIFS(LS[[#Headers],[Unit]]:LS[[#This Row],[Unit]],LS[[#Headers],[Investor ID]]:LS[[#This Row],[Investor ID]],LS[[#This Row],[Investor ID]])</f>
        <v>24353</v>
      </c>
      <c r="Q635" s="3">
        <v>243530</v>
      </c>
      <c r="R635" s="6">
        <f>LS[[#This Row],[Amount]]-LS[[#This Row],[Unit Capital]]</f>
        <v>40470</v>
      </c>
      <c r="S63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11.661807580174926</v>
      </c>
      <c r="T635" s="216">
        <f t="shared" si="128"/>
        <v>12.552</v>
      </c>
      <c r="U63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35" s="3" cm="1">
        <f t="array" ref="V635">IF(LS[[#This Row],[B/S]]="S",ABS(LS[[#This Row],[Unit]])*(INDEX(LS[NAV at Cost (Average)],MATCH(CONCATENATE((LS[[#This Row],[Frequency]]-1),LS[[#This Row],[Investor ID]]),LS[Unique Code],0),0)),0)</f>
        <v>0</v>
      </c>
      <c r="W635" s="3">
        <f>IF(LS[[#This Row],[BO Transfer]]="YES",LS[[#This Row],[Unit]],)</f>
        <v>0</v>
      </c>
      <c r="X635" s="3">
        <f>SUMIFS(LS[[#Headers],[BO UNIT TRANSFER]]:LS[[#This Row],[BO UNIT TRANSFER]],LS[[#Headers],[Investor ID]]:LS[[#This Row],[Investor ID]],LS[[#This Row],[Investor ID]])</f>
        <v>0</v>
      </c>
    </row>
    <row r="636" spans="2:24">
      <c r="B636" s="8">
        <v>2025</v>
      </c>
      <c r="C636" s="8">
        <v>11</v>
      </c>
      <c r="D636" s="8">
        <v>24</v>
      </c>
      <c r="E636" s="291">
        <f>DATE(LS[[#This Row],[Year]],LS[[#This Row],[Month]],LS[[#This Row],[Day]])</f>
        <v>45985</v>
      </c>
      <c r="F636" t="str" cm="1">
        <f t="array" ref="F636">INDEX(INVESTORS_LIST[INVESTOR NAME],MATCH(LS[[#This Row],[Investor ID]],INVESTORS_LIST[INVESTOR CODE],0),)</f>
        <v>EKUSH WEALTH MANAGEMENT LIMITED</v>
      </c>
      <c r="G636" s="25" t="s">
        <v>4</v>
      </c>
      <c r="H636" s="8">
        <f>COUNTIF(LS[[#Headers],[Investor ID]]:LS[[#This Row],[Investor ID]],LS[[#This Row],[Investor ID]])</f>
        <v>35</v>
      </c>
      <c r="I636" s="8" t="str">
        <f>CONCATENATE(LS[[#This Row],[Frequency]],LS[[#This Row],[Investor ID]])</f>
        <v>35A00003</v>
      </c>
      <c r="J636" s="8" t="str">
        <f>IF(LS[[#This Row],[B/S]]="B","BUY",(IF(LS[[#This Row],[B/S]]="S","SELL"," ")))</f>
        <v>SELL</v>
      </c>
      <c r="K636" s="8" t="s">
        <v>866</v>
      </c>
      <c r="L636" s="3">
        <v>-670000</v>
      </c>
      <c r="M636" s="3"/>
      <c r="N636" s="216">
        <f>LS[[#This Row],[Amount]]/LS[[#This Row],[Unit]]</f>
        <v>11.782084197939014</v>
      </c>
      <c r="O636" s="1">
        <f t="shared" si="127"/>
        <v>-56866</v>
      </c>
      <c r="P636" s="1">
        <f>SUMIFS(LS[[#Headers],[Unit]]:LS[[#This Row],[Unit]],LS[[#Headers],[Investor ID]]:LS[[#This Row],[Investor ID]],LS[[#This Row],[Investor ID]])</f>
        <v>2851656</v>
      </c>
      <c r="Q636" s="3">
        <v>-568660</v>
      </c>
      <c r="R636" s="6">
        <f>LS[[#This Row],[Amount]]-LS[[#This Row],[Unit Capital]]</f>
        <v>-101340</v>
      </c>
      <c r="S63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10.168354841870986</v>
      </c>
      <c r="T636" s="216">
        <f t="shared" si="128"/>
        <v>12.552</v>
      </c>
      <c r="U636" s="3">
        <f>IF(LS[[#This Row],[B/S]]="B",0,ABS(LS[[#This Row],[Unit]])*(LS[[#This Row],[NAV (Strike Rate)]]-INDEX(LS[NAV at Cost (Average)],MATCH(CONCATENATE(LS[[#This Row],[Frequency]]-1,LS[[#This Row],[Investor ID]]),LS[Unique Code],0),)))</f>
        <v>91766.333562164466</v>
      </c>
      <c r="V636" s="3" cm="1">
        <f t="array" ref="V636">IF(LS[[#This Row],[B/S]]="S",ABS(LS[[#This Row],[Unit]])*(INDEX(LS[NAV at Cost (Average)],MATCH(CONCATENATE((LS[[#This Row],[Frequency]]-1),LS[[#This Row],[Investor ID]]),LS[Unique Code],0),0)),0)</f>
        <v>578233.66643783555</v>
      </c>
      <c r="W636" s="3">
        <f>IF(LS[[#This Row],[BO Transfer]]="YES",LS[[#This Row],[Unit]],)</f>
        <v>0</v>
      </c>
      <c r="X636" s="3">
        <f>SUMIFS(LS[[#Headers],[BO UNIT TRANSFER]]:LS[[#This Row],[BO UNIT TRANSFER]],LS[[#Headers],[Investor ID]]:LS[[#This Row],[Investor ID]],LS[[#This Row],[Investor ID]])</f>
        <v>0</v>
      </c>
    </row>
    <row r="637" spans="2:24">
      <c r="B637" s="8">
        <v>2025</v>
      </c>
      <c r="C637" s="8">
        <v>11</v>
      </c>
      <c r="D637" s="8">
        <v>26</v>
      </c>
      <c r="E637" s="291">
        <f>DATE(LS[[#This Row],[Year]],LS[[#This Row],[Month]],LS[[#This Row],[Day]])</f>
        <v>45987</v>
      </c>
      <c r="F637" t="str" cm="1">
        <f t="array" ref="F637">INDEX(INVESTORS_LIST[INVESTOR NAME],MATCH(LS[[#This Row],[Investor ID]],INVESTORS_LIST[INVESTOR CODE],0),)</f>
        <v>FARZANA MOSTAFA TITHE</v>
      </c>
      <c r="G637" s="25" t="s">
        <v>1224</v>
      </c>
      <c r="H637" s="8">
        <f>COUNTIF(LS[[#Headers],[Investor ID]]:LS[[#This Row],[Investor ID]],LS[[#This Row],[Investor ID]])</f>
        <v>1</v>
      </c>
      <c r="I637" s="8" t="str">
        <f>CONCATENATE(LS[[#This Row],[Frequency]],LS[[#This Row],[Investor ID]])</f>
        <v>1A00517</v>
      </c>
      <c r="J637" s="8" t="str">
        <f>IF(LS[[#This Row],[B/S]]="B","BUY",(IF(LS[[#This Row],[B/S]]="S","SELL"," ")))</f>
        <v>BUY</v>
      </c>
      <c r="K637" s="8" t="s">
        <v>301</v>
      </c>
      <c r="L637" s="3">
        <v>2827680</v>
      </c>
      <c r="M637" s="3"/>
      <c r="N637" s="216">
        <f>LS[[#This Row],[Amount]]/LS[[#This Row],[Unit]]</f>
        <v>11.782</v>
      </c>
      <c r="O637" s="1">
        <f t="shared" si="127"/>
        <v>240000</v>
      </c>
      <c r="P637" s="1">
        <f>SUMIFS(LS[[#Headers],[Unit]]:LS[[#This Row],[Unit]],LS[[#Headers],[Investor ID]]:LS[[#This Row],[Investor ID]],LS[[#This Row],[Investor ID]])</f>
        <v>240000</v>
      </c>
      <c r="Q637" s="3">
        <v>2400000</v>
      </c>
      <c r="R637" s="6">
        <f>LS[[#This Row],[Amount]]-LS[[#This Row],[Unit Capital]]</f>
        <v>427680</v>
      </c>
      <c r="S63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11.782</v>
      </c>
      <c r="T637" s="216">
        <f t="shared" si="128"/>
        <v>12.552</v>
      </c>
      <c r="U63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37" s="3" cm="1">
        <f t="array" ref="V637">IF(LS[[#This Row],[B/S]]="S",ABS(LS[[#This Row],[Unit]])*(INDEX(LS[NAV at Cost (Average)],MATCH(CONCATENATE((LS[[#This Row],[Frequency]]-1),LS[[#This Row],[Investor ID]]),LS[Unique Code],0),0)),0)</f>
        <v>0</v>
      </c>
      <c r="W637" s="3">
        <f>IF(LS[[#This Row],[BO Transfer]]="YES",LS[[#This Row],[Unit]],)</f>
        <v>0</v>
      </c>
      <c r="X637" s="3">
        <f>SUMIFS(LS[[#Headers],[BO UNIT TRANSFER]]:LS[[#This Row],[BO UNIT TRANSFER]],LS[[#Headers],[Investor ID]]:LS[[#This Row],[Investor ID]],LS[[#This Row],[Investor ID]])</f>
        <v>0</v>
      </c>
    </row>
    <row r="638" spans="2:24">
      <c r="B638" s="8">
        <v>2025</v>
      </c>
      <c r="C638" s="8">
        <v>12</v>
      </c>
      <c r="D638" s="8">
        <v>10</v>
      </c>
      <c r="E638" s="291">
        <f>DATE(LS[[#This Row],[Year]],LS[[#This Row],[Month]],LS[[#This Row],[Day]])</f>
        <v>46001</v>
      </c>
      <c r="F638" t="str" cm="1">
        <f t="array" ref="F638">INDEX(INVESTORS_LIST[INVESTOR NAME],MATCH(LS[[#This Row],[Investor ID]],INVESTORS_LIST[INVESTOR CODE],0),)</f>
        <v>PHOENIX FINANCE &amp; INVESTMENTS LTD</v>
      </c>
      <c r="G638" s="25" t="s">
        <v>205</v>
      </c>
      <c r="H638" s="8">
        <f>COUNTIF(LS[[#Headers],[Investor ID]]:LS[[#This Row],[Investor ID]],LS[[#This Row],[Investor ID]])</f>
        <v>6</v>
      </c>
      <c r="I638" s="8" t="str">
        <f>CONCATENATE(LS[[#This Row],[Frequency]],LS[[#This Row],[Investor ID]])</f>
        <v>6A00172</v>
      </c>
      <c r="J638" s="8" t="str">
        <f>IF(LS[[#This Row],[B/S]]="B","BUY",(IF(LS[[#This Row],[B/S]]="S","SELL"," ")))</f>
        <v>SELL</v>
      </c>
      <c r="K638" s="8" t="s">
        <v>866</v>
      </c>
      <c r="L638" s="3">
        <v>-2356000</v>
      </c>
      <c r="M638" s="3"/>
      <c r="N638" s="216">
        <f>LS[[#This Row],[Amount]]/LS[[#This Row],[Unit]]</f>
        <v>11.78</v>
      </c>
      <c r="O638" s="1">
        <f t="shared" si="127"/>
        <v>-200000</v>
      </c>
      <c r="P638" s="1">
        <f>SUMIFS(LS[[#Headers],[Unit]]:LS[[#This Row],[Unit]],LS[[#Headers],[Investor ID]]:LS[[#This Row],[Investor ID]],LS[[#This Row],[Investor ID]])</f>
        <v>106025</v>
      </c>
      <c r="Q638" s="3">
        <v>-2000000</v>
      </c>
      <c r="R638" s="6">
        <f>LS[[#This Row],[Amount]]-LS[[#This Row],[Unit Capital]]</f>
        <v>-356000</v>
      </c>
      <c r="S63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9.9943809491700666</v>
      </c>
      <c r="T638" s="216">
        <f t="shared" si="128"/>
        <v>12.552</v>
      </c>
      <c r="U638" s="3">
        <f>IF(LS[[#This Row],[B/S]]="B",0,ABS(LS[[#This Row],[Unit]])*(LS[[#This Row],[NAV (Strike Rate)]]-INDEX(LS[NAV at Cost (Average)],MATCH(CONCATENATE(LS[[#This Row],[Frequency]]-1,LS[[#This Row],[Investor ID]]),LS[Unique Code],0),)))</f>
        <v>357123.81016598654</v>
      </c>
      <c r="V638" s="3" cm="1">
        <f t="array" ref="V638">IF(LS[[#This Row],[B/S]]="S",ABS(LS[[#This Row],[Unit]])*(INDEX(LS[NAV at Cost (Average)],MATCH(CONCATENATE((LS[[#This Row],[Frequency]]-1),LS[[#This Row],[Investor ID]]),LS[Unique Code],0),0)),0)</f>
        <v>1998876.1898340133</v>
      </c>
      <c r="W638" s="3">
        <f>IF(LS[[#This Row],[BO Transfer]]="YES",LS[[#This Row],[Unit]],)</f>
        <v>0</v>
      </c>
      <c r="X638" s="3">
        <f>SUMIFS(LS[[#Headers],[BO UNIT TRANSFER]]:LS[[#This Row],[BO UNIT TRANSFER]],LS[[#Headers],[Investor ID]]:LS[[#This Row],[Investor ID]],LS[[#This Row],[Investor ID]])</f>
        <v>0</v>
      </c>
    </row>
    <row r="639" spans="2:24">
      <c r="B639" s="8">
        <v>2025</v>
      </c>
      <c r="C639" s="8">
        <v>12</v>
      </c>
      <c r="D639" s="8">
        <v>17</v>
      </c>
      <c r="E639" s="291">
        <f>DATE(LS[[#This Row],[Year]],LS[[#This Row],[Month]],LS[[#This Row],[Day]])</f>
        <v>46008</v>
      </c>
      <c r="F639" t="str" cm="1">
        <f t="array" ref="F639">INDEX(INVESTORS_LIST[INVESTOR NAME],MATCH(LS[[#This Row],[Investor ID]],INVESTORS_LIST[INVESTOR CODE],0),)</f>
        <v>S.M.IMAM HOSSAIN CHISTY</v>
      </c>
      <c r="G639" s="25" t="s">
        <v>1647</v>
      </c>
      <c r="H639" s="8">
        <f>COUNTIF(LS[[#Headers],[Investor ID]]:LS[[#This Row],[Investor ID]],LS[[#This Row],[Investor ID]])</f>
        <v>1</v>
      </c>
      <c r="I639" s="8" t="str">
        <f>CONCATENATE(LS[[#This Row],[Frequency]],LS[[#This Row],[Investor ID]])</f>
        <v>1BR0004</v>
      </c>
      <c r="J639" s="8" t="str">
        <f>IF(LS[[#This Row],[B/S]]="B","BUY",(IF(LS[[#This Row],[B/S]]="S","SELL"," ")))</f>
        <v>BUY</v>
      </c>
      <c r="K639" s="8" t="s">
        <v>301</v>
      </c>
      <c r="L639" s="3">
        <v>5000</v>
      </c>
      <c r="M639" s="3"/>
      <c r="N639" s="216">
        <f>LS[[#This Row],[Amount]]/LS[[#This Row],[Unit]]</f>
        <v>11.904761904761905</v>
      </c>
      <c r="O639" s="1">
        <f t="shared" ref="O639:O645" si="129">Q639/10</f>
        <v>420</v>
      </c>
      <c r="P639" s="1">
        <f>SUMIFS(LS[[#Headers],[Unit]]:LS[[#This Row],[Unit]],LS[[#Headers],[Investor ID]]:LS[[#This Row],[Investor ID]],LS[[#This Row],[Investor ID]])</f>
        <v>420</v>
      </c>
      <c r="Q639" s="3">
        <v>4200</v>
      </c>
      <c r="R639" s="6">
        <f>LS[[#This Row],[Amount]]-LS[[#This Row],[Unit Capital]]</f>
        <v>800</v>
      </c>
      <c r="S63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11.904761904761905</v>
      </c>
      <c r="T639" s="216">
        <f t="shared" ref="T639:T645" si="130">IFERROR(NAV_MKT,0)</f>
        <v>12.552</v>
      </c>
      <c r="U63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39" s="3" cm="1">
        <f t="array" ref="V639">IF(LS[[#This Row],[B/S]]="S",ABS(LS[[#This Row],[Unit]])*(INDEX(LS[NAV at Cost (Average)],MATCH(CONCATENATE((LS[[#This Row],[Frequency]]-1),LS[[#This Row],[Investor ID]]),LS[Unique Code],0),0)),0)</f>
        <v>0</v>
      </c>
      <c r="W639" s="3">
        <f>IF(LS[[#This Row],[BO Transfer]]="YES",LS[[#This Row],[Unit]],)</f>
        <v>0</v>
      </c>
      <c r="X639" s="3">
        <f>SUMIFS(LS[[#Headers],[BO UNIT TRANSFER]]:LS[[#This Row],[BO UNIT TRANSFER]],LS[[#Headers],[Investor ID]]:LS[[#This Row],[Investor ID]],LS[[#This Row],[Investor ID]])</f>
        <v>0</v>
      </c>
    </row>
    <row r="640" spans="2:24">
      <c r="B640" s="8">
        <v>2025</v>
      </c>
      <c r="C640" s="8">
        <v>12</v>
      </c>
      <c r="D640" s="8">
        <v>18</v>
      </c>
      <c r="E640" s="291">
        <f>DATE(LS[[#This Row],[Year]],LS[[#This Row],[Month]],LS[[#This Row],[Day]])</f>
        <v>46009</v>
      </c>
      <c r="F640" t="str" cm="1">
        <f t="array" ref="F640">INDEX(INVESTORS_LIST[INVESTOR NAME],MATCH(LS[[#This Row],[Investor ID]],INVESTORS_LIST[INVESTOR CODE],0),)</f>
        <v>MADHAB GHOSH</v>
      </c>
      <c r="G640" s="25" t="s">
        <v>1038</v>
      </c>
      <c r="H640" s="8">
        <f>COUNTIF(LS[[#Headers],[Investor ID]]:LS[[#This Row],[Investor ID]],LS[[#This Row],[Investor ID]])</f>
        <v>4</v>
      </c>
      <c r="I640" s="8" t="str">
        <f>CONCATENATE(LS[[#This Row],[Frequency]],LS[[#This Row],[Investor ID]])</f>
        <v>4A00468</v>
      </c>
      <c r="J640" s="8" t="str">
        <f>IF(LS[[#This Row],[B/S]]="B","BUY",(IF(LS[[#This Row],[B/S]]="S","SELL"," ")))</f>
        <v>SELL</v>
      </c>
      <c r="K640" s="8" t="s">
        <v>866</v>
      </c>
      <c r="L640" s="3">
        <v>-292625.65000000002</v>
      </c>
      <c r="M640" s="3"/>
      <c r="N640" s="216">
        <f>LS[[#This Row],[Amount]]/LS[[#This Row],[Unit]]</f>
        <v>12.016000082125407</v>
      </c>
      <c r="O640" s="1">
        <f t="shared" si="129"/>
        <v>-24353</v>
      </c>
      <c r="P640" s="1">
        <f>SUMIFS(LS[[#Headers],[Unit]]:LS[[#This Row],[Unit]],LS[[#Headers],[Investor ID]]:LS[[#This Row],[Investor ID]],LS[[#This Row],[Investor ID]])</f>
        <v>0</v>
      </c>
      <c r="Q640" s="3">
        <v>-243530</v>
      </c>
      <c r="R640" s="6">
        <f>LS[[#This Row],[Amount]]-LS[[#This Row],[Unit Capital]]</f>
        <v>-49095.650000000023</v>
      </c>
      <c r="S64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640" s="216">
        <f t="shared" si="130"/>
        <v>12.552</v>
      </c>
      <c r="U640" s="3">
        <f>IF(LS[[#This Row],[B/S]]="B",0,ABS(LS[[#This Row],[Unit]])*(LS[[#This Row],[NAV (Strike Rate)]]-INDEX(LS[NAV at Cost (Average)],MATCH(CONCATENATE(LS[[#This Row],[Frequency]]-1,LS[[#This Row],[Investor ID]]),LS[Unique Code],0),)))</f>
        <v>8625.6500000000542</v>
      </c>
      <c r="V640" s="3" cm="1">
        <f t="array" ref="V640">IF(LS[[#This Row],[B/S]]="S",ABS(LS[[#This Row],[Unit]])*(INDEX(LS[NAV at Cost (Average)],MATCH(CONCATENATE((LS[[#This Row],[Frequency]]-1),LS[[#This Row],[Investor ID]]),LS[Unique Code],0),0)),0)</f>
        <v>284000</v>
      </c>
      <c r="W640" s="3">
        <f>IF(LS[[#This Row],[BO Transfer]]="YES",LS[[#This Row],[Unit]],)</f>
        <v>0</v>
      </c>
      <c r="X640" s="3">
        <f>SUMIFS(LS[[#Headers],[BO UNIT TRANSFER]]:LS[[#This Row],[BO UNIT TRANSFER]],LS[[#Headers],[Investor ID]]:LS[[#This Row],[Investor ID]],LS[[#This Row],[Investor ID]])</f>
        <v>0</v>
      </c>
    </row>
    <row r="641" spans="2:24">
      <c r="B641" s="8">
        <v>2025</v>
      </c>
      <c r="C641" s="8">
        <v>12</v>
      </c>
      <c r="D641" s="8">
        <v>22</v>
      </c>
      <c r="E641" s="291">
        <f>DATE(LS[[#This Row],[Year]],LS[[#This Row],[Month]],LS[[#This Row],[Day]])</f>
        <v>46013</v>
      </c>
      <c r="F641" t="str" cm="1">
        <f t="array" ref="F641">INDEX(INVESTORS_LIST[INVESTOR NAME],MATCH(LS[[#This Row],[Investor ID]],INVESTORS_LIST[INVESTOR CODE],0),)</f>
        <v>SHUVA SAHA</v>
      </c>
      <c r="G641" s="25" t="s">
        <v>60</v>
      </c>
      <c r="H641" s="8">
        <f>COUNTIF(LS[[#Headers],[Investor ID]]:LS[[#This Row],[Investor ID]],LS[[#This Row],[Investor ID]])</f>
        <v>23</v>
      </c>
      <c r="I641" s="8" t="str">
        <f>CONCATENATE(LS[[#This Row],[Frequency]],LS[[#This Row],[Investor ID]])</f>
        <v>23A00053</v>
      </c>
      <c r="J641" s="8" t="str">
        <f>IF(LS[[#This Row],[B/S]]="B","BUY",(IF(LS[[#This Row],[B/S]]="S","SELL"," ")))</f>
        <v>BUY</v>
      </c>
      <c r="K641" s="8" t="s">
        <v>301</v>
      </c>
      <c r="L641" s="3">
        <v>140000</v>
      </c>
      <c r="M641" s="3" t="s">
        <v>957</v>
      </c>
      <c r="N641" s="216">
        <f>LS[[#This Row],[Amount]]/LS[[#This Row],[Unit]]</f>
        <v>11.803389258915775</v>
      </c>
      <c r="O641" s="1">
        <f t="shared" si="129"/>
        <v>11861</v>
      </c>
      <c r="P641" s="1">
        <f>SUMIFS(LS[[#Headers],[Unit]]:LS[[#This Row],[Unit]],LS[[#Headers],[Investor ID]]:LS[[#This Row],[Investor ID]],LS[[#This Row],[Investor ID]])</f>
        <v>476726</v>
      </c>
      <c r="Q641" s="3">
        <v>118610</v>
      </c>
      <c r="R641" s="6">
        <f>LS[[#This Row],[Amount]]-LS[[#This Row],[Unit Capital]]</f>
        <v>21390</v>
      </c>
      <c r="S64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10.692385480149431</v>
      </c>
      <c r="T641" s="216">
        <f t="shared" si="130"/>
        <v>12.552</v>
      </c>
      <c r="U64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41" s="3" cm="1">
        <f t="array" ref="V641">IF(LS[[#This Row],[B/S]]="S",ABS(LS[[#This Row],[Unit]])*(INDEX(LS[NAV at Cost (Average)],MATCH(CONCATENATE((LS[[#This Row],[Frequency]]-1),LS[[#This Row],[Investor ID]]),LS[Unique Code],0),0)),0)</f>
        <v>0</v>
      </c>
      <c r="W641" s="3">
        <f>IF(LS[[#This Row],[BO Transfer]]="YES",LS[[#This Row],[Unit]],)</f>
        <v>11861</v>
      </c>
      <c r="X641" s="3">
        <f>SUMIFS(LS[[#Headers],[BO UNIT TRANSFER]]:LS[[#This Row],[BO UNIT TRANSFER]],LS[[#Headers],[Investor ID]]:LS[[#This Row],[Investor ID]],LS[[#This Row],[Investor ID]])</f>
        <v>121825</v>
      </c>
    </row>
    <row r="642" spans="2:24">
      <c r="B642" s="8">
        <v>2025</v>
      </c>
      <c r="C642" s="8">
        <v>12</v>
      </c>
      <c r="D642" s="8">
        <v>22</v>
      </c>
      <c r="E642" s="291">
        <f>DATE(LS[[#This Row],[Year]],LS[[#This Row],[Month]],LS[[#This Row],[Day]])</f>
        <v>46013</v>
      </c>
      <c r="F642" t="str" cm="1">
        <f t="array" ref="F642">INDEX(INVESTORS_LIST[INVESTOR NAME],MATCH(LS[[#This Row],[Investor ID]],INVESTORS_LIST[INVESTOR CODE],0),)</f>
        <v>CHAONIKA SAHA</v>
      </c>
      <c r="G642" s="25" t="s">
        <v>108</v>
      </c>
      <c r="H642" s="8">
        <f>COUNTIF(LS[[#Headers],[Investor ID]]:LS[[#This Row],[Investor ID]],LS[[#This Row],[Investor ID]])</f>
        <v>1</v>
      </c>
      <c r="I642" s="8" t="str">
        <f>CONCATENATE(LS[[#This Row],[Frequency]],LS[[#This Row],[Investor ID]])</f>
        <v>1A00095</v>
      </c>
      <c r="J642" s="8" t="str">
        <f>IF(LS[[#This Row],[B/S]]="B","BUY",(IF(LS[[#This Row],[B/S]]="S","SELL"," ")))</f>
        <v>BUY</v>
      </c>
      <c r="K642" s="8" t="s">
        <v>301</v>
      </c>
      <c r="L642" s="3">
        <v>160225</v>
      </c>
      <c r="M642" s="3"/>
      <c r="N642" s="216">
        <f>LS[[#This Row],[Amount]]/LS[[#This Row],[Unit]]</f>
        <v>11.802946593001842</v>
      </c>
      <c r="O642" s="1">
        <f t="shared" si="129"/>
        <v>13575</v>
      </c>
      <c r="P642" s="1">
        <f>SUMIFS(LS[[#Headers],[Unit]]:LS[[#This Row],[Unit]],LS[[#Headers],[Investor ID]]:LS[[#This Row],[Investor ID]],LS[[#This Row],[Investor ID]])</f>
        <v>13575</v>
      </c>
      <c r="Q642" s="3">
        <v>135750</v>
      </c>
      <c r="R642" s="6">
        <f>LS[[#This Row],[Amount]]-LS[[#This Row],[Unit Capital]]</f>
        <v>24475</v>
      </c>
      <c r="S64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11.802946593001842</v>
      </c>
      <c r="T642" s="216">
        <f t="shared" si="130"/>
        <v>12.552</v>
      </c>
      <c r="U64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42" s="3" cm="1">
        <f t="array" ref="V642">IF(LS[[#This Row],[B/S]]="S",ABS(LS[[#This Row],[Unit]])*(INDEX(LS[NAV at Cost (Average)],MATCH(CONCATENATE((LS[[#This Row],[Frequency]]-1),LS[[#This Row],[Investor ID]]),LS[Unique Code],0),0)),0)</f>
        <v>0</v>
      </c>
      <c r="W642" s="3">
        <f>IF(LS[[#This Row],[BO Transfer]]="YES",LS[[#This Row],[Unit]],)</f>
        <v>0</v>
      </c>
      <c r="X642" s="3">
        <f>SUMIFS(LS[[#Headers],[BO UNIT TRANSFER]]:LS[[#This Row],[BO UNIT TRANSFER]],LS[[#Headers],[Investor ID]]:LS[[#This Row],[Investor ID]],LS[[#This Row],[Investor ID]])</f>
        <v>0</v>
      </c>
    </row>
    <row r="643" spans="2:24">
      <c r="B643" s="8">
        <v>2025</v>
      </c>
      <c r="C643" s="8">
        <v>12</v>
      </c>
      <c r="D643" s="8">
        <v>22</v>
      </c>
      <c r="E643" s="291">
        <f>DATE(LS[[#This Row],[Year]],LS[[#This Row],[Month]],LS[[#This Row],[Day]])</f>
        <v>46013</v>
      </c>
      <c r="F643" t="str" cm="1">
        <f t="array" ref="F643">INDEX(INVESTORS_LIST[INVESTOR NAME],MATCH(LS[[#This Row],[Investor ID]],INVESTORS_LIST[INVESTOR CODE],0),)</f>
        <v>MADHAB GHOSH</v>
      </c>
      <c r="G643" s="25" t="s">
        <v>1038</v>
      </c>
      <c r="H643" s="8">
        <f>COUNTIF(LS[[#Headers],[Investor ID]]:LS[[#This Row],[Investor ID]],LS[[#This Row],[Investor ID]])</f>
        <v>5</v>
      </c>
      <c r="I643" s="8" t="str">
        <f>CONCATENATE(LS[[#This Row],[Frequency]],LS[[#This Row],[Investor ID]])</f>
        <v>5A00468</v>
      </c>
      <c r="J643" s="8" t="str">
        <f>IF(LS[[#This Row],[B/S]]="B","BUY",(IF(LS[[#This Row],[B/S]]="S","SELL"," ")))</f>
        <v>BUY</v>
      </c>
      <c r="K643" s="8" t="s">
        <v>301</v>
      </c>
      <c r="L643" s="3">
        <v>285000</v>
      </c>
      <c r="M643" s="3"/>
      <c r="N643" s="216">
        <f>LS[[#This Row],[Amount]]/LS[[#This Row],[Unit]]</f>
        <v>11.803197216930341</v>
      </c>
      <c r="O643" s="1">
        <f t="shared" si="129"/>
        <v>24146</v>
      </c>
      <c r="P643" s="1">
        <f>SUMIFS(LS[[#Headers],[Unit]]:LS[[#This Row],[Unit]],LS[[#Headers],[Investor ID]]:LS[[#This Row],[Investor ID]],LS[[#This Row],[Investor ID]])</f>
        <v>24146</v>
      </c>
      <c r="Q643" s="3">
        <v>241460</v>
      </c>
      <c r="R643" s="6">
        <f>LS[[#This Row],[Amount]]-LS[[#This Row],[Unit Capital]]</f>
        <v>43540</v>
      </c>
      <c r="S64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11.803197216930341</v>
      </c>
      <c r="T643" s="216">
        <f t="shared" si="130"/>
        <v>12.552</v>
      </c>
      <c r="U64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43" s="3" cm="1">
        <f t="array" ref="V643">IF(LS[[#This Row],[B/S]]="S",ABS(LS[[#This Row],[Unit]])*(INDEX(LS[NAV at Cost (Average)],MATCH(CONCATENATE((LS[[#This Row],[Frequency]]-1),LS[[#This Row],[Investor ID]]),LS[Unique Code],0),0)),0)</f>
        <v>0</v>
      </c>
      <c r="W643" s="3">
        <f>IF(LS[[#This Row],[BO Transfer]]="YES",LS[[#This Row],[Unit]],)</f>
        <v>0</v>
      </c>
      <c r="X643" s="3">
        <f>SUMIFS(LS[[#Headers],[BO UNIT TRANSFER]]:LS[[#This Row],[BO UNIT TRANSFER]],LS[[#Headers],[Investor ID]]:LS[[#This Row],[Investor ID]],LS[[#This Row],[Investor ID]])</f>
        <v>0</v>
      </c>
    </row>
    <row r="644" spans="2:24">
      <c r="B644" s="8">
        <v>2025</v>
      </c>
      <c r="C644" s="8">
        <v>12</v>
      </c>
      <c r="D644" s="8">
        <v>23</v>
      </c>
      <c r="E644" s="291">
        <f>DATE(LS[[#This Row],[Year]],LS[[#This Row],[Month]],LS[[#This Row],[Day]])</f>
        <v>46014</v>
      </c>
      <c r="F644" t="str" cm="1">
        <f t="array" ref="F644">INDEX(INVESTORS_LIST[INVESTOR NAME],MATCH(LS[[#This Row],[Investor ID]],INVESTORS_LIST[INVESTOR CODE],0),)</f>
        <v>EKUSH WEALTH MANAGEMENT LIMITED EMPLOYEES CONTRIBUTORY PROVIDENT FUND</v>
      </c>
      <c r="G644" s="25" t="s">
        <v>859</v>
      </c>
      <c r="H644" s="8">
        <f>COUNTIF(LS[[#Headers],[Investor ID]]:LS[[#This Row],[Investor ID]],LS[[#This Row],[Investor ID]])</f>
        <v>1</v>
      </c>
      <c r="I644" s="8" t="str">
        <f>CONCATENATE(LS[[#This Row],[Frequency]],LS[[#This Row],[Investor ID]])</f>
        <v>1A00392</v>
      </c>
      <c r="J644" s="8" t="str">
        <f>IF(LS[[#This Row],[B/S]]="B","BUY",(IF(LS[[#This Row],[B/S]]="S","SELL"," ")))</f>
        <v>BUY</v>
      </c>
      <c r="K644" s="8" t="s">
        <v>301</v>
      </c>
      <c r="L644" s="3">
        <v>565000</v>
      </c>
      <c r="M644" s="3"/>
      <c r="N644" s="216">
        <f>LS[[#This Row],[Amount]]/LS[[#This Row],[Unit]]</f>
        <v>11.865011865011866</v>
      </c>
      <c r="O644" s="1">
        <f t="shared" si="129"/>
        <v>47619</v>
      </c>
      <c r="P644" s="1">
        <f>SUMIFS(LS[[#Headers],[Unit]]:LS[[#This Row],[Unit]],LS[[#Headers],[Investor ID]]:LS[[#This Row],[Investor ID]],LS[[#This Row],[Investor ID]])</f>
        <v>47619</v>
      </c>
      <c r="Q644" s="3">
        <v>476190</v>
      </c>
      <c r="R644" s="6">
        <f>LS[[#This Row],[Amount]]-LS[[#This Row],[Unit Capital]]</f>
        <v>88810</v>
      </c>
      <c r="S64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11.865011865011866</v>
      </c>
      <c r="T644" s="216">
        <f t="shared" si="130"/>
        <v>12.552</v>
      </c>
      <c r="U64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44" s="3" cm="1">
        <f t="array" ref="V644">IF(LS[[#This Row],[B/S]]="S",ABS(LS[[#This Row],[Unit]])*(INDEX(LS[NAV at Cost (Average)],MATCH(CONCATENATE((LS[[#This Row],[Frequency]]-1),LS[[#This Row],[Investor ID]]),LS[Unique Code],0),0)),0)</f>
        <v>0</v>
      </c>
      <c r="W644" s="3">
        <f>IF(LS[[#This Row],[BO Transfer]]="YES",LS[[#This Row],[Unit]],)</f>
        <v>0</v>
      </c>
      <c r="X644" s="3">
        <f>SUMIFS(LS[[#Headers],[BO UNIT TRANSFER]]:LS[[#This Row],[BO UNIT TRANSFER]],LS[[#Headers],[Investor ID]]:LS[[#This Row],[Investor ID]],LS[[#This Row],[Investor ID]])</f>
        <v>0</v>
      </c>
    </row>
    <row r="645" spans="2:24">
      <c r="B645" s="8">
        <v>2025</v>
      </c>
      <c r="C645" s="8">
        <v>12</v>
      </c>
      <c r="D645" s="8">
        <v>23</v>
      </c>
      <c r="E645" s="291">
        <f>DATE(LS[[#This Row],[Year]],LS[[#This Row],[Month]],LS[[#This Row],[Day]])</f>
        <v>46014</v>
      </c>
      <c r="F645" t="str" cm="1">
        <f t="array" ref="F645">INDEX(INVESTORS_LIST[INVESTOR NAME],MATCH(LS[[#This Row],[Investor ID]],INVESTORS_LIST[INVESTOR CODE],0),)</f>
        <v>ARCHONA SAHA</v>
      </c>
      <c r="G645" s="25" t="s">
        <v>906</v>
      </c>
      <c r="H645" s="8">
        <f>COUNTIF(LS[[#Headers],[Investor ID]]:LS[[#This Row],[Investor ID]],LS[[#This Row],[Investor ID]])</f>
        <v>1</v>
      </c>
      <c r="I645" s="8" t="str">
        <f>CONCATENATE(LS[[#This Row],[Frequency]],LS[[#This Row],[Investor ID]])</f>
        <v>1A00413</v>
      </c>
      <c r="J645" s="8" t="str">
        <f>IF(LS[[#This Row],[B/S]]="B","BUY",(IF(LS[[#This Row],[B/S]]="S","SELL"," ")))</f>
        <v>BUY</v>
      </c>
      <c r="K645" s="8" t="s">
        <v>301</v>
      </c>
      <c r="L645" s="3">
        <v>375409</v>
      </c>
      <c r="M645" s="3"/>
      <c r="N645" s="216">
        <f>LS[[#This Row],[Amount]]/LS[[#This Row],[Unit]]</f>
        <v>11.865012642225032</v>
      </c>
      <c r="O645" s="1">
        <f t="shared" si="129"/>
        <v>31640</v>
      </c>
      <c r="P645" s="1">
        <f>SUMIFS(LS[[#Headers],[Unit]]:LS[[#This Row],[Unit]],LS[[#Headers],[Investor ID]]:LS[[#This Row],[Investor ID]],LS[[#This Row],[Investor ID]])</f>
        <v>31640</v>
      </c>
      <c r="Q645" s="3">
        <v>316400</v>
      </c>
      <c r="R645" s="6">
        <f>LS[[#This Row],[Amount]]-LS[[#This Row],[Unit Capital]]</f>
        <v>59009</v>
      </c>
      <c r="S64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11.865012642225032</v>
      </c>
      <c r="T645" s="216">
        <f t="shared" si="130"/>
        <v>12.552</v>
      </c>
      <c r="U64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45" s="3" cm="1">
        <f t="array" ref="V645">IF(LS[[#This Row],[B/S]]="S",ABS(LS[[#This Row],[Unit]])*(INDEX(LS[NAV at Cost (Average)],MATCH(CONCATENATE((LS[[#This Row],[Frequency]]-1),LS[[#This Row],[Investor ID]]),LS[Unique Code],0),0)),0)</f>
        <v>0</v>
      </c>
      <c r="W645" s="3">
        <f>IF(LS[[#This Row],[BO Transfer]]="YES",LS[[#This Row],[Unit]],)</f>
        <v>0</v>
      </c>
      <c r="X645" s="3">
        <f>SUMIFS(LS[[#Headers],[BO UNIT TRANSFER]]:LS[[#This Row],[BO UNIT TRANSFER]],LS[[#Headers],[Investor ID]]:LS[[#This Row],[Investor ID]],LS[[#This Row],[Investor ID]])</f>
        <v>0</v>
      </c>
    </row>
    <row r="646" spans="2:24">
      <c r="B646" s="8">
        <v>2025</v>
      </c>
      <c r="C646" s="8">
        <v>12</v>
      </c>
      <c r="D646" s="8">
        <v>23</v>
      </c>
      <c r="E646" s="291">
        <f>DATE(LS[[#This Row],[Year]],LS[[#This Row],[Month]],LS[[#This Row],[Day]])</f>
        <v>46014</v>
      </c>
      <c r="F646" t="str" cm="1">
        <f t="array" ref="F646">INDEX(INVESTORS_LIST[INVESTOR NAME],MATCH(LS[[#This Row],[Investor ID]],INVESTORS_LIST[INVESTOR CODE],0),)</f>
        <v>PUJA GHOSH</v>
      </c>
      <c r="G646" s="25" t="s">
        <v>1474</v>
      </c>
      <c r="H646" s="8">
        <f>COUNTIF(LS[[#Headers],[Investor ID]]:LS[[#This Row],[Investor ID]],LS[[#This Row],[Investor ID]])</f>
        <v>3</v>
      </c>
      <c r="I646" s="8" t="str">
        <f>CONCATENATE(LS[[#This Row],[Frequency]],LS[[#This Row],[Investor ID]])</f>
        <v>3A00642</v>
      </c>
      <c r="J646" s="8" t="str">
        <f>IF(LS[[#This Row],[B/S]]="B","BUY",(IF(LS[[#This Row],[B/S]]="S","SELL"," ")))</f>
        <v>BUY</v>
      </c>
      <c r="K646" s="8" t="s">
        <v>301</v>
      </c>
      <c r="L646" s="3">
        <v>88500</v>
      </c>
      <c r="M646" s="3"/>
      <c r="N646" s="216">
        <f>LS[[#This Row],[Amount]]/LS[[#This Row],[Unit]]</f>
        <v>11.864861241453278</v>
      </c>
      <c r="O646" s="1">
        <f t="shared" ref="O646:O653" si="131">Q646/10</f>
        <v>7459</v>
      </c>
      <c r="P646" s="1">
        <f>SUMIFS(LS[[#Headers],[Unit]]:LS[[#This Row],[Unit]],LS[[#Headers],[Investor ID]]:LS[[#This Row],[Investor ID]],LS[[#This Row],[Investor ID]])</f>
        <v>7459</v>
      </c>
      <c r="Q646" s="3">
        <v>74590</v>
      </c>
      <c r="R646" s="6">
        <f>LS[[#This Row],[Amount]]-LS[[#This Row],[Unit Capital]]</f>
        <v>13910</v>
      </c>
      <c r="S64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11.864861241453278</v>
      </c>
      <c r="T646" s="216">
        <f t="shared" ref="T646:T653" si="132">IFERROR(NAV_MKT,0)</f>
        <v>12.552</v>
      </c>
      <c r="U64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46" s="3" cm="1">
        <f t="array" ref="V646">IF(LS[[#This Row],[B/S]]="S",ABS(LS[[#This Row],[Unit]])*(INDEX(LS[NAV at Cost (Average)],MATCH(CONCATENATE((LS[[#This Row],[Frequency]]-1),LS[[#This Row],[Investor ID]]),LS[Unique Code],0),0)),0)</f>
        <v>0</v>
      </c>
      <c r="W646" s="3">
        <f>IF(LS[[#This Row],[BO Transfer]]="YES",LS[[#This Row],[Unit]],)</f>
        <v>0</v>
      </c>
      <c r="X646" s="3">
        <f>SUMIFS(LS[[#Headers],[BO UNIT TRANSFER]]:LS[[#This Row],[BO UNIT TRANSFER]],LS[[#Headers],[Investor ID]]:LS[[#This Row],[Investor ID]],LS[[#This Row],[Investor ID]])</f>
        <v>0</v>
      </c>
    </row>
    <row r="647" spans="2:24">
      <c r="B647" s="8">
        <v>2025</v>
      </c>
      <c r="C647" s="8">
        <v>12</v>
      </c>
      <c r="D647" s="8">
        <v>28</v>
      </c>
      <c r="E647" s="291">
        <f>DATE(LS[[#This Row],[Year]],LS[[#This Row],[Month]],LS[[#This Row],[Day]])</f>
        <v>46019</v>
      </c>
      <c r="F647" t="str" cm="1">
        <f t="array" ref="F647">INDEX(INVESTORS_LIST[INVESTOR NAME],MATCH(LS[[#This Row],[Investor ID]],INVESTORS_LIST[INVESTOR CODE],0),)</f>
        <v>SK FEROZ ALAM &amp; MD BULBUL ISLAM</v>
      </c>
      <c r="G647" s="25" t="s">
        <v>272</v>
      </c>
      <c r="H647" s="8">
        <f>COUNTIF(LS[[#Headers],[Investor ID]]:LS[[#This Row],[Investor ID]],LS[[#This Row],[Investor ID]])</f>
        <v>3</v>
      </c>
      <c r="I647" s="8" t="str">
        <f>CONCATENATE(LS[[#This Row],[Frequency]],LS[[#This Row],[Investor ID]])</f>
        <v>3A00216</v>
      </c>
      <c r="J647" s="8" t="str">
        <f>IF(LS[[#This Row],[B/S]]="B","BUY",(IF(LS[[#This Row],[B/S]]="S","SELL"," ")))</f>
        <v>BUY</v>
      </c>
      <c r="K647" s="8" t="s">
        <v>301</v>
      </c>
      <c r="L647" s="3">
        <v>119310</v>
      </c>
      <c r="M647" s="3"/>
      <c r="N647" s="216">
        <f>LS[[#This Row],[Amount]]/LS[[#This Row],[Unit]]</f>
        <v>11.930999999999999</v>
      </c>
      <c r="O647" s="1">
        <f t="shared" si="131"/>
        <v>10000</v>
      </c>
      <c r="P647" s="1">
        <f>SUMIFS(LS[[#Headers],[Unit]]:LS[[#This Row],[Unit]],LS[[#Headers],[Investor ID]]:LS[[#This Row],[Investor ID]],LS[[#This Row],[Investor ID]])</f>
        <v>10000</v>
      </c>
      <c r="Q647" s="3">
        <v>100000</v>
      </c>
      <c r="R647" s="6">
        <f>LS[[#This Row],[Amount]]-LS[[#This Row],[Unit Capital]]</f>
        <v>19310</v>
      </c>
      <c r="S64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11.930999999999999</v>
      </c>
      <c r="T647" s="216">
        <f t="shared" si="132"/>
        <v>12.552</v>
      </c>
      <c r="U64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47" s="3" cm="1">
        <f t="array" ref="V647">IF(LS[[#This Row],[B/S]]="S",ABS(LS[[#This Row],[Unit]])*(INDEX(LS[NAV at Cost (Average)],MATCH(CONCATENATE((LS[[#This Row],[Frequency]]-1),LS[[#This Row],[Investor ID]]),LS[Unique Code],0),0)),0)</f>
        <v>0</v>
      </c>
      <c r="W647" s="3">
        <f>IF(LS[[#This Row],[BO Transfer]]="YES",LS[[#This Row],[Unit]],)</f>
        <v>0</v>
      </c>
      <c r="X647" s="3">
        <f>SUMIFS(LS[[#Headers],[BO UNIT TRANSFER]]:LS[[#This Row],[BO UNIT TRANSFER]],LS[[#Headers],[Investor ID]]:LS[[#This Row],[Investor ID]],LS[[#This Row],[Investor ID]])</f>
        <v>0</v>
      </c>
    </row>
    <row r="648" spans="2:24">
      <c r="B648" s="8">
        <v>2025</v>
      </c>
      <c r="C648" s="8">
        <v>12</v>
      </c>
      <c r="D648" s="8">
        <v>28</v>
      </c>
      <c r="E648" s="291">
        <f>DATE(LS[[#This Row],[Year]],LS[[#This Row],[Month]],LS[[#This Row],[Day]])</f>
        <v>46019</v>
      </c>
      <c r="F648" t="str" cm="1">
        <f t="array" ref="F648">INDEX(INVESTORS_LIST[INVESTOR NAME],MATCH(LS[[#This Row],[Investor ID]],INVESTORS_LIST[INVESTOR CODE],0),)</f>
        <v>PHOENIX FINANCE &amp; INVESTMENTS LTD</v>
      </c>
      <c r="G648" s="25" t="s">
        <v>205</v>
      </c>
      <c r="H648" s="8">
        <f>COUNTIF(LS[[#Headers],[Investor ID]]:LS[[#This Row],[Investor ID]],LS[[#This Row],[Investor ID]])</f>
        <v>7</v>
      </c>
      <c r="I648" s="8" t="str">
        <f>CONCATENATE(LS[[#This Row],[Frequency]],LS[[#This Row],[Investor ID]])</f>
        <v>7A00172</v>
      </c>
      <c r="J648" s="8" t="str">
        <f>IF(LS[[#This Row],[B/S]]="B","BUY",(IF(LS[[#This Row],[B/S]]="S","SELL"," ")))</f>
        <v>SELL</v>
      </c>
      <c r="K648" s="8" t="s">
        <v>866</v>
      </c>
      <c r="L648" s="3">
        <v>-1262483.82</v>
      </c>
      <c r="M648" s="3"/>
      <c r="N648" s="216">
        <f>LS[[#This Row],[Amount]]/LS[[#This Row],[Unit]]</f>
        <v>11.90741636406508</v>
      </c>
      <c r="O648" s="1">
        <f t="shared" si="131"/>
        <v>-106025</v>
      </c>
      <c r="P648" s="1">
        <f>SUMIFS(LS[[#Headers],[Unit]]:LS[[#This Row],[Unit]],LS[[#Headers],[Investor ID]]:LS[[#This Row],[Investor ID]],LS[[#This Row],[Investor ID]])</f>
        <v>0</v>
      </c>
      <c r="Q648" s="3">
        <v>-1060250</v>
      </c>
      <c r="R648" s="6">
        <f>LS[[#This Row],[Amount]]-LS[[#This Row],[Unit Capital]]</f>
        <v>-202233.82000000007</v>
      </c>
      <c r="S64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648" s="216">
        <f t="shared" si="132"/>
        <v>12.552</v>
      </c>
      <c r="U648" s="3">
        <f>IF(LS[[#This Row],[B/S]]="B",0,ABS(LS[[#This Row],[Unit]])*(LS[[#This Row],[NAV (Strike Rate)]]-INDEX(LS[NAV at Cost (Average)],MATCH(CONCATENATE(LS[[#This Row],[Frequency]]-1,LS[[#This Row],[Investor ID]]),LS[Unique Code],0),)))</f>
        <v>202829.57986424377</v>
      </c>
      <c r="V648" s="3" cm="1">
        <f t="array" ref="V648">IF(LS[[#This Row],[B/S]]="S",ABS(LS[[#This Row],[Unit]])*(INDEX(LS[NAV at Cost (Average)],MATCH(CONCATENATE((LS[[#This Row],[Frequency]]-1),LS[[#This Row],[Investor ID]]),LS[Unique Code],0),0)),0)</f>
        <v>1059654.2401357563</v>
      </c>
      <c r="W648" s="3">
        <f>IF(LS[[#This Row],[BO Transfer]]="YES",LS[[#This Row],[Unit]],)</f>
        <v>0</v>
      </c>
      <c r="X648" s="3">
        <f>SUMIFS(LS[[#Headers],[BO UNIT TRANSFER]]:LS[[#This Row],[BO UNIT TRANSFER]],LS[[#Headers],[Investor ID]]:LS[[#This Row],[Investor ID]],LS[[#This Row],[Investor ID]])</f>
        <v>0</v>
      </c>
    </row>
    <row r="649" spans="2:24">
      <c r="B649" s="8">
        <v>2025</v>
      </c>
      <c r="C649" s="8">
        <v>12</v>
      </c>
      <c r="D649" s="8">
        <v>28</v>
      </c>
      <c r="E649" s="291">
        <f>DATE(LS[[#This Row],[Year]],LS[[#This Row],[Month]],LS[[#This Row],[Day]])</f>
        <v>46019</v>
      </c>
      <c r="F649" t="str" cm="1">
        <f t="array" ref="F649">INDEX(INVESTORS_LIST[INVESTOR NAME],MATCH(LS[[#This Row],[Investor ID]],INVESTORS_LIST[INVESTOR CODE],0),)</f>
        <v>EKUSH WEALTH MANAGEMENT LIMITED</v>
      </c>
      <c r="G649" s="25" t="s">
        <v>4</v>
      </c>
      <c r="H649" s="8">
        <f>COUNTIF(LS[[#Headers],[Investor ID]]:LS[[#This Row],[Investor ID]],LS[[#This Row],[Investor ID]])</f>
        <v>36</v>
      </c>
      <c r="I649" s="8" t="str">
        <f>CONCATENATE(LS[[#This Row],[Frequency]],LS[[#This Row],[Investor ID]])</f>
        <v>36A00003</v>
      </c>
      <c r="J649" s="8" t="str">
        <f>IF(LS[[#This Row],[B/S]]="B","BUY",(IF(LS[[#This Row],[B/S]]="S","SELL"," ")))</f>
        <v>SELL</v>
      </c>
      <c r="K649" s="8" t="s">
        <v>866</v>
      </c>
      <c r="L649" s="3">
        <v>-360000</v>
      </c>
      <c r="M649" s="3"/>
      <c r="N649" s="216">
        <f>LS[[#This Row],[Amount]]/LS[[#This Row],[Unit]]</f>
        <v>11.896893588896233</v>
      </c>
      <c r="O649" s="1">
        <f t="shared" si="131"/>
        <v>-30260</v>
      </c>
      <c r="P649" s="1">
        <f>SUMIFS(LS[[#Headers],[Unit]]:LS[[#This Row],[Unit]],LS[[#Headers],[Investor ID]]:LS[[#This Row],[Investor ID]],LS[[#This Row],[Investor ID]])</f>
        <v>2821396</v>
      </c>
      <c r="Q649" s="3">
        <v>-302600</v>
      </c>
      <c r="R649" s="6">
        <f>LS[[#This Row],[Amount]]-LS[[#This Row],[Unit Capital]]</f>
        <v>-57400</v>
      </c>
      <c r="S64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10.168354841870986</v>
      </c>
      <c r="T649" s="216">
        <f t="shared" si="132"/>
        <v>12.552</v>
      </c>
      <c r="U649" s="3">
        <f>IF(LS[[#This Row],[B/S]]="B",0,ABS(LS[[#This Row],[Unit]])*(LS[[#This Row],[NAV (Strike Rate)]]-INDEX(LS[NAV at Cost (Average)],MATCH(CONCATENATE(LS[[#This Row],[Frequency]]-1,LS[[#This Row],[Investor ID]]),LS[Unique Code],0),)))</f>
        <v>52305.582484983985</v>
      </c>
      <c r="V649" s="3" cm="1">
        <f t="array" ref="V649">IF(LS[[#This Row],[B/S]]="S",ABS(LS[[#This Row],[Unit]])*(INDEX(LS[NAV at Cost (Average)],MATCH(CONCATENATE((LS[[#This Row],[Frequency]]-1),LS[[#This Row],[Investor ID]]),LS[Unique Code],0),0)),0)</f>
        <v>307694.41751501604</v>
      </c>
      <c r="W649" s="3">
        <f>IF(LS[[#This Row],[BO Transfer]]="YES",LS[[#This Row],[Unit]],)</f>
        <v>0</v>
      </c>
      <c r="X649" s="3">
        <f>SUMIFS(LS[[#Headers],[BO UNIT TRANSFER]]:LS[[#This Row],[BO UNIT TRANSFER]],LS[[#Headers],[Investor ID]]:LS[[#This Row],[Investor ID]],LS[[#This Row],[Investor ID]])</f>
        <v>0</v>
      </c>
    </row>
    <row r="650" spans="2:24">
      <c r="B650" s="8">
        <v>2025</v>
      </c>
      <c r="C650" s="8">
        <v>12</v>
      </c>
      <c r="D650" s="8">
        <v>30</v>
      </c>
      <c r="E650" s="291">
        <f>DATE(LS[[#This Row],[Year]],LS[[#This Row],[Month]],LS[[#This Row],[Day]])</f>
        <v>46021</v>
      </c>
      <c r="F650" t="str" cm="1">
        <f t="array" ref="F650">INDEX(INVESTORS_LIST[INVESTOR NAME],MATCH(LS[[#This Row],[Investor ID]],INVESTORS_LIST[INVESTOR CODE],0),)</f>
        <v>SHUVA SAHA</v>
      </c>
      <c r="G650" s="25" t="s">
        <v>60</v>
      </c>
      <c r="H650" s="8">
        <f>COUNTIF(LS[[#Headers],[Investor ID]]:LS[[#This Row],[Investor ID]],LS[[#This Row],[Investor ID]])</f>
        <v>24</v>
      </c>
      <c r="I650" s="8" t="str">
        <f>CONCATENATE(LS[[#This Row],[Frequency]],LS[[#This Row],[Investor ID]])</f>
        <v>24A00053</v>
      </c>
      <c r="J650" s="8" t="str">
        <f>IF(LS[[#This Row],[B/S]]="B","BUY",(IF(LS[[#This Row],[B/S]]="S","SELL"," ")))</f>
        <v>BUY</v>
      </c>
      <c r="K650" s="8" t="s">
        <v>301</v>
      </c>
      <c r="L650" s="3">
        <v>60000</v>
      </c>
      <c r="M650" s="3" t="s">
        <v>957</v>
      </c>
      <c r="N650" s="216">
        <f>LS[[#This Row],[Amount]]/LS[[#This Row],[Unit]]</f>
        <v>11.864741941862764</v>
      </c>
      <c r="O650" s="1">
        <f t="shared" si="131"/>
        <v>5057</v>
      </c>
      <c r="P650" s="1">
        <f>SUMIFS(LS[[#Headers],[Unit]]:LS[[#This Row],[Unit]],LS[[#Headers],[Investor ID]]:LS[[#This Row],[Investor ID]],LS[[#This Row],[Investor ID]])</f>
        <v>481783</v>
      </c>
      <c r="Q650" s="3">
        <v>50570</v>
      </c>
      <c r="R650" s="6">
        <f>LS[[#This Row],[Amount]]-LS[[#This Row],[Unit Capital]]</f>
        <v>9430</v>
      </c>
      <c r="S65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10.704691033950384</v>
      </c>
      <c r="T650" s="216">
        <f t="shared" si="132"/>
        <v>12.552</v>
      </c>
      <c r="U65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50" s="3" cm="1">
        <f t="array" ref="V650">IF(LS[[#This Row],[B/S]]="S",ABS(LS[[#This Row],[Unit]])*(INDEX(LS[NAV at Cost (Average)],MATCH(CONCATENATE((LS[[#This Row],[Frequency]]-1),LS[[#This Row],[Investor ID]]),LS[Unique Code],0),0)),0)</f>
        <v>0</v>
      </c>
      <c r="W650" s="3">
        <f>IF(LS[[#This Row],[BO Transfer]]="YES",LS[[#This Row],[Unit]],)</f>
        <v>5057</v>
      </c>
      <c r="X650" s="3">
        <f>SUMIFS(LS[[#Headers],[BO UNIT TRANSFER]]:LS[[#This Row],[BO UNIT TRANSFER]],LS[[#Headers],[Investor ID]]:LS[[#This Row],[Investor ID]],LS[[#This Row],[Investor ID]])</f>
        <v>126882</v>
      </c>
    </row>
    <row r="651" spans="2:24">
      <c r="B651" s="8">
        <v>2025</v>
      </c>
      <c r="C651" s="8">
        <v>12</v>
      </c>
      <c r="D651" s="8">
        <v>30</v>
      </c>
      <c r="E651" s="291">
        <f>DATE(LS[[#This Row],[Year]],LS[[#This Row],[Month]],LS[[#This Row],[Day]])</f>
        <v>46021</v>
      </c>
      <c r="F651" t="str" cm="1">
        <f t="array" ref="F651">INDEX(INVESTORS_LIST[INVESTOR NAME],MATCH(LS[[#This Row],[Investor ID]],INVESTORS_LIST[INVESTOR CODE],0),)</f>
        <v>KAZI AHSAN MARUF</v>
      </c>
      <c r="G651" s="25" t="s">
        <v>62</v>
      </c>
      <c r="H651" s="8">
        <f>COUNTIF(LS[[#Headers],[Investor ID]]:LS[[#This Row],[Investor ID]],LS[[#This Row],[Investor ID]])</f>
        <v>11</v>
      </c>
      <c r="I651" s="8" t="str">
        <f>CONCATENATE(LS[[#This Row],[Frequency]],LS[[#This Row],[Investor ID]])</f>
        <v>11A00055</v>
      </c>
      <c r="J651" s="8" t="str">
        <f>IF(LS[[#This Row],[B/S]]="B","BUY",(IF(LS[[#This Row],[B/S]]="S","SELL"," ")))</f>
        <v>BUY</v>
      </c>
      <c r="K651" s="8" t="s">
        <v>301</v>
      </c>
      <c r="L651" s="3">
        <v>50000</v>
      </c>
      <c r="M651" s="3" t="s">
        <v>957</v>
      </c>
      <c r="N651" s="216">
        <f>LS[[#This Row],[Amount]]/LS[[#This Row],[Unit]]</f>
        <v>11.865211200759374</v>
      </c>
      <c r="O651" s="1">
        <f t="shared" si="131"/>
        <v>4214</v>
      </c>
      <c r="P651" s="1">
        <f>SUMIFS(LS[[#Headers],[Unit]]:LS[[#This Row],[Unit]],LS[[#Headers],[Investor ID]]:LS[[#This Row],[Investor ID]],LS[[#This Row],[Investor ID]])</f>
        <v>245103</v>
      </c>
      <c r="Q651" s="3">
        <v>42140</v>
      </c>
      <c r="R651" s="6">
        <f>LS[[#This Row],[Amount]]-LS[[#This Row],[Unit Capital]]</f>
        <v>7860</v>
      </c>
      <c r="S65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10.952052718436237</v>
      </c>
      <c r="T651" s="216">
        <f t="shared" si="132"/>
        <v>12.552</v>
      </c>
      <c r="U65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51" s="3" cm="1">
        <f t="array" ref="V651">IF(LS[[#This Row],[B/S]]="S",ABS(LS[[#This Row],[Unit]])*(INDEX(LS[NAV at Cost (Average)],MATCH(CONCATENATE((LS[[#This Row],[Frequency]]-1),LS[[#This Row],[Investor ID]]),LS[Unique Code],0),0)),0)</f>
        <v>0</v>
      </c>
      <c r="W651" s="3">
        <f>IF(LS[[#This Row],[BO Transfer]]="YES",LS[[#This Row],[Unit]],)</f>
        <v>4214</v>
      </c>
      <c r="X651" s="3">
        <f>SUMIFS(LS[[#Headers],[BO UNIT TRANSFER]]:LS[[#This Row],[BO UNIT TRANSFER]],LS[[#Headers],[Investor ID]]:LS[[#This Row],[Investor ID]],LS[[#This Row],[Investor ID]])</f>
        <v>70952</v>
      </c>
    </row>
    <row r="652" spans="2:24">
      <c r="B652" s="8">
        <v>2025</v>
      </c>
      <c r="C652" s="8">
        <v>12</v>
      </c>
      <c r="D652" s="8">
        <v>30</v>
      </c>
      <c r="E652" s="291">
        <f>DATE(LS[[#This Row],[Year]],LS[[#This Row],[Month]],LS[[#This Row],[Day]])</f>
        <v>46021</v>
      </c>
      <c r="F652" t="str" cm="1">
        <f t="array" ref="F652">INDEX(INVESTORS_LIST[INVESTOR NAME],MATCH(LS[[#This Row],[Investor ID]],INVESTORS_LIST[INVESTOR CODE],0),)</f>
        <v>EKUSH WEALTH MANAGEMENT LIMITED</v>
      </c>
      <c r="G652" s="25" t="s">
        <v>4</v>
      </c>
      <c r="H652" s="8">
        <f>COUNTIF(LS[[#Headers],[Investor ID]]:LS[[#This Row],[Investor ID]],LS[[#This Row],[Investor ID]])</f>
        <v>37</v>
      </c>
      <c r="I652" s="8" t="str">
        <f>CONCATENATE(LS[[#This Row],[Frequency]],LS[[#This Row],[Investor ID]])</f>
        <v>37A00003</v>
      </c>
      <c r="J652" s="8" t="str">
        <f>IF(LS[[#This Row],[B/S]]="B","BUY",(IF(LS[[#This Row],[B/S]]="S","SELL"," ")))</f>
        <v>BUY</v>
      </c>
      <c r="K652" s="8" t="s">
        <v>301</v>
      </c>
      <c r="L652" s="3">
        <v>146000</v>
      </c>
      <c r="M652" s="3"/>
      <c r="N652" s="216">
        <f>LS[[#This Row],[Amount]]/LS[[#This Row],[Unit]]</f>
        <v>11.865095489638358</v>
      </c>
      <c r="O652" s="1">
        <f t="shared" si="131"/>
        <v>12305</v>
      </c>
      <c r="P652" s="1">
        <f>SUMIFS(LS[[#Headers],[Unit]]:LS[[#This Row],[Unit]],LS[[#Headers],[Investor ID]]:LS[[#This Row],[Investor ID]],LS[[#This Row],[Investor ID]])</f>
        <v>2833701</v>
      </c>
      <c r="Q652" s="3">
        <v>123050</v>
      </c>
      <c r="R652" s="6">
        <f>LS[[#This Row],[Amount]]-LS[[#This Row],[Unit Capital]]</f>
        <v>22950</v>
      </c>
      <c r="S65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10.175722730604052</v>
      </c>
      <c r="T652" s="216">
        <f t="shared" si="132"/>
        <v>12.552</v>
      </c>
      <c r="U65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52" s="3" cm="1">
        <f t="array" ref="V652">IF(LS[[#This Row],[B/S]]="S",ABS(LS[[#This Row],[Unit]])*(INDEX(LS[NAV at Cost (Average)],MATCH(CONCATENATE((LS[[#This Row],[Frequency]]-1),LS[[#This Row],[Investor ID]]),LS[Unique Code],0),0)),0)</f>
        <v>0</v>
      </c>
      <c r="W652" s="3">
        <f>IF(LS[[#This Row],[BO Transfer]]="YES",LS[[#This Row],[Unit]],)</f>
        <v>0</v>
      </c>
      <c r="X652" s="3">
        <f>SUMIFS(LS[[#Headers],[BO UNIT TRANSFER]]:LS[[#This Row],[BO UNIT TRANSFER]],LS[[#Headers],[Investor ID]]:LS[[#This Row],[Investor ID]],LS[[#This Row],[Investor ID]])</f>
        <v>0</v>
      </c>
    </row>
    <row r="653" spans="2:24">
      <c r="B653" s="8">
        <v>2025</v>
      </c>
      <c r="C653" s="8">
        <v>12</v>
      </c>
      <c r="D653" s="8">
        <v>30</v>
      </c>
      <c r="E653" s="291">
        <f>DATE(LS[[#This Row],[Year]],LS[[#This Row],[Month]],LS[[#This Row],[Day]])</f>
        <v>46021</v>
      </c>
      <c r="F653" t="str" cm="1">
        <f t="array" ref="F653">INDEX(INVESTORS_LIST[INVESTOR NAME],MATCH(LS[[#This Row],[Investor ID]],INVESTORS_LIST[INVESTOR CODE],0),)</f>
        <v>NBL CAPITAL AND EQUITY MANAGEMENT LTD</v>
      </c>
      <c r="G653" s="25" t="s">
        <v>667</v>
      </c>
      <c r="H653" s="8">
        <f>COUNTIF(LS[[#Headers],[Investor ID]]:LS[[#This Row],[Investor ID]],LS[[#This Row],[Investor ID]])</f>
        <v>2</v>
      </c>
      <c r="I653" s="8" t="str">
        <f>CONCATENATE(LS[[#This Row],[Frequency]],LS[[#This Row],[Investor ID]])</f>
        <v>2A00360</v>
      </c>
      <c r="J653" s="8" t="str">
        <f>IF(LS[[#This Row],[B/S]]="B","BUY",(IF(LS[[#This Row],[B/S]]="S","SELL"," ")))</f>
        <v>SELL</v>
      </c>
      <c r="K653" s="8" t="s">
        <v>866</v>
      </c>
      <c r="L653" s="3">
        <v>-593250</v>
      </c>
      <c r="M653" s="3" t="s">
        <v>957</v>
      </c>
      <c r="N653" s="216">
        <f>LS[[#This Row],[Amount]]/LS[[#This Row],[Unit]]</f>
        <v>11.865</v>
      </c>
      <c r="O653" s="1">
        <f t="shared" si="131"/>
        <v>-50000</v>
      </c>
      <c r="P653" s="1">
        <f>SUMIFS(LS[[#Headers],[Unit]]:LS[[#This Row],[Unit]],LS[[#Headers],[Investor ID]]:LS[[#This Row],[Investor ID]],LS[[#This Row],[Investor ID]])</f>
        <v>0</v>
      </c>
      <c r="Q653" s="3">
        <v>-500000</v>
      </c>
      <c r="R653" s="6">
        <f>LS[[#This Row],[Amount]]-LS[[#This Row],[Unit Capital]]</f>
        <v>-93250</v>
      </c>
      <c r="S65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653" s="216">
        <f t="shared" si="132"/>
        <v>12.552</v>
      </c>
      <c r="U653" s="3">
        <f>IF(LS[[#This Row],[B/S]]="B",0,ABS(LS[[#This Row],[Unit]])*(LS[[#This Row],[NAV (Strike Rate)]]-INDEX(LS[NAV at Cost (Average)],MATCH(CONCATENATE(LS[[#This Row],[Frequency]]-1,LS[[#This Row],[Investor ID]]),LS[Unique Code],0),)))</f>
        <v>93250.000000000015</v>
      </c>
      <c r="V653" s="3" cm="1">
        <f t="array" ref="V653">IF(LS[[#This Row],[B/S]]="S",ABS(LS[[#This Row],[Unit]])*(INDEX(LS[NAV at Cost (Average)],MATCH(CONCATENATE((LS[[#This Row],[Frequency]]-1),LS[[#This Row],[Investor ID]]),LS[Unique Code],0),0)),0)</f>
        <v>500000</v>
      </c>
      <c r="W653" s="3">
        <f>IF(LS[[#This Row],[BO Transfer]]="YES",LS[[#This Row],[Unit]],)</f>
        <v>-50000</v>
      </c>
      <c r="X653" s="3">
        <f>SUMIFS(LS[[#Headers],[BO UNIT TRANSFER]]:LS[[#This Row],[BO UNIT TRANSFER]],LS[[#Headers],[Investor ID]]:LS[[#This Row],[Investor ID]],LS[[#This Row],[Investor ID]])</f>
        <v>0</v>
      </c>
    </row>
    <row r="654" spans="2:24">
      <c r="B654" s="8">
        <v>2026</v>
      </c>
      <c r="C654" s="8">
        <v>1</v>
      </c>
      <c r="D654" s="8">
        <v>4</v>
      </c>
      <c r="E654" s="291">
        <f>DATE(LS[[#This Row],[Year]],LS[[#This Row],[Month]],LS[[#This Row],[Day]])</f>
        <v>46026</v>
      </c>
      <c r="F654" t="str" cm="1">
        <f t="array" ref="F654">INDEX(INVESTORS_LIST[INVESTOR NAME],MATCH(LS[[#This Row],[Investor ID]],INVESTORS_LIST[INVESTOR CODE],0),)</f>
        <v>EKUSH WEALTH MANAGEMENT LIMITED</v>
      </c>
      <c r="G654" s="25" t="s">
        <v>4</v>
      </c>
      <c r="H654" s="8">
        <f>COUNTIF(LS[[#Headers],[Investor ID]]:LS[[#This Row],[Investor ID]],LS[[#This Row],[Investor ID]])</f>
        <v>38</v>
      </c>
      <c r="I654" s="8" t="str">
        <f>CONCATENATE(LS[[#This Row],[Frequency]],LS[[#This Row],[Investor ID]])</f>
        <v>38A00003</v>
      </c>
      <c r="J654" s="8" t="str">
        <f>IF(LS[[#This Row],[B/S]]="B","BUY",(IF(LS[[#This Row],[B/S]]="S","SELL"," ")))</f>
        <v>BUY</v>
      </c>
      <c r="K654" s="8" t="s">
        <v>301</v>
      </c>
      <c r="L654" s="3">
        <v>100000</v>
      </c>
      <c r="M654" s="3"/>
      <c r="N654" s="216">
        <f>LS[[#This Row],[Amount]]/LS[[#This Row],[Unit]]</f>
        <v>11.604966925844261</v>
      </c>
      <c r="O654" s="1">
        <f t="shared" ref="O654:O658" si="133">Q654/10</f>
        <v>8617</v>
      </c>
      <c r="P654" s="1">
        <f>SUMIFS(LS[[#Headers],[Unit]]:LS[[#This Row],[Unit]],LS[[#Headers],[Investor ID]]:LS[[#This Row],[Investor ID]],LS[[#This Row],[Investor ID]])</f>
        <v>2842318</v>
      </c>
      <c r="Q654" s="3">
        <f>ROUND(LS[[#This Row],[Amount]]/11.605,0)*10</f>
        <v>86170</v>
      </c>
      <c r="R654" s="6">
        <f>LS[[#This Row],[Amount]]-LS[[#This Row],[Unit Capital]]</f>
        <v>13830</v>
      </c>
      <c r="S65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10.180055742332643</v>
      </c>
      <c r="T654" s="216">
        <f t="shared" ref="T654:T658" si="134">IFERROR(NAV_MKT,0)</f>
        <v>12.552</v>
      </c>
      <c r="U65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54" s="3" cm="1">
        <f t="array" ref="V654">IF(LS[[#This Row],[B/S]]="S",ABS(LS[[#This Row],[Unit]])*(INDEX(LS[NAV at Cost (Average)],MATCH(CONCATENATE((LS[[#This Row],[Frequency]]-1),LS[[#This Row],[Investor ID]]),LS[Unique Code],0),0)),0)</f>
        <v>0</v>
      </c>
      <c r="W654" s="3">
        <f>IF(LS[[#This Row],[BO Transfer]]="YES",LS[[#This Row],[Unit]],)</f>
        <v>0</v>
      </c>
      <c r="X654" s="3">
        <f>SUMIFS(LS[[#Headers],[BO UNIT TRANSFER]]:LS[[#This Row],[BO UNIT TRANSFER]],LS[[#Headers],[Investor ID]]:LS[[#This Row],[Investor ID]],LS[[#This Row],[Investor ID]])</f>
        <v>0</v>
      </c>
    </row>
    <row r="655" spans="2:24">
      <c r="B655" s="8">
        <v>2026</v>
      </c>
      <c r="C655" s="8">
        <v>1</v>
      </c>
      <c r="D655" s="8">
        <v>5</v>
      </c>
      <c r="E655" s="291">
        <f>DATE(LS[[#This Row],[Year]],LS[[#This Row],[Month]],LS[[#This Row],[Day]])</f>
        <v>46027</v>
      </c>
      <c r="F655" t="str" cm="1">
        <f t="array" ref="F655">INDEX(INVESTORS_LIST[INVESTOR NAME],MATCH(LS[[#This Row],[Investor ID]],INVESTORS_LIST[INVESTOR CODE],0),)</f>
        <v>MADHAB GHOSH</v>
      </c>
      <c r="G655" s="25" t="s">
        <v>1038</v>
      </c>
      <c r="H655" s="8">
        <f>COUNTIF(LS[[#Headers],[Investor ID]]:LS[[#This Row],[Investor ID]],LS[[#This Row],[Investor ID]])</f>
        <v>6</v>
      </c>
      <c r="I655" s="8" t="str">
        <f>CONCATENATE(LS[[#This Row],[Frequency]],LS[[#This Row],[Investor ID]])</f>
        <v>6A00468</v>
      </c>
      <c r="J655" s="8" t="str">
        <f>IF(LS[[#This Row],[B/S]]="B","BUY",(IF(LS[[#This Row],[B/S]]="S","SELL"," ")))</f>
        <v>BUY</v>
      </c>
      <c r="K655" s="8" t="s">
        <v>301</v>
      </c>
      <c r="L655" s="3">
        <v>10000</v>
      </c>
      <c r="M655" s="3"/>
      <c r="N655" s="216">
        <f>LS[[#This Row],[Amount]]/LS[[#This Row],[Unit]]</f>
        <v>11.600928074245939</v>
      </c>
      <c r="O655" s="1">
        <f t="shared" si="133"/>
        <v>862</v>
      </c>
      <c r="P655" s="1">
        <f>SUMIFS(LS[[#Headers],[Unit]]:LS[[#This Row],[Unit]],LS[[#Headers],[Investor ID]]:LS[[#This Row],[Investor ID]],LS[[#This Row],[Investor ID]])</f>
        <v>25008</v>
      </c>
      <c r="Q655" s="3">
        <f>ROUND(LS[[#This Row],[Amount]]/11.605,0)*10</f>
        <v>8620</v>
      </c>
      <c r="R655" s="6">
        <f>LS[[#This Row],[Amount]]-LS[[#This Row],[Unit Capital]]</f>
        <v>1380</v>
      </c>
      <c r="S65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11.796225207933462</v>
      </c>
      <c r="T655" s="216">
        <f t="shared" si="134"/>
        <v>12.552</v>
      </c>
      <c r="U65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55" s="3" cm="1">
        <f t="array" ref="V655">IF(LS[[#This Row],[B/S]]="S",ABS(LS[[#This Row],[Unit]])*(INDEX(LS[NAV at Cost (Average)],MATCH(CONCATENATE((LS[[#This Row],[Frequency]]-1),LS[[#This Row],[Investor ID]]),LS[Unique Code],0),0)),0)</f>
        <v>0</v>
      </c>
      <c r="W655" s="3">
        <f>IF(LS[[#This Row],[BO Transfer]]="YES",LS[[#This Row],[Unit]],)</f>
        <v>0</v>
      </c>
      <c r="X655" s="3">
        <f>SUMIFS(LS[[#Headers],[BO UNIT TRANSFER]]:LS[[#This Row],[BO UNIT TRANSFER]],LS[[#Headers],[Investor ID]]:LS[[#This Row],[Investor ID]],LS[[#This Row],[Investor ID]])</f>
        <v>0</v>
      </c>
    </row>
    <row r="656" spans="2:24">
      <c r="B656" s="8">
        <v>2026</v>
      </c>
      <c r="C656" s="8">
        <v>1</v>
      </c>
      <c r="D656" s="8">
        <v>5</v>
      </c>
      <c r="E656" s="291">
        <f>DATE(LS[[#This Row],[Year]],LS[[#This Row],[Month]],LS[[#This Row],[Day]])</f>
        <v>46027</v>
      </c>
      <c r="F656" t="str" cm="1">
        <f t="array" ref="F656">INDEX(INVESTORS_LIST[INVESTOR NAME],MATCH(LS[[#This Row],[Investor ID]],INVESTORS_LIST[INVESTOR CODE],0),)</f>
        <v>MADHAB GHOSH</v>
      </c>
      <c r="G656" s="25" t="s">
        <v>1038</v>
      </c>
      <c r="H656" s="8">
        <f>COUNTIF(LS[[#Headers],[Investor ID]]:LS[[#This Row],[Investor ID]],LS[[#This Row],[Investor ID]])</f>
        <v>7</v>
      </c>
      <c r="I656" s="8" t="str">
        <f>CONCATENATE(LS[[#This Row],[Frequency]],LS[[#This Row],[Investor ID]])</f>
        <v>7A00468</v>
      </c>
      <c r="J656" s="8" t="str">
        <f>IF(LS[[#This Row],[B/S]]="B","BUY",(IF(LS[[#This Row],[B/S]]="S","SELL"," ")))</f>
        <v>BUY</v>
      </c>
      <c r="K656" s="8" t="s">
        <v>301</v>
      </c>
      <c r="L656" s="3">
        <v>20000</v>
      </c>
      <c r="M656" s="3"/>
      <c r="N656" s="216">
        <f>LS[[#This Row],[Amount]]/LS[[#This Row],[Unit]]</f>
        <v>11.607661056297156</v>
      </c>
      <c r="O656" s="1">
        <f t="shared" si="133"/>
        <v>1723</v>
      </c>
      <c r="P656" s="1">
        <f>SUMIFS(LS[[#Headers],[Unit]]:LS[[#This Row],[Unit]],LS[[#Headers],[Investor ID]]:LS[[#This Row],[Investor ID]],LS[[#This Row],[Investor ID]])</f>
        <v>26731</v>
      </c>
      <c r="Q656" s="3">
        <f>ROUND(LS[[#This Row],[Amount]]/11.605,0)*10</f>
        <v>17230</v>
      </c>
      <c r="R656" s="6">
        <f>LS[[#This Row],[Amount]]-LS[[#This Row],[Unit Capital]]</f>
        <v>2770</v>
      </c>
      <c r="S65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11.784070928884068</v>
      </c>
      <c r="T656" s="216">
        <f t="shared" si="134"/>
        <v>12.552</v>
      </c>
      <c r="U65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56" s="3" cm="1">
        <f t="array" ref="V656">IF(LS[[#This Row],[B/S]]="S",ABS(LS[[#This Row],[Unit]])*(INDEX(LS[NAV at Cost (Average)],MATCH(CONCATENATE((LS[[#This Row],[Frequency]]-1),LS[[#This Row],[Investor ID]]),LS[Unique Code],0),0)),0)</f>
        <v>0</v>
      </c>
      <c r="W656" s="3">
        <f>IF(LS[[#This Row],[BO Transfer]]="YES",LS[[#This Row],[Unit]],)</f>
        <v>0</v>
      </c>
      <c r="X656" s="3">
        <f>SUMIFS(LS[[#Headers],[BO UNIT TRANSFER]]:LS[[#This Row],[BO UNIT TRANSFER]],LS[[#Headers],[Investor ID]]:LS[[#This Row],[Investor ID]],LS[[#This Row],[Investor ID]])</f>
        <v>0</v>
      </c>
    </row>
    <row r="657" spans="2:24">
      <c r="B657" s="8">
        <v>2026</v>
      </c>
      <c r="C657" s="8">
        <v>1</v>
      </c>
      <c r="D657" s="8">
        <v>5</v>
      </c>
      <c r="E657" s="291">
        <f>DATE(LS[[#This Row],[Year]],LS[[#This Row],[Month]],LS[[#This Row],[Day]])</f>
        <v>46027</v>
      </c>
      <c r="F657" t="str" cm="1">
        <f t="array" ref="F657">INDEX(INVESTORS_LIST[INVESTOR NAME],MATCH(LS[[#This Row],[Investor ID]],INVESTORS_LIST[INVESTOR CODE],0),)</f>
        <v>HASAN MUHAMMED RASEL</v>
      </c>
      <c r="G657" s="25" t="s">
        <v>1561</v>
      </c>
      <c r="H657" s="8">
        <f>COUNTIF(LS[[#Headers],[Investor ID]]:LS[[#This Row],[Investor ID]],LS[[#This Row],[Investor ID]])</f>
        <v>1</v>
      </c>
      <c r="I657" s="8" t="str">
        <f>CONCATENATE(LS[[#This Row],[Frequency]],LS[[#This Row],[Investor ID]])</f>
        <v>1A00685</v>
      </c>
      <c r="J657" s="8" t="str">
        <f>IF(LS[[#This Row],[B/S]]="B","BUY",(IF(LS[[#This Row],[B/S]]="S","SELL"," ")))</f>
        <v>BUY</v>
      </c>
      <c r="K657" s="8" t="s">
        <v>301</v>
      </c>
      <c r="L657" s="3">
        <v>40000</v>
      </c>
      <c r="M657" s="3"/>
      <c r="N657" s="216">
        <f>LS[[#This Row],[Amount]]/LS[[#This Row],[Unit]]</f>
        <v>11.604293588627792</v>
      </c>
      <c r="O657" s="1">
        <f t="shared" si="133"/>
        <v>3447</v>
      </c>
      <c r="P657" s="1">
        <f>SUMIFS(LS[[#Headers],[Unit]]:LS[[#This Row],[Unit]],LS[[#Headers],[Investor ID]]:LS[[#This Row],[Investor ID]],LS[[#This Row],[Investor ID]])</f>
        <v>3447</v>
      </c>
      <c r="Q657" s="3">
        <f>ROUND(LS[[#This Row],[Amount]]/11.605,0)*10</f>
        <v>34470</v>
      </c>
      <c r="R657" s="6">
        <f>LS[[#This Row],[Amount]]-LS[[#This Row],[Unit Capital]]</f>
        <v>5530</v>
      </c>
      <c r="S65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11.604293588627792</v>
      </c>
      <c r="T657" s="216">
        <f t="shared" si="134"/>
        <v>12.552</v>
      </c>
      <c r="U65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57" s="3" cm="1">
        <f t="array" ref="V657">IF(LS[[#This Row],[B/S]]="S",ABS(LS[[#This Row],[Unit]])*(INDEX(LS[NAV at Cost (Average)],MATCH(CONCATENATE((LS[[#This Row],[Frequency]]-1),LS[[#This Row],[Investor ID]]),LS[Unique Code],0),0)),0)</f>
        <v>0</v>
      </c>
      <c r="W657" s="3">
        <f>IF(LS[[#This Row],[BO Transfer]]="YES",LS[[#This Row],[Unit]],)</f>
        <v>0</v>
      </c>
      <c r="X657" s="3">
        <f>SUMIFS(LS[[#Headers],[BO UNIT TRANSFER]]:LS[[#This Row],[BO UNIT TRANSFER]],LS[[#Headers],[Investor ID]]:LS[[#This Row],[Investor ID]],LS[[#This Row],[Investor ID]])</f>
        <v>0</v>
      </c>
    </row>
    <row r="658" spans="2:24">
      <c r="B658" s="8">
        <v>2026</v>
      </c>
      <c r="C658" s="8">
        <v>1</v>
      </c>
      <c r="D658" s="8">
        <v>6</v>
      </c>
      <c r="E658" s="291">
        <f>DATE(LS[[#This Row],[Year]],LS[[#This Row],[Month]],LS[[#This Row],[Day]])</f>
        <v>46028</v>
      </c>
      <c r="F658" t="str" cm="1">
        <f t="array" ref="F658">INDEX(INVESTORS_LIST[INVESTOR NAME],MATCH(LS[[#This Row],[Investor ID]],INVESTORS_LIST[INVESTOR CODE],0),)</f>
        <v>NBL CAPITAL AND EQUITY MANAGEMENT LTD</v>
      </c>
      <c r="G658" s="25" t="s">
        <v>667</v>
      </c>
      <c r="H658" s="8">
        <f>COUNTIF(LS[[#Headers],[Investor ID]]:LS[[#This Row],[Investor ID]],LS[[#This Row],[Investor ID]])</f>
        <v>3</v>
      </c>
      <c r="I658" s="8" t="str">
        <f>CONCATENATE(LS[[#This Row],[Frequency]],LS[[#This Row],[Investor ID]])</f>
        <v>3A00360</v>
      </c>
      <c r="J658" s="8" t="str">
        <f>IF(LS[[#This Row],[B/S]]="B","BUY",(IF(LS[[#This Row],[B/S]]="S","SELL"," ")))</f>
        <v>BUY</v>
      </c>
      <c r="K658" s="8" t="s">
        <v>301</v>
      </c>
      <c r="L658" s="3">
        <v>700000</v>
      </c>
      <c r="M658" s="3" t="s">
        <v>957</v>
      </c>
      <c r="N658" s="216">
        <f>LS[[#This Row],[Amount]]/LS[[#This Row],[Unit]]</f>
        <v>11.740041928721174</v>
      </c>
      <c r="O658" s="1">
        <f t="shared" si="133"/>
        <v>59625</v>
      </c>
      <c r="P658" s="1">
        <f>SUMIFS(LS[[#Headers],[Unit]]:LS[[#This Row],[Unit]],LS[[#Headers],[Investor ID]]:LS[[#This Row],[Investor ID]],LS[[#This Row],[Investor ID]])</f>
        <v>59625</v>
      </c>
      <c r="Q658" s="3">
        <f>ROUND(LS[[#This Row],[Amount]]/11.74,0)*10</f>
        <v>596250</v>
      </c>
      <c r="R658" s="6">
        <f>LS[[#This Row],[Amount]]-LS[[#This Row],[Unit Capital]]</f>
        <v>103750</v>
      </c>
      <c r="S65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11.740041928721174</v>
      </c>
      <c r="T658" s="216">
        <f t="shared" si="134"/>
        <v>12.552</v>
      </c>
      <c r="U65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58" s="3" cm="1">
        <f t="array" ref="V658">IF(LS[[#This Row],[B/S]]="S",ABS(LS[[#This Row],[Unit]])*(INDEX(LS[NAV at Cost (Average)],MATCH(CONCATENATE((LS[[#This Row],[Frequency]]-1),LS[[#This Row],[Investor ID]]),LS[Unique Code],0),0)),0)</f>
        <v>0</v>
      </c>
      <c r="W658" s="3">
        <f>IF(LS[[#This Row],[BO Transfer]]="YES",LS[[#This Row],[Unit]],)</f>
        <v>59625</v>
      </c>
      <c r="X658" s="3">
        <f>SUMIFS(LS[[#Headers],[BO UNIT TRANSFER]]:LS[[#This Row],[BO UNIT TRANSFER]],LS[[#Headers],[Investor ID]]:LS[[#This Row],[Investor ID]],LS[[#This Row],[Investor ID]])</f>
        <v>59625</v>
      </c>
    </row>
    <row r="659" spans="2:24">
      <c r="B659" s="8">
        <v>2026</v>
      </c>
      <c r="C659" s="8">
        <v>1</v>
      </c>
      <c r="D659" s="8">
        <v>11</v>
      </c>
      <c r="E659" s="291">
        <f>DATE(LS[[#This Row],[Year]],LS[[#This Row],[Month]],LS[[#This Row],[Day]])</f>
        <v>46033</v>
      </c>
      <c r="F659" t="str" cm="1">
        <f t="array" ref="F659">INDEX(INVESTORS_LIST[INVESTOR NAME],MATCH(LS[[#This Row],[Investor ID]],INVESTORS_LIST[INVESTOR CODE],0),)</f>
        <v>MD. MITHU HOWLADER</v>
      </c>
      <c r="G659" s="25" t="s">
        <v>1490</v>
      </c>
      <c r="H659" s="8">
        <f>COUNTIF(LS[[#Headers],[Investor ID]]:LS[[#This Row],[Investor ID]],LS[[#This Row],[Investor ID]])</f>
        <v>1</v>
      </c>
      <c r="I659" s="8" t="str">
        <f>CONCATENATE(LS[[#This Row],[Frequency]],LS[[#This Row],[Investor ID]])</f>
        <v>1A00650</v>
      </c>
      <c r="J659" s="8" t="str">
        <f>IF(LS[[#This Row],[B/S]]="B","BUY",(IF(LS[[#This Row],[B/S]]="S","SELL"," ")))</f>
        <v>BUY</v>
      </c>
      <c r="K659" s="8" t="s">
        <v>301</v>
      </c>
      <c r="L659" s="3">
        <v>750000</v>
      </c>
      <c r="M659" s="3" t="s">
        <v>957</v>
      </c>
      <c r="N659" s="216">
        <f>LS[[#This Row],[Amount]]/LS[[#This Row],[Unit]]</f>
        <v>11.778932985723934</v>
      </c>
      <c r="O659" s="1">
        <f>Q659/10</f>
        <v>63673</v>
      </c>
      <c r="P659" s="1">
        <f>SUMIFS(LS[[#Headers],[Unit]]:LS[[#This Row],[Unit]],LS[[#Headers],[Investor ID]]:LS[[#This Row],[Investor ID]],LS[[#This Row],[Investor ID]])</f>
        <v>63673</v>
      </c>
      <c r="Q659" s="3">
        <f>ROUND(LS[[#This Row],[Amount]]/11.779,0)*10</f>
        <v>636730</v>
      </c>
      <c r="R659" s="6">
        <f>LS[[#This Row],[Amount]]-LS[[#This Row],[Unit Capital]]</f>
        <v>113270</v>
      </c>
      <c r="S65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11.778932985723934</v>
      </c>
      <c r="T659" s="216">
        <f t="shared" ref="T659:T664" si="135">IFERROR(NAV_MKT,0)</f>
        <v>12.552</v>
      </c>
      <c r="U65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59" s="3" cm="1">
        <f t="array" ref="V659">IF(LS[[#This Row],[B/S]]="S",ABS(LS[[#This Row],[Unit]])*(INDEX(LS[NAV at Cost (Average)],MATCH(CONCATENATE((LS[[#This Row],[Frequency]]-1),LS[[#This Row],[Investor ID]]),LS[Unique Code],0),0)),0)</f>
        <v>0</v>
      </c>
      <c r="W659" s="3">
        <f>IF(LS[[#This Row],[BO Transfer]]="YES",LS[[#This Row],[Unit]],)</f>
        <v>63673</v>
      </c>
      <c r="X659" s="3">
        <f>SUMIFS(LS[[#Headers],[BO UNIT TRANSFER]]:LS[[#This Row],[BO UNIT TRANSFER]],LS[[#Headers],[Investor ID]]:LS[[#This Row],[Investor ID]],LS[[#This Row],[Investor ID]])</f>
        <v>63673</v>
      </c>
    </row>
    <row r="660" spans="2:24">
      <c r="B660" s="8">
        <v>2026</v>
      </c>
      <c r="C660" s="8">
        <v>1</v>
      </c>
      <c r="D660" s="8">
        <v>11</v>
      </c>
      <c r="E660" s="291">
        <f>DATE(LS[[#This Row],[Year]],LS[[#This Row],[Month]],LS[[#This Row],[Day]])</f>
        <v>46033</v>
      </c>
      <c r="F660" t="str" cm="1">
        <f t="array" ref="F660">INDEX(INVESTORS_LIST[INVESTOR NAME],MATCH(LS[[#This Row],[Investor ID]],INVESTORS_LIST[INVESTOR CODE],0),)</f>
        <v>MD. MITHU HOWLADER</v>
      </c>
      <c r="G660" s="25" t="s">
        <v>1490</v>
      </c>
      <c r="H660" s="8">
        <f>COUNTIF(LS[[#Headers],[Investor ID]]:LS[[#This Row],[Investor ID]],LS[[#This Row],[Investor ID]])</f>
        <v>2</v>
      </c>
      <c r="I660" s="8" t="str">
        <f>CONCATENATE(LS[[#This Row],[Frequency]],LS[[#This Row],[Investor ID]])</f>
        <v>2A00650</v>
      </c>
      <c r="J660" s="240" t="str">
        <f>IF(LS[[#This Row],[B/S]]="B","BUY",(IF(LS[[#This Row],[B/S]]="S","SELL"," ")))</f>
        <v>BUY</v>
      </c>
      <c r="K660" s="8" t="s">
        <v>301</v>
      </c>
      <c r="L660" s="3">
        <v>850000</v>
      </c>
      <c r="M660" s="3" t="s">
        <v>957</v>
      </c>
      <c r="N660" s="216">
        <f>LS[[#This Row],[Amount]]/LS[[#This Row],[Unit]]</f>
        <v>11.779052687009784</v>
      </c>
      <c r="O660" s="1">
        <f>Q660/10</f>
        <v>72162</v>
      </c>
      <c r="P660" s="1">
        <f>SUMIFS(LS[[#Headers],[Unit]]:LS[[#This Row],[Unit]],LS[[#Headers],[Investor ID]]:LS[[#This Row],[Investor ID]],LS[[#This Row],[Investor ID]])</f>
        <v>135835</v>
      </c>
      <c r="Q660" s="3">
        <f>ROUND(LS[[#This Row],[Amount]]/11.779,0)*10</f>
        <v>721620</v>
      </c>
      <c r="R660" s="6">
        <f>LS[[#This Row],[Amount]]-LS[[#This Row],[Unit Capital]]</f>
        <v>128380</v>
      </c>
      <c r="S66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11.778996576729121</v>
      </c>
      <c r="T660" s="216">
        <f t="shared" si="135"/>
        <v>12.552</v>
      </c>
      <c r="U66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60" s="3" cm="1">
        <f t="array" ref="V660">IF(LS[[#This Row],[B/S]]="S",ABS(LS[[#This Row],[Unit]])*(INDEX(LS[NAV at Cost (Average)],MATCH(CONCATENATE((LS[[#This Row],[Frequency]]-1),LS[[#This Row],[Investor ID]]),LS[Unique Code],0),0)),0)</f>
        <v>0</v>
      </c>
      <c r="W660" s="3">
        <f>IF(LS[[#This Row],[BO Transfer]]="YES",LS[[#This Row],[Unit]],)</f>
        <v>72162</v>
      </c>
      <c r="X660" s="3">
        <f>SUMIFS(LS[[#Headers],[BO UNIT TRANSFER]]:LS[[#This Row],[BO UNIT TRANSFER]],LS[[#Headers],[Investor ID]]:LS[[#This Row],[Investor ID]],LS[[#This Row],[Investor ID]])</f>
        <v>135835</v>
      </c>
    </row>
    <row r="661" spans="2:24">
      <c r="B661" s="8">
        <v>2026</v>
      </c>
      <c r="C661" s="8">
        <v>1</v>
      </c>
      <c r="D661" s="8">
        <v>11</v>
      </c>
      <c r="E661" s="291">
        <f>DATE(LS[[#This Row],[Year]],LS[[#This Row],[Month]],LS[[#This Row],[Day]])</f>
        <v>46033</v>
      </c>
      <c r="F661" t="str" cm="1">
        <f t="array" ref="F661">INDEX(INVESTORS_LIST[INVESTOR NAME],MATCH(LS[[#This Row],[Investor ID]],INVESTORS_LIST[INVESTOR CODE],0),)</f>
        <v>MD. MITHU HOWLADER</v>
      </c>
      <c r="G661" s="25" t="s">
        <v>1490</v>
      </c>
      <c r="H661" s="8">
        <f>COUNTIF(LS[[#Headers],[Investor ID]]:LS[[#This Row],[Investor ID]],LS[[#This Row],[Investor ID]])</f>
        <v>3</v>
      </c>
      <c r="I661" s="8" t="str">
        <f>CONCATENATE(LS[[#This Row],[Frequency]],LS[[#This Row],[Investor ID]])</f>
        <v>3A00650</v>
      </c>
      <c r="J661" s="8" t="str">
        <f>IF(LS[[#This Row],[B/S]]="B","BUY",(IF(LS[[#This Row],[B/S]]="S","SELL"," ")))</f>
        <v>BUY</v>
      </c>
      <c r="K661" s="8" t="s">
        <v>301</v>
      </c>
      <c r="L661" s="3">
        <v>900000</v>
      </c>
      <c r="M661" s="3" t="s">
        <v>957</v>
      </c>
      <c r="N661" s="216">
        <f>LS[[#This Row],[Amount]]/LS[[#This Row],[Unit]]</f>
        <v>11.77902548195846</v>
      </c>
      <c r="O661" s="1">
        <f>Q661/10</f>
        <v>76407</v>
      </c>
      <c r="P661" s="1">
        <f>SUMIFS(LS[[#Headers],[Unit]]:LS[[#This Row],[Unit]],LS[[#Headers],[Investor ID]]:LS[[#This Row],[Investor ID]],LS[[#This Row],[Investor ID]])</f>
        <v>212242</v>
      </c>
      <c r="Q661" s="3">
        <f>ROUND(LS[[#This Row],[Amount]]/11.779,0)*10</f>
        <v>764070</v>
      </c>
      <c r="R661" s="6">
        <f>LS[[#This Row],[Amount]]-LS[[#This Row],[Unit Capital]]</f>
        <v>135930</v>
      </c>
      <c r="S66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11.779006982595341</v>
      </c>
      <c r="T661" s="216">
        <f t="shared" si="135"/>
        <v>12.552</v>
      </c>
      <c r="U66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61" s="3" cm="1">
        <f t="array" ref="V661">IF(LS[[#This Row],[B/S]]="S",ABS(LS[[#This Row],[Unit]])*(INDEX(LS[NAV at Cost (Average)],MATCH(CONCATENATE((LS[[#This Row],[Frequency]]-1),LS[[#This Row],[Investor ID]]),LS[Unique Code],0),0)),0)</f>
        <v>0</v>
      </c>
      <c r="W661" s="3">
        <f>IF(LS[[#This Row],[BO Transfer]]="YES",LS[[#This Row],[Unit]],)</f>
        <v>76407</v>
      </c>
      <c r="X661" s="3">
        <f>SUMIFS(LS[[#Headers],[BO UNIT TRANSFER]]:LS[[#This Row],[BO UNIT TRANSFER]],LS[[#Headers],[Investor ID]]:LS[[#This Row],[Investor ID]],LS[[#This Row],[Investor ID]])</f>
        <v>212242</v>
      </c>
    </row>
    <row r="662" spans="2:24">
      <c r="B662" s="8">
        <v>2026</v>
      </c>
      <c r="C662" s="8">
        <v>1</v>
      </c>
      <c r="D662" s="8">
        <v>14</v>
      </c>
      <c r="E662" s="291">
        <f>DATE(LS[[#This Row],[Year]],LS[[#This Row],[Month]],LS[[#This Row],[Day]])</f>
        <v>46036</v>
      </c>
      <c r="F662" t="str" cm="1">
        <f t="array" ref="F662">INDEX(INVESTORS_LIST[INVESTOR NAME],MATCH(LS[[#This Row],[Investor ID]],INVESTORS_LIST[INVESTOR CODE],0),)</f>
        <v>ROKSABA KASEM</v>
      </c>
      <c r="G662" s="25" t="s">
        <v>933</v>
      </c>
      <c r="H662" s="8">
        <f>COUNTIF(LS[[#Headers],[Investor ID]]:LS[[#This Row],[Investor ID]],LS[[#This Row],[Investor ID]])</f>
        <v>4</v>
      </c>
      <c r="I662" s="8" t="str">
        <f>CONCATENATE(LS[[#This Row],[Frequency]],LS[[#This Row],[Investor ID]])</f>
        <v>4A00427</v>
      </c>
      <c r="J662" s="8" t="str">
        <f>IF(LS[[#This Row],[B/S]]="B","BUY",(IF(LS[[#This Row],[B/S]]="S","SELL"," ")))</f>
        <v>BUY</v>
      </c>
      <c r="K662" s="8" t="s">
        <v>301</v>
      </c>
      <c r="L662" s="3">
        <v>300000</v>
      </c>
      <c r="M662" s="3" t="s">
        <v>957</v>
      </c>
      <c r="N662" s="216">
        <f>LS[[#This Row],[Amount]]/LS[[#This Row],[Unit]]</f>
        <v>11.892020454275182</v>
      </c>
      <c r="O662" s="1">
        <f>Q662/10</f>
        <v>25227</v>
      </c>
      <c r="P662" s="1">
        <f>SUMIFS(LS[[#Headers],[Unit]]:LS[[#This Row],[Unit]],LS[[#Headers],[Investor ID]]:LS[[#This Row],[Investor ID]],LS[[#This Row],[Investor ID]])</f>
        <v>65746</v>
      </c>
      <c r="Q662" s="3">
        <f>ROUND(LS[[#This Row],[Amount]]/11.892,0)*10</f>
        <v>252270</v>
      </c>
      <c r="R662" s="6">
        <f>LS[[#This Row],[Amount]]-LS[[#This Row],[Unit Capital]]</f>
        <v>47730</v>
      </c>
      <c r="S66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12.16804064125574</v>
      </c>
      <c r="T662" s="216">
        <f t="shared" si="135"/>
        <v>12.552</v>
      </c>
      <c r="U66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62" s="3" cm="1">
        <f t="array" ref="V662">IF(LS[[#This Row],[B/S]]="S",ABS(LS[[#This Row],[Unit]])*(INDEX(LS[NAV at Cost (Average)],MATCH(CONCATENATE((LS[[#This Row],[Frequency]]-1),LS[[#This Row],[Investor ID]]),LS[Unique Code],0),0)),0)</f>
        <v>0</v>
      </c>
      <c r="W662" s="3">
        <f>IF(LS[[#This Row],[BO Transfer]]="YES",LS[[#This Row],[Unit]],)</f>
        <v>25227</v>
      </c>
      <c r="X662" s="3">
        <f>SUMIFS(LS[[#Headers],[BO UNIT TRANSFER]]:LS[[#This Row],[BO UNIT TRANSFER]],LS[[#Headers],[Investor ID]]:LS[[#This Row],[Investor ID]],LS[[#This Row],[Investor ID]])</f>
        <v>65746</v>
      </c>
    </row>
    <row r="663" spans="2:24">
      <c r="B663" s="8">
        <v>2026</v>
      </c>
      <c r="C663" s="8">
        <v>1</v>
      </c>
      <c r="D663" s="8">
        <v>18</v>
      </c>
      <c r="E663" s="300">
        <f>DATE(LS[[#This Row],[Year]],LS[[#This Row],[Month]],LS[[#This Row],[Day]])</f>
        <v>46040</v>
      </c>
      <c r="F663" s="267" t="str" cm="1">
        <f t="array" ref="F663">INDEX(INVESTORS_LIST[INVESTOR NAME],MATCH(LS[[#This Row],[Investor ID]],INVESTORS_LIST[INVESTOR CODE],0),)</f>
        <v>ARIFUR RAHMAN</v>
      </c>
      <c r="G663" s="268" t="s">
        <v>145</v>
      </c>
      <c r="H663" s="269">
        <f>COUNTIF(LS[[#Headers],[Investor ID]]:LS[[#This Row],[Investor ID]],LS[[#This Row],[Investor ID]])</f>
        <v>6</v>
      </c>
      <c r="I663" s="269" t="str">
        <f>CONCATENATE(LS[[#This Row],[Frequency]],LS[[#This Row],[Investor ID]])</f>
        <v>6A00115</v>
      </c>
      <c r="J663" s="8" t="str">
        <f>IF(LS[[#This Row],[B/S]]="B","BUY",(IF(LS[[#This Row],[B/S]]="S","SELL"," ")))</f>
        <v>BUY</v>
      </c>
      <c r="K663" s="8" t="s">
        <v>301</v>
      </c>
      <c r="L663" s="270">
        <v>20000</v>
      </c>
      <c r="M663" s="3"/>
      <c r="N663" s="271">
        <f>LS[[#This Row],[Amount]]/LS[[#This Row],[Unit]]</f>
        <v>11.926058437686345</v>
      </c>
      <c r="O663" s="272">
        <f t="shared" ref="O663:O664" si="136">Q663/10</f>
        <v>1677</v>
      </c>
      <c r="P663" s="272">
        <f>SUMIFS(LS[[#Headers],[Unit]]:LS[[#This Row],[Unit]],LS[[#Headers],[Investor ID]]:LS[[#This Row],[Investor ID]],LS[[#This Row],[Investor ID]])</f>
        <v>20434</v>
      </c>
      <c r="Q663" s="270">
        <f>ROUND(LS[[#This Row],[Amount]]/11.927,0)*10</f>
        <v>16770</v>
      </c>
      <c r="R663" s="273">
        <f>LS[[#This Row],[Amount]]-LS[[#This Row],[Unit Capital]]</f>
        <v>3230</v>
      </c>
      <c r="S663" s="271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10.368664970147794</v>
      </c>
      <c r="T663" s="271">
        <f t="shared" si="135"/>
        <v>12.552</v>
      </c>
      <c r="U663" s="27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63" s="270" cm="1">
        <f t="array" ref="V663">IF(LS[[#This Row],[B/S]]="S",ABS(LS[[#This Row],[Unit]])*(INDEX(LS[NAV at Cost (Average)],MATCH(CONCATENATE((LS[[#This Row],[Frequency]]-1),LS[[#This Row],[Investor ID]]),LS[Unique Code],0),0)),0)</f>
        <v>0</v>
      </c>
      <c r="W663" s="3">
        <f>IF(LS[[#This Row],[BO Transfer]]="YES",LS[[#This Row],[Unit]],)</f>
        <v>0</v>
      </c>
      <c r="X663" s="270">
        <f>SUMIFS(LS[[#Headers],[BO UNIT TRANSFER]]:LS[[#This Row],[BO UNIT TRANSFER]],LS[[#Headers],[Investor ID]]:LS[[#This Row],[Investor ID]],LS[[#This Row],[Investor ID]])</f>
        <v>0</v>
      </c>
    </row>
    <row r="664" spans="2:24">
      <c r="B664" s="8">
        <v>2026</v>
      </c>
      <c r="C664" s="8">
        <v>1</v>
      </c>
      <c r="D664" s="8">
        <v>18</v>
      </c>
      <c r="E664" s="300">
        <f>DATE(LS[[#This Row],[Year]],LS[[#This Row],[Month]],LS[[#This Row],[Day]])</f>
        <v>46040</v>
      </c>
      <c r="F664" s="267" t="str" cm="1">
        <f t="array" ref="F664">INDEX(INVESTORS_LIST[INVESTOR NAME],MATCH(LS[[#This Row],[Investor ID]],INVESTORS_LIST[INVESTOR CODE],0),)</f>
        <v>MADHAB GHOSH</v>
      </c>
      <c r="G664" s="268" t="s">
        <v>1038</v>
      </c>
      <c r="H664" s="269">
        <f>COUNTIF(LS[[#Headers],[Investor ID]]:LS[[#This Row],[Investor ID]],LS[[#This Row],[Investor ID]])</f>
        <v>8</v>
      </c>
      <c r="I664" s="269" t="str">
        <f>CONCATENATE(LS[[#This Row],[Frequency]],LS[[#This Row],[Investor ID]])</f>
        <v>8A00468</v>
      </c>
      <c r="J664" s="8" t="str">
        <f>IF(LS[[#This Row],[B/S]]="B","BUY",(IF(LS[[#This Row],[B/S]]="S","SELL"," ")))</f>
        <v>BUY</v>
      </c>
      <c r="K664" s="8" t="s">
        <v>301</v>
      </c>
      <c r="L664" s="270">
        <v>50000</v>
      </c>
      <c r="M664" s="3"/>
      <c r="N664" s="271">
        <f>LS[[#This Row],[Amount]]/LS[[#This Row],[Unit]]</f>
        <v>11.927480916030534</v>
      </c>
      <c r="O664" s="272">
        <f t="shared" si="136"/>
        <v>4192</v>
      </c>
      <c r="P664" s="272">
        <f>SUMIFS(LS[[#Headers],[Unit]]:LS[[#This Row],[Unit]],LS[[#Headers],[Investor ID]]:LS[[#This Row],[Investor ID]],LS[[#This Row],[Investor ID]])</f>
        <v>30923</v>
      </c>
      <c r="Q664" s="270">
        <f>ROUND(LS[[#This Row],[Amount]]/11.927,0)*10</f>
        <v>41920</v>
      </c>
      <c r="R664" s="273">
        <f>LS[[#This Row],[Amount]]-LS[[#This Row],[Unit Capital]]</f>
        <v>8080</v>
      </c>
      <c r="S664" s="271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11.8035119490347</v>
      </c>
      <c r="T664" s="271">
        <f t="shared" si="135"/>
        <v>12.552</v>
      </c>
      <c r="U664" s="270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64" s="270" cm="1">
        <f t="array" ref="V664">IF(LS[[#This Row],[B/S]]="S",ABS(LS[[#This Row],[Unit]])*(INDEX(LS[NAV at Cost (Average)],MATCH(CONCATENATE((LS[[#This Row],[Frequency]]-1),LS[[#This Row],[Investor ID]]),LS[Unique Code],0),0)),0)</f>
        <v>0</v>
      </c>
      <c r="W664" s="3">
        <f>IF(LS[[#This Row],[BO Transfer]]="YES",LS[[#This Row],[Unit]],)</f>
        <v>0</v>
      </c>
      <c r="X664" s="270">
        <f>SUMIFS(LS[[#Headers],[BO UNIT TRANSFER]]:LS[[#This Row],[BO UNIT TRANSFER]],LS[[#Headers],[Investor ID]]:LS[[#This Row],[Investor ID]],LS[[#This Row],[Investor ID]])</f>
        <v>0</v>
      </c>
    </row>
    <row r="665" spans="2:24">
      <c r="B665" s="8">
        <v>2026</v>
      </c>
      <c r="C665" s="8">
        <v>1</v>
      </c>
      <c r="D665" s="8">
        <v>21</v>
      </c>
      <c r="E665" s="291">
        <f>DATE(LS[[#This Row],[Year]],LS[[#This Row],[Month]],LS[[#This Row],[Day]])</f>
        <v>46043</v>
      </c>
      <c r="F665" t="str" cm="1">
        <f t="array" ref="F665">INDEX(INVESTORS_LIST[INVESTOR NAME],MATCH(LS[[#This Row],[Investor ID]],INVESTORS_LIST[INVESTOR CODE],0),)</f>
        <v>IMRANUL GANI FIRA</v>
      </c>
      <c r="G665" s="25" t="s">
        <v>1646</v>
      </c>
      <c r="H665" s="8">
        <f>COUNTIF(LS[[#Headers],[Investor ID]]:LS[[#This Row],[Investor ID]],LS[[#This Row],[Investor ID]])</f>
        <v>4</v>
      </c>
      <c r="I665" s="8" t="str">
        <f>CONCATENATE(LS[[#This Row],[Frequency]],LS[[#This Row],[Investor ID]])</f>
        <v>4BR0005</v>
      </c>
      <c r="J665" s="8" t="str">
        <f>IF(LS[[#This Row],[B/S]]="B","BUY",(IF(LS[[#This Row],[B/S]]="S","SELL"," ")))</f>
        <v>BUY</v>
      </c>
      <c r="K665" s="8" t="s">
        <v>301</v>
      </c>
      <c r="L665" s="3">
        <v>15000</v>
      </c>
      <c r="M665" s="3" t="s">
        <v>957</v>
      </c>
      <c r="N665" s="216">
        <f>LS[[#This Row],[Amount]]/LS[[#This Row],[Unit]]</f>
        <v>12.254901960784315</v>
      </c>
      <c r="O665" s="1">
        <f>Q665/10</f>
        <v>1224</v>
      </c>
      <c r="P665" s="1">
        <f>SUMIFS(LS[[#Headers],[Unit]]:LS[[#This Row],[Unit]],LS[[#Headers],[Investor ID]]:LS[[#This Row],[Investor ID]],LS[[#This Row],[Investor ID]])</f>
        <v>7562</v>
      </c>
      <c r="Q665" s="3">
        <f>ROUND(LS[[#This Row],[Amount]]/12.253,0)*10</f>
        <v>12240</v>
      </c>
      <c r="R665" s="6">
        <f>LS[[#This Row],[Amount]]-LS[[#This Row],[Unit Capital]]</f>
        <v>2760</v>
      </c>
      <c r="S66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11.90161332980693</v>
      </c>
      <c r="T665" s="216">
        <f t="shared" ref="T665:T670" si="137">IFERROR(NAV_MKT,0)</f>
        <v>12.552</v>
      </c>
      <c r="U66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65" s="3" cm="1">
        <f t="array" ref="V665">IF(LS[[#This Row],[B/S]]="S",ABS(LS[[#This Row],[Unit]])*(INDEX(LS[NAV at Cost (Average)],MATCH(CONCATENATE((LS[[#This Row],[Frequency]]-1),LS[[#This Row],[Investor ID]]),LS[Unique Code],0),0)),0)</f>
        <v>0</v>
      </c>
      <c r="W665" s="3">
        <f>IF(LS[[#This Row],[BO Transfer]]="YES",LS[[#This Row],[Unit]],)</f>
        <v>1224</v>
      </c>
      <c r="X665" s="3">
        <f>SUMIFS(LS[[#Headers],[BO UNIT TRANSFER]]:LS[[#This Row],[BO UNIT TRANSFER]],LS[[#Headers],[Investor ID]]:LS[[#This Row],[Investor ID]],LS[[#This Row],[Investor ID]])</f>
        <v>7562</v>
      </c>
    </row>
    <row r="666" spans="2:24">
      <c r="B666" s="274">
        <v>2026</v>
      </c>
      <c r="C666" s="274">
        <v>1</v>
      </c>
      <c r="D666" s="274">
        <v>21</v>
      </c>
      <c r="E666" s="301">
        <f>DATE(LS[[#This Row],[Year]],LS[[#This Row],[Month]],LS[[#This Row],[Day]])</f>
        <v>46043</v>
      </c>
      <c r="F666" s="275" t="str" cm="1">
        <f t="array" ref="F666">INDEX(INVESTORS_LIST[INVESTOR NAME],MATCH(LS[[#This Row],[Investor ID]],INVESTORS_LIST[INVESTOR CODE],0),)</f>
        <v>LANKABANGLA INVESTMENTS LIMITED</v>
      </c>
      <c r="G666" s="25" t="s">
        <v>1396</v>
      </c>
      <c r="H666" s="274">
        <f>COUNTIF(LS[[#Headers],[Investor ID]]:LS[[#This Row],[Investor ID]],LS[[#This Row],[Investor ID]])</f>
        <v>1</v>
      </c>
      <c r="I666" s="274" t="str">
        <f>CONCATENATE(LS[[#This Row],[Frequency]],LS[[#This Row],[Investor ID]])</f>
        <v>1A00601</v>
      </c>
      <c r="J666" s="8" t="str">
        <f>IF(LS[[#This Row],[B/S]]="B","BUY",(IF(LS[[#This Row],[B/S]]="S","SELL"," ")))</f>
        <v>BUY</v>
      </c>
      <c r="K666" s="8" t="s">
        <v>301</v>
      </c>
      <c r="L666" s="276">
        <v>10000000</v>
      </c>
      <c r="M666" s="3"/>
      <c r="N666" s="277">
        <f>LS[[#This Row],[Amount]]/LS[[#This Row],[Unit]]</f>
        <v>12.239003255574866</v>
      </c>
      <c r="O666" s="278">
        <f>Q666/10</f>
        <v>817060</v>
      </c>
      <c r="P666" s="278">
        <f>SUMIFS(LS[[#Headers],[Unit]]:LS[[#This Row],[Unit]],LS[[#Headers],[Investor ID]]:LS[[#This Row],[Investor ID]],LS[[#This Row],[Investor ID]])</f>
        <v>817060</v>
      </c>
      <c r="Q666" s="276">
        <f>ROUND(LS[[#This Row],[Amount]]/12.239,0)*10</f>
        <v>8170600</v>
      </c>
      <c r="R666" s="279">
        <f>LS[[#This Row],[Amount]]-LS[[#This Row],[Unit Capital]]</f>
        <v>1829400</v>
      </c>
      <c r="S666" s="277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12.239003255574866</v>
      </c>
      <c r="T666" s="277">
        <f t="shared" si="137"/>
        <v>12.552</v>
      </c>
      <c r="U666" s="276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66" s="276" cm="1">
        <f t="array" ref="V666">IF(LS[[#This Row],[B/S]]="S",ABS(LS[[#This Row],[Unit]])*(INDEX(LS[NAV at Cost (Average)],MATCH(CONCATENATE((LS[[#This Row],[Frequency]]-1),LS[[#This Row],[Investor ID]]),LS[Unique Code],0),0)),0)</f>
        <v>0</v>
      </c>
      <c r="W666" s="3">
        <f>IF(LS[[#This Row],[BO Transfer]]="YES",LS[[#This Row],[Unit]],)</f>
        <v>0</v>
      </c>
      <c r="X666" s="276">
        <f>SUMIFS(LS[[#Headers],[BO UNIT TRANSFER]]:LS[[#This Row],[BO UNIT TRANSFER]],LS[[#Headers],[Investor ID]]:LS[[#This Row],[Investor ID]],LS[[#This Row],[Investor ID]])</f>
        <v>0</v>
      </c>
    </row>
    <row r="667" spans="2:24">
      <c r="B667" s="8">
        <v>2026</v>
      </c>
      <c r="C667" s="8">
        <v>1</v>
      </c>
      <c r="D667" s="8">
        <v>27</v>
      </c>
      <c r="E667" s="291">
        <f>DATE(LS[[#This Row],[Year]],LS[[#This Row],[Month]],LS[[#This Row],[Day]])</f>
        <v>46049</v>
      </c>
      <c r="F667" t="str" cm="1">
        <f t="array" ref="F667">INDEX(INVESTORS_LIST[INVESTOR NAME],MATCH(LS[[#This Row],[Investor ID]],INVESTORS_LIST[INVESTOR CODE],0),)</f>
        <v>SRIJON GHOSH</v>
      </c>
      <c r="G667" s="25" t="s">
        <v>927</v>
      </c>
      <c r="H667" s="8">
        <f>COUNTIF(LS[[#Headers],[Investor ID]]:LS[[#This Row],[Investor ID]],LS[[#This Row],[Investor ID]])</f>
        <v>5</v>
      </c>
      <c r="I667" s="8" t="str">
        <f>CONCATENATE(LS[[#This Row],[Frequency]],LS[[#This Row],[Investor ID]])</f>
        <v>5A00424</v>
      </c>
      <c r="J667" s="8" t="str">
        <f>IF(LS[[#This Row],[B/S]]="B","BUY",(IF(LS[[#This Row],[B/S]]="S","SELL"," ")))</f>
        <v>BUY</v>
      </c>
      <c r="K667" s="8" t="s">
        <v>301</v>
      </c>
      <c r="L667" s="3">
        <v>120000</v>
      </c>
      <c r="M667" s="3"/>
      <c r="N667" s="216">
        <f>LS[[#This Row],[Amount]]/LS[[#This Row],[Unit]]</f>
        <v>12.148208139299454</v>
      </c>
      <c r="O667" s="1">
        <f>Q667/10</f>
        <v>9878</v>
      </c>
      <c r="P667" s="1">
        <f>SUMIFS(LS[[#Headers],[Unit]]:LS[[#This Row],[Unit]],LS[[#Headers],[Investor ID]]:LS[[#This Row],[Investor ID]],LS[[#This Row],[Investor ID]])</f>
        <v>9925</v>
      </c>
      <c r="Q667" s="3">
        <f>ROUND(LS[[#This Row],[Amount]]/12.148,0)*10</f>
        <v>98780</v>
      </c>
      <c r="R667" s="6">
        <f>LS[[#This Row],[Amount]]-LS[[#This Row],[Unit Capital]]</f>
        <v>21220</v>
      </c>
      <c r="S66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12.143098236775819</v>
      </c>
      <c r="T667" s="216">
        <f t="shared" si="137"/>
        <v>12.552</v>
      </c>
      <c r="U66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67" s="3" cm="1">
        <f t="array" ref="V667">IF(LS[[#This Row],[B/S]]="S",ABS(LS[[#This Row],[Unit]])*(INDEX(LS[NAV at Cost (Average)],MATCH(CONCATENATE((LS[[#This Row],[Frequency]]-1),LS[[#This Row],[Investor ID]]),LS[Unique Code],0),0)),0)</f>
        <v>0</v>
      </c>
      <c r="W667" s="3">
        <f>IF(LS[[#This Row],[BO Transfer]]="YES",LS[[#This Row],[Unit]],)</f>
        <v>0</v>
      </c>
      <c r="X667" s="3">
        <f>SUMIFS(LS[[#Headers],[BO UNIT TRANSFER]]:LS[[#This Row],[BO UNIT TRANSFER]],LS[[#Headers],[Investor ID]]:LS[[#This Row],[Investor ID]],LS[[#This Row],[Investor ID]])</f>
        <v>0</v>
      </c>
    </row>
    <row r="668" spans="2:24">
      <c r="B668" s="8">
        <v>2026</v>
      </c>
      <c r="C668" s="8">
        <v>2</v>
      </c>
      <c r="D668" s="8">
        <v>1</v>
      </c>
      <c r="E668" s="291">
        <f>DATE(LS[[#This Row],[Year]],LS[[#This Row],[Month]],LS[[#This Row],[Day]])</f>
        <v>46054</v>
      </c>
      <c r="F668" t="str" cm="1">
        <f t="array" ref="F668">INDEX(INVESTORS_LIST[INVESTOR NAME],MATCH(LS[[#This Row],[Investor ID]],INVESTORS_LIST[INVESTOR CODE],0),)</f>
        <v>MD. MITHU HOWLADER</v>
      </c>
      <c r="G668" s="25" t="s">
        <v>1490</v>
      </c>
      <c r="H668" s="8">
        <f>COUNTIF(LS[[#Headers],[Investor ID]]:LS[[#This Row],[Investor ID]],LS[[#This Row],[Investor ID]])</f>
        <v>4</v>
      </c>
      <c r="I668" s="8" t="str">
        <f>CONCATENATE(LS[[#This Row],[Frequency]],LS[[#This Row],[Investor ID]])</f>
        <v>4A00650</v>
      </c>
      <c r="J668" s="8" t="str">
        <f>IF(LS[[#This Row],[B/S]]="B","BUY",(IF(LS[[#This Row],[B/S]]="S","SELL"," ")))</f>
        <v>BUY</v>
      </c>
      <c r="K668" s="8" t="s">
        <v>301</v>
      </c>
      <c r="L668" s="3">
        <v>300000</v>
      </c>
      <c r="M668" s="3" t="s">
        <v>957</v>
      </c>
      <c r="N668" s="216">
        <f>LS[[#This Row],[Amount]]/LS[[#This Row],[Unit]]</f>
        <v>12.415163052474757</v>
      </c>
      <c r="O668" s="1">
        <f t="shared" ref="O668:O670" si="138">Q668/10</f>
        <v>24164</v>
      </c>
      <c r="P668" s="1">
        <f>SUMIFS(LS[[#Headers],[Unit]]:LS[[#This Row],[Unit]],LS[[#Headers],[Investor ID]]:LS[[#This Row],[Investor ID]],LS[[#This Row],[Investor ID]])</f>
        <v>236406</v>
      </c>
      <c r="Q668" s="3">
        <f>ROUND(LS[[#This Row],[Amount]]/12.415,0)*10</f>
        <v>241640</v>
      </c>
      <c r="R668" s="6">
        <f>LS[[#This Row],[Amount]]-LS[[#This Row],[Unit Capital]]</f>
        <v>58360</v>
      </c>
      <c r="S66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11.844031031361304</v>
      </c>
      <c r="T668" s="216">
        <f t="shared" si="137"/>
        <v>12.552</v>
      </c>
      <c r="U66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68" s="3" cm="1">
        <f t="array" ref="V668">IF(LS[[#This Row],[B/S]]="S",ABS(LS[[#This Row],[Unit]])*(INDEX(LS[NAV at Cost (Average)],MATCH(CONCATENATE((LS[[#This Row],[Frequency]]-1),LS[[#This Row],[Investor ID]]),LS[Unique Code],0),0)),0)</f>
        <v>0</v>
      </c>
      <c r="W668" s="3">
        <f>IF(LS[[#This Row],[BO Transfer]]="YES",LS[[#This Row],[Unit]],)</f>
        <v>24164</v>
      </c>
      <c r="X668" s="3">
        <f>SUMIFS(LS[[#Headers],[BO UNIT TRANSFER]]:LS[[#This Row],[BO UNIT TRANSFER]],LS[[#Headers],[Investor ID]]:LS[[#This Row],[Investor ID]],LS[[#This Row],[Investor ID]])</f>
        <v>236406</v>
      </c>
    </row>
    <row r="669" spans="2:24">
      <c r="B669" s="8">
        <v>2026</v>
      </c>
      <c r="C669" s="8">
        <v>2</v>
      </c>
      <c r="D669" s="8">
        <v>1</v>
      </c>
      <c r="E669" s="291">
        <f>DATE(LS[[#This Row],[Year]],LS[[#This Row],[Month]],LS[[#This Row],[Day]])</f>
        <v>46054</v>
      </c>
      <c r="F669" t="str" cm="1">
        <f t="array" ref="F669">INDEX(INVESTORS_LIST[INVESTOR NAME],MATCH(LS[[#This Row],[Investor ID]],INVESTORS_LIST[INVESTOR CODE],0),)</f>
        <v>MD. MITHU HOWLADER</v>
      </c>
      <c r="G669" s="25" t="s">
        <v>1490</v>
      </c>
      <c r="H669" s="8">
        <f>COUNTIF(LS[[#Headers],[Investor ID]]:LS[[#This Row],[Investor ID]],LS[[#This Row],[Investor ID]])</f>
        <v>5</v>
      </c>
      <c r="I669" s="8" t="str">
        <f>CONCATENATE(LS[[#This Row],[Frequency]],LS[[#This Row],[Investor ID]])</f>
        <v>5A00650</v>
      </c>
      <c r="J669" s="8" t="str">
        <f>IF(LS[[#This Row],[B/S]]="B","BUY",(IF(LS[[#This Row],[B/S]]="S","SELL"," ")))</f>
        <v>BUY</v>
      </c>
      <c r="K669" s="8" t="s">
        <v>301</v>
      </c>
      <c r="L669" s="3">
        <v>300000</v>
      </c>
      <c r="M669" s="3" t="s">
        <v>957</v>
      </c>
      <c r="N669" s="216">
        <f>LS[[#This Row],[Amount]]/LS[[#This Row],[Unit]]</f>
        <v>12.415163052474757</v>
      </c>
      <c r="O669" s="1">
        <f t="shared" si="138"/>
        <v>24164</v>
      </c>
      <c r="P669" s="1">
        <f>SUMIFS(LS[[#Headers],[Unit]]:LS[[#This Row],[Unit]],LS[[#Headers],[Investor ID]]:LS[[#This Row],[Investor ID]],LS[[#This Row],[Investor ID]])</f>
        <v>260570</v>
      </c>
      <c r="Q669" s="3">
        <f>ROUND(LS[[#This Row],[Amount]]/12.415,0)*10</f>
        <v>241640</v>
      </c>
      <c r="R669" s="6">
        <f>LS[[#This Row],[Amount]]-LS[[#This Row],[Unit Capital]]</f>
        <v>58360</v>
      </c>
      <c r="S66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11.896995049314965</v>
      </c>
      <c r="T669" s="216">
        <f t="shared" si="137"/>
        <v>12.552</v>
      </c>
      <c r="U66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69" s="3" cm="1">
        <f t="array" ref="V669">IF(LS[[#This Row],[B/S]]="S",ABS(LS[[#This Row],[Unit]])*(INDEX(LS[NAV at Cost (Average)],MATCH(CONCATENATE((LS[[#This Row],[Frequency]]-1),LS[[#This Row],[Investor ID]]),LS[Unique Code],0),0)),0)</f>
        <v>0</v>
      </c>
      <c r="W669" s="3">
        <f>IF(LS[[#This Row],[BO Transfer]]="YES",LS[[#This Row],[Unit]],)</f>
        <v>24164</v>
      </c>
      <c r="X669" s="3">
        <f>SUMIFS(LS[[#Headers],[BO UNIT TRANSFER]]:LS[[#This Row],[BO UNIT TRANSFER]],LS[[#Headers],[Investor ID]]:LS[[#This Row],[Investor ID]],LS[[#This Row],[Investor ID]])</f>
        <v>260570</v>
      </c>
    </row>
    <row r="670" spans="2:24">
      <c r="B670" s="8">
        <v>2026</v>
      </c>
      <c r="C670" s="8">
        <v>2</v>
      </c>
      <c r="D670" s="8">
        <v>1</v>
      </c>
      <c r="E670" s="291">
        <f>DATE(LS[[#This Row],[Year]],LS[[#This Row],[Month]],LS[[#This Row],[Day]])</f>
        <v>46054</v>
      </c>
      <c r="F670" t="str" cm="1">
        <f t="array" ref="F670">INDEX(INVESTORS_LIST[INVESTOR NAME],MATCH(LS[[#This Row],[Investor ID]],INVESTORS_LIST[INVESTOR CODE],0),)</f>
        <v>MD. MITHU HOWLADER</v>
      </c>
      <c r="G670" s="25" t="s">
        <v>1490</v>
      </c>
      <c r="H670" s="8">
        <f>COUNTIF(LS[[#Headers],[Investor ID]]:LS[[#This Row],[Investor ID]],LS[[#This Row],[Investor ID]])</f>
        <v>6</v>
      </c>
      <c r="I670" s="8" t="str">
        <f>CONCATENATE(LS[[#This Row],[Frequency]],LS[[#This Row],[Investor ID]])</f>
        <v>6A00650</v>
      </c>
      <c r="J670" s="8" t="str">
        <f>IF(LS[[#This Row],[B/S]]="B","BUY",(IF(LS[[#This Row],[B/S]]="S","SELL"," ")))</f>
        <v>BUY</v>
      </c>
      <c r="K670" s="8" t="s">
        <v>301</v>
      </c>
      <c r="L670" s="3">
        <v>300000</v>
      </c>
      <c r="M670" s="3" t="s">
        <v>957</v>
      </c>
      <c r="N670" s="216">
        <f>LS[[#This Row],[Amount]]/LS[[#This Row],[Unit]]</f>
        <v>12.415163052474757</v>
      </c>
      <c r="O670" s="1">
        <f t="shared" si="138"/>
        <v>24164</v>
      </c>
      <c r="P670" s="1">
        <f>SUMIFS(LS[[#Headers],[Unit]]:LS[[#This Row],[Unit]],LS[[#Headers],[Investor ID]]:LS[[#This Row],[Investor ID]],LS[[#This Row],[Investor ID]])</f>
        <v>284734</v>
      </c>
      <c r="Q670" s="3">
        <f>ROUND(LS[[#This Row],[Amount]]/12.415,0)*10</f>
        <v>241640</v>
      </c>
      <c r="R670" s="6">
        <f>LS[[#This Row],[Amount]]-LS[[#This Row],[Unit Capital]]</f>
        <v>58360</v>
      </c>
      <c r="S67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11.940969466238666</v>
      </c>
      <c r="T670" s="216">
        <f t="shared" si="137"/>
        <v>12.552</v>
      </c>
      <c r="U67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70" s="3" cm="1">
        <f t="array" ref="V670">IF(LS[[#This Row],[B/S]]="S",ABS(LS[[#This Row],[Unit]])*(INDEX(LS[NAV at Cost (Average)],MATCH(CONCATENATE((LS[[#This Row],[Frequency]]-1),LS[[#This Row],[Investor ID]]),LS[Unique Code],0),0)),0)</f>
        <v>0</v>
      </c>
      <c r="W670" s="3">
        <f>IF(LS[[#This Row],[BO Transfer]]="YES",LS[[#This Row],[Unit]],)</f>
        <v>24164</v>
      </c>
      <c r="X670" s="3">
        <f>SUMIFS(LS[[#Headers],[BO UNIT TRANSFER]]:LS[[#This Row],[BO UNIT TRANSFER]],LS[[#Headers],[Investor ID]]:LS[[#This Row],[Investor ID]],LS[[#This Row],[Investor ID]])</f>
        <v>284734</v>
      </c>
    </row>
    <row r="671" spans="2:24">
      <c r="B671" s="8">
        <v>2026</v>
      </c>
      <c r="C671" s="8">
        <v>2</v>
      </c>
      <c r="D671" s="8">
        <v>1</v>
      </c>
      <c r="E671" s="291">
        <f>DATE(LS[[#This Row],[Year]],LS[[#This Row],[Month]],LS[[#This Row],[Day]])</f>
        <v>46054</v>
      </c>
      <c r="F671" t="str" cm="1">
        <f t="array" ref="F671">INDEX(INVESTORS_LIST[INVESTOR NAME],MATCH(LS[[#This Row],[Investor ID]],INVESTORS_LIST[INVESTOR CODE],0),)</f>
        <v>MD. MITHU HOWLADER</v>
      </c>
      <c r="G671" s="25" t="s">
        <v>1490</v>
      </c>
      <c r="H671" s="8">
        <f>COUNTIF(LS[[#Headers],[Investor ID]]:LS[[#This Row],[Investor ID]],LS[[#This Row],[Investor ID]])</f>
        <v>7</v>
      </c>
      <c r="I671" s="8" t="str">
        <f>CONCATENATE(LS[[#This Row],[Frequency]],LS[[#This Row],[Investor ID]])</f>
        <v>7A00650</v>
      </c>
      <c r="J671" s="8" t="str">
        <f>IF(LS[[#This Row],[B/S]]="B","BUY",(IF(LS[[#This Row],[B/S]]="S","SELL"," ")))</f>
        <v>BUY</v>
      </c>
      <c r="K671" s="8" t="s">
        <v>301</v>
      </c>
      <c r="L671" s="3">
        <v>300000</v>
      </c>
      <c r="M671" s="3" t="s">
        <v>957</v>
      </c>
      <c r="N671" s="216">
        <f>LS[[#This Row],[Amount]]/LS[[#This Row],[Unit]]</f>
        <v>12.415163052474757</v>
      </c>
      <c r="O671" s="1">
        <f>Q671/10</f>
        <v>24164</v>
      </c>
      <c r="P671" s="1">
        <f>SUMIFS(LS[[#Headers],[Unit]]:LS[[#This Row],[Unit]],LS[[#Headers],[Investor ID]]:LS[[#This Row],[Investor ID]],LS[[#This Row],[Investor ID]])</f>
        <v>308898</v>
      </c>
      <c r="Q671" s="3">
        <f>ROUND(LS[[#This Row],[Amount]]/12.415,0)*10</f>
        <v>241640</v>
      </c>
      <c r="R671" s="6">
        <f>LS[[#This Row],[Amount]]-LS[[#This Row],[Unit Capital]]</f>
        <v>58360</v>
      </c>
      <c r="S67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11.978063956386899</v>
      </c>
      <c r="T671" s="216">
        <f t="shared" ref="T671:T677" si="139">IFERROR(NAV_MKT,0)</f>
        <v>12.552</v>
      </c>
      <c r="U67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71" s="3" cm="1">
        <f t="array" ref="V671">IF(LS[[#This Row],[B/S]]="S",ABS(LS[[#This Row],[Unit]])*(INDEX(LS[NAV at Cost (Average)],MATCH(CONCATENATE((LS[[#This Row],[Frequency]]-1),LS[[#This Row],[Investor ID]]),LS[Unique Code],0),0)),0)</f>
        <v>0</v>
      </c>
      <c r="W671" s="3">
        <f>IF(LS[[#This Row],[BO Transfer]]="YES",LS[[#This Row],[Unit]],)</f>
        <v>24164</v>
      </c>
      <c r="X671" s="3">
        <f>SUMIFS(LS[[#Headers],[BO UNIT TRANSFER]]:LS[[#This Row],[BO UNIT TRANSFER]],LS[[#Headers],[Investor ID]]:LS[[#This Row],[Investor ID]],LS[[#This Row],[Investor ID]])</f>
        <v>308898</v>
      </c>
    </row>
    <row r="672" spans="2:24">
      <c r="B672" s="8">
        <v>2026</v>
      </c>
      <c r="C672" s="8">
        <v>2</v>
      </c>
      <c r="D672" s="8">
        <v>2</v>
      </c>
      <c r="E672" s="291">
        <f>DATE(LS[[#This Row],[Year]],LS[[#This Row],[Month]],LS[[#This Row],[Day]])</f>
        <v>46055</v>
      </c>
      <c r="F672" t="str" cm="1">
        <f t="array" ref="F672">INDEX(INVESTORS_LIST[INVESTOR NAME],MATCH(LS[[#This Row],[Investor ID]],INVESTORS_LIST[INVESTOR CODE],0),)</f>
        <v>IMRANUL GANI FIRA</v>
      </c>
      <c r="G672" s="25" t="s">
        <v>1646</v>
      </c>
      <c r="H672" s="8">
        <f>COUNTIF(LS[[#Headers],[Investor ID]]:LS[[#This Row],[Investor ID]],LS[[#This Row],[Investor ID]])</f>
        <v>5</v>
      </c>
      <c r="I672" s="8" t="str">
        <f>CONCATENATE(LS[[#This Row],[Frequency]],LS[[#This Row],[Investor ID]])</f>
        <v>5BR0005</v>
      </c>
      <c r="J672" s="8" t="str">
        <f>IF(LS[[#This Row],[B/S]]="B","BUY",(IF(LS[[#This Row],[B/S]]="S","SELL"," ")))</f>
        <v>BUY</v>
      </c>
      <c r="K672" s="8" t="s">
        <v>301</v>
      </c>
      <c r="L672" s="3">
        <v>10000</v>
      </c>
      <c r="M672" s="3" t="s">
        <v>957</v>
      </c>
      <c r="N672" s="216">
        <f>LS[[#This Row],[Amount]]/LS[[#This Row],[Unit]]</f>
        <v>12.594458438287154</v>
      </c>
      <c r="O672" s="1">
        <f>Q672/10</f>
        <v>794</v>
      </c>
      <c r="P672" s="1">
        <f>SUMIFS(LS[[#Headers],[Unit]]:LS[[#This Row],[Unit]],LS[[#Headers],[Investor ID]]:LS[[#This Row],[Investor ID]],LS[[#This Row],[Investor ID]])</f>
        <v>8356</v>
      </c>
      <c r="Q672" s="3">
        <f>ROUND(LS[[#This Row],[Amount]]/12.599,0)*10</f>
        <v>7940</v>
      </c>
      <c r="R672" s="6">
        <f>LS[[#This Row],[Amount]]-LS[[#This Row],[Unit Capital]]</f>
        <v>2060</v>
      </c>
      <c r="S67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11.967448539971278</v>
      </c>
      <c r="T672" s="216">
        <f t="shared" si="139"/>
        <v>12.552</v>
      </c>
      <c r="U67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72" s="3" cm="1">
        <f t="array" ref="V672">IF(LS[[#This Row],[B/S]]="S",ABS(LS[[#This Row],[Unit]])*(INDEX(LS[NAV at Cost (Average)],MATCH(CONCATENATE((LS[[#This Row],[Frequency]]-1),LS[[#This Row],[Investor ID]]),LS[Unique Code],0),0)),0)</f>
        <v>0</v>
      </c>
      <c r="W672" s="3">
        <f>IF(LS[[#This Row],[BO Transfer]]="YES",LS[[#This Row],[Unit]],)</f>
        <v>794</v>
      </c>
      <c r="X672" s="3">
        <f>SUMIFS(LS[[#Headers],[BO UNIT TRANSFER]]:LS[[#This Row],[BO UNIT TRANSFER]],LS[[#Headers],[Investor ID]]:LS[[#This Row],[Investor ID]],LS[[#This Row],[Investor ID]])</f>
        <v>8356</v>
      </c>
    </row>
    <row r="673" spans="2:24">
      <c r="B673" s="8">
        <v>2026</v>
      </c>
      <c r="C673" s="8">
        <v>2</v>
      </c>
      <c r="D673" s="8">
        <v>2</v>
      </c>
      <c r="E673" s="291">
        <f>DATE(LS[[#This Row],[Year]],LS[[#This Row],[Month]],LS[[#This Row],[Day]])</f>
        <v>46055</v>
      </c>
      <c r="F673" t="str" cm="1">
        <f t="array" ref="F673">INDEX(INVESTORS_LIST[INVESTOR NAME],MATCH(LS[[#This Row],[Investor ID]],INVESTORS_LIST[INVESTOR CODE],0),)</f>
        <v>MD. MITHU HOWLADER</v>
      </c>
      <c r="G673" s="25" t="s">
        <v>1490</v>
      </c>
      <c r="H673" s="8">
        <f>COUNTIF(LS[[#Headers],[Investor ID]]:LS[[#This Row],[Investor ID]],LS[[#This Row],[Investor ID]])</f>
        <v>8</v>
      </c>
      <c r="I673" s="8" t="str">
        <f>CONCATENATE(LS[[#This Row],[Frequency]],LS[[#This Row],[Investor ID]])</f>
        <v>8A00650</v>
      </c>
      <c r="J673" s="8" t="str">
        <f>IF(LS[[#This Row],[B/S]]="B","BUY",(IF(LS[[#This Row],[B/S]]="S","SELL"," ")))</f>
        <v>BUY</v>
      </c>
      <c r="K673" s="8" t="s">
        <v>301</v>
      </c>
      <c r="L673" s="3">
        <v>300000</v>
      </c>
      <c r="M673" s="3" t="s">
        <v>957</v>
      </c>
      <c r="N673" s="216">
        <f>LS[[#This Row],[Amount]]/LS[[#This Row],[Unit]]</f>
        <v>12.410027302060065</v>
      </c>
      <c r="O673" s="1">
        <f t="shared" ref="O673:O674" si="140">Q673/10</f>
        <v>24174</v>
      </c>
      <c r="P673" s="1">
        <f>SUMIFS(LS[[#Headers],[Unit]]:LS[[#This Row],[Unit]],LS[[#Headers],[Investor ID]]:LS[[#This Row],[Investor ID]],LS[[#This Row],[Investor ID]])</f>
        <v>333072</v>
      </c>
      <c r="Q673" s="3">
        <f>ROUND(LS[[#This Row],[Amount]]/12.41,0)*10</f>
        <v>241740</v>
      </c>
      <c r="R673" s="6">
        <f>LS[[#This Row],[Amount]]-LS[[#This Row],[Unit Capital]]</f>
        <v>58260</v>
      </c>
      <c r="S67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12.009415381659224</v>
      </c>
      <c r="T673" s="216">
        <f t="shared" si="139"/>
        <v>12.552</v>
      </c>
      <c r="U67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73" s="3" cm="1">
        <f t="array" ref="V673">IF(LS[[#This Row],[B/S]]="S",ABS(LS[[#This Row],[Unit]])*(INDEX(LS[NAV at Cost (Average)],MATCH(CONCATENATE((LS[[#This Row],[Frequency]]-1),LS[[#This Row],[Investor ID]]),LS[Unique Code],0),0)),0)</f>
        <v>0</v>
      </c>
      <c r="W673" s="3">
        <f>IF(LS[[#This Row],[BO Transfer]]="YES",LS[[#This Row],[Unit]],)</f>
        <v>24174</v>
      </c>
      <c r="X673" s="3">
        <f>SUMIFS(LS[[#Headers],[BO UNIT TRANSFER]]:LS[[#This Row],[BO UNIT TRANSFER]],LS[[#Headers],[Investor ID]]:LS[[#This Row],[Investor ID]],LS[[#This Row],[Investor ID]])</f>
        <v>333072</v>
      </c>
    </row>
    <row r="674" spans="2:24">
      <c r="B674" s="8">
        <v>2026</v>
      </c>
      <c r="C674" s="8">
        <v>2</v>
      </c>
      <c r="D674" s="8">
        <v>2</v>
      </c>
      <c r="E674" s="291">
        <f>DATE(LS[[#This Row],[Year]],LS[[#This Row],[Month]],LS[[#This Row],[Day]])</f>
        <v>46055</v>
      </c>
      <c r="F674" t="str" cm="1">
        <f t="array" ref="F674">INDEX(INVESTORS_LIST[INVESTOR NAME],MATCH(LS[[#This Row],[Investor ID]],INVESTORS_LIST[INVESTOR CODE],0),)</f>
        <v>MD. MITHU HOWLADER</v>
      </c>
      <c r="G674" s="25" t="s">
        <v>1490</v>
      </c>
      <c r="H674" s="8">
        <f>COUNTIF(LS[[#Headers],[Investor ID]]:LS[[#This Row],[Investor ID]],LS[[#This Row],[Investor ID]])</f>
        <v>9</v>
      </c>
      <c r="I674" s="8" t="str">
        <f>CONCATENATE(LS[[#This Row],[Frequency]],LS[[#This Row],[Investor ID]])</f>
        <v>9A00650</v>
      </c>
      <c r="J674" s="8" t="str">
        <f>IF(LS[[#This Row],[B/S]]="B","BUY",(IF(LS[[#This Row],[B/S]]="S","SELL"," ")))</f>
        <v>BUY</v>
      </c>
      <c r="K674" s="8" t="s">
        <v>301</v>
      </c>
      <c r="L674" s="3">
        <v>300000</v>
      </c>
      <c r="M674" s="3" t="s">
        <v>957</v>
      </c>
      <c r="N674" s="216">
        <f>LS[[#This Row],[Amount]]/LS[[#This Row],[Unit]]</f>
        <v>12.410027302060065</v>
      </c>
      <c r="O674" s="1">
        <f t="shared" si="140"/>
        <v>24174</v>
      </c>
      <c r="P674" s="1">
        <f>SUMIFS(LS[[#Headers],[Unit]]:LS[[#This Row],[Unit]],LS[[#Headers],[Investor ID]]:LS[[#This Row],[Investor ID]],LS[[#This Row],[Investor ID]])</f>
        <v>357246</v>
      </c>
      <c r="Q674" s="3">
        <f>ROUND(LS[[#This Row],[Amount]]/12.41,0)*10</f>
        <v>241740</v>
      </c>
      <c r="R674" s="6">
        <f>LS[[#This Row],[Amount]]-LS[[#This Row],[Unit Capital]]</f>
        <v>58260</v>
      </c>
      <c r="S67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12.036523851911571</v>
      </c>
      <c r="T674" s="216">
        <f t="shared" si="139"/>
        <v>12.552</v>
      </c>
      <c r="U67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74" s="3" cm="1">
        <f t="array" ref="V674">IF(LS[[#This Row],[B/S]]="S",ABS(LS[[#This Row],[Unit]])*(INDEX(LS[NAV at Cost (Average)],MATCH(CONCATENATE((LS[[#This Row],[Frequency]]-1),LS[[#This Row],[Investor ID]]),LS[Unique Code],0),0)),0)</f>
        <v>0</v>
      </c>
      <c r="W674" s="3">
        <f>IF(LS[[#This Row],[BO Transfer]]="YES",LS[[#This Row],[Unit]],)</f>
        <v>24174</v>
      </c>
      <c r="X674" s="3">
        <f>SUMIFS(LS[[#Headers],[BO UNIT TRANSFER]]:LS[[#This Row],[BO UNIT TRANSFER]],LS[[#Headers],[Investor ID]]:LS[[#This Row],[Investor ID]],LS[[#This Row],[Investor ID]])</f>
        <v>357246</v>
      </c>
    </row>
    <row r="675" spans="2:24">
      <c r="B675" s="8">
        <v>2026</v>
      </c>
      <c r="C675" s="8">
        <v>2</v>
      </c>
      <c r="D675" s="8">
        <v>3</v>
      </c>
      <c r="E675" s="291">
        <f>DATE(LS[[#This Row],[Year]],LS[[#This Row],[Month]],LS[[#This Row],[Day]])</f>
        <v>46056</v>
      </c>
      <c r="F675" t="str" cm="1">
        <f t="array" ref="F675">INDEX(INVESTORS_LIST[INVESTOR NAME],MATCH(LS[[#This Row],[Investor ID]],INVESTORS_LIST[INVESTOR CODE],0),)</f>
        <v>MD. MITHU HOWLADER</v>
      </c>
      <c r="G675" s="25" t="s">
        <v>1490</v>
      </c>
      <c r="H675" s="8">
        <f>COUNTIF(LS[[#Headers],[Investor ID]]:LS[[#This Row],[Investor ID]],LS[[#This Row],[Investor ID]])</f>
        <v>10</v>
      </c>
      <c r="I675" s="8" t="str">
        <f>CONCATENATE(LS[[#This Row],[Frequency]],LS[[#This Row],[Investor ID]])</f>
        <v>10A00650</v>
      </c>
      <c r="J675" s="8" t="str">
        <f>IF(LS[[#This Row],[B/S]]="B","BUY",(IF(LS[[#This Row],[B/S]]="S","SELL"," ")))</f>
        <v>BUY</v>
      </c>
      <c r="K675" s="8" t="s">
        <v>301</v>
      </c>
      <c r="L675" s="3">
        <v>300000</v>
      </c>
      <c r="M675" s="3" t="s">
        <v>957</v>
      </c>
      <c r="N675" s="216">
        <f>LS[[#This Row],[Amount]]/LS[[#This Row],[Unit]]</f>
        <v>12.410027302060065</v>
      </c>
      <c r="O675" s="1">
        <f t="shared" ref="O675:O676" si="141">Q675/10</f>
        <v>24174</v>
      </c>
      <c r="P675" s="1">
        <f>SUMIFS(LS[[#Headers],[Unit]]:LS[[#This Row],[Unit]],LS[[#Headers],[Investor ID]]:LS[[#This Row],[Investor ID]],LS[[#This Row],[Investor ID]])</f>
        <v>381420</v>
      </c>
      <c r="Q675" s="3">
        <f>ROUND(LS[[#This Row],[Amount]]/12.41,0)*10</f>
        <v>241740</v>
      </c>
      <c r="R675" s="6">
        <f>LS[[#This Row],[Amount]]-LS[[#This Row],[Unit Capital]]</f>
        <v>58260</v>
      </c>
      <c r="S67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12.060196109275866</v>
      </c>
      <c r="T675" s="216">
        <f t="shared" si="139"/>
        <v>12.552</v>
      </c>
      <c r="U67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75" s="3" cm="1">
        <f t="array" ref="V675">IF(LS[[#This Row],[B/S]]="S",ABS(LS[[#This Row],[Unit]])*(INDEX(LS[NAV at Cost (Average)],MATCH(CONCATENATE((LS[[#This Row],[Frequency]]-1),LS[[#This Row],[Investor ID]]),LS[Unique Code],0),0)),0)</f>
        <v>0</v>
      </c>
      <c r="W675" s="3">
        <f>IF(LS[[#This Row],[BO Transfer]]="YES",LS[[#This Row],[Unit]],)</f>
        <v>24174</v>
      </c>
      <c r="X675" s="3">
        <f>SUMIFS(LS[[#Headers],[BO UNIT TRANSFER]]:LS[[#This Row],[BO UNIT TRANSFER]],LS[[#Headers],[Investor ID]]:LS[[#This Row],[Investor ID]],LS[[#This Row],[Investor ID]])</f>
        <v>381420</v>
      </c>
    </row>
    <row r="676" spans="2:24">
      <c r="B676" s="8">
        <v>2026</v>
      </c>
      <c r="C676" s="8">
        <v>2</v>
      </c>
      <c r="D676" s="8">
        <v>3</v>
      </c>
      <c r="E676" s="291">
        <f>DATE(LS[[#This Row],[Year]],LS[[#This Row],[Month]],LS[[#This Row],[Day]])</f>
        <v>46056</v>
      </c>
      <c r="F676" t="str" cm="1">
        <f t="array" ref="F676">INDEX(INVESTORS_LIST[INVESTOR NAME],MATCH(LS[[#This Row],[Investor ID]],INVESTORS_LIST[INVESTOR CODE],0),)</f>
        <v>MD. MITHU HOWLADER</v>
      </c>
      <c r="G676" s="25" t="s">
        <v>1490</v>
      </c>
      <c r="H676" s="8">
        <f>COUNTIF(LS[[#Headers],[Investor ID]]:LS[[#This Row],[Investor ID]],LS[[#This Row],[Investor ID]])</f>
        <v>11</v>
      </c>
      <c r="I676" s="8" t="str">
        <f>CONCATENATE(LS[[#This Row],[Frequency]],LS[[#This Row],[Investor ID]])</f>
        <v>11A00650</v>
      </c>
      <c r="J676" s="8" t="str">
        <f>IF(LS[[#This Row],[B/S]]="B","BUY",(IF(LS[[#This Row],[B/S]]="S","SELL"," ")))</f>
        <v>BUY</v>
      </c>
      <c r="K676" s="8" t="s">
        <v>301</v>
      </c>
      <c r="L676" s="3">
        <v>300000</v>
      </c>
      <c r="M676" s="3" t="s">
        <v>957</v>
      </c>
      <c r="N676" s="216">
        <f>LS[[#This Row],[Amount]]/LS[[#This Row],[Unit]]</f>
        <v>12.410027302060065</v>
      </c>
      <c r="O676" s="1">
        <f t="shared" si="141"/>
        <v>24174</v>
      </c>
      <c r="P676" s="1">
        <f>SUMIFS(LS[[#Headers],[Unit]]:LS[[#This Row],[Unit]],LS[[#Headers],[Investor ID]]:LS[[#This Row],[Investor ID]],LS[[#This Row],[Investor ID]])</f>
        <v>405594</v>
      </c>
      <c r="Q676" s="3">
        <f>ROUND(LS[[#This Row],[Amount]]/12.41,0)*10</f>
        <v>241740</v>
      </c>
      <c r="R676" s="6">
        <f>LS[[#This Row],[Amount]]-LS[[#This Row],[Unit Capital]]</f>
        <v>58260</v>
      </c>
      <c r="S67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12.081046563805186</v>
      </c>
      <c r="T676" s="216">
        <f t="shared" si="139"/>
        <v>12.552</v>
      </c>
      <c r="U67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76" s="3" cm="1">
        <f t="array" ref="V676">IF(LS[[#This Row],[B/S]]="S",ABS(LS[[#This Row],[Unit]])*(INDEX(LS[NAV at Cost (Average)],MATCH(CONCATENATE((LS[[#This Row],[Frequency]]-1),LS[[#This Row],[Investor ID]]),LS[Unique Code],0),0)),0)</f>
        <v>0</v>
      </c>
      <c r="W676" s="3">
        <f>IF(LS[[#This Row],[BO Transfer]]="YES",LS[[#This Row],[Unit]],)</f>
        <v>24174</v>
      </c>
      <c r="X676" s="3">
        <f>SUMIFS(LS[[#Headers],[BO UNIT TRANSFER]]:LS[[#This Row],[BO UNIT TRANSFER]],LS[[#Headers],[Investor ID]]:LS[[#This Row],[Investor ID]],LS[[#This Row],[Investor ID]])</f>
        <v>405594</v>
      </c>
    </row>
    <row r="677" spans="2:24">
      <c r="B677" s="8">
        <v>2026</v>
      </c>
      <c r="C677" s="8">
        <v>2</v>
      </c>
      <c r="D677" s="8">
        <v>3</v>
      </c>
      <c r="E677" s="291">
        <f>DATE(LS[[#This Row],[Year]],LS[[#This Row],[Month]],LS[[#This Row],[Day]])</f>
        <v>46056</v>
      </c>
      <c r="F677" t="str" cm="1">
        <f t="array" ref="F677">INDEX(INVESTORS_LIST[INVESTOR NAME],MATCH(LS[[#This Row],[Investor ID]],INVESTORS_LIST[INVESTOR CODE],0),)</f>
        <v>MD. MITHU HOWLADER</v>
      </c>
      <c r="G677" s="25" t="s">
        <v>1490</v>
      </c>
      <c r="H677" s="8">
        <f>COUNTIF(LS[[#Headers],[Investor ID]]:LS[[#This Row],[Investor ID]],LS[[#This Row],[Investor ID]])</f>
        <v>12</v>
      </c>
      <c r="I677" s="8" t="str">
        <f>CONCATENATE(LS[[#This Row],[Frequency]],LS[[#This Row],[Investor ID]])</f>
        <v>12A00650</v>
      </c>
      <c r="J677" s="8" t="str">
        <f>IF(LS[[#This Row],[B/S]]="B","BUY",(IF(LS[[#This Row],[B/S]]="S","SELL"," ")))</f>
        <v>BUY</v>
      </c>
      <c r="K677" s="8" t="s">
        <v>301</v>
      </c>
      <c r="L677" s="3">
        <v>100000</v>
      </c>
      <c r="M677" s="3" t="s">
        <v>957</v>
      </c>
      <c r="N677" s="216">
        <f>LS[[#This Row],[Amount]]/LS[[#This Row],[Unit]]</f>
        <v>12.410027302060065</v>
      </c>
      <c r="O677" s="1">
        <f t="shared" ref="O677:O714" si="142">Q677/10</f>
        <v>8058</v>
      </c>
      <c r="P677" s="1">
        <f>SUMIFS(LS[[#Headers],[Unit]]:LS[[#This Row],[Unit]],LS[[#Headers],[Investor ID]]:LS[[#This Row],[Investor ID]],LS[[#This Row],[Investor ID]])</f>
        <v>413652</v>
      </c>
      <c r="Q677" s="3">
        <f>ROUND(LS[[#This Row],[Amount]]/12.41,0)*10</f>
        <v>80580</v>
      </c>
      <c r="R677" s="6">
        <f>LS[[#This Row],[Amount]]-LS[[#This Row],[Unit Capital]]</f>
        <v>19420</v>
      </c>
      <c r="S67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12.087455155541374</v>
      </c>
      <c r="T677" s="216">
        <f t="shared" si="139"/>
        <v>12.552</v>
      </c>
      <c r="U67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77" s="3" cm="1">
        <f t="array" ref="V677">IF(LS[[#This Row],[B/S]]="S",ABS(LS[[#This Row],[Unit]])*(INDEX(LS[NAV at Cost (Average)],MATCH(CONCATENATE((LS[[#This Row],[Frequency]]-1),LS[[#This Row],[Investor ID]]),LS[Unique Code],0),0)),0)</f>
        <v>0</v>
      </c>
      <c r="W677" s="3">
        <f>IF(LS[[#This Row],[BO Transfer]]="YES",LS[[#This Row],[Unit]],)</f>
        <v>8058</v>
      </c>
      <c r="X677" s="3">
        <f>SUMIFS(LS[[#Headers],[BO UNIT TRANSFER]]:LS[[#This Row],[BO UNIT TRANSFER]],LS[[#Headers],[Investor ID]]:LS[[#This Row],[Investor ID]],LS[[#This Row],[Investor ID]])</f>
        <v>413652</v>
      </c>
    </row>
    <row r="678" spans="2:24">
      <c r="B678" s="8">
        <v>2026</v>
      </c>
      <c r="C678" s="8">
        <v>2</v>
      </c>
      <c r="D678" s="8">
        <v>5</v>
      </c>
      <c r="E678" s="291">
        <f>DATE(LS[[#This Row],[Year]],LS[[#This Row],[Month]],LS[[#This Row],[Day]])</f>
        <v>46058</v>
      </c>
      <c r="F678" t="str" cm="1">
        <f t="array" ref="F678">INDEX(INVESTORS_LIST[INVESTOR NAME],MATCH(LS[[#This Row],[Investor ID]],INVESTORS_LIST[INVESTOR CODE],0),)</f>
        <v>IMRANUL GANI FIRA</v>
      </c>
      <c r="G678" s="25" t="s">
        <v>1646</v>
      </c>
      <c r="H678" s="8">
        <f>COUNTIF(LS[[#Headers],[Investor ID]]:LS[[#This Row],[Investor ID]],LS[[#This Row],[Investor ID]])</f>
        <v>6</v>
      </c>
      <c r="I678" s="8" t="str">
        <f>CONCATENATE(LS[[#This Row],[Frequency]],LS[[#This Row],[Investor ID]])</f>
        <v>6BR0005</v>
      </c>
      <c r="J678" s="8" t="str">
        <f>IF(LS[[#This Row],[B/S]]="B","BUY",(IF(LS[[#This Row],[B/S]]="S","SELL"," ")))</f>
        <v>BUY</v>
      </c>
      <c r="K678" s="8" t="s">
        <v>301</v>
      </c>
      <c r="L678" s="3">
        <v>10000</v>
      </c>
      <c r="M678" s="3" t="s">
        <v>957</v>
      </c>
      <c r="N678" s="216">
        <f>LS[[#This Row],[Amount]]/LS[[#This Row],[Unit]]</f>
        <v>12.610340479192939</v>
      </c>
      <c r="O678" s="1">
        <f t="shared" si="142"/>
        <v>793</v>
      </c>
      <c r="P678" s="1">
        <f>SUMIFS(LS[[#Headers],[Unit]]:LS[[#This Row],[Unit]],LS[[#Headers],[Investor ID]]:LS[[#This Row],[Investor ID]],LS[[#This Row],[Investor ID]])</f>
        <v>9149</v>
      </c>
      <c r="Q678" s="3">
        <f>ROUND(LS[[#This Row],[Amount]]/12.612,0)*10</f>
        <v>7930</v>
      </c>
      <c r="R678" s="6">
        <f>LS[[#This Row],[Amount]]-LS[[#This Row],[Unit Capital]]</f>
        <v>2070</v>
      </c>
      <c r="S67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12.023171931358618</v>
      </c>
      <c r="T678" s="216">
        <f t="shared" ref="T678:T714" si="143">IFERROR(NAV_MKT,0)</f>
        <v>12.552</v>
      </c>
      <c r="U67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78" s="3" cm="1">
        <f t="array" ref="V678">IF(LS[[#This Row],[B/S]]="S",ABS(LS[[#This Row],[Unit]])*(INDEX(LS[NAV at Cost (Average)],MATCH(CONCATENATE((LS[[#This Row],[Frequency]]-1),LS[[#This Row],[Investor ID]]),LS[Unique Code],0),0)),0)</f>
        <v>0</v>
      </c>
      <c r="W678" s="3">
        <f>IF(LS[[#This Row],[BO Transfer]]="YES",LS[[#This Row],[Unit]],)</f>
        <v>793</v>
      </c>
      <c r="X678" s="3">
        <f>SUMIFS(LS[[#Headers],[BO UNIT TRANSFER]]:LS[[#This Row],[BO UNIT TRANSFER]],LS[[#Headers],[Investor ID]]:LS[[#This Row],[Investor ID]],LS[[#This Row],[Investor ID]])</f>
        <v>9149</v>
      </c>
    </row>
    <row r="679" spans="2:24">
      <c r="B679" s="8">
        <v>2026</v>
      </c>
      <c r="C679" s="8">
        <v>2</v>
      </c>
      <c r="D679" s="8">
        <v>9</v>
      </c>
      <c r="E679" s="291">
        <f>DATE(LS[[#This Row],[Year]],LS[[#This Row],[Month]],LS[[#This Row],[Day]])</f>
        <v>46062</v>
      </c>
      <c r="F679" t="str" cm="1">
        <f t="array" ref="F679">INDEX(INVESTORS_LIST[INVESTOR NAME],MATCH(LS[[#This Row],[Investor ID]],INVESTORS_LIST[INVESTOR CODE],0),)</f>
        <v>MD MIZANUR RAHMAN</v>
      </c>
      <c r="G679" s="25" t="s">
        <v>177</v>
      </c>
      <c r="H679" s="8">
        <f>COUNTIF(LS[[#Headers],[Investor ID]]:LS[[#This Row],[Investor ID]],LS[[#This Row],[Investor ID]])</f>
        <v>12</v>
      </c>
      <c r="I679" s="8" t="str">
        <f>CONCATENATE(LS[[#This Row],[Frequency]],LS[[#This Row],[Investor ID]])</f>
        <v>12A00144</v>
      </c>
      <c r="J679" s="8" t="str">
        <f>IF(LS[[#This Row],[B/S]]="B","BUY",(IF(LS[[#This Row],[B/S]]="S","SELL"," ")))</f>
        <v>BUY</v>
      </c>
      <c r="K679" s="8" t="s">
        <v>301</v>
      </c>
      <c r="L679" s="3">
        <v>100000</v>
      </c>
      <c r="M679" s="3"/>
      <c r="N679" s="216">
        <f>LS[[#This Row],[Amount]]/LS[[#This Row],[Unit]]</f>
        <v>12.479720454261825</v>
      </c>
      <c r="O679" s="1">
        <f t="shared" si="142"/>
        <v>8013</v>
      </c>
      <c r="P679" s="1">
        <f>SUMIFS(LS[[#Headers],[Unit]]:LS[[#This Row],[Unit]],LS[[#Headers],[Investor ID]]:LS[[#This Row],[Investor ID]],LS[[#This Row],[Investor ID]])</f>
        <v>8013</v>
      </c>
      <c r="Q679" s="3">
        <f>ROUND(LS[[#This Row],[Amount]]/12.48,0)*10</f>
        <v>80130</v>
      </c>
      <c r="R679" s="6">
        <f>LS[[#This Row],[Amount]]-LS[[#This Row],[Unit Capital]]</f>
        <v>19870</v>
      </c>
      <c r="S67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12.479720454261825</v>
      </c>
      <c r="T679" s="216">
        <f t="shared" si="143"/>
        <v>12.552</v>
      </c>
      <c r="U67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79" s="3" cm="1">
        <f t="array" ref="V679">IF(LS[[#This Row],[B/S]]="S",ABS(LS[[#This Row],[Unit]])*(INDEX(LS[NAV at Cost (Average)],MATCH(CONCATENATE((LS[[#This Row],[Frequency]]-1),LS[[#This Row],[Investor ID]]),LS[Unique Code],0),0)),0)</f>
        <v>0</v>
      </c>
      <c r="W679" s="3">
        <f>IF(LS[[#This Row],[BO Transfer]]="YES",LS[[#This Row],[Unit]],)</f>
        <v>0</v>
      </c>
      <c r="X679" s="3">
        <f>SUMIFS(LS[[#Headers],[BO UNIT TRANSFER]]:LS[[#This Row],[BO UNIT TRANSFER]],LS[[#Headers],[Investor ID]]:LS[[#This Row],[Investor ID]],LS[[#This Row],[Investor ID]])</f>
        <v>0</v>
      </c>
    </row>
    <row r="680" spans="2:24">
      <c r="B680" s="8">
        <v>2026</v>
      </c>
      <c r="C680" s="8">
        <v>2</v>
      </c>
      <c r="D680" s="8">
        <v>15</v>
      </c>
      <c r="E680" s="291">
        <f>DATE(LS[[#This Row],[Year]],LS[[#This Row],[Month]],LS[[#This Row],[Day]])</f>
        <v>46068</v>
      </c>
      <c r="F680" t="str" cm="1">
        <f t="array" ref="F680">INDEX(INVESTORS_LIST[INVESTOR NAME],MATCH(LS[[#This Row],[Investor ID]],INVESTORS_LIST[INVESTOR CODE],0),)</f>
        <v>KHAN MUHAMMAD KAWSER AHMED</v>
      </c>
      <c r="G680" s="25" t="s">
        <v>1004</v>
      </c>
      <c r="H680" s="8">
        <f>COUNTIF(LS[[#Headers],[Investor ID]]:LS[[#This Row],[Investor ID]],LS[[#This Row],[Investor ID]])</f>
        <v>3</v>
      </c>
      <c r="I680" s="8" t="str">
        <f>CONCATENATE(LS[[#This Row],[Frequency]],LS[[#This Row],[Investor ID]])</f>
        <v>3A00449</v>
      </c>
      <c r="J680" s="8" t="str">
        <f>IF(LS[[#This Row],[B/S]]="B","BUY",(IF(LS[[#This Row],[B/S]]="S","SELL"," ")))</f>
        <v>BUY</v>
      </c>
      <c r="K680" s="8" t="s">
        <v>301</v>
      </c>
      <c r="L680" s="3">
        <v>7500000</v>
      </c>
      <c r="M680" s="3" t="s">
        <v>957</v>
      </c>
      <c r="N680" s="216">
        <f>LS[[#This Row],[Amount]]/LS[[#This Row],[Unit]]</f>
        <v>12.846997399767726</v>
      </c>
      <c r="O680" s="1">
        <f>Q680/10</f>
        <v>583794</v>
      </c>
      <c r="P680" s="1">
        <f>SUMIFS(LS[[#Headers],[Unit]]:LS[[#This Row],[Unit]],LS[[#Headers],[Investor ID]]:LS[[#This Row],[Investor ID]],LS[[#This Row],[Investor ID]])</f>
        <v>1822910</v>
      </c>
      <c r="Q680" s="3">
        <v>5837940</v>
      </c>
      <c r="R680" s="6">
        <f>LS[[#This Row],[Amount]]-LS[[#This Row],[Unit Capital]]</f>
        <v>1662060</v>
      </c>
      <c r="S68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12.342902282614062</v>
      </c>
      <c r="T680" s="216">
        <f>IFERROR(NAV_MKT,0)</f>
        <v>12.552</v>
      </c>
      <c r="U68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80" s="3" cm="1">
        <f t="array" ref="V680">IF(LS[[#This Row],[B/S]]="S",ABS(LS[[#This Row],[Unit]])*(INDEX(LS[NAV at Cost (Average)],MATCH(CONCATENATE((LS[[#This Row],[Frequency]]-1),LS[[#This Row],[Investor ID]]),LS[Unique Code],0),0)),0)</f>
        <v>0</v>
      </c>
      <c r="W680" s="3">
        <f>IF(LS[[#This Row],[BO Transfer]]="YES",LS[[#This Row],[Unit]],)</f>
        <v>583794</v>
      </c>
      <c r="X680" s="3">
        <f>SUMIFS(LS[[#Headers],[BO UNIT TRANSFER]]:LS[[#This Row],[BO UNIT TRANSFER]],LS[[#Headers],[Investor ID]]:LS[[#This Row],[Investor ID]],LS[[#This Row],[Investor ID]])</f>
        <v>1822910</v>
      </c>
    </row>
    <row r="681" spans="2:24">
      <c r="B681" s="8">
        <v>2026</v>
      </c>
      <c r="C681" s="8">
        <v>2</v>
      </c>
      <c r="D681" s="8">
        <v>16</v>
      </c>
      <c r="E681" s="291">
        <f>DATE(LS[[#This Row],[Year]],LS[[#This Row],[Month]],LS[[#This Row],[Day]])</f>
        <v>46069</v>
      </c>
      <c r="F681" t="str" cm="1">
        <f t="array" ref="F681">INDEX(INVESTORS_LIST[INVESTOR NAME],MATCH(LS[[#This Row],[Investor ID]],INVESTORS_LIST[INVESTOR CODE],0),)</f>
        <v>HARI PADA SAHA</v>
      </c>
      <c r="G681" s="25" t="s">
        <v>1</v>
      </c>
      <c r="H681" s="8">
        <f>COUNTIF(LS[[#Headers],[Investor ID]]:LS[[#This Row],[Investor ID]],LS[[#This Row],[Investor ID]])</f>
        <v>6</v>
      </c>
      <c r="I681" s="8" t="str">
        <f>CONCATENATE(LS[[#This Row],[Frequency]],LS[[#This Row],[Investor ID]])</f>
        <v>6A00002</v>
      </c>
      <c r="J681" s="8" t="str">
        <f>IF(LS[[#This Row],[B/S]]="B","BUY",(IF(LS[[#This Row],[B/S]]="S","SELL"," ")))</f>
        <v>BUY</v>
      </c>
      <c r="K681" s="8" t="s">
        <v>301</v>
      </c>
      <c r="L681" s="3">
        <v>25294.149999999998</v>
      </c>
      <c r="M681" s="3"/>
      <c r="N681" s="216">
        <f>LS[[#This Row],[Amount]]/LS[[#This Row],[Unit]]</f>
        <v>13.194653103808033</v>
      </c>
      <c r="O681" s="1">
        <f t="shared" si="142"/>
        <v>1917</v>
      </c>
      <c r="P681" s="1">
        <f>SUMIFS(LS[[#Headers],[Unit]]:LS[[#This Row],[Unit]],LS[[#Headers],[Investor ID]]:LS[[#This Row],[Investor ID]],LS[[#This Row],[Investor ID]])</f>
        <v>74186</v>
      </c>
      <c r="Q681" s="3">
        <f>ROUND(LS[[#This Row],[Amount]]/13.196,0)*10</f>
        <v>19170</v>
      </c>
      <c r="R681" s="6">
        <f>LS[[#This Row],[Amount]]-LS[[#This Row],[Unit Capital]]</f>
        <v>6124.1499999999978</v>
      </c>
      <c r="S68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10.160616939505694</v>
      </c>
      <c r="T681" s="216">
        <f t="shared" si="143"/>
        <v>12.552</v>
      </c>
      <c r="U68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81" s="3" cm="1">
        <f t="array" ref="V681">IF(LS[[#This Row],[B/S]]="S",ABS(LS[[#This Row],[Unit]])*(INDEX(LS[NAV at Cost (Average)],MATCH(CONCATENATE((LS[[#This Row],[Frequency]]-1),LS[[#This Row],[Investor ID]]),LS[Unique Code],0),0)),0)</f>
        <v>0</v>
      </c>
      <c r="W681" s="3">
        <f>IF(LS[[#This Row],[BO Transfer]]="YES",LS[[#This Row],[Unit]],)</f>
        <v>0</v>
      </c>
      <c r="X681" s="3">
        <f>SUMIFS(LS[[#Headers],[BO UNIT TRANSFER]]:LS[[#This Row],[BO UNIT TRANSFER]],LS[[#Headers],[Investor ID]]:LS[[#This Row],[Investor ID]],LS[[#This Row],[Investor ID]])</f>
        <v>0</v>
      </c>
    </row>
    <row r="682" spans="2:24">
      <c r="B682" s="8">
        <v>2026</v>
      </c>
      <c r="C682" s="8">
        <v>2</v>
      </c>
      <c r="D682" s="8">
        <v>16</v>
      </c>
      <c r="E682" s="291">
        <f>DATE(LS[[#This Row],[Year]],LS[[#This Row],[Month]],LS[[#This Row],[Day]])</f>
        <v>46069</v>
      </c>
      <c r="F682" t="str" cm="1">
        <f t="array" ref="F682">INDEX(INVESTORS_LIST[INVESTOR NAME],MATCH(LS[[#This Row],[Investor ID]],INVESTORS_LIST[INVESTOR CODE],0),)</f>
        <v>EKUSH WEALTH MANAGEMENT LIMITED</v>
      </c>
      <c r="G682" s="25" t="s">
        <v>4</v>
      </c>
      <c r="H682" s="8">
        <f>COUNTIF(LS[[#Headers],[Investor ID]]:LS[[#This Row],[Investor ID]],LS[[#This Row],[Investor ID]])</f>
        <v>39</v>
      </c>
      <c r="I682" s="8" t="str">
        <f>CONCATENATE(LS[[#This Row],[Frequency]],LS[[#This Row],[Investor ID]])</f>
        <v>39A00003</v>
      </c>
      <c r="J682" s="8" t="str">
        <f>IF(LS[[#This Row],[B/S]]="B","BUY",(IF(LS[[#This Row],[B/S]]="S","SELL"," ")))</f>
        <v>BUY</v>
      </c>
      <c r="K682" s="8" t="s">
        <v>301</v>
      </c>
      <c r="L682" s="3">
        <v>991795.35</v>
      </c>
      <c r="M682" s="3"/>
      <c r="N682" s="216">
        <f>LS[[#This Row],[Amount]]/LS[[#This Row],[Unit]]</f>
        <v>13.195962559374127</v>
      </c>
      <c r="O682" s="1">
        <f t="shared" si="142"/>
        <v>75159</v>
      </c>
      <c r="P682" s="1">
        <f>SUMIFS(LS[[#Headers],[Unit]]:LS[[#This Row],[Unit]],LS[[#Headers],[Investor ID]]:LS[[#This Row],[Investor ID]],LS[[#This Row],[Investor ID]])</f>
        <v>2917477</v>
      </c>
      <c r="Q682" s="3">
        <f>ROUND(LS[[#This Row],[Amount]]/13.196,0)*10</f>
        <v>751590</v>
      </c>
      <c r="R682" s="6">
        <f>LS[[#This Row],[Amount]]-LS[[#This Row],[Unit Capital]]</f>
        <v>240205.34999999998</v>
      </c>
      <c r="S68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10.257750456108285</v>
      </c>
      <c r="T682" s="216">
        <f t="shared" si="143"/>
        <v>12.552</v>
      </c>
      <c r="U68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82" s="3" cm="1">
        <f t="array" ref="V682">IF(LS[[#This Row],[B/S]]="S",ABS(LS[[#This Row],[Unit]])*(INDEX(LS[NAV at Cost (Average)],MATCH(CONCATENATE((LS[[#This Row],[Frequency]]-1),LS[[#This Row],[Investor ID]]),LS[Unique Code],0),0)),0)</f>
        <v>0</v>
      </c>
      <c r="W682" s="3">
        <f>IF(LS[[#This Row],[BO Transfer]]="YES",LS[[#This Row],[Unit]],)</f>
        <v>0</v>
      </c>
      <c r="X682" s="3">
        <f>SUMIFS(LS[[#Headers],[BO UNIT TRANSFER]]:LS[[#This Row],[BO UNIT TRANSFER]],LS[[#Headers],[Investor ID]]:LS[[#This Row],[Investor ID]],LS[[#This Row],[Investor ID]])</f>
        <v>0</v>
      </c>
    </row>
    <row r="683" spans="2:24">
      <c r="B683" s="8">
        <v>2026</v>
      </c>
      <c r="C683" s="8">
        <v>2</v>
      </c>
      <c r="D683" s="8">
        <v>16</v>
      </c>
      <c r="E683" s="291">
        <f>DATE(LS[[#This Row],[Year]],LS[[#This Row],[Month]],LS[[#This Row],[Day]])</f>
        <v>46069</v>
      </c>
      <c r="F683" t="str" cm="1">
        <f t="array" ref="F683">INDEX(INVESTORS_LIST[INVESTOR NAME],MATCH(LS[[#This Row],[Investor ID]],INVESTORS_LIST[INVESTOR CODE],0),)</f>
        <v>ABDUL HAI BHUYAN</v>
      </c>
      <c r="G683" s="25" t="s">
        <v>22</v>
      </c>
      <c r="H683" s="8">
        <f>COUNTIF(LS[[#Headers],[Investor ID]]:LS[[#This Row],[Investor ID]],LS[[#This Row],[Investor ID]])</f>
        <v>4</v>
      </c>
      <c r="I683" s="8" t="str">
        <f>CONCATENATE(LS[[#This Row],[Frequency]],LS[[#This Row],[Investor ID]])</f>
        <v>4A00015</v>
      </c>
      <c r="J683" s="8" t="str">
        <f>IF(LS[[#This Row],[B/S]]="B","BUY",(IF(LS[[#This Row],[B/S]]="S","SELL"," ")))</f>
        <v>BUY</v>
      </c>
      <c r="K683" s="8" t="s">
        <v>301</v>
      </c>
      <c r="L683" s="3">
        <v>7465.8499999999995</v>
      </c>
      <c r="M683" s="3"/>
      <c r="N683" s="216">
        <f>LS[[#This Row],[Amount]]/LS[[#This Row],[Unit]]</f>
        <v>13.190547703180211</v>
      </c>
      <c r="O683" s="1">
        <f t="shared" si="142"/>
        <v>566</v>
      </c>
      <c r="P683" s="1">
        <f>SUMIFS(LS[[#Headers],[Unit]]:LS[[#This Row],[Unit]],LS[[#Headers],[Investor ID]]:LS[[#This Row],[Investor ID]],LS[[#This Row],[Investor ID]])</f>
        <v>21897</v>
      </c>
      <c r="Q683" s="3">
        <f>ROUND(LS[[#This Row],[Amount]]/13.196,0)*10</f>
        <v>5660</v>
      </c>
      <c r="R683" s="6">
        <f>LS[[#This Row],[Amount]]-LS[[#This Row],[Unit Capital]]</f>
        <v>1805.8499999999995</v>
      </c>
      <c r="S68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10.100538886605472</v>
      </c>
      <c r="T683" s="216">
        <f t="shared" si="143"/>
        <v>12.552</v>
      </c>
      <c r="U68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83" s="3" cm="1">
        <f t="array" ref="V683">IF(LS[[#This Row],[B/S]]="S",ABS(LS[[#This Row],[Unit]])*(INDEX(LS[NAV at Cost (Average)],MATCH(CONCATENATE((LS[[#This Row],[Frequency]]-1),LS[[#This Row],[Investor ID]]),LS[Unique Code],0),0)),0)</f>
        <v>0</v>
      </c>
      <c r="W683" s="3">
        <f>IF(LS[[#This Row],[BO Transfer]]="YES",LS[[#This Row],[Unit]],)</f>
        <v>0</v>
      </c>
      <c r="X683" s="3">
        <f>SUMIFS(LS[[#Headers],[BO UNIT TRANSFER]]:LS[[#This Row],[BO UNIT TRANSFER]],LS[[#Headers],[Investor ID]]:LS[[#This Row],[Investor ID]],LS[[#This Row],[Investor ID]])</f>
        <v>0</v>
      </c>
    </row>
    <row r="684" spans="2:24">
      <c r="B684" s="8">
        <v>2026</v>
      </c>
      <c r="C684" s="8">
        <v>2</v>
      </c>
      <c r="D684" s="8">
        <v>16</v>
      </c>
      <c r="E684" s="291">
        <f>DATE(LS[[#This Row],[Year]],LS[[#This Row],[Month]],LS[[#This Row],[Day]])</f>
        <v>46069</v>
      </c>
      <c r="F684" t="str" cm="1">
        <f t="array" ref="F684">INDEX(INVESTORS_LIST[INVESTOR NAME],MATCH(LS[[#This Row],[Investor ID]],INVESTORS_LIST[INVESTOR CODE],0),)</f>
        <v>MRIDUL KUMAR DEY</v>
      </c>
      <c r="G684" s="25" t="s">
        <v>27</v>
      </c>
      <c r="H684" s="8">
        <f>COUNTIF(LS[[#Headers],[Investor ID]]:LS[[#This Row],[Investor ID]],LS[[#This Row],[Investor ID]])</f>
        <v>4</v>
      </c>
      <c r="I684" s="8" t="str">
        <f>CONCATENATE(LS[[#This Row],[Frequency]],LS[[#This Row],[Investor ID]])</f>
        <v>4A00020</v>
      </c>
      <c r="J684" s="8" t="str">
        <f>IF(LS[[#This Row],[B/S]]="B","BUY",(IF(LS[[#This Row],[B/S]]="S","SELL"," ")))</f>
        <v>BUY</v>
      </c>
      <c r="K684" s="8" t="s">
        <v>301</v>
      </c>
      <c r="L684" s="3">
        <v>598.5</v>
      </c>
      <c r="M684" s="3"/>
      <c r="N684" s="216">
        <f>LS[[#This Row],[Amount]]/LS[[#This Row],[Unit]]</f>
        <v>13.3</v>
      </c>
      <c r="O684" s="1">
        <f t="shared" si="142"/>
        <v>45</v>
      </c>
      <c r="P684" s="1">
        <f>SUMIFS(LS[[#Headers],[Unit]]:LS[[#This Row],[Unit]],LS[[#Headers],[Investor ID]]:LS[[#This Row],[Investor ID]],LS[[#This Row],[Investor ID]])</f>
        <v>45</v>
      </c>
      <c r="Q684" s="3">
        <f>ROUND(LS[[#This Row],[Amount]]/13.196,0)*10</f>
        <v>450</v>
      </c>
      <c r="R684" s="6">
        <f>LS[[#This Row],[Amount]]-LS[[#This Row],[Unit Capital]]</f>
        <v>148.5</v>
      </c>
      <c r="S68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13.3</v>
      </c>
      <c r="T684" s="216">
        <f t="shared" si="143"/>
        <v>12.552</v>
      </c>
      <c r="U68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84" s="3" cm="1">
        <f t="array" ref="V684">IF(LS[[#This Row],[B/S]]="S",ABS(LS[[#This Row],[Unit]])*(INDEX(LS[NAV at Cost (Average)],MATCH(CONCATENATE((LS[[#This Row],[Frequency]]-1),LS[[#This Row],[Investor ID]]),LS[Unique Code],0),0)),0)</f>
        <v>0</v>
      </c>
      <c r="W684" s="3">
        <f>IF(LS[[#This Row],[BO Transfer]]="YES",LS[[#This Row],[Unit]],)</f>
        <v>0</v>
      </c>
      <c r="X684" s="3">
        <f>SUMIFS(LS[[#Headers],[BO UNIT TRANSFER]]:LS[[#This Row],[BO UNIT TRANSFER]],LS[[#Headers],[Investor ID]]:LS[[#This Row],[Investor ID]],LS[[#This Row],[Investor ID]])</f>
        <v>0</v>
      </c>
    </row>
    <row r="685" spans="2:24">
      <c r="B685" s="8">
        <v>2026</v>
      </c>
      <c r="C685" s="8">
        <v>2</v>
      </c>
      <c r="D685" s="8">
        <v>16</v>
      </c>
      <c r="E685" s="291">
        <f>DATE(LS[[#This Row],[Year]],LS[[#This Row],[Month]],LS[[#This Row],[Day]])</f>
        <v>46069</v>
      </c>
      <c r="F685" t="str" cm="1">
        <f t="array" ref="F685">INDEX(INVESTORS_LIST[INVESTOR NAME],MATCH(LS[[#This Row],[Investor ID]],INVESTORS_LIST[INVESTOR CODE],0),)</f>
        <v>FAHMIDA HAQUE</v>
      </c>
      <c r="G685" s="25" t="s">
        <v>33</v>
      </c>
      <c r="H685" s="8">
        <f>COUNTIF(LS[[#Headers],[Investor ID]]:LS[[#This Row],[Investor ID]],LS[[#This Row],[Investor ID]])</f>
        <v>4</v>
      </c>
      <c r="I685" s="8" t="str">
        <f>CONCATENATE(LS[[#This Row],[Frequency]],LS[[#This Row],[Investor ID]])</f>
        <v>4A00026</v>
      </c>
      <c r="J685" s="8" t="str">
        <f>IF(LS[[#This Row],[B/S]]="B","BUY",(IF(LS[[#This Row],[B/S]]="S","SELL"," ")))</f>
        <v>BUY</v>
      </c>
      <c r="K685" s="8" t="s">
        <v>301</v>
      </c>
      <c r="L685" s="3">
        <v>18852.399999999998</v>
      </c>
      <c r="M685" s="3"/>
      <c r="N685" s="216">
        <f>LS[[#This Row],[Amount]]/LS[[#This Row],[Unit]]</f>
        <v>13.192722183344994</v>
      </c>
      <c r="O685" s="1">
        <f t="shared" si="142"/>
        <v>1429</v>
      </c>
      <c r="P685" s="1">
        <f>SUMIFS(LS[[#Headers],[Unit]]:LS[[#This Row],[Unit]],LS[[#Headers],[Investor ID]]:LS[[#This Row],[Investor ID]],LS[[#This Row],[Investor ID]])</f>
        <v>55293</v>
      </c>
      <c r="Q685" s="3">
        <f>ROUND(LS[[#This Row],[Amount]]/13.196,0)*10</f>
        <v>14290</v>
      </c>
      <c r="R685" s="6">
        <f>LS[[#This Row],[Amount]]-LS[[#This Row],[Unit Capital]]</f>
        <v>4562.3999999999978</v>
      </c>
      <c r="S68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10.00962364132892</v>
      </c>
      <c r="T685" s="216">
        <f t="shared" si="143"/>
        <v>12.552</v>
      </c>
      <c r="U68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85" s="3" cm="1">
        <f t="array" ref="V685">IF(LS[[#This Row],[B/S]]="S",ABS(LS[[#This Row],[Unit]])*(INDEX(LS[NAV at Cost (Average)],MATCH(CONCATENATE((LS[[#This Row],[Frequency]]-1),LS[[#This Row],[Investor ID]]),LS[Unique Code],0),0)),0)</f>
        <v>0</v>
      </c>
      <c r="W685" s="3">
        <f>IF(LS[[#This Row],[BO Transfer]]="YES",LS[[#This Row],[Unit]],)</f>
        <v>0</v>
      </c>
      <c r="X685" s="3">
        <f>SUMIFS(LS[[#Headers],[BO UNIT TRANSFER]]:LS[[#This Row],[BO UNIT TRANSFER]],LS[[#Headers],[Investor ID]]:LS[[#This Row],[Investor ID]],LS[[#This Row],[Investor ID]])</f>
        <v>0</v>
      </c>
    </row>
    <row r="686" spans="2:24">
      <c r="B686" s="8">
        <v>2026</v>
      </c>
      <c r="C686" s="8">
        <v>2</v>
      </c>
      <c r="D686" s="8">
        <v>16</v>
      </c>
      <c r="E686" s="291">
        <f>DATE(LS[[#This Row],[Year]],LS[[#This Row],[Month]],LS[[#This Row],[Day]])</f>
        <v>46069</v>
      </c>
      <c r="F686" t="str" cm="1">
        <f t="array" ref="F686">INDEX(INVESTORS_LIST[INVESTOR NAME],MATCH(LS[[#This Row],[Investor ID]],INVESTORS_LIST[INVESTOR CODE],0),)</f>
        <v>MD. MOMINUL HOQUE</v>
      </c>
      <c r="G686" s="25" t="s">
        <v>41</v>
      </c>
      <c r="H686" s="8">
        <f>COUNTIF(LS[[#Headers],[Investor ID]]:LS[[#This Row],[Investor ID]],LS[[#This Row],[Investor ID]])</f>
        <v>3</v>
      </c>
      <c r="I686" s="8" t="str">
        <f>CONCATENATE(LS[[#This Row],[Frequency]],LS[[#This Row],[Investor ID]])</f>
        <v>3A00034</v>
      </c>
      <c r="J686" s="8" t="str">
        <f>IF(LS[[#This Row],[B/S]]="B","BUY",(IF(LS[[#This Row],[B/S]]="S","SELL"," ")))</f>
        <v>BUY</v>
      </c>
      <c r="K686" s="8" t="s">
        <v>301</v>
      </c>
      <c r="L686" s="3">
        <v>6595.4</v>
      </c>
      <c r="M686" s="3" t="s">
        <v>957</v>
      </c>
      <c r="N686" s="216">
        <f>LS[[#This Row],[Amount]]/LS[[#This Row],[Unit]]</f>
        <v>13.190799999999999</v>
      </c>
      <c r="O686" s="1">
        <f t="shared" si="142"/>
        <v>500</v>
      </c>
      <c r="P686" s="1">
        <f>SUMIFS(LS[[#Headers],[Unit]]:LS[[#This Row],[Unit]],LS[[#Headers],[Investor ID]]:LS[[#This Row],[Investor ID]],LS[[#This Row],[Investor ID]])</f>
        <v>19344</v>
      </c>
      <c r="Q686" s="3">
        <f>ROUND(LS[[#This Row],[Amount]]/13.196,0)*10</f>
        <v>5000</v>
      </c>
      <c r="R686" s="6">
        <f>LS[[#This Row],[Amount]]-LS[[#This Row],[Unit Capital]]</f>
        <v>1595.3999999999996</v>
      </c>
      <c r="S68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10.680076509511993</v>
      </c>
      <c r="T686" s="216">
        <f t="shared" si="143"/>
        <v>12.552</v>
      </c>
      <c r="U68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86" s="3" cm="1">
        <f t="array" ref="V686">IF(LS[[#This Row],[B/S]]="S",ABS(LS[[#This Row],[Unit]])*(INDEX(LS[NAV at Cost (Average)],MATCH(CONCATENATE((LS[[#This Row],[Frequency]]-1),LS[[#This Row],[Investor ID]]),LS[Unique Code],0),0)),0)</f>
        <v>0</v>
      </c>
      <c r="W686" s="3">
        <f>IF(LS[[#This Row],[BO Transfer]]="YES",LS[[#This Row],[Unit]],)</f>
        <v>500</v>
      </c>
      <c r="X686" s="3">
        <f>SUMIFS(LS[[#Headers],[BO UNIT TRANSFER]]:LS[[#This Row],[BO UNIT TRANSFER]],LS[[#Headers],[Investor ID]]:LS[[#This Row],[Investor ID]],LS[[#This Row],[Investor ID]])</f>
        <v>500</v>
      </c>
    </row>
    <row r="687" spans="2:24">
      <c r="B687" s="8">
        <v>2026</v>
      </c>
      <c r="C687" s="8">
        <v>2</v>
      </c>
      <c r="D687" s="8">
        <v>16</v>
      </c>
      <c r="E687" s="291">
        <f>DATE(LS[[#This Row],[Year]],LS[[#This Row],[Month]],LS[[#This Row],[Day]])</f>
        <v>46069</v>
      </c>
      <c r="F687" t="str" cm="1">
        <f t="array" ref="F687">INDEX(INVESTORS_LIST[INVESTOR NAME],MATCH(LS[[#This Row],[Investor ID]],INVESTORS_LIST[INVESTOR CODE],0),)</f>
        <v>SATCOM IT LTD. PROVIDENT FUND</v>
      </c>
      <c r="G687" s="25" t="s">
        <v>58</v>
      </c>
      <c r="H687" s="8">
        <f>COUNTIF(LS[[#Headers],[Investor ID]]:LS[[#This Row],[Investor ID]],LS[[#This Row],[Investor ID]])</f>
        <v>4</v>
      </c>
      <c r="I687" s="8" t="str">
        <f>CONCATENATE(LS[[#This Row],[Frequency]],LS[[#This Row],[Investor ID]])</f>
        <v>4A00051</v>
      </c>
      <c r="J687" s="8" t="str">
        <f>IF(LS[[#This Row],[B/S]]="B","BUY",(IF(LS[[#This Row],[B/S]]="S","SELL"," ")))</f>
        <v>BUY</v>
      </c>
      <c r="K687" s="8" t="s">
        <v>301</v>
      </c>
      <c r="L687" s="3">
        <v>37282</v>
      </c>
      <c r="M687" s="3"/>
      <c r="N687" s="216">
        <f>LS[[#This Row],[Amount]]/LS[[#This Row],[Unit]]</f>
        <v>13.19716814159292</v>
      </c>
      <c r="O687" s="1">
        <f t="shared" si="142"/>
        <v>2825</v>
      </c>
      <c r="P687" s="1">
        <f>SUMIFS(LS[[#Headers],[Unit]]:LS[[#This Row],[Unit]],LS[[#Headers],[Investor ID]]:LS[[#This Row],[Investor ID]],LS[[#This Row],[Investor ID]])</f>
        <v>109345</v>
      </c>
      <c r="Q687" s="3">
        <f>ROUND(LS[[#This Row],[Amount]]/13.196,0)*10</f>
        <v>28250</v>
      </c>
      <c r="R687" s="6">
        <f>LS[[#This Row],[Amount]]-LS[[#This Row],[Unit Capital]]</f>
        <v>9032</v>
      </c>
      <c r="S68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10.101080524943985</v>
      </c>
      <c r="T687" s="216">
        <f t="shared" si="143"/>
        <v>12.552</v>
      </c>
      <c r="U68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87" s="3" cm="1">
        <f t="array" ref="V687">IF(LS[[#This Row],[B/S]]="S",ABS(LS[[#This Row],[Unit]])*(INDEX(LS[NAV at Cost (Average)],MATCH(CONCATENATE((LS[[#This Row],[Frequency]]-1),LS[[#This Row],[Investor ID]]),LS[Unique Code],0),0)),0)</f>
        <v>0</v>
      </c>
      <c r="W687" s="3">
        <f>IF(LS[[#This Row],[BO Transfer]]="YES",LS[[#This Row],[Unit]],)</f>
        <v>0</v>
      </c>
      <c r="X687" s="3">
        <f>SUMIFS(LS[[#Headers],[BO UNIT TRANSFER]]:LS[[#This Row],[BO UNIT TRANSFER]],LS[[#Headers],[Investor ID]]:LS[[#This Row],[Investor ID]],LS[[#This Row],[Investor ID]])</f>
        <v>0</v>
      </c>
    </row>
    <row r="688" spans="2:24">
      <c r="B688" s="8">
        <v>2026</v>
      </c>
      <c r="C688" s="8">
        <v>2</v>
      </c>
      <c r="D688" s="8">
        <v>16</v>
      </c>
      <c r="E688" s="291">
        <f>DATE(LS[[#This Row],[Year]],LS[[#This Row],[Month]],LS[[#This Row],[Day]])</f>
        <v>46069</v>
      </c>
      <c r="F688" t="str" cm="1">
        <f t="array" ref="F688">INDEX(INVESTORS_LIST[INVESTOR NAME],MATCH(LS[[#This Row],[Investor ID]],INVESTORS_LIST[INVESTOR CODE],0),)</f>
        <v>SHUVA SAHA</v>
      </c>
      <c r="G688" s="25" t="s">
        <v>60</v>
      </c>
      <c r="H688" s="8">
        <f>COUNTIF(LS[[#Headers],[Investor ID]]:LS[[#This Row],[Investor ID]],LS[[#This Row],[Investor ID]])</f>
        <v>25</v>
      </c>
      <c r="I688" s="8" t="str">
        <f>CONCATENATE(LS[[#This Row],[Frequency]],LS[[#This Row],[Investor ID]])</f>
        <v>25A00053</v>
      </c>
      <c r="J688" s="8" t="str">
        <f>IF(LS[[#This Row],[B/S]]="B","BUY",(IF(LS[[#This Row],[B/S]]="S","SELL"," ")))</f>
        <v>BUY</v>
      </c>
      <c r="K688" s="8" t="s">
        <v>301</v>
      </c>
      <c r="L688" s="3">
        <v>168624.05</v>
      </c>
      <c r="M688" s="3" t="s">
        <v>957</v>
      </c>
      <c r="N688" s="216">
        <f>LS[[#This Row],[Amount]]/LS[[#This Row],[Unit]]</f>
        <v>13.196435279386444</v>
      </c>
      <c r="O688" s="1">
        <f>Q688/10</f>
        <v>12778</v>
      </c>
      <c r="P688" s="1">
        <f>SUMIFS(LS[[#Headers],[Unit]]:LS[[#This Row],[Unit]],LS[[#Headers],[Investor ID]]:LS[[#This Row],[Investor ID]],LS[[#This Row],[Investor ID]])</f>
        <v>494561</v>
      </c>
      <c r="Q688" s="3">
        <f>ROUND(LS[[#This Row],[Amount]]/13.196,0)*10</f>
        <v>127780</v>
      </c>
      <c r="R688" s="6">
        <f>LS[[#This Row],[Amount]]-LS[[#This Row],[Unit Capital]]</f>
        <v>40844.049999999988</v>
      </c>
      <c r="S68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10.769070368285647</v>
      </c>
      <c r="T688" s="216">
        <f>IFERROR(NAV_MKT,0)</f>
        <v>12.552</v>
      </c>
      <c r="U68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88" s="3" cm="1">
        <f t="array" ref="V688">IF(LS[[#This Row],[B/S]]="S",ABS(LS[[#This Row],[Unit]])*(INDEX(LS[NAV at Cost (Average)],MATCH(CONCATENATE((LS[[#This Row],[Frequency]]-1),LS[[#This Row],[Investor ID]]),LS[Unique Code],0),0)),0)</f>
        <v>0</v>
      </c>
      <c r="W688" s="3">
        <f>IF(LS[[#This Row],[BO Transfer]]="YES",LS[[#This Row],[Unit]],)</f>
        <v>12778</v>
      </c>
      <c r="X688" s="3">
        <f>SUMIFS(LS[[#Headers],[BO UNIT TRANSFER]]:LS[[#This Row],[BO UNIT TRANSFER]],LS[[#Headers],[Investor ID]]:LS[[#This Row],[Investor ID]],LS[[#This Row],[Investor ID]])</f>
        <v>139660</v>
      </c>
    </row>
    <row r="689" spans="2:24">
      <c r="B689" s="8">
        <v>2026</v>
      </c>
      <c r="C689" s="8">
        <v>2</v>
      </c>
      <c r="D689" s="8">
        <v>16</v>
      </c>
      <c r="E689" s="291">
        <f>DATE(LS[[#This Row],[Year]],LS[[#This Row],[Month]],LS[[#This Row],[Day]])</f>
        <v>46069</v>
      </c>
      <c r="F689" t="str" cm="1">
        <f t="array" ref="F689">INDEX(INVESTORS_LIST[INVESTOR NAME],MATCH(LS[[#This Row],[Investor ID]],INVESTORS_LIST[INVESTOR CODE],0),)</f>
        <v>KAZI AHSAN MARUF</v>
      </c>
      <c r="G689" s="25" t="s">
        <v>62</v>
      </c>
      <c r="H689" s="8">
        <f>COUNTIF(LS[[#Headers],[Investor ID]]:LS[[#This Row],[Investor ID]],LS[[#This Row],[Investor ID]])</f>
        <v>12</v>
      </c>
      <c r="I689" s="8" t="str">
        <f>CONCATENATE(LS[[#This Row],[Frequency]],LS[[#This Row],[Investor ID]])</f>
        <v>12A00055</v>
      </c>
      <c r="J689" s="8" t="str">
        <f>IF(LS[[#This Row],[B/S]]="B","BUY",(IF(LS[[#This Row],[B/S]]="S","SELL"," ")))</f>
        <v>BUY</v>
      </c>
      <c r="K689" s="8" t="s">
        <v>301</v>
      </c>
      <c r="L689" s="3">
        <v>85786.049999999988</v>
      </c>
      <c r="M689" s="3" t="s">
        <v>957</v>
      </c>
      <c r="N689" s="216">
        <f>LS[[#This Row],[Amount]]/LS[[#This Row],[Unit]]</f>
        <v>13.195823719427779</v>
      </c>
      <c r="O689" s="1">
        <f>Q689/10</f>
        <v>6501</v>
      </c>
      <c r="P689" s="1">
        <f>SUMIFS(LS[[#Headers],[Unit]]:LS[[#This Row],[Unit]],LS[[#Headers],[Investor ID]]:LS[[#This Row],[Investor ID]],LS[[#This Row],[Investor ID]])</f>
        <v>251604</v>
      </c>
      <c r="Q689" s="3">
        <f>ROUND(LS[[#This Row],[Amount]]/13.196,0)*10</f>
        <v>65010</v>
      </c>
      <c r="R689" s="6">
        <f>LS[[#This Row],[Amount]]-LS[[#This Row],[Unit Capital]]</f>
        <v>20776.049999999988</v>
      </c>
      <c r="S68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11.010027771604891</v>
      </c>
      <c r="T689" s="216">
        <f>IFERROR(NAV_MKT,0)</f>
        <v>12.552</v>
      </c>
      <c r="U68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89" s="3" cm="1">
        <f t="array" ref="V689">IF(LS[[#This Row],[B/S]]="S",ABS(LS[[#This Row],[Unit]])*(INDEX(LS[NAV at Cost (Average)],MATCH(CONCATENATE((LS[[#This Row],[Frequency]]-1),LS[[#This Row],[Investor ID]]),LS[Unique Code],0),0)),0)</f>
        <v>0</v>
      </c>
      <c r="W689" s="3">
        <f>IF(LS[[#This Row],[BO Transfer]]="YES",LS[[#This Row],[Unit]],)</f>
        <v>6501</v>
      </c>
      <c r="X689" s="3">
        <f>SUMIFS(LS[[#Headers],[BO UNIT TRANSFER]]:LS[[#This Row],[BO UNIT TRANSFER]],LS[[#Headers],[Investor ID]]:LS[[#This Row],[Investor ID]],LS[[#This Row],[Investor ID]])</f>
        <v>77453</v>
      </c>
    </row>
    <row r="690" spans="2:24">
      <c r="B690" s="8">
        <v>2026</v>
      </c>
      <c r="C690" s="8">
        <v>2</v>
      </c>
      <c r="D690" s="8">
        <v>16</v>
      </c>
      <c r="E690" s="291">
        <f>DATE(LS[[#This Row],[Year]],LS[[#This Row],[Month]],LS[[#This Row],[Day]])</f>
        <v>46069</v>
      </c>
      <c r="F690" t="str" cm="1">
        <f t="array" ref="F690">INDEX(INVESTORS_LIST[INVESTOR NAME],MATCH(LS[[#This Row],[Investor ID]],INVESTORS_LIST[INVESTOR CODE],0),)</f>
        <v>KANKA SAHA</v>
      </c>
      <c r="G690" s="25" t="s">
        <v>67</v>
      </c>
      <c r="H690" s="8">
        <f>COUNTIF(LS[[#Headers],[Investor ID]]:LS[[#This Row],[Investor ID]],LS[[#This Row],[Investor ID]])</f>
        <v>7</v>
      </c>
      <c r="I690" s="8" t="str">
        <f>CONCATENATE(LS[[#This Row],[Frequency]],LS[[#This Row],[Investor ID]])</f>
        <v>7A00060</v>
      </c>
      <c r="J690" s="8" t="str">
        <f>IF(LS[[#This Row],[B/S]]="B","BUY",(IF(LS[[#This Row],[B/S]]="S","SELL"," ")))</f>
        <v>BUY</v>
      </c>
      <c r="K690" s="8" t="s">
        <v>301</v>
      </c>
      <c r="L690" s="3">
        <v>13986.699999999999</v>
      </c>
      <c r="M690" s="3"/>
      <c r="N690" s="216">
        <f>LS[[#This Row],[Amount]]/LS[[#This Row],[Unit]]</f>
        <v>13.194999999999999</v>
      </c>
      <c r="O690" s="1">
        <f>Q690/10</f>
        <v>1060</v>
      </c>
      <c r="P690" s="1">
        <f>SUMIFS(LS[[#Headers],[Unit]]:LS[[#This Row],[Unit]],LS[[#Headers],[Investor ID]]:LS[[#This Row],[Investor ID]],LS[[#This Row],[Investor ID]])</f>
        <v>41022</v>
      </c>
      <c r="Q690" s="3">
        <f>ROUND(LS[[#This Row],[Amount]]/13.196,0)*10</f>
        <v>10600</v>
      </c>
      <c r="R690" s="6">
        <f>LS[[#This Row],[Amount]]-LS[[#This Row],[Unit Capital]]</f>
        <v>3386.6999999999989</v>
      </c>
      <c r="S69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10.099824273083478</v>
      </c>
      <c r="T690" s="216">
        <f>IFERROR(NAV_MKT,0)</f>
        <v>12.552</v>
      </c>
      <c r="U69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90" s="3" cm="1">
        <f t="array" ref="V690">IF(LS[[#This Row],[B/S]]="S",ABS(LS[[#This Row],[Unit]])*(INDEX(LS[NAV at Cost (Average)],MATCH(CONCATENATE((LS[[#This Row],[Frequency]]-1),LS[[#This Row],[Investor ID]]),LS[Unique Code],0),0)),0)</f>
        <v>0</v>
      </c>
      <c r="W690" s="3">
        <f>IF(LS[[#This Row],[BO Transfer]]="YES",LS[[#This Row],[Unit]],)</f>
        <v>0</v>
      </c>
      <c r="X690" s="3">
        <f>SUMIFS(LS[[#Headers],[BO UNIT TRANSFER]]:LS[[#This Row],[BO UNIT TRANSFER]],LS[[#Headers],[Investor ID]]:LS[[#This Row],[Investor ID]],LS[[#This Row],[Investor ID]])</f>
        <v>0</v>
      </c>
    </row>
    <row r="691" spans="2:24">
      <c r="B691" s="8">
        <v>2026</v>
      </c>
      <c r="C691" s="8">
        <v>2</v>
      </c>
      <c r="D691" s="8">
        <v>16</v>
      </c>
      <c r="E691" s="291">
        <f>DATE(LS[[#This Row],[Year]],LS[[#This Row],[Month]],LS[[#This Row],[Day]])</f>
        <v>46069</v>
      </c>
      <c r="F691" t="str" cm="1">
        <f t="array" ref="F691">INDEX(INVESTORS_LIST[INVESTOR NAME],MATCH(LS[[#This Row],[Investor ID]],INVESTORS_LIST[INVESTOR CODE],0),)</f>
        <v>BILKISS ARA</v>
      </c>
      <c r="G691" s="25" t="s">
        <v>81</v>
      </c>
      <c r="H691" s="8">
        <f>COUNTIF(LS[[#Headers],[Investor ID]]:LS[[#This Row],[Investor ID]],LS[[#This Row],[Investor ID]])</f>
        <v>8</v>
      </c>
      <c r="I691" s="8" t="str">
        <f>CONCATENATE(LS[[#This Row],[Frequency]],LS[[#This Row],[Investor ID]])</f>
        <v>8A00073</v>
      </c>
      <c r="J691" s="8" t="str">
        <f>IF(LS[[#This Row],[B/S]]="B","BUY",(IF(LS[[#This Row],[B/S]]="S","SELL"," ")))</f>
        <v>BUY</v>
      </c>
      <c r="K691" s="8" t="s">
        <v>301</v>
      </c>
      <c r="L691" s="3">
        <v>41183.1</v>
      </c>
      <c r="M691" s="3" t="s">
        <v>957</v>
      </c>
      <c r="N691" s="216">
        <f>LS[[#This Row],[Amount]]/LS[[#This Row],[Unit]]</f>
        <v>13.195482217238064</v>
      </c>
      <c r="O691" s="1">
        <f>Q691/10</f>
        <v>3121</v>
      </c>
      <c r="P691" s="1">
        <f>SUMIFS(LS[[#Headers],[Unit]]:LS[[#This Row],[Unit]],LS[[#Headers],[Investor ID]]:LS[[#This Row],[Investor ID]],LS[[#This Row],[Investor ID]])</f>
        <v>120787</v>
      </c>
      <c r="Q691" s="3">
        <f>ROUND(LS[[#This Row],[Amount]]/13.196,0)*10</f>
        <v>31210</v>
      </c>
      <c r="R691" s="6">
        <f>LS[[#This Row],[Amount]]-LS[[#This Row],[Unit Capital]]</f>
        <v>9973.0999999999985</v>
      </c>
      <c r="S69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10.833528098224217</v>
      </c>
      <c r="T691" s="216">
        <f>IFERROR(NAV_MKT,0)</f>
        <v>12.552</v>
      </c>
      <c r="U69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91" s="3" cm="1">
        <f t="array" ref="V691">IF(LS[[#This Row],[B/S]]="S",ABS(LS[[#This Row],[Unit]])*(INDEX(LS[NAV at Cost (Average)],MATCH(CONCATENATE((LS[[#This Row],[Frequency]]-1),LS[[#This Row],[Investor ID]]),LS[Unique Code],0),0)),0)</f>
        <v>0</v>
      </c>
      <c r="W691" s="3">
        <f>IF(LS[[#This Row],[BO Transfer]]="YES",LS[[#This Row],[Unit]],)</f>
        <v>3121</v>
      </c>
      <c r="X691" s="3">
        <f>SUMIFS(LS[[#Headers],[BO UNIT TRANSFER]]:LS[[#This Row],[BO UNIT TRANSFER]],LS[[#Headers],[Investor ID]]:LS[[#This Row],[Investor ID]],LS[[#This Row],[Investor ID]])</f>
        <v>120787</v>
      </c>
    </row>
    <row r="692" spans="2:24">
      <c r="B692" s="8">
        <v>2026</v>
      </c>
      <c r="C692" s="8">
        <v>2</v>
      </c>
      <c r="D692" s="8">
        <v>16</v>
      </c>
      <c r="E692" s="291">
        <f>DATE(LS[[#This Row],[Year]],LS[[#This Row],[Month]],LS[[#This Row],[Day]])</f>
        <v>46069</v>
      </c>
      <c r="F692" t="str" cm="1">
        <f t="array" ref="F692">INDEX(INVESTORS_LIST[INVESTOR NAME],MATCH(LS[[#This Row],[Investor ID]],INVESTORS_LIST[INVESTOR CODE],0),)</f>
        <v>MOHAMMAD SAYDUZZAMAN</v>
      </c>
      <c r="G692" s="25" t="s">
        <v>84</v>
      </c>
      <c r="H692" s="8">
        <f>COUNTIF(LS[[#Headers],[Investor ID]]:LS[[#This Row],[Investor ID]],LS[[#This Row],[Investor ID]])</f>
        <v>4</v>
      </c>
      <c r="I692" s="8" t="str">
        <f>CONCATENATE(LS[[#This Row],[Frequency]],LS[[#This Row],[Investor ID]])</f>
        <v>4A00076</v>
      </c>
      <c r="J692" s="8" t="str">
        <f>IF(LS[[#This Row],[B/S]]="B","BUY",(IF(LS[[#This Row],[B/S]]="S","SELL"," ")))</f>
        <v>BUY</v>
      </c>
      <c r="K692" s="8" t="s">
        <v>301</v>
      </c>
      <c r="L692" s="3">
        <v>11198.25</v>
      </c>
      <c r="M692" s="3"/>
      <c r="N692" s="216">
        <f>LS[[#This Row],[Amount]]/LS[[#This Row],[Unit]]</f>
        <v>13.189929328621908</v>
      </c>
      <c r="O692" s="1">
        <f t="shared" si="142"/>
        <v>849</v>
      </c>
      <c r="P692" s="1">
        <f>SUMIFS(LS[[#Headers],[Unit]]:LS[[#This Row],[Unit]],LS[[#Headers],[Investor ID]]:LS[[#This Row],[Investor ID]],LS[[#This Row],[Investor ID]])</f>
        <v>32844</v>
      </c>
      <c r="Q692" s="3">
        <f>ROUND(LS[[#This Row],[Amount]]/13.196,0)*10</f>
        <v>8490</v>
      </c>
      <c r="R692" s="6">
        <f>LS[[#This Row],[Amount]]-LS[[#This Row],[Unit Capital]]</f>
        <v>2708.25</v>
      </c>
      <c r="S69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10.100977347460722</v>
      </c>
      <c r="T692" s="216">
        <f t="shared" si="143"/>
        <v>12.552</v>
      </c>
      <c r="U69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92" s="3" cm="1">
        <f t="array" ref="V692">IF(LS[[#This Row],[B/S]]="S",ABS(LS[[#This Row],[Unit]])*(INDEX(LS[NAV at Cost (Average)],MATCH(CONCATENATE((LS[[#This Row],[Frequency]]-1),LS[[#This Row],[Investor ID]]),LS[Unique Code],0),0)),0)</f>
        <v>0</v>
      </c>
      <c r="W692" s="3">
        <f>IF(LS[[#This Row],[BO Transfer]]="YES",LS[[#This Row],[Unit]],)</f>
        <v>0</v>
      </c>
      <c r="X692" s="3">
        <f>SUMIFS(LS[[#Headers],[BO UNIT TRANSFER]]:LS[[#This Row],[BO UNIT TRANSFER]],LS[[#Headers],[Investor ID]]:LS[[#This Row],[Investor ID]],LS[[#This Row],[Investor ID]])</f>
        <v>0</v>
      </c>
    </row>
    <row r="693" spans="2:24">
      <c r="B693" s="8">
        <v>2026</v>
      </c>
      <c r="C693" s="8">
        <v>2</v>
      </c>
      <c r="D693" s="8">
        <v>16</v>
      </c>
      <c r="E693" s="291">
        <f>DATE(LS[[#This Row],[Year]],LS[[#This Row],[Month]],LS[[#This Row],[Day]])</f>
        <v>46069</v>
      </c>
      <c r="F693" t="str" cm="1">
        <f t="array" ref="F693">INDEX(INVESTORS_LIST[INVESTOR NAME],MATCH(LS[[#This Row],[Investor ID]],INVESTORS_LIST[INVESTOR CODE],0),)</f>
        <v>JHARNA RANI SAHA</v>
      </c>
      <c r="G693" s="25" t="s">
        <v>85</v>
      </c>
      <c r="H693" s="8">
        <f>COUNTIF(LS[[#Headers],[Investor ID]]:LS[[#This Row],[Investor ID]],LS[[#This Row],[Investor ID]])</f>
        <v>4</v>
      </c>
      <c r="I693" s="8" t="str">
        <f>CONCATENATE(LS[[#This Row],[Frequency]],LS[[#This Row],[Investor ID]])</f>
        <v>4A00077</v>
      </c>
      <c r="J693" s="8" t="str">
        <f>IF(LS[[#This Row],[B/S]]="B","BUY",(IF(LS[[#This Row],[B/S]]="S","SELL"," ")))</f>
        <v>BUY</v>
      </c>
      <c r="K693" s="8" t="s">
        <v>301</v>
      </c>
      <c r="L693" s="3">
        <v>5599.2999999999993</v>
      </c>
      <c r="M693" s="3"/>
      <c r="N693" s="216">
        <f>LS[[#This Row],[Amount]]/LS[[#This Row],[Unit]]</f>
        <v>13.205896226415092</v>
      </c>
      <c r="O693" s="1">
        <f t="shared" si="142"/>
        <v>424</v>
      </c>
      <c r="P693" s="1">
        <f>SUMIFS(LS[[#Headers],[Unit]]:LS[[#This Row],[Unit]],LS[[#Headers],[Investor ID]]:LS[[#This Row],[Investor ID]],LS[[#This Row],[Investor ID]])</f>
        <v>16422</v>
      </c>
      <c r="Q693" s="3">
        <f>ROUND(LS[[#This Row],[Amount]]/13.196,0)*10</f>
        <v>4240</v>
      </c>
      <c r="R693" s="6">
        <f>LS[[#This Row],[Amount]]-LS[[#This Row],[Unit Capital]]</f>
        <v>1359.2999999999993</v>
      </c>
      <c r="S69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10.101001705029839</v>
      </c>
      <c r="T693" s="216">
        <f t="shared" si="143"/>
        <v>12.552</v>
      </c>
      <c r="U69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93" s="3" cm="1">
        <f t="array" ref="V693">IF(LS[[#This Row],[B/S]]="S",ABS(LS[[#This Row],[Unit]])*(INDEX(LS[NAV at Cost (Average)],MATCH(CONCATENATE((LS[[#This Row],[Frequency]]-1),LS[[#This Row],[Investor ID]]),LS[Unique Code],0),0)),0)</f>
        <v>0</v>
      </c>
      <c r="W693" s="3">
        <f>IF(LS[[#This Row],[BO Transfer]]="YES",LS[[#This Row],[Unit]],)</f>
        <v>0</v>
      </c>
      <c r="X693" s="3">
        <f>SUMIFS(LS[[#Headers],[BO UNIT TRANSFER]]:LS[[#This Row],[BO UNIT TRANSFER]],LS[[#Headers],[Investor ID]]:LS[[#This Row],[Investor ID]],LS[[#This Row],[Investor ID]])</f>
        <v>0</v>
      </c>
    </row>
    <row r="694" spans="2:24">
      <c r="B694" s="8">
        <v>2026</v>
      </c>
      <c r="C694" s="8">
        <v>2</v>
      </c>
      <c r="D694" s="8">
        <v>16</v>
      </c>
      <c r="E694" s="291">
        <f>DATE(LS[[#This Row],[Year]],LS[[#This Row],[Month]],LS[[#This Row],[Day]])</f>
        <v>46069</v>
      </c>
      <c r="F694" t="str" cm="1">
        <f t="array" ref="F694">INDEX(INVESTORS_LIST[INVESTOR NAME],MATCH(LS[[#This Row],[Investor ID]],INVESTORS_LIST[INVESTOR CODE],0),)</f>
        <v>MD. ARIFUL ISLAM</v>
      </c>
      <c r="G694" s="25" t="s">
        <v>95</v>
      </c>
      <c r="H694" s="8">
        <f>COUNTIF(LS[[#Headers],[Investor ID]]:LS[[#This Row],[Investor ID]],LS[[#This Row],[Investor ID]])</f>
        <v>5</v>
      </c>
      <c r="I694" s="8" t="str">
        <f>CONCATENATE(LS[[#This Row],[Frequency]],LS[[#This Row],[Investor ID]])</f>
        <v>5A00087</v>
      </c>
      <c r="J694" s="8" t="str">
        <f>IF(LS[[#This Row],[B/S]]="B","BUY",(IF(LS[[#This Row],[B/S]]="S","SELL"," ")))</f>
        <v>BUY</v>
      </c>
      <c r="K694" s="8" t="s">
        <v>301</v>
      </c>
      <c r="L694" s="3">
        <v>176391.59999999998</v>
      </c>
      <c r="M694" s="10" t="s">
        <v>957</v>
      </c>
      <c r="N694" s="216">
        <f>LS[[#This Row],[Amount]]/LS[[#This Row],[Unit]]</f>
        <v>13.196049973816113</v>
      </c>
      <c r="O694" s="1">
        <f t="shared" si="142"/>
        <v>13367</v>
      </c>
      <c r="P694" s="1">
        <f>SUMIFS(LS[[#Headers],[Unit]]:LS[[#This Row],[Unit]],LS[[#Headers],[Investor ID]]:LS[[#This Row],[Investor ID]],LS[[#This Row],[Investor ID]])</f>
        <v>517343</v>
      </c>
      <c r="Q694" s="3">
        <f>ROUND(LS[[#This Row],[Amount]]/13.196,0)*10</f>
        <v>133670</v>
      </c>
      <c r="R694" s="6">
        <f>LS[[#This Row],[Amount]]-LS[[#This Row],[Unit Capital]]</f>
        <v>42721.599999999977</v>
      </c>
      <c r="S69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10.100907618349916</v>
      </c>
      <c r="T694" s="216">
        <f t="shared" si="143"/>
        <v>12.552</v>
      </c>
      <c r="U69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94" s="3" cm="1">
        <f t="array" ref="V694">IF(LS[[#This Row],[B/S]]="S",ABS(LS[[#This Row],[Unit]])*(INDEX(LS[NAV at Cost (Average)],MATCH(CONCATENATE((LS[[#This Row],[Frequency]]-1),LS[[#This Row],[Investor ID]]),LS[Unique Code],0),0)),0)</f>
        <v>0</v>
      </c>
      <c r="W694" s="3">
        <f>IF(LS[[#This Row],[BO Transfer]]="YES",LS[[#This Row],[Unit]],)</f>
        <v>13367</v>
      </c>
      <c r="X694" s="3">
        <f>SUMIFS(LS[[#Headers],[BO UNIT TRANSFER]]:LS[[#This Row],[BO UNIT TRANSFER]],LS[[#Headers],[Investor ID]]:LS[[#This Row],[Investor ID]],LS[[#This Row],[Investor ID]])</f>
        <v>17343</v>
      </c>
    </row>
    <row r="695" spans="2:24">
      <c r="B695" s="8">
        <v>2026</v>
      </c>
      <c r="C695" s="8">
        <v>2</v>
      </c>
      <c r="D695" s="8">
        <v>16</v>
      </c>
      <c r="E695" s="291">
        <f>DATE(LS[[#This Row],[Year]],LS[[#This Row],[Month]],LS[[#This Row],[Day]])</f>
        <v>46069</v>
      </c>
      <c r="F695" t="str" cm="1">
        <f t="array" ref="F695">INDEX(INVESTORS_LIST[INVESTOR NAME],MATCH(LS[[#This Row],[Investor ID]],INVESTORS_LIST[INVESTOR CODE],0),)</f>
        <v>MAYA RANI SAHA</v>
      </c>
      <c r="G695" s="25" t="s">
        <v>96</v>
      </c>
      <c r="H695" s="8">
        <f>COUNTIF(LS[[#Headers],[Investor ID]]:LS[[#This Row],[Investor ID]],LS[[#This Row],[Investor ID]])</f>
        <v>5</v>
      </c>
      <c r="I695" s="8" t="str">
        <f>CONCATENATE(LS[[#This Row],[Frequency]],LS[[#This Row],[Investor ID]])</f>
        <v>5A00088</v>
      </c>
      <c r="J695" s="8" t="str">
        <f>IF(LS[[#This Row],[B/S]]="B","BUY",(IF(LS[[#This Row],[B/S]]="S","SELL"," ")))</f>
        <v>BUY</v>
      </c>
      <c r="K695" s="8" t="s">
        <v>301</v>
      </c>
      <c r="L695" s="3">
        <v>36548.049999999996</v>
      </c>
      <c r="M695" s="3"/>
      <c r="N695" s="216">
        <f>LS[[#This Row],[Amount]]/LS[[#This Row],[Unit]]</f>
        <v>13.194241877256315</v>
      </c>
      <c r="O695" s="1">
        <f t="shared" si="142"/>
        <v>2770</v>
      </c>
      <c r="P695" s="1">
        <f>SUMIFS(LS[[#Headers],[Unit]]:LS[[#This Row],[Unit]],LS[[#Headers],[Investor ID]]:LS[[#This Row],[Investor ID]],LS[[#This Row],[Investor ID]])</f>
        <v>107193</v>
      </c>
      <c r="Q695" s="3">
        <f>ROUND(LS[[#This Row],[Amount]]/13.196,0)*10</f>
        <v>27700</v>
      </c>
      <c r="R695" s="6">
        <f>LS[[#This Row],[Amount]]-LS[[#This Row],[Unit Capital]]</f>
        <v>8848.0499999999956</v>
      </c>
      <c r="S69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10.100878788726874</v>
      </c>
      <c r="T695" s="216">
        <f t="shared" si="143"/>
        <v>12.552</v>
      </c>
      <c r="U69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95" s="3" cm="1">
        <f t="array" ref="V695">IF(LS[[#This Row],[B/S]]="S",ABS(LS[[#This Row],[Unit]])*(INDEX(LS[NAV at Cost (Average)],MATCH(CONCATENATE((LS[[#This Row],[Frequency]]-1),LS[[#This Row],[Investor ID]]),LS[Unique Code],0),0)),0)</f>
        <v>0</v>
      </c>
      <c r="W695" s="3">
        <f>IF(LS[[#This Row],[BO Transfer]]="YES",LS[[#This Row],[Unit]],)</f>
        <v>0</v>
      </c>
      <c r="X695" s="3">
        <f>SUMIFS(LS[[#Headers],[BO UNIT TRANSFER]]:LS[[#This Row],[BO UNIT TRANSFER]],LS[[#Headers],[Investor ID]]:LS[[#This Row],[Investor ID]],LS[[#This Row],[Investor ID]])</f>
        <v>0</v>
      </c>
    </row>
    <row r="696" spans="2:24">
      <c r="B696" s="8">
        <v>2026</v>
      </c>
      <c r="C696" s="8">
        <v>2</v>
      </c>
      <c r="D696" s="8">
        <v>16</v>
      </c>
      <c r="E696" s="291">
        <f>DATE(LS[[#This Row],[Year]],LS[[#This Row],[Month]],LS[[#This Row],[Day]])</f>
        <v>46069</v>
      </c>
      <c r="F696" t="str" cm="1">
        <f t="array" ref="F696">INDEX(INVESTORS_LIST[INVESTOR NAME],MATCH(LS[[#This Row],[Investor ID]],INVESTORS_LIST[INVESTOR CODE],0),)</f>
        <v>SYED ADNAN HUDA</v>
      </c>
      <c r="G696" s="25" t="s">
        <v>106</v>
      </c>
      <c r="H696" s="8">
        <f>COUNTIF(LS[[#Headers],[Investor ID]]:LS[[#This Row],[Investor ID]],LS[[#This Row],[Investor ID]])</f>
        <v>4</v>
      </c>
      <c r="I696" s="8" t="str">
        <f>CONCATENATE(LS[[#This Row],[Frequency]],LS[[#This Row],[Investor ID]])</f>
        <v>4A00094</v>
      </c>
      <c r="J696" s="8" t="str">
        <f>IF(LS[[#This Row],[B/S]]="B","BUY",(IF(LS[[#This Row],[B/S]]="S","SELL"," ")))</f>
        <v>BUY</v>
      </c>
      <c r="K696" s="8" t="s">
        <v>301</v>
      </c>
      <c r="L696" s="3">
        <v>111984.59999999999</v>
      </c>
      <c r="M696" s="3" t="s">
        <v>957</v>
      </c>
      <c r="N696" s="216">
        <f>LS[[#This Row],[Amount]]/LS[[#This Row],[Unit]]</f>
        <v>13.196394060806032</v>
      </c>
      <c r="O696" s="1">
        <f t="shared" si="142"/>
        <v>8486</v>
      </c>
      <c r="P696" s="1">
        <f>SUMIFS(LS[[#Headers],[Unit]]:LS[[#This Row],[Unit]],LS[[#Headers],[Investor ID]]:LS[[#This Row],[Investor ID]],LS[[#This Row],[Investor ID]])</f>
        <v>328442</v>
      </c>
      <c r="Q696" s="3">
        <f>ROUND(LS[[#This Row],[Amount]]/13.196,0)*10</f>
        <v>84860</v>
      </c>
      <c r="R696" s="6">
        <f>LS[[#This Row],[Amount]]-LS[[#This Row],[Unit Capital]]</f>
        <v>27124.599999999991</v>
      </c>
      <c r="S69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10.100923602949683</v>
      </c>
      <c r="T696" s="216">
        <f t="shared" si="143"/>
        <v>12.552</v>
      </c>
      <c r="U69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96" s="3" cm="1">
        <f t="array" ref="V696">IF(LS[[#This Row],[B/S]]="S",ABS(LS[[#This Row],[Unit]])*(INDEX(LS[NAV at Cost (Average)],MATCH(CONCATENATE((LS[[#This Row],[Frequency]]-1),LS[[#This Row],[Investor ID]]),LS[Unique Code],0),0)),0)</f>
        <v>0</v>
      </c>
      <c r="W696" s="3">
        <f>IF(LS[[#This Row],[BO Transfer]]="YES",LS[[#This Row],[Unit]],)</f>
        <v>8486</v>
      </c>
      <c r="X696" s="3">
        <f>SUMIFS(LS[[#Headers],[BO UNIT TRANSFER]]:LS[[#This Row],[BO UNIT TRANSFER]],LS[[#Headers],[Investor ID]]:LS[[#This Row],[Investor ID]],LS[[#This Row],[Investor ID]])</f>
        <v>8486</v>
      </c>
    </row>
    <row r="697" spans="2:24">
      <c r="B697" s="8">
        <v>2026</v>
      </c>
      <c r="C697" s="8">
        <v>2</v>
      </c>
      <c r="D697" s="8">
        <v>16</v>
      </c>
      <c r="E697" s="291">
        <f>DATE(LS[[#This Row],[Year]],LS[[#This Row],[Month]],LS[[#This Row],[Day]])</f>
        <v>46069</v>
      </c>
      <c r="F697" t="str" cm="1">
        <f t="array" ref="F697">INDEX(INVESTORS_LIST[INVESTOR NAME],MATCH(LS[[#This Row],[Investor ID]],INVESTORS_LIST[INVESTOR CODE],0),)</f>
        <v>NANDINI SAHA</v>
      </c>
      <c r="G697" s="25" t="s">
        <v>111</v>
      </c>
      <c r="H697" s="8">
        <f>COUNTIF(LS[[#Headers],[Investor ID]]:LS[[#This Row],[Investor ID]],LS[[#This Row],[Investor ID]])</f>
        <v>5</v>
      </c>
      <c r="I697" s="8" t="str">
        <f>CONCATENATE(LS[[#This Row],[Frequency]],LS[[#This Row],[Investor ID]])</f>
        <v>5A00097</v>
      </c>
      <c r="J697" s="8" t="str">
        <f>IF(LS[[#This Row],[B/S]]="B","BUY",(IF(LS[[#This Row],[B/S]]="S","SELL"," ")))</f>
        <v>BUY</v>
      </c>
      <c r="K697" s="8" t="s">
        <v>301</v>
      </c>
      <c r="L697" s="3">
        <v>60023.95</v>
      </c>
      <c r="M697" s="3"/>
      <c r="N697" s="216">
        <f>LS[[#This Row],[Amount]]/LS[[#This Row],[Unit]]</f>
        <v>13.194976918003956</v>
      </c>
      <c r="O697" s="1">
        <f t="shared" si="142"/>
        <v>4549</v>
      </c>
      <c r="P697" s="1">
        <f>SUMIFS(LS[[#Headers],[Unit]]:LS[[#This Row],[Unit]],LS[[#Headers],[Investor ID]]:LS[[#This Row],[Investor ID]],LS[[#This Row],[Investor ID]])</f>
        <v>176046</v>
      </c>
      <c r="Q697" s="3">
        <f>ROUND(LS[[#This Row],[Amount]]/13.196,0)*10</f>
        <v>45490</v>
      </c>
      <c r="R697" s="6">
        <f>LS[[#This Row],[Amount]]-LS[[#This Row],[Unit Capital]]</f>
        <v>14533.949999999997</v>
      </c>
      <c r="S69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11.70162315531168</v>
      </c>
      <c r="T697" s="216">
        <f t="shared" si="143"/>
        <v>12.552</v>
      </c>
      <c r="U69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97" s="3" cm="1">
        <f t="array" ref="V697">IF(LS[[#This Row],[B/S]]="S",ABS(LS[[#This Row],[Unit]])*(INDEX(LS[NAV at Cost (Average)],MATCH(CONCATENATE((LS[[#This Row],[Frequency]]-1),LS[[#This Row],[Investor ID]]),LS[Unique Code],0),0)),0)</f>
        <v>0</v>
      </c>
      <c r="W697" s="3">
        <f>IF(LS[[#This Row],[BO Transfer]]="YES",LS[[#This Row],[Unit]],)</f>
        <v>0</v>
      </c>
      <c r="X697" s="3">
        <f>SUMIFS(LS[[#Headers],[BO UNIT TRANSFER]]:LS[[#This Row],[BO UNIT TRANSFER]],LS[[#Headers],[Investor ID]]:LS[[#This Row],[Investor ID]],LS[[#This Row],[Investor ID]])</f>
        <v>0</v>
      </c>
    </row>
    <row r="698" spans="2:24">
      <c r="B698" s="8">
        <v>2026</v>
      </c>
      <c r="C698" s="8">
        <v>2</v>
      </c>
      <c r="D698" s="8">
        <v>16</v>
      </c>
      <c r="E698" s="291">
        <f>DATE(LS[[#This Row],[Year]],LS[[#This Row],[Month]],LS[[#This Row],[Day]])</f>
        <v>46069</v>
      </c>
      <c r="F698" t="str" cm="1">
        <f t="array" ref="F698">INDEX(INVESTORS_LIST[INVESTOR NAME],MATCH(LS[[#This Row],[Investor ID]],INVESTORS_LIST[INVESTOR CODE],0),)</f>
        <v>MD. MONIRUZZAMAN</v>
      </c>
      <c r="G698" s="25" t="s">
        <v>142</v>
      </c>
      <c r="H698" s="8">
        <f>COUNTIF(LS[[#Headers],[Investor ID]]:LS[[#This Row],[Investor ID]],LS[[#This Row],[Investor ID]])</f>
        <v>4</v>
      </c>
      <c r="I698" s="8" t="str">
        <f>CONCATENATE(LS[[#This Row],[Frequency]],LS[[#This Row],[Investor ID]])</f>
        <v>4A00113</v>
      </c>
      <c r="J698" s="8" t="str">
        <f>IF(LS[[#This Row],[B/S]]="B","BUY",(IF(LS[[#This Row],[B/S]]="S","SELL"," ")))</f>
        <v>BUY</v>
      </c>
      <c r="K698" s="8" t="s">
        <v>301</v>
      </c>
      <c r="L698" s="3">
        <v>7439.2499999999991</v>
      </c>
      <c r="M698" s="3"/>
      <c r="N698" s="216">
        <f>LS[[#This Row],[Amount]]/LS[[#This Row],[Unit]]</f>
        <v>13.190159574468083</v>
      </c>
      <c r="O698" s="1">
        <f t="shared" si="142"/>
        <v>564</v>
      </c>
      <c r="P698" s="1">
        <f>SUMIFS(LS[[#Headers],[Unit]]:LS[[#This Row],[Unit]],LS[[#Headers],[Investor ID]]:LS[[#This Row],[Investor ID]],LS[[#This Row],[Investor ID]])</f>
        <v>21819</v>
      </c>
      <c r="Q698" s="3">
        <f>ROUND(LS[[#This Row],[Amount]]/13.196,0)*10</f>
        <v>5640</v>
      </c>
      <c r="R698" s="6">
        <f>LS[[#This Row],[Amount]]-LS[[#This Row],[Unit Capital]]</f>
        <v>1799.2499999999991</v>
      </c>
      <c r="S69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10.100023832439618</v>
      </c>
      <c r="T698" s="216">
        <f t="shared" si="143"/>
        <v>12.552</v>
      </c>
      <c r="U69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98" s="3" cm="1">
        <f t="array" ref="V698">IF(LS[[#This Row],[B/S]]="S",ABS(LS[[#This Row],[Unit]])*(INDEX(LS[NAV at Cost (Average)],MATCH(CONCATENATE((LS[[#This Row],[Frequency]]-1),LS[[#This Row],[Investor ID]]),LS[Unique Code],0),0)),0)</f>
        <v>0</v>
      </c>
      <c r="W698" s="3">
        <f>IF(LS[[#This Row],[BO Transfer]]="YES",LS[[#This Row],[Unit]],)</f>
        <v>0</v>
      </c>
      <c r="X698" s="3">
        <f>SUMIFS(LS[[#Headers],[BO UNIT TRANSFER]]:LS[[#This Row],[BO UNIT TRANSFER]],LS[[#Headers],[Investor ID]]:LS[[#This Row],[Investor ID]],LS[[#This Row],[Investor ID]])</f>
        <v>0</v>
      </c>
    </row>
    <row r="699" spans="2:24">
      <c r="B699" s="8">
        <v>2026</v>
      </c>
      <c r="C699" s="8">
        <v>2</v>
      </c>
      <c r="D699" s="8">
        <v>16</v>
      </c>
      <c r="E699" s="291">
        <f>DATE(LS[[#This Row],[Year]],LS[[#This Row],[Month]],LS[[#This Row],[Day]])</f>
        <v>46069</v>
      </c>
      <c r="F699" t="str" cm="1">
        <f t="array" ref="F699">INDEX(INVESTORS_LIST[INVESTOR NAME],MATCH(LS[[#This Row],[Investor ID]],INVESTORS_LIST[INVESTOR CODE],0),)</f>
        <v>ARIFUR RAHMAN</v>
      </c>
      <c r="G699" s="25" t="s">
        <v>145</v>
      </c>
      <c r="H699" s="8">
        <f>COUNTIF(LS[[#Headers],[Investor ID]]:LS[[#This Row],[Investor ID]],LS[[#This Row],[Investor ID]])</f>
        <v>7</v>
      </c>
      <c r="I699" s="8" t="str">
        <f>CONCATENATE(LS[[#This Row],[Frequency]],LS[[#This Row],[Investor ID]])</f>
        <v>7A00115</v>
      </c>
      <c r="J699" s="8" t="str">
        <f>IF(LS[[#This Row],[B/S]]="B","BUY",(IF(LS[[#This Row],[B/S]]="S","SELL"," ")))</f>
        <v>BUY</v>
      </c>
      <c r="K699" s="8" t="s">
        <v>301</v>
      </c>
      <c r="L699" s="3">
        <v>6564.95</v>
      </c>
      <c r="M699" s="3"/>
      <c r="N699" s="216">
        <f>LS[[#This Row],[Amount]]/LS[[#This Row],[Unit]]</f>
        <v>13.209154929577464</v>
      </c>
      <c r="O699" s="1">
        <f t="shared" si="142"/>
        <v>497</v>
      </c>
      <c r="P699" s="1">
        <f>SUMIFS(LS[[#Headers],[Unit]]:LS[[#This Row],[Unit]],LS[[#Headers],[Investor ID]]:LS[[#This Row],[Investor ID]],LS[[#This Row],[Investor ID]])</f>
        <v>20931</v>
      </c>
      <c r="Q699" s="3">
        <f>ROUND(LS[[#This Row],[Amount]]/13.196,0)*10</f>
        <v>4970</v>
      </c>
      <c r="R699" s="6">
        <f>LS[[#This Row],[Amount]]-LS[[#This Row],[Unit Capital]]</f>
        <v>1594.9499999999998</v>
      </c>
      <c r="S69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10.436111509244663</v>
      </c>
      <c r="T699" s="216">
        <f t="shared" si="143"/>
        <v>12.552</v>
      </c>
      <c r="U69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699" s="3" cm="1">
        <f t="array" ref="V699">IF(LS[[#This Row],[B/S]]="S",ABS(LS[[#This Row],[Unit]])*(INDEX(LS[NAV at Cost (Average)],MATCH(CONCATENATE((LS[[#This Row],[Frequency]]-1),LS[[#This Row],[Investor ID]]),LS[Unique Code],0),0)),0)</f>
        <v>0</v>
      </c>
      <c r="W699" s="3">
        <f>IF(LS[[#This Row],[BO Transfer]]="YES",LS[[#This Row],[Unit]],)</f>
        <v>0</v>
      </c>
      <c r="X699" s="3">
        <f>SUMIFS(LS[[#Headers],[BO UNIT TRANSFER]]:LS[[#This Row],[BO UNIT TRANSFER]],LS[[#Headers],[Investor ID]]:LS[[#This Row],[Investor ID]],LS[[#This Row],[Investor ID]])</f>
        <v>0</v>
      </c>
    </row>
    <row r="700" spans="2:24">
      <c r="B700" s="8">
        <v>2026</v>
      </c>
      <c r="C700" s="8">
        <v>2</v>
      </c>
      <c r="D700" s="8">
        <v>16</v>
      </c>
      <c r="E700" s="291">
        <f>DATE(LS[[#This Row],[Year]],LS[[#This Row],[Month]],LS[[#This Row],[Day]])</f>
        <v>46069</v>
      </c>
      <c r="F700" t="str" cm="1">
        <f t="array" ref="F700">INDEX(INVESTORS_LIST[INVESTOR NAME],MATCH(LS[[#This Row],[Investor ID]],INVESTORS_LIST[INVESTOR CODE],0),)</f>
        <v>SUHAIEB CHOWDHURY</v>
      </c>
      <c r="G700" s="25" t="s">
        <v>153</v>
      </c>
      <c r="H700" s="8">
        <f>COUNTIF(LS[[#Headers],[Investor ID]]:LS[[#This Row],[Investor ID]],LS[[#This Row],[Investor ID]])</f>
        <v>4</v>
      </c>
      <c r="I700" s="8" t="str">
        <f>CONCATENATE(LS[[#This Row],[Frequency]],LS[[#This Row],[Investor ID]])</f>
        <v>4A00120</v>
      </c>
      <c r="J700" s="8" t="str">
        <f>IF(LS[[#This Row],[B/S]]="B","BUY",(IF(LS[[#This Row],[B/S]]="S","SELL"," ")))</f>
        <v>BUY</v>
      </c>
      <c r="K700" s="8" t="s">
        <v>301</v>
      </c>
      <c r="L700" s="3">
        <v>105000</v>
      </c>
      <c r="M700" s="3" t="s">
        <v>957</v>
      </c>
      <c r="N700" s="216">
        <f>LS[[#This Row],[Amount]]/LS[[#This Row],[Unit]]</f>
        <v>13.195928113610657</v>
      </c>
      <c r="O700" s="1">
        <f t="shared" si="142"/>
        <v>7957</v>
      </c>
      <c r="P700" s="1">
        <f>SUMIFS(LS[[#Headers],[Unit]]:LS[[#This Row],[Unit]],LS[[#Headers],[Investor ID]]:LS[[#This Row],[Investor ID]],LS[[#This Row],[Investor ID]])</f>
        <v>307957</v>
      </c>
      <c r="Q700" s="3">
        <f>ROUND(LS[[#This Row],[Amount]]/13.196,0)*10</f>
        <v>79570</v>
      </c>
      <c r="R700" s="6">
        <f>LS[[#This Row],[Amount]]-LS[[#This Row],[Unit Capital]]</f>
        <v>25430</v>
      </c>
      <c r="S70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11.701633669635697</v>
      </c>
      <c r="T700" s="216">
        <f t="shared" si="143"/>
        <v>12.552</v>
      </c>
      <c r="U70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00" s="3" cm="1">
        <f t="array" ref="V700">IF(LS[[#This Row],[B/S]]="S",ABS(LS[[#This Row],[Unit]])*(INDEX(LS[NAV at Cost (Average)],MATCH(CONCATENATE((LS[[#This Row],[Frequency]]-1),LS[[#This Row],[Investor ID]]),LS[Unique Code],0),0)),0)</f>
        <v>0</v>
      </c>
      <c r="W700" s="3">
        <f>IF(LS[[#This Row],[BO Transfer]]="YES",LS[[#This Row],[Unit]],)</f>
        <v>7957</v>
      </c>
      <c r="X700" s="3">
        <f>SUMIFS(LS[[#Headers],[BO UNIT TRANSFER]]:LS[[#This Row],[BO UNIT TRANSFER]],LS[[#Headers],[Investor ID]]:LS[[#This Row],[Investor ID]],LS[[#This Row],[Investor ID]])</f>
        <v>7957</v>
      </c>
    </row>
    <row r="701" spans="2:24">
      <c r="B701" s="8">
        <v>2026</v>
      </c>
      <c r="C701" s="8">
        <v>2</v>
      </c>
      <c r="D701" s="8">
        <v>16</v>
      </c>
      <c r="E701" s="291">
        <f>DATE(LS[[#This Row],[Year]],LS[[#This Row],[Month]],LS[[#This Row],[Day]])</f>
        <v>46069</v>
      </c>
      <c r="F701" t="str" cm="1">
        <f t="array" ref="F701">INDEX(INVESTORS_LIST[INVESTOR NAME],MATCH(LS[[#This Row],[Investor ID]],INVESTORS_LIST[INVESTOR CODE],0),)</f>
        <v>ASMA UL HUSNA</v>
      </c>
      <c r="G701" s="25" t="s">
        <v>171</v>
      </c>
      <c r="H701" s="8">
        <f>COUNTIF(LS[[#Headers],[Investor ID]]:LS[[#This Row],[Investor ID]],LS[[#This Row],[Investor ID]])</f>
        <v>3</v>
      </c>
      <c r="I701" s="8" t="str">
        <f>CONCATENATE(LS[[#This Row],[Frequency]],LS[[#This Row],[Investor ID]])</f>
        <v>3A00138</v>
      </c>
      <c r="J701" s="8" t="str">
        <f>IF(LS[[#This Row],[B/S]]="B","BUY",(IF(LS[[#This Row],[B/S]]="S","SELL"," ")))</f>
        <v>BUY</v>
      </c>
      <c r="K701" s="8" t="s">
        <v>301</v>
      </c>
      <c r="L701" s="3">
        <v>26572.699999999997</v>
      </c>
      <c r="M701" s="3"/>
      <c r="N701" s="216">
        <f>LS[[#This Row],[Amount]]/LS[[#This Row],[Unit]]</f>
        <v>13.193992055610723</v>
      </c>
      <c r="O701" s="1">
        <f t="shared" si="142"/>
        <v>2014</v>
      </c>
      <c r="P701" s="1">
        <f>SUMIFS(LS[[#Headers],[Unit]]:LS[[#This Row],[Unit]],LS[[#Headers],[Investor ID]]:LS[[#This Row],[Investor ID]],LS[[#This Row],[Investor ID]])</f>
        <v>77936</v>
      </c>
      <c r="Q701" s="3">
        <f>ROUND(LS[[#This Row],[Amount]]/13.196,0)*10</f>
        <v>20140</v>
      </c>
      <c r="R701" s="6">
        <f>LS[[#This Row],[Amount]]-LS[[#This Row],[Unit Capital]]</f>
        <v>6432.6999999999971</v>
      </c>
      <c r="S70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10.605788082529255</v>
      </c>
      <c r="T701" s="216">
        <f t="shared" si="143"/>
        <v>12.552</v>
      </c>
      <c r="U70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01" s="3" cm="1">
        <f t="array" ref="V701">IF(LS[[#This Row],[B/S]]="S",ABS(LS[[#This Row],[Unit]])*(INDEX(LS[NAV at Cost (Average)],MATCH(CONCATENATE((LS[[#This Row],[Frequency]]-1),LS[[#This Row],[Investor ID]]),LS[Unique Code],0),0)),0)</f>
        <v>0</v>
      </c>
      <c r="W701" s="3">
        <f>IF(LS[[#This Row],[BO Transfer]]="YES",LS[[#This Row],[Unit]],)</f>
        <v>0</v>
      </c>
      <c r="X701" s="3">
        <f>SUMIFS(LS[[#Headers],[BO UNIT TRANSFER]]:LS[[#This Row],[BO UNIT TRANSFER]],LS[[#Headers],[Investor ID]]:LS[[#This Row],[Investor ID]],LS[[#This Row],[Investor ID]])</f>
        <v>0</v>
      </c>
    </row>
    <row r="702" spans="2:24">
      <c r="B702" s="8">
        <v>2026</v>
      </c>
      <c r="C702" s="8">
        <v>2</v>
      </c>
      <c r="D702" s="8">
        <v>16</v>
      </c>
      <c r="E702" s="291">
        <f>DATE(LS[[#This Row],[Year]],LS[[#This Row],[Month]],LS[[#This Row],[Day]])</f>
        <v>46069</v>
      </c>
      <c r="F702" t="str" cm="1">
        <f t="array" ref="F702">INDEX(INVESTORS_LIST[INVESTOR NAME],MATCH(LS[[#This Row],[Investor ID]],INVESTORS_LIST[INVESTOR CODE],0),)</f>
        <v>HASIB MUSTABSIR</v>
      </c>
      <c r="G702" s="25" t="s">
        <v>230</v>
      </c>
      <c r="H702" s="8">
        <f>COUNTIF(LS[[#Headers],[Investor ID]]:LS[[#This Row],[Investor ID]],LS[[#This Row],[Investor ID]])</f>
        <v>6</v>
      </c>
      <c r="I702" s="8" t="str">
        <f>CONCATENATE(LS[[#This Row],[Frequency]],LS[[#This Row],[Investor ID]])</f>
        <v>6A00194</v>
      </c>
      <c r="J702" s="8" t="str">
        <f>IF(LS[[#This Row],[B/S]]="B","BUY",(IF(LS[[#This Row],[B/S]]="S","SELL"," ")))</f>
        <v>BUY</v>
      </c>
      <c r="K702" s="8" t="s">
        <v>301</v>
      </c>
      <c r="L702" s="3">
        <v>74244.45</v>
      </c>
      <c r="M702" s="3"/>
      <c r="N702" s="216">
        <f>LS[[#This Row],[Amount]]/LS[[#This Row],[Unit]]</f>
        <v>13.196667259153928</v>
      </c>
      <c r="O702" s="1">
        <f t="shared" si="142"/>
        <v>5626</v>
      </c>
      <c r="P702" s="1">
        <f>SUMIFS(LS[[#Headers],[Unit]]:LS[[#This Row],[Unit]],LS[[#Headers],[Investor ID]]:LS[[#This Row],[Investor ID]],LS[[#This Row],[Investor ID]])</f>
        <v>217753</v>
      </c>
      <c r="Q702" s="3">
        <f>ROUND(LS[[#This Row],[Amount]]/13.196,0)*10</f>
        <v>56260</v>
      </c>
      <c r="R702" s="6">
        <f>LS[[#This Row],[Amount]]-LS[[#This Row],[Unit Capital]]</f>
        <v>17984.449999999997</v>
      </c>
      <c r="S70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10.099965511382161</v>
      </c>
      <c r="T702" s="216">
        <f t="shared" si="143"/>
        <v>12.552</v>
      </c>
      <c r="U70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02" s="3" cm="1">
        <f t="array" ref="V702">IF(LS[[#This Row],[B/S]]="S",ABS(LS[[#This Row],[Unit]])*(INDEX(LS[NAV at Cost (Average)],MATCH(CONCATENATE((LS[[#This Row],[Frequency]]-1),LS[[#This Row],[Investor ID]]),LS[Unique Code],0),0)),0)</f>
        <v>0</v>
      </c>
      <c r="W702" s="3">
        <f>IF(LS[[#This Row],[BO Transfer]]="YES",LS[[#This Row],[Unit]],)</f>
        <v>0</v>
      </c>
      <c r="X702" s="3">
        <f>SUMIFS(LS[[#Headers],[BO UNIT TRANSFER]]:LS[[#This Row],[BO UNIT TRANSFER]],LS[[#Headers],[Investor ID]]:LS[[#This Row],[Investor ID]],LS[[#This Row],[Investor ID]])</f>
        <v>0</v>
      </c>
    </row>
    <row r="703" spans="2:24">
      <c r="B703" s="8">
        <v>2026</v>
      </c>
      <c r="C703" s="8">
        <v>2</v>
      </c>
      <c r="D703" s="8">
        <v>16</v>
      </c>
      <c r="E703" s="291">
        <f>DATE(LS[[#This Row],[Year]],LS[[#This Row],[Month]],LS[[#This Row],[Day]])</f>
        <v>46069</v>
      </c>
      <c r="F703" t="str" cm="1">
        <f t="array" ref="F703">INDEX(INVESTORS_LIST[INVESTOR NAME],MATCH(LS[[#This Row],[Investor ID]],INVESTORS_LIST[INVESTOR CODE],0),)</f>
        <v>MD. WALI ULLAH</v>
      </c>
      <c r="G703" s="25" t="s">
        <v>236</v>
      </c>
      <c r="H703" s="8">
        <f>COUNTIF(LS[[#Headers],[Investor ID]]:LS[[#This Row],[Investor ID]],LS[[#This Row],[Investor ID]])</f>
        <v>4</v>
      </c>
      <c r="I703" s="8" t="str">
        <f>CONCATENATE(LS[[#This Row],[Frequency]],LS[[#This Row],[Investor ID]])</f>
        <v>4A00197</v>
      </c>
      <c r="J703" s="8" t="str">
        <f>IF(LS[[#This Row],[B/S]]="B","BUY",(IF(LS[[#This Row],[B/S]]="S","SELL"," ")))</f>
        <v>BUY</v>
      </c>
      <c r="K703" s="8" t="s">
        <v>301</v>
      </c>
      <c r="L703" s="3">
        <v>3719.7999999999997</v>
      </c>
      <c r="M703" s="3"/>
      <c r="N703" s="216">
        <f>LS[[#This Row],[Amount]]/LS[[#This Row],[Unit]]</f>
        <v>13.190780141843971</v>
      </c>
      <c r="O703" s="1">
        <f t="shared" si="142"/>
        <v>282</v>
      </c>
      <c r="P703" s="1">
        <f>SUMIFS(LS[[#Headers],[Unit]]:LS[[#This Row],[Unit]],LS[[#Headers],[Investor ID]]:LS[[#This Row],[Investor ID]],LS[[#This Row],[Investor ID]])</f>
        <v>10910</v>
      </c>
      <c r="Q703" s="3">
        <f>ROUND(LS[[#This Row],[Amount]]/13.196,0)*10</f>
        <v>2820</v>
      </c>
      <c r="R703" s="6">
        <f>LS[[#This Row],[Amount]]-LS[[#This Row],[Unit Capital]]</f>
        <v>899.79999999999973</v>
      </c>
      <c r="S70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10.099596700274978</v>
      </c>
      <c r="T703" s="216">
        <f t="shared" si="143"/>
        <v>12.552</v>
      </c>
      <c r="U70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03" s="3" cm="1">
        <f t="array" ref="V703">IF(LS[[#This Row],[B/S]]="S",ABS(LS[[#This Row],[Unit]])*(INDEX(LS[NAV at Cost (Average)],MATCH(CONCATENATE((LS[[#This Row],[Frequency]]-1),LS[[#This Row],[Investor ID]]),LS[Unique Code],0),0)),0)</f>
        <v>0</v>
      </c>
      <c r="W703" s="3">
        <f>IF(LS[[#This Row],[BO Transfer]]="YES",LS[[#This Row],[Unit]],)</f>
        <v>0</v>
      </c>
      <c r="X703" s="3">
        <f>SUMIFS(LS[[#Headers],[BO UNIT TRANSFER]]:LS[[#This Row],[BO UNIT TRANSFER]],LS[[#Headers],[Investor ID]]:LS[[#This Row],[Investor ID]],LS[[#This Row],[Investor ID]])</f>
        <v>0</v>
      </c>
    </row>
    <row r="704" spans="2:24">
      <c r="B704" s="8">
        <v>2026</v>
      </c>
      <c r="C704" s="8">
        <v>2</v>
      </c>
      <c r="D704" s="8">
        <v>16</v>
      </c>
      <c r="E704" s="291">
        <f>DATE(LS[[#This Row],[Year]],LS[[#This Row],[Month]],LS[[#This Row],[Day]])</f>
        <v>46069</v>
      </c>
      <c r="F704" t="str" cm="1">
        <f t="array" ref="F704">INDEX(INVESTORS_LIST[INVESTOR NAME],MATCH(LS[[#This Row],[Investor ID]],INVESTORS_LIST[INVESTOR CODE],0),)</f>
        <v>MD. NIAZ MURSHED</v>
      </c>
      <c r="G704" s="25" t="s">
        <v>238</v>
      </c>
      <c r="H704" s="8">
        <f>COUNTIF(LS[[#Headers],[Investor ID]]:LS[[#This Row],[Investor ID]],LS[[#This Row],[Investor ID]])</f>
        <v>9</v>
      </c>
      <c r="I704" s="8" t="str">
        <f>CONCATENATE(LS[[#This Row],[Frequency]],LS[[#This Row],[Investor ID]])</f>
        <v>9A00198</v>
      </c>
      <c r="J704" s="8" t="str">
        <f>IF(LS[[#This Row],[B/S]]="B","BUY",(IF(LS[[#This Row],[B/S]]="S","SELL"," ")))</f>
        <v>BUY</v>
      </c>
      <c r="K704" s="8" t="s">
        <v>301</v>
      </c>
      <c r="L704" s="3">
        <v>5537.3499999999995</v>
      </c>
      <c r="M704" s="3"/>
      <c r="N704" s="216">
        <f>LS[[#This Row],[Amount]]/LS[[#This Row],[Unit]]</f>
        <v>13.184166666666666</v>
      </c>
      <c r="O704" s="1">
        <f t="shared" si="142"/>
        <v>420</v>
      </c>
      <c r="P704" s="1">
        <f>SUMIFS(LS[[#Headers],[Unit]]:LS[[#This Row],[Unit]],LS[[#Headers],[Investor ID]]:LS[[#This Row],[Investor ID]],LS[[#This Row],[Investor ID]])</f>
        <v>16241</v>
      </c>
      <c r="Q704" s="3">
        <f>ROUND(LS[[#This Row],[Amount]]/13.196,0)*10</f>
        <v>4200</v>
      </c>
      <c r="R704" s="6">
        <f>LS[[#This Row],[Amount]]-LS[[#This Row],[Unit Capital]]</f>
        <v>1337.3499999999995</v>
      </c>
      <c r="S70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9.9364277601766986</v>
      </c>
      <c r="T704" s="216">
        <f t="shared" si="143"/>
        <v>12.552</v>
      </c>
      <c r="U70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04" s="3" cm="1">
        <f t="array" ref="V704">IF(LS[[#This Row],[B/S]]="S",ABS(LS[[#This Row],[Unit]])*(INDEX(LS[NAV at Cost (Average)],MATCH(CONCATENATE((LS[[#This Row],[Frequency]]-1),LS[[#This Row],[Investor ID]]),LS[Unique Code],0),0)),0)</f>
        <v>0</v>
      </c>
      <c r="W704" s="3">
        <f>IF(LS[[#This Row],[BO Transfer]]="YES",LS[[#This Row],[Unit]],)</f>
        <v>0</v>
      </c>
      <c r="X704" s="3">
        <f>SUMIFS(LS[[#Headers],[BO UNIT TRANSFER]]:LS[[#This Row],[BO UNIT TRANSFER]],LS[[#Headers],[Investor ID]]:LS[[#This Row],[Investor ID]],LS[[#This Row],[Investor ID]])</f>
        <v>0</v>
      </c>
    </row>
    <row r="705" spans="2:24">
      <c r="B705" s="8">
        <v>2026</v>
      </c>
      <c r="C705" s="8">
        <v>2</v>
      </c>
      <c r="D705" s="8">
        <v>16</v>
      </c>
      <c r="E705" s="291">
        <f>DATE(LS[[#This Row],[Year]],LS[[#This Row],[Month]],LS[[#This Row],[Day]])</f>
        <v>46069</v>
      </c>
      <c r="F705" t="str" cm="1">
        <f t="array" ref="F705">INDEX(INVESTORS_LIST[INVESTOR NAME],MATCH(LS[[#This Row],[Investor ID]],INVESTORS_LIST[INVESTOR CODE],0),)</f>
        <v>BIJOY CHANDRA DAS</v>
      </c>
      <c r="G705" s="25" t="s">
        <v>305</v>
      </c>
      <c r="H705" s="8">
        <f>COUNTIF(LS[[#Headers],[Investor ID]]:LS[[#This Row],[Investor ID]],LS[[#This Row],[Investor ID]])</f>
        <v>4</v>
      </c>
      <c r="I705" s="8" t="str">
        <f>CONCATENATE(LS[[#This Row],[Frequency]],LS[[#This Row],[Investor ID]])</f>
        <v>4A00224</v>
      </c>
      <c r="J705" s="8" t="str">
        <f>IF(LS[[#This Row],[B/S]]="B","BUY",(IF(LS[[#This Row],[B/S]]="S","SELL"," ")))</f>
        <v>BUY</v>
      </c>
      <c r="K705" s="8" t="s">
        <v>301</v>
      </c>
      <c r="L705" s="3">
        <v>3732.7499999999995</v>
      </c>
      <c r="M705" s="3" t="s">
        <v>957</v>
      </c>
      <c r="N705" s="216">
        <f>LS[[#This Row],[Amount]]/LS[[#This Row],[Unit]]</f>
        <v>13.189929328621906</v>
      </c>
      <c r="O705" s="1">
        <f t="shared" si="142"/>
        <v>283</v>
      </c>
      <c r="P705" s="1">
        <f>SUMIFS(LS[[#Headers],[Unit]]:LS[[#This Row],[Unit]],LS[[#Headers],[Investor ID]]:LS[[#This Row],[Investor ID]],LS[[#This Row],[Investor ID]])</f>
        <v>10948</v>
      </c>
      <c r="Q705" s="3">
        <f>ROUND(LS[[#This Row],[Amount]]/13.196,0)*10</f>
        <v>2830</v>
      </c>
      <c r="R705" s="6">
        <f>LS[[#This Row],[Amount]]-LS[[#This Row],[Unit Capital]]</f>
        <v>902.74999999999955</v>
      </c>
      <c r="S70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10.100963646328095</v>
      </c>
      <c r="T705" s="216">
        <f t="shared" si="143"/>
        <v>12.552</v>
      </c>
      <c r="U70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05" s="3" cm="1">
        <f t="array" ref="V705">IF(LS[[#This Row],[B/S]]="S",ABS(LS[[#This Row],[Unit]])*(INDEX(LS[NAV at Cost (Average)],MATCH(CONCATENATE((LS[[#This Row],[Frequency]]-1),LS[[#This Row],[Investor ID]]),LS[Unique Code],0),0)),0)</f>
        <v>0</v>
      </c>
      <c r="W705" s="3">
        <f>IF(LS[[#This Row],[BO Transfer]]="YES",LS[[#This Row],[Unit]],)</f>
        <v>283</v>
      </c>
      <c r="X705" s="3">
        <f>SUMIFS(LS[[#Headers],[BO UNIT TRANSFER]]:LS[[#This Row],[BO UNIT TRANSFER]],LS[[#Headers],[Investor ID]]:LS[[#This Row],[Investor ID]],LS[[#This Row],[Investor ID]])</f>
        <v>948</v>
      </c>
    </row>
    <row r="706" spans="2:24">
      <c r="B706" s="8">
        <v>2026</v>
      </c>
      <c r="C706" s="8">
        <v>2</v>
      </c>
      <c r="D706" s="8">
        <v>16</v>
      </c>
      <c r="E706" s="291">
        <f>DATE(LS[[#This Row],[Year]],LS[[#This Row],[Month]],LS[[#This Row],[Day]])</f>
        <v>46069</v>
      </c>
      <c r="F706" t="str" cm="1">
        <f t="array" ref="F706">INDEX(INVESTORS_LIST[INVESTOR NAME],MATCH(LS[[#This Row],[Investor ID]],INVESTORS_LIST[INVESTOR CODE],0),)</f>
        <v>SHANTA PAUL</v>
      </c>
      <c r="G706" s="25" t="s">
        <v>351</v>
      </c>
      <c r="H706" s="8">
        <f>COUNTIF(LS[[#Headers],[Investor ID]]:LS[[#This Row],[Investor ID]],LS[[#This Row],[Investor ID]])</f>
        <v>3</v>
      </c>
      <c r="I706" s="8" t="str">
        <f>CONCATENATE(LS[[#This Row],[Frequency]],LS[[#This Row],[Investor ID]])</f>
        <v>3A00247</v>
      </c>
      <c r="J706" s="8" t="str">
        <f>IF(LS[[#This Row],[B/S]]="B","BUY",(IF(LS[[#This Row],[B/S]]="S","SELL"," ")))</f>
        <v>BUY</v>
      </c>
      <c r="K706" s="8" t="s">
        <v>301</v>
      </c>
      <c r="L706" s="3">
        <v>35799.399999999994</v>
      </c>
      <c r="M706" s="3"/>
      <c r="N706" s="216">
        <f>LS[[#This Row],[Amount]]/LS[[#This Row],[Unit]]</f>
        <v>13.195503133063028</v>
      </c>
      <c r="O706" s="1">
        <f t="shared" si="142"/>
        <v>2713</v>
      </c>
      <c r="P706" s="1">
        <f>SUMIFS(LS[[#Headers],[Unit]]:LS[[#This Row],[Unit]],LS[[#Headers],[Investor ID]]:LS[[#This Row],[Investor ID]],LS[[#This Row],[Investor ID]])</f>
        <v>104997</v>
      </c>
      <c r="Q706" s="3">
        <f>ROUND(LS[[#This Row],[Amount]]/13.196,0)*10</f>
        <v>27130</v>
      </c>
      <c r="R706" s="6">
        <f>LS[[#This Row],[Amount]]-LS[[#This Row],[Unit Capital]]</f>
        <v>8669.3999999999942</v>
      </c>
      <c r="S70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10.079329885615779</v>
      </c>
      <c r="T706" s="216">
        <f t="shared" si="143"/>
        <v>12.552</v>
      </c>
      <c r="U70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06" s="3" cm="1">
        <f t="array" ref="V706">IF(LS[[#This Row],[B/S]]="S",ABS(LS[[#This Row],[Unit]])*(INDEX(LS[NAV at Cost (Average)],MATCH(CONCATENATE((LS[[#This Row],[Frequency]]-1),LS[[#This Row],[Investor ID]]),LS[Unique Code],0),0)),0)</f>
        <v>0</v>
      </c>
      <c r="W706" s="3">
        <f>IF(LS[[#This Row],[BO Transfer]]="YES",LS[[#This Row],[Unit]],)</f>
        <v>0</v>
      </c>
      <c r="X706" s="3">
        <f>SUMIFS(LS[[#Headers],[BO UNIT TRANSFER]]:LS[[#This Row],[BO UNIT TRANSFER]],LS[[#Headers],[Investor ID]]:LS[[#This Row],[Investor ID]],LS[[#This Row],[Investor ID]])</f>
        <v>0</v>
      </c>
    </row>
    <row r="707" spans="2:24">
      <c r="B707" s="8">
        <v>2026</v>
      </c>
      <c r="C707" s="8">
        <v>2</v>
      </c>
      <c r="D707" s="8">
        <v>16</v>
      </c>
      <c r="E707" s="291">
        <f>DATE(LS[[#This Row],[Year]],LS[[#This Row],[Month]],LS[[#This Row],[Day]])</f>
        <v>46069</v>
      </c>
      <c r="F707" t="str" cm="1">
        <f t="array" ref="F707">INDEX(INVESTORS_LIST[INVESTOR NAME],MATCH(LS[[#This Row],[Investor ID]],INVESTORS_LIST[INVESTOR CODE],0),)</f>
        <v>ANJAN MALLIK</v>
      </c>
      <c r="G707" s="25" t="s">
        <v>353</v>
      </c>
      <c r="H707" s="8">
        <f>COUNTIF(LS[[#Headers],[Investor ID]]:LS[[#This Row],[Investor ID]],LS[[#This Row],[Investor ID]])</f>
        <v>4</v>
      </c>
      <c r="I707" s="8" t="str">
        <f>CONCATENATE(LS[[#This Row],[Frequency]],LS[[#This Row],[Investor ID]])</f>
        <v>4A00248</v>
      </c>
      <c r="J707" s="8" t="str">
        <f>IF(LS[[#This Row],[B/S]]="B","BUY",(IF(LS[[#This Row],[B/S]]="S","SELL"," ")))</f>
        <v>BUY</v>
      </c>
      <c r="K707" s="8" t="s">
        <v>301</v>
      </c>
      <c r="L707" s="3">
        <v>93320.849999999991</v>
      </c>
      <c r="M707" s="3"/>
      <c r="N707" s="216">
        <f>LS[[#This Row],[Amount]]/LS[[#This Row],[Unit]]</f>
        <v>13.195821549773754</v>
      </c>
      <c r="O707" s="1">
        <f t="shared" si="142"/>
        <v>7072</v>
      </c>
      <c r="P707" s="1">
        <f>SUMIFS(LS[[#Headers],[Unit]]:LS[[#This Row],[Unit]],LS[[#Headers],[Investor ID]]:LS[[#This Row],[Investor ID]],LS[[#This Row],[Investor ID]])</f>
        <v>273703</v>
      </c>
      <c r="Q707" s="3">
        <f>ROUND(LS[[#This Row],[Amount]]/13.196,0)*10</f>
        <v>70720</v>
      </c>
      <c r="R707" s="6">
        <f>LS[[#This Row],[Amount]]-LS[[#This Row],[Unit Capital]]</f>
        <v>22600.849999999991</v>
      </c>
      <c r="S70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10.100877045556683</v>
      </c>
      <c r="T707" s="216">
        <f t="shared" si="143"/>
        <v>12.552</v>
      </c>
      <c r="U70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07" s="3" cm="1">
        <f t="array" ref="V707">IF(LS[[#This Row],[B/S]]="S",ABS(LS[[#This Row],[Unit]])*(INDEX(LS[NAV at Cost (Average)],MATCH(CONCATENATE((LS[[#This Row],[Frequency]]-1),LS[[#This Row],[Investor ID]]),LS[Unique Code],0),0)),0)</f>
        <v>0</v>
      </c>
      <c r="W707" s="3">
        <f>IF(LS[[#This Row],[BO Transfer]]="YES",LS[[#This Row],[Unit]],)</f>
        <v>0</v>
      </c>
      <c r="X707" s="3">
        <f>SUMIFS(LS[[#Headers],[BO UNIT TRANSFER]]:LS[[#This Row],[BO UNIT TRANSFER]],LS[[#Headers],[Investor ID]]:LS[[#This Row],[Investor ID]],LS[[#This Row],[Investor ID]])</f>
        <v>0</v>
      </c>
    </row>
    <row r="708" spans="2:24">
      <c r="B708" s="8">
        <v>2026</v>
      </c>
      <c r="C708" s="8">
        <v>2</v>
      </c>
      <c r="D708" s="8">
        <v>16</v>
      </c>
      <c r="E708" s="291">
        <f>DATE(LS[[#This Row],[Year]],LS[[#This Row],[Month]],LS[[#This Row],[Day]])</f>
        <v>46069</v>
      </c>
      <c r="F708" t="str" cm="1">
        <f t="array" ref="F708">INDEX(INVESTORS_LIST[INVESTOR NAME],MATCH(LS[[#This Row],[Investor ID]],INVESTORS_LIST[INVESTOR CODE],0),)</f>
        <v>TANVIR HASAN</v>
      </c>
      <c r="G708" s="25" t="s">
        <v>368</v>
      </c>
      <c r="H708" s="8">
        <f>COUNTIF(LS[[#Headers],[Investor ID]]:LS[[#This Row],[Investor ID]],LS[[#This Row],[Investor ID]])</f>
        <v>2</v>
      </c>
      <c r="I708" s="8" t="str">
        <f>CONCATENATE(LS[[#This Row],[Frequency]],LS[[#This Row],[Investor ID]])</f>
        <v>2A00256</v>
      </c>
      <c r="J708" s="8" t="str">
        <f>IF(LS[[#This Row],[B/S]]="B","BUY",(IF(LS[[#This Row],[B/S]]="S","SELL"," ")))</f>
        <v>BUY</v>
      </c>
      <c r="K708" s="8" t="s">
        <v>301</v>
      </c>
      <c r="L708" s="3">
        <v>8508.85</v>
      </c>
      <c r="M708" s="3" t="s">
        <v>957</v>
      </c>
      <c r="N708" s="216">
        <f>LS[[#This Row],[Amount]]/LS[[#This Row],[Unit]]</f>
        <v>13.19201550387597</v>
      </c>
      <c r="O708" s="1">
        <f t="shared" si="142"/>
        <v>645</v>
      </c>
      <c r="P708" s="1">
        <f>SUMIFS(LS[[#Headers],[Unit]]:LS[[#This Row],[Unit]],LS[[#Headers],[Investor ID]]:LS[[#This Row],[Investor ID]],LS[[#This Row],[Investor ID]])</f>
        <v>24956</v>
      </c>
      <c r="Q708" s="3">
        <f>ROUND(LS[[#This Row],[Amount]]/13.196,0)*10</f>
        <v>6450</v>
      </c>
      <c r="R708" s="6">
        <f>LS[[#This Row],[Amount]]-LS[[#This Row],[Unit Capital]]</f>
        <v>2058.8500000000004</v>
      </c>
      <c r="S70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12.362111315916014</v>
      </c>
      <c r="T708" s="216">
        <f t="shared" si="143"/>
        <v>12.552</v>
      </c>
      <c r="U70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08" s="3" cm="1">
        <f t="array" ref="V708">IF(LS[[#This Row],[B/S]]="S",ABS(LS[[#This Row],[Unit]])*(INDEX(LS[NAV at Cost (Average)],MATCH(CONCATENATE((LS[[#This Row],[Frequency]]-1),LS[[#This Row],[Investor ID]]),LS[Unique Code],0),0)),0)</f>
        <v>0</v>
      </c>
      <c r="W708" s="3">
        <f>IF(LS[[#This Row],[BO Transfer]]="YES",LS[[#This Row],[Unit]],)</f>
        <v>645</v>
      </c>
      <c r="X708" s="3">
        <f>SUMIFS(LS[[#Headers],[BO UNIT TRANSFER]]:LS[[#This Row],[BO UNIT TRANSFER]],LS[[#Headers],[Investor ID]]:LS[[#This Row],[Investor ID]],LS[[#This Row],[Investor ID]])</f>
        <v>24956</v>
      </c>
    </row>
    <row r="709" spans="2:24">
      <c r="B709" s="8">
        <v>2026</v>
      </c>
      <c r="C709" s="8">
        <v>2</v>
      </c>
      <c r="D709" s="8">
        <v>16</v>
      </c>
      <c r="E709" s="291">
        <f>DATE(LS[[#This Row],[Year]],LS[[#This Row],[Month]],LS[[#This Row],[Day]])</f>
        <v>46069</v>
      </c>
      <c r="F709" t="str" cm="1">
        <f t="array" ref="F709">INDEX(INVESTORS_LIST[INVESTOR NAME],MATCH(LS[[#This Row],[Investor ID]],INVESTORS_LIST[INVESTOR CODE],0),)</f>
        <v>NAUSHEEN AHMED</v>
      </c>
      <c r="G709" s="25" t="s">
        <v>393</v>
      </c>
      <c r="H709" s="8">
        <f>COUNTIF(LS[[#Headers],[Investor ID]]:LS[[#This Row],[Investor ID]],LS[[#This Row],[Investor ID]])</f>
        <v>2</v>
      </c>
      <c r="I709" s="8" t="str">
        <f>CONCATENATE(LS[[#This Row],[Frequency]],LS[[#This Row],[Investor ID]])</f>
        <v>2A00268</v>
      </c>
      <c r="J709" s="8" t="str">
        <f>IF(LS[[#This Row],[B/S]]="B","BUY",(IF(LS[[#This Row],[B/S]]="S","SELL"," ")))</f>
        <v>BUY</v>
      </c>
      <c r="K709" s="8" t="s">
        <v>301</v>
      </c>
      <c r="L709" s="3">
        <v>18933.25</v>
      </c>
      <c r="M709" s="3"/>
      <c r="N709" s="216">
        <f>LS[[#This Row],[Amount]]/LS[[#This Row],[Unit]]</f>
        <v>13.19390243902439</v>
      </c>
      <c r="O709" s="1">
        <f t="shared" si="142"/>
        <v>1435</v>
      </c>
      <c r="P709" s="1">
        <f>SUMIFS(LS[[#Headers],[Unit]]:LS[[#This Row],[Unit]],LS[[#Headers],[Investor ID]]:LS[[#This Row],[Investor ID]],LS[[#This Row],[Investor ID]])</f>
        <v>55530</v>
      </c>
      <c r="Q709" s="3">
        <f>ROUND(LS[[#This Row],[Amount]]/13.196,0)*10</f>
        <v>14350</v>
      </c>
      <c r="R709" s="6">
        <f>LS[[#This Row],[Amount]]-LS[[#This Row],[Unit Capital]]</f>
        <v>4583.25</v>
      </c>
      <c r="S70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12.36211507293355</v>
      </c>
      <c r="T709" s="216">
        <f t="shared" si="143"/>
        <v>12.552</v>
      </c>
      <c r="U70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09" s="3" cm="1">
        <f t="array" ref="V709">IF(LS[[#This Row],[B/S]]="S",ABS(LS[[#This Row],[Unit]])*(INDEX(LS[NAV at Cost (Average)],MATCH(CONCATENATE((LS[[#This Row],[Frequency]]-1),LS[[#This Row],[Investor ID]]),LS[Unique Code],0),0)),0)</f>
        <v>0</v>
      </c>
      <c r="W709" s="3">
        <f>IF(LS[[#This Row],[BO Transfer]]="YES",LS[[#This Row],[Unit]],)</f>
        <v>0</v>
      </c>
      <c r="X709" s="3">
        <f>SUMIFS(LS[[#Headers],[BO UNIT TRANSFER]]:LS[[#This Row],[BO UNIT TRANSFER]],LS[[#Headers],[Investor ID]]:LS[[#This Row],[Investor ID]],LS[[#This Row],[Investor ID]])</f>
        <v>0</v>
      </c>
    </row>
    <row r="710" spans="2:24">
      <c r="B710" s="8">
        <v>2026</v>
      </c>
      <c r="C710" s="8">
        <v>2</v>
      </c>
      <c r="D710" s="8">
        <v>16</v>
      </c>
      <c r="E710" s="291">
        <f>DATE(LS[[#This Row],[Year]],LS[[#This Row],[Month]],LS[[#This Row],[Day]])</f>
        <v>46069</v>
      </c>
      <c r="F710" t="str" cm="1">
        <f t="array" ref="F710">INDEX(INVESTORS_LIST[INVESTOR NAME],MATCH(LS[[#This Row],[Investor ID]],INVESTORS_LIST[INVESTOR CODE],0),)</f>
        <v>SAILENDRA SAHA</v>
      </c>
      <c r="G710" s="25" t="s">
        <v>581</v>
      </c>
      <c r="H710" s="8">
        <f>COUNTIF(LS[[#Headers],[Investor ID]]:LS[[#This Row],[Investor ID]],LS[[#This Row],[Investor ID]])</f>
        <v>4</v>
      </c>
      <c r="I710" s="8" t="str">
        <f>CONCATENATE(LS[[#This Row],[Frequency]],LS[[#This Row],[Investor ID]])</f>
        <v>4A00328</v>
      </c>
      <c r="J710" s="8" t="str">
        <f>IF(LS[[#This Row],[B/S]]="B","BUY",(IF(LS[[#This Row],[B/S]]="S","SELL"," ")))</f>
        <v>BUY</v>
      </c>
      <c r="K710" s="8" t="s">
        <v>301</v>
      </c>
      <c r="L710" s="3">
        <v>14931.349999999999</v>
      </c>
      <c r="M710" s="3"/>
      <c r="N710" s="216">
        <f>LS[[#This Row],[Amount]]/LS[[#This Row],[Unit]]</f>
        <v>13.19023851590106</v>
      </c>
      <c r="O710" s="1">
        <f t="shared" si="142"/>
        <v>1132</v>
      </c>
      <c r="P710" s="1">
        <f>SUMIFS(LS[[#Headers],[Unit]]:LS[[#This Row],[Unit]],LS[[#Headers],[Investor ID]]:LS[[#This Row],[Investor ID]],LS[[#This Row],[Investor ID]])</f>
        <v>43793</v>
      </c>
      <c r="Q710" s="3">
        <f>ROUND(LS[[#This Row],[Amount]]/13.196,0)*10</f>
        <v>11320</v>
      </c>
      <c r="R710" s="6">
        <f>LS[[#This Row],[Amount]]-LS[[#This Row],[Unit Capital]]</f>
        <v>3611.3499999999985</v>
      </c>
      <c r="S71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10.100761537231978</v>
      </c>
      <c r="T710" s="216">
        <f t="shared" si="143"/>
        <v>12.552</v>
      </c>
      <c r="U71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10" s="3" cm="1">
        <f t="array" ref="V710">IF(LS[[#This Row],[B/S]]="S",ABS(LS[[#This Row],[Unit]])*(INDEX(LS[NAV at Cost (Average)],MATCH(CONCATENATE((LS[[#This Row],[Frequency]]-1),LS[[#This Row],[Investor ID]]),LS[Unique Code],0),0)),0)</f>
        <v>0</v>
      </c>
      <c r="W710" s="3">
        <f>IF(LS[[#This Row],[BO Transfer]]="YES",LS[[#This Row],[Unit]],)</f>
        <v>0</v>
      </c>
      <c r="X710" s="3">
        <f>SUMIFS(LS[[#Headers],[BO UNIT TRANSFER]]:LS[[#This Row],[BO UNIT TRANSFER]],LS[[#Headers],[Investor ID]]:LS[[#This Row],[Investor ID]],LS[[#This Row],[Investor ID]])</f>
        <v>0</v>
      </c>
    </row>
    <row r="711" spans="2:24">
      <c r="B711" s="8">
        <v>2026</v>
      </c>
      <c r="C711" s="8">
        <v>2</v>
      </c>
      <c r="D711" s="8">
        <v>16</v>
      </c>
      <c r="E711" s="291">
        <f>DATE(LS[[#This Row],[Year]],LS[[#This Row],[Month]],LS[[#This Row],[Day]])</f>
        <v>46069</v>
      </c>
      <c r="F711" t="str" cm="1">
        <f t="array" ref="F711">INDEX(INVESTORS_LIST[INVESTOR NAME],MATCH(LS[[#This Row],[Investor ID]],INVESTORS_LIST[INVESTOR CODE],0),)</f>
        <v>MD. GOLAM MORTAZA</v>
      </c>
      <c r="G711" s="25" t="s">
        <v>593</v>
      </c>
      <c r="H711" s="8">
        <f>COUNTIF(LS[[#Headers],[Investor ID]]:LS[[#This Row],[Investor ID]],LS[[#This Row],[Investor ID]])</f>
        <v>2</v>
      </c>
      <c r="I711" s="8" t="str">
        <f>CONCATENATE(LS[[#This Row],[Frequency]],LS[[#This Row],[Investor ID]])</f>
        <v>2A00333</v>
      </c>
      <c r="J711" s="8" t="str">
        <f>IF(LS[[#This Row],[B/S]]="B","BUY",(IF(LS[[#This Row],[B/S]]="S","SELL"," ")))</f>
        <v>BUY</v>
      </c>
      <c r="K711" s="8" t="s">
        <v>301</v>
      </c>
      <c r="L711" s="3">
        <v>17500</v>
      </c>
      <c r="M711" s="3" t="s">
        <v>957</v>
      </c>
      <c r="N711" s="216">
        <f>LS[[#This Row],[Amount]]/LS[[#This Row],[Unit]]</f>
        <v>13.197586726998491</v>
      </c>
      <c r="O711" s="1">
        <f>Q711/10</f>
        <v>1326</v>
      </c>
      <c r="P711" s="1">
        <f>SUMIFS(LS[[#Headers],[Unit]]:LS[[#This Row],[Unit]],LS[[#Headers],[Investor ID]]:LS[[#This Row],[Investor ID]],LS[[#This Row],[Investor ID]])</f>
        <v>51326</v>
      </c>
      <c r="Q711" s="3">
        <f>ROUND(LS[[#This Row],[Amount]]/13.196,0)*10</f>
        <v>13260</v>
      </c>
      <c r="R711" s="6">
        <f>LS[[#This Row],[Amount]]-LS[[#This Row],[Unit Capital]]</f>
        <v>4240</v>
      </c>
      <c r="S71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10.082609203912247</v>
      </c>
      <c r="T711" s="216">
        <f>IFERROR(NAV_MKT,0)</f>
        <v>12.552</v>
      </c>
      <c r="U71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11" s="3" cm="1">
        <f t="array" ref="V711">IF(LS[[#This Row],[B/S]]="S",ABS(LS[[#This Row],[Unit]])*(INDEX(LS[NAV at Cost (Average)],MATCH(CONCATENATE((LS[[#This Row],[Frequency]]-1),LS[[#This Row],[Investor ID]]),LS[Unique Code],0),0)),0)</f>
        <v>0</v>
      </c>
      <c r="W711" s="3">
        <f>IF(LS[[#This Row],[BO Transfer]]="YES",LS[[#This Row],[Unit]],)</f>
        <v>1326</v>
      </c>
      <c r="X711" s="3">
        <f>SUMIFS(LS[[#Headers],[BO UNIT TRANSFER]]:LS[[#This Row],[BO UNIT TRANSFER]],LS[[#Headers],[Investor ID]]:LS[[#This Row],[Investor ID]],LS[[#This Row],[Investor ID]])</f>
        <v>1326</v>
      </c>
    </row>
    <row r="712" spans="2:24">
      <c r="B712" s="8">
        <v>2026</v>
      </c>
      <c r="C712" s="8">
        <v>2</v>
      </c>
      <c r="D712" s="8">
        <v>16</v>
      </c>
      <c r="E712" s="291">
        <f>DATE(LS[[#This Row],[Year]],LS[[#This Row],[Month]],LS[[#This Row],[Day]])</f>
        <v>46069</v>
      </c>
      <c r="F712" t="str" cm="1">
        <f t="array" ref="F712">INDEX(INVESTORS_LIST[INVESTOR NAME],MATCH(LS[[#This Row],[Investor ID]],INVESTORS_LIST[INVESTOR CODE],0),)</f>
        <v>BIPLAB SAHA</v>
      </c>
      <c r="G712" s="25" t="s">
        <v>598</v>
      </c>
      <c r="H712" s="8">
        <f>COUNTIF(LS[[#Headers],[Investor ID]]:LS[[#This Row],[Investor ID]],LS[[#This Row],[Investor ID]])</f>
        <v>5</v>
      </c>
      <c r="I712" s="8" t="str">
        <f>CONCATENATE(LS[[#This Row],[Frequency]],LS[[#This Row],[Investor ID]])</f>
        <v>5A00336</v>
      </c>
      <c r="J712" s="8" t="str">
        <f>IF(LS[[#This Row],[B/S]]="B","BUY",(IF(LS[[#This Row],[B/S]]="S","SELL"," ")))</f>
        <v>BUY</v>
      </c>
      <c r="K712" s="8" t="s">
        <v>301</v>
      </c>
      <c r="L712" s="3">
        <v>44692.2</v>
      </c>
      <c r="M712" s="3"/>
      <c r="N712" s="216">
        <f>LS[[#This Row],[Amount]]/LS[[#This Row],[Unit]]</f>
        <v>13.195217006200176</v>
      </c>
      <c r="O712" s="1">
        <f t="shared" si="142"/>
        <v>3387</v>
      </c>
      <c r="P712" s="1">
        <f>SUMIFS(LS[[#Headers],[Unit]]:LS[[#This Row],[Unit]],LS[[#Headers],[Investor ID]]:LS[[#This Row],[Investor ID]],LS[[#This Row],[Investor ID]])</f>
        <v>131079</v>
      </c>
      <c r="Q712" s="3">
        <f>ROUND(LS[[#This Row],[Amount]]/13.196,0)*10</f>
        <v>33870</v>
      </c>
      <c r="R712" s="6">
        <f>LS[[#This Row],[Amount]]-LS[[#This Row],[Unit Capital]]</f>
        <v>10822.199999999997</v>
      </c>
      <c r="S71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10.088245409257013</v>
      </c>
      <c r="T712" s="216">
        <f t="shared" si="143"/>
        <v>12.552</v>
      </c>
      <c r="U71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12" s="3" cm="1">
        <f t="array" ref="V712">IF(LS[[#This Row],[B/S]]="S",ABS(LS[[#This Row],[Unit]])*(INDEX(LS[NAV at Cost (Average)],MATCH(CONCATENATE((LS[[#This Row],[Frequency]]-1),LS[[#This Row],[Investor ID]]),LS[Unique Code],0),0)),0)</f>
        <v>0</v>
      </c>
      <c r="W712" s="3">
        <f>IF(LS[[#This Row],[BO Transfer]]="YES",LS[[#This Row],[Unit]],)</f>
        <v>0</v>
      </c>
      <c r="X712" s="3">
        <f>SUMIFS(LS[[#Headers],[BO UNIT TRANSFER]]:LS[[#This Row],[BO UNIT TRANSFER]],LS[[#Headers],[Investor ID]]:LS[[#This Row],[Investor ID]],LS[[#This Row],[Investor ID]])</f>
        <v>0</v>
      </c>
    </row>
    <row r="713" spans="2:24">
      <c r="B713" s="8">
        <v>2026</v>
      </c>
      <c r="C713" s="8">
        <v>2</v>
      </c>
      <c r="D713" s="8">
        <v>16</v>
      </c>
      <c r="E713" s="291">
        <f>DATE(LS[[#This Row],[Year]],LS[[#This Row],[Month]],LS[[#This Row],[Day]])</f>
        <v>46069</v>
      </c>
      <c r="F713" t="str" cm="1">
        <f t="array" ref="F713">INDEX(INVESTORS_LIST[INVESTOR NAME],MATCH(LS[[#This Row],[Investor ID]],INVESTORS_LIST[INVESTOR CODE],0),)</f>
        <v>NEXXEN EQUITY MANAGEMENT LIMITED</v>
      </c>
      <c r="G713" s="25" t="s">
        <v>639</v>
      </c>
      <c r="H713" s="8">
        <f>COUNTIF(LS[[#Headers],[Investor ID]]:LS[[#This Row],[Investor ID]],LS[[#This Row],[Investor ID]])</f>
        <v>2</v>
      </c>
      <c r="I713" s="8" t="str">
        <f>CONCATENATE(LS[[#This Row],[Frequency]],LS[[#This Row],[Investor ID]])</f>
        <v>2A00346</v>
      </c>
      <c r="J713" s="8" t="str">
        <f>IF(LS[[#This Row],[B/S]]="B","BUY",(IF(LS[[#This Row],[B/S]]="S","SELL"," ")))</f>
        <v>BUY</v>
      </c>
      <c r="K713" s="8" t="s">
        <v>301</v>
      </c>
      <c r="L713" s="3">
        <v>70000</v>
      </c>
      <c r="M713" s="3" t="s">
        <v>957</v>
      </c>
      <c r="N713" s="216">
        <f>LS[[#This Row],[Amount]]/LS[[#This Row],[Unit]]</f>
        <v>13.195098963242224</v>
      </c>
      <c r="O713" s="1">
        <f t="shared" si="142"/>
        <v>5305</v>
      </c>
      <c r="P713" s="1">
        <f>SUMIFS(LS[[#Headers],[Unit]]:LS[[#This Row],[Unit]],LS[[#Headers],[Investor ID]]:LS[[#This Row],[Investor ID]],LS[[#This Row],[Investor ID]])</f>
        <v>205305</v>
      </c>
      <c r="Q713" s="3">
        <f>ROUND(LS[[#This Row],[Amount]]/13.196,0)*10</f>
        <v>53050</v>
      </c>
      <c r="R713" s="6">
        <f>LS[[#This Row],[Amount]]-LS[[#This Row],[Unit Capital]]</f>
        <v>16950</v>
      </c>
      <c r="S71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10.082560093519398</v>
      </c>
      <c r="T713" s="216">
        <f t="shared" si="143"/>
        <v>12.552</v>
      </c>
      <c r="U71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13" s="3" cm="1">
        <f t="array" ref="V713">IF(LS[[#This Row],[B/S]]="S",ABS(LS[[#This Row],[Unit]])*(INDEX(LS[NAV at Cost (Average)],MATCH(CONCATENATE((LS[[#This Row],[Frequency]]-1),LS[[#This Row],[Investor ID]]),LS[Unique Code],0),0)),0)</f>
        <v>0</v>
      </c>
      <c r="W713" s="3">
        <f>IF(LS[[#This Row],[BO Transfer]]="YES",LS[[#This Row],[Unit]],)</f>
        <v>5305</v>
      </c>
      <c r="X713" s="3">
        <f>SUMIFS(LS[[#Headers],[BO UNIT TRANSFER]]:LS[[#This Row],[BO UNIT TRANSFER]],LS[[#Headers],[Investor ID]]:LS[[#This Row],[Investor ID]],LS[[#This Row],[Investor ID]])</f>
        <v>5305</v>
      </c>
    </row>
    <row r="714" spans="2:24">
      <c r="B714" s="8">
        <v>2026</v>
      </c>
      <c r="C714" s="8">
        <v>2</v>
      </c>
      <c r="D714" s="8">
        <v>16</v>
      </c>
      <c r="E714" s="291">
        <f>DATE(LS[[#This Row],[Year]],LS[[#This Row],[Month]],LS[[#This Row],[Day]])</f>
        <v>46069</v>
      </c>
      <c r="F714" t="str" cm="1">
        <f t="array" ref="F714">INDEX(INVESTORS_LIST[INVESTOR NAME],MATCH(LS[[#This Row],[Investor ID]],INVESTORS_LIST[INVESTOR CODE],0),)</f>
        <v>EVEREST PHARMACEUTICALS LTD. EMPLOYEES CONTRIBUTORY PROVIDENT FUND</v>
      </c>
      <c r="G714" s="25" t="s">
        <v>641</v>
      </c>
      <c r="H714" s="8">
        <f>COUNTIF(LS[[#Headers],[Investor ID]]:LS[[#This Row],[Investor ID]],LS[[#This Row],[Investor ID]])</f>
        <v>2</v>
      </c>
      <c r="I714" s="8" t="str">
        <f>CONCATENATE(LS[[#This Row],[Frequency]],LS[[#This Row],[Investor ID]])</f>
        <v>2A00347</v>
      </c>
      <c r="J714" s="8" t="str">
        <f>IF(LS[[#This Row],[B/S]]="B","BUY",(IF(LS[[#This Row],[B/S]]="S","SELL"," ")))</f>
        <v>BUY</v>
      </c>
      <c r="K714" s="8" t="s">
        <v>301</v>
      </c>
      <c r="L714" s="3">
        <v>35000</v>
      </c>
      <c r="M714" s="3" t="s">
        <v>957</v>
      </c>
      <c r="N714" s="216">
        <f>LS[[#This Row],[Amount]]/LS[[#This Row],[Unit]]</f>
        <v>13.197586726998491</v>
      </c>
      <c r="O714" s="1">
        <f t="shared" si="142"/>
        <v>2652</v>
      </c>
      <c r="P714" s="1">
        <f>SUMIFS(LS[[#Headers],[Unit]]:LS[[#This Row],[Unit]],LS[[#Headers],[Investor ID]]:LS[[#This Row],[Investor ID]],LS[[#This Row],[Investor ID]])</f>
        <v>102652</v>
      </c>
      <c r="Q714" s="3">
        <f>ROUND(LS[[#This Row],[Amount]]/13.196,0)*10</f>
        <v>26520</v>
      </c>
      <c r="R714" s="6">
        <f>LS[[#This Row],[Amount]]-LS[[#This Row],[Unit Capital]]</f>
        <v>8480</v>
      </c>
      <c r="S71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10.082609203912247</v>
      </c>
      <c r="T714" s="216">
        <f t="shared" si="143"/>
        <v>12.552</v>
      </c>
      <c r="U71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14" s="3" cm="1">
        <f t="array" ref="V714">IF(LS[[#This Row],[B/S]]="S",ABS(LS[[#This Row],[Unit]])*(INDEX(LS[NAV at Cost (Average)],MATCH(CONCATENATE((LS[[#This Row],[Frequency]]-1),LS[[#This Row],[Investor ID]]),LS[Unique Code],0),0)),0)</f>
        <v>0</v>
      </c>
      <c r="W714" s="3">
        <f>IF(LS[[#This Row],[BO Transfer]]="YES",LS[[#This Row],[Unit]],)</f>
        <v>2652</v>
      </c>
      <c r="X714" s="3">
        <f>SUMIFS(LS[[#Headers],[BO UNIT TRANSFER]]:LS[[#This Row],[BO UNIT TRANSFER]],LS[[#Headers],[Investor ID]]:LS[[#This Row],[Investor ID]],LS[[#This Row],[Investor ID]])</f>
        <v>2652</v>
      </c>
    </row>
    <row r="715" spans="2:24">
      <c r="B715" s="8">
        <v>2026</v>
      </c>
      <c r="C715" s="8">
        <v>2</v>
      </c>
      <c r="D715" s="8">
        <v>16</v>
      </c>
      <c r="E715" s="291">
        <f>DATE(LS[[#This Row],[Year]],LS[[#This Row],[Month]],LS[[#This Row],[Day]])</f>
        <v>46069</v>
      </c>
      <c r="F715" t="str" cm="1">
        <f t="array" ref="F715">INDEX(INVESTORS_LIST[INVESTOR NAME],MATCH(LS[[#This Row],[Investor ID]],INVESTORS_LIST[INVESTOR CODE],0),)</f>
        <v>A.K.M. ANWARUL HOQ</v>
      </c>
      <c r="G715" s="25" t="s">
        <v>643</v>
      </c>
      <c r="H715" s="8">
        <f>COUNTIF(LS[[#Headers],[Investor ID]]:LS[[#This Row],[Investor ID]],LS[[#This Row],[Investor ID]])</f>
        <v>2</v>
      </c>
      <c r="I715" s="8" t="str">
        <f>CONCATENATE(LS[[#This Row],[Frequency]],LS[[#This Row],[Investor ID]])</f>
        <v>2A00348</v>
      </c>
      <c r="J715" s="8" t="str">
        <f>IF(LS[[#This Row],[B/S]]="B","BUY",(IF(LS[[#This Row],[B/S]]="S","SELL"," ")))</f>
        <v>BUY</v>
      </c>
      <c r="K715" s="8" t="s">
        <v>301</v>
      </c>
      <c r="L715" s="3">
        <v>35000</v>
      </c>
      <c r="M715" s="3"/>
      <c r="N715" s="216">
        <f>LS[[#This Row],[Amount]]/LS[[#This Row],[Unit]]</f>
        <v>13.197586726998491</v>
      </c>
      <c r="O715" s="1">
        <f t="shared" ref="O715:O746" si="144">Q715/10</f>
        <v>2652</v>
      </c>
      <c r="P715" s="1">
        <f>SUMIFS(LS[[#Headers],[Unit]]:LS[[#This Row],[Unit]],LS[[#Headers],[Investor ID]]:LS[[#This Row],[Investor ID]],LS[[#This Row],[Investor ID]])</f>
        <v>102652</v>
      </c>
      <c r="Q715" s="3">
        <f>ROUND(LS[[#This Row],[Amount]]/13.196,0)*10</f>
        <v>26520</v>
      </c>
      <c r="R715" s="6">
        <f>LS[[#This Row],[Amount]]-LS[[#This Row],[Unit Capital]]</f>
        <v>8480</v>
      </c>
      <c r="S71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10.082609203912247</v>
      </c>
      <c r="T715" s="216">
        <f t="shared" ref="T715:T746" si="145">IFERROR(NAV_MKT,0)</f>
        <v>12.552</v>
      </c>
      <c r="U71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15" s="3" cm="1">
        <f t="array" ref="V715">IF(LS[[#This Row],[B/S]]="S",ABS(LS[[#This Row],[Unit]])*(INDEX(LS[NAV at Cost (Average)],MATCH(CONCATENATE((LS[[#This Row],[Frequency]]-1),LS[[#This Row],[Investor ID]]),LS[Unique Code],0),0)),0)</f>
        <v>0</v>
      </c>
      <c r="W715" s="3">
        <f>IF(LS[[#This Row],[BO Transfer]]="YES",LS[[#This Row],[Unit]],)</f>
        <v>0</v>
      </c>
      <c r="X715" s="3">
        <f>SUMIFS(LS[[#Headers],[BO UNIT TRANSFER]]:LS[[#This Row],[BO UNIT TRANSFER]],LS[[#Headers],[Investor ID]]:LS[[#This Row],[Investor ID]],LS[[#This Row],[Investor ID]])</f>
        <v>0</v>
      </c>
    </row>
    <row r="716" spans="2:24">
      <c r="B716" s="8">
        <v>2026</v>
      </c>
      <c r="C716" s="8">
        <v>2</v>
      </c>
      <c r="D716" s="8">
        <v>16</v>
      </c>
      <c r="E716" s="291">
        <f>DATE(LS[[#This Row],[Year]],LS[[#This Row],[Month]],LS[[#This Row],[Day]])</f>
        <v>46069</v>
      </c>
      <c r="F716" t="str" cm="1">
        <f t="array" ref="F716">INDEX(INVESTORS_LIST[INVESTOR NAME],MATCH(LS[[#This Row],[Investor ID]],INVESTORS_LIST[INVESTOR CODE],0),)</f>
        <v>MOHAMMAD MOZNU MOLLAH</v>
      </c>
      <c r="G716" s="25" t="s">
        <v>645</v>
      </c>
      <c r="H716" s="8">
        <f>COUNTIF(LS[[#Headers],[Investor ID]]:LS[[#This Row],[Investor ID]],LS[[#This Row],[Investor ID]])</f>
        <v>2</v>
      </c>
      <c r="I716" s="8" t="str">
        <f>CONCATENATE(LS[[#This Row],[Frequency]],LS[[#This Row],[Investor ID]])</f>
        <v>2A00349</v>
      </c>
      <c r="J716" s="8" t="str">
        <f>IF(LS[[#This Row],[B/S]]="B","BUY",(IF(LS[[#This Row],[B/S]]="S","SELL"," ")))</f>
        <v>BUY</v>
      </c>
      <c r="K716" s="8" t="s">
        <v>301</v>
      </c>
      <c r="L716" s="3">
        <v>35000</v>
      </c>
      <c r="M716" s="3"/>
      <c r="N716" s="216">
        <f>LS[[#This Row],[Amount]]/LS[[#This Row],[Unit]]</f>
        <v>13.197586726998491</v>
      </c>
      <c r="O716" s="1">
        <f t="shared" si="144"/>
        <v>2652</v>
      </c>
      <c r="P716" s="1">
        <f>SUMIFS(LS[[#Headers],[Unit]]:LS[[#This Row],[Unit]],LS[[#Headers],[Investor ID]]:LS[[#This Row],[Investor ID]],LS[[#This Row],[Investor ID]])</f>
        <v>102652</v>
      </c>
      <c r="Q716" s="3">
        <f>ROUND(LS[[#This Row],[Amount]]/13.196,0)*10</f>
        <v>26520</v>
      </c>
      <c r="R716" s="6">
        <f>LS[[#This Row],[Amount]]-LS[[#This Row],[Unit Capital]]</f>
        <v>8480</v>
      </c>
      <c r="S71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10.082609203912247</v>
      </c>
      <c r="T716" s="216">
        <f t="shared" si="145"/>
        <v>12.552</v>
      </c>
      <c r="U71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16" s="3" cm="1">
        <f t="array" ref="V716">IF(LS[[#This Row],[B/S]]="S",ABS(LS[[#This Row],[Unit]])*(INDEX(LS[NAV at Cost (Average)],MATCH(CONCATENATE((LS[[#This Row],[Frequency]]-1),LS[[#This Row],[Investor ID]]),LS[Unique Code],0),0)),0)</f>
        <v>0</v>
      </c>
      <c r="W716" s="3">
        <f>IF(LS[[#This Row],[BO Transfer]]="YES",LS[[#This Row],[Unit]],)</f>
        <v>0</v>
      </c>
      <c r="X716" s="3">
        <f>SUMIFS(LS[[#Headers],[BO UNIT TRANSFER]]:LS[[#This Row],[BO UNIT TRANSFER]],LS[[#Headers],[Investor ID]]:LS[[#This Row],[Investor ID]],LS[[#This Row],[Investor ID]])</f>
        <v>0</v>
      </c>
    </row>
    <row r="717" spans="2:24">
      <c r="B717" s="8">
        <v>2026</v>
      </c>
      <c r="C717" s="8">
        <v>2</v>
      </c>
      <c r="D717" s="8">
        <v>16</v>
      </c>
      <c r="E717" s="291">
        <f>DATE(LS[[#This Row],[Year]],LS[[#This Row],[Month]],LS[[#This Row],[Day]])</f>
        <v>46069</v>
      </c>
      <c r="F717" t="str" cm="1">
        <f t="array" ref="F717">INDEX(INVESTORS_LIST[INVESTOR NAME],MATCH(LS[[#This Row],[Investor ID]],INVESTORS_LIST[INVESTOR CODE],0),)</f>
        <v>MD. ZAKIR HOSSAIN</v>
      </c>
      <c r="G717" s="25" t="s">
        <v>647</v>
      </c>
      <c r="H717" s="8">
        <f>COUNTIF(LS[[#Headers],[Investor ID]]:LS[[#This Row],[Investor ID]],LS[[#This Row],[Investor ID]])</f>
        <v>4</v>
      </c>
      <c r="I717" s="8" t="str">
        <f>CONCATENATE(LS[[#This Row],[Frequency]],LS[[#This Row],[Investor ID]])</f>
        <v>4A00350</v>
      </c>
      <c r="J717" s="8" t="str">
        <f>IF(LS[[#This Row],[B/S]]="B","BUY",(IF(LS[[#This Row],[B/S]]="S","SELL"," ")))</f>
        <v>BUY</v>
      </c>
      <c r="K717" s="8" t="s">
        <v>301</v>
      </c>
      <c r="L717" s="3">
        <v>37328.199999999997</v>
      </c>
      <c r="M717" s="3"/>
      <c r="N717" s="216">
        <f>LS[[#This Row],[Amount]]/LS[[#This Row],[Unit]]</f>
        <v>13.194839165782961</v>
      </c>
      <c r="O717" s="1">
        <f t="shared" si="144"/>
        <v>2829</v>
      </c>
      <c r="P717" s="1">
        <f>SUMIFS(LS[[#Headers],[Unit]]:LS[[#This Row],[Unit]],LS[[#Headers],[Investor ID]]:LS[[#This Row],[Investor ID]],LS[[#This Row],[Investor ID]])</f>
        <v>109481</v>
      </c>
      <c r="Q717" s="3">
        <f>ROUND(LS[[#This Row],[Amount]]/13.196,0)*10</f>
        <v>28290</v>
      </c>
      <c r="R717" s="6">
        <f>LS[[#This Row],[Amount]]-LS[[#This Row],[Unit Capital]]</f>
        <v>9038.1999999999971</v>
      </c>
      <c r="S71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10.100894219088243</v>
      </c>
      <c r="T717" s="216">
        <f t="shared" si="145"/>
        <v>12.552</v>
      </c>
      <c r="U71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17" s="3" cm="1">
        <f t="array" ref="V717">IF(LS[[#This Row],[B/S]]="S",ABS(LS[[#This Row],[Unit]])*(INDEX(LS[NAV at Cost (Average)],MATCH(CONCATENATE((LS[[#This Row],[Frequency]]-1),LS[[#This Row],[Investor ID]]),LS[Unique Code],0),0)),0)</f>
        <v>0</v>
      </c>
      <c r="W717" s="3">
        <f>IF(LS[[#This Row],[BO Transfer]]="YES",LS[[#This Row],[Unit]],)</f>
        <v>0</v>
      </c>
      <c r="X717" s="3">
        <f>SUMIFS(LS[[#Headers],[BO UNIT TRANSFER]]:LS[[#This Row],[BO UNIT TRANSFER]],LS[[#Headers],[Investor ID]]:LS[[#This Row],[Investor ID]],LS[[#This Row],[Investor ID]])</f>
        <v>0</v>
      </c>
    </row>
    <row r="718" spans="2:24">
      <c r="B718" s="8">
        <v>2026</v>
      </c>
      <c r="C718" s="8">
        <v>2</v>
      </c>
      <c r="D718" s="8">
        <v>16</v>
      </c>
      <c r="E718" s="291">
        <f>DATE(LS[[#This Row],[Year]],LS[[#This Row],[Month]],LS[[#This Row],[Day]])</f>
        <v>46069</v>
      </c>
      <c r="F718" t="str" cm="1">
        <f t="array" ref="F718">INDEX(INVESTORS_LIST[INVESTOR NAME],MATCH(LS[[#This Row],[Investor ID]],INVESTORS_LIST[INVESTOR CODE],0),)</f>
        <v>MOHAMMAD SAIFUL ISLAM</v>
      </c>
      <c r="G718" s="25" t="s">
        <v>649</v>
      </c>
      <c r="H718" s="8">
        <f>COUNTIF(LS[[#Headers],[Investor ID]]:LS[[#This Row],[Investor ID]],LS[[#This Row],[Investor ID]])</f>
        <v>2</v>
      </c>
      <c r="I718" s="8" t="str">
        <f>CONCATENATE(LS[[#This Row],[Frequency]],LS[[#This Row],[Investor ID]])</f>
        <v>2A00351</v>
      </c>
      <c r="J718" s="8" t="str">
        <f>IF(LS[[#This Row],[B/S]]="B","BUY",(IF(LS[[#This Row],[B/S]]="S","SELL"," ")))</f>
        <v>BUY</v>
      </c>
      <c r="K718" s="8" t="s">
        <v>301</v>
      </c>
      <c r="L718" s="3">
        <v>35000</v>
      </c>
      <c r="M718" s="3"/>
      <c r="N718" s="216">
        <f>LS[[#This Row],[Amount]]/LS[[#This Row],[Unit]]</f>
        <v>13.197586726998491</v>
      </c>
      <c r="O718" s="1">
        <f t="shared" si="144"/>
        <v>2652</v>
      </c>
      <c r="P718" s="1">
        <f>SUMIFS(LS[[#Headers],[Unit]]:LS[[#This Row],[Unit]],LS[[#Headers],[Investor ID]]:LS[[#This Row],[Investor ID]],LS[[#This Row],[Investor ID]])</f>
        <v>102652</v>
      </c>
      <c r="Q718" s="3">
        <f>ROUND(LS[[#This Row],[Amount]]/13.196,0)*10</f>
        <v>26520</v>
      </c>
      <c r="R718" s="6">
        <f>LS[[#This Row],[Amount]]-LS[[#This Row],[Unit Capital]]</f>
        <v>8480</v>
      </c>
      <c r="S71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10.082609203912247</v>
      </c>
      <c r="T718" s="216">
        <f t="shared" si="145"/>
        <v>12.552</v>
      </c>
      <c r="U71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18" s="3" cm="1">
        <f t="array" ref="V718">IF(LS[[#This Row],[B/S]]="S",ABS(LS[[#This Row],[Unit]])*(INDEX(LS[NAV at Cost (Average)],MATCH(CONCATENATE((LS[[#This Row],[Frequency]]-1),LS[[#This Row],[Investor ID]]),LS[Unique Code],0),0)),0)</f>
        <v>0</v>
      </c>
      <c r="W718" s="3">
        <f>IF(LS[[#This Row],[BO Transfer]]="YES",LS[[#This Row],[Unit]],)</f>
        <v>0</v>
      </c>
      <c r="X718" s="3">
        <f>SUMIFS(LS[[#Headers],[BO UNIT TRANSFER]]:LS[[#This Row],[BO UNIT TRANSFER]],LS[[#Headers],[Investor ID]]:LS[[#This Row],[Investor ID]],LS[[#This Row],[Investor ID]])</f>
        <v>0</v>
      </c>
    </row>
    <row r="719" spans="2:24">
      <c r="B719" s="8">
        <v>2026</v>
      </c>
      <c r="C719" s="8">
        <v>2</v>
      </c>
      <c r="D719" s="8">
        <v>16</v>
      </c>
      <c r="E719" s="291">
        <f>DATE(LS[[#This Row],[Year]],LS[[#This Row],[Month]],LS[[#This Row],[Day]])</f>
        <v>46069</v>
      </c>
      <c r="F719" t="str" cm="1">
        <f t="array" ref="F719">INDEX(INVESTORS_LIST[INVESTOR NAME],MATCH(LS[[#This Row],[Investor ID]],INVESTORS_LIST[INVESTOR CODE],0),)</f>
        <v>ASRAAR HOSSAIN</v>
      </c>
      <c r="G719" s="25" t="s">
        <v>684</v>
      </c>
      <c r="H719" s="8">
        <f>COUNTIF(LS[[#Headers],[Investor ID]]:LS[[#This Row],[Investor ID]],LS[[#This Row],[Investor ID]])</f>
        <v>5</v>
      </c>
      <c r="I719" s="8" t="str">
        <f>CONCATENATE(LS[[#This Row],[Frequency]],LS[[#This Row],[Investor ID]])</f>
        <v>5A00369</v>
      </c>
      <c r="J719" s="8" t="str">
        <f>IF(LS[[#This Row],[B/S]]="B","BUY",(IF(LS[[#This Row],[B/S]]="S","SELL"," ")))</f>
        <v>BUY</v>
      </c>
      <c r="K719" s="8" t="s">
        <v>301</v>
      </c>
      <c r="L719" s="3">
        <v>60.9</v>
      </c>
      <c r="M719" s="3" t="s">
        <v>957</v>
      </c>
      <c r="N719" s="216">
        <f>LS[[#This Row],[Amount]]/LS[[#This Row],[Unit]]</f>
        <v>12.18</v>
      </c>
      <c r="O719" s="1">
        <f t="shared" si="144"/>
        <v>5</v>
      </c>
      <c r="P719" s="1">
        <f>SUMIFS(LS[[#Headers],[Unit]]:LS[[#This Row],[Unit]],LS[[#Headers],[Investor ID]]:LS[[#This Row],[Investor ID]],LS[[#This Row],[Investor ID]])</f>
        <v>179</v>
      </c>
      <c r="Q719" s="3">
        <f>ROUND(LS[[#This Row],[Amount]]/13.196,0)*10</f>
        <v>50</v>
      </c>
      <c r="R719" s="6">
        <f>LS[[#This Row],[Amount]]-LS[[#This Row],[Unit Capital]]</f>
        <v>10.899999999999999</v>
      </c>
      <c r="S71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10.033798882681564</v>
      </c>
      <c r="T719" s="216">
        <f t="shared" si="145"/>
        <v>12.552</v>
      </c>
      <c r="U71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19" s="3" cm="1">
        <f t="array" ref="V719">IF(LS[[#This Row],[B/S]]="S",ABS(LS[[#This Row],[Unit]])*(INDEX(LS[NAV at Cost (Average)],MATCH(CONCATENATE((LS[[#This Row],[Frequency]]-1),LS[[#This Row],[Investor ID]]),LS[Unique Code],0),0)),0)</f>
        <v>0</v>
      </c>
      <c r="W719" s="3">
        <f>IF(LS[[#This Row],[BO Transfer]]="YES",LS[[#This Row],[Unit]],)</f>
        <v>5</v>
      </c>
      <c r="X719" s="3">
        <f>SUMIFS(LS[[#Headers],[BO UNIT TRANSFER]]:LS[[#This Row],[BO UNIT TRANSFER]],LS[[#Headers],[Investor ID]]:LS[[#This Row],[Investor ID]],LS[[#This Row],[Investor ID]])</f>
        <v>179</v>
      </c>
    </row>
    <row r="720" spans="2:24">
      <c r="B720" s="8">
        <v>2026</v>
      </c>
      <c r="C720" s="8">
        <v>2</v>
      </c>
      <c r="D720" s="8">
        <v>16</v>
      </c>
      <c r="E720" s="291">
        <f>DATE(LS[[#This Row],[Year]],LS[[#This Row],[Month]],LS[[#This Row],[Day]])</f>
        <v>46069</v>
      </c>
      <c r="F720" t="str" cm="1">
        <f t="array" ref="F720">INDEX(INVESTORS_LIST[INVESTOR NAME],MATCH(LS[[#This Row],[Investor ID]],INVESTORS_LIST[INVESTOR CODE],0),)</f>
        <v>ZAIN MOHAMMAD YASEEN</v>
      </c>
      <c r="G720" s="25" t="s">
        <v>686</v>
      </c>
      <c r="H720" s="8">
        <f>COUNTIF(LS[[#Headers],[Investor ID]]:LS[[#This Row],[Investor ID]],LS[[#This Row],[Investor ID]])</f>
        <v>5</v>
      </c>
      <c r="I720" s="8" t="str">
        <f>CONCATENATE(LS[[#This Row],[Frequency]],LS[[#This Row],[Investor ID]])</f>
        <v>5A00370</v>
      </c>
      <c r="J720" s="8" t="str">
        <f>IF(LS[[#This Row],[B/S]]="B","BUY",(IF(LS[[#This Row],[B/S]]="S","SELL"," ")))</f>
        <v>BUY</v>
      </c>
      <c r="K720" s="8" t="s">
        <v>301</v>
      </c>
      <c r="L720" s="3">
        <v>1161.3</v>
      </c>
      <c r="M720" s="3"/>
      <c r="N720" s="216">
        <f>LS[[#This Row],[Amount]]/LS[[#This Row],[Unit]]</f>
        <v>13.196590909090908</v>
      </c>
      <c r="O720" s="1">
        <f t="shared" si="144"/>
        <v>88</v>
      </c>
      <c r="P720" s="1">
        <f>SUMIFS(LS[[#Headers],[Unit]]:LS[[#This Row],[Unit]],LS[[#Headers],[Investor ID]]:LS[[#This Row],[Investor ID]],LS[[#This Row],[Investor ID]])</f>
        <v>3406</v>
      </c>
      <c r="Q720" s="3">
        <f>ROUND(LS[[#This Row],[Amount]]/13.196,0)*10</f>
        <v>880</v>
      </c>
      <c r="R720" s="6">
        <f>LS[[#This Row],[Amount]]-LS[[#This Row],[Unit Capital]]</f>
        <v>281.29999999999995</v>
      </c>
      <c r="S72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10.101048150322958</v>
      </c>
      <c r="T720" s="216">
        <f t="shared" si="145"/>
        <v>12.552</v>
      </c>
      <c r="U72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20" s="3" cm="1">
        <f t="array" ref="V720">IF(LS[[#This Row],[B/S]]="S",ABS(LS[[#This Row],[Unit]])*(INDEX(LS[NAV at Cost (Average)],MATCH(CONCATENATE((LS[[#This Row],[Frequency]]-1),LS[[#This Row],[Investor ID]]),LS[Unique Code],0),0)),0)</f>
        <v>0</v>
      </c>
      <c r="W720" s="3">
        <f>IF(LS[[#This Row],[BO Transfer]]="YES",LS[[#This Row],[Unit]],)</f>
        <v>0</v>
      </c>
      <c r="X720" s="3">
        <f>SUMIFS(LS[[#Headers],[BO UNIT TRANSFER]]:LS[[#This Row],[BO UNIT TRANSFER]],LS[[#Headers],[Investor ID]]:LS[[#This Row],[Investor ID]],LS[[#This Row],[Investor ID]])</f>
        <v>0</v>
      </c>
    </row>
    <row r="721" spans="2:24">
      <c r="B721" s="8">
        <v>2026</v>
      </c>
      <c r="C721" s="8">
        <v>2</v>
      </c>
      <c r="D721" s="8">
        <v>16</v>
      </c>
      <c r="E721" s="291">
        <f>DATE(LS[[#This Row],[Year]],LS[[#This Row],[Month]],LS[[#This Row],[Day]])</f>
        <v>46069</v>
      </c>
      <c r="F721" t="str" cm="1">
        <f t="array" ref="F721">INDEX(INVESTORS_LIST[INVESTOR NAME],MATCH(LS[[#This Row],[Investor ID]],INVESTORS_LIST[INVESTOR CODE],0),)</f>
        <v>MD. SHAHIDUL ISLAM</v>
      </c>
      <c r="G721" s="25" t="s">
        <v>709</v>
      </c>
      <c r="H721" s="8">
        <f>COUNTIF(LS[[#Headers],[Investor ID]]:LS[[#This Row],[Investor ID]],LS[[#This Row],[Investor ID]])</f>
        <v>4</v>
      </c>
      <c r="I721" s="8" t="str">
        <f>CONCATENATE(LS[[#This Row],[Frequency]],LS[[#This Row],[Investor ID]])</f>
        <v>4A00382</v>
      </c>
      <c r="J721" s="8" t="str">
        <f>IF(LS[[#This Row],[B/S]]="B","BUY",(IF(LS[[#This Row],[B/S]]="S","SELL"," ")))</f>
        <v>BUY</v>
      </c>
      <c r="K721" s="8" t="s">
        <v>301</v>
      </c>
      <c r="L721" s="3">
        <v>74.899999999999991</v>
      </c>
      <c r="M721" s="3"/>
      <c r="N721" s="216">
        <f>LS[[#This Row],[Amount]]/LS[[#This Row],[Unit]]</f>
        <v>12.483333333333333</v>
      </c>
      <c r="O721" s="1">
        <f t="shared" si="144"/>
        <v>6</v>
      </c>
      <c r="P721" s="1">
        <f>SUMIFS(LS[[#Headers],[Unit]]:LS[[#This Row],[Unit]],LS[[#Headers],[Investor ID]]:LS[[#This Row],[Investor ID]],LS[[#This Row],[Investor ID]])</f>
        <v>220</v>
      </c>
      <c r="Q721" s="3">
        <f>ROUND(LS[[#This Row],[Amount]]/13.196,0)*10</f>
        <v>60</v>
      </c>
      <c r="R721" s="6">
        <f>LS[[#This Row],[Amount]]-LS[[#This Row],[Unit Capital]]</f>
        <v>14.899999999999991</v>
      </c>
      <c r="S72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10.055227272727272</v>
      </c>
      <c r="T721" s="216">
        <f t="shared" si="145"/>
        <v>12.552</v>
      </c>
      <c r="U72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21" s="3" cm="1">
        <f t="array" ref="V721">IF(LS[[#This Row],[B/S]]="S",ABS(LS[[#This Row],[Unit]])*(INDEX(LS[NAV at Cost (Average)],MATCH(CONCATENATE((LS[[#This Row],[Frequency]]-1),LS[[#This Row],[Investor ID]]),LS[Unique Code],0),0)),0)</f>
        <v>0</v>
      </c>
      <c r="W721" s="3">
        <f>IF(LS[[#This Row],[BO Transfer]]="YES",LS[[#This Row],[Unit]],)</f>
        <v>0</v>
      </c>
      <c r="X721" s="3">
        <f>SUMIFS(LS[[#Headers],[BO UNIT TRANSFER]]:LS[[#This Row],[BO UNIT TRANSFER]],LS[[#Headers],[Investor ID]]:LS[[#This Row],[Investor ID]],LS[[#This Row],[Investor ID]])</f>
        <v>0</v>
      </c>
    </row>
    <row r="722" spans="2:24">
      <c r="B722" s="8">
        <v>2026</v>
      </c>
      <c r="C722" s="8">
        <v>2</v>
      </c>
      <c r="D722" s="8">
        <v>16</v>
      </c>
      <c r="E722" s="291">
        <f>DATE(LS[[#This Row],[Year]],LS[[#This Row],[Month]],LS[[#This Row],[Day]])</f>
        <v>46069</v>
      </c>
      <c r="F722" t="str" cm="1">
        <f t="array" ref="F722">INDEX(INVESTORS_LIST[INVESTOR NAME],MATCH(LS[[#This Row],[Investor ID]],INVESTORS_LIST[INVESTOR CODE],0),)</f>
        <v>FOUZIA RAHMAN</v>
      </c>
      <c r="G722" s="25" t="s">
        <v>853</v>
      </c>
      <c r="H722" s="8">
        <f>COUNTIF(LS[[#Headers],[Investor ID]]:LS[[#This Row],[Investor ID]],LS[[#This Row],[Investor ID]])</f>
        <v>4</v>
      </c>
      <c r="I722" s="8" t="str">
        <f>CONCATENATE(LS[[#This Row],[Frequency]],LS[[#This Row],[Investor ID]])</f>
        <v>4A00389</v>
      </c>
      <c r="J722" s="8" t="str">
        <f>IF(LS[[#This Row],[B/S]]="B","BUY",(IF(LS[[#This Row],[B/S]]="S","SELL"," ")))</f>
        <v>BUY</v>
      </c>
      <c r="K722" s="8" t="s">
        <v>301</v>
      </c>
      <c r="L722" s="3">
        <v>5586.7</v>
      </c>
      <c r="M722" s="3" t="s">
        <v>957</v>
      </c>
      <c r="N722" s="216">
        <f>LS[[#This Row],[Amount]]/LS[[#This Row],[Unit]]</f>
        <v>13.207328605200946</v>
      </c>
      <c r="O722" s="1">
        <f t="shared" si="144"/>
        <v>423</v>
      </c>
      <c r="P722" s="1">
        <f>SUMIFS(LS[[#Headers],[Unit]]:LS[[#This Row],[Unit]],LS[[#Headers],[Investor ID]]:LS[[#This Row],[Investor ID]],LS[[#This Row],[Investor ID]])</f>
        <v>16385</v>
      </c>
      <c r="Q722" s="3">
        <f>ROUND(LS[[#This Row],[Amount]]/13.196,0)*10</f>
        <v>4230</v>
      </c>
      <c r="R722" s="6">
        <f>LS[[#This Row],[Amount]]-LS[[#This Row],[Unit Capital]]</f>
        <v>1356.6999999999998</v>
      </c>
      <c r="S72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10.088188587122371</v>
      </c>
      <c r="T722" s="216">
        <f t="shared" si="145"/>
        <v>12.552</v>
      </c>
      <c r="U72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22" s="3" cm="1">
        <f t="array" ref="V722">IF(LS[[#This Row],[B/S]]="S",ABS(LS[[#This Row],[Unit]])*(INDEX(LS[NAV at Cost (Average)],MATCH(CONCATENATE((LS[[#This Row],[Frequency]]-1),LS[[#This Row],[Investor ID]]),LS[Unique Code],0),0)),0)</f>
        <v>0</v>
      </c>
      <c r="W722" s="3">
        <f>IF(LS[[#This Row],[BO Transfer]]="YES",LS[[#This Row],[Unit]],)</f>
        <v>423</v>
      </c>
      <c r="X722" s="3">
        <f>SUMIFS(LS[[#Headers],[BO UNIT TRANSFER]]:LS[[#This Row],[BO UNIT TRANSFER]],LS[[#Headers],[Investor ID]]:LS[[#This Row],[Investor ID]],LS[[#This Row],[Investor ID]])</f>
        <v>423</v>
      </c>
    </row>
    <row r="723" spans="2:24">
      <c r="B723" s="8">
        <v>2026</v>
      </c>
      <c r="C723" s="8">
        <v>2</v>
      </c>
      <c r="D723" s="8">
        <v>16</v>
      </c>
      <c r="E723" s="291">
        <f>DATE(LS[[#This Row],[Year]],LS[[#This Row],[Month]],LS[[#This Row],[Day]])</f>
        <v>46069</v>
      </c>
      <c r="F723" t="str" cm="1">
        <f t="array" ref="F723">INDEX(INVESTORS_LIST[INVESTOR NAME],MATCH(LS[[#This Row],[Investor ID]],INVESTORS_LIST[INVESTOR CODE],0),)</f>
        <v>EKUSH WEALTH MANAGEMENT LIMITED EMPLOYEES CONTRIBUTORY PROVIDENT FUND</v>
      </c>
      <c r="G723" s="25" t="s">
        <v>859</v>
      </c>
      <c r="H723" s="8">
        <f>COUNTIF(LS[[#Headers],[Investor ID]]:LS[[#This Row],[Investor ID]],LS[[#This Row],[Investor ID]])</f>
        <v>2</v>
      </c>
      <c r="I723" s="8" t="str">
        <f>CONCATENATE(LS[[#This Row],[Frequency]],LS[[#This Row],[Investor ID]])</f>
        <v>2A00392</v>
      </c>
      <c r="J723" s="8" t="str">
        <f>IF(LS[[#This Row],[B/S]]="B","BUY",(IF(LS[[#This Row],[B/S]]="S","SELL"," ")))</f>
        <v>BUY</v>
      </c>
      <c r="K723" s="8" t="s">
        <v>301</v>
      </c>
      <c r="L723" s="3">
        <v>16666.649999999998</v>
      </c>
      <c r="M723" s="3"/>
      <c r="N723" s="216">
        <f>LS[[#This Row],[Amount]]/LS[[#This Row],[Unit]]</f>
        <v>13.196080760095009</v>
      </c>
      <c r="O723" s="1">
        <f t="shared" si="144"/>
        <v>1263</v>
      </c>
      <c r="P723" s="1">
        <f>SUMIFS(LS[[#Headers],[Unit]]:LS[[#This Row],[Unit]],LS[[#Headers],[Investor ID]]:LS[[#This Row],[Investor ID]],LS[[#This Row],[Investor ID]])</f>
        <v>48882</v>
      </c>
      <c r="Q723" s="3">
        <f>ROUND(LS[[#This Row],[Amount]]/13.196,0)*10</f>
        <v>12630</v>
      </c>
      <c r="R723" s="6">
        <f>LS[[#This Row],[Amount]]-LS[[#This Row],[Unit Capital]]</f>
        <v>4036.6499999999978</v>
      </c>
      <c r="S72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11.899403665971114</v>
      </c>
      <c r="T723" s="216">
        <f t="shared" si="145"/>
        <v>12.552</v>
      </c>
      <c r="U72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23" s="3" cm="1">
        <f t="array" ref="V723">IF(LS[[#This Row],[B/S]]="S",ABS(LS[[#This Row],[Unit]])*(INDEX(LS[NAV at Cost (Average)],MATCH(CONCATENATE((LS[[#This Row],[Frequency]]-1),LS[[#This Row],[Investor ID]]),LS[Unique Code],0),0)),0)</f>
        <v>0</v>
      </c>
      <c r="W723" s="3">
        <f>IF(LS[[#This Row],[BO Transfer]]="YES",LS[[#This Row],[Unit]],)</f>
        <v>0</v>
      </c>
      <c r="X723" s="3">
        <f>SUMIFS(LS[[#Headers],[BO UNIT TRANSFER]]:LS[[#This Row],[BO UNIT TRANSFER]],LS[[#Headers],[Investor ID]]:LS[[#This Row],[Investor ID]],LS[[#This Row],[Investor ID]])</f>
        <v>0</v>
      </c>
    </row>
    <row r="724" spans="2:24">
      <c r="B724" s="8">
        <v>2026</v>
      </c>
      <c r="C724" s="8">
        <v>2</v>
      </c>
      <c r="D724" s="8">
        <v>16</v>
      </c>
      <c r="E724" s="291">
        <f>DATE(LS[[#This Row],[Year]],LS[[#This Row],[Month]],LS[[#This Row],[Day]])</f>
        <v>46069</v>
      </c>
      <c r="F724" t="str" cm="1">
        <f t="array" ref="F724">INDEX(INVESTORS_LIST[INVESTOR NAME],MATCH(LS[[#This Row],[Investor ID]],INVESTORS_LIST[INVESTOR CODE],0),)</f>
        <v>SRIJON GHOSH</v>
      </c>
      <c r="G724" s="25" t="s">
        <v>927</v>
      </c>
      <c r="H724" s="8">
        <f>COUNTIF(LS[[#Headers],[Investor ID]]:LS[[#This Row],[Investor ID]],LS[[#This Row],[Investor ID]])</f>
        <v>6</v>
      </c>
      <c r="I724" s="8" t="str">
        <f>CONCATENATE(LS[[#This Row],[Frequency]],LS[[#This Row],[Investor ID]])</f>
        <v>6A00424</v>
      </c>
      <c r="J724" s="8" t="str">
        <f>IF(LS[[#This Row],[B/S]]="B","BUY",(IF(LS[[#This Row],[B/S]]="S","SELL"," ")))</f>
        <v>BUY</v>
      </c>
      <c r="K724" s="8" t="s">
        <v>301</v>
      </c>
      <c r="L724" s="3">
        <v>16.45</v>
      </c>
      <c r="M724" s="3"/>
      <c r="N724" s="216">
        <f>LS[[#This Row],[Amount]]/LS[[#This Row],[Unit]]</f>
        <v>16.45</v>
      </c>
      <c r="O724" s="1">
        <f t="shared" si="144"/>
        <v>1</v>
      </c>
      <c r="P724" s="1">
        <f>SUMIFS(LS[[#Headers],[Unit]]:LS[[#This Row],[Unit]],LS[[#Headers],[Investor ID]]:LS[[#This Row],[Investor ID]],LS[[#This Row],[Investor ID]])</f>
        <v>9926</v>
      </c>
      <c r="Q724" s="3">
        <f>ROUND(LS[[#This Row],[Amount]]/13.196,0)*10</f>
        <v>10</v>
      </c>
      <c r="R724" s="6">
        <f>LS[[#This Row],[Amount]]-LS[[#This Row],[Unit Capital]]</f>
        <v>6.4499999999999993</v>
      </c>
      <c r="S72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12.143532137819868</v>
      </c>
      <c r="T724" s="216">
        <f t="shared" si="145"/>
        <v>12.552</v>
      </c>
      <c r="U72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24" s="3" cm="1">
        <f t="array" ref="V724">IF(LS[[#This Row],[B/S]]="S",ABS(LS[[#This Row],[Unit]])*(INDEX(LS[NAV at Cost (Average)],MATCH(CONCATENATE((LS[[#This Row],[Frequency]]-1),LS[[#This Row],[Investor ID]]),LS[Unique Code],0),0)),0)</f>
        <v>0</v>
      </c>
      <c r="W724" s="3">
        <f>IF(LS[[#This Row],[BO Transfer]]="YES",LS[[#This Row],[Unit]],)</f>
        <v>0</v>
      </c>
      <c r="X724" s="3">
        <f>SUMIFS(LS[[#Headers],[BO UNIT TRANSFER]]:LS[[#This Row],[BO UNIT TRANSFER]],LS[[#Headers],[Investor ID]]:LS[[#This Row],[Investor ID]],LS[[#This Row],[Investor ID]])</f>
        <v>0</v>
      </c>
    </row>
    <row r="725" spans="2:24">
      <c r="B725" s="8">
        <v>2026</v>
      </c>
      <c r="C725" s="8">
        <v>2</v>
      </c>
      <c r="D725" s="8">
        <v>16</v>
      </c>
      <c r="E725" s="291">
        <f>DATE(LS[[#This Row],[Year]],LS[[#This Row],[Month]],LS[[#This Row],[Day]])</f>
        <v>46069</v>
      </c>
      <c r="F725" t="str" cm="1">
        <f t="array" ref="F725">INDEX(INVESTORS_LIST[INVESTOR NAME],MATCH(LS[[#This Row],[Investor ID]],INVESTORS_LIST[INVESTOR CODE],0),)</f>
        <v>ROKSABA KASEM</v>
      </c>
      <c r="G725" s="25" t="s">
        <v>933</v>
      </c>
      <c r="H725" s="8">
        <f>COUNTIF(LS[[#Headers],[Investor ID]]:LS[[#This Row],[Investor ID]],LS[[#This Row],[Investor ID]])</f>
        <v>5</v>
      </c>
      <c r="I725" s="8" t="str">
        <f>CONCATENATE(LS[[#This Row],[Frequency]],LS[[#This Row],[Investor ID]])</f>
        <v>5A00427</v>
      </c>
      <c r="J725" s="8" t="str">
        <f>IF(LS[[#This Row],[B/S]]="B","BUY",(IF(LS[[#This Row],[B/S]]="S","SELL"," ")))</f>
        <v>BUY</v>
      </c>
      <c r="K725" s="8" t="s">
        <v>301</v>
      </c>
      <c r="L725" s="3">
        <v>14181.65</v>
      </c>
      <c r="M725" s="3" t="s">
        <v>957</v>
      </c>
      <c r="N725" s="216">
        <f>LS[[#This Row],[Amount]]/LS[[#This Row],[Unit]]</f>
        <v>13.192232558139535</v>
      </c>
      <c r="O725" s="1">
        <f t="shared" si="144"/>
        <v>1075</v>
      </c>
      <c r="P725" s="1">
        <f>SUMIFS(LS[[#Headers],[Unit]]:LS[[#This Row],[Unit]],LS[[#Headers],[Investor ID]]:LS[[#This Row],[Investor ID]],LS[[#This Row],[Investor ID]])</f>
        <v>66821</v>
      </c>
      <c r="Q725" s="3">
        <f>ROUND(LS[[#This Row],[Amount]]/13.196,0)*10</f>
        <v>10750</v>
      </c>
      <c r="R725" s="6">
        <f>LS[[#This Row],[Amount]]-LS[[#This Row],[Unit Capital]]</f>
        <v>3431.6499999999996</v>
      </c>
      <c r="S72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12.184517591775039</v>
      </c>
      <c r="T725" s="216">
        <f t="shared" si="145"/>
        <v>12.552</v>
      </c>
      <c r="U72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25" s="3" cm="1">
        <f t="array" ref="V725">IF(LS[[#This Row],[B/S]]="S",ABS(LS[[#This Row],[Unit]])*(INDEX(LS[NAV at Cost (Average)],MATCH(CONCATENATE((LS[[#This Row],[Frequency]]-1),LS[[#This Row],[Investor ID]]),LS[Unique Code],0),0)),0)</f>
        <v>0</v>
      </c>
      <c r="W725" s="3">
        <f>IF(LS[[#This Row],[BO Transfer]]="YES",LS[[#This Row],[Unit]],)</f>
        <v>1075</v>
      </c>
      <c r="X725" s="3">
        <f>SUMIFS(LS[[#Headers],[BO UNIT TRANSFER]]:LS[[#This Row],[BO UNIT TRANSFER]],LS[[#Headers],[Investor ID]]:LS[[#This Row],[Investor ID]],LS[[#This Row],[Investor ID]])</f>
        <v>66821</v>
      </c>
    </row>
    <row r="726" spans="2:24">
      <c r="B726" s="8">
        <v>2026</v>
      </c>
      <c r="C726" s="8">
        <v>2</v>
      </c>
      <c r="D726" s="8">
        <v>16</v>
      </c>
      <c r="E726" s="291">
        <f>DATE(LS[[#This Row],[Year]],LS[[#This Row],[Month]],LS[[#This Row],[Day]])</f>
        <v>46069</v>
      </c>
      <c r="F726" t="str" cm="1">
        <f t="array" ref="F726">INDEX(INVESTORS_LIST[INVESTOR NAME],MATCH(LS[[#This Row],[Investor ID]],INVESTORS_LIST[INVESTOR CODE],0),)</f>
        <v>NASRIN AHMED HELA</v>
      </c>
      <c r="G726" s="25" t="s">
        <v>935</v>
      </c>
      <c r="H726" s="8">
        <f>COUNTIF(LS[[#Headers],[Investor ID]]:LS[[#This Row],[Investor ID]],LS[[#This Row],[Investor ID]])</f>
        <v>9</v>
      </c>
      <c r="I726" s="8" t="str">
        <f>CONCATENATE(LS[[#This Row],[Frequency]],LS[[#This Row],[Investor ID]])</f>
        <v>9A00428</v>
      </c>
      <c r="J726" s="8" t="str">
        <f>IF(LS[[#This Row],[B/S]]="B","BUY",(IF(LS[[#This Row],[B/S]]="S","SELL"," ")))</f>
        <v>BUY</v>
      </c>
      <c r="K726" s="8" t="s">
        <v>301</v>
      </c>
      <c r="L726" s="3">
        <v>1000.9999999999999</v>
      </c>
      <c r="M726" s="3"/>
      <c r="N726" s="216">
        <f>LS[[#This Row],[Amount]]/LS[[#This Row],[Unit]]</f>
        <v>13.171052631578945</v>
      </c>
      <c r="O726" s="1">
        <f t="shared" si="144"/>
        <v>76</v>
      </c>
      <c r="P726" s="1">
        <f>SUMIFS(LS[[#Headers],[Unit]]:LS[[#This Row],[Unit]],LS[[#Headers],[Investor ID]]:LS[[#This Row],[Investor ID]],LS[[#This Row],[Investor ID]])</f>
        <v>2936</v>
      </c>
      <c r="Q726" s="3">
        <f>ROUND(LS[[#This Row],[Amount]]/13.196,0)*10</f>
        <v>760</v>
      </c>
      <c r="R726" s="6">
        <f>LS[[#This Row],[Amount]]-LS[[#This Row],[Unit Capital]]</f>
        <v>240.99999999999989</v>
      </c>
      <c r="S72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10.259158510474435</v>
      </c>
      <c r="T726" s="216">
        <f t="shared" si="145"/>
        <v>12.552</v>
      </c>
      <c r="U72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26" s="3" cm="1">
        <f t="array" ref="V726">IF(LS[[#This Row],[B/S]]="S",ABS(LS[[#This Row],[Unit]])*(INDEX(LS[NAV at Cost (Average)],MATCH(CONCATENATE((LS[[#This Row],[Frequency]]-1),LS[[#This Row],[Investor ID]]),LS[Unique Code],0),0)),0)</f>
        <v>0</v>
      </c>
      <c r="W726" s="3">
        <f>IF(LS[[#This Row],[BO Transfer]]="YES",LS[[#This Row],[Unit]],)</f>
        <v>0</v>
      </c>
      <c r="X726" s="3">
        <f>SUMIFS(LS[[#Headers],[BO UNIT TRANSFER]]:LS[[#This Row],[BO UNIT TRANSFER]],LS[[#Headers],[Investor ID]]:LS[[#This Row],[Investor ID]],LS[[#This Row],[Investor ID]])</f>
        <v>0</v>
      </c>
    </row>
    <row r="727" spans="2:24">
      <c r="B727" s="8">
        <v>2026</v>
      </c>
      <c r="C727" s="8">
        <v>2</v>
      </c>
      <c r="D727" s="8">
        <v>16</v>
      </c>
      <c r="E727" s="291">
        <f>DATE(LS[[#This Row],[Year]],LS[[#This Row],[Month]],LS[[#This Row],[Day]])</f>
        <v>46069</v>
      </c>
      <c r="F727" t="str" cm="1">
        <f t="array" ref="F727">INDEX(INVESTORS_LIST[INVESTOR NAME],MATCH(LS[[#This Row],[Investor ID]],INVESTORS_LIST[INVESTOR CODE],0),)</f>
        <v>KHAN MUHAMMAD KAWSER AHMED</v>
      </c>
      <c r="G727" s="25" t="s">
        <v>1004</v>
      </c>
      <c r="H727" s="8">
        <f>COUNTIF(LS[[#Headers],[Investor ID]]:LS[[#This Row],[Investor ID]],LS[[#This Row],[Investor ID]])</f>
        <v>4</v>
      </c>
      <c r="I727" s="8" t="str">
        <f>CONCATENATE(LS[[#This Row],[Frequency]],LS[[#This Row],[Investor ID]])</f>
        <v>4A00449</v>
      </c>
      <c r="J727" s="8" t="str">
        <f>IF(LS[[#This Row],[B/S]]="B","BUY",(IF(LS[[#This Row],[B/S]]="S","SELL"," ")))</f>
        <v>BUY</v>
      </c>
      <c r="K727" s="8" t="s">
        <v>301</v>
      </c>
      <c r="L727" s="3">
        <v>433690.6</v>
      </c>
      <c r="M727" s="3" t="s">
        <v>957</v>
      </c>
      <c r="N727" s="216">
        <f>LS[[#This Row],[Amount]]/LS[[#This Row],[Unit]]</f>
        <v>13.19612353567625</v>
      </c>
      <c r="O727" s="1">
        <f t="shared" si="144"/>
        <v>32865</v>
      </c>
      <c r="P727" s="1">
        <f>SUMIFS(LS[[#Headers],[Unit]]:LS[[#This Row],[Unit]],LS[[#Headers],[Investor ID]]:LS[[#This Row],[Investor ID]],LS[[#This Row],[Investor ID]])</f>
        <v>1855775</v>
      </c>
      <c r="Q727" s="3">
        <f>ROUND(LS[[#This Row],[Amount]]/13.196,0)*10</f>
        <v>328650</v>
      </c>
      <c r="R727" s="6">
        <f>LS[[#This Row],[Amount]]-LS[[#This Row],[Unit Capital]]</f>
        <v>105040.59999999998</v>
      </c>
      <c r="S72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12.358012474572618</v>
      </c>
      <c r="T727" s="216">
        <f t="shared" si="145"/>
        <v>12.552</v>
      </c>
      <c r="U72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27" s="3" cm="1">
        <f t="array" ref="V727">IF(LS[[#This Row],[B/S]]="S",ABS(LS[[#This Row],[Unit]])*(INDEX(LS[NAV at Cost (Average)],MATCH(CONCATENATE((LS[[#This Row],[Frequency]]-1),LS[[#This Row],[Investor ID]]),LS[Unique Code],0),0)),0)</f>
        <v>0</v>
      </c>
      <c r="W727" s="3">
        <f>IF(LS[[#This Row],[BO Transfer]]="YES",LS[[#This Row],[Unit]],)</f>
        <v>32865</v>
      </c>
      <c r="X727" s="3">
        <f>SUMIFS(LS[[#Headers],[BO UNIT TRANSFER]]:LS[[#This Row],[BO UNIT TRANSFER]],LS[[#Headers],[Investor ID]]:LS[[#This Row],[Investor ID]],LS[[#This Row],[Investor ID]])</f>
        <v>1855775</v>
      </c>
    </row>
    <row r="728" spans="2:24">
      <c r="B728" s="8">
        <v>2026</v>
      </c>
      <c r="C728" s="8">
        <v>2</v>
      </c>
      <c r="D728" s="8">
        <v>16</v>
      </c>
      <c r="E728" s="291">
        <f>DATE(LS[[#This Row],[Year]],LS[[#This Row],[Month]],LS[[#This Row],[Day]])</f>
        <v>46069</v>
      </c>
      <c r="F728" t="str" cm="1">
        <f t="array" ref="F728">INDEX(INVESTORS_LIST[INVESTOR NAME],MATCH(LS[[#This Row],[Investor ID]],INVESTORS_LIST[INVESTOR CODE],0),)</f>
        <v>MADHAB GHOSH</v>
      </c>
      <c r="G728" s="25" t="s">
        <v>1038</v>
      </c>
      <c r="H728" s="8">
        <f>COUNTIF(LS[[#Headers],[Investor ID]]:LS[[#This Row],[Investor ID]],LS[[#This Row],[Investor ID]])</f>
        <v>9</v>
      </c>
      <c r="I728" s="8" t="str">
        <f>CONCATENATE(LS[[#This Row],[Frequency]],LS[[#This Row],[Investor ID]])</f>
        <v>9A00468</v>
      </c>
      <c r="J728" s="8" t="str">
        <f>IF(LS[[#This Row],[B/S]]="B","BUY",(IF(LS[[#This Row],[B/S]]="S","SELL"," ")))</f>
        <v>BUY</v>
      </c>
      <c r="K728" s="8" t="s">
        <v>301</v>
      </c>
      <c r="L728" s="3">
        <v>8451.1</v>
      </c>
      <c r="M728" s="3"/>
      <c r="N728" s="216">
        <f>LS[[#This Row],[Amount]]/LS[[#This Row],[Unit]]</f>
        <v>13.20484375</v>
      </c>
      <c r="O728" s="1">
        <f t="shared" si="144"/>
        <v>640</v>
      </c>
      <c r="P728" s="1">
        <f>SUMIFS(LS[[#Headers],[Unit]]:LS[[#This Row],[Unit]],LS[[#Headers],[Investor ID]]:LS[[#This Row],[Investor ID]],LS[[#This Row],[Investor ID]])</f>
        <v>31563</v>
      </c>
      <c r="Q728" s="3">
        <f>ROUND(LS[[#This Row],[Amount]]/13.196,0)*10</f>
        <v>6400</v>
      </c>
      <c r="R728" s="6">
        <f>LS[[#This Row],[Amount]]-LS[[#This Row],[Unit Capital]]</f>
        <v>2051.1000000000004</v>
      </c>
      <c r="S72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11.831926622944588</v>
      </c>
      <c r="T728" s="216">
        <f t="shared" si="145"/>
        <v>12.552</v>
      </c>
      <c r="U72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28" s="3" cm="1">
        <f t="array" ref="V728">IF(LS[[#This Row],[B/S]]="S",ABS(LS[[#This Row],[Unit]])*(INDEX(LS[NAV at Cost (Average)],MATCH(CONCATENATE((LS[[#This Row],[Frequency]]-1),LS[[#This Row],[Investor ID]]),LS[Unique Code],0),0)),0)</f>
        <v>0</v>
      </c>
      <c r="W728" s="3">
        <f>IF(LS[[#This Row],[BO Transfer]]="YES",LS[[#This Row],[Unit]],)</f>
        <v>0</v>
      </c>
      <c r="X728" s="3">
        <f>SUMIFS(LS[[#Headers],[BO UNIT TRANSFER]]:LS[[#This Row],[BO UNIT TRANSFER]],LS[[#Headers],[Investor ID]]:LS[[#This Row],[Investor ID]],LS[[#This Row],[Investor ID]])</f>
        <v>0</v>
      </c>
    </row>
    <row r="729" spans="2:24">
      <c r="B729" s="8">
        <v>2026</v>
      </c>
      <c r="C729" s="8">
        <v>2</v>
      </c>
      <c r="D729" s="8">
        <v>16</v>
      </c>
      <c r="E729" s="291">
        <f>DATE(LS[[#This Row],[Year]],LS[[#This Row],[Month]],LS[[#This Row],[Day]])</f>
        <v>46069</v>
      </c>
      <c r="F729" t="str" cm="1">
        <f t="array" ref="F729">INDEX(INVESTORS_LIST[INVESTOR NAME],MATCH(LS[[#This Row],[Investor ID]],INVESTORS_LIST[INVESTOR CODE],0),)</f>
        <v>MUHAMMAD SHOHIDUZZAMAN</v>
      </c>
      <c r="G729" s="25" t="s">
        <v>1043</v>
      </c>
      <c r="H729" s="8">
        <f>COUNTIF(LS[[#Headers],[Investor ID]]:LS[[#This Row],[Investor ID]],LS[[#This Row],[Investor ID]])</f>
        <v>2</v>
      </c>
      <c r="I729" s="8" t="str">
        <f>CONCATENATE(LS[[#This Row],[Frequency]],LS[[#This Row],[Investor ID]])</f>
        <v>2A00470</v>
      </c>
      <c r="J729" s="8" t="str">
        <f>IF(LS[[#This Row],[B/S]]="B","BUY",(IF(LS[[#This Row],[B/S]]="S","SELL"," ")))</f>
        <v>BUY</v>
      </c>
      <c r="K729" s="8" t="s">
        <v>301</v>
      </c>
      <c r="L729" s="3">
        <v>118053.95</v>
      </c>
      <c r="M729" s="3" t="s">
        <v>957</v>
      </c>
      <c r="N729" s="216">
        <f>LS[[#This Row],[Amount]]/LS[[#This Row],[Unit]]</f>
        <v>13.196283255086072</v>
      </c>
      <c r="O729" s="1">
        <f t="shared" si="144"/>
        <v>8946</v>
      </c>
      <c r="P729" s="1">
        <f>SUMIFS(LS[[#Headers],[Unit]]:LS[[#This Row],[Unit]],LS[[#Headers],[Investor ID]]:LS[[#This Row],[Investor ID]],LS[[#This Row],[Investor ID]])</f>
        <v>346243</v>
      </c>
      <c r="Q729" s="3">
        <f>ROUND(LS[[#This Row],[Amount]]/13.196,0)*10</f>
        <v>89460</v>
      </c>
      <c r="R729" s="6">
        <f>LS[[#This Row],[Amount]]-LS[[#This Row],[Unit Capital]]</f>
        <v>28593.949999999997</v>
      </c>
      <c r="S72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11.893537053456676</v>
      </c>
      <c r="T729" s="216">
        <f t="shared" si="145"/>
        <v>12.552</v>
      </c>
      <c r="U72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29" s="3" cm="1">
        <f t="array" ref="V729">IF(LS[[#This Row],[B/S]]="S",ABS(LS[[#This Row],[Unit]])*(INDEX(LS[NAV at Cost (Average)],MATCH(CONCATENATE((LS[[#This Row],[Frequency]]-1),LS[[#This Row],[Investor ID]]),LS[Unique Code],0),0)),0)</f>
        <v>0</v>
      </c>
      <c r="W729" s="3">
        <f>IF(LS[[#This Row],[BO Transfer]]="YES",LS[[#This Row],[Unit]],)</f>
        <v>8946</v>
      </c>
      <c r="X729" s="3">
        <f>SUMIFS(LS[[#Headers],[BO UNIT TRANSFER]]:LS[[#This Row],[BO UNIT TRANSFER]],LS[[#Headers],[Investor ID]]:LS[[#This Row],[Investor ID]],LS[[#This Row],[Investor ID]])</f>
        <v>346243</v>
      </c>
    </row>
    <row r="730" spans="2:24">
      <c r="B730" s="8">
        <v>2026</v>
      </c>
      <c r="C730" s="8">
        <v>2</v>
      </c>
      <c r="D730" s="8">
        <v>16</v>
      </c>
      <c r="E730" s="291">
        <f>DATE(LS[[#This Row],[Year]],LS[[#This Row],[Month]],LS[[#This Row],[Day]])</f>
        <v>46069</v>
      </c>
      <c r="F730" t="str" cm="1">
        <f t="array" ref="F730">INDEX(INVESTORS_LIST[INVESTOR NAME],MATCH(LS[[#This Row],[Investor ID]],INVESTORS_LIST[INVESTOR CODE],0),)</f>
        <v>RAJIV HASSAN</v>
      </c>
      <c r="G730" s="25" t="s">
        <v>1105</v>
      </c>
      <c r="H730" s="8">
        <f>COUNTIF(LS[[#Headers],[Investor ID]]:LS[[#This Row],[Investor ID]],LS[[#This Row],[Investor ID]])</f>
        <v>2</v>
      </c>
      <c r="I730" s="8" t="str">
        <f>CONCATENATE(LS[[#This Row],[Frequency]],LS[[#This Row],[Investor ID]])</f>
        <v>2A00496</v>
      </c>
      <c r="J730" s="8" t="str">
        <f>IF(LS[[#This Row],[B/S]]="B","BUY",(IF(LS[[#This Row],[B/S]]="S","SELL"," ")))</f>
        <v>BUY</v>
      </c>
      <c r="K730" s="8" t="s">
        <v>301</v>
      </c>
      <c r="L730" s="3">
        <v>15959.999999999998</v>
      </c>
      <c r="M730" s="3" t="s">
        <v>957</v>
      </c>
      <c r="N730" s="216">
        <f>LS[[#This Row],[Amount]]/LS[[#This Row],[Unit]]</f>
        <v>13.200992555831265</v>
      </c>
      <c r="O730" s="1">
        <f t="shared" si="144"/>
        <v>1209</v>
      </c>
      <c r="P730" s="1">
        <f>SUMIFS(LS[[#Headers],[Unit]]:LS[[#This Row],[Unit]],LS[[#Headers],[Investor ID]]:LS[[#This Row],[Investor ID]],LS[[#This Row],[Investor ID]])</f>
        <v>46809</v>
      </c>
      <c r="Q730" s="3">
        <f>ROUND(LS[[#This Row],[Amount]]/13.196,0)*10</f>
        <v>12090</v>
      </c>
      <c r="R730" s="6">
        <f>LS[[#This Row],[Amount]]-LS[[#This Row],[Unit Capital]]</f>
        <v>3869.9999999999982</v>
      </c>
      <c r="S73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11.022666581213015</v>
      </c>
      <c r="T730" s="216">
        <f t="shared" si="145"/>
        <v>12.552</v>
      </c>
      <c r="U73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30" s="3" cm="1">
        <f t="array" ref="V730">IF(LS[[#This Row],[B/S]]="S",ABS(LS[[#This Row],[Unit]])*(INDEX(LS[NAV at Cost (Average)],MATCH(CONCATENATE((LS[[#This Row],[Frequency]]-1),LS[[#This Row],[Investor ID]]),LS[Unique Code],0),0)),0)</f>
        <v>0</v>
      </c>
      <c r="W730" s="3">
        <f>IF(LS[[#This Row],[BO Transfer]]="YES",LS[[#This Row],[Unit]],)</f>
        <v>1209</v>
      </c>
      <c r="X730" s="3">
        <f>SUMIFS(LS[[#Headers],[BO UNIT TRANSFER]]:LS[[#This Row],[BO UNIT TRANSFER]],LS[[#Headers],[Investor ID]]:LS[[#This Row],[Investor ID]],LS[[#This Row],[Investor ID]])</f>
        <v>1209</v>
      </c>
    </row>
    <row r="731" spans="2:24">
      <c r="B731" s="8">
        <v>2026</v>
      </c>
      <c r="C731" s="8">
        <v>2</v>
      </c>
      <c r="D731" s="8">
        <v>16</v>
      </c>
      <c r="E731" s="291">
        <f>DATE(LS[[#This Row],[Year]],LS[[#This Row],[Month]],LS[[#This Row],[Day]])</f>
        <v>46069</v>
      </c>
      <c r="F731" t="str" cm="1">
        <f t="array" ref="F731">INDEX(INVESTORS_LIST[INVESTOR NAME],MATCH(LS[[#This Row],[Investor ID]],INVESTORS_LIST[INVESTOR CODE],0),)</f>
        <v>SHAHRIAR AZAD SHASHI</v>
      </c>
      <c r="G731" s="25" t="s">
        <v>1107</v>
      </c>
      <c r="H731" s="8">
        <f>COUNTIF(LS[[#Headers],[Investor ID]]:LS[[#This Row],[Investor ID]],LS[[#This Row],[Investor ID]])</f>
        <v>3</v>
      </c>
      <c r="I731" s="8" t="str">
        <f>CONCATENATE(LS[[#This Row],[Frequency]],LS[[#This Row],[Investor ID]])</f>
        <v>3A00497</v>
      </c>
      <c r="J731" s="8" t="str">
        <f>IF(LS[[#This Row],[B/S]]="B","BUY",(IF(LS[[#This Row],[B/S]]="S","SELL"," ")))</f>
        <v>BUY</v>
      </c>
      <c r="K731" s="8" t="s">
        <v>301</v>
      </c>
      <c r="L731" s="3">
        <v>11550</v>
      </c>
      <c r="M731" s="3"/>
      <c r="N731" s="216">
        <f>LS[[#This Row],[Amount]]/LS[[#This Row],[Unit]]</f>
        <v>13.2</v>
      </c>
      <c r="O731" s="1">
        <f t="shared" si="144"/>
        <v>875</v>
      </c>
      <c r="P731" s="1">
        <f>SUMIFS(LS[[#Headers],[Unit]]:LS[[#This Row],[Unit]],LS[[#Headers],[Investor ID]]:LS[[#This Row],[Investor ID]],LS[[#This Row],[Investor ID]])</f>
        <v>33875</v>
      </c>
      <c r="Q731" s="3">
        <f>ROUND(LS[[#This Row],[Amount]]/13.196,0)*10</f>
        <v>8750</v>
      </c>
      <c r="R731" s="6">
        <f>LS[[#This Row],[Amount]]-LS[[#This Row],[Unit Capital]]</f>
        <v>2800</v>
      </c>
      <c r="S73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10.740145358166773</v>
      </c>
      <c r="T731" s="216">
        <f t="shared" si="145"/>
        <v>12.552</v>
      </c>
      <c r="U73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31" s="3" cm="1">
        <f t="array" ref="V731">IF(LS[[#This Row],[B/S]]="S",ABS(LS[[#This Row],[Unit]])*(INDEX(LS[NAV at Cost (Average)],MATCH(CONCATENATE((LS[[#This Row],[Frequency]]-1),LS[[#This Row],[Investor ID]]),LS[Unique Code],0),0)),0)</f>
        <v>0</v>
      </c>
      <c r="W731" s="3">
        <f>IF(LS[[#This Row],[BO Transfer]]="YES",LS[[#This Row],[Unit]],)</f>
        <v>0</v>
      </c>
      <c r="X731" s="3">
        <f>SUMIFS(LS[[#Headers],[BO UNIT TRANSFER]]:LS[[#This Row],[BO UNIT TRANSFER]],LS[[#Headers],[Investor ID]]:LS[[#This Row],[Investor ID]],LS[[#This Row],[Investor ID]])</f>
        <v>0</v>
      </c>
    </row>
    <row r="732" spans="2:24">
      <c r="B732" s="8">
        <v>2026</v>
      </c>
      <c r="C732" s="8">
        <v>2</v>
      </c>
      <c r="D732" s="8">
        <v>16</v>
      </c>
      <c r="E732" s="291">
        <f>DATE(LS[[#This Row],[Year]],LS[[#This Row],[Month]],LS[[#This Row],[Day]])</f>
        <v>46069</v>
      </c>
      <c r="F732" t="str" cm="1">
        <f t="array" ref="F732">INDEX(INVESTORS_LIST[INVESTOR NAME],MATCH(LS[[#This Row],[Investor ID]],INVESTORS_LIST[INVESTOR CODE],0),)</f>
        <v>FARZANA MOSTAFA TITHE</v>
      </c>
      <c r="G732" s="25" t="s">
        <v>1224</v>
      </c>
      <c r="H732" s="8">
        <f>COUNTIF(LS[[#Headers],[Investor ID]]:LS[[#This Row],[Investor ID]],LS[[#This Row],[Investor ID]])</f>
        <v>2</v>
      </c>
      <c r="I732" s="8" t="str">
        <f>CONCATENATE(LS[[#This Row],[Frequency]],LS[[#This Row],[Investor ID]])</f>
        <v>2A00517</v>
      </c>
      <c r="J732" s="8" t="str">
        <f>IF(LS[[#This Row],[B/S]]="B","BUY",(IF(LS[[#This Row],[B/S]]="S","SELL"," ")))</f>
        <v>BUY</v>
      </c>
      <c r="K732" s="8" t="s">
        <v>301</v>
      </c>
      <c r="L732" s="3">
        <v>84000</v>
      </c>
      <c r="M732" s="3" t="s">
        <v>957</v>
      </c>
      <c r="N732" s="216">
        <f>LS[[#This Row],[Amount]]/LS[[#This Row],[Unit]]</f>
        <v>13.195098963242224</v>
      </c>
      <c r="O732" s="1">
        <f t="shared" si="144"/>
        <v>6366</v>
      </c>
      <c r="P732" s="1">
        <f>SUMIFS(LS[[#Headers],[Unit]]:LS[[#This Row],[Unit]],LS[[#Headers],[Investor ID]]:LS[[#This Row],[Investor ID]],LS[[#This Row],[Investor ID]])</f>
        <v>246366</v>
      </c>
      <c r="Q732" s="3">
        <f>ROUND(LS[[#This Row],[Amount]]/13.196,0)*10</f>
        <v>63660</v>
      </c>
      <c r="R732" s="6">
        <f>LS[[#This Row],[Amount]]-LS[[#This Row],[Unit Capital]]</f>
        <v>20340</v>
      </c>
      <c r="S73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11.818513918316651</v>
      </c>
      <c r="T732" s="216">
        <f t="shared" si="145"/>
        <v>12.552</v>
      </c>
      <c r="U73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32" s="3" cm="1">
        <f t="array" ref="V732">IF(LS[[#This Row],[B/S]]="S",ABS(LS[[#This Row],[Unit]])*(INDEX(LS[NAV at Cost (Average)],MATCH(CONCATENATE((LS[[#This Row],[Frequency]]-1),LS[[#This Row],[Investor ID]]),LS[Unique Code],0),0)),0)</f>
        <v>0</v>
      </c>
      <c r="W732" s="3">
        <f>IF(LS[[#This Row],[BO Transfer]]="YES",LS[[#This Row],[Unit]],)</f>
        <v>6366</v>
      </c>
      <c r="X732" s="3">
        <f>SUMIFS(LS[[#Headers],[BO UNIT TRANSFER]]:LS[[#This Row],[BO UNIT TRANSFER]],LS[[#Headers],[Investor ID]]:LS[[#This Row],[Investor ID]],LS[[#This Row],[Investor ID]])</f>
        <v>6366</v>
      </c>
    </row>
    <row r="733" spans="2:24">
      <c r="B733" s="8">
        <v>2026</v>
      </c>
      <c r="C733" s="8">
        <v>2</v>
      </c>
      <c r="D733" s="8">
        <v>16</v>
      </c>
      <c r="E733" s="291">
        <f>DATE(LS[[#This Row],[Year]],LS[[#This Row],[Month]],LS[[#This Row],[Day]])</f>
        <v>46069</v>
      </c>
      <c r="F733" t="str" cm="1">
        <f t="array" ref="F733">INDEX(INVESTORS_LIST[INVESTOR NAME],MATCH(LS[[#This Row],[Investor ID]],INVESTORS_LIST[INVESTOR CODE],0),)</f>
        <v>ADNAN NOOR</v>
      </c>
      <c r="G733" s="25" t="s">
        <v>1248</v>
      </c>
      <c r="H733" s="8">
        <f>COUNTIF(LS[[#Headers],[Investor ID]]:LS[[#This Row],[Investor ID]],LS[[#This Row],[Investor ID]])</f>
        <v>4</v>
      </c>
      <c r="I733" s="8" t="str">
        <f>CONCATENATE(LS[[#This Row],[Frequency]],LS[[#This Row],[Investor ID]])</f>
        <v>4A00529</v>
      </c>
      <c r="J733" s="8" t="str">
        <f>IF(LS[[#This Row],[B/S]]="B","BUY",(IF(LS[[#This Row],[B/S]]="S","SELL"," ")))</f>
        <v>BUY</v>
      </c>
      <c r="K733" s="8" t="s">
        <v>301</v>
      </c>
      <c r="L733" s="3">
        <v>16650.55</v>
      </c>
      <c r="M733" s="3" t="s">
        <v>957</v>
      </c>
      <c r="N733" s="216">
        <f>LS[[#This Row],[Amount]]/LS[[#This Row],[Unit]]</f>
        <v>13.193779714738509</v>
      </c>
      <c r="O733" s="1">
        <f t="shared" si="144"/>
        <v>1262</v>
      </c>
      <c r="P733" s="1">
        <f>SUMIFS(LS[[#Headers],[Unit]]:LS[[#This Row],[Unit]],LS[[#Headers],[Investor ID]]:LS[[#This Row],[Investor ID]],LS[[#This Row],[Investor ID]])</f>
        <v>48835</v>
      </c>
      <c r="Q733" s="3">
        <f>ROUND(LS[[#This Row],[Amount]]/13.196,0)*10</f>
        <v>12620</v>
      </c>
      <c r="R733" s="6">
        <f>LS[[#This Row],[Amount]]-LS[[#This Row],[Unit Capital]]</f>
        <v>4030.5499999999993</v>
      </c>
      <c r="S73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10.605621431430214</v>
      </c>
      <c r="T733" s="216">
        <f t="shared" si="145"/>
        <v>12.552</v>
      </c>
      <c r="U73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33" s="3" cm="1">
        <f t="array" ref="V733">IF(LS[[#This Row],[B/S]]="S",ABS(LS[[#This Row],[Unit]])*(INDEX(LS[NAV at Cost (Average)],MATCH(CONCATENATE((LS[[#This Row],[Frequency]]-1),LS[[#This Row],[Investor ID]]),LS[Unique Code],0),0)),0)</f>
        <v>0</v>
      </c>
      <c r="W733" s="3">
        <f>IF(LS[[#This Row],[BO Transfer]]="YES",LS[[#This Row],[Unit]],)</f>
        <v>1262</v>
      </c>
      <c r="X733" s="3">
        <f>SUMIFS(LS[[#Headers],[BO UNIT TRANSFER]]:LS[[#This Row],[BO UNIT TRANSFER]],LS[[#Headers],[Investor ID]]:LS[[#This Row],[Investor ID]],LS[[#This Row],[Investor ID]])</f>
        <v>48835</v>
      </c>
    </row>
    <row r="734" spans="2:24">
      <c r="B734" s="8">
        <v>2026</v>
      </c>
      <c r="C734" s="8">
        <v>2</v>
      </c>
      <c r="D734" s="8">
        <v>16</v>
      </c>
      <c r="E734" s="291">
        <f>DATE(LS[[#This Row],[Year]],LS[[#This Row],[Month]],LS[[#This Row],[Day]])</f>
        <v>46069</v>
      </c>
      <c r="F734" t="str" cm="1">
        <f t="array" ref="F734">INDEX(INVESTORS_LIST[INVESTOR NAME],MATCH(LS[[#This Row],[Investor ID]],INVESTORS_LIST[INVESTOR CODE],0),)</f>
        <v>PUJA BHATTACHARJEE</v>
      </c>
      <c r="G734" s="25" t="s">
        <v>1376</v>
      </c>
      <c r="H734" s="8">
        <f>COUNTIF(LS[[#Headers],[Investor ID]]:LS[[#This Row],[Investor ID]],LS[[#This Row],[Investor ID]])</f>
        <v>2</v>
      </c>
      <c r="I734" s="8" t="str">
        <f>CONCATENATE(LS[[#This Row],[Frequency]],LS[[#This Row],[Investor ID]])</f>
        <v>2A00590</v>
      </c>
      <c r="J734" s="8" t="str">
        <f>IF(LS[[#This Row],[B/S]]="B","BUY",(IF(LS[[#This Row],[B/S]]="S","SELL"," ")))</f>
        <v>BUY</v>
      </c>
      <c r="K734" s="8" t="s">
        <v>301</v>
      </c>
      <c r="L734" s="3">
        <v>8508.85</v>
      </c>
      <c r="M734" s="3" t="s">
        <v>957</v>
      </c>
      <c r="N734" s="216">
        <f>LS[[#This Row],[Amount]]/LS[[#This Row],[Unit]]</f>
        <v>13.19201550387597</v>
      </c>
      <c r="O734" s="1">
        <f t="shared" si="144"/>
        <v>645</v>
      </c>
      <c r="P734" s="1">
        <f>SUMIFS(LS[[#Headers],[Unit]]:LS[[#This Row],[Unit]],LS[[#Headers],[Investor ID]]:LS[[#This Row],[Investor ID]],LS[[#This Row],[Investor ID]])</f>
        <v>24956</v>
      </c>
      <c r="Q734" s="3">
        <f>ROUND(LS[[#This Row],[Amount]]/13.196,0)*10</f>
        <v>6450</v>
      </c>
      <c r="R734" s="6">
        <f>LS[[#This Row],[Amount]]-LS[[#This Row],[Unit Capital]]</f>
        <v>2058.8500000000004</v>
      </c>
      <c r="S73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12.362111315916014</v>
      </c>
      <c r="T734" s="216">
        <f t="shared" si="145"/>
        <v>12.552</v>
      </c>
      <c r="U73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34" s="3" cm="1">
        <f t="array" ref="V734">IF(LS[[#This Row],[B/S]]="S",ABS(LS[[#This Row],[Unit]])*(INDEX(LS[NAV at Cost (Average)],MATCH(CONCATENATE((LS[[#This Row],[Frequency]]-1),LS[[#This Row],[Investor ID]]),LS[Unique Code],0),0)),0)</f>
        <v>0</v>
      </c>
      <c r="W734" s="3">
        <f>IF(LS[[#This Row],[BO Transfer]]="YES",LS[[#This Row],[Unit]],)</f>
        <v>645</v>
      </c>
      <c r="X734" s="3">
        <f>SUMIFS(LS[[#Headers],[BO UNIT TRANSFER]]:LS[[#This Row],[BO UNIT TRANSFER]],LS[[#Headers],[Investor ID]]:LS[[#This Row],[Investor ID]],LS[[#This Row],[Investor ID]])</f>
        <v>24956</v>
      </c>
    </row>
    <row r="735" spans="2:24">
      <c r="B735" s="8">
        <v>2026</v>
      </c>
      <c r="C735" s="8">
        <v>2</v>
      </c>
      <c r="D735" s="8">
        <v>16</v>
      </c>
      <c r="E735" s="291">
        <f>DATE(LS[[#This Row],[Year]],LS[[#This Row],[Month]],LS[[#This Row],[Day]])</f>
        <v>46069</v>
      </c>
      <c r="F735" t="str" cm="1">
        <f t="array" ref="F735">INDEX(INVESTORS_LIST[INVESTOR NAME],MATCH(LS[[#This Row],[Investor ID]],INVESTORS_LIST[INVESTOR CODE],0),)</f>
        <v>ARIF HASAN KHAN</v>
      </c>
      <c r="G735" s="25" t="s">
        <v>1436</v>
      </c>
      <c r="H735" s="8">
        <f>COUNTIF(LS[[#Headers],[Investor ID]]:LS[[#This Row],[Investor ID]],LS[[#This Row],[Investor ID]])</f>
        <v>2</v>
      </c>
      <c r="I735" s="8" t="str">
        <f>CONCATENATE(LS[[#This Row],[Frequency]],LS[[#This Row],[Investor ID]])</f>
        <v>2A00621</v>
      </c>
      <c r="J735" s="8" t="str">
        <f>IF(LS[[#This Row],[B/S]]="B","BUY",(IF(LS[[#This Row],[B/S]]="S","SELL"," ")))</f>
        <v>BUY</v>
      </c>
      <c r="K735" s="8" t="s">
        <v>301</v>
      </c>
      <c r="L735" s="3">
        <v>5767.65</v>
      </c>
      <c r="M735" s="3" t="s">
        <v>957</v>
      </c>
      <c r="N735" s="216">
        <f>LS[[#This Row],[Amount]]/LS[[#This Row],[Unit]]</f>
        <v>13.19828375286041</v>
      </c>
      <c r="O735" s="1">
        <f t="shared" si="144"/>
        <v>437</v>
      </c>
      <c r="P735" s="1">
        <f>SUMIFS(LS[[#Headers],[Unit]]:LS[[#This Row],[Unit]],LS[[#Headers],[Investor ID]]:LS[[#This Row],[Investor ID]],LS[[#This Row],[Investor ID]])</f>
        <v>16916</v>
      </c>
      <c r="Q735" s="3">
        <f>ROUND(LS[[#This Row],[Amount]]/13.196,0)*10</f>
        <v>4370</v>
      </c>
      <c r="R735" s="6">
        <f>LS[[#This Row],[Amount]]-LS[[#This Row],[Unit Capital]]</f>
        <v>1397.6499999999996</v>
      </c>
      <c r="S73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12.164084298888625</v>
      </c>
      <c r="T735" s="216">
        <f t="shared" si="145"/>
        <v>12.552</v>
      </c>
      <c r="U73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35" s="3" cm="1">
        <f t="array" ref="V735">IF(LS[[#This Row],[B/S]]="S",ABS(LS[[#This Row],[Unit]])*(INDEX(LS[NAV at Cost (Average)],MATCH(CONCATENATE((LS[[#This Row],[Frequency]]-1),LS[[#This Row],[Investor ID]]),LS[Unique Code],0),0)),0)</f>
        <v>0</v>
      </c>
      <c r="W735" s="3">
        <f>IF(LS[[#This Row],[BO Transfer]]="YES",LS[[#This Row],[Unit]],)</f>
        <v>437</v>
      </c>
      <c r="X735" s="3">
        <f>SUMIFS(LS[[#Headers],[BO UNIT TRANSFER]]:LS[[#This Row],[BO UNIT TRANSFER]],LS[[#Headers],[Investor ID]]:LS[[#This Row],[Investor ID]],LS[[#This Row],[Investor ID]])</f>
        <v>437</v>
      </c>
    </row>
    <row r="736" spans="2:24">
      <c r="B736" s="8">
        <v>2026</v>
      </c>
      <c r="C736" s="8">
        <v>2</v>
      </c>
      <c r="D736" s="8">
        <v>16</v>
      </c>
      <c r="E736" s="291">
        <f>DATE(LS[[#This Row],[Year]],LS[[#This Row],[Month]],LS[[#This Row],[Day]])</f>
        <v>46069</v>
      </c>
      <c r="F736" t="str" cm="1">
        <f t="array" ref="F736">INDEX(INVESTORS_LIST[INVESTOR NAME],MATCH(LS[[#This Row],[Investor ID]],INVESTORS_LIST[INVESTOR CODE],0),)</f>
        <v>PUJA GHOSH</v>
      </c>
      <c r="G736" s="25" t="s">
        <v>1474</v>
      </c>
      <c r="H736" s="8">
        <f>COUNTIF(LS[[#Headers],[Investor ID]]:LS[[#This Row],[Investor ID]],LS[[#This Row],[Investor ID]])</f>
        <v>4</v>
      </c>
      <c r="I736" s="8" t="str">
        <f>CONCATENATE(LS[[#This Row],[Frequency]],LS[[#This Row],[Investor ID]])</f>
        <v>4A00642</v>
      </c>
      <c r="J736" s="8" t="str">
        <f>IF(LS[[#This Row],[B/S]]="B","BUY",(IF(LS[[#This Row],[B/S]]="S","SELL"," ")))</f>
        <v>BUY</v>
      </c>
      <c r="K736" s="8" t="s">
        <v>301</v>
      </c>
      <c r="L736" s="3">
        <v>2610.6499999999996</v>
      </c>
      <c r="M736" s="3"/>
      <c r="N736" s="216">
        <f>LS[[#This Row],[Amount]]/LS[[#This Row],[Unit]]</f>
        <v>13.185101010101008</v>
      </c>
      <c r="O736" s="1">
        <f t="shared" ref="O736:O745" si="146">Q736/10</f>
        <v>198</v>
      </c>
      <c r="P736" s="1">
        <f>SUMIFS(LS[[#Headers],[Unit]]:LS[[#This Row],[Unit]],LS[[#Headers],[Investor ID]]:LS[[#This Row],[Investor ID]],LS[[#This Row],[Investor ID]])</f>
        <v>7657</v>
      </c>
      <c r="Q736" s="3">
        <f>ROUND(LS[[#This Row],[Amount]]/13.196,0)*10</f>
        <v>1980</v>
      </c>
      <c r="R736" s="6">
        <f>LS[[#This Row],[Amount]]-LS[[#This Row],[Unit Capital]]</f>
        <v>630.64999999999964</v>
      </c>
      <c r="S73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11.899000914196161</v>
      </c>
      <c r="T736" s="216">
        <f t="shared" ref="T736:T745" si="147">IFERROR(NAV_MKT,0)</f>
        <v>12.552</v>
      </c>
      <c r="U736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36" s="3" cm="1">
        <f t="array" ref="V736">IF(LS[[#This Row],[B/S]]="S",ABS(LS[[#This Row],[Unit]])*(INDEX(LS[NAV at Cost (Average)],MATCH(CONCATENATE((LS[[#This Row],[Frequency]]-1),LS[[#This Row],[Investor ID]]),LS[Unique Code],0),0)),0)</f>
        <v>0</v>
      </c>
      <c r="W736" s="3">
        <f>IF(LS[[#This Row],[BO Transfer]]="YES",LS[[#This Row],[Unit]],)</f>
        <v>0</v>
      </c>
      <c r="X736" s="3">
        <f>SUMIFS(LS[[#Headers],[BO UNIT TRANSFER]]:LS[[#This Row],[BO UNIT TRANSFER]],LS[[#Headers],[Investor ID]]:LS[[#This Row],[Investor ID]],LS[[#This Row],[Investor ID]])</f>
        <v>0</v>
      </c>
    </row>
    <row r="737" spans="2:24">
      <c r="B737" s="8">
        <v>2026</v>
      </c>
      <c r="C737" s="8">
        <v>2</v>
      </c>
      <c r="D737" s="8">
        <v>16</v>
      </c>
      <c r="E737" s="291">
        <f>DATE(LS[[#This Row],[Year]],LS[[#This Row],[Month]],LS[[#This Row],[Day]])</f>
        <v>46069</v>
      </c>
      <c r="F737" t="str" cm="1">
        <f t="array" ref="F737">INDEX(INVESTORS_LIST[INVESTOR NAME],MATCH(LS[[#This Row],[Investor ID]],INVESTORS_LIST[INVESTOR CODE],0),)</f>
        <v>SHEIKH ASHRAFUL HAQUE</v>
      </c>
      <c r="G737" s="25" t="s">
        <v>1492</v>
      </c>
      <c r="H737" s="8">
        <f>COUNTIF(LS[[#Headers],[Investor ID]]:LS[[#This Row],[Investor ID]],LS[[#This Row],[Investor ID]])</f>
        <v>2</v>
      </c>
      <c r="I737" s="8" t="str">
        <f>CONCATENATE(LS[[#This Row],[Frequency]],LS[[#This Row],[Investor ID]])</f>
        <v>2A00654</v>
      </c>
      <c r="J737" s="8" t="str">
        <f>IF(LS[[#This Row],[B/S]]="B","BUY",(IF(LS[[#This Row],[B/S]]="S","SELL"," ")))</f>
        <v>BUY</v>
      </c>
      <c r="K737" s="8" t="s">
        <v>301</v>
      </c>
      <c r="L737" s="3">
        <v>14470.05</v>
      </c>
      <c r="M737" s="3" t="s">
        <v>957</v>
      </c>
      <c r="N737" s="216">
        <f>LS[[#This Row],[Amount]]/LS[[#This Row],[Unit]]</f>
        <v>13.19056517775752</v>
      </c>
      <c r="O737" s="1">
        <f t="shared" si="146"/>
        <v>1097</v>
      </c>
      <c r="P737" s="1">
        <f>SUMIFS(LS[[#Headers],[Unit]]:LS[[#This Row],[Unit]],LS[[#Headers],[Investor ID]]:LS[[#This Row],[Investor ID]],LS[[#This Row],[Investor ID]])</f>
        <v>42440</v>
      </c>
      <c r="Q737" s="3">
        <f>ROUND(LS[[#This Row],[Amount]]/13.196,0)*10</f>
        <v>10970</v>
      </c>
      <c r="R737" s="6">
        <f>LS[[#This Row],[Amount]]-LS[[#This Row],[Unit Capital]]</f>
        <v>3500.0499999999993</v>
      </c>
      <c r="S73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12.122291470311028</v>
      </c>
      <c r="T737" s="216">
        <f t="shared" si="147"/>
        <v>12.552</v>
      </c>
      <c r="U73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37" s="3" cm="1">
        <f t="array" ref="V737">IF(LS[[#This Row],[B/S]]="S",ABS(LS[[#This Row],[Unit]])*(INDEX(LS[NAV at Cost (Average)],MATCH(CONCATENATE((LS[[#This Row],[Frequency]]-1),LS[[#This Row],[Investor ID]]),LS[Unique Code],0),0)),0)</f>
        <v>0</v>
      </c>
      <c r="W737" s="3">
        <f>IF(LS[[#This Row],[BO Transfer]]="YES",LS[[#This Row],[Unit]],)</f>
        <v>1097</v>
      </c>
      <c r="X737" s="3">
        <f>SUMIFS(LS[[#Headers],[BO UNIT TRANSFER]]:LS[[#This Row],[BO UNIT TRANSFER]],LS[[#Headers],[Investor ID]]:LS[[#This Row],[Investor ID]],LS[[#This Row],[Investor ID]])</f>
        <v>1097</v>
      </c>
    </row>
    <row r="738" spans="2:24">
      <c r="B738" s="8">
        <v>2026</v>
      </c>
      <c r="C738" s="8">
        <v>2</v>
      </c>
      <c r="D738" s="8">
        <v>16</v>
      </c>
      <c r="E738" s="291">
        <f>DATE(LS[[#This Row],[Year]],LS[[#This Row],[Month]],LS[[#This Row],[Day]])</f>
        <v>46069</v>
      </c>
      <c r="F738" t="str" cm="1">
        <f t="array" ref="F738">INDEX(INVESTORS_LIST[INVESTOR NAME],MATCH(LS[[#This Row],[Investor ID]],INVESTORS_LIST[INVESTOR CODE],0),)</f>
        <v>RIPAN CHOWDHURY</v>
      </c>
      <c r="G738" s="25" t="s">
        <v>1513</v>
      </c>
      <c r="H738" s="8">
        <f>COUNTIF(LS[[#Headers],[Investor ID]]:LS[[#This Row],[Investor ID]],LS[[#This Row],[Investor ID]])</f>
        <v>2</v>
      </c>
      <c r="I738" s="8" t="str">
        <f>CONCATENATE(LS[[#This Row],[Frequency]],LS[[#This Row],[Investor ID]])</f>
        <v>2A00659</v>
      </c>
      <c r="J738" s="8" t="str">
        <f>IF(LS[[#This Row],[B/S]]="B","BUY",(IF(LS[[#This Row],[B/S]]="S","SELL"," ")))</f>
        <v>BUY</v>
      </c>
      <c r="K738" s="8" t="s">
        <v>301</v>
      </c>
      <c r="L738" s="3">
        <v>350</v>
      </c>
      <c r="M738" s="3" t="s">
        <v>957</v>
      </c>
      <c r="N738" s="216">
        <f>LS[[#This Row],[Amount]]/LS[[#This Row],[Unit]]</f>
        <v>12.962962962962964</v>
      </c>
      <c r="O738" s="1">
        <f t="shared" si="146"/>
        <v>27</v>
      </c>
      <c r="P738" s="1">
        <f>SUMIFS(LS[[#Headers],[Unit]]:LS[[#This Row],[Unit]],LS[[#Headers],[Investor ID]]:LS[[#This Row],[Investor ID]],LS[[#This Row],[Investor ID]])</f>
        <v>1027</v>
      </c>
      <c r="Q738" s="3">
        <f>ROUND(LS[[#This Row],[Amount]]/13.196,0)*10</f>
        <v>270</v>
      </c>
      <c r="R738" s="6">
        <f>LS[[#This Row],[Amount]]-LS[[#This Row],[Unit Capital]]</f>
        <v>80</v>
      </c>
      <c r="S73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12.356377799415775</v>
      </c>
      <c r="T738" s="216">
        <f t="shared" si="147"/>
        <v>12.552</v>
      </c>
      <c r="U73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38" s="3" cm="1">
        <f t="array" ref="V738">IF(LS[[#This Row],[B/S]]="S",ABS(LS[[#This Row],[Unit]])*(INDEX(LS[NAV at Cost (Average)],MATCH(CONCATENATE((LS[[#This Row],[Frequency]]-1),LS[[#This Row],[Investor ID]]),LS[Unique Code],0),0)),0)</f>
        <v>0</v>
      </c>
      <c r="W738" s="3">
        <f>IF(LS[[#This Row],[BO Transfer]]="YES",LS[[#This Row],[Unit]],)</f>
        <v>27</v>
      </c>
      <c r="X738" s="3">
        <f>SUMIFS(LS[[#Headers],[BO UNIT TRANSFER]]:LS[[#This Row],[BO UNIT TRANSFER]],LS[[#Headers],[Investor ID]]:LS[[#This Row],[Investor ID]],LS[[#This Row],[Investor ID]])</f>
        <v>1027</v>
      </c>
    </row>
    <row r="739" spans="2:24">
      <c r="B739" s="8">
        <v>2026</v>
      </c>
      <c r="C739" s="8">
        <v>2</v>
      </c>
      <c r="D739" s="8">
        <v>16</v>
      </c>
      <c r="E739" s="291">
        <f>DATE(LS[[#This Row],[Year]],LS[[#This Row],[Month]],LS[[#This Row],[Day]])</f>
        <v>46069</v>
      </c>
      <c r="F739" t="str" cm="1">
        <f t="array" ref="F739">INDEX(INVESTORS_LIST[INVESTOR NAME],MATCH(LS[[#This Row],[Investor ID]],INVESTORS_LIST[INVESTOR CODE],0),)</f>
        <v>MD SHAHIDUZZAMAN</v>
      </c>
      <c r="G739" s="25" t="s">
        <v>1511</v>
      </c>
      <c r="H739" s="8">
        <f>COUNTIF(LS[[#Headers],[Investor ID]]:LS[[#This Row],[Investor ID]],LS[[#This Row],[Investor ID]])</f>
        <v>3</v>
      </c>
      <c r="I739" s="8" t="str">
        <f>CONCATENATE(LS[[#This Row],[Frequency]],LS[[#This Row],[Investor ID]])</f>
        <v>3A00660</v>
      </c>
      <c r="J739" s="8" t="str">
        <f>IF(LS[[#This Row],[B/S]]="B","BUY",(IF(LS[[#This Row],[B/S]]="S","SELL"," ")))</f>
        <v>BUY</v>
      </c>
      <c r="K739" s="8" t="s">
        <v>301</v>
      </c>
      <c r="L739" s="3">
        <v>14181.3</v>
      </c>
      <c r="M739" s="3"/>
      <c r="N739" s="216">
        <f>LS[[#This Row],[Amount]]/LS[[#This Row],[Unit]]</f>
        <v>13.191906976744185</v>
      </c>
      <c r="O739" s="1">
        <f t="shared" si="146"/>
        <v>1075</v>
      </c>
      <c r="P739" s="1">
        <f>SUMIFS(LS[[#Headers],[Unit]]:LS[[#This Row],[Unit]],LS[[#Headers],[Investor ID]]:LS[[#This Row],[Investor ID]],LS[[#This Row],[Investor ID]])</f>
        <v>41593</v>
      </c>
      <c r="Q739" s="3">
        <f>ROUND(LS[[#This Row],[Amount]]/13.196,0)*10</f>
        <v>10750</v>
      </c>
      <c r="R739" s="6">
        <f>LS[[#This Row],[Amount]]-LS[[#This Row],[Unit Capital]]</f>
        <v>3431.2999999999993</v>
      </c>
      <c r="S73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12.362207583006755</v>
      </c>
      <c r="T739" s="216">
        <f t="shared" si="147"/>
        <v>12.552</v>
      </c>
      <c r="U73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39" s="3" cm="1">
        <f t="array" ref="V739">IF(LS[[#This Row],[B/S]]="S",ABS(LS[[#This Row],[Unit]])*(INDEX(LS[NAV at Cost (Average)],MATCH(CONCATENATE((LS[[#This Row],[Frequency]]-1),LS[[#This Row],[Investor ID]]),LS[Unique Code],0),0)),0)</f>
        <v>0</v>
      </c>
      <c r="W739" s="3">
        <f>IF(LS[[#This Row],[BO Transfer]]="YES",LS[[#This Row],[Unit]],)</f>
        <v>0</v>
      </c>
      <c r="X739" s="3">
        <f>SUMIFS(LS[[#Headers],[BO UNIT TRANSFER]]:LS[[#This Row],[BO UNIT TRANSFER]],LS[[#Headers],[Investor ID]]:LS[[#This Row],[Investor ID]],LS[[#This Row],[Investor ID]])</f>
        <v>0</v>
      </c>
    </row>
    <row r="740" spans="2:24">
      <c r="B740" s="8">
        <v>2026</v>
      </c>
      <c r="C740" s="8">
        <v>2</v>
      </c>
      <c r="D740" s="8">
        <v>16</v>
      </c>
      <c r="E740" s="291">
        <f>DATE(LS[[#This Row],[Year]],LS[[#This Row],[Month]],LS[[#This Row],[Day]])</f>
        <v>46069</v>
      </c>
      <c r="F740" t="str" cm="1">
        <f t="array" ref="F740">INDEX(INVESTORS_LIST[INVESTOR NAME],MATCH(LS[[#This Row],[Investor ID]],INVESTORS_LIST[INVESTOR CODE],0),)</f>
        <v>SONIA REZINA</v>
      </c>
      <c r="G740" s="25" t="s">
        <v>1518</v>
      </c>
      <c r="H740" s="8">
        <f>COUNTIF(LS[[#Headers],[Investor ID]]:LS[[#This Row],[Investor ID]],LS[[#This Row],[Investor ID]])</f>
        <v>2</v>
      </c>
      <c r="I740" s="8" t="str">
        <f>CONCATENATE(LS[[#This Row],[Frequency]],LS[[#This Row],[Investor ID]])</f>
        <v>2A00662</v>
      </c>
      <c r="J740" s="8" t="str">
        <f>IF(LS[[#This Row],[B/S]]="B","BUY",(IF(LS[[#This Row],[B/S]]="S","SELL"," ")))</f>
        <v>BUY</v>
      </c>
      <c r="K740" s="8" t="s">
        <v>301</v>
      </c>
      <c r="L740" s="3">
        <v>8926.4</v>
      </c>
      <c r="M740" s="3" t="s">
        <v>957</v>
      </c>
      <c r="N740" s="216">
        <f>LS[[#This Row],[Amount]]/LS[[#This Row],[Unit]]</f>
        <v>13.20473372781065</v>
      </c>
      <c r="O740" s="1">
        <f t="shared" si="146"/>
        <v>676</v>
      </c>
      <c r="P740" s="1">
        <f>SUMIFS(LS[[#Headers],[Unit]]:LS[[#This Row],[Unit]],LS[[#Headers],[Investor ID]]:LS[[#This Row],[Investor ID]],LS[[#This Row],[Investor ID]])</f>
        <v>26180</v>
      </c>
      <c r="Q740" s="3">
        <f>ROUND(LS[[#This Row],[Amount]]/13.196,0)*10</f>
        <v>6760</v>
      </c>
      <c r="R740" s="6">
        <f>LS[[#This Row],[Amount]]-LS[[#This Row],[Unit Capital]]</f>
        <v>2166.3999999999996</v>
      </c>
      <c r="S74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12.182062643239115</v>
      </c>
      <c r="T740" s="216">
        <f t="shared" si="147"/>
        <v>12.552</v>
      </c>
      <c r="U740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40" s="3" cm="1">
        <f t="array" ref="V740">IF(LS[[#This Row],[B/S]]="S",ABS(LS[[#This Row],[Unit]])*(INDEX(LS[NAV at Cost (Average)],MATCH(CONCATENATE((LS[[#This Row],[Frequency]]-1),LS[[#This Row],[Investor ID]]),LS[Unique Code],0),0)),0)</f>
        <v>0</v>
      </c>
      <c r="W740" s="3">
        <f>IF(LS[[#This Row],[BO Transfer]]="YES",LS[[#This Row],[Unit]],)</f>
        <v>676</v>
      </c>
      <c r="X740" s="3">
        <f>SUMIFS(LS[[#Headers],[BO UNIT TRANSFER]]:LS[[#This Row],[BO UNIT TRANSFER]],LS[[#Headers],[Investor ID]]:LS[[#This Row],[Investor ID]],LS[[#This Row],[Investor ID]])</f>
        <v>26180</v>
      </c>
    </row>
    <row r="741" spans="2:24">
      <c r="B741" s="8">
        <v>2026</v>
      </c>
      <c r="C741" s="8">
        <v>2</v>
      </c>
      <c r="D741" s="8">
        <v>16</v>
      </c>
      <c r="E741" s="291">
        <f>DATE(LS[[#This Row],[Year]],LS[[#This Row],[Month]],LS[[#This Row],[Day]])</f>
        <v>46069</v>
      </c>
      <c r="F741" t="str" cm="1">
        <f t="array" ref="F741">INDEX(INVESTORS_LIST[INVESTOR NAME],MATCH(LS[[#This Row],[Investor ID]],INVESTORS_LIST[INVESTOR CODE],0),)</f>
        <v>AHNAF ABRAR HASIN</v>
      </c>
      <c r="G741" s="25" t="s">
        <v>1527</v>
      </c>
      <c r="H741" s="8">
        <f>COUNTIF(LS[[#Headers],[Investor ID]]:LS[[#This Row],[Investor ID]],LS[[#This Row],[Investor ID]])</f>
        <v>1</v>
      </c>
      <c r="I741" s="8" t="str">
        <f>CONCATENATE(LS[[#This Row],[Frequency]],LS[[#This Row],[Investor ID]])</f>
        <v>1A00669</v>
      </c>
      <c r="J741" s="8" t="str">
        <f>IF(LS[[#This Row],[B/S]]="B","BUY",(IF(LS[[#This Row],[B/S]]="S","SELL"," ")))</f>
        <v>BUY</v>
      </c>
      <c r="K741" s="8" t="s">
        <v>301</v>
      </c>
      <c r="L741" s="3">
        <v>1879.4999999999998</v>
      </c>
      <c r="M741" s="3" t="s">
        <v>957</v>
      </c>
      <c r="N741" s="216">
        <f>LS[[#This Row],[Amount]]/LS[[#This Row],[Unit]]</f>
        <v>13.235915492957744</v>
      </c>
      <c r="O741" s="1">
        <f t="shared" si="146"/>
        <v>142</v>
      </c>
      <c r="P741" s="1">
        <f>SUMIFS(LS[[#Headers],[Unit]]:LS[[#This Row],[Unit]],LS[[#Headers],[Investor ID]]:LS[[#This Row],[Investor ID]],LS[[#This Row],[Investor ID]])</f>
        <v>142</v>
      </c>
      <c r="Q741" s="3">
        <f>ROUND(LS[[#This Row],[Amount]]/13.196,0)*10</f>
        <v>1420</v>
      </c>
      <c r="R741" s="6">
        <f>LS[[#This Row],[Amount]]-LS[[#This Row],[Unit Capital]]</f>
        <v>459.49999999999977</v>
      </c>
      <c r="S74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13.235915492957744</v>
      </c>
      <c r="T741" s="216">
        <f t="shared" si="147"/>
        <v>12.552</v>
      </c>
      <c r="U74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41" s="3" cm="1">
        <f t="array" ref="V741">IF(LS[[#This Row],[B/S]]="S",ABS(LS[[#This Row],[Unit]])*(INDEX(LS[NAV at Cost (Average)],MATCH(CONCATENATE((LS[[#This Row],[Frequency]]-1),LS[[#This Row],[Investor ID]]),LS[Unique Code],0),0)),0)</f>
        <v>0</v>
      </c>
      <c r="W741" s="3">
        <f>IF(LS[[#This Row],[BO Transfer]]="YES",LS[[#This Row],[Unit]],)</f>
        <v>142</v>
      </c>
      <c r="X741" s="3">
        <f>SUMIFS(LS[[#Headers],[BO UNIT TRANSFER]]:LS[[#This Row],[BO UNIT TRANSFER]],LS[[#Headers],[Investor ID]]:LS[[#This Row],[Investor ID]],LS[[#This Row],[Investor ID]])</f>
        <v>142</v>
      </c>
    </row>
    <row r="742" spans="2:24">
      <c r="B742" s="8">
        <v>2026</v>
      </c>
      <c r="C742" s="8">
        <v>2</v>
      </c>
      <c r="D742" s="8">
        <v>16</v>
      </c>
      <c r="E742" s="291">
        <f>DATE(LS[[#This Row],[Year]],LS[[#This Row],[Month]],LS[[#This Row],[Day]])</f>
        <v>46069</v>
      </c>
      <c r="F742" t="str" cm="1">
        <f t="array" ref="F742">INDEX(INVESTORS_LIST[INVESTOR NAME],MATCH(LS[[#This Row],[Investor ID]],INVESTORS_LIST[INVESTOR CODE],0),)</f>
        <v>IMRANUL GANI FIRA</v>
      </c>
      <c r="G742" s="25" t="s">
        <v>1646</v>
      </c>
      <c r="H742" s="8">
        <f>COUNTIF(LS[[#Headers],[Investor ID]]:LS[[#This Row],[Investor ID]],LS[[#This Row],[Investor ID]])</f>
        <v>7</v>
      </c>
      <c r="I742" s="8" t="str">
        <f>CONCATENATE(LS[[#This Row],[Frequency]],LS[[#This Row],[Investor ID]])</f>
        <v>7BR0005</v>
      </c>
      <c r="J742" s="8" t="str">
        <f>IF(LS[[#This Row],[B/S]]="B","BUY",(IF(LS[[#This Row],[B/S]]="S","SELL"," ")))</f>
        <v>BUY</v>
      </c>
      <c r="K742" s="8" t="s">
        <v>301</v>
      </c>
      <c r="L742" s="3">
        <v>2218.2999999999997</v>
      </c>
      <c r="M742" s="3" t="s">
        <v>957</v>
      </c>
      <c r="N742" s="216">
        <f>LS[[#This Row],[Amount]]/LS[[#This Row],[Unit]]</f>
        <v>13.204166666666666</v>
      </c>
      <c r="O742" s="1">
        <f t="shared" si="146"/>
        <v>168</v>
      </c>
      <c r="P742" s="1">
        <f>SUMIFS(LS[[#Headers],[Unit]]:LS[[#This Row],[Unit]],LS[[#Headers],[Investor ID]]:LS[[#This Row],[Investor ID]],LS[[#This Row],[Investor ID]])</f>
        <v>9317</v>
      </c>
      <c r="Q742" s="3">
        <f>ROUND(LS[[#This Row],[Amount]]/13.196,0)*10</f>
        <v>1680</v>
      </c>
      <c r="R742" s="6">
        <f>LS[[#This Row],[Amount]]-LS[[#This Row],[Unit Capital]]</f>
        <v>538.29999999999973</v>
      </c>
      <c r="S74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12.044467103144788</v>
      </c>
      <c r="T742" s="216">
        <f t="shared" si="147"/>
        <v>12.552</v>
      </c>
      <c r="U74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42" s="3" cm="1">
        <f t="array" ref="V742">IF(LS[[#This Row],[B/S]]="S",ABS(LS[[#This Row],[Unit]])*(INDEX(LS[NAV at Cost (Average)],MATCH(CONCATENATE((LS[[#This Row],[Frequency]]-1),LS[[#This Row],[Investor ID]]),LS[Unique Code],0),0)),0)</f>
        <v>0</v>
      </c>
      <c r="W742" s="3">
        <f>IF(LS[[#This Row],[BO Transfer]]="YES",LS[[#This Row],[Unit]],)</f>
        <v>168</v>
      </c>
      <c r="X742" s="3">
        <f>SUMIFS(LS[[#Headers],[BO UNIT TRANSFER]]:LS[[#This Row],[BO UNIT TRANSFER]],LS[[#Headers],[Investor ID]]:LS[[#This Row],[Investor ID]],LS[[#This Row],[Investor ID]])</f>
        <v>9317</v>
      </c>
    </row>
    <row r="743" spans="2:24">
      <c r="B743" s="8">
        <v>2026</v>
      </c>
      <c r="C743" s="8">
        <v>2</v>
      </c>
      <c r="D743" s="8">
        <v>16</v>
      </c>
      <c r="E743" s="291">
        <f>DATE(LS[[#This Row],[Year]],LS[[#This Row],[Month]],LS[[#This Row],[Day]])</f>
        <v>46069</v>
      </c>
      <c r="F743" t="str" cm="1">
        <f t="array" ref="F743">INDEX(INVESTORS_LIST[INVESTOR NAME],MATCH(LS[[#This Row],[Investor ID]],INVESTORS_LIST[INVESTOR CODE],0),)</f>
        <v>NAYEEM UDDIN</v>
      </c>
      <c r="G743" s="25" t="s">
        <v>1538</v>
      </c>
      <c r="H743" s="8">
        <f>COUNTIF(LS[[#Headers],[Investor ID]]:LS[[#This Row],[Investor ID]],LS[[#This Row],[Investor ID]])</f>
        <v>1</v>
      </c>
      <c r="I743" s="8" t="str">
        <f>CONCATENATE(LS[[#This Row],[Frequency]],LS[[#This Row],[Investor ID]])</f>
        <v>1A00672</v>
      </c>
      <c r="J743" s="8" t="str">
        <f>IF(LS[[#This Row],[B/S]]="B","BUY",(IF(LS[[#This Row],[B/S]]="S","SELL"," ")))</f>
        <v>BUY</v>
      </c>
      <c r="K743" s="8" t="s">
        <v>301</v>
      </c>
      <c r="L743" s="3">
        <v>295.04999999999995</v>
      </c>
      <c r="M743" s="3" t="s">
        <v>957</v>
      </c>
      <c r="N743" s="216">
        <f>LS[[#This Row],[Amount]]/LS[[#This Row],[Unit]]</f>
        <v>13.411363636363633</v>
      </c>
      <c r="O743" s="1">
        <f t="shared" si="146"/>
        <v>22</v>
      </c>
      <c r="P743" s="1">
        <f>SUMIFS(LS[[#Headers],[Unit]]:LS[[#This Row],[Unit]],LS[[#Headers],[Investor ID]]:LS[[#This Row],[Investor ID]],LS[[#This Row],[Investor ID]])</f>
        <v>22</v>
      </c>
      <c r="Q743" s="3">
        <f>ROUND(LS[[#This Row],[Amount]]/13.196,0)*10</f>
        <v>220</v>
      </c>
      <c r="R743" s="6">
        <f>LS[[#This Row],[Amount]]-LS[[#This Row],[Unit Capital]]</f>
        <v>75.049999999999955</v>
      </c>
      <c r="S74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13.411363636363633</v>
      </c>
      <c r="T743" s="216">
        <f t="shared" si="147"/>
        <v>12.552</v>
      </c>
      <c r="U74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43" s="3" cm="1">
        <f t="array" ref="V743">IF(LS[[#This Row],[B/S]]="S",ABS(LS[[#This Row],[Unit]])*(INDEX(LS[NAV at Cost (Average)],MATCH(CONCATENATE((LS[[#This Row],[Frequency]]-1),LS[[#This Row],[Investor ID]]),LS[Unique Code],0),0)),0)</f>
        <v>0</v>
      </c>
      <c r="W743" s="3">
        <f>IF(LS[[#This Row],[BO Transfer]]="YES",LS[[#This Row],[Unit]],)</f>
        <v>22</v>
      </c>
      <c r="X743" s="3">
        <f>SUMIFS(LS[[#Headers],[BO UNIT TRANSFER]]:LS[[#This Row],[BO UNIT TRANSFER]],LS[[#Headers],[Investor ID]]:LS[[#This Row],[Investor ID]],LS[[#This Row],[Investor ID]])</f>
        <v>22</v>
      </c>
    </row>
    <row r="744" spans="2:24">
      <c r="B744" s="8">
        <v>2026</v>
      </c>
      <c r="C744" s="8">
        <v>2</v>
      </c>
      <c r="D744" s="8">
        <v>16</v>
      </c>
      <c r="E744" s="291">
        <f>DATE(LS[[#This Row],[Year]],LS[[#This Row],[Month]],LS[[#This Row],[Day]])</f>
        <v>46069</v>
      </c>
      <c r="F744" t="str" cm="1">
        <f t="array" ref="F744">INDEX(INVESTORS_LIST[INVESTOR NAME],MATCH(LS[[#This Row],[Investor ID]],INVESTORS_LIST[INVESTOR CODE],0),)</f>
        <v>MD. KAMRUZZAMAN SHOVON</v>
      </c>
      <c r="G744" s="25" t="s">
        <v>1553</v>
      </c>
      <c r="H744" s="8">
        <f>COUNTIF(LS[[#Headers],[Investor ID]]:LS[[#This Row],[Investor ID]],LS[[#This Row],[Investor ID]])</f>
        <v>1</v>
      </c>
      <c r="I744" s="8" t="str">
        <f>CONCATENATE(LS[[#This Row],[Frequency]],LS[[#This Row],[Investor ID]])</f>
        <v>1A00680</v>
      </c>
      <c r="J744" s="8" t="str">
        <f>IF(LS[[#This Row],[B/S]]="B","BUY",(IF(LS[[#This Row],[B/S]]="S","SELL"," ")))</f>
        <v>BUY</v>
      </c>
      <c r="K744" s="8" t="s">
        <v>301</v>
      </c>
      <c r="L744" s="3">
        <v>29.4</v>
      </c>
      <c r="M744" s="3"/>
      <c r="N744" s="216">
        <f>LS[[#This Row],[Amount]]/LS[[#This Row],[Unit]]</f>
        <v>14.7</v>
      </c>
      <c r="O744" s="1">
        <f t="shared" si="146"/>
        <v>2</v>
      </c>
      <c r="P744" s="1">
        <f>SUMIFS(LS[[#Headers],[Unit]]:LS[[#This Row],[Unit]],LS[[#Headers],[Investor ID]]:LS[[#This Row],[Investor ID]],LS[[#This Row],[Investor ID]])</f>
        <v>2</v>
      </c>
      <c r="Q744" s="3">
        <f>ROUND(LS[[#This Row],[Amount]]/13.196,0)*10</f>
        <v>20</v>
      </c>
      <c r="R744" s="6">
        <f>LS[[#This Row],[Amount]]-LS[[#This Row],[Unit Capital]]</f>
        <v>9.3999999999999986</v>
      </c>
      <c r="S74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14.7</v>
      </c>
      <c r="T744" s="216">
        <f t="shared" si="147"/>
        <v>12.552</v>
      </c>
      <c r="U74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44" s="3" cm="1">
        <f t="array" ref="V744">IF(LS[[#This Row],[B/S]]="S",ABS(LS[[#This Row],[Unit]])*(INDEX(LS[NAV at Cost (Average)],MATCH(CONCATENATE((LS[[#This Row],[Frequency]]-1),LS[[#This Row],[Investor ID]]),LS[Unique Code],0),0)),0)</f>
        <v>0</v>
      </c>
      <c r="W744" s="3">
        <f>IF(LS[[#This Row],[BO Transfer]]="YES",LS[[#This Row],[Unit]],)</f>
        <v>0</v>
      </c>
      <c r="X744" s="3">
        <f>SUMIFS(LS[[#Headers],[BO UNIT TRANSFER]]:LS[[#This Row],[BO UNIT TRANSFER]],LS[[#Headers],[Investor ID]]:LS[[#This Row],[Investor ID]],LS[[#This Row],[Investor ID]])</f>
        <v>0</v>
      </c>
    </row>
    <row r="745" spans="2:24">
      <c r="B745" s="8">
        <v>2026</v>
      </c>
      <c r="C745" s="8">
        <v>2</v>
      </c>
      <c r="D745" s="8">
        <v>16</v>
      </c>
      <c r="E745" s="291">
        <f>DATE(LS[[#This Row],[Year]],LS[[#This Row],[Month]],LS[[#This Row],[Day]])</f>
        <v>46069</v>
      </c>
      <c r="F745" t="str" cm="1">
        <f t="array" ref="F745">INDEX(INVESTORS_LIST[INVESTOR NAME],MATCH(LS[[#This Row],[Investor ID]],INVESTORS_LIST[INVESTOR CODE],0),)</f>
        <v>S.M.IMAM HOSSAIN CHISTY</v>
      </c>
      <c r="G745" s="25" t="s">
        <v>1647</v>
      </c>
      <c r="H745" s="8">
        <f>COUNTIF(LS[[#Headers],[Investor ID]]:LS[[#This Row],[Investor ID]],LS[[#This Row],[Investor ID]])</f>
        <v>2</v>
      </c>
      <c r="I745" s="8" t="str">
        <f>CONCATENATE(LS[[#This Row],[Frequency]],LS[[#This Row],[Investor ID]])</f>
        <v>2BR0004</v>
      </c>
      <c r="J745" s="8" t="str">
        <f>IF(LS[[#This Row],[B/S]]="B","BUY",(IF(LS[[#This Row],[B/S]]="S","SELL"," ")))</f>
        <v>BUY</v>
      </c>
      <c r="K745" s="8" t="s">
        <v>301</v>
      </c>
      <c r="L745" s="3">
        <v>147</v>
      </c>
      <c r="M745" s="3"/>
      <c r="N745" s="216">
        <f>LS[[#This Row],[Amount]]/LS[[#This Row],[Unit]]</f>
        <v>13.363636363636363</v>
      </c>
      <c r="O745" s="1">
        <f t="shared" si="146"/>
        <v>11</v>
      </c>
      <c r="P745" s="1">
        <f>SUMIFS(LS[[#Headers],[Unit]]:LS[[#This Row],[Unit]],LS[[#Headers],[Investor ID]]:LS[[#This Row],[Investor ID]],LS[[#This Row],[Investor ID]])</f>
        <v>431</v>
      </c>
      <c r="Q745" s="3">
        <f>ROUND(LS[[#This Row],[Amount]]/13.196,0)*10</f>
        <v>110</v>
      </c>
      <c r="R745" s="6">
        <f>LS[[#This Row],[Amount]]-LS[[#This Row],[Unit Capital]]</f>
        <v>37</v>
      </c>
      <c r="S74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11.941995359628772</v>
      </c>
      <c r="T745" s="216">
        <f t="shared" si="147"/>
        <v>12.552</v>
      </c>
      <c r="U745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45" s="3" cm="1">
        <f t="array" ref="V745">IF(LS[[#This Row],[B/S]]="S",ABS(LS[[#This Row],[Unit]])*(INDEX(LS[NAV at Cost (Average)],MATCH(CONCATENATE((LS[[#This Row],[Frequency]]-1),LS[[#This Row],[Investor ID]]),LS[Unique Code],0),0)),0)</f>
        <v>0</v>
      </c>
      <c r="W745" s="3">
        <f>IF(LS[[#This Row],[BO Transfer]]="YES",LS[[#This Row],[Unit]],)</f>
        <v>0</v>
      </c>
      <c r="X745" s="3">
        <f>SUMIFS(LS[[#Headers],[BO UNIT TRANSFER]]:LS[[#This Row],[BO UNIT TRANSFER]],LS[[#Headers],[Investor ID]]:LS[[#This Row],[Investor ID]],LS[[#This Row],[Investor ID]])</f>
        <v>0</v>
      </c>
    </row>
    <row r="746" spans="2:24">
      <c r="B746" s="8">
        <v>2026</v>
      </c>
      <c r="C746" s="8">
        <v>2</v>
      </c>
      <c r="D746" s="8">
        <v>15</v>
      </c>
      <c r="E746" s="291">
        <f>DATE(LS[[#This Row],[Year]],LS[[#This Row],[Month]],LS[[#This Row],[Day]])</f>
        <v>46068</v>
      </c>
      <c r="F746" t="str" cm="1">
        <f t="array" ref="F746">INDEX(INVESTORS_LIST[INVESTOR NAME],MATCH(LS[[#This Row],[Investor ID]],INVESTORS_LIST[INVESTOR CODE],0),)</f>
        <v>NAUSHEEN AHMED</v>
      </c>
      <c r="G746" s="25" t="s">
        <v>393</v>
      </c>
      <c r="H746" s="8">
        <f>COUNTIF(LS[[#Headers],[Investor ID]]:LS[[#This Row],[Investor ID]],LS[[#This Row],[Investor ID]])</f>
        <v>3</v>
      </c>
      <c r="I746" s="8" t="str">
        <f>CONCATENATE(LS[[#This Row],[Frequency]],LS[[#This Row],[Investor ID]])</f>
        <v>3A00268</v>
      </c>
      <c r="J746" s="8" t="str">
        <f>IF(LS[[#This Row],[B/S]]="B","BUY",(IF(LS[[#This Row],[B/S]]="S","SELL"," ")))</f>
        <v>SELL</v>
      </c>
      <c r="K746" s="8" t="s">
        <v>866</v>
      </c>
      <c r="L746" s="3">
        <v>-711511.54</v>
      </c>
      <c r="M746" s="3"/>
      <c r="N746" s="216">
        <f>LS[[#This Row],[Amount]]/LS[[#This Row],[Unit]]</f>
        <v>12.813101746803531</v>
      </c>
      <c r="O746" s="1">
        <f t="shared" si="144"/>
        <v>-55530</v>
      </c>
      <c r="P746" s="1">
        <f>SUMIFS(LS[[#Headers],[Unit]]:LS[[#This Row],[Unit]],LS[[#Headers],[Investor ID]]:LS[[#This Row],[Investor ID]],LS[[#This Row],[Investor ID]])</f>
        <v>0</v>
      </c>
      <c r="Q746" s="3">
        <v>-555300</v>
      </c>
      <c r="R746" s="6">
        <f>LS[[#This Row],[Amount]]-LS[[#This Row],[Unit Capital]]</f>
        <v>-156211.54000000004</v>
      </c>
      <c r="S74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746" s="216">
        <f t="shared" si="145"/>
        <v>12.552</v>
      </c>
      <c r="U746" s="3">
        <f>IF(LS[[#This Row],[B/S]]="B",0,ABS(LS[[#This Row],[Unit]])*(LS[[#This Row],[NAV (Strike Rate)]]-INDEX(LS[NAV at Cost (Average)],MATCH(CONCATENATE(LS[[#This Row],[Frequency]]-1,LS[[#This Row],[Investor ID]]),LS[Unique Code],0),)))</f>
        <v>25043.290000000023</v>
      </c>
      <c r="V746" s="3" cm="1">
        <f t="array" ref="V746">IF(LS[[#This Row],[B/S]]="S",ABS(LS[[#This Row],[Unit]])*(INDEX(LS[NAV at Cost (Average)],MATCH(CONCATENATE((LS[[#This Row],[Frequency]]-1),LS[[#This Row],[Investor ID]]),LS[Unique Code],0),0)),0)</f>
        <v>686468.25</v>
      </c>
      <c r="W746" s="3">
        <f>IF(LS[[#This Row],[BO Transfer]]="YES",LS[[#This Row],[Unit]],)</f>
        <v>0</v>
      </c>
      <c r="X746" s="3">
        <f>SUMIFS(LS[[#Headers],[BO UNIT TRANSFER]]:LS[[#This Row],[BO UNIT TRANSFER]],LS[[#Headers],[Investor ID]]:LS[[#This Row],[Investor ID]],LS[[#This Row],[Investor ID]])</f>
        <v>0</v>
      </c>
    </row>
    <row r="747" spans="2:24">
      <c r="B747" s="8">
        <v>2026</v>
      </c>
      <c r="C747" s="8">
        <v>2</v>
      </c>
      <c r="D747" s="8">
        <v>16</v>
      </c>
      <c r="E747" s="291">
        <f>DATE(LS[[#This Row],[Year]],LS[[#This Row],[Month]],LS[[#This Row],[Day]])</f>
        <v>46069</v>
      </c>
      <c r="F747" t="str" cm="1">
        <f t="array" ref="F747">INDEX(INVESTORS_LIST[INVESTOR NAME],MATCH(LS[[#This Row],[Investor ID]],INVESTORS_LIST[INVESTOR CODE],0),)</f>
        <v>SRIJON GHOSH</v>
      </c>
      <c r="G747" s="25" t="s">
        <v>927</v>
      </c>
      <c r="H747" s="8">
        <f>COUNTIF(LS[[#Headers],[Investor ID]]:LS[[#This Row],[Investor ID]],LS[[#This Row],[Investor ID]])</f>
        <v>7</v>
      </c>
      <c r="I747" s="8" t="str">
        <f>CONCATENATE(LS[[#This Row],[Frequency]],LS[[#This Row],[Investor ID]])</f>
        <v>7A00424</v>
      </c>
      <c r="J747" s="8" t="str">
        <f>IF(LS[[#This Row],[B/S]]="B","BUY",(IF(LS[[#This Row],[B/S]]="S","SELL"," ")))</f>
        <v>SELL</v>
      </c>
      <c r="K747" s="8" t="s">
        <v>866</v>
      </c>
      <c r="L747" s="3">
        <v>-27000</v>
      </c>
      <c r="M747" s="3"/>
      <c r="N747" s="216">
        <f>LS[[#This Row],[Amount]]/LS[[#This Row],[Unit]]</f>
        <v>12.844909609895337</v>
      </c>
      <c r="O747" s="1">
        <f t="shared" ref="O747:O748" si="148">Q747/10</f>
        <v>-2102</v>
      </c>
      <c r="P747" s="1">
        <f>SUMIFS(LS[[#Headers],[Unit]]:LS[[#This Row],[Unit]],LS[[#Headers],[Investor ID]]:LS[[#This Row],[Investor ID]],LS[[#This Row],[Investor ID]])</f>
        <v>7824</v>
      </c>
      <c r="Q747" s="3">
        <f>ROUND(LS[[#This Row],[Amount]]/(13.197-0.35),0)*10</f>
        <v>-21020</v>
      </c>
      <c r="R747" s="6">
        <f>LS[[#This Row],[Amount]]-LS[[#This Row],[Unit Capital]]</f>
        <v>-5980</v>
      </c>
      <c r="S74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12.143532137819868</v>
      </c>
      <c r="T747" s="216">
        <f t="shared" ref="T747:T751" si="149">IFERROR(NAV_MKT,0)</f>
        <v>12.552</v>
      </c>
      <c r="U747" s="3">
        <f>IF(LS[[#This Row],[B/S]]="B",0,ABS(LS[[#This Row],[Unit]])*(LS[[#This Row],[NAV (Strike Rate)]]-INDEX(LS[NAV at Cost (Average)],MATCH(CONCATENATE(LS[[#This Row],[Frequency]]-1,LS[[#This Row],[Investor ID]]),LS[Unique Code],0),)))</f>
        <v>1474.2954463026365</v>
      </c>
      <c r="V747" s="3" cm="1">
        <f t="array" ref="V747">IF(LS[[#This Row],[B/S]]="S",ABS(LS[[#This Row],[Unit]])*(INDEX(LS[NAV at Cost (Average)],MATCH(CONCATENATE((LS[[#This Row],[Frequency]]-1),LS[[#This Row],[Investor ID]]),LS[Unique Code],0),0)),0)</f>
        <v>25525.704553697364</v>
      </c>
      <c r="W747" s="3">
        <f>IF(LS[[#This Row],[BO Transfer]]="YES",LS[[#This Row],[Unit]],)</f>
        <v>0</v>
      </c>
      <c r="X747" s="3">
        <f>SUMIFS(LS[[#Headers],[BO UNIT TRANSFER]]:LS[[#This Row],[BO UNIT TRANSFER]],LS[[#Headers],[Investor ID]]:LS[[#This Row],[Investor ID]],LS[[#This Row],[Investor ID]])</f>
        <v>0</v>
      </c>
    </row>
    <row r="748" spans="2:24">
      <c r="B748" s="8">
        <v>2026</v>
      </c>
      <c r="C748" s="8">
        <v>2</v>
      </c>
      <c r="D748" s="8">
        <v>16</v>
      </c>
      <c r="E748" s="291">
        <f>DATE(LS[[#This Row],[Year]],LS[[#This Row],[Month]],LS[[#This Row],[Day]])</f>
        <v>46069</v>
      </c>
      <c r="F748" t="str" cm="1">
        <f t="array" ref="F748">INDEX(INVESTORS_LIST[INVESTOR NAME],MATCH(LS[[#This Row],[Investor ID]],INVESTORS_LIST[INVESTOR CODE],0),)</f>
        <v>AKID AQTAB ZAMAN</v>
      </c>
      <c r="G748" s="25" t="s">
        <v>1609</v>
      </c>
      <c r="H748" s="8">
        <f>COUNTIF(LS[[#Headers],[Investor ID]]:LS[[#This Row],[Investor ID]],LS[[#This Row],[Investor ID]])</f>
        <v>1</v>
      </c>
      <c r="I748" s="8" t="str">
        <f>CONCATENATE(LS[[#This Row],[Frequency]],LS[[#This Row],[Investor ID]])</f>
        <v>1A00698</v>
      </c>
      <c r="J748" s="8" t="str">
        <f>IF(LS[[#This Row],[B/S]]="B","BUY",(IF(LS[[#This Row],[B/S]]="S","SELL"," ")))</f>
        <v>BUY</v>
      </c>
      <c r="K748" s="8" t="s">
        <v>301</v>
      </c>
      <c r="L748" s="3">
        <v>100000</v>
      </c>
      <c r="M748" s="3"/>
      <c r="N748" s="216">
        <f>LS[[#This Row],[Amount]]/LS[[#This Row],[Unit]]</f>
        <v>12.846865364850977</v>
      </c>
      <c r="O748" s="1">
        <f t="shared" si="148"/>
        <v>7784</v>
      </c>
      <c r="P748" s="1">
        <f>SUMIFS(LS[[#Headers],[Unit]]:LS[[#This Row],[Unit]],LS[[#Headers],[Investor ID]]:LS[[#This Row],[Investor ID]],LS[[#This Row],[Investor ID]])</f>
        <v>7784</v>
      </c>
      <c r="Q748" s="3">
        <f>ROUND(LS[[#This Row],[Amount]]/(13.197-0.35),0)*10</f>
        <v>77840</v>
      </c>
      <c r="R748" s="6">
        <f>LS[[#This Row],[Amount]]-LS[[#This Row],[Unit Capital]]</f>
        <v>22160</v>
      </c>
      <c r="S74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12.846865364850977</v>
      </c>
      <c r="T748" s="216">
        <f t="shared" si="149"/>
        <v>12.552</v>
      </c>
      <c r="U748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48" s="3" cm="1">
        <f t="array" ref="V748">IF(LS[[#This Row],[B/S]]="S",ABS(LS[[#This Row],[Unit]])*(INDEX(LS[NAV at Cost (Average)],MATCH(CONCATENATE((LS[[#This Row],[Frequency]]-1),LS[[#This Row],[Investor ID]]),LS[Unique Code],0),0)),0)</f>
        <v>0</v>
      </c>
      <c r="W748" s="3">
        <f>IF(LS[[#This Row],[BO Transfer]]="YES",LS[[#This Row],[Unit]],)</f>
        <v>0</v>
      </c>
      <c r="X748" s="3">
        <f>SUMIFS(LS[[#Headers],[BO UNIT TRANSFER]]:LS[[#This Row],[BO UNIT TRANSFER]],LS[[#Headers],[Investor ID]]:LS[[#This Row],[Investor ID]],LS[[#This Row],[Investor ID]])</f>
        <v>0</v>
      </c>
    </row>
    <row r="749" spans="2:24">
      <c r="B749" s="8">
        <v>2026</v>
      </c>
      <c r="C749" s="8">
        <v>2</v>
      </c>
      <c r="D749" s="8">
        <v>17</v>
      </c>
      <c r="E749" s="291">
        <f>DATE(LS[[#This Row],[Year]],LS[[#This Row],[Month]],LS[[#This Row],[Day]])</f>
        <v>46070</v>
      </c>
      <c r="F749" t="str" cm="1">
        <f t="array" ref="F749">INDEX(INVESTORS_LIST[INVESTOR NAME],MATCH(LS[[#This Row],[Investor ID]],INVESTORS_LIST[INVESTOR CODE],0),)</f>
        <v>MD. SOHEL ANWAR</v>
      </c>
      <c r="G749" s="25" t="s">
        <v>914</v>
      </c>
      <c r="H749" s="8">
        <f>COUNTIF(LS[[#Headers],[Investor ID]]:LS[[#This Row],[Investor ID]],LS[[#This Row],[Investor ID]])</f>
        <v>2</v>
      </c>
      <c r="I749" s="8" t="str">
        <f>CONCATENATE(LS[[#This Row],[Frequency]],LS[[#This Row],[Investor ID]])</f>
        <v>2A00418</v>
      </c>
      <c r="J749" s="8" t="str">
        <f>IF(LS[[#This Row],[B/S]]="B","BUY",(IF(LS[[#This Row],[B/S]]="S","SELL"," ")))</f>
        <v>SELL</v>
      </c>
      <c r="K749" s="8" t="s">
        <v>866</v>
      </c>
      <c r="L749" s="3">
        <v>-667959.18000000005</v>
      </c>
      <c r="M749" s="3"/>
      <c r="N749" s="216">
        <f>LS[[#This Row],[Amount]]/LS[[#This Row],[Unit]]</f>
        <v>13.132000000000001</v>
      </c>
      <c r="O749" s="1">
        <f t="shared" ref="O749:O754" si="150">Q749/10</f>
        <v>-50865</v>
      </c>
      <c r="P749" s="1">
        <f>SUMIFS(LS[[#Headers],[Unit]]:LS[[#This Row],[Unit]],LS[[#Headers],[Investor ID]]:LS[[#This Row],[Investor ID]],LS[[#This Row],[Investor ID]])</f>
        <v>0</v>
      </c>
      <c r="Q749" s="3">
        <v>-508650</v>
      </c>
      <c r="R749" s="6">
        <f>LS[[#This Row],[Amount]]-LS[[#This Row],[Unit Capital]]</f>
        <v>-159309.18000000005</v>
      </c>
      <c r="S74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749" s="216">
        <f t="shared" si="149"/>
        <v>12.552</v>
      </c>
      <c r="U749" s="3">
        <f>IF(LS[[#This Row],[B/S]]="B",0,ABS(LS[[#This Row],[Unit]])*(LS[[#This Row],[NAV (Strike Rate)]]-INDEX(LS[NAV at Cost (Average)],MATCH(CONCATENATE(LS[[#This Row],[Frequency]]-1,LS[[#This Row],[Investor ID]]),LS[Unique Code],0),)))</f>
        <v>167959.18000000005</v>
      </c>
      <c r="V749" s="3" cm="1">
        <f t="array" ref="V749">IF(LS[[#This Row],[B/S]]="S",ABS(LS[[#This Row],[Unit]])*(INDEX(LS[NAV at Cost (Average)],MATCH(CONCATENATE((LS[[#This Row],[Frequency]]-1),LS[[#This Row],[Investor ID]]),LS[Unique Code],0),0)),0)</f>
        <v>500000</v>
      </c>
      <c r="W749" s="3">
        <f>IF(LS[[#This Row],[BO Transfer]]="YES",LS[[#This Row],[Unit]],)</f>
        <v>0</v>
      </c>
      <c r="X749" s="3">
        <f>SUMIFS(LS[[#Headers],[BO UNIT TRANSFER]]:LS[[#This Row],[BO UNIT TRANSFER]],LS[[#Headers],[Investor ID]]:LS[[#This Row],[Investor ID]],LS[[#This Row],[Investor ID]])</f>
        <v>0</v>
      </c>
    </row>
    <row r="750" spans="2:24">
      <c r="B750" s="8">
        <v>2026</v>
      </c>
      <c r="C750" s="8">
        <v>2</v>
      </c>
      <c r="D750" s="8">
        <v>17</v>
      </c>
      <c r="E750" s="291">
        <f>DATE(LS[[#This Row],[Year]],LS[[#This Row],[Month]],LS[[#This Row],[Day]])</f>
        <v>46070</v>
      </c>
      <c r="F750" t="str" cm="1">
        <f t="array" ref="F750">INDEX(INVESTORS_LIST[INVESTOR NAME],MATCH(LS[[#This Row],[Investor ID]],INVESTORS_LIST[INVESTOR CODE],0),)</f>
        <v>VANGUARD AML GROWTH FUND</v>
      </c>
      <c r="G750" s="25" t="s">
        <v>653</v>
      </c>
      <c r="H750" s="8">
        <f>COUNTIF(LS[[#Headers],[Investor ID]]:LS[[#This Row],[Investor ID]],LS[[#This Row],[Investor ID]])</f>
        <v>4</v>
      </c>
      <c r="I750" s="8" t="str">
        <f>CONCATENATE(LS[[#This Row],[Frequency]],LS[[#This Row],[Investor ID]])</f>
        <v>4A00353</v>
      </c>
      <c r="J750" s="8" t="str">
        <f>IF(LS[[#This Row],[B/S]]="B","BUY",(IF(LS[[#This Row],[B/S]]="S","SELL"," ")))</f>
        <v>SELL</v>
      </c>
      <c r="K750" s="8" t="s">
        <v>866</v>
      </c>
      <c r="L750" s="3">
        <v>-7757987.25</v>
      </c>
      <c r="M750" s="3"/>
      <c r="N750" s="216">
        <f>LS[[#This Row],[Amount]]/LS[[#This Row],[Unit]]</f>
        <v>12.61</v>
      </c>
      <c r="O750" s="1">
        <f t="shared" si="150"/>
        <v>-615225</v>
      </c>
      <c r="P750" s="1">
        <f>SUMIFS(LS[[#Headers],[Unit]]:LS[[#This Row],[Unit]],LS[[#Headers],[Investor ID]]:LS[[#This Row],[Investor ID]],LS[[#This Row],[Investor ID]])</f>
        <v>0</v>
      </c>
      <c r="Q750" s="3">
        <v>-6152250</v>
      </c>
      <c r="R750" s="6">
        <f>LS[[#This Row],[Amount]]-LS[[#This Row],[Unit Capital]]</f>
        <v>-1605737.25</v>
      </c>
      <c r="S75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750" s="216">
        <f t="shared" si="149"/>
        <v>12.552</v>
      </c>
      <c r="U750" s="3">
        <f>IF(LS[[#This Row],[B/S]]="B",0,ABS(LS[[#This Row],[Unit]])*(LS[[#This Row],[NAV (Strike Rate)]]-INDEX(LS[NAV at Cost (Average)],MATCH(CONCATENATE(LS[[#This Row],[Frequency]]-1,LS[[#This Row],[Investor ID]]),LS[Unique Code],0),)))</f>
        <v>1584987.2499999995</v>
      </c>
      <c r="V750" s="3" cm="1">
        <f t="array" ref="V750">IF(LS[[#This Row],[B/S]]="S",ABS(LS[[#This Row],[Unit]])*(INDEX(LS[NAV at Cost (Average)],MATCH(CONCATENATE((LS[[#This Row],[Frequency]]-1),LS[[#This Row],[Investor ID]]),LS[Unique Code],0),0)),0)</f>
        <v>6173000</v>
      </c>
      <c r="W750" s="3">
        <f>IF(LS[[#This Row],[BO Transfer]]="YES",LS[[#This Row],[Unit]],)</f>
        <v>0</v>
      </c>
      <c r="X750" s="3">
        <f>SUMIFS(LS[[#Headers],[BO UNIT TRANSFER]]:LS[[#This Row],[BO UNIT TRANSFER]],LS[[#Headers],[Investor ID]]:LS[[#This Row],[Investor ID]],LS[[#This Row],[Investor ID]])</f>
        <v>0</v>
      </c>
    </row>
    <row r="751" spans="2:24">
      <c r="B751" s="8">
        <v>2026</v>
      </c>
      <c r="C751" s="8">
        <v>2</v>
      </c>
      <c r="D751" s="8">
        <v>17</v>
      </c>
      <c r="E751" s="291">
        <f>DATE(LS[[#This Row],[Year]],LS[[#This Row],[Month]],LS[[#This Row],[Day]])</f>
        <v>46070</v>
      </c>
      <c r="F751" t="str" cm="1">
        <f t="array" ref="F751">INDEX(INVESTORS_LIST[INVESTOR NAME],MATCH(LS[[#This Row],[Investor ID]],INVESTORS_LIST[INVESTOR CODE],0),)</f>
        <v>MOHAMMAD SAMIUL ALAM</v>
      </c>
      <c r="G751" s="25" t="s">
        <v>345</v>
      </c>
      <c r="H751" s="8">
        <f>COUNTIF(LS[[#Headers],[Investor ID]]:LS[[#This Row],[Investor ID]],LS[[#This Row],[Investor ID]])</f>
        <v>3</v>
      </c>
      <c r="I751" s="8" t="str">
        <f>CONCATENATE(LS[[#This Row],[Frequency]],LS[[#This Row],[Investor ID]])</f>
        <v>3A00244</v>
      </c>
      <c r="J751" s="8" t="str">
        <f>IF(LS[[#This Row],[B/S]]="B","BUY",(IF(LS[[#This Row],[B/S]]="S","SELL"," ")))</f>
        <v>BUY</v>
      </c>
      <c r="K751" s="8" t="s">
        <v>301</v>
      </c>
      <c r="L751" s="3">
        <v>500000</v>
      </c>
      <c r="M751" s="3"/>
      <c r="N751" s="216">
        <f>LS[[#This Row],[Amount]]/LS[[#This Row],[Unit]]</f>
        <v>12.846865364850977</v>
      </c>
      <c r="O751" s="1">
        <f t="shared" si="150"/>
        <v>38920</v>
      </c>
      <c r="P751" s="1">
        <f>SUMIFS(LS[[#Headers],[Unit]]:LS[[#This Row],[Unit]],LS[[#Headers],[Investor ID]]:LS[[#This Row],[Investor ID]],LS[[#This Row],[Investor ID]])</f>
        <v>41920</v>
      </c>
      <c r="Q751" s="3">
        <f>ROUND(LS[[#This Row],[Amount]]/(13.197-0.35),0)*10</f>
        <v>389200</v>
      </c>
      <c r="R751" s="6">
        <f>LS[[#This Row],[Amount]]-LS[[#This Row],[Unit Capital]]</f>
        <v>110800</v>
      </c>
      <c r="S75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12.643129770992367</v>
      </c>
      <c r="T751" s="216">
        <f t="shared" si="149"/>
        <v>12.552</v>
      </c>
      <c r="U75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51" s="3" cm="1">
        <f t="array" ref="V751">IF(LS[[#This Row],[B/S]]="S",ABS(LS[[#This Row],[Unit]])*(INDEX(LS[NAV at Cost (Average)],MATCH(CONCATENATE((LS[[#This Row],[Frequency]]-1),LS[[#This Row],[Investor ID]]),LS[Unique Code],0),0)),0)</f>
        <v>0</v>
      </c>
      <c r="W751" s="3">
        <f>IF(LS[[#This Row],[BO Transfer]]="YES",LS[[#This Row],[Unit]],)</f>
        <v>0</v>
      </c>
      <c r="X751" s="3">
        <f>SUMIFS(LS[[#Headers],[BO UNIT TRANSFER]]:LS[[#This Row],[BO UNIT TRANSFER]],LS[[#Headers],[Investor ID]]:LS[[#This Row],[Investor ID]],LS[[#This Row],[Investor ID]])</f>
        <v>0</v>
      </c>
    </row>
    <row r="752" spans="2:24">
      <c r="B752" s="8">
        <v>2026</v>
      </c>
      <c r="C752" s="8">
        <v>2</v>
      </c>
      <c r="D752" s="8">
        <v>18</v>
      </c>
      <c r="E752" s="291">
        <f>DATE(LS[[#This Row],[Year]],LS[[#This Row],[Month]],LS[[#This Row],[Day]])</f>
        <v>46071</v>
      </c>
      <c r="F752" t="str" cm="1">
        <f t="array" ref="F752">INDEX(INVESTORS_LIST[INVESTOR NAME],MATCH(LS[[#This Row],[Investor ID]],INVESTORS_LIST[INVESTOR CODE],0),)</f>
        <v>FAHMIDA HAQUE</v>
      </c>
      <c r="G752" s="25" t="s">
        <v>33</v>
      </c>
      <c r="H752" s="8">
        <f>COUNTIF(LS[[#Headers],[Investor ID]]:LS[[#This Row],[Investor ID]],LS[[#This Row],[Investor ID]])</f>
        <v>5</v>
      </c>
      <c r="I752" s="8" t="str">
        <f>CONCATENATE(LS[[#This Row],[Frequency]],LS[[#This Row],[Investor ID]])</f>
        <v>5A00026</v>
      </c>
      <c r="J752" s="8" t="str">
        <f>IF(LS[[#This Row],[B/S]]="B","BUY",(IF(LS[[#This Row],[B/S]]="S","SELL"," ")))</f>
        <v>SELL</v>
      </c>
      <c r="K752" s="8" t="s">
        <v>866</v>
      </c>
      <c r="L752" s="3">
        <v>-723177.15</v>
      </c>
      <c r="M752" s="3"/>
      <c r="N752" s="216">
        <f>LS[[#This Row],[Amount]]/LS[[#This Row],[Unit]]</f>
        <v>13.079000054256417</v>
      </c>
      <c r="O752" s="1">
        <f t="shared" si="150"/>
        <v>-55293</v>
      </c>
      <c r="P752" s="1">
        <f>SUMIFS(LS[[#Headers],[Unit]]:LS[[#This Row],[Unit]],LS[[#Headers],[Investor ID]]:LS[[#This Row],[Investor ID]],LS[[#This Row],[Investor ID]])</f>
        <v>0</v>
      </c>
      <c r="Q752" s="3">
        <v>-552930</v>
      </c>
      <c r="R752" s="6">
        <f>LS[[#This Row],[Amount]]-LS[[#This Row],[Unit Capital]]</f>
        <v>-170247.15000000002</v>
      </c>
      <c r="S75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752" s="216">
        <f t="shared" ref="T752:T757" si="151">IFERROR(NAV_MKT,0)</f>
        <v>12.552</v>
      </c>
      <c r="U752" s="3">
        <f>IF(LS[[#This Row],[B/S]]="B",0,ABS(LS[[#This Row],[Unit]])*(LS[[#This Row],[NAV (Strike Rate)]]-INDEX(LS[NAV at Cost (Average)],MATCH(CONCATENATE(LS[[#This Row],[Frequency]]-1,LS[[#This Row],[Investor ID]]),LS[Unique Code],0),)))</f>
        <v>169715.03000000009</v>
      </c>
      <c r="V752" s="3" cm="1">
        <f t="array" ref="V752">IF(LS[[#This Row],[B/S]]="S",ABS(LS[[#This Row],[Unit]])*(INDEX(LS[NAV at Cost (Average)],MATCH(CONCATENATE((LS[[#This Row],[Frequency]]-1),LS[[#This Row],[Investor ID]]),LS[Unique Code],0),0)),0)</f>
        <v>553462.12</v>
      </c>
      <c r="W752" s="3">
        <f>IF(LS[[#This Row],[BO Transfer]]="YES",LS[[#This Row],[Unit]],)</f>
        <v>0</v>
      </c>
      <c r="X752" s="3">
        <f>SUMIFS(LS[[#Headers],[BO UNIT TRANSFER]]:LS[[#This Row],[BO UNIT TRANSFER]],LS[[#Headers],[Investor ID]]:LS[[#This Row],[Investor ID]],LS[[#This Row],[Investor ID]])</f>
        <v>0</v>
      </c>
    </row>
    <row r="753" spans="2:24">
      <c r="B753" s="8">
        <v>2026</v>
      </c>
      <c r="C753" s="8">
        <v>2</v>
      </c>
      <c r="D753" s="8">
        <v>22</v>
      </c>
      <c r="E753" s="291">
        <f>DATE(LS[[#This Row],[Year]],LS[[#This Row],[Month]],LS[[#This Row],[Day]])</f>
        <v>46075</v>
      </c>
      <c r="F753" t="str" cm="1">
        <f t="array" ref="F753">INDEX(INVESTORS_LIST[INVESTOR NAME],MATCH(LS[[#This Row],[Investor ID]],INVESTORS_LIST[INVESTOR CODE],0),)</f>
        <v>SRIJON GHOSH</v>
      </c>
      <c r="G753" s="25" t="s">
        <v>927</v>
      </c>
      <c r="H753" s="8">
        <f>COUNTIF(LS[[#Headers],[Investor ID]]:LS[[#This Row],[Investor ID]],LS[[#This Row],[Investor ID]])</f>
        <v>8</v>
      </c>
      <c r="I753" s="8" t="str">
        <f>CONCATENATE(LS[[#This Row],[Frequency]],LS[[#This Row],[Investor ID]])</f>
        <v>8A00424</v>
      </c>
      <c r="J753" s="8" t="str">
        <f>IF(LS[[#This Row],[B/S]]="B","BUY",(IF(LS[[#This Row],[B/S]]="S","SELL"," ")))</f>
        <v>SELL</v>
      </c>
      <c r="K753" s="8" t="s">
        <v>866</v>
      </c>
      <c r="L753" s="3">
        <v>-40000</v>
      </c>
      <c r="M753" s="3"/>
      <c r="N753" s="216">
        <f>LS[[#This Row],[Amount]]/LS[[#This Row],[Unit]]</f>
        <v>13.153567905294311</v>
      </c>
      <c r="O753" s="1">
        <f t="shared" si="150"/>
        <v>-3041</v>
      </c>
      <c r="P753" s="1">
        <f>SUMIFS(LS[[#Headers],[Unit]]:LS[[#This Row],[Unit]],LS[[#Headers],[Investor ID]]:LS[[#This Row],[Investor ID]],LS[[#This Row],[Investor ID]])</f>
        <v>4783</v>
      </c>
      <c r="Q753" s="3">
        <v>-30410</v>
      </c>
      <c r="R753" s="6">
        <f>LS[[#This Row],[Amount]]-LS[[#This Row],[Unit Capital]]</f>
        <v>-9590</v>
      </c>
      <c r="S75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12.143532137819868</v>
      </c>
      <c r="T753" s="216">
        <f t="shared" si="151"/>
        <v>12.552</v>
      </c>
      <c r="U753" s="3">
        <f>IF(LS[[#This Row],[B/S]]="B",0,ABS(LS[[#This Row],[Unit]])*(LS[[#This Row],[NAV (Strike Rate)]]-INDEX(LS[NAV at Cost (Average)],MATCH(CONCATENATE(LS[[#This Row],[Frequency]]-1,LS[[#This Row],[Investor ID]]),LS[Unique Code],0),)))</f>
        <v>3071.5187688897822</v>
      </c>
      <c r="V753" s="3" cm="1">
        <f t="array" ref="V753">IF(LS[[#This Row],[B/S]]="S",ABS(LS[[#This Row],[Unit]])*(INDEX(LS[NAV at Cost (Average)],MATCH(CONCATENATE((LS[[#This Row],[Frequency]]-1),LS[[#This Row],[Investor ID]]),LS[Unique Code],0),0)),0)</f>
        <v>36928.481231110221</v>
      </c>
      <c r="W753" s="3">
        <f>IF(LS[[#This Row],[BO Transfer]]="YES",LS[[#This Row],[Unit]],)</f>
        <v>0</v>
      </c>
      <c r="X753" s="3">
        <f>SUMIFS(LS[[#Headers],[BO UNIT TRANSFER]]:LS[[#This Row],[BO UNIT TRANSFER]],LS[[#Headers],[Investor ID]]:LS[[#This Row],[Investor ID]],LS[[#This Row],[Investor ID]])</f>
        <v>0</v>
      </c>
    </row>
    <row r="754" spans="2:24">
      <c r="B754" s="8">
        <v>2026</v>
      </c>
      <c r="C754" s="8">
        <v>2</v>
      </c>
      <c r="D754" s="8">
        <v>24</v>
      </c>
      <c r="E754" s="291">
        <f>DATE(LS[[#This Row],[Year]],LS[[#This Row],[Month]],LS[[#This Row],[Day]])</f>
        <v>46077</v>
      </c>
      <c r="F754" t="str" cm="1">
        <f t="array" ref="F754">INDEX(INVESTORS_LIST[INVESTOR NAME],MATCH(LS[[#This Row],[Investor ID]],INVESTORS_LIST[INVESTOR CODE],0),)</f>
        <v>KHAN MUHAMMAD KAWSER AHMED</v>
      </c>
      <c r="G754" s="25" t="s">
        <v>1004</v>
      </c>
      <c r="H754" s="8">
        <f>COUNTIF(LS[[#Headers],[Investor ID]]:LS[[#This Row],[Investor ID]],LS[[#This Row],[Investor ID]])</f>
        <v>5</v>
      </c>
      <c r="I754" s="8" t="str">
        <f>CONCATENATE(LS[[#This Row],[Frequency]],LS[[#This Row],[Investor ID]])</f>
        <v>5A00449</v>
      </c>
      <c r="J754" s="8" t="str">
        <f>IF(LS[[#This Row],[B/S]]="B","BUY",(IF(LS[[#This Row],[B/S]]="S","SELL"," ")))</f>
        <v>BUY</v>
      </c>
      <c r="K754" s="8" t="s">
        <v>301</v>
      </c>
      <c r="L754" s="3">
        <v>2500000</v>
      </c>
      <c r="M754" s="3" t="s">
        <v>957</v>
      </c>
      <c r="N754" s="216">
        <f>LS[[#This Row],[Amount]]/LS[[#This Row],[Unit]]</f>
        <v>13.101008777675881</v>
      </c>
      <c r="O754" s="1">
        <f t="shared" si="150"/>
        <v>190825</v>
      </c>
      <c r="P754" s="1">
        <f>SUMIFS(LS[[#Headers],[Unit]]:LS[[#This Row],[Unit]],LS[[#Headers],[Investor ID]]:LS[[#This Row],[Investor ID]],LS[[#This Row],[Investor ID]])</f>
        <v>2046600</v>
      </c>
      <c r="Q754" s="3">
        <f>ROUND(LS[[#This Row],[Amount]]/13.101,0)*10</f>
        <v>1908250</v>
      </c>
      <c r="R754" s="6">
        <f>LS[[#This Row],[Amount]]-LS[[#This Row],[Unit Capital]]</f>
        <v>591750</v>
      </c>
      <c r="S75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12.427289455682596</v>
      </c>
      <c r="T754" s="216">
        <f t="shared" si="151"/>
        <v>12.552</v>
      </c>
      <c r="U75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54" s="3" cm="1">
        <f t="array" ref="V754">IF(LS[[#This Row],[B/S]]="S",ABS(LS[[#This Row],[Unit]])*(INDEX(LS[NAV at Cost (Average)],MATCH(CONCATENATE((LS[[#This Row],[Frequency]]-1),LS[[#This Row],[Investor ID]]),LS[Unique Code],0),0)),0)</f>
        <v>0</v>
      </c>
      <c r="W754" s="3">
        <f>IF(LS[[#This Row],[BO Transfer]]="YES",LS[[#This Row],[Unit]],)</f>
        <v>190825</v>
      </c>
      <c r="X754" s="3">
        <f>SUMIFS(LS[[#Headers],[BO UNIT TRANSFER]]:LS[[#This Row],[BO UNIT TRANSFER]],LS[[#Headers],[Investor ID]]:LS[[#This Row],[Investor ID]],LS[[#This Row],[Investor ID]])</f>
        <v>2046600</v>
      </c>
    </row>
    <row r="755" spans="2:24">
      <c r="B755" s="8">
        <v>2026</v>
      </c>
      <c r="C755" s="8">
        <v>3</v>
      </c>
      <c r="D755" s="8">
        <v>1</v>
      </c>
      <c r="E755" s="291">
        <f>DATE(LS[[#This Row],[Year]],LS[[#This Row],[Month]],LS[[#This Row],[Day]])</f>
        <v>46082</v>
      </c>
      <c r="F755" t="str" cm="1">
        <f t="array" ref="F755">INDEX(INVESTORS_LIST[INVESTOR NAME],MATCH(LS[[#This Row],[Investor ID]],INVESTORS_LIST[INVESTOR CODE],0),)</f>
        <v>SRIJON GHOSH</v>
      </c>
      <c r="G755" s="25" t="s">
        <v>927</v>
      </c>
      <c r="H755" s="8">
        <f>COUNTIF(LS[[#Headers],[Investor ID]]:LS[[#This Row],[Investor ID]],LS[[#This Row],[Investor ID]])</f>
        <v>9</v>
      </c>
      <c r="I755" s="8" t="str">
        <f>CONCATENATE(LS[[#This Row],[Frequency]],LS[[#This Row],[Investor ID]])</f>
        <v>9A00424</v>
      </c>
      <c r="J755" s="8" t="str">
        <f>IF(LS[[#This Row],[B/S]]="B","BUY",(IF(LS[[#This Row],[B/S]]="S","SELL"," ")))</f>
        <v>SELL</v>
      </c>
      <c r="K755" s="8" t="s">
        <v>866</v>
      </c>
      <c r="L755" s="3">
        <v>-64551.37</v>
      </c>
      <c r="M755" s="3"/>
      <c r="N755" s="216">
        <f>LS[[#This Row],[Amount]]/LS[[#This Row],[Unit]]</f>
        <v>13.496000418147606</v>
      </c>
      <c r="O755" s="1">
        <f t="shared" ref="O755:O760" si="152">Q755/10</f>
        <v>-4783</v>
      </c>
      <c r="P755" s="1">
        <f>SUMIFS(LS[[#Headers],[Unit]]:LS[[#This Row],[Unit]],LS[[#Headers],[Investor ID]]:LS[[#This Row],[Investor ID]],LS[[#This Row],[Investor ID]])</f>
        <v>0</v>
      </c>
      <c r="Q755" s="3">
        <v>-47830</v>
      </c>
      <c r="R755" s="6">
        <f>LS[[#This Row],[Amount]]-LS[[#This Row],[Unit Capital]]</f>
        <v>-16721.370000000003</v>
      </c>
      <c r="S75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755" s="216">
        <f t="shared" si="151"/>
        <v>12.552</v>
      </c>
      <c r="U755" s="3">
        <f>IF(LS[[#This Row],[B/S]]="B",0,ABS(LS[[#This Row],[Unit]])*(LS[[#This Row],[NAV (Strike Rate)]]-INDEX(LS[NAV at Cost (Average)],MATCH(CONCATENATE(LS[[#This Row],[Frequency]]-1,LS[[#This Row],[Investor ID]]),LS[Unique Code],0),)))</f>
        <v>6468.8557848075707</v>
      </c>
      <c r="V755" s="3" cm="1">
        <f t="array" ref="V755">IF(LS[[#This Row],[B/S]]="S",ABS(LS[[#This Row],[Unit]])*(INDEX(LS[NAV at Cost (Average)],MATCH(CONCATENATE((LS[[#This Row],[Frequency]]-1),LS[[#This Row],[Investor ID]]),LS[Unique Code],0),0)),0)</f>
        <v>58082.51421519243</v>
      </c>
      <c r="W755" s="3">
        <f>IF(LS[[#This Row],[BO Transfer]]="YES",LS[[#This Row],[Unit]],)</f>
        <v>0</v>
      </c>
      <c r="X755" s="3">
        <f>SUMIFS(LS[[#Headers],[BO UNIT TRANSFER]]:LS[[#This Row],[BO UNIT TRANSFER]],LS[[#Headers],[Investor ID]]:LS[[#This Row],[Investor ID]],LS[[#This Row],[Investor ID]])</f>
        <v>0</v>
      </c>
    </row>
    <row r="756" spans="2:24">
      <c r="B756" s="8">
        <v>2026</v>
      </c>
      <c r="C756" s="8">
        <v>3</v>
      </c>
      <c r="D756" s="8">
        <v>1</v>
      </c>
      <c r="E756" s="291">
        <f>DATE(LS[[#This Row],[Year]],LS[[#This Row],[Month]],LS[[#This Row],[Day]])</f>
        <v>46082</v>
      </c>
      <c r="F756" t="str" cm="1">
        <f t="array" ref="F756">INDEX(INVESTORS_LIST[INVESTOR NAME],MATCH(LS[[#This Row],[Investor ID]],INVESTORS_LIST[INVESTOR CODE],0),)</f>
        <v>MADHAB GHOSH</v>
      </c>
      <c r="G756" s="25" t="s">
        <v>1038</v>
      </c>
      <c r="H756" s="8">
        <f>COUNTIF(LS[[#Headers],[Investor ID]]:LS[[#This Row],[Investor ID]],LS[[#This Row],[Investor ID]])</f>
        <v>10</v>
      </c>
      <c r="I756" s="8" t="str">
        <f>CONCATENATE(LS[[#This Row],[Frequency]],LS[[#This Row],[Investor ID]])</f>
        <v>10A00468</v>
      </c>
      <c r="J756" s="8" t="str">
        <f>IF(LS[[#This Row],[B/S]]="B","BUY",(IF(LS[[#This Row],[B/S]]="S","SELL"," ")))</f>
        <v>SELL</v>
      </c>
      <c r="K756" s="8" t="s">
        <v>866</v>
      </c>
      <c r="L756" s="3">
        <v>-425974.25</v>
      </c>
      <c r="M756" s="3"/>
      <c r="N756" s="216">
        <f>LS[[#This Row],[Amount]]/LS[[#This Row],[Unit]]</f>
        <v>13.496000063365333</v>
      </c>
      <c r="O756" s="1">
        <f t="shared" si="152"/>
        <v>-31563</v>
      </c>
      <c r="P756" s="1">
        <f>SUMIFS(LS[[#Headers],[Unit]]:LS[[#This Row],[Unit]],LS[[#Headers],[Investor ID]]:LS[[#This Row],[Investor ID]],LS[[#This Row],[Investor ID]])</f>
        <v>0</v>
      </c>
      <c r="Q756" s="3">
        <v>-315630</v>
      </c>
      <c r="R756" s="6">
        <f>LS[[#This Row],[Amount]]-LS[[#This Row],[Unit Capital]]</f>
        <v>-110344.25</v>
      </c>
      <c r="S75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756" s="216">
        <f t="shared" si="151"/>
        <v>12.552</v>
      </c>
      <c r="U756" s="3">
        <f>IF(LS[[#This Row],[B/S]]="B",0,ABS(LS[[#This Row],[Unit]])*(LS[[#This Row],[NAV (Strike Rate)]]-INDEX(LS[NAV at Cost (Average)],MATCH(CONCATENATE(LS[[#This Row],[Frequency]]-1,LS[[#This Row],[Investor ID]]),LS[Unique Code],0),)))</f>
        <v>52523.149999999987</v>
      </c>
      <c r="V756" s="3" cm="1">
        <f t="array" ref="V756">IF(LS[[#This Row],[B/S]]="S",ABS(LS[[#This Row],[Unit]])*(INDEX(LS[NAV at Cost (Average)],MATCH(CONCATENATE((LS[[#This Row],[Frequency]]-1),LS[[#This Row],[Investor ID]]),LS[Unique Code],0),0)),0)</f>
        <v>373451.10000000003</v>
      </c>
      <c r="W756" s="3">
        <f>IF(LS[[#This Row],[BO Transfer]]="YES",LS[[#This Row],[Unit]],)</f>
        <v>0</v>
      </c>
      <c r="X756" s="3">
        <f>SUMIFS(LS[[#Headers],[BO UNIT TRANSFER]]:LS[[#This Row],[BO UNIT TRANSFER]],LS[[#Headers],[Investor ID]]:LS[[#This Row],[Investor ID]],LS[[#This Row],[Investor ID]])</f>
        <v>0</v>
      </c>
    </row>
    <row r="757" spans="2:24">
      <c r="B757" s="8">
        <v>2026</v>
      </c>
      <c r="C757" s="8">
        <v>3</v>
      </c>
      <c r="D757" s="8">
        <v>2</v>
      </c>
      <c r="E757" s="291">
        <f>DATE(LS[[#This Row],[Year]],LS[[#This Row],[Month]],LS[[#This Row],[Day]])</f>
        <v>46083</v>
      </c>
      <c r="F757" t="str" cm="1">
        <f t="array" ref="F757">INDEX(INVESTORS_LIST[INVESTOR NAME],MATCH(LS[[#This Row],[Investor ID]],INVESTORS_LIST[INVESTOR CODE],0),)</f>
        <v>SALEEM FARHAN</v>
      </c>
      <c r="G757" s="25" t="s">
        <v>1645</v>
      </c>
      <c r="H757" s="8">
        <f>COUNTIF(LS[[#Headers],[Investor ID]]:LS[[#This Row],[Investor ID]],LS[[#This Row],[Investor ID]])</f>
        <v>1</v>
      </c>
      <c r="I757" s="8" t="str">
        <f>CONCATENATE(LS[[#This Row],[Frequency]],LS[[#This Row],[Investor ID]])</f>
        <v>1BI0012</v>
      </c>
      <c r="J757" s="8" t="str">
        <f>IF(LS[[#This Row],[B/S]]="B","BUY",(IF(LS[[#This Row],[B/S]]="S","SELL"," ")))</f>
        <v>BUY</v>
      </c>
      <c r="K757" s="8" t="s">
        <v>301</v>
      </c>
      <c r="L757" s="3">
        <v>6680</v>
      </c>
      <c r="M757" s="3"/>
      <c r="N757" s="216">
        <f>LS[[#This Row],[Amount]]/LS[[#This Row],[Unit]]</f>
        <v>13.36</v>
      </c>
      <c r="O757" s="1">
        <f t="shared" si="152"/>
        <v>500</v>
      </c>
      <c r="P757" s="1">
        <f>SUMIFS(LS[[#Headers],[Unit]]:LS[[#This Row],[Unit]],LS[[#Headers],[Investor ID]]:LS[[#This Row],[Investor ID]],LS[[#This Row],[Investor ID]])</f>
        <v>500</v>
      </c>
      <c r="Q757" s="3">
        <v>5000</v>
      </c>
      <c r="R757" s="6">
        <f>LS[[#This Row],[Amount]]-LS[[#This Row],[Unit Capital]]</f>
        <v>1680</v>
      </c>
      <c r="S75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13.36</v>
      </c>
      <c r="T757" s="216">
        <f t="shared" si="151"/>
        <v>12.552</v>
      </c>
      <c r="U75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57" s="3" cm="1">
        <f t="array" ref="V757">IF(LS[[#This Row],[B/S]]="S",ABS(LS[[#This Row],[Unit]])*(INDEX(LS[NAV at Cost (Average)],MATCH(CONCATENATE((LS[[#This Row],[Frequency]]-1),LS[[#This Row],[Investor ID]]),LS[Unique Code],0),0)),0)</f>
        <v>0</v>
      </c>
      <c r="W757" s="3">
        <f>IF(LS[[#This Row],[BO Transfer]]="YES",LS[[#This Row],[Unit]],)</f>
        <v>0</v>
      </c>
      <c r="X757" s="3">
        <f>SUMIFS(LS[[#Headers],[BO UNIT TRANSFER]]:LS[[#This Row],[BO UNIT TRANSFER]],LS[[#Headers],[Investor ID]]:LS[[#This Row],[Investor ID]],LS[[#This Row],[Investor ID]])</f>
        <v>0</v>
      </c>
    </row>
    <row r="758" spans="2:24">
      <c r="B758" s="8">
        <v>2026</v>
      </c>
      <c r="C758" s="8">
        <v>3</v>
      </c>
      <c r="D758" s="8">
        <v>5</v>
      </c>
      <c r="E758" s="291">
        <f>DATE(LS[[#This Row],[Year]],LS[[#This Row],[Month]],LS[[#This Row],[Day]])</f>
        <v>46086</v>
      </c>
      <c r="F758" t="str" cm="1">
        <f t="array" ref="F758">INDEX(INVESTORS_LIST[INVESTOR NAME],MATCH(LS[[#This Row],[Investor ID]],INVESTORS_LIST[INVESTOR CODE],0),)</f>
        <v>CHAONIKA SAHA</v>
      </c>
      <c r="G758" s="25" t="s">
        <v>108</v>
      </c>
      <c r="H758" s="8">
        <f>COUNTIF(LS[[#Headers],[Investor ID]]:LS[[#This Row],[Investor ID]],LS[[#This Row],[Investor ID]])</f>
        <v>2</v>
      </c>
      <c r="I758" s="8" t="str">
        <f>CONCATENATE(LS[[#This Row],[Frequency]],LS[[#This Row],[Investor ID]])</f>
        <v>2A00095</v>
      </c>
      <c r="J758" s="8" t="str">
        <f>IF(LS[[#This Row],[B/S]]="B","BUY",(IF(LS[[#This Row],[B/S]]="S","SELL"," ")))</f>
        <v>SELL</v>
      </c>
      <c r="K758" s="8" t="s">
        <v>866</v>
      </c>
      <c r="L758" s="3">
        <v>-180791.85</v>
      </c>
      <c r="M758" s="3"/>
      <c r="N758" s="216">
        <f>LS[[#This Row],[Amount]]/LS[[#This Row],[Unit]]</f>
        <v>13.318</v>
      </c>
      <c r="O758" s="1">
        <f t="shared" si="152"/>
        <v>-13575</v>
      </c>
      <c r="P758" s="1">
        <f>SUMIFS(LS[[#Headers],[Unit]]:LS[[#This Row],[Unit]],LS[[#Headers],[Investor ID]]:LS[[#This Row],[Investor ID]],LS[[#This Row],[Investor ID]])</f>
        <v>0</v>
      </c>
      <c r="Q758" s="3">
        <v>-135750</v>
      </c>
      <c r="R758" s="6">
        <f>LS[[#This Row],[Amount]]-LS[[#This Row],[Unit Capital]]</f>
        <v>-45041.850000000006</v>
      </c>
      <c r="S75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758" s="216">
        <f t="shared" ref="T758:T764" si="153">IFERROR(NAV_MKT,0)</f>
        <v>12.552</v>
      </c>
      <c r="U758" s="3">
        <f>IF(LS[[#This Row],[B/S]]="B",0,ABS(LS[[#This Row],[Unit]])*(LS[[#This Row],[NAV (Strike Rate)]]-INDEX(LS[NAV at Cost (Average)],MATCH(CONCATENATE(LS[[#This Row],[Frequency]]-1,LS[[#This Row],[Investor ID]]),LS[Unique Code],0),)))</f>
        <v>20566.849999999991</v>
      </c>
      <c r="V758" s="3" cm="1">
        <f t="array" ref="V758">IF(LS[[#This Row],[B/S]]="S",ABS(LS[[#This Row],[Unit]])*(INDEX(LS[NAV at Cost (Average)],MATCH(CONCATENATE((LS[[#This Row],[Frequency]]-1),LS[[#This Row],[Investor ID]]),LS[Unique Code],0),0)),0)</f>
        <v>160225</v>
      </c>
      <c r="W758" s="3">
        <f>IF(LS[[#This Row],[BO Transfer]]="YES",LS[[#This Row],[Unit]],)</f>
        <v>0</v>
      </c>
      <c r="X758" s="3">
        <f>SUMIFS(LS[[#Headers],[BO UNIT TRANSFER]]:LS[[#This Row],[BO UNIT TRANSFER]],LS[[#Headers],[Investor ID]]:LS[[#This Row],[Investor ID]],LS[[#This Row],[Investor ID]])</f>
        <v>0</v>
      </c>
    </row>
    <row r="759" spans="2:24">
      <c r="B759" s="8">
        <v>2026</v>
      </c>
      <c r="C759" s="8">
        <v>3</v>
      </c>
      <c r="D759" s="8">
        <v>5</v>
      </c>
      <c r="E759" s="291">
        <f>DATE(LS[[#This Row],[Year]],LS[[#This Row],[Month]],LS[[#This Row],[Day]])</f>
        <v>46086</v>
      </c>
      <c r="F759" t="str" cm="1">
        <f t="array" ref="F759">INDEX(INVESTORS_LIST[INVESTOR NAME],MATCH(LS[[#This Row],[Investor ID]],INVESTORS_LIST[INVESTOR CODE],0),)</f>
        <v>SK FEROZ ALAM &amp; MD BULBUL ISLAM</v>
      </c>
      <c r="G759" s="25" t="s">
        <v>272</v>
      </c>
      <c r="H759" s="8">
        <f>COUNTIF(LS[[#Headers],[Investor ID]]:LS[[#This Row],[Investor ID]],LS[[#This Row],[Investor ID]])</f>
        <v>4</v>
      </c>
      <c r="I759" s="8" t="str">
        <f>CONCATENATE(LS[[#This Row],[Frequency]],LS[[#This Row],[Investor ID]])</f>
        <v>4A00216</v>
      </c>
      <c r="J759" s="8" t="str">
        <f>IF(LS[[#This Row],[B/S]]="B","BUY",(IF(LS[[#This Row],[B/S]]="S","SELL"," ")))</f>
        <v>SELL</v>
      </c>
      <c r="K759" s="8" t="s">
        <v>866</v>
      </c>
      <c r="L759" s="3">
        <v>-133180</v>
      </c>
      <c r="M759" s="3"/>
      <c r="N759" s="216">
        <f>LS[[#This Row],[Amount]]/LS[[#This Row],[Unit]]</f>
        <v>13.318</v>
      </c>
      <c r="O759" s="1">
        <f t="shared" si="152"/>
        <v>-10000</v>
      </c>
      <c r="P759" s="1">
        <f>SUMIFS(LS[[#Headers],[Unit]]:LS[[#This Row],[Unit]],LS[[#Headers],[Investor ID]]:LS[[#This Row],[Investor ID]],LS[[#This Row],[Investor ID]])</f>
        <v>0</v>
      </c>
      <c r="Q759" s="3">
        <v>-100000</v>
      </c>
      <c r="R759" s="6">
        <f>LS[[#This Row],[Amount]]-LS[[#This Row],[Unit Capital]]</f>
        <v>-33180</v>
      </c>
      <c r="S75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759" s="216">
        <f t="shared" si="153"/>
        <v>12.552</v>
      </c>
      <c r="U759" s="3">
        <f>IF(LS[[#This Row],[B/S]]="B",0,ABS(LS[[#This Row],[Unit]])*(LS[[#This Row],[NAV (Strike Rate)]]-INDEX(LS[NAV at Cost (Average)],MATCH(CONCATENATE(LS[[#This Row],[Frequency]]-1,LS[[#This Row],[Investor ID]]),LS[Unique Code],0),)))</f>
        <v>13870.000000000004</v>
      </c>
      <c r="V759" s="3" cm="1">
        <f t="array" ref="V759">IF(LS[[#This Row],[B/S]]="S",ABS(LS[[#This Row],[Unit]])*(INDEX(LS[NAV at Cost (Average)],MATCH(CONCATENATE((LS[[#This Row],[Frequency]]-1),LS[[#This Row],[Investor ID]]),LS[Unique Code],0),0)),0)</f>
        <v>119309.99999999999</v>
      </c>
      <c r="W759" s="3">
        <f>IF(LS[[#This Row],[BO Transfer]]="YES",LS[[#This Row],[Unit]],)</f>
        <v>0</v>
      </c>
      <c r="X759" s="3">
        <f>SUMIFS(LS[[#Headers],[BO UNIT TRANSFER]]:LS[[#This Row],[BO UNIT TRANSFER]],LS[[#Headers],[Investor ID]]:LS[[#This Row],[Investor ID]],LS[[#This Row],[Investor ID]])</f>
        <v>0</v>
      </c>
    </row>
    <row r="760" spans="2:24">
      <c r="B760" s="8">
        <v>2026</v>
      </c>
      <c r="C760" s="8">
        <v>3</v>
      </c>
      <c r="D760" s="8">
        <v>5</v>
      </c>
      <c r="E760" s="291">
        <f>DATE(LS[[#This Row],[Year]],LS[[#This Row],[Month]],LS[[#This Row],[Day]])</f>
        <v>46086</v>
      </c>
      <c r="F760" t="str" cm="1">
        <f t="array" ref="F760">INDEX(INVESTORS_LIST[INVESTOR NAME],MATCH(LS[[#This Row],[Investor ID]],INVESTORS_LIST[INVESTOR CODE],0),)</f>
        <v>ARCHONA SAHA</v>
      </c>
      <c r="G760" s="25" t="s">
        <v>906</v>
      </c>
      <c r="H760" s="8">
        <f>COUNTIF(LS[[#Headers],[Investor ID]]:LS[[#This Row],[Investor ID]],LS[[#This Row],[Investor ID]])</f>
        <v>2</v>
      </c>
      <c r="I760" s="8" t="str">
        <f>CONCATENATE(LS[[#This Row],[Frequency]],LS[[#This Row],[Investor ID]])</f>
        <v>2A00413</v>
      </c>
      <c r="J760" s="8" t="str">
        <f>IF(LS[[#This Row],[B/S]]="B","BUY",(IF(LS[[#This Row],[B/S]]="S","SELL"," ")))</f>
        <v>SELL</v>
      </c>
      <c r="K760" s="8" t="s">
        <v>866</v>
      </c>
      <c r="L760" s="3">
        <v>-421381.52</v>
      </c>
      <c r="M760" s="3"/>
      <c r="N760" s="216">
        <f>LS[[#This Row],[Amount]]/LS[[#This Row],[Unit]]</f>
        <v>13.318000000000001</v>
      </c>
      <c r="O760" s="1">
        <f t="shared" si="152"/>
        <v>-31640</v>
      </c>
      <c r="P760" s="1">
        <f>SUMIFS(LS[[#Headers],[Unit]]:LS[[#This Row],[Unit]],LS[[#Headers],[Investor ID]]:LS[[#This Row],[Investor ID]],LS[[#This Row],[Investor ID]])</f>
        <v>0</v>
      </c>
      <c r="Q760" s="3">
        <v>-316400</v>
      </c>
      <c r="R760" s="6">
        <f>LS[[#This Row],[Amount]]-LS[[#This Row],[Unit Capital]]</f>
        <v>-104981.52000000002</v>
      </c>
      <c r="S76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760" s="216">
        <f t="shared" si="153"/>
        <v>12.552</v>
      </c>
      <c r="U760" s="3">
        <f>IF(LS[[#This Row],[B/S]]="B",0,ABS(LS[[#This Row],[Unit]])*(LS[[#This Row],[NAV (Strike Rate)]]-INDEX(LS[NAV at Cost (Average)],MATCH(CONCATENATE(LS[[#This Row],[Frequency]]-1,LS[[#This Row],[Investor ID]]),LS[Unique Code],0),)))</f>
        <v>45972.520000000019</v>
      </c>
      <c r="V760" s="3" cm="1">
        <f t="array" ref="V760">IF(LS[[#This Row],[B/S]]="S",ABS(LS[[#This Row],[Unit]])*(INDEX(LS[NAV at Cost (Average)],MATCH(CONCATENATE((LS[[#This Row],[Frequency]]-1),LS[[#This Row],[Investor ID]]),LS[Unique Code],0),0)),0)</f>
        <v>375409</v>
      </c>
      <c r="W760" s="3">
        <f>IF(LS[[#This Row],[BO Transfer]]="YES",LS[[#This Row],[Unit]],)</f>
        <v>0</v>
      </c>
      <c r="X760" s="3">
        <f>SUMIFS(LS[[#Headers],[BO UNIT TRANSFER]]:LS[[#This Row],[BO UNIT TRANSFER]],LS[[#Headers],[Investor ID]]:LS[[#This Row],[Investor ID]],LS[[#This Row],[Investor ID]])</f>
        <v>0</v>
      </c>
    </row>
    <row r="761" spans="2:24">
      <c r="B761" s="8">
        <v>2026</v>
      </c>
      <c r="C761" s="8">
        <v>3</v>
      </c>
      <c r="D761" s="8">
        <v>5</v>
      </c>
      <c r="E761" s="291">
        <f>DATE(LS[[#This Row],[Year]],LS[[#This Row],[Month]],LS[[#This Row],[Day]])</f>
        <v>46086</v>
      </c>
      <c r="F761" t="str" cm="1">
        <f t="array" ref="F761">INDEX(INVESTORS_LIST[INVESTOR NAME],MATCH(LS[[#This Row],[Investor ID]],INVESTORS_LIST[INVESTOR CODE],0),)</f>
        <v>SWADESH RANJAN SAHA</v>
      </c>
      <c r="G761" s="25" t="s">
        <v>104</v>
      </c>
      <c r="H761" s="8">
        <f>COUNTIF(LS[[#Headers],[Investor ID]]:LS[[#This Row],[Investor ID]],LS[[#This Row],[Investor ID]])</f>
        <v>3</v>
      </c>
      <c r="I761" s="8" t="str">
        <f>CONCATENATE(LS[[#This Row],[Frequency]],LS[[#This Row],[Investor ID]])</f>
        <v>3A00093</v>
      </c>
      <c r="J761" s="8" t="str">
        <f>IF(LS[[#This Row],[B/S]]="B","BUY",(IF(LS[[#This Row],[B/S]]="S","SELL"," ")))</f>
        <v>BUY</v>
      </c>
      <c r="K761" s="8" t="s">
        <v>301</v>
      </c>
      <c r="L761" s="3">
        <v>2000000</v>
      </c>
      <c r="M761" s="3"/>
      <c r="N761" s="216">
        <f>LS[[#This Row],[Amount]]/LS[[#This Row],[Unit]]</f>
        <v>12.87398939183274</v>
      </c>
      <c r="O761" s="1">
        <f t="shared" ref="O761:O767" si="154">Q761/10</f>
        <v>155352</v>
      </c>
      <c r="P761" s="1">
        <f>SUMIFS(LS[[#Headers],[Unit]]:LS[[#This Row],[Unit]],LS[[#Headers],[Investor ID]]:LS[[#This Row],[Investor ID]],LS[[#This Row],[Investor ID]])</f>
        <v>155352</v>
      </c>
      <c r="Q761" s="3">
        <f>ROUND(LS[[#This Row],[Amount]]/12.874,0)*10</f>
        <v>1553520</v>
      </c>
      <c r="R761" s="6">
        <f>LS[[#This Row],[Amount]]-LS[[#This Row],[Unit Capital]]</f>
        <v>446480</v>
      </c>
      <c r="S76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12.87398939183274</v>
      </c>
      <c r="T761" s="216">
        <f t="shared" si="153"/>
        <v>12.552</v>
      </c>
      <c r="U76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61" s="3" cm="1">
        <f t="array" ref="V761">IF(LS[[#This Row],[B/S]]="S",ABS(LS[[#This Row],[Unit]])*(INDEX(LS[NAV at Cost (Average)],MATCH(CONCATENATE((LS[[#This Row],[Frequency]]-1),LS[[#This Row],[Investor ID]]),LS[Unique Code],0),0)),0)</f>
        <v>0</v>
      </c>
      <c r="W761" s="3">
        <f>IF(LS[[#This Row],[BO Transfer]]="YES",LS[[#This Row],[Unit]],)</f>
        <v>0</v>
      </c>
      <c r="X761" s="3">
        <f>SUMIFS(LS[[#Headers],[BO UNIT TRANSFER]]:LS[[#This Row],[BO UNIT TRANSFER]],LS[[#Headers],[Investor ID]]:LS[[#This Row],[Investor ID]],LS[[#This Row],[Investor ID]])</f>
        <v>0</v>
      </c>
    </row>
    <row r="762" spans="2:24">
      <c r="B762" s="8">
        <v>2026</v>
      </c>
      <c r="C762" s="8">
        <v>3</v>
      </c>
      <c r="D762" s="8">
        <v>5</v>
      </c>
      <c r="E762" s="291">
        <f>DATE(LS[[#This Row],[Year]],LS[[#This Row],[Month]],LS[[#This Row],[Day]])</f>
        <v>46086</v>
      </c>
      <c r="F762" t="str" cm="1">
        <f t="array" ref="F762">INDEX(INVESTORS_LIST[INVESTOR NAME],MATCH(LS[[#This Row],[Investor ID]],INVESTORS_LIST[INVESTOR CODE],0),)</f>
        <v>ARPITA BARUA</v>
      </c>
      <c r="G762" s="25" t="s">
        <v>1649</v>
      </c>
      <c r="H762" s="8">
        <f>COUNTIF(LS[[#Headers],[Investor ID]]:LS[[#This Row],[Investor ID]],LS[[#This Row],[Investor ID]])</f>
        <v>1</v>
      </c>
      <c r="I762" s="8" t="str">
        <f>CONCATENATE(LS[[#This Row],[Frequency]],LS[[#This Row],[Investor ID]])</f>
        <v>1A00704</v>
      </c>
      <c r="J762" s="8" t="str">
        <f>IF(LS[[#This Row],[B/S]]="B","BUY",(IF(LS[[#This Row],[B/S]]="S","SELL"," ")))</f>
        <v>BUY</v>
      </c>
      <c r="K762" s="8" t="s">
        <v>301</v>
      </c>
      <c r="L762" s="3">
        <v>1000000</v>
      </c>
      <c r="M762" s="3"/>
      <c r="N762" s="216">
        <f>LS[[#This Row],[Amount]]/LS[[#This Row],[Unit]]</f>
        <v>12.643024211391365</v>
      </c>
      <c r="O762" s="1">
        <f t="shared" si="154"/>
        <v>79095</v>
      </c>
      <c r="P762" s="1">
        <f>SUMIFS(LS[[#Headers],[Unit]]:LS[[#This Row],[Unit]],LS[[#Headers],[Investor ID]]:LS[[#This Row],[Investor ID]],LS[[#This Row],[Investor ID]])</f>
        <v>79095</v>
      </c>
      <c r="Q762" s="3">
        <v>790950</v>
      </c>
      <c r="R762" s="6">
        <f>LS[[#This Row],[Amount]]-LS[[#This Row],[Unit Capital]]</f>
        <v>209050</v>
      </c>
      <c r="S76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12.643024211391365</v>
      </c>
      <c r="T762" s="216">
        <f t="shared" si="153"/>
        <v>12.552</v>
      </c>
      <c r="U762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62" s="3" cm="1">
        <f t="array" ref="V762">IF(LS[[#This Row],[B/S]]="S",ABS(LS[[#This Row],[Unit]])*(INDEX(LS[NAV at Cost (Average)],MATCH(CONCATENATE((LS[[#This Row],[Frequency]]-1),LS[[#This Row],[Investor ID]]),LS[Unique Code],0),0)),0)</f>
        <v>0</v>
      </c>
      <c r="W762" s="3">
        <f>IF(LS[[#This Row],[BO Transfer]]="YES",LS[[#This Row],[Unit]],)</f>
        <v>0</v>
      </c>
      <c r="X762" s="3">
        <f>SUMIFS(LS[[#Headers],[BO UNIT TRANSFER]]:LS[[#This Row],[BO UNIT TRANSFER]],LS[[#Headers],[Investor ID]]:LS[[#This Row],[Investor ID]],LS[[#This Row],[Investor ID]])</f>
        <v>0</v>
      </c>
    </row>
    <row r="763" spans="2:24">
      <c r="B763" s="8">
        <v>2026</v>
      </c>
      <c r="C763" s="8">
        <v>3</v>
      </c>
      <c r="D763" s="8">
        <v>8</v>
      </c>
      <c r="E763" s="291">
        <f>DATE(LS[[#This Row],[Year]],LS[[#This Row],[Month]],LS[[#This Row],[Day]])</f>
        <v>46089</v>
      </c>
      <c r="F763" t="str" cm="1">
        <f t="array" ref="F763">INDEX(INVESTORS_LIST[INVESTOR NAME],MATCH(LS[[#This Row],[Investor ID]],INVESTORS_LIST[INVESTOR CODE],0),)</f>
        <v>SHAHRIAR AZAD SHASHI</v>
      </c>
      <c r="G763" s="25" t="s">
        <v>1107</v>
      </c>
      <c r="H763" s="8">
        <f>COUNTIF(LS[[#Headers],[Investor ID]]:LS[[#This Row],[Investor ID]],LS[[#This Row],[Investor ID]])</f>
        <v>4</v>
      </c>
      <c r="I763" s="8" t="str">
        <f>CONCATENATE(LS[[#This Row],[Frequency]],LS[[#This Row],[Investor ID]])</f>
        <v>4A00497</v>
      </c>
      <c r="J763" s="8" t="str">
        <f>IF(LS[[#This Row],[B/S]]="B","BUY",(IF(LS[[#This Row],[B/S]]="S","SELL"," ")))</f>
        <v>SELL</v>
      </c>
      <c r="K763" s="8" t="s">
        <v>866</v>
      </c>
      <c r="L763" s="3">
        <v>-40000</v>
      </c>
      <c r="M763" s="3"/>
      <c r="N763" s="216">
        <f>LS[[#This Row],[Amount]]/LS[[#This Row],[Unit]]</f>
        <v>12.642225031605562</v>
      </c>
      <c r="O763" s="1">
        <f t="shared" si="154"/>
        <v>-3164</v>
      </c>
      <c r="P763" s="1">
        <f>SUMIFS(LS[[#Headers],[Unit]]:LS[[#This Row],[Unit]],LS[[#Headers],[Investor ID]]:LS[[#This Row],[Investor ID]],LS[[#This Row],[Investor ID]])</f>
        <v>30711</v>
      </c>
      <c r="Q763" s="3">
        <v>-31640</v>
      </c>
      <c r="R763" s="6">
        <f>LS[[#This Row],[Amount]]-LS[[#This Row],[Unit Capital]]</f>
        <v>-8360</v>
      </c>
      <c r="S76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10.740145358166773</v>
      </c>
      <c r="T763" s="216">
        <f t="shared" si="153"/>
        <v>12.552</v>
      </c>
      <c r="U763" s="3">
        <f>IF(LS[[#This Row],[B/S]]="B",0,ABS(LS[[#This Row],[Unit]])*(LS[[#This Row],[NAV (Strike Rate)]]-INDEX(LS[NAV at Cost (Average)],MATCH(CONCATENATE(LS[[#This Row],[Frequency]]-1,LS[[#This Row],[Investor ID]]),LS[Unique Code],0),)))</f>
        <v>6018.1800867603306</v>
      </c>
      <c r="V763" s="3" cm="1">
        <f t="array" ref="V763">IF(LS[[#This Row],[B/S]]="S",ABS(LS[[#This Row],[Unit]])*(INDEX(LS[NAV at Cost (Average)],MATCH(CONCATENATE((LS[[#This Row],[Frequency]]-1),LS[[#This Row],[Investor ID]]),LS[Unique Code],0),0)),0)</f>
        <v>33981.819913239669</v>
      </c>
      <c r="W763" s="3">
        <f>IF(LS[[#This Row],[BO Transfer]]="YES",LS[[#This Row],[Unit]],)</f>
        <v>0</v>
      </c>
      <c r="X763" s="3">
        <f>SUMIFS(LS[[#Headers],[BO UNIT TRANSFER]]:LS[[#This Row],[BO UNIT TRANSFER]],LS[[#Headers],[Investor ID]]:LS[[#This Row],[Investor ID]],LS[[#This Row],[Investor ID]])</f>
        <v>0</v>
      </c>
    </row>
    <row r="764" spans="2:24">
      <c r="B764" s="8">
        <v>2026</v>
      </c>
      <c r="C764" s="8">
        <v>3</v>
      </c>
      <c r="D764" s="8">
        <v>8</v>
      </c>
      <c r="E764" s="291">
        <f>DATE(LS[[#This Row],[Year]],LS[[#This Row],[Month]],LS[[#This Row],[Day]])</f>
        <v>46089</v>
      </c>
      <c r="F764" t="str" cm="1">
        <f t="array" ref="F764">INDEX(INVESTORS_LIST[INVESTOR NAME],MATCH(LS[[#This Row],[Investor ID]],INVESTORS_LIST[INVESTOR CODE],0),)</f>
        <v>MD MIZANUR RAHMAN</v>
      </c>
      <c r="G764" s="25" t="s">
        <v>177</v>
      </c>
      <c r="H764" s="8">
        <f>COUNTIF(LS[[#Headers],[Investor ID]]:LS[[#This Row],[Investor ID]],LS[[#This Row],[Investor ID]])</f>
        <v>13</v>
      </c>
      <c r="I764" s="8" t="str">
        <f>CONCATENATE(LS[[#This Row],[Frequency]],LS[[#This Row],[Investor ID]])</f>
        <v>13A00144</v>
      </c>
      <c r="J764" s="8" t="str">
        <f>IF(LS[[#This Row],[B/S]]="B","BUY",(IF(LS[[#This Row],[B/S]]="S","SELL"," ")))</f>
        <v>BUY</v>
      </c>
      <c r="K764" s="8" t="s">
        <v>301</v>
      </c>
      <c r="L764" s="3">
        <v>100000</v>
      </c>
      <c r="M764" s="3"/>
      <c r="N764" s="216">
        <f>LS[[#This Row],[Amount]]/LS[[#This Row],[Unit]]</f>
        <v>12.642225031605562</v>
      </c>
      <c r="O764" s="1">
        <f t="shared" si="154"/>
        <v>7910</v>
      </c>
      <c r="P764" s="1">
        <f>SUMIFS(LS[[#Headers],[Unit]]:LS[[#This Row],[Unit]],LS[[#Headers],[Investor ID]]:LS[[#This Row],[Investor ID]],LS[[#This Row],[Investor ID]])</f>
        <v>15923</v>
      </c>
      <c r="Q764" s="3">
        <v>79100</v>
      </c>
      <c r="R764" s="6">
        <f>LS[[#This Row],[Amount]]-LS[[#This Row],[Unit Capital]]</f>
        <v>20900</v>
      </c>
      <c r="S764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12.560447151918609</v>
      </c>
      <c r="T764" s="216">
        <f t="shared" si="153"/>
        <v>12.552</v>
      </c>
      <c r="U764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64" s="3" cm="1">
        <f t="array" ref="V764">IF(LS[[#This Row],[B/S]]="S",ABS(LS[[#This Row],[Unit]])*(INDEX(LS[NAV at Cost (Average)],MATCH(CONCATENATE((LS[[#This Row],[Frequency]]-1),LS[[#This Row],[Investor ID]]),LS[Unique Code],0),0)),0)</f>
        <v>0</v>
      </c>
      <c r="W764" s="3">
        <f>IF(LS[[#This Row],[BO Transfer]]="YES",LS[[#This Row],[Unit]],)</f>
        <v>0</v>
      </c>
      <c r="X764" s="3">
        <f>SUMIFS(LS[[#Headers],[BO UNIT TRANSFER]]:LS[[#This Row],[BO UNIT TRANSFER]],LS[[#Headers],[Investor ID]]:LS[[#This Row],[Investor ID]],LS[[#This Row],[Investor ID]])</f>
        <v>0</v>
      </c>
    </row>
    <row r="765" spans="2:24">
      <c r="B765" s="8">
        <v>2026</v>
      </c>
      <c r="C765" s="8">
        <v>3</v>
      </c>
      <c r="D765" s="8">
        <v>9</v>
      </c>
      <c r="E765" s="291">
        <f>DATE(LS[[#This Row],[Year]],LS[[#This Row],[Month]],LS[[#This Row],[Day]])</f>
        <v>46090</v>
      </c>
      <c r="F765" t="str" cm="1">
        <f t="array" ref="F765">INDEX(INVESTORS_LIST[INVESTOR NAME],MATCH(LS[[#This Row],[Investor ID]],INVESTORS_LIST[INVESTOR CODE],0),)</f>
        <v>MOHAMMAD SAYDUZZAMAN</v>
      </c>
      <c r="G765" s="25" t="s">
        <v>84</v>
      </c>
      <c r="H765" s="8">
        <f>COUNTIF(LS[[#Headers],[Investor ID]]:LS[[#This Row],[Investor ID]],LS[[#This Row],[Investor ID]])</f>
        <v>5</v>
      </c>
      <c r="I765" s="8" t="str">
        <f>CONCATENATE(LS[[#This Row],[Frequency]],LS[[#This Row],[Investor ID]])</f>
        <v>5A00076</v>
      </c>
      <c r="J765" s="8" t="str">
        <f>IF(LS[[#This Row],[B/S]]="B","BUY",(IF(LS[[#This Row],[B/S]]="S","SELL"," ")))</f>
        <v>SELL</v>
      </c>
      <c r="K765" s="8" t="s">
        <v>866</v>
      </c>
      <c r="L765" s="3">
        <v>-421519.9</v>
      </c>
      <c r="M765" s="3"/>
      <c r="N765" s="216">
        <f>LS[[#This Row],[Amount]]/LS[[#This Row],[Unit]]</f>
        <v>12.834000121787847</v>
      </c>
      <c r="O765" s="1">
        <f t="shared" si="154"/>
        <v>-32844</v>
      </c>
      <c r="P765" s="1">
        <f>SUMIFS(LS[[#Headers],[Unit]]:LS[[#This Row],[Unit]],LS[[#Headers],[Investor ID]]:LS[[#This Row],[Investor ID]],LS[[#This Row],[Investor ID]])</f>
        <v>0</v>
      </c>
      <c r="Q765" s="3">
        <v>-328440</v>
      </c>
      <c r="R765" s="6">
        <f>LS[[#This Row],[Amount]]-LS[[#This Row],[Unit Capital]]</f>
        <v>-93079.900000000023</v>
      </c>
      <c r="S765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0</v>
      </c>
      <c r="T765" s="216">
        <f t="shared" ref="T765:T771" si="155">IFERROR(NAV_MKT,0)</f>
        <v>12.552</v>
      </c>
      <c r="U765" s="3">
        <f>IF(LS[[#This Row],[B/S]]="B",0,ABS(LS[[#This Row],[Unit]])*(LS[[#This Row],[NAV (Strike Rate)]]-INDEX(LS[NAV at Cost (Average)],MATCH(CONCATENATE(LS[[#This Row],[Frequency]]-1,LS[[#This Row],[Investor ID]]),LS[Unique Code],0),)))</f>
        <v>89763.400000000096</v>
      </c>
      <c r="V765" s="3" cm="1">
        <f t="array" ref="V765">IF(LS[[#This Row],[B/S]]="S",ABS(LS[[#This Row],[Unit]])*(INDEX(LS[NAV at Cost (Average)],MATCH(CONCATENATE((LS[[#This Row],[Frequency]]-1),LS[[#This Row],[Investor ID]]),LS[Unique Code],0),0)),0)</f>
        <v>331756.49999999994</v>
      </c>
      <c r="W765" s="3">
        <f>IF(LS[[#This Row],[BO Transfer]]="YES",LS[[#This Row],[Unit]],)</f>
        <v>0</v>
      </c>
      <c r="X765" s="3">
        <f>SUMIFS(LS[[#Headers],[BO UNIT TRANSFER]]:LS[[#This Row],[BO UNIT TRANSFER]],LS[[#Headers],[Investor ID]]:LS[[#This Row],[Investor ID]],LS[[#This Row],[Investor ID]])</f>
        <v>0</v>
      </c>
    </row>
    <row r="766" spans="2:24">
      <c r="B766" s="8">
        <v>2026</v>
      </c>
      <c r="C766" s="8">
        <v>3</v>
      </c>
      <c r="D766" s="8">
        <v>9</v>
      </c>
      <c r="E766" s="291">
        <f>DATE(LS[[#This Row],[Year]],LS[[#This Row],[Month]],LS[[#This Row],[Day]])</f>
        <v>46090</v>
      </c>
      <c r="F766" t="str" cm="1">
        <f t="array" ref="F766">INDEX(INVESTORS_LIST[INVESTOR NAME],MATCH(LS[[#This Row],[Investor ID]],INVESTORS_LIST[INVESTOR CODE],0),)</f>
        <v>SHUVA SAHA</v>
      </c>
      <c r="G766" s="25" t="s">
        <v>60</v>
      </c>
      <c r="H766" s="8">
        <f>COUNTIF(LS[[#Headers],[Investor ID]]:LS[[#This Row],[Investor ID]],LS[[#This Row],[Investor ID]])</f>
        <v>26</v>
      </c>
      <c r="I766" s="8" t="str">
        <f>CONCATENATE(LS[[#This Row],[Frequency]],LS[[#This Row],[Investor ID]])</f>
        <v>26A00053</v>
      </c>
      <c r="J766" s="8" t="str">
        <f>IF(LS[[#This Row],[B/S]]="B","BUY",(IF(LS[[#This Row],[B/S]]="S","SELL"," ")))</f>
        <v>SELL</v>
      </c>
      <c r="K766" s="8" t="s">
        <v>866</v>
      </c>
      <c r="L766" s="3">
        <v>-800000</v>
      </c>
      <c r="M766" s="3"/>
      <c r="N766" s="216">
        <f>LS[[#This Row],[Amount]]/LS[[#This Row],[Unit]]</f>
        <v>12.252086683513285</v>
      </c>
      <c r="O766" s="1">
        <f>Q766/10</f>
        <v>-65295</v>
      </c>
      <c r="P766" s="1">
        <f>SUMIFS(LS[[#Headers],[Unit]]:LS[[#This Row],[Unit]],LS[[#Headers],[Investor ID]]:LS[[#This Row],[Investor ID]],LS[[#This Row],[Investor ID]])</f>
        <v>429266</v>
      </c>
      <c r="Q766" s="3">
        <v>-652950</v>
      </c>
      <c r="R766" s="6">
        <f>LS[[#This Row],[Amount]]-LS[[#This Row],[Unit Capital]]</f>
        <v>-147050</v>
      </c>
      <c r="S766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10.769070368285647</v>
      </c>
      <c r="T766" s="216">
        <f t="shared" si="155"/>
        <v>12.552</v>
      </c>
      <c r="U766" s="3">
        <f>IF(LS[[#This Row],[B/S]]="B",0,ABS(LS[[#This Row],[Unit]])*(LS[[#This Row],[NAV (Strike Rate)]]-INDEX(LS[NAV at Cost (Average)],MATCH(CONCATENATE(LS[[#This Row],[Frequency]]-1,LS[[#This Row],[Investor ID]]),LS[Unique Code],0),)))</f>
        <v>96833.550302788673</v>
      </c>
      <c r="V766" s="3" cm="1">
        <f t="array" ref="V766">IF(LS[[#This Row],[B/S]]="S",ABS(LS[[#This Row],[Unit]])*(INDEX(LS[NAV at Cost (Average)],MATCH(CONCATENATE((LS[[#This Row],[Frequency]]-1),LS[[#This Row],[Investor ID]]),LS[Unique Code],0),0)),0)</f>
        <v>703166.44969721127</v>
      </c>
      <c r="W766" s="3">
        <f>IF(LS[[#This Row],[BO Transfer]]="YES",LS[[#This Row],[Unit]],)</f>
        <v>0</v>
      </c>
      <c r="X766" s="3">
        <f>SUMIFS(LS[[#Headers],[BO UNIT TRANSFER]]:LS[[#This Row],[BO UNIT TRANSFER]],LS[[#Headers],[Investor ID]]:LS[[#This Row],[Investor ID]],LS[[#This Row],[Investor ID]])</f>
        <v>139660</v>
      </c>
    </row>
    <row r="767" spans="2:24">
      <c r="B767" s="8">
        <v>2026</v>
      </c>
      <c r="C767" s="8">
        <v>3</v>
      </c>
      <c r="D767" s="8">
        <v>9</v>
      </c>
      <c r="E767" s="291">
        <f>DATE(LS[[#This Row],[Year]],LS[[#This Row],[Month]],LS[[#This Row],[Day]])</f>
        <v>46090</v>
      </c>
      <c r="F767" t="str" cm="1">
        <f t="array" ref="F767">INDEX(INVESTORS_LIST[INVESTOR NAME],MATCH(LS[[#This Row],[Investor ID]],INVESTORS_LIST[INVESTOR CODE],0),)</f>
        <v>KHAN MUHAMMAD KAWSER AHMED</v>
      </c>
      <c r="G767" s="25" t="s">
        <v>1004</v>
      </c>
      <c r="H767" s="8">
        <f>COUNTIF(LS[[#Headers],[Investor ID]]:LS[[#This Row],[Investor ID]],LS[[#This Row],[Investor ID]])</f>
        <v>6</v>
      </c>
      <c r="I767" s="8" t="str">
        <f>CONCATENATE(LS[[#This Row],[Frequency]],LS[[#This Row],[Investor ID]])</f>
        <v>6A00449</v>
      </c>
      <c r="J767" s="8" t="str">
        <f>IF(LS[[#This Row],[B/S]]="B","BUY",(IF(LS[[#This Row],[B/S]]="S","SELL"," ")))</f>
        <v>BUY</v>
      </c>
      <c r="K767" s="8" t="s">
        <v>301</v>
      </c>
      <c r="L767" s="3">
        <v>3000000</v>
      </c>
      <c r="M767" s="3"/>
      <c r="N767" s="216">
        <f>LS[[#This Row],[Amount]]/LS[[#This Row],[Unit]]</f>
        <v>12.251999117856064</v>
      </c>
      <c r="O767" s="1">
        <f t="shared" si="154"/>
        <v>244858</v>
      </c>
      <c r="P767" s="1">
        <f>SUMIFS(LS[[#Headers],[Unit]]:LS[[#This Row],[Unit]],LS[[#Headers],[Investor ID]]:LS[[#This Row],[Investor ID]],LS[[#This Row],[Investor ID]])</f>
        <v>2291458</v>
      </c>
      <c r="Q767" s="3">
        <v>2448580</v>
      </c>
      <c r="R767" s="6">
        <f>LS[[#This Row],[Amount]]-LS[[#This Row],[Unit Capital]]</f>
        <v>551420</v>
      </c>
      <c r="S767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12.408558481106789</v>
      </c>
      <c r="T767" s="216">
        <f t="shared" si="155"/>
        <v>12.552</v>
      </c>
      <c r="U767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67" s="3" cm="1">
        <f t="array" ref="V767">IF(LS[[#This Row],[B/S]]="S",ABS(LS[[#This Row],[Unit]])*(INDEX(LS[NAV at Cost (Average)],MATCH(CONCATENATE((LS[[#This Row],[Frequency]]-1),LS[[#This Row],[Investor ID]]),LS[Unique Code],0),0)),0)</f>
        <v>0</v>
      </c>
      <c r="W767" s="3">
        <f>IF(LS[[#This Row],[BO Transfer]]="YES",LS[[#This Row],[Unit]],)</f>
        <v>0</v>
      </c>
      <c r="X767" s="3">
        <f>SUMIFS(LS[[#Headers],[BO UNIT TRANSFER]]:LS[[#This Row],[BO UNIT TRANSFER]],LS[[#Headers],[Investor ID]]:LS[[#This Row],[Investor ID]],LS[[#This Row],[Investor ID]])</f>
        <v>2046600</v>
      </c>
    </row>
    <row r="768" spans="2:24">
      <c r="B768" s="8">
        <v>2026</v>
      </c>
      <c r="C768" s="8">
        <v>3</v>
      </c>
      <c r="D768" s="8">
        <v>10</v>
      </c>
      <c r="E768" s="291">
        <f>DATE(LS[[#This Row],[Year]],LS[[#This Row],[Month]],LS[[#This Row],[Day]])</f>
        <v>46091</v>
      </c>
      <c r="F768" t="str" cm="1">
        <f t="array" ref="F768">INDEX(INVESTORS_LIST[INVESTOR NAME],MATCH(LS[[#This Row],[Investor ID]],INVESTORS_LIST[INVESTOR CODE],0),)</f>
        <v>EKUSH WEALTH MANAGEMENT LIMITED</v>
      </c>
      <c r="G768" s="25" t="s">
        <v>4</v>
      </c>
      <c r="H768" s="8">
        <f>COUNTIF(LS[[#Headers],[Investor ID]]:LS[[#This Row],[Investor ID]],LS[[#This Row],[Investor ID]])</f>
        <v>40</v>
      </c>
      <c r="I768" s="8" t="str">
        <f>CONCATENATE(LS[[#This Row],[Frequency]],LS[[#This Row],[Investor ID]])</f>
        <v>40A00003</v>
      </c>
      <c r="J768" s="8" t="str">
        <f>IF(LS[[#This Row],[B/S]]="B","BUY",(IF(LS[[#This Row],[B/S]]="S","SELL"," ")))</f>
        <v>SELL</v>
      </c>
      <c r="K768" s="8" t="s">
        <v>866</v>
      </c>
      <c r="L768" s="3">
        <v>-42000</v>
      </c>
      <c r="M768" s="3"/>
      <c r="N768" s="216">
        <f>LS[[#This Row],[Amount]]/LS[[#This Row],[Unit]]</f>
        <v>12.514898688915375</v>
      </c>
      <c r="O768" s="1">
        <f t="shared" ref="O768:O773" si="156">Q768/10</f>
        <v>-3356</v>
      </c>
      <c r="P768" s="1">
        <f>SUMIFS(LS[[#Headers],[Unit]]:LS[[#This Row],[Unit]],LS[[#Headers],[Investor ID]]:LS[[#This Row],[Investor ID]],LS[[#This Row],[Investor ID]])</f>
        <v>2914121</v>
      </c>
      <c r="Q768" s="3">
        <v>-33560</v>
      </c>
      <c r="R768" s="6">
        <f>LS[[#This Row],[Amount]]-LS[[#This Row],[Unit Capital]]</f>
        <v>-8440</v>
      </c>
      <c r="S768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10.257750456108285</v>
      </c>
      <c r="T768" s="216">
        <f t="shared" si="155"/>
        <v>12.552</v>
      </c>
      <c r="U768" s="3">
        <f>IF(LS[[#This Row],[B/S]]="B",0,ABS(LS[[#This Row],[Unit]])*(LS[[#This Row],[NAV (Strike Rate)]]-INDEX(LS[NAV at Cost (Average)],MATCH(CONCATENATE(LS[[#This Row],[Frequency]]-1,LS[[#This Row],[Investor ID]]),LS[Unique Code],0),)))</f>
        <v>7574.9894693005936</v>
      </c>
      <c r="V768" s="3" cm="1">
        <f t="array" ref="V768">IF(LS[[#This Row],[B/S]]="S",ABS(LS[[#This Row],[Unit]])*(INDEX(LS[NAV at Cost (Average)],MATCH(CONCATENATE((LS[[#This Row],[Frequency]]-1),LS[[#This Row],[Investor ID]]),LS[Unique Code],0),0)),0)</f>
        <v>34425.010530699408</v>
      </c>
      <c r="W768" s="3">
        <f>IF(LS[[#This Row],[BO Transfer]]="YES",LS[[#This Row],[Unit]],)</f>
        <v>0</v>
      </c>
      <c r="X768" s="3">
        <f>SUMIFS(LS[[#Headers],[BO UNIT TRANSFER]]:LS[[#This Row],[BO UNIT TRANSFER]],LS[[#Headers],[Investor ID]]:LS[[#This Row],[Investor ID]],LS[[#This Row],[Investor ID]])</f>
        <v>0</v>
      </c>
    </row>
    <row r="769" spans="2:24">
      <c r="B769" s="8">
        <v>2026</v>
      </c>
      <c r="C769" s="8">
        <v>3</v>
      </c>
      <c r="D769" s="8">
        <v>12</v>
      </c>
      <c r="E769" s="291">
        <f>DATE(LS[[#This Row],[Year]],LS[[#This Row],[Month]],LS[[#This Row],[Day]])</f>
        <v>46093</v>
      </c>
      <c r="F769" t="str" cm="1">
        <f t="array" ref="F769">INDEX(INVESTORS_LIST[INVESTOR NAME],MATCH(LS[[#This Row],[Investor ID]],INVESTORS_LIST[INVESTOR CODE],0),)</f>
        <v>SHUVA SAHA</v>
      </c>
      <c r="G769" s="25" t="s">
        <v>60</v>
      </c>
      <c r="H769" s="8">
        <f>COUNTIF(LS[[#Headers],[Investor ID]]:LS[[#This Row],[Investor ID]],LS[[#This Row],[Investor ID]])</f>
        <v>27</v>
      </c>
      <c r="I769" s="8" t="str">
        <f>CONCATENATE(LS[[#This Row],[Frequency]],LS[[#This Row],[Investor ID]])</f>
        <v>27A00053</v>
      </c>
      <c r="J769" s="8" t="str">
        <f>IF(LS[[#This Row],[B/S]]="B","BUY",(IF(LS[[#This Row],[B/S]]="S","SELL"," ")))</f>
        <v>BUY</v>
      </c>
      <c r="K769" s="8" t="s">
        <v>301</v>
      </c>
      <c r="L769" s="3">
        <v>90000</v>
      </c>
      <c r="M769" s="3"/>
      <c r="N769" s="216">
        <f>LS[[#This Row],[Amount]]/LS[[#This Row],[Unit]]</f>
        <v>12.851635013565614</v>
      </c>
      <c r="O769" s="1">
        <f t="shared" si="156"/>
        <v>7003</v>
      </c>
      <c r="P769" s="1">
        <f>SUMIFS(LS[[#Headers],[Unit]]:LS[[#This Row],[Unit]],LS[[#Headers],[Investor ID]]:LS[[#This Row],[Investor ID]],LS[[#This Row],[Investor ID]])</f>
        <v>436269</v>
      </c>
      <c r="Q769" s="3">
        <v>70030</v>
      </c>
      <c r="R769" s="6">
        <f>LS[[#This Row],[Amount]]-LS[[#This Row],[Unit Capital]]</f>
        <v>19970</v>
      </c>
      <c r="S769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10.802499743764756</v>
      </c>
      <c r="T769" s="216">
        <f t="shared" si="155"/>
        <v>12.552</v>
      </c>
      <c r="U769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69" s="3" cm="1">
        <f t="array" ref="V769">IF(LS[[#This Row],[B/S]]="S",ABS(LS[[#This Row],[Unit]])*(INDEX(LS[NAV at Cost (Average)],MATCH(CONCATENATE((LS[[#This Row],[Frequency]]-1),LS[[#This Row],[Investor ID]]),LS[Unique Code],0),0)),0)</f>
        <v>0</v>
      </c>
      <c r="W769" s="3">
        <f>IF(LS[[#This Row],[BO Transfer]]="YES",LS[[#This Row],[Unit]],)</f>
        <v>0</v>
      </c>
      <c r="X769" s="3">
        <f>SUMIFS(LS[[#Headers],[BO UNIT TRANSFER]]:LS[[#This Row],[BO UNIT TRANSFER]],LS[[#Headers],[Investor ID]]:LS[[#This Row],[Investor ID]],LS[[#This Row],[Investor ID]])</f>
        <v>139660</v>
      </c>
    </row>
    <row r="770" spans="2:24">
      <c r="B770" s="8">
        <v>2026</v>
      </c>
      <c r="C770" s="8">
        <v>3</v>
      </c>
      <c r="D770" s="8">
        <v>15</v>
      </c>
      <c r="E770" s="291">
        <f>DATE(LS[[#This Row],[Year]],LS[[#This Row],[Month]],LS[[#This Row],[Day]])</f>
        <v>46096</v>
      </c>
      <c r="F770" t="str" cm="1">
        <f t="array" ref="F770">INDEX(INVESTORS_LIST[INVESTOR NAME],MATCH(LS[[#This Row],[Investor ID]],INVESTORS_LIST[INVESTOR CODE],0),)</f>
        <v>EKUSH WEALTH MANAGEMENT LIMITED</v>
      </c>
      <c r="G770" s="25" t="s">
        <v>4</v>
      </c>
      <c r="H770" s="8">
        <f>COUNTIF(LS[[#Headers],[Investor ID]]:LS[[#This Row],[Investor ID]],LS[[#This Row],[Investor ID]])</f>
        <v>41</v>
      </c>
      <c r="I770" s="8" t="str">
        <f>CONCATENATE(LS[[#This Row],[Frequency]],LS[[#This Row],[Investor ID]])</f>
        <v>41A00003</v>
      </c>
      <c r="J770" s="8" t="str">
        <f>IF(LS[[#This Row],[B/S]]="B","BUY",(IF(LS[[#This Row],[B/S]]="S","SELL"," ")))</f>
        <v>SELL</v>
      </c>
      <c r="K770" s="8" t="s">
        <v>866</v>
      </c>
      <c r="L770" s="3">
        <v>-20000</v>
      </c>
      <c r="M770" s="3"/>
      <c r="N770" s="216">
        <f>LS[[#This Row],[Amount]]/LS[[#This Row],[Unit]]</f>
        <v>12.88659793814433</v>
      </c>
      <c r="O770" s="1">
        <f t="shared" si="156"/>
        <v>-1552</v>
      </c>
      <c r="P770" s="1">
        <f>SUMIFS(LS[[#Headers],[Unit]]:LS[[#This Row],[Unit]],LS[[#Headers],[Investor ID]]:LS[[#This Row],[Investor ID]],LS[[#This Row],[Investor ID]])</f>
        <v>2912569</v>
      </c>
      <c r="Q770" s="3">
        <v>-15520</v>
      </c>
      <c r="R770" s="6">
        <f>LS[[#This Row],[Amount]]-LS[[#This Row],[Unit Capital]]</f>
        <v>-4480</v>
      </c>
      <c r="S770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10.257750456108285</v>
      </c>
      <c r="T770" s="216">
        <f t="shared" si="155"/>
        <v>12.552</v>
      </c>
      <c r="U770" s="3">
        <f>IF(LS[[#This Row],[B/S]]="B",0,ABS(LS[[#This Row],[Unit]])*(LS[[#This Row],[NAV (Strike Rate)]]-INDEX(LS[NAV at Cost (Average)],MATCH(CONCATENATE(LS[[#This Row],[Frequency]]-1,LS[[#This Row],[Investor ID]]),LS[Unique Code],0),)))</f>
        <v>4079.9712921199421</v>
      </c>
      <c r="V770" s="3" cm="1">
        <f t="array" ref="V770">IF(LS[[#This Row],[B/S]]="S",ABS(LS[[#This Row],[Unit]])*(INDEX(LS[NAV at Cost (Average)],MATCH(CONCATENATE((LS[[#This Row],[Frequency]]-1),LS[[#This Row],[Investor ID]]),LS[Unique Code],0),0)),0)</f>
        <v>15920.028707880059</v>
      </c>
      <c r="W770" s="3">
        <f>IF(LS[[#This Row],[BO Transfer]]="YES",LS[[#This Row],[Unit]],)</f>
        <v>0</v>
      </c>
      <c r="X770" s="3">
        <f>SUMIFS(LS[[#Headers],[BO UNIT TRANSFER]]:LS[[#This Row],[BO UNIT TRANSFER]],LS[[#Headers],[Investor ID]]:LS[[#This Row],[Investor ID]],LS[[#This Row],[Investor ID]])</f>
        <v>0</v>
      </c>
    </row>
    <row r="771" spans="2:24">
      <c r="B771" s="8">
        <v>2026</v>
      </c>
      <c r="C771" s="8">
        <v>3</v>
      </c>
      <c r="D771" s="8">
        <v>15</v>
      </c>
      <c r="E771" s="291">
        <f>DATE(LS[[#This Row],[Year]],LS[[#This Row],[Month]],LS[[#This Row],[Day]])</f>
        <v>46096</v>
      </c>
      <c r="F771" t="str" cm="1">
        <f t="array" ref="F771">INDEX(INVESTORS_LIST[INVESTOR NAME],MATCH(LS[[#This Row],[Investor ID]],INVESTORS_LIST[INVESTOR CODE],0),)</f>
        <v>MD GOLAM SHAON</v>
      </c>
      <c r="G771" s="25" t="s">
        <v>1327</v>
      </c>
      <c r="H771" s="8">
        <f>COUNTIF(LS[[#Headers],[Investor ID]]:LS[[#This Row],[Investor ID]],LS[[#This Row],[Investor ID]])</f>
        <v>5</v>
      </c>
      <c r="I771" s="8" t="str">
        <f>CONCATENATE(LS[[#This Row],[Frequency]],LS[[#This Row],[Investor ID]])</f>
        <v>5A00567</v>
      </c>
      <c r="J771" s="8" t="str">
        <f>IF(LS[[#This Row],[B/S]]="B","BUY",(IF(LS[[#This Row],[B/S]]="S","SELL"," ")))</f>
        <v>BUY</v>
      </c>
      <c r="K771" s="8" t="s">
        <v>301</v>
      </c>
      <c r="L771" s="3">
        <v>10339.349999999999</v>
      </c>
      <c r="M771" s="3"/>
      <c r="N771" s="216">
        <f>LS[[#This Row],[Amount]]/LS[[#This Row],[Unit]]</f>
        <v>12.875902864259027</v>
      </c>
      <c r="O771" s="1">
        <f t="shared" si="156"/>
        <v>803</v>
      </c>
      <c r="P771" s="1">
        <f>SUMIFS(LS[[#Headers],[Unit]]:LS[[#This Row],[Unit]],LS[[#Headers],[Investor ID]]:LS[[#This Row],[Investor ID]],LS[[#This Row],[Investor ID]])</f>
        <v>24404</v>
      </c>
      <c r="Q771" s="3">
        <v>8030</v>
      </c>
      <c r="R771" s="6">
        <f>LS[[#This Row],[Amount]]-LS[[#This Row],[Unit Capital]]</f>
        <v>2309.3499999999985</v>
      </c>
      <c r="S771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10.550385292943226</v>
      </c>
      <c r="T771" s="216">
        <f t="shared" si="155"/>
        <v>12.552</v>
      </c>
      <c r="U771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71" s="3" cm="1">
        <f t="array" ref="V771">IF(LS[[#This Row],[B/S]]="S",ABS(LS[[#This Row],[Unit]])*(INDEX(LS[NAV at Cost (Average)],MATCH(CONCATENATE((LS[[#This Row],[Frequency]]-1),LS[[#This Row],[Investor ID]]),LS[Unique Code],0),0)),0)</f>
        <v>0</v>
      </c>
      <c r="W771" s="3">
        <f>IF(LS[[#This Row],[BO Transfer]]="YES",LS[[#This Row],[Unit]],)</f>
        <v>0</v>
      </c>
      <c r="X771" s="3">
        <f>SUMIFS(LS[[#Headers],[BO UNIT TRANSFER]]:LS[[#This Row],[BO UNIT TRANSFER]],LS[[#Headers],[Investor ID]]:LS[[#This Row],[Investor ID]],LS[[#This Row],[Investor ID]])</f>
        <v>0</v>
      </c>
    </row>
    <row r="772" spans="2:24">
      <c r="B772" s="8">
        <v>2026</v>
      </c>
      <c r="C772" s="8">
        <v>3</v>
      </c>
      <c r="D772" s="8">
        <v>16</v>
      </c>
      <c r="E772" s="291">
        <f>DATE(LS[[#This Row],[Year]],LS[[#This Row],[Month]],LS[[#This Row],[Day]])</f>
        <v>46097</v>
      </c>
      <c r="F772" t="str" cm="1">
        <f t="array" ref="F772">INDEX(INVESTORS_LIST[INVESTOR NAME],MATCH(LS[[#This Row],[Investor ID]],INVESTORS_LIST[INVESTOR CODE],0),)</f>
        <v>MD. ARIFUL ISLAM</v>
      </c>
      <c r="G772" s="25" t="s">
        <v>95</v>
      </c>
      <c r="H772" s="8">
        <f>COUNTIF(LS[[#Headers],[Investor ID]]:LS[[#This Row],[Investor ID]],LS[[#This Row],[Investor ID]])</f>
        <v>6</v>
      </c>
      <c r="I772" s="8" t="str">
        <f>CONCATENATE(LS[[#This Row],[Frequency]],LS[[#This Row],[Investor ID]])</f>
        <v>6A00087</v>
      </c>
      <c r="J772" s="8" t="str">
        <f>IF(LS[[#This Row],[B/S]]="B","BUY",(IF(LS[[#This Row],[B/S]]="S","SELL"," ")))</f>
        <v>SELL</v>
      </c>
      <c r="K772" s="8" t="s">
        <v>866</v>
      </c>
      <c r="L772" s="3">
        <v>-270000</v>
      </c>
      <c r="M772" s="3"/>
      <c r="N772" s="216">
        <f>LS[[#This Row],[Amount]]/LS[[#This Row],[Unit]]</f>
        <v>12.708274498729173</v>
      </c>
      <c r="O772" s="1">
        <f t="shared" si="156"/>
        <v>-21246</v>
      </c>
      <c r="P772" s="1">
        <f>SUMIFS(LS[[#Headers],[Unit]]:LS[[#This Row],[Unit]],LS[[#Headers],[Investor ID]]:LS[[#This Row],[Investor ID]],LS[[#This Row],[Investor ID]])</f>
        <v>496097</v>
      </c>
      <c r="Q772" s="3">
        <v>-212460</v>
      </c>
      <c r="R772" s="6">
        <f>LS[[#This Row],[Amount]]-LS[[#This Row],[Unit Capital]]</f>
        <v>-57540</v>
      </c>
      <c r="S772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10.100907618349916</v>
      </c>
      <c r="T772" s="216">
        <f>IFERROR(NAV_MKT,0)</f>
        <v>12.552</v>
      </c>
      <c r="U772" s="3">
        <f>IF(LS[[#This Row],[B/S]]="B",0,ABS(LS[[#This Row],[Unit]])*(LS[[#This Row],[NAV (Strike Rate)]]-INDEX(LS[NAV at Cost (Average)],MATCH(CONCATENATE(LS[[#This Row],[Frequency]]-1,LS[[#This Row],[Investor ID]]),LS[Unique Code],0),)))</f>
        <v>55396.116740537684</v>
      </c>
      <c r="V772" s="3" cm="1">
        <f t="array" ref="V772">IF(LS[[#This Row],[B/S]]="S",ABS(LS[[#This Row],[Unit]])*(INDEX(LS[NAV at Cost (Average)],MATCH(CONCATENATE((LS[[#This Row],[Frequency]]-1),LS[[#This Row],[Investor ID]]),LS[Unique Code],0),0)),0)</f>
        <v>214603.88325946234</v>
      </c>
      <c r="W772" s="3">
        <f>IF(LS[[#This Row],[BO Transfer]]="YES",LS[[#This Row],[Unit]],)</f>
        <v>0</v>
      </c>
      <c r="X772" s="3">
        <f>SUMIFS(LS[[#Headers],[BO UNIT TRANSFER]]:LS[[#This Row],[BO UNIT TRANSFER]],LS[[#Headers],[Investor ID]]:LS[[#This Row],[Investor ID]],LS[[#This Row],[Investor ID]])</f>
        <v>17343</v>
      </c>
    </row>
    <row r="773" spans="2:24">
      <c r="B773" s="8">
        <v>2026</v>
      </c>
      <c r="C773" s="8">
        <v>3</v>
      </c>
      <c r="D773" s="8">
        <v>25</v>
      </c>
      <c r="E773" s="291">
        <f>DATE(LS[[#This Row],[Year]],LS[[#This Row],[Month]],LS[[#This Row],[Day]])</f>
        <v>46106</v>
      </c>
      <c r="F773" t="str" cm="1">
        <f t="array" ref="F773">INDEX(INVESTORS_LIST[INVESTOR NAME],MATCH(LS[[#This Row],[Investor ID]],INVESTORS_LIST[INVESTOR CODE],0),)</f>
        <v>IMRANUL GANI FIRA</v>
      </c>
      <c r="G773" s="25" t="s">
        <v>1646</v>
      </c>
      <c r="H773" s="8">
        <f>COUNTIF(LS[[#Headers],[Investor ID]]:LS[[#This Row],[Investor ID]],LS[[#This Row],[Investor ID]])</f>
        <v>8</v>
      </c>
      <c r="I773" s="8" t="str">
        <f>CONCATENATE(LS[[#This Row],[Frequency]],LS[[#This Row],[Investor ID]])</f>
        <v>8BR0005</v>
      </c>
      <c r="J773" s="8" t="str">
        <f>IF(LS[[#This Row],[B/S]]="B","BUY",(IF(LS[[#This Row],[B/S]]="S","SELL"," ")))</f>
        <v>BUY</v>
      </c>
      <c r="K773" s="8" t="s">
        <v>301</v>
      </c>
      <c r="L773" s="3">
        <v>10000</v>
      </c>
      <c r="M773" s="3"/>
      <c r="N773" s="216">
        <f>LS[[#This Row],[Amount]]/LS[[#This Row],[Unit]]</f>
        <v>12.515644555694617</v>
      </c>
      <c r="O773" s="1">
        <f t="shared" si="156"/>
        <v>799</v>
      </c>
      <c r="P773" s="1">
        <f>SUMIFS(LS[[#Headers],[Unit]]:LS[[#This Row],[Unit]],LS[[#Headers],[Investor ID]]:LS[[#This Row],[Investor ID]],LS[[#This Row],[Investor ID]])</f>
        <v>10116</v>
      </c>
      <c r="Q773" s="3">
        <v>7990</v>
      </c>
      <c r="R773" s="6">
        <f>LS[[#This Row],[Amount]]-LS[[#This Row],[Unit Capital]]</f>
        <v>2010</v>
      </c>
      <c r="S773" s="216">
        <f>IF(LS[[#This Row],[Cumulative Unit]]=0,0,IF(LS[[#This Row],[B/S]]="B",IF(LS[[#This Row],[Frequency]]=1,LS[[#This Row],[NAV (Strike Rate)]],((LS[[#This Row],[Unit]]/LS[[#This Row],[Cumulative Unit]])*LS[[#This Row],[NAV (Strike Rate)]])+(((LS[[#This Row],[Cumulative Unit]]-LS[[#This Row],[Unit]])/LS[[#This Row],[Cumulative Unit]])*(INDEX(LS[[#Headers],[NAV at Cost (Average)]]:LS[[#This Row],[NAV at Cost (Average)]],MATCH(CONCATENATE(LS[[#This Row],[Frequency]]-1,LS[[#This Row],[Investor ID]]),LS[[#Headers],[Unique Code]]:LS[[#This Row],[Unique Code]],0),)))),INDEX(LS[[#Headers],[NAV at Cost (Average)]]:LS[[#This Row],[NAV at Cost (Average)]],MATCH(CONCATENATE(LS[[#This Row],[Frequency]]-1,LS[[#This Row],[Investor ID]]),LS[[#Headers],[Unique Code]]:LS[[#This Row],[Unique Code]],0),)))</f>
        <v>12.081682483194937</v>
      </c>
      <c r="T773" s="216">
        <f>IFERROR(NAV_MKT,0)</f>
        <v>12.552</v>
      </c>
      <c r="U773" s="3">
        <f>IF(LS[[#This Row],[B/S]]="B",0,ABS(LS[[#This Row],[Unit]])*(LS[[#This Row],[NAV (Strike Rate)]]-INDEX(LS[NAV at Cost (Average)],MATCH(CONCATENATE(LS[[#This Row],[Frequency]]-1,LS[[#This Row],[Investor ID]]),LS[Unique Code],0),)))</f>
        <v>0</v>
      </c>
      <c r="V773" s="3" cm="1">
        <f t="array" ref="V773">IF(LS[[#This Row],[B/S]]="S",ABS(LS[[#This Row],[Unit]])*(INDEX(LS[NAV at Cost (Average)],MATCH(CONCATENATE((LS[[#This Row],[Frequency]]-1),LS[[#This Row],[Investor ID]]),LS[Unique Code],0),0)),0)</f>
        <v>0</v>
      </c>
      <c r="W773" s="3">
        <f>IF(LS[[#This Row],[BO Transfer]]="YES",LS[[#This Row],[Unit]],)</f>
        <v>0</v>
      </c>
      <c r="X773" s="3">
        <f>SUMIFS(LS[[#Headers],[BO UNIT TRANSFER]]:LS[[#This Row],[BO UNIT TRANSFER]],LS[[#Headers],[Investor ID]]:LS[[#This Row],[Investor ID]],LS[[#This Row],[Investor ID]])</f>
        <v>9317</v>
      </c>
    </row>
    <row r="774" spans="2:24">
      <c r="E774" s="9"/>
      <c r="G774" s="25"/>
      <c r="L774" s="3"/>
      <c r="M774" s="3"/>
      <c r="N774" s="3"/>
      <c r="O774" s="1"/>
      <c r="P774" s="1"/>
      <c r="Q774" s="3"/>
      <c r="R774" s="6"/>
      <c r="S774" s="3"/>
      <c r="T774" s="3"/>
      <c r="U774" s="3"/>
      <c r="V774" s="3"/>
      <c r="W774" s="3"/>
    </row>
    <row r="775" spans="2:24">
      <c r="E775" s="9"/>
      <c r="G775" s="25"/>
      <c r="L775" s="3"/>
      <c r="M775" s="3"/>
      <c r="N775" s="3"/>
      <c r="O775" s="1"/>
      <c r="P775" s="1"/>
      <c r="Q775" s="3"/>
      <c r="R775" s="6"/>
      <c r="S775" s="3"/>
      <c r="T775" s="3"/>
      <c r="U775" s="3"/>
      <c r="V775" s="3"/>
      <c r="W775" s="3"/>
    </row>
    <row r="776" spans="2:24">
      <c r="E776" s="9"/>
      <c r="G776" s="25"/>
      <c r="L776" s="3"/>
      <c r="M776" s="3"/>
      <c r="N776" s="3"/>
      <c r="O776" s="1"/>
      <c r="P776" s="1"/>
      <c r="Q776" s="3"/>
      <c r="R776" s="6"/>
      <c r="S776" s="3"/>
      <c r="T776" s="3"/>
      <c r="U776" s="3"/>
      <c r="V776" s="3"/>
      <c r="W776" s="3"/>
    </row>
    <row r="777" spans="2:24">
      <c r="E777" s="9"/>
      <c r="G777" s="25"/>
      <c r="L777" s="3"/>
      <c r="M777" s="3"/>
      <c r="N777" s="3"/>
      <c r="O777" s="1"/>
      <c r="P777" s="1"/>
      <c r="Q777" s="3"/>
      <c r="R777" s="6"/>
      <c r="S777" s="3"/>
      <c r="T777" s="3"/>
      <c r="U777" s="3"/>
      <c r="V777" s="3"/>
      <c r="W777" s="3"/>
    </row>
    <row r="778" spans="2:24">
      <c r="E778" s="9"/>
      <c r="G778" s="25"/>
      <c r="L778" s="3"/>
      <c r="M778" s="3"/>
      <c r="N778" s="3"/>
      <c r="O778" s="1"/>
      <c r="P778" s="1"/>
      <c r="Q778" s="3"/>
      <c r="R778" s="6"/>
      <c r="S778" s="3"/>
      <c r="T778" s="3"/>
      <c r="U778" s="3"/>
      <c r="V778" s="3"/>
      <c r="W778" s="3"/>
    </row>
    <row r="779" spans="2:24">
      <c r="E779" s="9"/>
      <c r="G779" s="25"/>
      <c r="L779" s="3"/>
      <c r="M779" s="3"/>
      <c r="N779" s="3"/>
      <c r="O779" s="1"/>
      <c r="P779" s="1"/>
      <c r="Q779" s="3"/>
      <c r="R779" s="6"/>
      <c r="S779" s="3"/>
      <c r="T779" s="3"/>
      <c r="U779" s="3"/>
      <c r="V779" s="3"/>
      <c r="W779" s="3"/>
    </row>
    <row r="780" spans="2:24">
      <c r="E780" s="9"/>
      <c r="G780" s="25"/>
      <c r="L780" s="3"/>
      <c r="M780" s="3"/>
      <c r="N780" s="3"/>
      <c r="O780" s="1"/>
      <c r="P780" s="1"/>
      <c r="Q780" s="3"/>
      <c r="R780" s="6"/>
      <c r="S780" s="3"/>
      <c r="T780" s="3"/>
      <c r="U780" s="3"/>
      <c r="V780" s="3"/>
      <c r="W780" s="3"/>
    </row>
    <row r="781" spans="2:24">
      <c r="E781" s="9"/>
      <c r="G781" s="25"/>
      <c r="L781" s="3"/>
      <c r="M781" s="3"/>
      <c r="N781" s="3"/>
      <c r="O781" s="1"/>
      <c r="P781" s="1"/>
      <c r="Q781" s="3"/>
      <c r="R781" s="6"/>
      <c r="S781" s="3"/>
      <c r="T781" s="3"/>
      <c r="U781" s="3"/>
      <c r="V781" s="3"/>
      <c r="W781" s="3"/>
    </row>
    <row r="782" spans="2:24">
      <c r="E782" s="9"/>
      <c r="G782" s="25"/>
      <c r="L782" s="3"/>
      <c r="M782" s="3"/>
      <c r="N782" s="3"/>
      <c r="O782" s="1"/>
      <c r="P782" s="1"/>
      <c r="Q782" s="3"/>
      <c r="R782" s="6"/>
      <c r="S782" s="3"/>
      <c r="T782" s="3"/>
      <c r="U782" s="3"/>
      <c r="V782" s="3"/>
      <c r="W782" s="3"/>
    </row>
    <row r="783" spans="2:24">
      <c r="E783" s="9"/>
      <c r="G783" s="25"/>
      <c r="L783" s="3"/>
      <c r="M783" s="3"/>
      <c r="N783" s="3"/>
      <c r="O783" s="1"/>
      <c r="P783" s="1"/>
      <c r="Q783" s="3"/>
      <c r="R783" s="6"/>
      <c r="S783" s="3"/>
      <c r="T783" s="3"/>
      <c r="U783" s="3"/>
      <c r="V783" s="3"/>
      <c r="W783" s="3"/>
    </row>
    <row r="784" spans="2:24">
      <c r="E784" s="9"/>
      <c r="G784" s="25"/>
      <c r="L784" s="3"/>
      <c r="M784" s="3"/>
      <c r="N784" s="3"/>
      <c r="O784" s="1"/>
      <c r="P784" s="1"/>
      <c r="Q784" s="3"/>
      <c r="R784" s="6"/>
      <c r="S784" s="3"/>
      <c r="T784" s="3"/>
      <c r="U784" s="3"/>
      <c r="V784" s="3"/>
      <c r="W784" s="3"/>
    </row>
    <row r="785" spans="5:23">
      <c r="E785" s="9"/>
      <c r="G785" s="25"/>
      <c r="L785" s="3"/>
      <c r="M785" s="3"/>
      <c r="N785" s="3"/>
      <c r="O785" s="1"/>
      <c r="P785" s="1"/>
      <c r="Q785" s="3"/>
      <c r="R785" s="6"/>
      <c r="S785" s="3"/>
      <c r="T785" s="3"/>
      <c r="U785" s="3"/>
      <c r="V785" s="3"/>
      <c r="W785" s="3"/>
    </row>
    <row r="786" spans="5:23">
      <c r="E786" s="9"/>
      <c r="G786" s="25"/>
      <c r="L786" s="3"/>
      <c r="M786" s="3"/>
      <c r="N786" s="3"/>
      <c r="O786" s="1"/>
      <c r="P786" s="1"/>
      <c r="Q786" s="3"/>
      <c r="R786" s="6"/>
      <c r="S786" s="3"/>
      <c r="T786" s="3"/>
      <c r="U786" s="3"/>
      <c r="V786" s="3"/>
      <c r="W786" s="3"/>
    </row>
    <row r="787" spans="5:23">
      <c r="E787" s="9"/>
      <c r="G787" s="25"/>
      <c r="L787" s="3"/>
      <c r="M787" s="3"/>
      <c r="N787" s="3"/>
      <c r="O787" s="1"/>
      <c r="P787" s="1"/>
      <c r="Q787" s="3"/>
      <c r="R787" s="6"/>
      <c r="S787" s="3"/>
      <c r="T787" s="3"/>
      <c r="U787" s="3"/>
      <c r="V787" s="3"/>
      <c r="W787" s="3"/>
    </row>
    <row r="788" spans="5:23">
      <c r="E788" s="9"/>
      <c r="G788" s="25"/>
      <c r="L788" s="3"/>
      <c r="M788" s="3"/>
      <c r="N788" s="3"/>
      <c r="O788" s="1"/>
      <c r="P788" s="1"/>
      <c r="Q788" s="3"/>
      <c r="R788" s="6"/>
      <c r="S788" s="3"/>
      <c r="T788" s="3"/>
      <c r="U788" s="3"/>
      <c r="V788" s="3"/>
      <c r="W788" s="3"/>
    </row>
    <row r="789" spans="5:23">
      <c r="E789" s="9"/>
      <c r="G789" s="25"/>
      <c r="L789" s="3"/>
      <c r="M789" s="3"/>
      <c r="N789" s="3"/>
      <c r="O789" s="1"/>
      <c r="P789" s="1"/>
      <c r="Q789" s="3"/>
      <c r="R789" s="6"/>
      <c r="S789" s="3"/>
      <c r="T789" s="3"/>
      <c r="U789" s="3"/>
      <c r="V789" s="3"/>
      <c r="W789" s="3"/>
    </row>
    <row r="790" spans="5:23">
      <c r="E790" s="9"/>
      <c r="G790" s="25"/>
      <c r="L790" s="3"/>
      <c r="M790" s="3"/>
      <c r="N790" s="3"/>
      <c r="O790" s="1"/>
      <c r="P790" s="1"/>
      <c r="Q790" s="3"/>
      <c r="R790" s="6"/>
      <c r="S790" s="3"/>
      <c r="T790" s="3"/>
      <c r="U790" s="3"/>
      <c r="V790" s="3"/>
      <c r="W790" s="3"/>
    </row>
    <row r="791" spans="5:23">
      <c r="E791" s="9"/>
      <c r="G791" s="25"/>
      <c r="L791" s="3"/>
      <c r="M791" s="3"/>
      <c r="N791" s="3"/>
      <c r="O791" s="1"/>
      <c r="P791" s="1"/>
      <c r="Q791" s="3"/>
      <c r="R791" s="6"/>
      <c r="S791" s="3"/>
      <c r="T791" s="3"/>
      <c r="U791" s="3"/>
      <c r="V791" s="3"/>
      <c r="W791" s="3"/>
    </row>
    <row r="792" spans="5:23">
      <c r="E792" s="9"/>
      <c r="G792" s="25"/>
      <c r="L792" s="3"/>
      <c r="M792" s="3"/>
      <c r="N792" s="3"/>
      <c r="O792" s="1"/>
      <c r="P792" s="1"/>
      <c r="Q792" s="3"/>
      <c r="R792" s="6"/>
      <c r="S792" s="3"/>
      <c r="T792" s="3"/>
      <c r="U792" s="3"/>
      <c r="V792" s="3"/>
      <c r="W792" s="3"/>
    </row>
    <row r="793" spans="5:23">
      <c r="E793" s="9"/>
      <c r="G793" s="25"/>
      <c r="L793" s="3"/>
      <c r="M793" s="3"/>
      <c r="N793" s="3"/>
      <c r="O793" s="1"/>
      <c r="P793" s="1"/>
      <c r="Q793" s="3"/>
      <c r="R793" s="6"/>
      <c r="S793" s="3"/>
      <c r="T793" s="3"/>
      <c r="U793" s="3"/>
      <c r="V793" s="3"/>
      <c r="W793" s="3"/>
    </row>
    <row r="794" spans="5:23">
      <c r="E794" s="9"/>
      <c r="G794" s="25"/>
      <c r="L794" s="3"/>
      <c r="M794" s="3"/>
      <c r="N794" s="3"/>
      <c r="O794" s="1"/>
      <c r="P794" s="1"/>
      <c r="Q794" s="3"/>
      <c r="R794" s="6"/>
      <c r="S794" s="3"/>
      <c r="T794" s="3"/>
      <c r="U794" s="3"/>
      <c r="V794" s="3"/>
      <c r="W794" s="3"/>
    </row>
    <row r="795" spans="5:23">
      <c r="E795" s="9"/>
      <c r="G795" s="25"/>
      <c r="L795" s="3"/>
      <c r="M795" s="3"/>
      <c r="N795" s="3"/>
      <c r="O795" s="1"/>
      <c r="P795" s="1"/>
      <c r="Q795" s="3"/>
      <c r="R795" s="6"/>
      <c r="S795" s="3"/>
      <c r="T795" s="3"/>
      <c r="U795" s="3"/>
      <c r="V795" s="3"/>
      <c r="W795" s="3"/>
    </row>
    <row r="796" spans="5:23">
      <c r="E796" s="9"/>
      <c r="G796" s="25"/>
      <c r="L796" s="3"/>
      <c r="M796" s="3"/>
      <c r="N796" s="3"/>
      <c r="O796" s="1"/>
      <c r="P796" s="1"/>
      <c r="Q796" s="3"/>
      <c r="R796" s="6"/>
      <c r="S796" s="3"/>
      <c r="T796" s="3"/>
      <c r="U796" s="3"/>
      <c r="V796" s="3"/>
      <c r="W796" s="3"/>
    </row>
    <row r="797" spans="5:23">
      <c r="E797" s="9"/>
      <c r="G797" s="25"/>
      <c r="L797" s="3"/>
      <c r="M797" s="3"/>
      <c r="N797" s="3"/>
      <c r="O797" s="1"/>
      <c r="P797" s="1"/>
      <c r="Q797" s="3"/>
      <c r="R797" s="6"/>
      <c r="S797" s="3"/>
      <c r="T797" s="3"/>
      <c r="U797" s="3"/>
      <c r="V797" s="3"/>
      <c r="W797" s="3"/>
    </row>
    <row r="798" spans="5:23">
      <c r="E798" s="9"/>
      <c r="G798" s="25"/>
      <c r="L798" s="3"/>
      <c r="M798" s="3"/>
      <c r="N798" s="3"/>
      <c r="O798" s="1"/>
      <c r="P798" s="1"/>
      <c r="Q798" s="3"/>
      <c r="R798" s="6"/>
      <c r="S798" s="3"/>
      <c r="T798" s="3"/>
      <c r="U798" s="3"/>
      <c r="V798" s="3"/>
      <c r="W798" s="3"/>
    </row>
    <row r="799" spans="5:23">
      <c r="E799" s="9"/>
      <c r="G799" s="25"/>
      <c r="L799" s="3"/>
      <c r="M799" s="3"/>
      <c r="N799" s="3"/>
      <c r="O799" s="1"/>
      <c r="P799" s="1"/>
      <c r="Q799" s="3"/>
      <c r="R799" s="6"/>
      <c r="S799" s="3"/>
      <c r="T799" s="3"/>
      <c r="U799" s="3"/>
      <c r="V799" s="3"/>
      <c r="W799" s="3"/>
    </row>
    <row r="800" spans="5:23">
      <c r="E800" s="9"/>
      <c r="G800" s="25"/>
      <c r="L800" s="3"/>
      <c r="M800" s="3"/>
      <c r="N800" s="3"/>
      <c r="O800" s="1"/>
      <c r="P800" s="1"/>
      <c r="Q800" s="3"/>
      <c r="R800" s="6"/>
      <c r="S800" s="3"/>
      <c r="T800" s="3"/>
      <c r="U800" s="3"/>
      <c r="V800" s="3"/>
      <c r="W800" s="3"/>
    </row>
    <row r="801" spans="5:23">
      <c r="E801" s="9"/>
      <c r="G801" s="25"/>
      <c r="L801" s="3"/>
      <c r="M801" s="3"/>
      <c r="N801" s="3"/>
      <c r="O801" s="1"/>
      <c r="P801" s="1"/>
      <c r="Q801" s="3"/>
      <c r="R801" s="6"/>
      <c r="S801" s="3"/>
      <c r="T801" s="3"/>
      <c r="U801" s="3"/>
      <c r="V801" s="3"/>
      <c r="W801" s="3"/>
    </row>
    <row r="802" spans="5:23">
      <c r="E802" s="9"/>
      <c r="G802" s="25"/>
      <c r="L802" s="3"/>
      <c r="M802" s="3"/>
      <c r="N802" s="3"/>
      <c r="O802" s="1"/>
      <c r="P802" s="1"/>
      <c r="Q802" s="3"/>
      <c r="R802" s="6"/>
      <c r="S802" s="3"/>
      <c r="T802" s="3"/>
      <c r="U802" s="3"/>
      <c r="V802" s="3"/>
      <c r="W802" s="3"/>
    </row>
    <row r="803" spans="5:23">
      <c r="E803" s="9"/>
      <c r="G803" s="25"/>
      <c r="L803" s="3"/>
      <c r="M803" s="3"/>
      <c r="N803" s="3"/>
      <c r="O803" s="1"/>
      <c r="P803" s="1"/>
      <c r="Q803" s="3"/>
      <c r="R803" s="6"/>
      <c r="S803" s="3"/>
      <c r="T803" s="3"/>
      <c r="U803" s="3"/>
      <c r="V803" s="3"/>
      <c r="W803" s="3"/>
    </row>
    <row r="804" spans="5:23">
      <c r="E804" s="9"/>
      <c r="G804" s="25"/>
      <c r="L804" s="3"/>
      <c r="M804" s="3"/>
      <c r="N804" s="3"/>
      <c r="O804" s="1"/>
      <c r="P804" s="1"/>
      <c r="Q804" s="3"/>
      <c r="R804" s="6"/>
      <c r="S804" s="3"/>
      <c r="T804" s="3"/>
      <c r="U804" s="3"/>
      <c r="V804" s="3"/>
      <c r="W804" s="3"/>
    </row>
    <row r="805" spans="5:23">
      <c r="E805" s="9"/>
      <c r="G805" s="25"/>
      <c r="L805" s="3"/>
      <c r="M805" s="3"/>
      <c r="N805" s="3"/>
      <c r="O805" s="1"/>
      <c r="P805" s="1"/>
      <c r="Q805" s="3"/>
      <c r="R805" s="6"/>
      <c r="S805" s="3"/>
      <c r="T805" s="3"/>
      <c r="U805" s="3"/>
      <c r="V805" s="3"/>
      <c r="W805" s="3"/>
    </row>
    <row r="806" spans="5:23">
      <c r="E806" s="9"/>
      <c r="G806" s="25"/>
      <c r="L806" s="3"/>
      <c r="M806" s="3"/>
      <c r="N806" s="3"/>
      <c r="O806" s="1"/>
      <c r="P806" s="1"/>
      <c r="Q806" s="3"/>
      <c r="R806" s="6"/>
      <c r="S806" s="3"/>
      <c r="T806" s="3"/>
      <c r="U806" s="3"/>
      <c r="V806" s="3"/>
      <c r="W806" s="3"/>
    </row>
    <row r="807" spans="5:23">
      <c r="E807" s="9"/>
      <c r="G807" s="25"/>
      <c r="L807" s="3"/>
      <c r="M807" s="3"/>
      <c r="N807" s="3"/>
      <c r="O807" s="1"/>
      <c r="P807" s="1"/>
      <c r="Q807" s="3"/>
      <c r="R807" s="6"/>
      <c r="S807" s="3"/>
      <c r="T807" s="3"/>
      <c r="U807" s="3"/>
      <c r="V807" s="3"/>
      <c r="W807" s="3"/>
    </row>
    <row r="808" spans="5:23">
      <c r="E808" s="9"/>
      <c r="G808" s="25"/>
      <c r="L808" s="3"/>
      <c r="M808" s="3"/>
      <c r="N808" s="3"/>
      <c r="O808" s="1"/>
      <c r="P808" s="1"/>
      <c r="Q808" s="3"/>
      <c r="R808" s="6"/>
      <c r="S808" s="3"/>
      <c r="T808" s="3"/>
      <c r="U808" s="3"/>
      <c r="V808" s="3"/>
      <c r="W808" s="3"/>
    </row>
    <row r="809" spans="5:23">
      <c r="E809" s="9"/>
      <c r="G809" s="25"/>
      <c r="L809" s="3"/>
      <c r="M809" s="3"/>
      <c r="N809" s="3"/>
      <c r="O809" s="1"/>
      <c r="P809" s="1"/>
      <c r="Q809" s="3"/>
      <c r="R809" s="6"/>
      <c r="S809" s="3"/>
      <c r="T809" s="3"/>
      <c r="U809" s="3"/>
      <c r="V809" s="3"/>
      <c r="W809" s="3"/>
    </row>
    <row r="810" spans="5:23">
      <c r="E810" s="9"/>
      <c r="G810" s="25"/>
      <c r="L810" s="3"/>
      <c r="M810" s="3"/>
      <c r="N810" s="3"/>
      <c r="O810" s="1"/>
      <c r="P810" s="1"/>
      <c r="Q810" s="3"/>
      <c r="R810" s="6"/>
      <c r="S810" s="3"/>
      <c r="T810" s="3"/>
      <c r="U810" s="3"/>
      <c r="V810" s="3"/>
      <c r="W810" s="3"/>
    </row>
    <row r="811" spans="5:23">
      <c r="E811" s="9"/>
      <c r="G811" s="25"/>
      <c r="L811" s="3"/>
      <c r="M811" s="3"/>
      <c r="N811" s="3"/>
      <c r="O811" s="1"/>
      <c r="P811" s="1"/>
      <c r="Q811" s="3"/>
      <c r="R811" s="6"/>
      <c r="S811" s="3"/>
      <c r="T811" s="3"/>
      <c r="U811" s="3"/>
      <c r="V811" s="3"/>
      <c r="W811" s="3"/>
    </row>
    <row r="812" spans="5:23">
      <c r="E812" s="9"/>
      <c r="G812" s="25"/>
      <c r="L812" s="3"/>
      <c r="M812" s="3"/>
      <c r="N812" s="3"/>
      <c r="O812" s="1"/>
      <c r="P812" s="1"/>
      <c r="Q812" s="3"/>
      <c r="R812" s="6"/>
      <c r="S812" s="3"/>
      <c r="T812" s="3"/>
      <c r="U812" s="3"/>
      <c r="V812" s="3"/>
      <c r="W812" s="3"/>
    </row>
    <row r="813" spans="5:23">
      <c r="E813" s="9"/>
      <c r="G813" s="25"/>
      <c r="L813" s="3"/>
      <c r="M813" s="3"/>
      <c r="N813" s="3"/>
      <c r="O813" s="1"/>
      <c r="P813" s="1"/>
      <c r="Q813" s="3"/>
      <c r="R813" s="6"/>
      <c r="S813" s="3"/>
      <c r="T813" s="3"/>
      <c r="U813" s="3"/>
      <c r="V813" s="3"/>
      <c r="W813" s="3"/>
    </row>
    <row r="814" spans="5:23">
      <c r="E814" s="9"/>
      <c r="G814" s="25"/>
      <c r="L814" s="3"/>
      <c r="M814" s="3"/>
      <c r="N814" s="3"/>
      <c r="O814" s="1"/>
      <c r="P814" s="1"/>
      <c r="Q814" s="3"/>
      <c r="R814" s="6"/>
      <c r="S814" s="3"/>
      <c r="T814" s="3"/>
      <c r="U814" s="3"/>
      <c r="V814" s="3"/>
      <c r="W814" s="3"/>
    </row>
    <row r="815" spans="5:23">
      <c r="E815" s="9"/>
      <c r="G815" s="25"/>
      <c r="L815" s="3"/>
      <c r="M815" s="3"/>
      <c r="N815" s="3"/>
      <c r="O815" s="1"/>
      <c r="P815" s="1"/>
      <c r="Q815" s="3"/>
      <c r="R815" s="6"/>
      <c r="S815" s="3"/>
      <c r="T815" s="3"/>
      <c r="U815" s="3"/>
      <c r="V815" s="3"/>
      <c r="W815" s="3"/>
    </row>
    <row r="816" spans="5:23">
      <c r="E816" s="9"/>
      <c r="G816" s="25"/>
      <c r="L816" s="3"/>
      <c r="M816" s="3"/>
      <c r="N816" s="3"/>
      <c r="O816" s="1"/>
      <c r="P816" s="1"/>
      <c r="Q816" s="3"/>
      <c r="R816" s="6"/>
      <c r="S816" s="3"/>
      <c r="T816" s="3"/>
      <c r="U816" s="3"/>
      <c r="V816" s="3"/>
      <c r="W816" s="3"/>
    </row>
    <row r="817" spans="2:23">
      <c r="E817" s="9"/>
      <c r="G817" s="25"/>
      <c r="L817" s="3"/>
      <c r="M817" s="3"/>
      <c r="N817" s="3"/>
      <c r="O817" s="1"/>
      <c r="P817" s="1"/>
      <c r="Q817" s="3"/>
      <c r="R817" s="6"/>
      <c r="S817" s="3"/>
      <c r="T817" s="3"/>
      <c r="U817" s="3"/>
      <c r="V817" s="3"/>
      <c r="W817" s="3"/>
    </row>
    <row r="818" spans="2:23">
      <c r="E818" s="9"/>
      <c r="G818" s="25"/>
      <c r="L818" s="3"/>
      <c r="M818" s="3"/>
      <c r="N818" s="3"/>
      <c r="O818" s="1"/>
      <c r="P818" s="1"/>
      <c r="Q818" s="3"/>
      <c r="R818" s="6"/>
      <c r="S818" s="3"/>
      <c r="T818" s="3"/>
      <c r="U818" s="3"/>
      <c r="V818" s="3"/>
      <c r="W818" s="3"/>
    </row>
    <row r="819" spans="2:23">
      <c r="E819" s="9"/>
      <c r="G819" s="25"/>
      <c r="L819" s="3"/>
      <c r="M819" s="3"/>
      <c r="N819" s="3"/>
      <c r="O819" s="1"/>
      <c r="P819" s="1"/>
      <c r="Q819" s="3"/>
      <c r="R819" s="6"/>
      <c r="S819" s="3"/>
      <c r="T819" s="3"/>
      <c r="U819" s="3"/>
      <c r="V819" s="3"/>
      <c r="W819" s="3"/>
    </row>
    <row r="820" spans="2:23">
      <c r="E820" s="9"/>
      <c r="G820" s="25"/>
      <c r="L820" s="3"/>
      <c r="M820" s="3"/>
      <c r="N820" s="3"/>
      <c r="O820" s="1"/>
      <c r="P820" s="1"/>
      <c r="Q820" s="3"/>
      <c r="R820" s="6"/>
      <c r="S820" s="3"/>
      <c r="T820" s="3"/>
      <c r="U820" s="3"/>
      <c r="V820" s="3"/>
      <c r="W820" s="3"/>
    </row>
    <row r="821" spans="2:23">
      <c r="E821" s="9"/>
      <c r="G821" s="25"/>
      <c r="L821" s="3"/>
      <c r="M821" s="3"/>
      <c r="N821" s="3"/>
      <c r="O821" s="1"/>
      <c r="P821" s="1"/>
      <c r="Q821" s="3"/>
      <c r="R821" s="6"/>
      <c r="S821" s="3"/>
      <c r="T821" s="3"/>
      <c r="U821" s="3"/>
      <c r="V821" s="3"/>
      <c r="W821" s="3"/>
    </row>
    <row r="822" spans="2:23">
      <c r="B822" s="63"/>
      <c r="C822" s="63"/>
      <c r="D822" s="63"/>
      <c r="E822" s="9"/>
      <c r="G822" s="25"/>
      <c r="L822" s="3"/>
      <c r="M822" s="3"/>
      <c r="N822" s="3"/>
      <c r="O822" s="1"/>
      <c r="P822" s="1"/>
      <c r="Q822" s="3"/>
      <c r="R822" s="6"/>
      <c r="S822" s="3"/>
      <c r="T822" s="3"/>
      <c r="U822" s="3"/>
      <c r="V822" s="3"/>
      <c r="W822" s="3"/>
    </row>
    <row r="823" spans="2:23">
      <c r="B823" s="63"/>
      <c r="C823" s="63"/>
      <c r="D823" s="63"/>
      <c r="E823" s="9"/>
      <c r="G823" s="25"/>
      <c r="L823" s="3"/>
      <c r="M823" s="3"/>
      <c r="N823" s="3"/>
      <c r="O823" s="1"/>
      <c r="P823" s="1"/>
      <c r="Q823" s="3"/>
      <c r="R823" s="6"/>
      <c r="S823" s="3"/>
      <c r="T823" s="3"/>
      <c r="U823" s="3"/>
      <c r="V823" s="3"/>
      <c r="W823" s="3"/>
    </row>
    <row r="824" spans="2:23">
      <c r="B824" s="63"/>
      <c r="C824" s="63"/>
      <c r="D824" s="63"/>
      <c r="E824" s="9"/>
      <c r="G824" s="25"/>
      <c r="L824" s="3"/>
      <c r="M824" s="3"/>
      <c r="N824" s="3"/>
      <c r="O824" s="1"/>
      <c r="P824" s="1"/>
      <c r="Q824" s="3"/>
      <c r="R824" s="6"/>
      <c r="S824" s="3"/>
      <c r="T824" s="3"/>
      <c r="U824" s="3"/>
      <c r="V824" s="3"/>
      <c r="W824" s="3"/>
    </row>
    <row r="825" spans="2:23">
      <c r="B825" s="63"/>
      <c r="C825" s="63"/>
      <c r="D825" s="63"/>
      <c r="E825" s="64"/>
      <c r="F825" s="65"/>
      <c r="G825" s="25"/>
      <c r="H825" s="63"/>
      <c r="I825" s="63"/>
      <c r="J825" s="63"/>
      <c r="L825" s="67"/>
      <c r="M825" s="67"/>
      <c r="N825" s="67"/>
      <c r="O825" s="68"/>
      <c r="P825" s="68"/>
      <c r="Q825" s="67"/>
      <c r="R825" s="69"/>
      <c r="S825" s="67"/>
      <c r="T825" s="67"/>
      <c r="U825" s="67"/>
      <c r="V825" s="67"/>
      <c r="W825" s="67"/>
    </row>
    <row r="826" spans="2:23">
      <c r="B826" s="63"/>
      <c r="C826" s="63"/>
      <c r="D826" s="63"/>
      <c r="E826" s="64"/>
      <c r="F826" s="65"/>
      <c r="G826" s="66"/>
      <c r="H826" s="63"/>
      <c r="I826" s="63"/>
      <c r="J826" s="63"/>
      <c r="L826" s="67"/>
      <c r="M826" s="67"/>
      <c r="N826" s="67"/>
      <c r="O826" s="68"/>
      <c r="P826" s="68"/>
      <c r="Q826" s="67"/>
      <c r="R826" s="69"/>
      <c r="S826" s="67"/>
      <c r="T826" s="67"/>
      <c r="U826" s="67"/>
      <c r="V826" s="67"/>
      <c r="W826" s="67"/>
    </row>
    <row r="827" spans="2:23">
      <c r="B827" s="63"/>
      <c r="C827" s="63"/>
      <c r="D827" s="63"/>
      <c r="E827" s="64"/>
      <c r="F827" s="65"/>
      <c r="G827" s="25"/>
      <c r="H827" s="63"/>
      <c r="I827" s="63"/>
      <c r="J827" s="63"/>
      <c r="L827" s="67"/>
      <c r="M827" s="67"/>
      <c r="N827" s="67"/>
      <c r="O827" s="68"/>
      <c r="P827" s="68"/>
      <c r="Q827" s="67"/>
      <c r="R827" s="69"/>
      <c r="S827" s="67"/>
      <c r="T827" s="67"/>
      <c r="U827" s="67"/>
      <c r="V827" s="67"/>
      <c r="W827" s="67"/>
    </row>
    <row r="828" spans="2:23">
      <c r="B828" s="63"/>
      <c r="C828" s="63"/>
      <c r="D828" s="63"/>
      <c r="E828" s="64"/>
      <c r="F828" s="65"/>
      <c r="G828" s="25"/>
      <c r="H828" s="63"/>
      <c r="I828" s="63"/>
      <c r="J828" s="63"/>
      <c r="L828" s="67"/>
      <c r="M828" s="67"/>
      <c r="N828" s="67"/>
      <c r="O828" s="68"/>
      <c r="P828" s="68"/>
      <c r="Q828" s="67"/>
      <c r="R828" s="69"/>
      <c r="S828" s="67"/>
      <c r="T828" s="67"/>
      <c r="U828" s="67"/>
      <c r="V828" s="67"/>
      <c r="W828" s="67"/>
    </row>
    <row r="829" spans="2:23">
      <c r="B829" s="63"/>
      <c r="C829" s="63"/>
      <c r="D829" s="63"/>
      <c r="E829" s="64"/>
      <c r="F829" s="65"/>
      <c r="G829" s="66"/>
      <c r="H829" s="63"/>
      <c r="I829" s="63"/>
      <c r="J829" s="63"/>
      <c r="L829" s="67"/>
      <c r="M829" s="67"/>
      <c r="N829" s="67"/>
      <c r="O829" s="68"/>
      <c r="P829" s="68"/>
      <c r="Q829" s="67"/>
      <c r="R829" s="69"/>
      <c r="S829" s="67"/>
      <c r="T829" s="67"/>
      <c r="U829" s="67"/>
      <c r="V829" s="67"/>
      <c r="W829" s="67"/>
    </row>
    <row r="830" spans="2:23">
      <c r="B830" s="63"/>
      <c r="C830" s="63"/>
      <c r="D830" s="63"/>
      <c r="E830" s="64"/>
      <c r="F830" s="65"/>
      <c r="G830" s="25"/>
      <c r="H830" s="63"/>
      <c r="I830" s="63"/>
      <c r="J830" s="63"/>
      <c r="L830" s="67"/>
      <c r="M830" s="67"/>
      <c r="N830" s="67"/>
      <c r="O830" s="68"/>
      <c r="P830" s="68"/>
      <c r="Q830" s="67"/>
      <c r="R830" s="69"/>
      <c r="S830" s="67"/>
      <c r="T830" s="67"/>
      <c r="U830" s="67"/>
      <c r="V830" s="67"/>
      <c r="W830" s="67"/>
    </row>
    <row r="831" spans="2:23">
      <c r="E831" s="9"/>
      <c r="G831" s="25"/>
      <c r="L831" s="3"/>
      <c r="M831" s="3"/>
      <c r="N831" s="3"/>
      <c r="O831" s="1"/>
      <c r="P831" s="1"/>
      <c r="Q831" s="3"/>
      <c r="R831" s="6"/>
      <c r="S831" s="3"/>
      <c r="T831" s="3"/>
      <c r="U831" s="3"/>
      <c r="V831" s="3"/>
      <c r="W831" s="3"/>
    </row>
    <row r="832" spans="2:23">
      <c r="E832" s="9"/>
      <c r="G832" s="25"/>
      <c r="L832" s="3"/>
      <c r="M832" s="3"/>
      <c r="N832" s="3"/>
      <c r="O832" s="1"/>
      <c r="P832" s="1"/>
      <c r="Q832" s="3"/>
      <c r="R832" s="6"/>
      <c r="S832" s="3"/>
      <c r="T832" s="3"/>
      <c r="U832" s="3"/>
      <c r="V832" s="3"/>
      <c r="W832" s="3"/>
    </row>
    <row r="833" spans="5:23">
      <c r="E833" s="9"/>
      <c r="G833" s="25"/>
      <c r="L833" s="3"/>
      <c r="M833" s="3"/>
      <c r="N833" s="3"/>
      <c r="O833" s="1"/>
      <c r="P833" s="1"/>
      <c r="Q833" s="3"/>
      <c r="R833" s="6"/>
      <c r="S833" s="3"/>
      <c r="T833" s="3"/>
      <c r="U833" s="3"/>
      <c r="V833" s="3"/>
      <c r="W833" s="3"/>
    </row>
    <row r="834" spans="5:23">
      <c r="E834" s="9"/>
      <c r="G834" s="25"/>
      <c r="L834" s="3"/>
      <c r="M834" s="3"/>
      <c r="N834" s="3"/>
      <c r="O834" s="1"/>
      <c r="P834" s="1"/>
      <c r="Q834" s="3"/>
      <c r="R834" s="6"/>
      <c r="S834" s="3"/>
      <c r="T834" s="3"/>
      <c r="U834" s="3"/>
      <c r="V834" s="3"/>
      <c r="W834" s="3"/>
    </row>
    <row r="835" spans="5:23">
      <c r="E835" s="9"/>
      <c r="G835" s="25"/>
      <c r="L835" s="3"/>
      <c r="M835" s="3"/>
      <c r="N835" s="3"/>
      <c r="O835" s="1"/>
      <c r="P835" s="1"/>
      <c r="Q835" s="3"/>
      <c r="R835" s="6"/>
      <c r="S835" s="3"/>
      <c r="T835" s="3"/>
      <c r="U835" s="3"/>
      <c r="V835" s="3"/>
      <c r="W835" s="3"/>
    </row>
    <row r="836" spans="5:23">
      <c r="E836" s="9"/>
      <c r="G836" s="25"/>
      <c r="L836" s="3"/>
      <c r="M836" s="3"/>
      <c r="N836" s="3"/>
      <c r="O836" s="1"/>
      <c r="P836" s="1"/>
      <c r="Q836" s="3"/>
      <c r="R836" s="6"/>
      <c r="S836" s="3"/>
      <c r="T836" s="3"/>
      <c r="U836" s="3"/>
      <c r="V836" s="3"/>
      <c r="W836" s="3"/>
    </row>
    <row r="837" spans="5:23">
      <c r="E837" s="9"/>
      <c r="G837" s="25"/>
      <c r="L837" s="3"/>
      <c r="M837" s="3"/>
      <c r="N837" s="3"/>
      <c r="O837" s="1"/>
      <c r="P837" s="1"/>
      <c r="Q837" s="3"/>
      <c r="R837" s="6"/>
      <c r="S837" s="3"/>
      <c r="T837" s="3"/>
      <c r="U837" s="3"/>
      <c r="V837" s="3"/>
      <c r="W837" s="3"/>
    </row>
    <row r="838" spans="5:23">
      <c r="E838" s="9"/>
      <c r="G838" s="25"/>
      <c r="L838" s="3"/>
      <c r="M838" s="3"/>
      <c r="N838" s="3"/>
      <c r="O838" s="1"/>
      <c r="P838" s="1"/>
      <c r="Q838" s="3"/>
      <c r="R838" s="6"/>
      <c r="S838" s="3"/>
      <c r="T838" s="3"/>
      <c r="U838" s="3"/>
      <c r="V838" s="3"/>
      <c r="W838" s="3"/>
    </row>
    <row r="839" spans="5:23">
      <c r="E839" s="9"/>
      <c r="G839" s="25"/>
      <c r="L839" s="3"/>
      <c r="M839" s="3"/>
      <c r="N839" s="3"/>
      <c r="O839" s="1"/>
      <c r="P839" s="1"/>
      <c r="Q839" s="3"/>
      <c r="R839" s="6"/>
      <c r="S839" s="3"/>
      <c r="T839" s="3"/>
      <c r="U839" s="3"/>
      <c r="V839" s="3"/>
      <c r="W839" s="3"/>
    </row>
    <row r="840" spans="5:23">
      <c r="E840" s="9"/>
      <c r="G840" s="25"/>
      <c r="L840" s="3"/>
      <c r="M840" s="3"/>
      <c r="N840" s="3"/>
      <c r="O840" s="1"/>
      <c r="P840" s="1"/>
      <c r="Q840" s="3"/>
      <c r="R840" s="6"/>
      <c r="S840" s="3"/>
      <c r="T840" s="3"/>
      <c r="U840" s="3"/>
      <c r="V840" s="3"/>
      <c r="W840" s="3"/>
    </row>
    <row r="841" spans="5:23">
      <c r="E841" s="9"/>
      <c r="G841" s="25"/>
      <c r="L841" s="3"/>
      <c r="M841" s="3"/>
      <c r="N841" s="3"/>
      <c r="O841" s="1"/>
      <c r="P841" s="1"/>
      <c r="Q841" s="3"/>
      <c r="R841" s="6"/>
      <c r="S841" s="3"/>
      <c r="T841" s="3"/>
      <c r="U841" s="3"/>
      <c r="V841" s="3"/>
      <c r="W841" s="3"/>
    </row>
    <row r="842" spans="5:23">
      <c r="E842" s="9"/>
      <c r="G842" s="25"/>
      <c r="L842" s="3"/>
      <c r="M842" s="3"/>
      <c r="N842" s="3"/>
      <c r="O842" s="1"/>
      <c r="P842" s="1"/>
      <c r="Q842" s="3"/>
      <c r="R842" s="6"/>
      <c r="S842" s="3"/>
      <c r="T842" s="3"/>
      <c r="U842" s="3"/>
      <c r="V842" s="3"/>
      <c r="W842" s="3"/>
    </row>
    <row r="843" spans="5:23">
      <c r="E843" s="9"/>
      <c r="G843" s="25"/>
      <c r="L843" s="3"/>
      <c r="M843" s="3"/>
      <c r="N843" s="3"/>
      <c r="O843" s="1"/>
      <c r="P843" s="1"/>
      <c r="Q843" s="3"/>
      <c r="R843" s="6"/>
      <c r="S843" s="3"/>
      <c r="T843" s="3"/>
      <c r="U843" s="3"/>
      <c r="V843" s="3"/>
      <c r="W843" s="3"/>
    </row>
    <row r="844" spans="5:23">
      <c r="E844" s="9"/>
      <c r="G844" s="25"/>
      <c r="L844" s="3"/>
      <c r="M844" s="3"/>
      <c r="N844" s="3"/>
      <c r="O844" s="1"/>
      <c r="P844" s="1"/>
      <c r="Q844" s="3"/>
      <c r="R844" s="6"/>
      <c r="S844" s="3"/>
      <c r="T844" s="3"/>
      <c r="U844" s="3"/>
      <c r="V844" s="3"/>
      <c r="W844" s="3"/>
    </row>
    <row r="845" spans="5:23">
      <c r="E845" s="9"/>
      <c r="G845" s="25"/>
      <c r="L845" s="3"/>
      <c r="M845" s="3"/>
      <c r="N845" s="3"/>
      <c r="O845" s="1"/>
      <c r="P845" s="1"/>
      <c r="Q845" s="3"/>
      <c r="R845" s="6"/>
      <c r="S845" s="3"/>
      <c r="T845" s="3"/>
      <c r="U845" s="3"/>
      <c r="V845" s="3"/>
      <c r="W845" s="3"/>
    </row>
    <row r="846" spans="5:23">
      <c r="E846" s="9"/>
      <c r="G846" s="25"/>
      <c r="L846" s="3"/>
      <c r="M846" s="3"/>
      <c r="N846" s="3"/>
      <c r="O846" s="1"/>
      <c r="P846" s="1"/>
      <c r="Q846" s="3"/>
      <c r="R846" s="6"/>
      <c r="S846" s="3"/>
      <c r="T846" s="3"/>
      <c r="U846" s="3"/>
      <c r="V846" s="3"/>
      <c r="W846" s="3"/>
    </row>
    <row r="847" spans="5:23">
      <c r="E847" s="9"/>
      <c r="G847" s="25"/>
      <c r="L847" s="3"/>
      <c r="M847" s="3"/>
      <c r="N847" s="3"/>
      <c r="O847" s="1"/>
      <c r="P847" s="1"/>
      <c r="Q847" s="3"/>
      <c r="R847" s="6"/>
      <c r="S847" s="3"/>
      <c r="T847" s="3"/>
      <c r="U847" s="3"/>
      <c r="V847" s="3"/>
      <c r="W847" s="3"/>
    </row>
    <row r="848" spans="5:23">
      <c r="E848" s="9"/>
      <c r="G848" s="25"/>
      <c r="L848" s="3"/>
      <c r="M848" s="3"/>
      <c r="N848" s="3"/>
      <c r="O848" s="1"/>
      <c r="P848" s="1"/>
      <c r="Q848" s="3"/>
      <c r="R848" s="6"/>
      <c r="S848" s="3"/>
      <c r="T848" s="3"/>
      <c r="U848" s="3"/>
      <c r="V848" s="3"/>
      <c r="W848" s="3"/>
    </row>
    <row r="849" spans="5:23">
      <c r="E849" s="9"/>
      <c r="G849" s="25"/>
      <c r="L849" s="3"/>
      <c r="M849" s="3"/>
      <c r="N849" s="3"/>
      <c r="O849" s="1"/>
      <c r="P849" s="1"/>
      <c r="Q849" s="3"/>
      <c r="R849" s="6"/>
      <c r="S849" s="3"/>
      <c r="T849" s="3"/>
      <c r="U849" s="3"/>
      <c r="V849" s="3"/>
      <c r="W849" s="3"/>
    </row>
    <row r="850" spans="5:23">
      <c r="E850" s="9"/>
      <c r="G850" s="25"/>
      <c r="L850" s="3"/>
      <c r="M850" s="3"/>
      <c r="N850" s="3"/>
      <c r="O850" s="1"/>
      <c r="P850" s="1"/>
      <c r="Q850" s="3"/>
      <c r="R850" s="6"/>
      <c r="S850" s="3"/>
      <c r="T850" s="3"/>
      <c r="U850" s="3"/>
      <c r="V850" s="3"/>
      <c r="W850" s="3"/>
    </row>
    <row r="851" spans="5:23">
      <c r="E851" s="9"/>
      <c r="G851" s="25"/>
      <c r="L851" s="3"/>
      <c r="M851" s="3"/>
      <c r="N851" s="3"/>
      <c r="O851" s="1"/>
      <c r="P851" s="1"/>
      <c r="Q851" s="3"/>
      <c r="R851" s="6"/>
      <c r="S851" s="3"/>
      <c r="T851" s="3"/>
      <c r="U851" s="3"/>
      <c r="V851" s="3"/>
      <c r="W851" s="3"/>
    </row>
    <row r="852" spans="5:23">
      <c r="E852" s="9"/>
      <c r="G852" s="25"/>
      <c r="L852" s="3"/>
      <c r="M852" s="3"/>
      <c r="N852" s="3"/>
      <c r="O852" s="1"/>
      <c r="P852" s="1"/>
      <c r="Q852" s="3"/>
      <c r="R852" s="6"/>
      <c r="S852" s="3"/>
      <c r="T852" s="3"/>
      <c r="U852" s="3"/>
      <c r="V852" s="3"/>
      <c r="W852" s="3"/>
    </row>
    <row r="853" spans="5:23">
      <c r="E853" s="9"/>
      <c r="G853" s="25"/>
      <c r="L853" s="3"/>
      <c r="M853" s="3"/>
      <c r="N853" s="3"/>
      <c r="O853" s="1"/>
      <c r="P853" s="1"/>
      <c r="Q853" s="3"/>
      <c r="R853" s="6"/>
      <c r="S853" s="3"/>
      <c r="T853" s="3"/>
      <c r="U853" s="3"/>
      <c r="V853" s="3"/>
      <c r="W853" s="3"/>
    </row>
    <row r="854" spans="5:23">
      <c r="E854" s="9"/>
      <c r="G854" s="25"/>
      <c r="L854" s="3"/>
      <c r="M854" s="3"/>
      <c r="N854" s="3"/>
      <c r="O854" s="1"/>
      <c r="P854" s="1"/>
      <c r="Q854" s="3"/>
      <c r="R854" s="6"/>
      <c r="S854" s="3"/>
      <c r="T854" s="3"/>
      <c r="U854" s="3"/>
      <c r="V854" s="3"/>
      <c r="W854" s="3"/>
    </row>
    <row r="855" spans="5:23">
      <c r="E855" s="9"/>
      <c r="G855" s="25"/>
      <c r="L855" s="3"/>
      <c r="M855" s="3"/>
      <c r="N855" s="3"/>
      <c r="O855" s="1"/>
      <c r="P855" s="1"/>
      <c r="Q855" s="3"/>
      <c r="R855" s="6"/>
      <c r="S855" s="3"/>
      <c r="T855" s="3"/>
      <c r="U855" s="3"/>
      <c r="V855" s="3"/>
      <c r="W855" s="3"/>
    </row>
  </sheetData>
  <phoneticPr fontId="46" type="noConversion"/>
  <dataValidations count="1">
    <dataValidation type="list" allowBlank="1" showInputMessage="1" showErrorMessage="1" sqref="M3:M1048576" xr:uid="{DE0BB1B5-FEA4-4A2C-A4FB-452495637B9D}">
      <formula1>$Z$3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1060-16F1-4E94-9BA3-FA018B66D4B3}">
  <sheetPr codeName="Sheet4"/>
  <dimension ref="A1:Z1487"/>
  <sheetViews>
    <sheetView showGridLines="0" zoomScaleNormal="100" workbookViewId="0">
      <pane ySplit="2" topLeftCell="A179" activePane="bottomLeft" state="frozen"/>
      <selection activeCell="L706" sqref="L706"/>
      <selection pane="bottomLeft" activeCell="E198" sqref="E198"/>
    </sheetView>
  </sheetViews>
  <sheetFormatPr defaultColWidth="9.140625" defaultRowHeight="15" customHeight="1"/>
  <cols>
    <col min="1" max="1" width="7.140625" style="15" customWidth="1"/>
    <col min="2" max="2" width="9.140625" style="15" customWidth="1"/>
    <col min="3" max="3" width="6.42578125" style="15" customWidth="1"/>
    <col min="4" max="4" width="19" style="15" bestFit="1" customWidth="1"/>
    <col min="5" max="5" width="38.85546875" style="15" customWidth="1"/>
    <col min="6" max="6" width="12.7109375" style="15" customWidth="1"/>
    <col min="7" max="7" width="12.42578125" style="15" hidden="1" customWidth="1"/>
    <col min="8" max="9" width="14.7109375" style="15" hidden="1" customWidth="1"/>
    <col min="10" max="10" width="6.140625" style="15" customWidth="1"/>
    <col min="11" max="11" width="12.140625" style="15" customWidth="1"/>
    <col min="12" max="12" width="6" style="15" customWidth="1"/>
    <col min="13" max="13" width="9.42578125" style="15" customWidth="1"/>
    <col min="14" max="14" width="10" style="15" bestFit="1" customWidth="1"/>
    <col min="15" max="15" width="10" style="15" customWidth="1"/>
    <col min="16" max="16" width="13.5703125" style="15" customWidth="1"/>
    <col min="17" max="17" width="16.140625" style="15" customWidth="1"/>
    <col min="18" max="18" width="12" style="15" customWidth="1"/>
    <col min="19" max="19" width="11.7109375" style="15" customWidth="1"/>
    <col min="20" max="20" width="13.5703125" style="15" customWidth="1"/>
    <col min="21" max="22" width="13.7109375" style="15" customWidth="1"/>
    <col min="23" max="23" width="13" style="15" customWidth="1"/>
    <col min="24" max="24" width="14.7109375" style="15" bestFit="1" customWidth="1"/>
    <col min="25" max="25" width="9.140625" style="15"/>
    <col min="26" max="26" width="10" style="15" bestFit="1" customWidth="1"/>
    <col min="27" max="16384" width="9.140625" style="15"/>
  </cols>
  <sheetData>
    <row r="1" spans="1:24" ht="15" customHeight="1">
      <c r="K1" s="43">
        <f>SUBTOTAL(9,SIP[Amount])</f>
        <v>701325.21</v>
      </c>
      <c r="L1" s="43"/>
      <c r="P1" s="43">
        <f>SUBTOTAL(9,SIP[Unit Capital])</f>
        <v>595810</v>
      </c>
      <c r="Q1" s="43">
        <f>SUBTOTAL(9,SIP[Unit Premium Reserve])</f>
        <v>105515.21000000002</v>
      </c>
      <c r="X1" s="41"/>
    </row>
    <row r="2" spans="1:24" ht="45" customHeight="1">
      <c r="A2" s="49" t="s">
        <v>285</v>
      </c>
      <c r="B2" s="49" t="s">
        <v>286</v>
      </c>
      <c r="C2" s="49" t="s">
        <v>287</v>
      </c>
      <c r="D2" s="49" t="s">
        <v>288</v>
      </c>
      <c r="E2" s="49" t="s">
        <v>0</v>
      </c>
      <c r="F2" s="49" t="s">
        <v>289</v>
      </c>
      <c r="G2" s="49" t="s">
        <v>290</v>
      </c>
      <c r="H2" s="49" t="s">
        <v>291</v>
      </c>
      <c r="I2" s="49" t="s">
        <v>991</v>
      </c>
      <c r="J2" s="49" t="s">
        <v>292</v>
      </c>
      <c r="K2" s="47" t="s">
        <v>293</v>
      </c>
      <c r="L2" s="17" t="s">
        <v>956</v>
      </c>
      <c r="M2" s="49" t="s">
        <v>294</v>
      </c>
      <c r="N2" s="49" t="s">
        <v>295</v>
      </c>
      <c r="O2" s="49" t="s">
        <v>296</v>
      </c>
      <c r="P2" s="47" t="s">
        <v>297</v>
      </c>
      <c r="Q2" s="45" t="s">
        <v>298</v>
      </c>
      <c r="R2" s="49" t="s">
        <v>299</v>
      </c>
      <c r="S2" s="15" t="s">
        <v>303</v>
      </c>
      <c r="T2" s="15" t="s">
        <v>300</v>
      </c>
      <c r="U2" s="15" t="s">
        <v>460</v>
      </c>
      <c r="V2" s="15" t="s">
        <v>958</v>
      </c>
      <c r="W2" s="15" t="s">
        <v>959</v>
      </c>
    </row>
    <row r="3" spans="1:24" ht="15" customHeight="1">
      <c r="A3" s="15">
        <v>2022</v>
      </c>
      <c r="B3" s="15">
        <v>3</v>
      </c>
      <c r="C3" s="15">
        <v>1</v>
      </c>
      <c r="D3" s="39">
        <f>IFERROR(DATE(SIP[[#This Row],[Year]],SIP[[#This Row],[Month]],SIP[[#This Row],[Day]]),0)</f>
        <v>44621</v>
      </c>
      <c r="E3" s="40" t="str" cm="1">
        <f t="array" ref="E3">IFERROR(INDEX(INVESTORS_LIST[INVESTOR NAME],MATCH(SIP[[#This Row],[Investor ID]],INVESTORS_LIST[INVESTOR CODE],0),)," ")</f>
        <v>MOHAMMAD NASIR HOSSAIN</v>
      </c>
      <c r="F3" s="15" t="s">
        <v>175</v>
      </c>
      <c r="G3" s="15">
        <f>COUNTIFS(SIP[[#Headers],[Investor ID]]:SIP[[#This Row],[Investor ID]],SIP[[#This Row],[Investor ID]])</f>
        <v>1</v>
      </c>
      <c r="H3" s="15" t="str">
        <f>CONCATENATE(SIP[[#This Row],[Frequency]],SIP[[#This Row],[Investor ID]])</f>
        <v>1A00142</v>
      </c>
      <c r="I3" s="15" t="str">
        <f>IF(SIP[[#This Row],[B/S]]="B","BUY",(IF(SIP[[#This Row],[B/S]]="S","SELL"," ")))</f>
        <v>BUY</v>
      </c>
      <c r="J3" s="15" t="s">
        <v>301</v>
      </c>
      <c r="K3" s="38">
        <v>5000</v>
      </c>
      <c r="L3" s="38"/>
      <c r="M3" s="176">
        <f>IFERROR(SIP[[#This Row],[Amount]]/SIP[[#This Row],[Unit]],0)</f>
        <v>9.9601593625498008</v>
      </c>
      <c r="N3" s="42">
        <f>SIP[[#This Row],[Unit Capital]]/10</f>
        <v>502</v>
      </c>
      <c r="O3" s="50">
        <f>SUMIFS(SIP[[#Headers],[Unit]]:SIP[[#This Row],[Unit]],SIP[[#Headers],[Investor ID]]:SIP[[#This Row],[Investor ID]],SIP[[#This Row],[Investor ID]])</f>
        <v>502</v>
      </c>
      <c r="P3" s="38">
        <v>5020</v>
      </c>
      <c r="Q3" s="41">
        <f>SIP[[#This Row],[Amount]]-SIP[[#This Row],[Unit Capital]]</f>
        <v>-20</v>
      </c>
      <c r="R3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9.9601593625498008</v>
      </c>
      <c r="S3" s="176">
        <f t="shared" ref="S3" si="0">NAV_MKT</f>
        <v>12.552</v>
      </c>
      <c r="T3" s="43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" s="43" cm="1">
        <f t="array" ref="U3">IF(SIP[[#This Row],[B/S]]="S",ABS(SIP[[#This Row],[Unit]])*(INDEX(SIP[NAV at Cost (Average)],MATCH(CONCATENATE((SIP[[#This Row],[Frequency]]-1),SIP[[#This Row],[Investor ID]]),SIP[Unique Code],0),0)),0)</f>
        <v>0</v>
      </c>
      <c r="V3" s="43">
        <f>IF(SIP[[#This Row],[BO Transfer]]="YES",SIP[[#This Row],[Unit]],)</f>
        <v>0</v>
      </c>
      <c r="W3" s="41">
        <f>SUMIFS(SIP[[#Headers],[BO UNIT TRANSFER]]:SIP[[#This Row],[BO UNIT TRANSFER]],SIP[[#Headers],[Investor ID]]:SIP[[#This Row],[Investor ID]],SIP[[#This Row],[Investor ID]])</f>
        <v>0</v>
      </c>
    </row>
    <row r="4" spans="1:24" ht="15" customHeight="1">
      <c r="A4" s="15">
        <v>2022</v>
      </c>
      <c r="B4" s="15">
        <v>4</v>
      </c>
      <c r="C4" s="15">
        <v>26</v>
      </c>
      <c r="D4" s="39">
        <f>IFERROR(DATE(SIP[[#This Row],[Year]],SIP[[#This Row],[Month]],SIP[[#This Row],[Day]]),0)</f>
        <v>44677</v>
      </c>
      <c r="E4" s="40" t="str" cm="1">
        <f t="array" ref="E4">IFERROR(INDEX(INVESTORS_LIST[INVESTOR NAME],MATCH(SIP[[#This Row],[Investor ID]],INVESTORS_LIST[INVESTOR CODE],0),)," ")</f>
        <v>MRIDUL KUMAR DEY</v>
      </c>
      <c r="F4" s="15" t="s">
        <v>27</v>
      </c>
      <c r="G4" s="15">
        <f>COUNTIFS(SIP[[#Headers],[Investor ID]]:SIP[[#This Row],[Investor ID]],SIP[[#This Row],[Investor ID]])</f>
        <v>1</v>
      </c>
      <c r="H4" s="15" t="str">
        <f>CONCATENATE(SIP[[#This Row],[Frequency]],SIP[[#This Row],[Investor ID]])</f>
        <v>1A00020</v>
      </c>
      <c r="I4" s="15" t="str">
        <f>IF(SIP[[#This Row],[B/S]]="B","BUY",(IF(SIP[[#This Row],[B/S]]="S","SELL"," ")))</f>
        <v>BUY</v>
      </c>
      <c r="J4" s="15" t="s">
        <v>301</v>
      </c>
      <c r="K4" s="38">
        <v>5000</v>
      </c>
      <c r="L4" s="38"/>
      <c r="M4" s="176">
        <f>IFERROR(SIP[[#This Row],[Amount]]/SIP[[#This Row],[Unit]],0)</f>
        <v>10.060362173038229</v>
      </c>
      <c r="N4" s="42">
        <f>SIP[[#This Row],[Unit Capital]]/10</f>
        <v>497</v>
      </c>
      <c r="O4" s="50">
        <f>SUMIFS(SIP[[#Headers],[Unit]]:SIP[[#This Row],[Unit]],SIP[[#Headers],[Investor ID]]:SIP[[#This Row],[Investor ID]],SIP[[#This Row],[Investor ID]])</f>
        <v>497</v>
      </c>
      <c r="P4" s="38">
        <v>4970</v>
      </c>
      <c r="Q4" s="41">
        <f>SIP[[#This Row],[Amount]]-SIP[[#This Row],[Unit Capital]]</f>
        <v>30</v>
      </c>
      <c r="R4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10.060362173038229</v>
      </c>
      <c r="S4" s="176">
        <f t="shared" ref="S4:S10" si="1">NAV_MKT</f>
        <v>12.552</v>
      </c>
      <c r="T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" s="43" cm="1">
        <f t="array" ref="U4">IF(SIP[[#This Row],[B/S]]="S",ABS(SIP[[#This Row],[Unit]])*(INDEX(SIP[NAV at Cost (Average)],MATCH(CONCATENATE((SIP[[#This Row],[Frequency]]-1),SIP[[#This Row],[Investor ID]]),SIP[Unique Code],0),0)),0)</f>
        <v>0</v>
      </c>
      <c r="V4" s="43">
        <f>IF(SIP[[#This Row],[BO Transfer]]="YES",SIP[[#This Row],[Unit]],)</f>
        <v>0</v>
      </c>
      <c r="W4" s="41">
        <f>SUMIFS(SIP[[#Headers],[BO UNIT TRANSFER]]:SIP[[#This Row],[BO UNIT TRANSFER]],SIP[[#Headers],[Investor ID]]:SIP[[#This Row],[Investor ID]],SIP[[#This Row],[Investor ID]])</f>
        <v>0</v>
      </c>
    </row>
    <row r="5" spans="1:24" ht="15" customHeight="1">
      <c r="A5" s="15">
        <v>2022</v>
      </c>
      <c r="B5" s="15">
        <v>5</v>
      </c>
      <c r="C5" s="15">
        <v>15</v>
      </c>
      <c r="D5" s="39">
        <f>IFERROR(DATE(SIP[[#This Row],[Year]],SIP[[#This Row],[Month]],SIP[[#This Row],[Day]]),0)</f>
        <v>44696</v>
      </c>
      <c r="E5" s="40" t="str" cm="1">
        <f t="array" ref="E5">IFERROR(INDEX(INVESTORS_LIST[INVESTOR NAME],MATCH(SIP[[#This Row],[Investor ID]],INVESTORS_LIST[INVESTOR CODE],0),)," ")</f>
        <v>ANIK KUMAR GUPTA</v>
      </c>
      <c r="F5" s="15" t="s">
        <v>708</v>
      </c>
      <c r="G5" s="15">
        <f>COUNTIFS(SIP[[#Headers],[Investor ID]]:SIP[[#This Row],[Investor ID]],SIP[[#This Row],[Investor ID]])</f>
        <v>1</v>
      </c>
      <c r="H5" s="15" t="str">
        <f>CONCATENATE(SIP[[#This Row],[Frequency]],SIP[[#This Row],[Investor ID]])</f>
        <v>1A00381</v>
      </c>
      <c r="I5" s="15" t="str">
        <f>IF(SIP[[#This Row],[B/S]]="B","BUY",(IF(SIP[[#This Row],[B/S]]="S","SELL"," ")))</f>
        <v>BUY</v>
      </c>
      <c r="J5" s="15" t="s">
        <v>301</v>
      </c>
      <c r="K5" s="38">
        <v>1000</v>
      </c>
      <c r="L5" s="38"/>
      <c r="M5" s="176">
        <f>IFERROR(SIP[[#This Row],[Amount]]/SIP[[#This Row],[Unit]],0)</f>
        <v>10</v>
      </c>
      <c r="N5" s="42">
        <f>SIP[[#This Row],[Unit Capital]]/10</f>
        <v>100</v>
      </c>
      <c r="O5" s="50">
        <f>SUMIFS(SIP[[#Headers],[Unit]]:SIP[[#This Row],[Unit]],SIP[[#Headers],[Investor ID]]:SIP[[#This Row],[Investor ID]],SIP[[#This Row],[Investor ID]])</f>
        <v>100</v>
      </c>
      <c r="P5" s="38">
        <v>1000</v>
      </c>
      <c r="Q5" s="41">
        <f>SIP[[#This Row],[Amount]]-SIP[[#This Row],[Unit Capital]]</f>
        <v>0</v>
      </c>
      <c r="R5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</v>
      </c>
      <c r="S5" s="176">
        <f t="shared" si="1"/>
        <v>12.552</v>
      </c>
      <c r="T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" s="43" cm="1">
        <f t="array" ref="U5">IF(SIP[[#This Row],[B/S]]="S",ABS(SIP[[#This Row],[Unit]])*(INDEX(SIP[NAV at Cost (Average)],MATCH(CONCATENATE((SIP[[#This Row],[Frequency]]-1),SIP[[#This Row],[Investor ID]]),SIP[Unique Code],0),0)),0)</f>
        <v>0</v>
      </c>
      <c r="V5" s="43">
        <f>IF(SIP[[#This Row],[BO Transfer]]="YES",SIP[[#This Row],[Unit]],)</f>
        <v>0</v>
      </c>
      <c r="W5" s="41">
        <f>SUMIFS(SIP[[#Headers],[BO UNIT TRANSFER]]:SIP[[#This Row],[BO UNIT TRANSFER]],SIP[[#Headers],[Investor ID]]:SIP[[#This Row],[Investor ID]],SIP[[#This Row],[Investor ID]])</f>
        <v>0</v>
      </c>
      <c r="X5" s="41"/>
    </row>
    <row r="6" spans="1:24" ht="15" customHeight="1">
      <c r="A6" s="15">
        <v>2022</v>
      </c>
      <c r="B6" s="15">
        <v>5</v>
      </c>
      <c r="C6" s="15">
        <v>29</v>
      </c>
      <c r="D6" s="39">
        <f>IFERROR(DATE(SIP[[#This Row],[Year]],SIP[[#This Row],[Month]],SIP[[#This Row],[Day]]),0)</f>
        <v>44710</v>
      </c>
      <c r="E6" s="40" t="str" cm="1">
        <f t="array" ref="E6">IFERROR(INDEX(INVESTORS_LIST[INVESTOR NAME],MATCH(SIP[[#This Row],[Investor ID]],INVESTORS_LIST[INVESTOR CODE],0),)," ")</f>
        <v>MRIDUL KUMAR DEY</v>
      </c>
      <c r="F6" s="15" t="s">
        <v>27</v>
      </c>
      <c r="G6" s="15">
        <f>COUNTIFS(SIP[[#Headers],[Investor ID]]:SIP[[#This Row],[Investor ID]],SIP[[#This Row],[Investor ID]])</f>
        <v>2</v>
      </c>
      <c r="H6" s="15" t="str">
        <f>CONCATENATE(SIP[[#This Row],[Frequency]],SIP[[#This Row],[Investor ID]])</f>
        <v>2A00020</v>
      </c>
      <c r="I6" s="15" t="str">
        <f>IF(SIP[[#This Row],[B/S]]="B","BUY",(IF(SIP[[#This Row],[B/S]]="S","SELL"," ")))</f>
        <v>BUY</v>
      </c>
      <c r="J6" s="15" t="s">
        <v>301</v>
      </c>
      <c r="K6" s="38">
        <v>5000</v>
      </c>
      <c r="L6" s="38"/>
      <c r="M6" s="176">
        <f>IFERROR(SIP[[#This Row],[Amount]]/SIP[[#This Row],[Unit]],0)</f>
        <v>9.8231827111984291</v>
      </c>
      <c r="N6" s="42">
        <f>SIP[[#This Row],[Unit Capital]]/10</f>
        <v>509</v>
      </c>
      <c r="O6" s="50">
        <f>SUMIFS(SIP[[#Headers],[Unit]]:SIP[[#This Row],[Unit]],SIP[[#Headers],[Investor ID]]:SIP[[#This Row],[Investor ID]],SIP[[#This Row],[Investor ID]])</f>
        <v>1006</v>
      </c>
      <c r="P6" s="38">
        <v>5090</v>
      </c>
      <c r="Q6" s="41">
        <f>SIP[[#This Row],[Amount]]-SIP[[#This Row],[Unit Capital]]</f>
        <v>-90</v>
      </c>
      <c r="R6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9.9403578528827019</v>
      </c>
      <c r="S6" s="176">
        <f t="shared" si="1"/>
        <v>12.552</v>
      </c>
      <c r="T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" s="43" cm="1">
        <f t="array" ref="U6">IF(SIP[[#This Row],[B/S]]="S",ABS(SIP[[#This Row],[Unit]])*(INDEX(SIP[NAV at Cost (Average)],MATCH(CONCATENATE((SIP[[#This Row],[Frequency]]-1),SIP[[#This Row],[Investor ID]]),SIP[Unique Code],0),0)),0)</f>
        <v>0</v>
      </c>
      <c r="V6" s="43">
        <f>IF(SIP[[#This Row],[BO Transfer]]="YES",SIP[[#This Row],[Unit]],)</f>
        <v>0</v>
      </c>
      <c r="W6" s="41">
        <f>SUMIFS(SIP[[#Headers],[BO UNIT TRANSFER]]:SIP[[#This Row],[BO UNIT TRANSFER]],SIP[[#Headers],[Investor ID]]:SIP[[#This Row],[Investor ID]],SIP[[#This Row],[Investor ID]])</f>
        <v>0</v>
      </c>
    </row>
    <row r="7" spans="1:24" ht="15" customHeight="1">
      <c r="A7" s="15">
        <v>2022</v>
      </c>
      <c r="B7" s="15">
        <v>6</v>
      </c>
      <c r="C7" s="15">
        <v>15</v>
      </c>
      <c r="D7" s="39">
        <f>IFERROR(DATE(SIP[[#This Row],[Year]],SIP[[#This Row],[Month]],SIP[[#This Row],[Day]]),0)</f>
        <v>44727</v>
      </c>
      <c r="E7" s="40" t="str" cm="1">
        <f t="array" ref="E7">IFERROR(INDEX(INVESTORS_LIST[INVESTOR NAME],MATCH(SIP[[#This Row],[Investor ID]],INVESTORS_LIST[INVESTOR CODE],0),)," ")</f>
        <v>ANIK KUMAR GUPTA</v>
      </c>
      <c r="F7" s="15" t="s">
        <v>708</v>
      </c>
      <c r="G7" s="15">
        <f>COUNTIFS(SIP[[#Headers],[Investor ID]]:SIP[[#This Row],[Investor ID]],SIP[[#This Row],[Investor ID]])</f>
        <v>2</v>
      </c>
      <c r="H7" s="15" t="str">
        <f>CONCATENATE(SIP[[#This Row],[Frequency]],SIP[[#This Row],[Investor ID]])</f>
        <v>2A00381</v>
      </c>
      <c r="I7" s="15" t="str">
        <f>IF(SIP[[#This Row],[B/S]]="B","BUY",(IF(SIP[[#This Row],[B/S]]="S","SELL"," ")))</f>
        <v>BUY</v>
      </c>
      <c r="J7" s="15" t="s">
        <v>301</v>
      </c>
      <c r="K7" s="38">
        <v>1000</v>
      </c>
      <c r="L7" s="38"/>
      <c r="M7" s="176">
        <f>IFERROR(SIP[[#This Row],[Amount]]/SIP[[#This Row],[Unit]],0)</f>
        <v>9.9009900990099009</v>
      </c>
      <c r="N7" s="42">
        <f>SIP[[#This Row],[Unit Capital]]/10</f>
        <v>101</v>
      </c>
      <c r="O7" s="50">
        <f>SUMIFS(SIP[[#Headers],[Unit]]:SIP[[#This Row],[Unit]],SIP[[#Headers],[Investor ID]]:SIP[[#This Row],[Investor ID]],SIP[[#This Row],[Investor ID]])</f>
        <v>201</v>
      </c>
      <c r="P7" s="38">
        <v>1010</v>
      </c>
      <c r="Q7" s="41">
        <f>SIP[[#This Row],[Amount]]-SIP[[#This Row],[Unit Capital]]</f>
        <v>-10</v>
      </c>
      <c r="R7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9.9502487562189064</v>
      </c>
      <c r="S7" s="176">
        <f>NAV_MKT</f>
        <v>12.552</v>
      </c>
      <c r="T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" s="43" cm="1">
        <f t="array" ref="U7">IF(SIP[[#This Row],[B/S]]="S",ABS(SIP[[#This Row],[Unit]])*(INDEX(SIP[NAV at Cost (Average)],MATCH(CONCATENATE((SIP[[#This Row],[Frequency]]-1),SIP[[#This Row],[Investor ID]]),SIP[Unique Code],0),0)),0)</f>
        <v>0</v>
      </c>
      <c r="V7" s="43">
        <f>IF(SIP[[#This Row],[BO Transfer]]="YES",SIP[[#This Row],[Unit]],)</f>
        <v>0</v>
      </c>
      <c r="W7" s="41">
        <f>SUMIFS(SIP[[#Headers],[BO UNIT TRANSFER]]:SIP[[#This Row],[BO UNIT TRANSFER]],SIP[[#Headers],[Investor ID]]:SIP[[#This Row],[Investor ID]],SIP[[#This Row],[Investor ID]])</f>
        <v>0</v>
      </c>
    </row>
    <row r="8" spans="1:24" ht="15" customHeight="1">
      <c r="A8" s="15">
        <v>2022</v>
      </c>
      <c r="B8" s="15">
        <v>6</v>
      </c>
      <c r="C8" s="15">
        <v>26</v>
      </c>
      <c r="D8" s="39">
        <f>IFERROR(DATE(SIP[[#This Row],[Year]],SIP[[#This Row],[Month]],SIP[[#This Row],[Day]]),0)</f>
        <v>44738</v>
      </c>
      <c r="E8" s="40" t="str" cm="1">
        <f t="array" ref="E8">IFERROR(INDEX(INVESTORS_LIST[INVESTOR NAME],MATCH(SIP[[#This Row],[Investor ID]],INVESTORS_LIST[INVESTOR CODE],0),)," ")</f>
        <v>MAISHA MUSSARRAT</v>
      </c>
      <c r="F8" s="15" t="s">
        <v>920</v>
      </c>
      <c r="G8" s="15">
        <f>COUNTIFS(SIP[[#Headers],[Investor ID]]:SIP[[#This Row],[Investor ID]],SIP[[#This Row],[Investor ID]])</f>
        <v>1</v>
      </c>
      <c r="H8" s="15" t="str">
        <f>CONCATENATE(SIP[[#This Row],[Frequency]],SIP[[#This Row],[Investor ID]])</f>
        <v>1A00420</v>
      </c>
      <c r="I8" s="15" t="str">
        <f>IF(SIP[[#This Row],[B/S]]="B","BUY",(IF(SIP[[#This Row],[B/S]]="S","SELL"," ")))</f>
        <v>BUY</v>
      </c>
      <c r="J8" s="15" t="s">
        <v>301</v>
      </c>
      <c r="K8" s="38">
        <v>18000</v>
      </c>
      <c r="L8" s="38"/>
      <c r="M8" s="176">
        <f>IFERROR(SIP[[#This Row],[Amount]]/SIP[[#This Row],[Unit]],0)</f>
        <v>9.8199672667757767</v>
      </c>
      <c r="N8" s="42">
        <f>SIP[[#This Row],[Unit Capital]]/10</f>
        <v>1833</v>
      </c>
      <c r="O8" s="50">
        <f>SUMIFS(SIP[[#Headers],[Unit]]:SIP[[#This Row],[Unit]],SIP[[#Headers],[Investor ID]]:SIP[[#This Row],[Investor ID]],SIP[[#This Row],[Investor ID]])</f>
        <v>1833</v>
      </c>
      <c r="P8" s="38">
        <v>18330</v>
      </c>
      <c r="Q8" s="41">
        <f>SIP[[#This Row],[Amount]]-SIP[[#This Row],[Unit Capital]]</f>
        <v>-330</v>
      </c>
      <c r="R8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9.8199672667757767</v>
      </c>
      <c r="S8" s="176">
        <f t="shared" si="1"/>
        <v>12.552</v>
      </c>
      <c r="T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" s="43" cm="1">
        <f t="array" ref="U8">IF(SIP[[#This Row],[B/S]]="S",ABS(SIP[[#This Row],[Unit]])*(INDEX(SIP[NAV at Cost (Average)],MATCH(CONCATENATE((SIP[[#This Row],[Frequency]]-1),SIP[[#This Row],[Investor ID]]),SIP[Unique Code],0),0)),0)</f>
        <v>0</v>
      </c>
      <c r="V8" s="43">
        <f>IF(SIP[[#This Row],[BO Transfer]]="YES",SIP[[#This Row],[Unit]],)</f>
        <v>0</v>
      </c>
      <c r="W8" s="41">
        <f>SUMIFS(SIP[[#Headers],[BO UNIT TRANSFER]]:SIP[[#This Row],[BO UNIT TRANSFER]],SIP[[#Headers],[Investor ID]]:SIP[[#This Row],[Investor ID]],SIP[[#This Row],[Investor ID]])</f>
        <v>0</v>
      </c>
      <c r="X8" s="41"/>
    </row>
    <row r="9" spans="1:24" ht="15" customHeight="1">
      <c r="A9" s="15">
        <v>2022</v>
      </c>
      <c r="B9" s="15">
        <v>6</v>
      </c>
      <c r="C9" s="15">
        <v>26</v>
      </c>
      <c r="D9" s="39">
        <f>IFERROR(DATE(SIP[[#This Row],[Year]],SIP[[#This Row],[Month]],SIP[[#This Row],[Day]]),0)</f>
        <v>44738</v>
      </c>
      <c r="E9" s="40" t="str" cm="1">
        <f t="array" ref="E9">IFERROR(INDEX(INVESTORS_LIST[INVESTOR NAME],MATCH(SIP[[#This Row],[Investor ID]],INVESTORS_LIST[INVESTOR CODE],0),)," ")</f>
        <v>MD MIZANUR RAHMAN</v>
      </c>
      <c r="F9" s="15" t="s">
        <v>177</v>
      </c>
      <c r="G9" s="15">
        <f>COUNTIFS(SIP[[#Headers],[Investor ID]]:SIP[[#This Row],[Investor ID]],SIP[[#This Row],[Investor ID]])</f>
        <v>1</v>
      </c>
      <c r="H9" s="15" t="str">
        <f>CONCATENATE(SIP[[#This Row],[Frequency]],SIP[[#This Row],[Investor ID]])</f>
        <v>1A00144</v>
      </c>
      <c r="I9" s="15" t="str">
        <f>IF(SIP[[#This Row],[B/S]]="B","BUY",(IF(SIP[[#This Row],[B/S]]="S","SELL"," ")))</f>
        <v>BUY</v>
      </c>
      <c r="J9" s="15" t="s">
        <v>301</v>
      </c>
      <c r="K9" s="38">
        <v>10000</v>
      </c>
      <c r="L9" s="38"/>
      <c r="M9" s="176">
        <f>IFERROR(SIP[[#This Row],[Amount]]/SIP[[#This Row],[Unit]],0)</f>
        <v>9.8231827111984291</v>
      </c>
      <c r="N9" s="42">
        <f>SIP[[#This Row],[Unit Capital]]/10</f>
        <v>1018</v>
      </c>
      <c r="O9" s="50">
        <f>SUMIFS(SIP[[#Headers],[Unit]]:SIP[[#This Row],[Unit]],SIP[[#Headers],[Investor ID]]:SIP[[#This Row],[Investor ID]],SIP[[#This Row],[Investor ID]])</f>
        <v>1018</v>
      </c>
      <c r="P9" s="38">
        <v>10180</v>
      </c>
      <c r="Q9" s="41">
        <f>SIP[[#This Row],[Amount]]-SIP[[#This Row],[Unit Capital]]</f>
        <v>-180</v>
      </c>
      <c r="R9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9.8231827111984291</v>
      </c>
      <c r="S9" s="176">
        <f t="shared" si="1"/>
        <v>12.552</v>
      </c>
      <c r="T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" s="43" cm="1">
        <f t="array" ref="U9">IF(SIP[[#This Row],[B/S]]="S",ABS(SIP[[#This Row],[Unit]])*(INDEX(SIP[NAV at Cost (Average)],MATCH(CONCATENATE((SIP[[#This Row],[Frequency]]-1),SIP[[#This Row],[Investor ID]]),SIP[Unique Code],0),0)),0)</f>
        <v>0</v>
      </c>
      <c r="V9" s="43">
        <f>IF(SIP[[#This Row],[BO Transfer]]="YES",SIP[[#This Row],[Unit]],)</f>
        <v>0</v>
      </c>
      <c r="W9" s="41">
        <f>SUMIFS(SIP[[#Headers],[BO UNIT TRANSFER]]:SIP[[#This Row],[BO UNIT TRANSFER]],SIP[[#Headers],[Investor ID]]:SIP[[#This Row],[Investor ID]],SIP[[#This Row],[Investor ID]])</f>
        <v>0</v>
      </c>
      <c r="X9" s="41"/>
    </row>
    <row r="10" spans="1:24" ht="15" customHeight="1">
      <c r="A10" s="15">
        <v>2022</v>
      </c>
      <c r="B10" s="15">
        <v>6</v>
      </c>
      <c r="C10" s="15">
        <v>26</v>
      </c>
      <c r="D10" s="39">
        <f>IFERROR(DATE(SIP[[#This Row],[Year]],SIP[[#This Row],[Month]],SIP[[#This Row],[Day]]),0)</f>
        <v>44738</v>
      </c>
      <c r="E10" s="40" t="str" cm="1">
        <f t="array" ref="E10">IFERROR(INDEX(INVESTORS_LIST[INVESTOR NAME],MATCH(SIP[[#This Row],[Investor ID]],INVESTORS_LIST[INVESTOR CODE],0),)," ")</f>
        <v>MRIDUL KUMAR DEY</v>
      </c>
      <c r="F10" s="15" t="s">
        <v>27</v>
      </c>
      <c r="G10" s="15">
        <f>COUNTIFS(SIP[[#Headers],[Investor ID]]:SIP[[#This Row],[Investor ID]],SIP[[#This Row],[Investor ID]])</f>
        <v>3</v>
      </c>
      <c r="H10" s="15" t="str">
        <f>CONCATENATE(SIP[[#This Row],[Frequency]],SIP[[#This Row],[Investor ID]])</f>
        <v>3A00020</v>
      </c>
      <c r="I10" s="15" t="str">
        <f>IF(SIP[[#This Row],[B/S]]="B","BUY",(IF(SIP[[#This Row],[B/S]]="S","SELL"," ")))</f>
        <v>BUY</v>
      </c>
      <c r="J10" s="15" t="s">
        <v>301</v>
      </c>
      <c r="K10" s="38">
        <v>5000</v>
      </c>
      <c r="L10" s="38"/>
      <c r="M10" s="176">
        <f>IFERROR(SIP[[#This Row],[Amount]]/SIP[[#This Row],[Unit]],0)</f>
        <v>9.8231827111984291</v>
      </c>
      <c r="N10" s="42">
        <f>SIP[[#This Row],[Unit Capital]]/10</f>
        <v>509</v>
      </c>
      <c r="O10" s="50">
        <f>SUMIFS(SIP[[#Headers],[Unit]]:SIP[[#This Row],[Unit]],SIP[[#Headers],[Investor ID]]:SIP[[#This Row],[Investor ID]],SIP[[#This Row],[Investor ID]])</f>
        <v>1515</v>
      </c>
      <c r="P10" s="38">
        <v>5090</v>
      </c>
      <c r="Q10" s="41">
        <f>SIP[[#This Row],[Amount]]-SIP[[#This Row],[Unit Capital]]</f>
        <v>-90</v>
      </c>
      <c r="R10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9.9009900990099009</v>
      </c>
      <c r="S10" s="176">
        <f t="shared" si="1"/>
        <v>12.552</v>
      </c>
      <c r="T1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" s="43" cm="1">
        <f t="array" ref="U10">IF(SIP[[#This Row],[B/S]]="S",ABS(SIP[[#This Row],[Unit]])*(INDEX(SIP[NAV at Cost (Average)],MATCH(CONCATENATE((SIP[[#This Row],[Frequency]]-1),SIP[[#This Row],[Investor ID]]),SIP[Unique Code],0),0)),0)</f>
        <v>0</v>
      </c>
      <c r="V10" s="43">
        <f>IF(SIP[[#This Row],[BO Transfer]]="YES",SIP[[#This Row],[Unit]],)</f>
        <v>0</v>
      </c>
      <c r="W10" s="41">
        <f>SUMIFS(SIP[[#Headers],[BO UNIT TRANSFER]]:SIP[[#This Row],[BO UNIT TRANSFER]],SIP[[#Headers],[Investor ID]]:SIP[[#This Row],[Investor ID]],SIP[[#This Row],[Investor ID]])</f>
        <v>0</v>
      </c>
      <c r="X10" s="41"/>
    </row>
    <row r="11" spans="1:24" ht="15" customHeight="1">
      <c r="A11" s="15">
        <v>2022</v>
      </c>
      <c r="B11" s="15">
        <v>7</v>
      </c>
      <c r="C11" s="15">
        <v>15</v>
      </c>
      <c r="D11" s="39">
        <f>IFERROR(DATE(SIP[[#This Row],[Year]],SIP[[#This Row],[Month]],SIP[[#This Row],[Day]]),0)</f>
        <v>44757</v>
      </c>
      <c r="E11" s="40" t="str" cm="1">
        <f t="array" ref="E11">IFERROR(INDEX(INVESTORS_LIST[INVESTOR NAME],MATCH(SIP[[#This Row],[Investor ID]],INVESTORS_LIST[INVESTOR CODE],0),)," ")</f>
        <v>ANIK KUMAR GUPTA</v>
      </c>
      <c r="F11" s="15" t="s">
        <v>708</v>
      </c>
      <c r="G11" s="15">
        <f>COUNTIFS(SIP[[#Headers],[Investor ID]]:SIP[[#This Row],[Investor ID]],SIP[[#This Row],[Investor ID]])</f>
        <v>3</v>
      </c>
      <c r="H11" s="15" t="str">
        <f>CONCATENATE(SIP[[#This Row],[Frequency]],SIP[[#This Row],[Investor ID]])</f>
        <v>3A00381</v>
      </c>
      <c r="I11" s="15" t="str">
        <f>IF(SIP[[#This Row],[B/S]]="B","BUY",(IF(SIP[[#This Row],[B/S]]="S","SELL"," ")))</f>
        <v>BUY</v>
      </c>
      <c r="J11" s="15" t="s">
        <v>301</v>
      </c>
      <c r="K11" s="38">
        <v>1000</v>
      </c>
      <c r="L11" s="38"/>
      <c r="M11" s="176">
        <f>IFERROR(SIP[[#This Row],[Amount]]/SIP[[#This Row],[Unit]],0)</f>
        <v>9.9009900990099009</v>
      </c>
      <c r="N11" s="42">
        <f>SIP[[#This Row],[Unit Capital]]/10</f>
        <v>101</v>
      </c>
      <c r="O11" s="50">
        <f>SUMIFS(SIP[[#Headers],[Unit]]:SIP[[#This Row],[Unit]],SIP[[#Headers],[Investor ID]]:SIP[[#This Row],[Investor ID]],SIP[[#This Row],[Investor ID]])</f>
        <v>302</v>
      </c>
      <c r="P11" s="38">
        <v>1010</v>
      </c>
      <c r="Q11" s="41">
        <f>SIP[[#This Row],[Amount]]-SIP[[#This Row],[Unit Capital]]</f>
        <v>-10</v>
      </c>
      <c r="R11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9.9337748344370862</v>
      </c>
      <c r="S11" s="176">
        <f t="shared" ref="S11:S16" si="2">NAV_MKT</f>
        <v>12.552</v>
      </c>
      <c r="T1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" s="43" cm="1">
        <f t="array" ref="U11">IF(SIP[[#This Row],[B/S]]="S",ABS(SIP[[#This Row],[Unit]])*(INDEX(SIP[NAV at Cost (Average)],MATCH(CONCATENATE((SIP[[#This Row],[Frequency]]-1),SIP[[#This Row],[Investor ID]]),SIP[Unique Code],0),0)),0)</f>
        <v>0</v>
      </c>
      <c r="V11" s="43">
        <f>IF(SIP[[#This Row],[BO Transfer]]="YES",SIP[[#This Row],[Unit]],)</f>
        <v>0</v>
      </c>
      <c r="W11" s="41">
        <f>SUMIFS(SIP[[#Headers],[BO UNIT TRANSFER]]:SIP[[#This Row],[BO UNIT TRANSFER]],SIP[[#Headers],[Investor ID]]:SIP[[#This Row],[Investor ID]],SIP[[#This Row],[Investor ID]])</f>
        <v>0</v>
      </c>
    </row>
    <row r="12" spans="1:24" ht="15" customHeight="1">
      <c r="A12" s="15">
        <v>2022</v>
      </c>
      <c r="B12" s="15">
        <v>7</v>
      </c>
      <c r="C12" s="15">
        <v>26</v>
      </c>
      <c r="D12" s="39">
        <f>IFERROR(DATE(SIP[[#This Row],[Year]],SIP[[#This Row],[Month]],SIP[[#This Row],[Day]]),0)</f>
        <v>44768</v>
      </c>
      <c r="E12" s="40" t="str" cm="1">
        <f t="array" ref="E12">IFERROR(INDEX(INVESTORS_LIST[INVESTOR NAME],MATCH(SIP[[#This Row],[Investor ID]],INVESTORS_LIST[INVESTOR CODE],0),)," ")</f>
        <v>MD MIZANUR RAHMAN</v>
      </c>
      <c r="F12" s="15" t="s">
        <v>177</v>
      </c>
      <c r="G12" s="15">
        <f>COUNTIFS(SIP[[#Headers],[Investor ID]]:SIP[[#This Row],[Investor ID]],SIP[[#This Row],[Investor ID]])</f>
        <v>2</v>
      </c>
      <c r="H12" s="15" t="str">
        <f>CONCATENATE(SIP[[#This Row],[Frequency]],SIP[[#This Row],[Investor ID]])</f>
        <v>2A00144</v>
      </c>
      <c r="I12" s="15" t="str">
        <f>IF(SIP[[#This Row],[B/S]]="B","BUY",(IF(SIP[[#This Row],[B/S]]="S","SELL"," ")))</f>
        <v>BUY</v>
      </c>
      <c r="J12" s="15" t="s">
        <v>301</v>
      </c>
      <c r="K12" s="38">
        <v>10000</v>
      </c>
      <c r="L12" s="38"/>
      <c r="M12" s="176">
        <f>IFERROR(SIP[[#This Row],[Amount]]/SIP[[#This Row],[Unit]],0)</f>
        <v>9.7847358121330732</v>
      </c>
      <c r="N12" s="42">
        <f>SIP[[#This Row],[Unit Capital]]/10</f>
        <v>1022</v>
      </c>
      <c r="O12" s="50">
        <f>SUMIFS(SIP[[#Headers],[Unit]]:SIP[[#This Row],[Unit]],SIP[[#Headers],[Investor ID]]:SIP[[#This Row],[Investor ID]],SIP[[#This Row],[Investor ID]])</f>
        <v>2040</v>
      </c>
      <c r="P12" s="38">
        <v>10220</v>
      </c>
      <c r="Q12" s="41">
        <f>SIP[[#This Row],[Amount]]-SIP[[#This Row],[Unit Capital]]</f>
        <v>-220</v>
      </c>
      <c r="R12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9.8039215686274517</v>
      </c>
      <c r="S12" s="176">
        <f t="shared" si="2"/>
        <v>12.552</v>
      </c>
      <c r="T1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" s="43" cm="1">
        <f t="array" ref="U12">IF(SIP[[#This Row],[B/S]]="S",ABS(SIP[[#This Row],[Unit]])*(INDEX(SIP[NAV at Cost (Average)],MATCH(CONCATENATE((SIP[[#This Row],[Frequency]]-1),SIP[[#This Row],[Investor ID]]),SIP[Unique Code],0),0)),0)</f>
        <v>0</v>
      </c>
      <c r="V12" s="43">
        <f>IF(SIP[[#This Row],[BO Transfer]]="YES",SIP[[#This Row],[Unit]],)</f>
        <v>0</v>
      </c>
      <c r="W12" s="41">
        <f>SUMIFS(SIP[[#Headers],[BO UNIT TRANSFER]]:SIP[[#This Row],[BO UNIT TRANSFER]],SIP[[#Headers],[Investor ID]]:SIP[[#This Row],[Investor ID]],SIP[[#This Row],[Investor ID]])</f>
        <v>0</v>
      </c>
    </row>
    <row r="13" spans="1:24" ht="15" customHeight="1">
      <c r="A13" s="15">
        <v>2022</v>
      </c>
      <c r="B13" s="15">
        <v>7</v>
      </c>
      <c r="C13" s="15">
        <v>26</v>
      </c>
      <c r="D13" s="39">
        <f>IFERROR(DATE(SIP[[#This Row],[Year]],SIP[[#This Row],[Month]],SIP[[#This Row],[Day]]),0)</f>
        <v>44768</v>
      </c>
      <c r="E13" s="40" t="str" cm="1">
        <f t="array" ref="E13">IFERROR(INDEX(INVESTORS_LIST[INVESTOR NAME],MATCH(SIP[[#This Row],[Investor ID]],INVESTORS_LIST[INVESTOR CODE],0),)," ")</f>
        <v>MAISHA MUSSARRAT</v>
      </c>
      <c r="F13" s="15" t="s">
        <v>920</v>
      </c>
      <c r="G13" s="15">
        <f>COUNTIFS(SIP[[#Headers],[Investor ID]]:SIP[[#This Row],[Investor ID]],SIP[[#This Row],[Investor ID]])</f>
        <v>2</v>
      </c>
      <c r="H13" s="15" t="str">
        <f>CONCATENATE(SIP[[#This Row],[Frequency]],SIP[[#This Row],[Investor ID]])</f>
        <v>2A00420</v>
      </c>
      <c r="I13" s="15" t="str">
        <f>IF(SIP[[#This Row],[B/S]]="B","BUY",(IF(SIP[[#This Row],[B/S]]="S","SELL"," ")))</f>
        <v>BUY</v>
      </c>
      <c r="J13" s="15" t="s">
        <v>301</v>
      </c>
      <c r="K13" s="38">
        <v>18000</v>
      </c>
      <c r="L13" s="38"/>
      <c r="M13" s="176">
        <f>IFERROR(SIP[[#This Row],[Amount]]/SIP[[#This Row],[Unit]],0)</f>
        <v>9.7879282218597066</v>
      </c>
      <c r="N13" s="42">
        <f>SIP[[#This Row],[Unit Capital]]/10</f>
        <v>1839</v>
      </c>
      <c r="O13" s="50">
        <f>SUMIFS(SIP[[#Headers],[Unit]]:SIP[[#This Row],[Unit]],SIP[[#Headers],[Investor ID]]:SIP[[#This Row],[Investor ID]],SIP[[#This Row],[Investor ID]])</f>
        <v>3672</v>
      </c>
      <c r="P13" s="38">
        <v>18390</v>
      </c>
      <c r="Q13" s="41">
        <f>SIP[[#This Row],[Amount]]-SIP[[#This Row],[Unit Capital]]</f>
        <v>-390</v>
      </c>
      <c r="R13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9.8039215686274517</v>
      </c>
      <c r="S13" s="176">
        <f t="shared" si="2"/>
        <v>12.552</v>
      </c>
      <c r="T1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" s="43" cm="1">
        <f t="array" ref="U13">IF(SIP[[#This Row],[B/S]]="S",ABS(SIP[[#This Row],[Unit]])*(INDEX(SIP[NAV at Cost (Average)],MATCH(CONCATENATE((SIP[[#This Row],[Frequency]]-1),SIP[[#This Row],[Investor ID]]),SIP[Unique Code],0),0)),0)</f>
        <v>0</v>
      </c>
      <c r="V13" s="43">
        <f>IF(SIP[[#This Row],[BO Transfer]]="YES",SIP[[#This Row],[Unit]],)</f>
        <v>0</v>
      </c>
      <c r="W13" s="41">
        <f>SUMIFS(SIP[[#Headers],[BO UNIT TRANSFER]]:SIP[[#This Row],[BO UNIT TRANSFER]],SIP[[#Headers],[Investor ID]]:SIP[[#This Row],[Investor ID]],SIP[[#This Row],[Investor ID]])</f>
        <v>0</v>
      </c>
    </row>
    <row r="14" spans="1:24" ht="15" customHeight="1">
      <c r="A14" s="15">
        <v>2022</v>
      </c>
      <c r="B14" s="15">
        <v>7</v>
      </c>
      <c r="C14" s="15">
        <v>26</v>
      </c>
      <c r="D14" s="39">
        <f>IFERROR(DATE(SIP[[#This Row],[Year]],SIP[[#This Row],[Month]],SIP[[#This Row],[Day]]),0)</f>
        <v>44768</v>
      </c>
      <c r="E14" s="40" t="str" cm="1">
        <f t="array" ref="E14">IFERROR(INDEX(INVESTORS_LIST[INVESTOR NAME],MATCH(SIP[[#This Row],[Investor ID]],INVESTORS_LIST[INVESTOR CODE],0),)," ")</f>
        <v>MRIDUL KUMAR DEY</v>
      </c>
      <c r="F14" s="15" t="s">
        <v>27</v>
      </c>
      <c r="G14" s="15">
        <f>COUNTIFS(SIP[[#Headers],[Investor ID]]:SIP[[#This Row],[Investor ID]],SIP[[#This Row],[Investor ID]])</f>
        <v>4</v>
      </c>
      <c r="H14" s="15" t="str">
        <f>CONCATENATE(SIP[[#This Row],[Frequency]],SIP[[#This Row],[Investor ID]])</f>
        <v>4A00020</v>
      </c>
      <c r="I14" s="15" t="str">
        <f>IF(SIP[[#This Row],[B/S]]="B","BUY",(IF(SIP[[#This Row],[B/S]]="S","SELL"," ")))</f>
        <v>BUY</v>
      </c>
      <c r="J14" s="15" t="s">
        <v>301</v>
      </c>
      <c r="K14" s="38">
        <v>5000</v>
      </c>
      <c r="L14" s="38"/>
      <c r="M14" s="176">
        <f>IFERROR(SIP[[#This Row],[Amount]]/SIP[[#This Row],[Unit]],0)</f>
        <v>9.7847358121330732</v>
      </c>
      <c r="N14" s="42">
        <f>SIP[[#This Row],[Unit Capital]]/10</f>
        <v>511</v>
      </c>
      <c r="O14" s="50">
        <f>SUMIFS(SIP[[#Headers],[Unit]]:SIP[[#This Row],[Unit]],SIP[[#Headers],[Investor ID]]:SIP[[#This Row],[Investor ID]],SIP[[#This Row],[Investor ID]])</f>
        <v>2026</v>
      </c>
      <c r="P14" s="38">
        <v>5110</v>
      </c>
      <c r="Q14" s="41">
        <f>SIP[[#This Row],[Amount]]-SIP[[#This Row],[Unit Capital]]</f>
        <v>-110</v>
      </c>
      <c r="R14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9.8716683119447186</v>
      </c>
      <c r="S14" s="176">
        <f t="shared" si="2"/>
        <v>12.552</v>
      </c>
      <c r="T1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" s="43" cm="1">
        <f t="array" ref="U14">IF(SIP[[#This Row],[B/S]]="S",ABS(SIP[[#This Row],[Unit]])*(INDEX(SIP[NAV at Cost (Average)],MATCH(CONCATENATE((SIP[[#This Row],[Frequency]]-1),SIP[[#This Row],[Investor ID]]),SIP[Unique Code],0),0)),0)</f>
        <v>0</v>
      </c>
      <c r="V14" s="43">
        <f>IF(SIP[[#This Row],[BO Transfer]]="YES",SIP[[#This Row],[Unit]],)</f>
        <v>0</v>
      </c>
      <c r="W14" s="41">
        <f>SUMIFS(SIP[[#Headers],[BO UNIT TRANSFER]]:SIP[[#This Row],[BO UNIT TRANSFER]],SIP[[#Headers],[Investor ID]]:SIP[[#This Row],[Investor ID]],SIP[[#This Row],[Investor ID]])</f>
        <v>0</v>
      </c>
    </row>
    <row r="15" spans="1:24" ht="15" customHeight="1">
      <c r="A15" s="15">
        <v>2022</v>
      </c>
      <c r="B15" s="15">
        <v>8</v>
      </c>
      <c r="C15" s="15">
        <v>1</v>
      </c>
      <c r="D15" s="39">
        <f>IFERROR(DATE(SIP[[#This Row],[Year]],SIP[[#This Row],[Month]],SIP[[#This Row],[Day]]),0)</f>
        <v>44774</v>
      </c>
      <c r="E15" s="40" t="str" cm="1">
        <f t="array" ref="E15">IFERROR(INDEX(INVESTORS_LIST[INVESTOR NAME],MATCH(SIP[[#This Row],[Investor ID]],INVESTORS_LIST[INVESTOR CODE],0),)," ")</f>
        <v>AHMED ASIF</v>
      </c>
      <c r="F15" s="116" t="s">
        <v>943</v>
      </c>
      <c r="G15" s="15">
        <f>COUNTIFS(SIP[[#Headers],[Investor ID]]:SIP[[#This Row],[Investor ID]],SIP[[#This Row],[Investor ID]])</f>
        <v>1</v>
      </c>
      <c r="H15" s="15" t="str">
        <f>CONCATENATE(SIP[[#This Row],[Frequency]],SIP[[#This Row],[Investor ID]])</f>
        <v>1A00432</v>
      </c>
      <c r="I15" s="15" t="str">
        <f>IF(SIP[[#This Row],[B/S]]="B","BUY",(IF(SIP[[#This Row],[B/S]]="S","SELL"," ")))</f>
        <v>BUY</v>
      </c>
      <c r="J15" s="15" t="s">
        <v>301</v>
      </c>
      <c r="K15" s="10">
        <v>5000</v>
      </c>
      <c r="L15" s="10"/>
      <c r="M15" s="176">
        <f>IFERROR(SIP[[#This Row],[Amount]]/SIP[[#This Row],[Unit]],0)</f>
        <v>9.765625</v>
      </c>
      <c r="N15" s="42">
        <f>SIP[[#This Row],[Unit Capital]]/10</f>
        <v>512</v>
      </c>
      <c r="O15" s="50">
        <f>SUMIFS(SIP[[#Headers],[Unit]]:SIP[[#This Row],[Unit]],SIP[[#Headers],[Investor ID]]:SIP[[#This Row],[Investor ID]],SIP[[#This Row],[Investor ID]])</f>
        <v>512</v>
      </c>
      <c r="P15" s="38">
        <v>5120</v>
      </c>
      <c r="Q15" s="41">
        <f>SIP[[#This Row],[Amount]]-SIP[[#This Row],[Unit Capital]]</f>
        <v>-120</v>
      </c>
      <c r="R15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9.765625</v>
      </c>
      <c r="S15" s="176">
        <f t="shared" si="2"/>
        <v>12.552</v>
      </c>
      <c r="T1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" s="43" cm="1">
        <f t="array" ref="U15">IF(SIP[[#This Row],[B/S]]="S",ABS(SIP[[#This Row],[Unit]])*(INDEX(SIP[NAV at Cost (Average)],MATCH(CONCATENATE((SIP[[#This Row],[Frequency]]-1),SIP[[#This Row],[Investor ID]]),SIP[Unique Code],0),0)),0)</f>
        <v>0</v>
      </c>
      <c r="V15" s="43">
        <f>IF(SIP[[#This Row],[BO Transfer]]="YES",SIP[[#This Row],[Unit]],)</f>
        <v>0</v>
      </c>
      <c r="W15" s="41">
        <f>SUMIFS(SIP[[#Headers],[BO UNIT TRANSFER]]:SIP[[#This Row],[BO UNIT TRANSFER]],SIP[[#Headers],[Investor ID]]:SIP[[#This Row],[Investor ID]],SIP[[#This Row],[Investor ID]])</f>
        <v>0</v>
      </c>
    </row>
    <row r="16" spans="1:24" ht="15" customHeight="1">
      <c r="A16" s="15">
        <v>2022</v>
      </c>
      <c r="B16" s="15">
        <v>8</v>
      </c>
      <c r="C16" s="15">
        <v>5</v>
      </c>
      <c r="D16" s="39">
        <f>IFERROR(DATE(SIP[[#This Row],[Year]],SIP[[#This Row],[Month]],SIP[[#This Row],[Day]]),0)</f>
        <v>44778</v>
      </c>
      <c r="E16" s="40" t="str" cm="1">
        <f t="array" ref="E16">IFERROR(INDEX(INVESTORS_LIST[INVESTOR NAME],MATCH(SIP[[#This Row],[Investor ID]],INVESTORS_LIST[INVESTOR CODE],0),)," ")</f>
        <v>AHMED ASIF</v>
      </c>
      <c r="F16" s="15" t="s">
        <v>943</v>
      </c>
      <c r="G16" s="15">
        <f>COUNTIFS(SIP[[#Headers],[Investor ID]]:SIP[[#This Row],[Investor ID]],SIP[[#This Row],[Investor ID]])</f>
        <v>2</v>
      </c>
      <c r="H16" s="15" t="str">
        <f>CONCATENATE(SIP[[#This Row],[Frequency]],SIP[[#This Row],[Investor ID]])</f>
        <v>2A00432</v>
      </c>
      <c r="I16" s="15" t="str">
        <f>IF(SIP[[#This Row],[B/S]]="B","BUY",(IF(SIP[[#This Row],[B/S]]="S","SELL"," ")))</f>
        <v>BUY</v>
      </c>
      <c r="J16" s="15" t="s">
        <v>301</v>
      </c>
      <c r="K16" s="38">
        <v>5000</v>
      </c>
      <c r="L16" s="38"/>
      <c r="M16" s="176">
        <f>IFERROR(SIP[[#This Row],[Amount]]/SIP[[#This Row],[Unit]],0)</f>
        <v>9.8619329388560164</v>
      </c>
      <c r="N16" s="42">
        <f>SIP[[#This Row],[Unit Capital]]/10</f>
        <v>507</v>
      </c>
      <c r="O16" s="50">
        <f>SUMIFS(SIP[[#Headers],[Unit]]:SIP[[#This Row],[Unit]],SIP[[#Headers],[Investor ID]]:SIP[[#This Row],[Investor ID]],SIP[[#This Row],[Investor ID]])</f>
        <v>1019</v>
      </c>
      <c r="P16" s="38">
        <v>5070</v>
      </c>
      <c r="Q16" s="41">
        <f>SIP[[#This Row],[Amount]]-SIP[[#This Row],[Unit Capital]]</f>
        <v>-70</v>
      </c>
      <c r="R16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9.8135426889106974</v>
      </c>
      <c r="S16" s="176">
        <f t="shared" si="2"/>
        <v>12.552</v>
      </c>
      <c r="T1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" s="43" cm="1">
        <f t="array" ref="U16">IF(SIP[[#This Row],[B/S]]="S",ABS(SIP[[#This Row],[Unit]])*(INDEX(SIP[NAV at Cost (Average)],MATCH(CONCATENATE((SIP[[#This Row],[Frequency]]-1),SIP[[#This Row],[Investor ID]]),SIP[Unique Code],0),0)),0)</f>
        <v>0</v>
      </c>
      <c r="V16" s="43">
        <f>IF(SIP[[#This Row],[BO Transfer]]="YES",SIP[[#This Row],[Unit]],)</f>
        <v>0</v>
      </c>
      <c r="W16" s="41">
        <f>SUMIFS(SIP[[#Headers],[BO UNIT TRANSFER]]:SIP[[#This Row],[BO UNIT TRANSFER]],SIP[[#Headers],[Investor ID]]:SIP[[#This Row],[Investor ID]],SIP[[#This Row],[Investor ID]])</f>
        <v>0</v>
      </c>
    </row>
    <row r="17" spans="1:23" ht="15" customHeight="1">
      <c r="A17" s="15">
        <v>2022</v>
      </c>
      <c r="B17" s="15">
        <v>8</v>
      </c>
      <c r="C17" s="15">
        <v>26</v>
      </c>
      <c r="D17" s="39">
        <f>IFERROR(DATE(SIP[[#This Row],[Year]],SIP[[#This Row],[Month]],SIP[[#This Row],[Day]]),0)</f>
        <v>44799</v>
      </c>
      <c r="E17" s="40" t="str" cm="1">
        <f t="array" ref="E17">IFERROR(INDEX(INVESTORS_LIST[INVESTOR NAME],MATCH(SIP[[#This Row],[Investor ID]],INVESTORS_LIST[INVESTOR CODE],0),)," ")</f>
        <v>MD MIZANUR RAHMAN</v>
      </c>
      <c r="F17" s="15" t="s">
        <v>177</v>
      </c>
      <c r="G17" s="15">
        <f>COUNTIFS(SIP[[#Headers],[Investor ID]]:SIP[[#This Row],[Investor ID]],SIP[[#This Row],[Investor ID]])</f>
        <v>3</v>
      </c>
      <c r="H17" s="15" t="str">
        <f>CONCATENATE(SIP[[#This Row],[Frequency]],SIP[[#This Row],[Investor ID]])</f>
        <v>3A00144</v>
      </c>
      <c r="I17" s="15" t="str">
        <f>IF(SIP[[#This Row],[B/S]]="B","BUY",(IF(SIP[[#This Row],[B/S]]="S","SELL"," ")))</f>
        <v>BUY</v>
      </c>
      <c r="J17" s="15" t="s">
        <v>301</v>
      </c>
      <c r="K17" s="38">
        <v>10000</v>
      </c>
      <c r="L17" s="38"/>
      <c r="M17" s="176">
        <f>IFERROR(SIP[[#This Row],[Amount]]/SIP[[#This Row],[Unit]],0)</f>
        <v>9.8231827111984291</v>
      </c>
      <c r="N17" s="42">
        <f>SIP[[#This Row],[Unit Capital]]/10</f>
        <v>1018</v>
      </c>
      <c r="O17" s="50">
        <f>SUMIFS(SIP[[#Headers],[Unit]]:SIP[[#This Row],[Unit]],SIP[[#Headers],[Investor ID]]:SIP[[#This Row],[Investor ID]],SIP[[#This Row],[Investor ID]])</f>
        <v>3058</v>
      </c>
      <c r="P17" s="38">
        <v>10180</v>
      </c>
      <c r="Q17" s="41">
        <f>SIP[[#This Row],[Amount]]-SIP[[#This Row],[Unit Capital]]</f>
        <v>-180</v>
      </c>
      <c r="R17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9.8103335513407472</v>
      </c>
      <c r="S17" s="176">
        <f t="shared" ref="S17:S24" si="3">NAV_MKT</f>
        <v>12.552</v>
      </c>
      <c r="T1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" s="43" cm="1">
        <f t="array" ref="U17">IF(SIP[[#This Row],[B/S]]="S",ABS(SIP[[#This Row],[Unit]])*(INDEX(SIP[NAV at Cost (Average)],MATCH(CONCATENATE((SIP[[#This Row],[Frequency]]-1),SIP[[#This Row],[Investor ID]]),SIP[Unique Code],0),0)),0)</f>
        <v>0</v>
      </c>
      <c r="V17" s="43">
        <f>IF(SIP[[#This Row],[BO Transfer]]="YES",SIP[[#This Row],[Unit]],)</f>
        <v>0</v>
      </c>
      <c r="W17" s="41">
        <f>SUMIFS(SIP[[#Headers],[BO UNIT TRANSFER]]:SIP[[#This Row],[BO UNIT TRANSFER]],SIP[[#Headers],[Investor ID]]:SIP[[#This Row],[Investor ID]],SIP[[#This Row],[Investor ID]])</f>
        <v>0</v>
      </c>
    </row>
    <row r="18" spans="1:23" ht="15" customHeight="1">
      <c r="A18" s="15">
        <v>2022</v>
      </c>
      <c r="B18" s="15">
        <v>8</v>
      </c>
      <c r="C18" s="15">
        <v>26</v>
      </c>
      <c r="D18" s="39">
        <f>IFERROR(DATE(SIP[[#This Row],[Year]],SIP[[#This Row],[Month]],SIP[[#This Row],[Day]]),0)</f>
        <v>44799</v>
      </c>
      <c r="E18" s="40" t="str" cm="1">
        <f t="array" ref="E18">IFERROR(INDEX(INVESTORS_LIST[INVESTOR NAME],MATCH(SIP[[#This Row],[Investor ID]],INVESTORS_LIST[INVESTOR CODE],0),)," ")</f>
        <v>MAISHA MUSSARRAT</v>
      </c>
      <c r="F18" s="15" t="s">
        <v>920</v>
      </c>
      <c r="G18" s="15">
        <f>COUNTIFS(SIP[[#Headers],[Investor ID]]:SIP[[#This Row],[Investor ID]],SIP[[#This Row],[Investor ID]])</f>
        <v>3</v>
      </c>
      <c r="H18" s="15" t="str">
        <f>CONCATENATE(SIP[[#This Row],[Frequency]],SIP[[#This Row],[Investor ID]])</f>
        <v>3A00420</v>
      </c>
      <c r="I18" s="15" t="str">
        <f>IF(SIP[[#This Row],[B/S]]="B","BUY",(IF(SIP[[#This Row],[B/S]]="S","SELL"," ")))</f>
        <v>BUY</v>
      </c>
      <c r="J18" s="15" t="s">
        <v>301</v>
      </c>
      <c r="K18" s="38">
        <v>18000</v>
      </c>
      <c r="L18" s="38"/>
      <c r="M18" s="176">
        <f>IFERROR(SIP[[#This Row],[Amount]]/SIP[[#This Row],[Unit]],0)</f>
        <v>9.8199672667757767</v>
      </c>
      <c r="N18" s="42">
        <f>SIP[[#This Row],[Unit Capital]]/10</f>
        <v>1833</v>
      </c>
      <c r="O18" s="50">
        <f>SUMIFS(SIP[[#Headers],[Unit]]:SIP[[#This Row],[Unit]],SIP[[#Headers],[Investor ID]]:SIP[[#This Row],[Investor ID]],SIP[[#This Row],[Investor ID]])</f>
        <v>5505</v>
      </c>
      <c r="P18" s="38">
        <v>18330</v>
      </c>
      <c r="Q18" s="41">
        <f>SIP[[#This Row],[Amount]]-SIP[[#This Row],[Unit Capital]]</f>
        <v>-330</v>
      </c>
      <c r="R18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9.8092643051771109</v>
      </c>
      <c r="S18" s="176">
        <f t="shared" si="3"/>
        <v>12.552</v>
      </c>
      <c r="T1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" s="43" cm="1">
        <f t="array" ref="U18">IF(SIP[[#This Row],[B/S]]="S",ABS(SIP[[#This Row],[Unit]])*(INDEX(SIP[NAV at Cost (Average)],MATCH(CONCATENATE((SIP[[#This Row],[Frequency]]-1),SIP[[#This Row],[Investor ID]]),SIP[Unique Code],0),0)),0)</f>
        <v>0</v>
      </c>
      <c r="V18" s="43">
        <f>IF(SIP[[#This Row],[BO Transfer]]="YES",SIP[[#This Row],[Unit]],)</f>
        <v>0</v>
      </c>
      <c r="W18" s="41">
        <f>SUMIFS(SIP[[#Headers],[BO UNIT TRANSFER]]:SIP[[#This Row],[BO UNIT TRANSFER]],SIP[[#Headers],[Investor ID]]:SIP[[#This Row],[Investor ID]],SIP[[#This Row],[Investor ID]])</f>
        <v>0</v>
      </c>
    </row>
    <row r="19" spans="1:23" ht="15" customHeight="1">
      <c r="A19" s="15">
        <v>2022</v>
      </c>
      <c r="B19" s="15">
        <v>8</v>
      </c>
      <c r="C19" s="15">
        <v>26</v>
      </c>
      <c r="D19" s="39">
        <f>IFERROR(DATE(SIP[[#This Row],[Year]],SIP[[#This Row],[Month]],SIP[[#This Row],[Day]]),0)</f>
        <v>44799</v>
      </c>
      <c r="E19" s="40" t="str" cm="1">
        <f t="array" ref="E19">IFERROR(INDEX(INVESTORS_LIST[INVESTOR NAME],MATCH(SIP[[#This Row],[Investor ID]],INVESTORS_LIST[INVESTOR CODE],0),)," ")</f>
        <v>MRIDUL KUMAR DEY</v>
      </c>
      <c r="F19" s="15" t="s">
        <v>27</v>
      </c>
      <c r="G19" s="15">
        <f>COUNTIFS(SIP[[#Headers],[Investor ID]]:SIP[[#This Row],[Investor ID]],SIP[[#This Row],[Investor ID]])</f>
        <v>5</v>
      </c>
      <c r="H19" s="15" t="str">
        <f>CONCATENATE(SIP[[#This Row],[Frequency]],SIP[[#This Row],[Investor ID]])</f>
        <v>5A00020</v>
      </c>
      <c r="I19" s="15" t="str">
        <f>IF(SIP[[#This Row],[B/S]]="B","BUY",(IF(SIP[[#This Row],[B/S]]="S","SELL"," ")))</f>
        <v>BUY</v>
      </c>
      <c r="J19" s="15" t="s">
        <v>301</v>
      </c>
      <c r="K19" s="38">
        <v>5000</v>
      </c>
      <c r="L19" s="38"/>
      <c r="M19" s="176">
        <f>IFERROR(SIP[[#This Row],[Amount]]/SIP[[#This Row],[Unit]],0)</f>
        <v>9.8231827111984291</v>
      </c>
      <c r="N19" s="42">
        <f>SIP[[#This Row],[Unit Capital]]/10</f>
        <v>509</v>
      </c>
      <c r="O19" s="50">
        <f>SUMIFS(SIP[[#Headers],[Unit]]:SIP[[#This Row],[Unit]],SIP[[#Headers],[Investor ID]]:SIP[[#This Row],[Investor ID]],SIP[[#This Row],[Investor ID]])</f>
        <v>2535</v>
      </c>
      <c r="P19" s="38">
        <v>5090</v>
      </c>
      <c r="Q19" s="41">
        <f>SIP[[#This Row],[Amount]]-SIP[[#This Row],[Unit Capital]]</f>
        <v>-90</v>
      </c>
      <c r="R19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9.8619329388560164</v>
      </c>
      <c r="S19" s="176">
        <f t="shared" si="3"/>
        <v>12.552</v>
      </c>
      <c r="T1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" s="43" cm="1">
        <f t="array" ref="U19">IF(SIP[[#This Row],[B/S]]="S",ABS(SIP[[#This Row],[Unit]])*(INDEX(SIP[NAV at Cost (Average)],MATCH(CONCATENATE((SIP[[#This Row],[Frequency]]-1),SIP[[#This Row],[Investor ID]]),SIP[Unique Code],0),0)),0)</f>
        <v>0</v>
      </c>
      <c r="V19" s="43">
        <f>IF(SIP[[#This Row],[BO Transfer]]="YES",SIP[[#This Row],[Unit]],)</f>
        <v>0</v>
      </c>
      <c r="W19" s="41">
        <f>SUMIFS(SIP[[#Headers],[BO UNIT TRANSFER]]:SIP[[#This Row],[BO UNIT TRANSFER]],SIP[[#Headers],[Investor ID]]:SIP[[#This Row],[Investor ID]],SIP[[#This Row],[Investor ID]])</f>
        <v>0</v>
      </c>
    </row>
    <row r="20" spans="1:23" ht="15" customHeight="1">
      <c r="A20" s="15">
        <v>2022</v>
      </c>
      <c r="B20" s="15">
        <v>9</v>
      </c>
      <c r="C20" s="15">
        <v>5</v>
      </c>
      <c r="D20" s="39">
        <f>IFERROR(DATE(SIP[[#This Row],[Year]],SIP[[#This Row],[Month]],SIP[[#This Row],[Day]]),0)</f>
        <v>44809</v>
      </c>
      <c r="E20" s="40" t="str" cm="1">
        <f t="array" ref="E20">IFERROR(INDEX(INVESTORS_LIST[INVESTOR NAME],MATCH(SIP[[#This Row],[Investor ID]],INVESTORS_LIST[INVESTOR CODE],0),)," ")</f>
        <v>AHMED ASIF</v>
      </c>
      <c r="F20" s="15" t="s">
        <v>943</v>
      </c>
      <c r="G20" s="15">
        <f>COUNTIFS(SIP[[#Headers],[Investor ID]]:SIP[[#This Row],[Investor ID]],SIP[[#This Row],[Investor ID]])</f>
        <v>3</v>
      </c>
      <c r="H20" s="15" t="str">
        <f>CONCATENATE(SIP[[#This Row],[Frequency]],SIP[[#This Row],[Investor ID]])</f>
        <v>3A00432</v>
      </c>
      <c r="I20" s="15" t="str">
        <f>IF(SIP[[#This Row],[B/S]]="B","BUY",(IF(SIP[[#This Row],[B/S]]="S","SELL"," ")))</f>
        <v>BUY</v>
      </c>
      <c r="J20" s="15" t="s">
        <v>301</v>
      </c>
      <c r="K20" s="38">
        <v>5000</v>
      </c>
      <c r="L20" s="38"/>
      <c r="M20" s="176">
        <f>IFERROR(SIP[[#This Row],[Amount]]/SIP[[#This Row],[Unit]],0)</f>
        <v>9.9206349206349209</v>
      </c>
      <c r="N20" s="42">
        <f>SIP[[#This Row],[Unit Capital]]/10</f>
        <v>504</v>
      </c>
      <c r="O20" s="50">
        <f>SUMIFS(SIP[[#Headers],[Unit]]:SIP[[#This Row],[Unit]],SIP[[#Headers],[Investor ID]]:SIP[[#This Row],[Investor ID]],SIP[[#This Row],[Investor ID]])</f>
        <v>1523</v>
      </c>
      <c r="P20" s="38">
        <v>5040</v>
      </c>
      <c r="Q20" s="41">
        <f>SIP[[#This Row],[Amount]]-SIP[[#This Row],[Unit Capital]]</f>
        <v>-40</v>
      </c>
      <c r="R20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9.8489822718319111</v>
      </c>
      <c r="S20" s="176">
        <f t="shared" si="3"/>
        <v>12.552</v>
      </c>
      <c r="T2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0" s="43" cm="1">
        <f t="array" ref="U20">IF(SIP[[#This Row],[B/S]]="S",ABS(SIP[[#This Row],[Unit]])*(INDEX(SIP[NAV at Cost (Average)],MATCH(CONCATENATE((SIP[[#This Row],[Frequency]]-1),SIP[[#This Row],[Investor ID]]),SIP[Unique Code],0),0)),0)</f>
        <v>0</v>
      </c>
      <c r="V20" s="43">
        <f>IF(SIP[[#This Row],[BO Transfer]]="YES",SIP[[#This Row],[Unit]],)</f>
        <v>0</v>
      </c>
      <c r="W20" s="41">
        <f>SUMIFS(SIP[[#Headers],[BO UNIT TRANSFER]]:SIP[[#This Row],[BO UNIT TRANSFER]],SIP[[#Headers],[Investor ID]]:SIP[[#This Row],[Investor ID]],SIP[[#This Row],[Investor ID]])</f>
        <v>0</v>
      </c>
    </row>
    <row r="21" spans="1:23" ht="15" customHeight="1">
      <c r="A21" s="15">
        <v>2022</v>
      </c>
      <c r="B21" s="15">
        <v>9</v>
      </c>
      <c r="C21" s="15">
        <v>27</v>
      </c>
      <c r="D21" s="39">
        <f>IFERROR(DATE(SIP[[#This Row],[Year]],SIP[[#This Row],[Month]],SIP[[#This Row],[Day]]),0)</f>
        <v>44831</v>
      </c>
      <c r="E21" s="40" t="str" cm="1">
        <f t="array" ref="E21">IFERROR(INDEX(INVESTORS_LIST[INVESTOR NAME],MATCH(SIP[[#This Row],[Investor ID]],INVESTORS_LIST[INVESTOR CODE],0),)," ")</f>
        <v>MAISHA MUSSARRAT</v>
      </c>
      <c r="F21" s="15" t="s">
        <v>920</v>
      </c>
      <c r="G21" s="15">
        <f>COUNTIFS(SIP[[#Headers],[Investor ID]]:SIP[[#This Row],[Investor ID]],SIP[[#This Row],[Investor ID]])</f>
        <v>4</v>
      </c>
      <c r="H21" s="15" t="str">
        <f>CONCATENATE(SIP[[#This Row],[Frequency]],SIP[[#This Row],[Investor ID]])</f>
        <v>4A00420</v>
      </c>
      <c r="I21" s="15" t="str">
        <f>IF(SIP[[#This Row],[B/S]]="B","BUY",(IF(SIP[[#This Row],[B/S]]="S","SELL"," ")))</f>
        <v>SELL</v>
      </c>
      <c r="J21" s="15" t="s">
        <v>866</v>
      </c>
      <c r="K21" s="38">
        <v>-19999.28</v>
      </c>
      <c r="L21" s="38"/>
      <c r="M21" s="176">
        <f>IFERROR(SIP[[#This Row],[Amount]]/SIP[[#This Row],[Unit]],0)</f>
        <v>9.94</v>
      </c>
      <c r="N21" s="42">
        <f>SIP[[#This Row],[Unit Capital]]/10</f>
        <v>-2012</v>
      </c>
      <c r="O21" s="50">
        <f>SUMIFS(SIP[[#Headers],[Unit]]:SIP[[#This Row],[Unit]],SIP[[#Headers],[Investor ID]]:SIP[[#This Row],[Investor ID]],SIP[[#This Row],[Investor ID]])</f>
        <v>3493</v>
      </c>
      <c r="P21" s="10">
        <v>-20120</v>
      </c>
      <c r="Q21" s="41">
        <f>SIP[[#This Row],[Amount]]-SIP[[#This Row],[Unit Capital]]</f>
        <v>120.72000000000116</v>
      </c>
      <c r="R21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9.8092643051771109</v>
      </c>
      <c r="S21" s="176">
        <f t="shared" si="3"/>
        <v>12.552</v>
      </c>
      <c r="T21" s="41">
        <f>IF(SIP[[#This Row],[B/S]]="B",0,ABS(SIP[[#This Row],[Unit]])*(SIP[[#This Row],[NAV (Strike Rate)]]-INDEX(SIP[NAV at Cost (Average)],MATCH(CONCATENATE(SIP[[#This Row],[Frequency]]-1,SIP[[#This Row],[Investor ID]]),SIP[Unique Code],0),)))</f>
        <v>263.04021798365187</v>
      </c>
      <c r="U21" s="43" cm="1">
        <f t="array" ref="U21">IF(SIP[[#This Row],[B/S]]="S",ABS(SIP[[#This Row],[Unit]])*(INDEX(SIP[NAV at Cost (Average)],MATCH(CONCATENATE((SIP[[#This Row],[Frequency]]-1),SIP[[#This Row],[Investor ID]]),SIP[Unique Code],0),0)),0)</f>
        <v>19736.239782016346</v>
      </c>
      <c r="V21" s="43">
        <f>IF(SIP[[#This Row],[BO Transfer]]="YES",SIP[[#This Row],[Unit]],)</f>
        <v>0</v>
      </c>
      <c r="W21" s="41">
        <f>SUMIFS(SIP[[#Headers],[BO UNIT TRANSFER]]:SIP[[#This Row],[BO UNIT TRANSFER]],SIP[[#Headers],[Investor ID]]:SIP[[#This Row],[Investor ID]],SIP[[#This Row],[Investor ID]])</f>
        <v>0</v>
      </c>
    </row>
    <row r="22" spans="1:23" ht="15" customHeight="1">
      <c r="A22" s="15">
        <v>2022</v>
      </c>
      <c r="B22" s="15">
        <v>9</v>
      </c>
      <c r="C22" s="15">
        <v>26</v>
      </c>
      <c r="D22" s="39">
        <f>IFERROR(DATE(SIP[[#This Row],[Year]],SIP[[#This Row],[Month]],SIP[[#This Row],[Day]]),0)</f>
        <v>44830</v>
      </c>
      <c r="E22" s="40" t="str" cm="1">
        <f t="array" ref="E22">IFERROR(INDEX(INVESTORS_LIST[INVESTOR NAME],MATCH(SIP[[#This Row],[Investor ID]],INVESTORS_LIST[INVESTOR CODE],0),)," ")</f>
        <v>MD MIZANUR RAHMAN</v>
      </c>
      <c r="F22" s="15" t="s">
        <v>177</v>
      </c>
      <c r="G22" s="15">
        <f>COUNTIFS(SIP[[#Headers],[Investor ID]]:SIP[[#This Row],[Investor ID]],SIP[[#This Row],[Investor ID]])</f>
        <v>4</v>
      </c>
      <c r="H22" s="15" t="str">
        <f>CONCATENATE(SIP[[#This Row],[Frequency]],SIP[[#This Row],[Investor ID]])</f>
        <v>4A00144</v>
      </c>
      <c r="I22" s="15" t="str">
        <f>IF(SIP[[#This Row],[B/S]]="B","BUY",(IF(SIP[[#This Row],[B/S]]="S","SELL"," ")))</f>
        <v>BUY</v>
      </c>
      <c r="J22" s="15" t="s">
        <v>301</v>
      </c>
      <c r="K22" s="38">
        <v>10000</v>
      </c>
      <c r="L22" s="38"/>
      <c r="M22" s="176">
        <f>IFERROR(SIP[[#This Row],[Amount]]/SIP[[#This Row],[Unit]],0)</f>
        <v>9.9206349206349209</v>
      </c>
      <c r="N22" s="42">
        <f>SIP[[#This Row],[Unit Capital]]/10</f>
        <v>1008</v>
      </c>
      <c r="O22" s="50">
        <f>SUMIFS(SIP[[#Headers],[Unit]]:SIP[[#This Row],[Unit]],SIP[[#Headers],[Investor ID]]:SIP[[#This Row],[Investor ID]],SIP[[#This Row],[Investor ID]])</f>
        <v>4066</v>
      </c>
      <c r="P22" s="38">
        <v>10080</v>
      </c>
      <c r="Q22" s="41">
        <f>SIP[[#This Row],[Amount]]-SIP[[#This Row],[Unit Capital]]</f>
        <v>-80</v>
      </c>
      <c r="R22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9.8376783079193331</v>
      </c>
      <c r="S22" s="176">
        <f t="shared" si="3"/>
        <v>12.552</v>
      </c>
      <c r="T2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2" s="43" cm="1">
        <f t="array" ref="U22">IF(SIP[[#This Row],[B/S]]="S",ABS(SIP[[#This Row],[Unit]])*(INDEX(SIP[NAV at Cost (Average)],MATCH(CONCATENATE((SIP[[#This Row],[Frequency]]-1),SIP[[#This Row],[Investor ID]]),SIP[Unique Code],0),0)),0)</f>
        <v>0</v>
      </c>
      <c r="V22" s="43">
        <f>IF(SIP[[#This Row],[BO Transfer]]="YES",SIP[[#This Row],[Unit]],)</f>
        <v>0</v>
      </c>
      <c r="W22" s="41">
        <f>SUMIFS(SIP[[#Headers],[BO UNIT TRANSFER]]:SIP[[#This Row],[BO UNIT TRANSFER]],SIP[[#Headers],[Investor ID]]:SIP[[#This Row],[Investor ID]],SIP[[#This Row],[Investor ID]])</f>
        <v>0</v>
      </c>
    </row>
    <row r="23" spans="1:23" ht="15" customHeight="1">
      <c r="A23" s="15">
        <v>2022</v>
      </c>
      <c r="B23" s="15">
        <v>9</v>
      </c>
      <c r="C23" s="15">
        <v>26</v>
      </c>
      <c r="D23" s="39">
        <f>IFERROR(DATE(SIP[[#This Row],[Year]],SIP[[#This Row],[Month]],SIP[[#This Row],[Day]]),0)</f>
        <v>44830</v>
      </c>
      <c r="E23" s="40" t="str" cm="1">
        <f t="array" ref="E23">IFERROR(INDEX(INVESTORS_LIST[INVESTOR NAME],MATCH(SIP[[#This Row],[Investor ID]],INVESTORS_LIST[INVESTOR CODE],0),)," ")</f>
        <v>MAISHA MUSSARRAT</v>
      </c>
      <c r="F23" s="15" t="s">
        <v>920</v>
      </c>
      <c r="G23" s="15">
        <f>COUNTIFS(SIP[[#Headers],[Investor ID]]:SIP[[#This Row],[Investor ID]],SIP[[#This Row],[Investor ID]])</f>
        <v>5</v>
      </c>
      <c r="H23" s="15" t="str">
        <f>CONCATENATE(SIP[[#This Row],[Frequency]],SIP[[#This Row],[Investor ID]])</f>
        <v>5A00420</v>
      </c>
      <c r="I23" s="15" t="str">
        <f>IF(SIP[[#This Row],[B/S]]="B","BUY",(IF(SIP[[#This Row],[B/S]]="S","SELL"," ")))</f>
        <v>BUY</v>
      </c>
      <c r="J23" s="15" t="s">
        <v>301</v>
      </c>
      <c r="K23" s="38">
        <v>18000</v>
      </c>
      <c r="L23" s="38"/>
      <c r="M23" s="176">
        <f>IFERROR(SIP[[#This Row],[Amount]]/SIP[[#This Row],[Unit]],0)</f>
        <v>9.9173553719008272</v>
      </c>
      <c r="N23" s="42">
        <f>SIP[[#This Row],[Unit Capital]]/10</f>
        <v>1815</v>
      </c>
      <c r="O23" s="50">
        <f>SUMIFS(SIP[[#Headers],[Unit]]:SIP[[#This Row],[Unit]],SIP[[#Headers],[Investor ID]]:SIP[[#This Row],[Investor ID]],SIP[[#This Row],[Investor ID]])</f>
        <v>5308</v>
      </c>
      <c r="P23" s="38">
        <v>18150</v>
      </c>
      <c r="Q23" s="41">
        <f>SIP[[#This Row],[Amount]]-SIP[[#This Row],[Unit Capital]]</f>
        <v>-150</v>
      </c>
      <c r="R23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9.8462246077587885</v>
      </c>
      <c r="S23" s="176">
        <f t="shared" si="3"/>
        <v>12.552</v>
      </c>
      <c r="T2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3" s="43" cm="1">
        <f t="array" ref="U23">IF(SIP[[#This Row],[B/S]]="S",ABS(SIP[[#This Row],[Unit]])*(INDEX(SIP[NAV at Cost (Average)],MATCH(CONCATENATE((SIP[[#This Row],[Frequency]]-1),SIP[[#This Row],[Investor ID]]),SIP[Unique Code],0),0)),0)</f>
        <v>0</v>
      </c>
      <c r="V23" s="43">
        <f>IF(SIP[[#This Row],[BO Transfer]]="YES",SIP[[#This Row],[Unit]],)</f>
        <v>0</v>
      </c>
      <c r="W23" s="41">
        <f>SUMIFS(SIP[[#Headers],[BO UNIT TRANSFER]]:SIP[[#This Row],[BO UNIT TRANSFER]],SIP[[#Headers],[Investor ID]]:SIP[[#This Row],[Investor ID]],SIP[[#This Row],[Investor ID]])</f>
        <v>0</v>
      </c>
    </row>
    <row r="24" spans="1:23" ht="15" customHeight="1">
      <c r="A24" s="15">
        <v>2022</v>
      </c>
      <c r="B24" s="15">
        <v>9</v>
      </c>
      <c r="C24" s="15">
        <v>26</v>
      </c>
      <c r="D24" s="39">
        <f>IFERROR(DATE(SIP[[#This Row],[Year]],SIP[[#This Row],[Month]],SIP[[#This Row],[Day]]),0)</f>
        <v>44830</v>
      </c>
      <c r="E24" s="40" t="str" cm="1">
        <f t="array" ref="E24">IFERROR(INDEX(INVESTORS_LIST[INVESTOR NAME],MATCH(SIP[[#This Row],[Investor ID]],INVESTORS_LIST[INVESTOR CODE],0),)," ")</f>
        <v>MRIDUL KUMAR DEY</v>
      </c>
      <c r="F24" s="15" t="s">
        <v>27</v>
      </c>
      <c r="G24" s="15">
        <f>COUNTIFS(SIP[[#Headers],[Investor ID]]:SIP[[#This Row],[Investor ID]],SIP[[#This Row],[Investor ID]])</f>
        <v>6</v>
      </c>
      <c r="H24" s="15" t="str">
        <f>CONCATENATE(SIP[[#This Row],[Frequency]],SIP[[#This Row],[Investor ID]])</f>
        <v>6A00020</v>
      </c>
      <c r="I24" s="15" t="str">
        <f>IF(SIP[[#This Row],[B/S]]="B","BUY",(IF(SIP[[#This Row],[B/S]]="S","SELL"," ")))</f>
        <v>BUY</v>
      </c>
      <c r="J24" s="15" t="s">
        <v>301</v>
      </c>
      <c r="K24" s="38">
        <v>5000</v>
      </c>
      <c r="L24" s="38"/>
      <c r="M24" s="176">
        <f>IFERROR(SIP[[#This Row],[Amount]]/SIP[[#This Row],[Unit]],0)</f>
        <v>9.9206349206349209</v>
      </c>
      <c r="N24" s="42">
        <f>SIP[[#This Row],[Unit Capital]]/10</f>
        <v>504</v>
      </c>
      <c r="O24" s="50">
        <f>SUMIFS(SIP[[#Headers],[Unit]]:SIP[[#This Row],[Unit]],SIP[[#Headers],[Investor ID]]:SIP[[#This Row],[Investor ID]],SIP[[#This Row],[Investor ID]])</f>
        <v>3039</v>
      </c>
      <c r="P24" s="38">
        <v>5040</v>
      </c>
      <c r="Q24" s="41">
        <f>SIP[[#This Row],[Amount]]-SIP[[#This Row],[Unit Capital]]</f>
        <v>-40</v>
      </c>
      <c r="R24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9.8716683119447186</v>
      </c>
      <c r="S24" s="176">
        <f t="shared" si="3"/>
        <v>12.552</v>
      </c>
      <c r="T2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4" s="43" cm="1">
        <f t="array" ref="U24">IF(SIP[[#This Row],[B/S]]="S",ABS(SIP[[#This Row],[Unit]])*(INDEX(SIP[NAV at Cost (Average)],MATCH(CONCATENATE((SIP[[#This Row],[Frequency]]-1),SIP[[#This Row],[Investor ID]]),SIP[Unique Code],0),0)),0)</f>
        <v>0</v>
      </c>
      <c r="V24" s="43">
        <f>IF(SIP[[#This Row],[BO Transfer]]="YES",SIP[[#This Row],[Unit]],)</f>
        <v>0</v>
      </c>
      <c r="W24" s="41">
        <f>SUMIFS(SIP[[#Headers],[BO UNIT TRANSFER]]:SIP[[#This Row],[BO UNIT TRANSFER]],SIP[[#Headers],[Investor ID]]:SIP[[#This Row],[Investor ID]],SIP[[#This Row],[Investor ID]])</f>
        <v>0</v>
      </c>
    </row>
    <row r="25" spans="1:23" ht="15" customHeight="1">
      <c r="A25" s="15">
        <v>2022</v>
      </c>
      <c r="B25" s="15">
        <v>10</v>
      </c>
      <c r="C25" s="15">
        <v>10</v>
      </c>
      <c r="D25" s="39">
        <f>IFERROR(DATE(SIP[[#This Row],[Year]],SIP[[#This Row],[Month]],SIP[[#This Row],[Day]]),0)</f>
        <v>44844</v>
      </c>
      <c r="E25" s="40" t="str" cm="1">
        <f t="array" ref="E25">IFERROR(INDEX(INVESTORS_LIST[INVESTOR NAME],MATCH(SIP[[#This Row],[Investor ID]],INVESTORS_LIST[INVESTOR CODE],0),)," ")</f>
        <v>AHMED ASIF</v>
      </c>
      <c r="F25" s="15" t="s">
        <v>943</v>
      </c>
      <c r="G25" s="15">
        <f>COUNTIFS(SIP[[#Headers],[Investor ID]]:SIP[[#This Row],[Investor ID]],SIP[[#This Row],[Investor ID]])</f>
        <v>4</v>
      </c>
      <c r="H25" s="15" t="str">
        <f>CONCATENATE(SIP[[#This Row],[Frequency]],SIP[[#This Row],[Investor ID]])</f>
        <v>4A00432</v>
      </c>
      <c r="I25" s="15" t="str">
        <f>IF(SIP[[#This Row],[B/S]]="B","BUY",(IF(SIP[[#This Row],[B/S]]="S","SELL"," ")))</f>
        <v>BUY</v>
      </c>
      <c r="J25" s="15" t="s">
        <v>301</v>
      </c>
      <c r="K25" s="38">
        <v>5000</v>
      </c>
      <c r="L25" s="38"/>
      <c r="M25" s="176">
        <f>IFERROR(SIP[[#This Row],[Amount]]/SIP[[#This Row],[Unit]],0)</f>
        <v>9.9009900990099009</v>
      </c>
      <c r="N25" s="42">
        <f>SIP[[#This Row],[Unit Capital]]/10</f>
        <v>505</v>
      </c>
      <c r="O25" s="50">
        <f>SUMIFS(SIP[[#Headers],[Unit]]:SIP[[#This Row],[Unit]],SIP[[#Headers],[Investor ID]]:SIP[[#This Row],[Investor ID]],SIP[[#This Row],[Investor ID]])</f>
        <v>2028</v>
      </c>
      <c r="P25" s="38">
        <v>5050</v>
      </c>
      <c r="Q25" s="41">
        <f>SIP[[#This Row],[Amount]]-SIP[[#This Row],[Unit Capital]]</f>
        <v>-50</v>
      </c>
      <c r="R25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9.8619329388560146</v>
      </c>
      <c r="S25" s="176">
        <f t="shared" ref="S25:S30" si="4">NAV_MKT</f>
        <v>12.552</v>
      </c>
      <c r="T2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5" s="43" cm="1">
        <f t="array" ref="U25">IF(SIP[[#This Row],[B/S]]="S",ABS(SIP[[#This Row],[Unit]])*(INDEX(SIP[NAV at Cost (Average)],MATCH(CONCATENATE((SIP[[#This Row],[Frequency]]-1),SIP[[#This Row],[Investor ID]]),SIP[Unique Code],0),0)),0)</f>
        <v>0</v>
      </c>
      <c r="V25" s="43">
        <f>IF(SIP[[#This Row],[BO Transfer]]="YES",SIP[[#This Row],[Unit]],)</f>
        <v>0</v>
      </c>
      <c r="W25" s="41">
        <f>SUMIFS(SIP[[#Headers],[BO UNIT TRANSFER]]:SIP[[#This Row],[BO UNIT TRANSFER]],SIP[[#Headers],[Investor ID]]:SIP[[#This Row],[Investor ID]],SIP[[#This Row],[Investor ID]])</f>
        <v>0</v>
      </c>
    </row>
    <row r="26" spans="1:23" ht="15" customHeight="1">
      <c r="A26" s="15">
        <v>2022</v>
      </c>
      <c r="B26" s="15">
        <v>10</v>
      </c>
      <c r="C26" s="15">
        <v>26</v>
      </c>
      <c r="D26" s="39">
        <f>IFERROR(DATE(SIP[[#This Row],[Year]],SIP[[#This Row],[Month]],SIP[[#This Row],[Day]]),0)</f>
        <v>44860</v>
      </c>
      <c r="E26" s="40" t="str" cm="1">
        <f t="array" ref="E26">IFERROR(INDEX(INVESTORS_LIST[INVESTOR NAME],MATCH(SIP[[#This Row],[Investor ID]],INVESTORS_LIST[INVESTOR CODE],0),)," ")</f>
        <v>MD MIZANUR RAHMAN</v>
      </c>
      <c r="F26" s="15" t="s">
        <v>177</v>
      </c>
      <c r="G26" s="15">
        <f>COUNTIFS(SIP[[#Headers],[Investor ID]]:SIP[[#This Row],[Investor ID]],SIP[[#This Row],[Investor ID]])</f>
        <v>5</v>
      </c>
      <c r="H26" s="15" t="str">
        <f>CONCATENATE(SIP[[#This Row],[Frequency]],SIP[[#This Row],[Investor ID]])</f>
        <v>5A00144</v>
      </c>
      <c r="I26" s="15" t="str">
        <f>IF(SIP[[#This Row],[B/S]]="B","BUY",(IF(SIP[[#This Row],[B/S]]="S","SELL"," ")))</f>
        <v>BUY</v>
      </c>
      <c r="J26" s="15" t="s">
        <v>301</v>
      </c>
      <c r="K26" s="38">
        <v>10000</v>
      </c>
      <c r="L26" s="38"/>
      <c r="M26" s="176">
        <f>IFERROR(SIP[[#This Row],[Amount]]/SIP[[#This Row],[Unit]],0)</f>
        <v>9.9009900990099009</v>
      </c>
      <c r="N26" s="42">
        <f>SIP[[#This Row],[Unit Capital]]/10</f>
        <v>1010</v>
      </c>
      <c r="O26" s="50">
        <f>SUMIFS(SIP[[#Headers],[Unit]]:SIP[[#This Row],[Unit]],SIP[[#Headers],[Investor ID]]:SIP[[#This Row],[Investor ID]],SIP[[#This Row],[Investor ID]])</f>
        <v>5076</v>
      </c>
      <c r="P26" s="38">
        <v>10100</v>
      </c>
      <c r="Q26" s="41">
        <f>SIP[[#This Row],[Amount]]-SIP[[#This Row],[Unit Capital]]</f>
        <v>-100</v>
      </c>
      <c r="R26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9.8502758077226176</v>
      </c>
      <c r="S26" s="176">
        <f t="shared" si="4"/>
        <v>12.552</v>
      </c>
      <c r="T2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6" s="43" cm="1">
        <f t="array" ref="U26">IF(SIP[[#This Row],[B/S]]="S",ABS(SIP[[#This Row],[Unit]])*(INDEX(SIP[NAV at Cost (Average)],MATCH(CONCATENATE((SIP[[#This Row],[Frequency]]-1),SIP[[#This Row],[Investor ID]]),SIP[Unique Code],0),0)),0)</f>
        <v>0</v>
      </c>
      <c r="V26" s="43">
        <f>IF(SIP[[#This Row],[BO Transfer]]="YES",SIP[[#This Row],[Unit]],)</f>
        <v>0</v>
      </c>
      <c r="W26" s="41">
        <f>SUMIFS(SIP[[#Headers],[BO UNIT TRANSFER]]:SIP[[#This Row],[BO UNIT TRANSFER]],SIP[[#Headers],[Investor ID]]:SIP[[#This Row],[Investor ID]],SIP[[#This Row],[Investor ID]])</f>
        <v>0</v>
      </c>
    </row>
    <row r="27" spans="1:23" ht="15" customHeight="1">
      <c r="A27" s="15">
        <v>2022</v>
      </c>
      <c r="B27" s="15">
        <v>10</v>
      </c>
      <c r="C27" s="15">
        <v>26</v>
      </c>
      <c r="D27" s="39">
        <f>IFERROR(DATE(SIP[[#This Row],[Year]],SIP[[#This Row],[Month]],SIP[[#This Row],[Day]]),0)</f>
        <v>44860</v>
      </c>
      <c r="E27" s="40" t="str" cm="1">
        <f t="array" ref="E27">IFERROR(INDEX(INVESTORS_LIST[INVESTOR NAME],MATCH(SIP[[#This Row],[Investor ID]],INVESTORS_LIST[INVESTOR CODE],0),)," ")</f>
        <v>MAISHA MUSSARRAT</v>
      </c>
      <c r="F27" s="15" t="s">
        <v>920</v>
      </c>
      <c r="G27" s="15">
        <f>COUNTIFS(SIP[[#Headers],[Investor ID]]:SIP[[#This Row],[Investor ID]],SIP[[#This Row],[Investor ID]])</f>
        <v>6</v>
      </c>
      <c r="H27" s="15" t="str">
        <f>CONCATENATE(SIP[[#This Row],[Frequency]],SIP[[#This Row],[Investor ID]])</f>
        <v>6A00420</v>
      </c>
      <c r="I27" s="15" t="str">
        <f>IF(SIP[[#This Row],[B/S]]="B","BUY",(IF(SIP[[#This Row],[B/S]]="S","SELL"," ")))</f>
        <v>BUY</v>
      </c>
      <c r="J27" s="15" t="s">
        <v>301</v>
      </c>
      <c r="K27" s="38">
        <v>18000</v>
      </c>
      <c r="L27" s="38"/>
      <c r="M27" s="176">
        <f>IFERROR(SIP[[#This Row],[Amount]]/SIP[[#This Row],[Unit]],0)</f>
        <v>9.9009900990099009</v>
      </c>
      <c r="N27" s="42">
        <f>SIP[[#This Row],[Unit Capital]]/10</f>
        <v>1818</v>
      </c>
      <c r="O27" s="50">
        <f>SUMIFS(SIP[[#Headers],[Unit]]:SIP[[#This Row],[Unit]],SIP[[#Headers],[Investor ID]]:SIP[[#This Row],[Investor ID]],SIP[[#This Row],[Investor ID]])</f>
        <v>7126</v>
      </c>
      <c r="P27" s="38">
        <v>18180</v>
      </c>
      <c r="Q27" s="41">
        <f>SIP[[#This Row],[Amount]]-SIP[[#This Row],[Unit Capital]]</f>
        <v>-180</v>
      </c>
      <c r="R27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9.8601964942441267</v>
      </c>
      <c r="S27" s="176">
        <f t="shared" si="4"/>
        <v>12.552</v>
      </c>
      <c r="T2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7" s="43" cm="1">
        <f t="array" ref="U27">IF(SIP[[#This Row],[B/S]]="S",ABS(SIP[[#This Row],[Unit]])*(INDEX(SIP[NAV at Cost (Average)],MATCH(CONCATENATE((SIP[[#This Row],[Frequency]]-1),SIP[[#This Row],[Investor ID]]),SIP[Unique Code],0),0)),0)</f>
        <v>0</v>
      </c>
      <c r="V27" s="43">
        <f>IF(SIP[[#This Row],[BO Transfer]]="YES",SIP[[#This Row],[Unit]],)</f>
        <v>0</v>
      </c>
      <c r="W27" s="41">
        <f>SUMIFS(SIP[[#Headers],[BO UNIT TRANSFER]]:SIP[[#This Row],[BO UNIT TRANSFER]],SIP[[#Headers],[Investor ID]]:SIP[[#This Row],[Investor ID]],SIP[[#This Row],[Investor ID]])</f>
        <v>0</v>
      </c>
    </row>
    <row r="28" spans="1:23" ht="15" customHeight="1">
      <c r="A28" s="15">
        <v>2022</v>
      </c>
      <c r="B28" s="15">
        <v>10</v>
      </c>
      <c r="C28" s="15">
        <v>26</v>
      </c>
      <c r="D28" s="39">
        <f>IFERROR(DATE(SIP[[#This Row],[Year]],SIP[[#This Row],[Month]],SIP[[#This Row],[Day]]),0)</f>
        <v>44860</v>
      </c>
      <c r="E28" s="40" t="str" cm="1">
        <f t="array" ref="E28">IFERROR(INDEX(INVESTORS_LIST[INVESTOR NAME],MATCH(SIP[[#This Row],[Investor ID]],INVESTORS_LIST[INVESTOR CODE],0),)," ")</f>
        <v>MRIDUL KUMAR DEY</v>
      </c>
      <c r="F28" s="15" t="s">
        <v>27</v>
      </c>
      <c r="G28" s="15">
        <f>COUNTIFS(SIP[[#Headers],[Investor ID]]:SIP[[#This Row],[Investor ID]],SIP[[#This Row],[Investor ID]])</f>
        <v>7</v>
      </c>
      <c r="H28" s="15" t="str">
        <f>CONCATENATE(SIP[[#This Row],[Frequency]],SIP[[#This Row],[Investor ID]])</f>
        <v>7A00020</v>
      </c>
      <c r="I28" s="15" t="str">
        <f>IF(SIP[[#This Row],[B/S]]="B","BUY",(IF(SIP[[#This Row],[B/S]]="S","SELL"," ")))</f>
        <v>BUY</v>
      </c>
      <c r="J28" s="15" t="s">
        <v>301</v>
      </c>
      <c r="K28" s="38">
        <v>5000</v>
      </c>
      <c r="L28" s="38"/>
      <c r="M28" s="176">
        <f>IFERROR(SIP[[#This Row],[Amount]]/SIP[[#This Row],[Unit]],0)</f>
        <v>9.9009900990099009</v>
      </c>
      <c r="N28" s="42">
        <f>SIP[[#This Row],[Unit Capital]]/10</f>
        <v>505</v>
      </c>
      <c r="O28" s="50">
        <f>SUMIFS(SIP[[#Headers],[Unit]]:SIP[[#This Row],[Unit]],SIP[[#Headers],[Investor ID]]:SIP[[#This Row],[Investor ID]],SIP[[#This Row],[Investor ID]])</f>
        <v>3544</v>
      </c>
      <c r="P28" s="38">
        <v>5050</v>
      </c>
      <c r="Q28" s="41">
        <f>SIP[[#This Row],[Amount]]-SIP[[#This Row],[Unit Capital]]</f>
        <v>-50</v>
      </c>
      <c r="R28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9.8758465011286685</v>
      </c>
      <c r="S28" s="176">
        <f t="shared" si="4"/>
        <v>12.552</v>
      </c>
      <c r="T2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28" s="43" cm="1">
        <f t="array" ref="U28">IF(SIP[[#This Row],[B/S]]="S",ABS(SIP[[#This Row],[Unit]])*(INDEX(SIP[NAV at Cost (Average)],MATCH(CONCATENATE((SIP[[#This Row],[Frequency]]-1),SIP[[#This Row],[Investor ID]]),SIP[Unique Code],0),0)),0)</f>
        <v>0</v>
      </c>
      <c r="V28" s="43">
        <f>IF(SIP[[#This Row],[BO Transfer]]="YES",SIP[[#This Row],[Unit]],)</f>
        <v>0</v>
      </c>
      <c r="W28" s="41">
        <f>SUMIFS(SIP[[#Headers],[BO UNIT TRANSFER]]:SIP[[#This Row],[BO UNIT TRANSFER]],SIP[[#Headers],[Investor ID]]:SIP[[#This Row],[Investor ID]],SIP[[#This Row],[Investor ID]])</f>
        <v>0</v>
      </c>
    </row>
    <row r="29" spans="1:23" ht="15" customHeight="1">
      <c r="A29" s="15">
        <v>2022</v>
      </c>
      <c r="B29" s="15">
        <v>11</v>
      </c>
      <c r="C29" s="15">
        <v>6</v>
      </c>
      <c r="D29" s="39">
        <f>IFERROR(DATE(SIP[[#This Row],[Year]],SIP[[#This Row],[Month]],SIP[[#This Row],[Day]]),0)</f>
        <v>44871</v>
      </c>
      <c r="E29" s="40" t="str" cm="1">
        <f t="array" ref="E29">IFERROR(INDEX(INVESTORS_LIST[INVESTOR NAME],MATCH(SIP[[#This Row],[Investor ID]],INVESTORS_LIST[INVESTOR CODE],0),)," ")</f>
        <v>MAISHA MUSSARRAT</v>
      </c>
      <c r="F29" s="15" t="s">
        <v>920</v>
      </c>
      <c r="G29" s="15">
        <f>COUNTIFS(SIP[[#Headers],[Investor ID]]:SIP[[#This Row],[Investor ID]],SIP[[#This Row],[Investor ID]])</f>
        <v>7</v>
      </c>
      <c r="H29" s="15" t="str">
        <f>CONCATENATE(SIP[[#This Row],[Frequency]],SIP[[#This Row],[Investor ID]])</f>
        <v>7A00420</v>
      </c>
      <c r="I29" s="15" t="str">
        <f>IF(SIP[[#This Row],[B/S]]="B","BUY",(IF(SIP[[#This Row],[B/S]]="S","SELL"," ")))</f>
        <v>SELL</v>
      </c>
      <c r="J29" s="15" t="s">
        <v>866</v>
      </c>
      <c r="K29" s="38">
        <v>-20000</v>
      </c>
      <c r="L29" s="38"/>
      <c r="M29" s="176">
        <f>IFERROR(SIP[[#This Row],[Amount]]/SIP[[#This Row],[Unit]],0)</f>
        <v>9.9009900990099009</v>
      </c>
      <c r="N29" s="42">
        <f>SIP[[#This Row],[Unit Capital]]/10</f>
        <v>-2020</v>
      </c>
      <c r="O29" s="50">
        <f>SUMIFS(SIP[[#Headers],[Unit]]:SIP[[#This Row],[Unit]],SIP[[#Headers],[Investor ID]]:SIP[[#This Row],[Investor ID]],SIP[[#This Row],[Investor ID]])</f>
        <v>5106</v>
      </c>
      <c r="P29" s="38">
        <v>-20200</v>
      </c>
      <c r="Q29" s="41">
        <f>SIP[[#This Row],[Amount]]-SIP[[#This Row],[Unit Capital]]</f>
        <v>200</v>
      </c>
      <c r="R29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9.8601964942441267</v>
      </c>
      <c r="S29" s="176">
        <f t="shared" si="4"/>
        <v>12.552</v>
      </c>
      <c r="T29" s="41">
        <f>IF(SIP[[#This Row],[B/S]]="B",0,ABS(SIP[[#This Row],[Unit]])*(SIP[[#This Row],[NAV (Strike Rate)]]-INDEX(SIP[NAV at Cost (Average)],MATCH(CONCATENATE(SIP[[#This Row],[Frequency]]-1,SIP[[#This Row],[Investor ID]]),SIP[Unique Code],0),)))</f>
        <v>82.403081626863894</v>
      </c>
      <c r="U29" s="43" cm="1">
        <f t="array" ref="U29">IF(SIP[[#This Row],[B/S]]="S",ABS(SIP[[#This Row],[Unit]])*(INDEX(SIP[NAV at Cost (Average)],MATCH(CONCATENATE((SIP[[#This Row],[Frequency]]-1),SIP[[#This Row],[Investor ID]]),SIP[Unique Code],0),0)),0)</f>
        <v>19917.596918373136</v>
      </c>
      <c r="V29" s="43">
        <f>IF(SIP[[#This Row],[BO Transfer]]="YES",SIP[[#This Row],[Unit]],)</f>
        <v>0</v>
      </c>
      <c r="W29" s="41">
        <f>SUMIFS(SIP[[#Headers],[BO UNIT TRANSFER]]:SIP[[#This Row],[BO UNIT TRANSFER]],SIP[[#Headers],[Investor ID]]:SIP[[#This Row],[Investor ID]],SIP[[#This Row],[Investor ID]])</f>
        <v>0</v>
      </c>
    </row>
    <row r="30" spans="1:23" ht="15" customHeight="1">
      <c r="A30" s="15">
        <v>2022</v>
      </c>
      <c r="B30" s="15">
        <v>11</v>
      </c>
      <c r="C30" s="15">
        <v>5</v>
      </c>
      <c r="D30" s="39">
        <f>IFERROR(DATE(SIP[[#This Row],[Year]],SIP[[#This Row],[Month]],SIP[[#This Row],[Day]]),0)</f>
        <v>44870</v>
      </c>
      <c r="E30" s="40" t="str" cm="1">
        <f t="array" ref="E30">IFERROR(INDEX(INVESTORS_LIST[INVESTOR NAME],MATCH(SIP[[#This Row],[Investor ID]],INVESTORS_LIST[INVESTOR CODE],0),)," ")</f>
        <v>AHMED ASIF</v>
      </c>
      <c r="F30" s="15" t="s">
        <v>943</v>
      </c>
      <c r="G30" s="15">
        <f>COUNTIFS(SIP[[#Headers],[Investor ID]]:SIP[[#This Row],[Investor ID]],SIP[[#This Row],[Investor ID]])</f>
        <v>5</v>
      </c>
      <c r="H30" s="15" t="str">
        <f>CONCATENATE(SIP[[#This Row],[Frequency]],SIP[[#This Row],[Investor ID]])</f>
        <v>5A00432</v>
      </c>
      <c r="I30" s="15" t="str">
        <f>IF(SIP[[#This Row],[B/S]]="B","BUY",(IF(SIP[[#This Row],[B/S]]="S","SELL"," ")))</f>
        <v>BUY</v>
      </c>
      <c r="J30" s="15" t="s">
        <v>301</v>
      </c>
      <c r="K30" s="38">
        <v>5000</v>
      </c>
      <c r="L30" s="38"/>
      <c r="M30" s="176">
        <f>IFERROR(SIP[[#This Row],[Amount]]/SIP[[#This Row],[Unit]],0)</f>
        <v>9.9009900990099009</v>
      </c>
      <c r="N30" s="42">
        <f>SIP[[#This Row],[Unit Capital]]/10</f>
        <v>505</v>
      </c>
      <c r="O30" s="50">
        <f>SUMIFS(SIP[[#Headers],[Unit]]:SIP[[#This Row],[Unit]],SIP[[#Headers],[Investor ID]]:SIP[[#This Row],[Investor ID]],SIP[[#This Row],[Investor ID]])</f>
        <v>2533</v>
      </c>
      <c r="P30" s="38">
        <v>5050</v>
      </c>
      <c r="Q30" s="41">
        <f>SIP[[#This Row],[Amount]]-SIP[[#This Row],[Unit Capital]]</f>
        <v>-50</v>
      </c>
      <c r="R30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9.8697196999605215</v>
      </c>
      <c r="S30" s="176">
        <f t="shared" si="4"/>
        <v>12.552</v>
      </c>
      <c r="T3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0" s="43" cm="1">
        <f t="array" ref="U30">IF(SIP[[#This Row],[B/S]]="S",ABS(SIP[[#This Row],[Unit]])*(INDEX(SIP[NAV at Cost (Average)],MATCH(CONCATENATE((SIP[[#This Row],[Frequency]]-1),SIP[[#This Row],[Investor ID]]),SIP[Unique Code],0),0)),0)</f>
        <v>0</v>
      </c>
      <c r="V30" s="43">
        <f>IF(SIP[[#This Row],[BO Transfer]]="YES",SIP[[#This Row],[Unit]],)</f>
        <v>0</v>
      </c>
      <c r="W30" s="41">
        <f>SUMIFS(SIP[[#Headers],[BO UNIT TRANSFER]]:SIP[[#This Row],[BO UNIT TRANSFER]],SIP[[#Headers],[Investor ID]]:SIP[[#This Row],[Investor ID]],SIP[[#This Row],[Investor ID]])</f>
        <v>0</v>
      </c>
    </row>
    <row r="31" spans="1:23" ht="15" customHeight="1">
      <c r="A31" s="15">
        <v>2022</v>
      </c>
      <c r="B31" s="15">
        <v>11</v>
      </c>
      <c r="C31" s="15">
        <v>28</v>
      </c>
      <c r="D31" s="39">
        <f>IFERROR(DATE(SIP[[#This Row],[Year]],SIP[[#This Row],[Month]],SIP[[#This Row],[Day]]),0)</f>
        <v>44893</v>
      </c>
      <c r="E31" s="40" t="str" cm="1">
        <f t="array" ref="E31">IFERROR(INDEX(INVESTORS_LIST[INVESTOR NAME],MATCH(SIP[[#This Row],[Investor ID]],INVESTORS_LIST[INVESTOR CODE],0),)," ")</f>
        <v>MD MIZANUR RAHMAN</v>
      </c>
      <c r="F31" s="15" t="s">
        <v>177</v>
      </c>
      <c r="G31" s="15">
        <f>COUNTIFS(SIP[[#Headers],[Investor ID]]:SIP[[#This Row],[Investor ID]],SIP[[#This Row],[Investor ID]])</f>
        <v>6</v>
      </c>
      <c r="H31" s="15" t="str">
        <f>CONCATENATE(SIP[[#This Row],[Frequency]],SIP[[#This Row],[Investor ID]])</f>
        <v>6A00144</v>
      </c>
      <c r="I31" s="15" t="str">
        <f>IF(SIP[[#This Row],[B/S]]="B","BUY",(IF(SIP[[#This Row],[B/S]]="S","SELL"," ")))</f>
        <v>BUY</v>
      </c>
      <c r="J31" s="15" t="s">
        <v>301</v>
      </c>
      <c r="K31" s="38">
        <v>10000</v>
      </c>
      <c r="L31" s="38"/>
      <c r="M31" s="176">
        <f>IFERROR(SIP[[#This Row],[Amount]]/SIP[[#This Row],[Unit]],0)</f>
        <v>9.9601593625498008</v>
      </c>
      <c r="N31" s="42">
        <f>SIP[[#This Row],[Unit Capital]]/10</f>
        <v>1004</v>
      </c>
      <c r="O31" s="50">
        <f>SUMIFS(SIP[[#Headers],[Unit]]:SIP[[#This Row],[Unit]],SIP[[#Headers],[Investor ID]]:SIP[[#This Row],[Investor ID]],SIP[[#This Row],[Investor ID]])</f>
        <v>6080</v>
      </c>
      <c r="P31" s="38">
        <v>10040</v>
      </c>
      <c r="Q31" s="41">
        <f>SIP[[#This Row],[Amount]]-SIP[[#This Row],[Unit Capital]]</f>
        <v>-40</v>
      </c>
      <c r="R31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9.8684210526315805</v>
      </c>
      <c r="S31" s="176">
        <f t="shared" ref="S31:S36" si="5">NAV_MKT</f>
        <v>12.552</v>
      </c>
      <c r="T3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1" s="43" cm="1">
        <f t="array" ref="U31">IF(SIP[[#This Row],[B/S]]="S",ABS(SIP[[#This Row],[Unit]])*(INDEX(SIP[NAV at Cost (Average)],MATCH(CONCATENATE((SIP[[#This Row],[Frequency]]-1),SIP[[#This Row],[Investor ID]]),SIP[Unique Code],0),0)),0)</f>
        <v>0</v>
      </c>
      <c r="V31" s="43">
        <f>IF(SIP[[#This Row],[BO Transfer]]="YES",SIP[[#This Row],[Unit]],)</f>
        <v>0</v>
      </c>
      <c r="W31" s="41">
        <f>SUMIFS(SIP[[#Headers],[BO UNIT TRANSFER]]:SIP[[#This Row],[BO UNIT TRANSFER]],SIP[[#Headers],[Investor ID]]:SIP[[#This Row],[Investor ID]],SIP[[#This Row],[Investor ID]])</f>
        <v>0</v>
      </c>
    </row>
    <row r="32" spans="1:23" ht="15" customHeight="1">
      <c r="A32" s="15">
        <v>2022</v>
      </c>
      <c r="B32" s="15">
        <v>11</v>
      </c>
      <c r="C32" s="15">
        <v>28</v>
      </c>
      <c r="D32" s="39">
        <f>IFERROR(DATE(SIP[[#This Row],[Year]],SIP[[#This Row],[Month]],SIP[[#This Row],[Day]]),0)</f>
        <v>44893</v>
      </c>
      <c r="E32" s="40" t="str" cm="1">
        <f t="array" ref="E32">IFERROR(INDEX(INVESTORS_LIST[INVESTOR NAME],MATCH(SIP[[#This Row],[Investor ID]],INVESTORS_LIST[INVESTOR CODE],0),)," ")</f>
        <v>MRIDUL KUMAR DEY</v>
      </c>
      <c r="F32" s="15" t="s">
        <v>27</v>
      </c>
      <c r="G32" s="15">
        <f>COUNTIFS(SIP[[#Headers],[Investor ID]]:SIP[[#This Row],[Investor ID]],SIP[[#This Row],[Investor ID]])</f>
        <v>8</v>
      </c>
      <c r="H32" s="15" t="str">
        <f>CONCATENATE(SIP[[#This Row],[Frequency]],SIP[[#This Row],[Investor ID]])</f>
        <v>8A00020</v>
      </c>
      <c r="I32" s="15" t="str">
        <f>IF(SIP[[#This Row],[B/S]]="B","BUY",(IF(SIP[[#This Row],[B/S]]="S","SELL"," ")))</f>
        <v>BUY</v>
      </c>
      <c r="J32" s="15" t="s">
        <v>301</v>
      </c>
      <c r="K32" s="38">
        <v>5000</v>
      </c>
      <c r="L32" s="38"/>
      <c r="M32" s="176">
        <f>IFERROR(SIP[[#This Row],[Amount]]/SIP[[#This Row],[Unit]],0)</f>
        <v>9.9601593625498008</v>
      </c>
      <c r="N32" s="42">
        <f>SIP[[#This Row],[Unit Capital]]/10</f>
        <v>502</v>
      </c>
      <c r="O32" s="50">
        <f>SUMIFS(SIP[[#Headers],[Unit]]:SIP[[#This Row],[Unit]],SIP[[#Headers],[Investor ID]]:SIP[[#This Row],[Investor ID]],SIP[[#This Row],[Investor ID]])</f>
        <v>4046</v>
      </c>
      <c r="P32" s="38">
        <v>5020</v>
      </c>
      <c r="Q32" s="41">
        <f>SIP[[#This Row],[Amount]]-SIP[[#This Row],[Unit Capital]]</f>
        <v>-20</v>
      </c>
      <c r="R32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9.8863074641621349</v>
      </c>
      <c r="S32" s="176">
        <f t="shared" si="5"/>
        <v>12.552</v>
      </c>
      <c r="T3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2" s="43" cm="1">
        <f t="array" ref="U32">IF(SIP[[#This Row],[B/S]]="S",ABS(SIP[[#This Row],[Unit]])*(INDEX(SIP[NAV at Cost (Average)],MATCH(CONCATENATE((SIP[[#This Row],[Frequency]]-1),SIP[[#This Row],[Investor ID]]),SIP[Unique Code],0),0)),0)</f>
        <v>0</v>
      </c>
      <c r="V32" s="43">
        <f>IF(SIP[[#This Row],[BO Transfer]]="YES",SIP[[#This Row],[Unit]],)</f>
        <v>0</v>
      </c>
      <c r="W32" s="41">
        <f>SUMIFS(SIP[[#Headers],[BO UNIT TRANSFER]]:SIP[[#This Row],[BO UNIT TRANSFER]],SIP[[#Headers],[Investor ID]]:SIP[[#This Row],[Investor ID]],SIP[[#This Row],[Investor ID]])</f>
        <v>0</v>
      </c>
    </row>
    <row r="33" spans="1:23" ht="15" customHeight="1">
      <c r="A33" s="15">
        <v>2022</v>
      </c>
      <c r="B33" s="15">
        <v>12</v>
      </c>
      <c r="C33" s="15">
        <v>6</v>
      </c>
      <c r="D33" s="39">
        <f>IFERROR(DATE(SIP[[#This Row],[Year]],SIP[[#This Row],[Month]],SIP[[#This Row],[Day]]),0)</f>
        <v>44901</v>
      </c>
      <c r="E33" s="40" t="str" cm="1">
        <f t="array" ref="E33">IFERROR(INDEX(INVESTORS_LIST[INVESTOR NAME],MATCH(SIP[[#This Row],[Investor ID]],INVESTORS_LIST[INVESTOR CODE],0),)," ")</f>
        <v>AHMED ASIF</v>
      </c>
      <c r="F33" s="15" t="s">
        <v>943</v>
      </c>
      <c r="G33" s="15">
        <f>COUNTIFS(SIP[[#Headers],[Investor ID]]:SIP[[#This Row],[Investor ID]],SIP[[#This Row],[Investor ID]])</f>
        <v>6</v>
      </c>
      <c r="H33" s="15" t="str">
        <f>CONCATENATE(SIP[[#This Row],[Frequency]],SIP[[#This Row],[Investor ID]])</f>
        <v>6A00432</v>
      </c>
      <c r="I33" s="15" t="str">
        <f>IF(SIP[[#This Row],[B/S]]="B","BUY",(IF(SIP[[#This Row],[B/S]]="S","SELL"," ")))</f>
        <v>BUY</v>
      </c>
      <c r="J33" s="15" t="s">
        <v>301</v>
      </c>
      <c r="K33" s="38">
        <v>5000</v>
      </c>
      <c r="L33" s="38"/>
      <c r="M33" s="176">
        <f>IFERROR(SIP[[#This Row],[Amount]]/SIP[[#This Row],[Unit]],0)</f>
        <v>9.9800399201596814</v>
      </c>
      <c r="N33" s="42">
        <f>SIP[[#This Row],[Unit Capital]]/10</f>
        <v>501</v>
      </c>
      <c r="O33" s="50">
        <f>SUMIFS(SIP[[#Headers],[Unit]]:SIP[[#This Row],[Unit]],SIP[[#Headers],[Investor ID]]:SIP[[#This Row],[Investor ID]],SIP[[#This Row],[Investor ID]])</f>
        <v>3034</v>
      </c>
      <c r="P33" s="38">
        <v>5010</v>
      </c>
      <c r="Q33" s="41">
        <f>SIP[[#This Row],[Amount]]-SIP[[#This Row],[Unit Capital]]</f>
        <v>-10</v>
      </c>
      <c r="R33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9.8879367172050117</v>
      </c>
      <c r="S33" s="176">
        <f t="shared" si="5"/>
        <v>12.552</v>
      </c>
      <c r="T3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3" s="43" cm="1">
        <f t="array" ref="U33">IF(SIP[[#This Row],[B/S]]="S",ABS(SIP[[#This Row],[Unit]])*(INDEX(SIP[NAV at Cost (Average)],MATCH(CONCATENATE((SIP[[#This Row],[Frequency]]-1),SIP[[#This Row],[Investor ID]]),SIP[Unique Code],0),0)),0)</f>
        <v>0</v>
      </c>
      <c r="V33" s="43">
        <f>IF(SIP[[#This Row],[BO Transfer]]="YES",SIP[[#This Row],[Unit]],)</f>
        <v>0</v>
      </c>
      <c r="W33" s="41">
        <f>SUMIFS(SIP[[#Headers],[BO UNIT TRANSFER]]:SIP[[#This Row],[BO UNIT TRANSFER]],SIP[[#Headers],[Investor ID]]:SIP[[#This Row],[Investor ID]],SIP[[#This Row],[Investor ID]])</f>
        <v>0</v>
      </c>
    </row>
    <row r="34" spans="1:23" ht="15" customHeight="1">
      <c r="A34" s="15">
        <v>2022</v>
      </c>
      <c r="B34" s="15">
        <v>12</v>
      </c>
      <c r="C34" s="15">
        <v>26</v>
      </c>
      <c r="D34" s="39">
        <f>IFERROR(DATE(SIP[[#This Row],[Year]],SIP[[#This Row],[Month]],SIP[[#This Row],[Day]]),0)</f>
        <v>44921</v>
      </c>
      <c r="E34" s="40" t="str" cm="1">
        <f t="array" ref="E34">IFERROR(INDEX(INVESTORS_LIST[INVESTOR NAME],MATCH(SIP[[#This Row],[Investor ID]],INVESTORS_LIST[INVESTOR CODE],0),)," ")</f>
        <v>MRIDUL KUMAR DEY</v>
      </c>
      <c r="F34" s="15" t="s">
        <v>27</v>
      </c>
      <c r="G34" s="15">
        <f>COUNTIFS(SIP[[#Headers],[Investor ID]]:SIP[[#This Row],[Investor ID]],SIP[[#This Row],[Investor ID]])</f>
        <v>9</v>
      </c>
      <c r="H34" s="15" t="str">
        <f>CONCATENATE(SIP[[#This Row],[Frequency]],SIP[[#This Row],[Investor ID]])</f>
        <v>9A00020</v>
      </c>
      <c r="I34" s="15" t="str">
        <f>IF(SIP[[#This Row],[B/S]]="B","BUY",(IF(SIP[[#This Row],[B/S]]="S","SELL"," ")))</f>
        <v>BUY</v>
      </c>
      <c r="J34" s="15" t="s">
        <v>301</v>
      </c>
      <c r="K34" s="38">
        <v>5000</v>
      </c>
      <c r="L34" s="38"/>
      <c r="M34" s="176">
        <f>IFERROR(SIP[[#This Row],[Amount]]/SIP[[#This Row],[Unit]],0)</f>
        <v>9.9800399201596814</v>
      </c>
      <c r="N34" s="42">
        <f>SIP[[#This Row],[Unit Capital]]/10</f>
        <v>501</v>
      </c>
      <c r="O34" s="50">
        <f>SUMIFS(SIP[[#Headers],[Unit]]:SIP[[#This Row],[Unit]],SIP[[#Headers],[Investor ID]]:SIP[[#This Row],[Investor ID]],SIP[[#This Row],[Investor ID]])</f>
        <v>4547</v>
      </c>
      <c r="P34" s="38">
        <v>5010</v>
      </c>
      <c r="Q34" s="41">
        <f>SIP[[#This Row],[Amount]]-SIP[[#This Row],[Unit Capital]]</f>
        <v>-10</v>
      </c>
      <c r="R34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9.8966351440510216</v>
      </c>
      <c r="S34" s="176">
        <f t="shared" si="5"/>
        <v>12.552</v>
      </c>
      <c r="T3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4" s="43" cm="1">
        <f t="array" ref="U34">IF(SIP[[#This Row],[B/S]]="S",ABS(SIP[[#This Row],[Unit]])*(INDEX(SIP[NAV at Cost (Average)],MATCH(CONCATENATE((SIP[[#This Row],[Frequency]]-1),SIP[[#This Row],[Investor ID]]),SIP[Unique Code],0),0)),0)</f>
        <v>0</v>
      </c>
      <c r="V34" s="43">
        <f>IF(SIP[[#This Row],[BO Transfer]]="YES",SIP[[#This Row],[Unit]],)</f>
        <v>0</v>
      </c>
      <c r="W34" s="41">
        <f>SUMIFS(SIP[[#Headers],[BO UNIT TRANSFER]]:SIP[[#This Row],[BO UNIT TRANSFER]],SIP[[#Headers],[Investor ID]]:SIP[[#This Row],[Investor ID]],SIP[[#This Row],[Investor ID]])</f>
        <v>0</v>
      </c>
    </row>
    <row r="35" spans="1:23" ht="15" customHeight="1">
      <c r="A35" s="15">
        <v>2022</v>
      </c>
      <c r="B35" s="15">
        <v>12</v>
      </c>
      <c r="C35" s="15">
        <v>26</v>
      </c>
      <c r="D35" s="39">
        <f>IFERROR(DATE(SIP[[#This Row],[Year]],SIP[[#This Row],[Month]],SIP[[#This Row],[Day]]),0)</f>
        <v>44921</v>
      </c>
      <c r="E35" s="40" t="str" cm="1">
        <f t="array" ref="E35">IFERROR(INDEX(INVESTORS_LIST[INVESTOR NAME],MATCH(SIP[[#This Row],[Investor ID]],INVESTORS_LIST[INVESTOR CODE],0),)," ")</f>
        <v>MD MIZANUR RAHMAN</v>
      </c>
      <c r="F35" s="15" t="s">
        <v>177</v>
      </c>
      <c r="G35" s="15">
        <f>COUNTIFS(SIP[[#Headers],[Investor ID]]:SIP[[#This Row],[Investor ID]],SIP[[#This Row],[Investor ID]])</f>
        <v>7</v>
      </c>
      <c r="H35" s="15" t="str">
        <f>CONCATENATE(SIP[[#This Row],[Frequency]],SIP[[#This Row],[Investor ID]])</f>
        <v>7A00144</v>
      </c>
      <c r="I35" s="15" t="str">
        <f>IF(SIP[[#This Row],[B/S]]="B","BUY",(IF(SIP[[#This Row],[B/S]]="S","SELL"," ")))</f>
        <v>BUY</v>
      </c>
      <c r="J35" s="15" t="s">
        <v>301</v>
      </c>
      <c r="K35" s="38">
        <v>10000</v>
      </c>
      <c r="L35" s="38"/>
      <c r="M35" s="176">
        <f>IFERROR(SIP[[#This Row],[Amount]]/SIP[[#This Row],[Unit]],0)</f>
        <v>9.9900099900099892</v>
      </c>
      <c r="N35" s="42">
        <f>SIP[[#This Row],[Unit Capital]]/10</f>
        <v>1001</v>
      </c>
      <c r="O35" s="50">
        <f>SUMIFS(SIP[[#Headers],[Unit]]:SIP[[#This Row],[Unit]],SIP[[#Headers],[Investor ID]]:SIP[[#This Row],[Investor ID]],SIP[[#This Row],[Investor ID]])</f>
        <v>7081</v>
      </c>
      <c r="P35" s="38">
        <v>10010</v>
      </c>
      <c r="Q35" s="41">
        <f>SIP[[#This Row],[Amount]]-SIP[[#This Row],[Unit Capital]]</f>
        <v>-10</v>
      </c>
      <c r="R35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9.8856093772066096</v>
      </c>
      <c r="S35" s="176">
        <f t="shared" si="5"/>
        <v>12.552</v>
      </c>
      <c r="T3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5" s="43" cm="1">
        <f t="array" ref="U35">IF(SIP[[#This Row],[B/S]]="S",ABS(SIP[[#This Row],[Unit]])*(INDEX(SIP[NAV at Cost (Average)],MATCH(CONCATENATE((SIP[[#This Row],[Frequency]]-1),SIP[[#This Row],[Investor ID]]),SIP[Unique Code],0),0)),0)</f>
        <v>0</v>
      </c>
      <c r="V35" s="43">
        <f>IF(SIP[[#This Row],[BO Transfer]]="YES",SIP[[#This Row],[Unit]],)</f>
        <v>0</v>
      </c>
      <c r="W35" s="41">
        <f>SUMIFS(SIP[[#Headers],[BO UNIT TRANSFER]]:SIP[[#This Row],[BO UNIT TRANSFER]],SIP[[#Headers],[Investor ID]]:SIP[[#This Row],[Investor ID]],SIP[[#This Row],[Investor ID]])</f>
        <v>0</v>
      </c>
    </row>
    <row r="36" spans="1:23" ht="15" customHeight="1">
      <c r="A36" s="15">
        <v>2023</v>
      </c>
      <c r="B36" s="15">
        <v>1</v>
      </c>
      <c r="C36" s="15">
        <v>5</v>
      </c>
      <c r="D36" s="39">
        <f>IFERROR(DATE(SIP[[#This Row],[Year]],SIP[[#This Row],[Month]],SIP[[#This Row],[Day]]),0)</f>
        <v>44931</v>
      </c>
      <c r="E36" s="40" t="str" cm="1">
        <f t="array" ref="E36">IFERROR(INDEX(INVESTORS_LIST[INVESTOR NAME],MATCH(SIP[[#This Row],[Investor ID]],INVESTORS_LIST[INVESTOR CODE],0),)," ")</f>
        <v>AHMED ASIF</v>
      </c>
      <c r="F36" s="15" t="s">
        <v>943</v>
      </c>
      <c r="G36" s="15">
        <f>COUNTIFS(SIP[[#Headers],[Investor ID]]:SIP[[#This Row],[Investor ID]],SIP[[#This Row],[Investor ID]])</f>
        <v>7</v>
      </c>
      <c r="H36" s="15" t="str">
        <f>CONCATENATE(SIP[[#This Row],[Frequency]],SIP[[#This Row],[Investor ID]])</f>
        <v>7A00432</v>
      </c>
      <c r="I36" s="15" t="str">
        <f>IF(SIP[[#This Row],[B/S]]="B","BUY",(IF(SIP[[#This Row],[B/S]]="S","SELL"," ")))</f>
        <v>BUY</v>
      </c>
      <c r="J36" s="15" t="s">
        <v>301</v>
      </c>
      <c r="K36" s="38">
        <v>5000</v>
      </c>
      <c r="L36" s="38"/>
      <c r="M36" s="176">
        <f>IFERROR(SIP[[#This Row],[Amount]]/SIP[[#This Row],[Unit]],0)</f>
        <v>10.020040080160321</v>
      </c>
      <c r="N36" s="42">
        <f>SIP[[#This Row],[Unit Capital]]/10</f>
        <v>499</v>
      </c>
      <c r="O36" s="50">
        <f>SUMIFS(SIP[[#Headers],[Unit]]:SIP[[#This Row],[Unit]],SIP[[#Headers],[Investor ID]]:SIP[[#This Row],[Investor ID]],SIP[[#This Row],[Investor ID]])</f>
        <v>3533</v>
      </c>
      <c r="P36" s="38">
        <v>4990</v>
      </c>
      <c r="Q36" s="41">
        <f>SIP[[#This Row],[Amount]]-SIP[[#This Row],[Unit Capital]]</f>
        <v>10</v>
      </c>
      <c r="R36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9.9065949617888478</v>
      </c>
      <c r="S36" s="176">
        <f t="shared" si="5"/>
        <v>12.552</v>
      </c>
      <c r="T3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6" s="43" cm="1">
        <f t="array" ref="U36">IF(SIP[[#This Row],[B/S]]="S",ABS(SIP[[#This Row],[Unit]])*(INDEX(SIP[NAV at Cost (Average)],MATCH(CONCATENATE((SIP[[#This Row],[Frequency]]-1),SIP[[#This Row],[Investor ID]]),SIP[Unique Code],0),0)),0)</f>
        <v>0</v>
      </c>
      <c r="V36" s="43">
        <f>IF(SIP[[#This Row],[BO Transfer]]="YES",SIP[[#This Row],[Unit]],)</f>
        <v>0</v>
      </c>
      <c r="W36" s="41">
        <f>SUMIFS(SIP[[#Headers],[BO UNIT TRANSFER]]:SIP[[#This Row],[BO UNIT TRANSFER]],SIP[[#Headers],[Investor ID]]:SIP[[#This Row],[Investor ID]],SIP[[#This Row],[Investor ID]])</f>
        <v>0</v>
      </c>
    </row>
    <row r="37" spans="1:23" ht="15" customHeight="1">
      <c r="A37" s="15">
        <v>2023</v>
      </c>
      <c r="B37" s="15">
        <v>1</v>
      </c>
      <c r="C37" s="15">
        <v>15</v>
      </c>
      <c r="D37" s="39">
        <f>IFERROR(DATE(SIP[[#This Row],[Year]],SIP[[#This Row],[Month]],SIP[[#This Row],[Day]]),0)</f>
        <v>44941</v>
      </c>
      <c r="E37" s="40" t="str" cm="1">
        <f t="array" ref="E37">IFERROR(INDEX(INVESTORS_LIST[INVESTOR NAME],MATCH(SIP[[#This Row],[Investor ID]],INVESTORS_LIST[INVESTOR CODE],0),)," ")</f>
        <v>ANIK KUMAR GUPTA</v>
      </c>
      <c r="F37" s="15" t="s">
        <v>708</v>
      </c>
      <c r="G37" s="15">
        <f>COUNTIFS(SIP[[#Headers],[Investor ID]]:SIP[[#This Row],[Investor ID]],SIP[[#This Row],[Investor ID]])</f>
        <v>4</v>
      </c>
      <c r="H37" s="15" t="str">
        <f>CONCATENATE(SIP[[#This Row],[Frequency]],SIP[[#This Row],[Investor ID]])</f>
        <v>4A00381</v>
      </c>
      <c r="I37" s="15" t="str">
        <f>IF(SIP[[#This Row],[B/S]]="B","BUY",(IF(SIP[[#This Row],[B/S]]="S","SELL"," ")))</f>
        <v>BUY</v>
      </c>
      <c r="J37" s="15" t="s">
        <v>301</v>
      </c>
      <c r="K37" s="38">
        <v>1000</v>
      </c>
      <c r="L37" s="38"/>
      <c r="M37" s="176">
        <f>IFERROR(SIP[[#This Row],[Amount]]/SIP[[#This Row],[Unit]],0)</f>
        <v>10</v>
      </c>
      <c r="N37" s="42">
        <f>SIP[[#This Row],[Unit Capital]]/10</f>
        <v>100</v>
      </c>
      <c r="O37" s="50">
        <f>SUMIFS(SIP[[#Headers],[Unit]]:SIP[[#This Row],[Unit]],SIP[[#Headers],[Investor ID]]:SIP[[#This Row],[Investor ID]],SIP[[#This Row],[Investor ID]])</f>
        <v>402</v>
      </c>
      <c r="P37" s="38">
        <v>1000</v>
      </c>
      <c r="Q37" s="41">
        <f>SIP[[#This Row],[Amount]]-SIP[[#This Row],[Unit Capital]]</f>
        <v>0</v>
      </c>
      <c r="R37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9.9502487562189064</v>
      </c>
      <c r="S37" s="176">
        <f t="shared" ref="S37:S42" si="6">NAV_MKT</f>
        <v>12.552</v>
      </c>
      <c r="T3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7" s="43" cm="1">
        <f t="array" ref="U37">IF(SIP[[#This Row],[B/S]]="S",ABS(SIP[[#This Row],[Unit]])*(INDEX(SIP[NAV at Cost (Average)],MATCH(CONCATENATE((SIP[[#This Row],[Frequency]]-1),SIP[[#This Row],[Investor ID]]),SIP[Unique Code],0),0)),0)</f>
        <v>0</v>
      </c>
      <c r="V37" s="43">
        <f>IF(SIP[[#This Row],[BO Transfer]]="YES",SIP[[#This Row],[Unit]],)</f>
        <v>0</v>
      </c>
      <c r="W37" s="41">
        <f>SUMIFS(SIP[[#Headers],[BO UNIT TRANSFER]]:SIP[[#This Row],[BO UNIT TRANSFER]],SIP[[#Headers],[Investor ID]]:SIP[[#This Row],[Investor ID]],SIP[[#This Row],[Investor ID]])</f>
        <v>0</v>
      </c>
    </row>
    <row r="38" spans="1:23" ht="15" customHeight="1">
      <c r="A38" s="15">
        <v>2023</v>
      </c>
      <c r="B38" s="15">
        <v>1</v>
      </c>
      <c r="C38" s="15">
        <v>26</v>
      </c>
      <c r="D38" s="39">
        <f>IFERROR(DATE(SIP[[#This Row],[Year]],SIP[[#This Row],[Month]],SIP[[#This Row],[Day]]),0)</f>
        <v>44952</v>
      </c>
      <c r="E38" s="40" t="str" cm="1">
        <f t="array" ref="E38">IFERROR(INDEX(INVESTORS_LIST[INVESTOR NAME],MATCH(SIP[[#This Row],[Investor ID]],INVESTORS_LIST[INVESTOR CODE],0),)," ")</f>
        <v>MRIDUL KUMAR DEY</v>
      </c>
      <c r="F38" s="15" t="s">
        <v>27</v>
      </c>
      <c r="G38" s="15">
        <f>COUNTIFS(SIP[[#Headers],[Investor ID]]:SIP[[#This Row],[Investor ID]],SIP[[#This Row],[Investor ID]])</f>
        <v>10</v>
      </c>
      <c r="H38" s="15" t="str">
        <f>CONCATENATE(SIP[[#This Row],[Frequency]],SIP[[#This Row],[Investor ID]])</f>
        <v>10A00020</v>
      </c>
      <c r="I38" s="15" t="str">
        <f>IF(SIP[[#This Row],[B/S]]="B","BUY",(IF(SIP[[#This Row],[B/S]]="S","SELL"," ")))</f>
        <v>BUY</v>
      </c>
      <c r="J38" s="15" t="s">
        <v>301</v>
      </c>
      <c r="K38" s="38">
        <v>5000</v>
      </c>
      <c r="L38" s="38"/>
      <c r="M38" s="176">
        <f>IFERROR(SIP[[#This Row],[Amount]]/SIP[[#This Row],[Unit]],0)</f>
        <v>10.040160642570282</v>
      </c>
      <c r="N38" s="42">
        <f>SIP[[#This Row],[Unit Capital]]/10</f>
        <v>498</v>
      </c>
      <c r="O38" s="50">
        <f>SUMIFS(SIP[[#Headers],[Unit]]:SIP[[#This Row],[Unit]],SIP[[#Headers],[Investor ID]]:SIP[[#This Row],[Investor ID]],SIP[[#This Row],[Investor ID]])</f>
        <v>5045</v>
      </c>
      <c r="P38" s="38">
        <v>4980</v>
      </c>
      <c r="Q38" s="41">
        <f>SIP[[#This Row],[Amount]]-SIP[[#This Row],[Unit Capital]]</f>
        <v>20</v>
      </c>
      <c r="R38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9.9108027750247754</v>
      </c>
      <c r="S38" s="176">
        <f t="shared" si="6"/>
        <v>12.552</v>
      </c>
      <c r="T3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8" s="43" cm="1">
        <f t="array" ref="U38">IF(SIP[[#This Row],[B/S]]="S",ABS(SIP[[#This Row],[Unit]])*(INDEX(SIP[NAV at Cost (Average)],MATCH(CONCATENATE((SIP[[#This Row],[Frequency]]-1),SIP[[#This Row],[Investor ID]]),SIP[Unique Code],0),0)),0)</f>
        <v>0</v>
      </c>
      <c r="V38" s="43">
        <f>IF(SIP[[#This Row],[BO Transfer]]="YES",SIP[[#This Row],[Unit]],)</f>
        <v>0</v>
      </c>
      <c r="W38" s="41">
        <f>SUMIFS(SIP[[#Headers],[BO UNIT TRANSFER]]:SIP[[#This Row],[BO UNIT TRANSFER]],SIP[[#Headers],[Investor ID]]:SIP[[#This Row],[Investor ID]],SIP[[#This Row],[Investor ID]])</f>
        <v>0</v>
      </c>
    </row>
    <row r="39" spans="1:23" ht="15" customHeight="1">
      <c r="A39" s="15">
        <v>2023</v>
      </c>
      <c r="B39" s="15">
        <v>1</v>
      </c>
      <c r="C39" s="15">
        <v>26</v>
      </c>
      <c r="D39" s="39">
        <f>IFERROR(DATE(SIP[[#This Row],[Year]],SIP[[#This Row],[Month]],SIP[[#This Row],[Day]]),0)</f>
        <v>44952</v>
      </c>
      <c r="E39" s="40" t="str" cm="1">
        <f t="array" ref="E39">IFERROR(INDEX(INVESTORS_LIST[INVESTOR NAME],MATCH(SIP[[#This Row],[Investor ID]],INVESTORS_LIST[INVESTOR CODE],0),)," ")</f>
        <v>MD MIZANUR RAHMAN</v>
      </c>
      <c r="F39" s="15" t="s">
        <v>177</v>
      </c>
      <c r="G39" s="15">
        <f>COUNTIFS(SIP[[#Headers],[Investor ID]]:SIP[[#This Row],[Investor ID]],SIP[[#This Row],[Investor ID]])</f>
        <v>8</v>
      </c>
      <c r="H39" s="15" t="str">
        <f>CONCATENATE(SIP[[#This Row],[Frequency]],SIP[[#This Row],[Investor ID]])</f>
        <v>8A00144</v>
      </c>
      <c r="I39" s="15" t="str">
        <f>IF(SIP[[#This Row],[B/S]]="B","BUY",(IF(SIP[[#This Row],[B/S]]="S","SELL"," ")))</f>
        <v>BUY</v>
      </c>
      <c r="J39" s="15" t="s">
        <v>301</v>
      </c>
      <c r="K39" s="38">
        <v>10000</v>
      </c>
      <c r="L39" s="38"/>
      <c r="M39" s="176">
        <f>IFERROR(SIP[[#This Row],[Amount]]/SIP[[#This Row],[Unit]],0)</f>
        <v>10.050251256281408</v>
      </c>
      <c r="N39" s="42">
        <f>SIP[[#This Row],[Unit Capital]]/10</f>
        <v>995</v>
      </c>
      <c r="O39" s="50">
        <f>SUMIFS(SIP[[#Headers],[Unit]]:SIP[[#This Row],[Unit]],SIP[[#Headers],[Investor ID]]:SIP[[#This Row],[Investor ID]],SIP[[#This Row],[Investor ID]])</f>
        <v>8076</v>
      </c>
      <c r="P39" s="38">
        <v>9950</v>
      </c>
      <c r="Q39" s="41">
        <f>SIP[[#This Row],[Amount]]-SIP[[#This Row],[Unit Capital]]</f>
        <v>50</v>
      </c>
      <c r="R39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9.9058940069341261</v>
      </c>
      <c r="S39" s="176">
        <f t="shared" si="6"/>
        <v>12.552</v>
      </c>
      <c r="T3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39" s="43" cm="1">
        <f t="array" ref="U39">IF(SIP[[#This Row],[B/S]]="S",ABS(SIP[[#This Row],[Unit]])*(INDEX(SIP[NAV at Cost (Average)],MATCH(CONCATENATE((SIP[[#This Row],[Frequency]]-1),SIP[[#This Row],[Investor ID]]),SIP[Unique Code],0),0)),0)</f>
        <v>0</v>
      </c>
      <c r="V39" s="43">
        <f>IF(SIP[[#This Row],[BO Transfer]]="YES",SIP[[#This Row],[Unit]],)</f>
        <v>0</v>
      </c>
      <c r="W39" s="41">
        <f>SUMIFS(SIP[[#Headers],[BO UNIT TRANSFER]]:SIP[[#This Row],[BO UNIT TRANSFER]],SIP[[#Headers],[Investor ID]]:SIP[[#This Row],[Investor ID]],SIP[[#This Row],[Investor ID]])</f>
        <v>0</v>
      </c>
    </row>
    <row r="40" spans="1:23" ht="15" customHeight="1">
      <c r="A40" s="15">
        <v>2023</v>
      </c>
      <c r="B40" s="15">
        <v>2</v>
      </c>
      <c r="C40" s="15">
        <v>5</v>
      </c>
      <c r="D40" s="39">
        <f>IFERROR(DATE(SIP[[#This Row],[Year]],SIP[[#This Row],[Month]],SIP[[#This Row],[Day]]),0)</f>
        <v>44962</v>
      </c>
      <c r="E40" s="40" t="str" cm="1">
        <f t="array" ref="E40">IFERROR(INDEX(INVESTORS_LIST[INVESTOR NAME],MATCH(SIP[[#This Row],[Investor ID]],INVESTORS_LIST[INVESTOR CODE],0),)," ")</f>
        <v>AHMED ASIF</v>
      </c>
      <c r="F40" s="15" t="s">
        <v>943</v>
      </c>
      <c r="G40" s="15">
        <f>COUNTIFS(SIP[[#Headers],[Investor ID]]:SIP[[#This Row],[Investor ID]],SIP[[#This Row],[Investor ID]])</f>
        <v>8</v>
      </c>
      <c r="H40" s="15" t="str">
        <f>CONCATENATE(SIP[[#This Row],[Frequency]],SIP[[#This Row],[Investor ID]])</f>
        <v>8A00432</v>
      </c>
      <c r="I40" s="15" t="str">
        <f>IF(SIP[[#This Row],[B/S]]="B","BUY",(IF(SIP[[#This Row],[B/S]]="S","SELL"," ")))</f>
        <v>BUY</v>
      </c>
      <c r="J40" s="15" t="s">
        <v>301</v>
      </c>
      <c r="K40" s="38">
        <v>5000</v>
      </c>
      <c r="L40" s="38"/>
      <c r="M40" s="176">
        <f>IFERROR(SIP[[#This Row],[Amount]]/SIP[[#This Row],[Unit]],0)</f>
        <v>10.040160642570282</v>
      </c>
      <c r="N40" s="42">
        <f>SIP[[#This Row],[Unit Capital]]/10</f>
        <v>498</v>
      </c>
      <c r="O40" s="50">
        <f>SUMIFS(SIP[[#Headers],[Unit]]:SIP[[#This Row],[Unit]],SIP[[#Headers],[Investor ID]]:SIP[[#This Row],[Investor ID]],SIP[[#This Row],[Investor ID]])</f>
        <v>4031</v>
      </c>
      <c r="P40" s="38">
        <v>4980</v>
      </c>
      <c r="Q40" s="41">
        <f>SIP[[#This Row],[Amount]]-SIP[[#This Row],[Unit Capital]]</f>
        <v>20</v>
      </c>
      <c r="R40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9.9230960059538589</v>
      </c>
      <c r="S40" s="176">
        <f t="shared" si="6"/>
        <v>12.552</v>
      </c>
      <c r="T4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0" s="43" cm="1">
        <f t="array" ref="U40">IF(SIP[[#This Row],[B/S]]="S",ABS(SIP[[#This Row],[Unit]])*(INDEX(SIP[NAV at Cost (Average)],MATCH(CONCATENATE((SIP[[#This Row],[Frequency]]-1),SIP[[#This Row],[Investor ID]]),SIP[Unique Code],0),0)),0)</f>
        <v>0</v>
      </c>
      <c r="V40" s="43">
        <f>IF(SIP[[#This Row],[BO Transfer]]="YES",SIP[[#This Row],[Unit]],)</f>
        <v>0</v>
      </c>
      <c r="W40" s="41">
        <f>SUMIFS(SIP[[#Headers],[BO UNIT TRANSFER]]:SIP[[#This Row],[BO UNIT TRANSFER]],SIP[[#Headers],[Investor ID]]:SIP[[#This Row],[Investor ID]],SIP[[#This Row],[Investor ID]])</f>
        <v>0</v>
      </c>
    </row>
    <row r="41" spans="1:23" ht="15" customHeight="1">
      <c r="A41" s="15">
        <v>2023</v>
      </c>
      <c r="B41" s="15">
        <v>2</v>
      </c>
      <c r="C41" s="15">
        <v>26</v>
      </c>
      <c r="D41" s="39">
        <f>IFERROR(DATE(SIP[[#This Row],[Year]],SIP[[#This Row],[Month]],SIP[[#This Row],[Day]]),0)</f>
        <v>44983</v>
      </c>
      <c r="E41" s="40" t="str" cm="1">
        <f t="array" ref="E41">IFERROR(INDEX(INVESTORS_LIST[INVESTOR NAME],MATCH(SIP[[#This Row],[Investor ID]],INVESTORS_LIST[INVESTOR CODE],0),)," ")</f>
        <v>MRIDUL KUMAR DEY</v>
      </c>
      <c r="F41" s="15" t="s">
        <v>27</v>
      </c>
      <c r="G41" s="15">
        <f>COUNTIFS(SIP[[#Headers],[Investor ID]]:SIP[[#This Row],[Investor ID]],SIP[[#This Row],[Investor ID]])</f>
        <v>11</v>
      </c>
      <c r="H41" s="15" t="str">
        <f>CONCATENATE(SIP[[#This Row],[Frequency]],SIP[[#This Row],[Investor ID]])</f>
        <v>11A00020</v>
      </c>
      <c r="I41" s="15" t="str">
        <f>IF(SIP[[#This Row],[B/S]]="B","BUY",(IF(SIP[[#This Row],[B/S]]="S","SELL"," ")))</f>
        <v>BUY</v>
      </c>
      <c r="J41" s="15" t="s">
        <v>301</v>
      </c>
      <c r="K41" s="38">
        <v>5000</v>
      </c>
      <c r="L41" s="38"/>
      <c r="M41" s="176">
        <f>IFERROR(SIP[[#This Row],[Amount]]/SIP[[#This Row],[Unit]],0)</f>
        <v>10.060362173038229</v>
      </c>
      <c r="N41" s="42">
        <f>SIP[[#This Row],[Unit Capital]]/10</f>
        <v>497</v>
      </c>
      <c r="O41" s="50">
        <f>SUMIFS(SIP[[#Headers],[Unit]]:SIP[[#This Row],[Unit]],SIP[[#Headers],[Investor ID]]:SIP[[#This Row],[Investor ID]],SIP[[#This Row],[Investor ID]])</f>
        <v>5542</v>
      </c>
      <c r="P41" s="38">
        <v>4970</v>
      </c>
      <c r="Q41" s="41">
        <f>SIP[[#This Row],[Amount]]-SIP[[#This Row],[Unit Capital]]</f>
        <v>30</v>
      </c>
      <c r="R41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9.9242150848069279</v>
      </c>
      <c r="S41" s="176">
        <f t="shared" si="6"/>
        <v>12.552</v>
      </c>
      <c r="T4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1" s="43" cm="1">
        <f t="array" ref="U41">IF(SIP[[#This Row],[B/S]]="S",ABS(SIP[[#This Row],[Unit]])*(INDEX(SIP[NAV at Cost (Average)],MATCH(CONCATENATE((SIP[[#This Row],[Frequency]]-1),SIP[[#This Row],[Investor ID]]),SIP[Unique Code],0),0)),0)</f>
        <v>0</v>
      </c>
      <c r="V41" s="43">
        <f>IF(SIP[[#This Row],[BO Transfer]]="YES",SIP[[#This Row],[Unit]],)</f>
        <v>0</v>
      </c>
      <c r="W41" s="41">
        <f>SUMIFS(SIP[[#Headers],[BO UNIT TRANSFER]]:SIP[[#This Row],[BO UNIT TRANSFER]],SIP[[#Headers],[Investor ID]]:SIP[[#This Row],[Investor ID]],SIP[[#This Row],[Investor ID]])</f>
        <v>0</v>
      </c>
    </row>
    <row r="42" spans="1:23" ht="15" customHeight="1">
      <c r="A42" s="15">
        <v>2023</v>
      </c>
      <c r="B42" s="15">
        <v>2</v>
      </c>
      <c r="C42" s="15">
        <v>26</v>
      </c>
      <c r="D42" s="39">
        <f>IFERROR(DATE(SIP[[#This Row],[Year]],SIP[[#This Row],[Month]],SIP[[#This Row],[Day]]),0)</f>
        <v>44983</v>
      </c>
      <c r="E42" s="40" t="str" cm="1">
        <f t="array" ref="E42">IFERROR(INDEX(INVESTORS_LIST[INVESTOR NAME],MATCH(SIP[[#This Row],[Investor ID]],INVESTORS_LIST[INVESTOR CODE],0),)," ")</f>
        <v>MD MIZANUR RAHMAN</v>
      </c>
      <c r="F42" s="15" t="s">
        <v>177</v>
      </c>
      <c r="G42" s="15">
        <f>COUNTIFS(SIP[[#Headers],[Investor ID]]:SIP[[#This Row],[Investor ID]],SIP[[#This Row],[Investor ID]])</f>
        <v>9</v>
      </c>
      <c r="H42" s="15" t="str">
        <f>CONCATENATE(SIP[[#This Row],[Frequency]],SIP[[#This Row],[Investor ID]])</f>
        <v>9A00144</v>
      </c>
      <c r="I42" s="15" t="str">
        <f>IF(SIP[[#This Row],[B/S]]="B","BUY",(IF(SIP[[#This Row],[B/S]]="S","SELL"," ")))</f>
        <v>BUY</v>
      </c>
      <c r="J42" s="15" t="s">
        <v>301</v>
      </c>
      <c r="K42" s="38">
        <v>10000</v>
      </c>
      <c r="L42" s="38"/>
      <c r="M42" s="176">
        <f>IFERROR(SIP[[#This Row],[Amount]]/SIP[[#This Row],[Unit]],0)</f>
        <v>10.060362173038229</v>
      </c>
      <c r="N42" s="42">
        <f>SIP[[#This Row],[Unit Capital]]/10</f>
        <v>994</v>
      </c>
      <c r="O42" s="50">
        <f>SUMIFS(SIP[[#Headers],[Unit]]:SIP[[#This Row],[Unit]],SIP[[#Headers],[Investor ID]]:SIP[[#This Row],[Investor ID]],SIP[[#This Row],[Investor ID]])</f>
        <v>9070</v>
      </c>
      <c r="P42" s="38">
        <v>9940</v>
      </c>
      <c r="Q42" s="41">
        <f>SIP[[#This Row],[Amount]]-SIP[[#This Row],[Unit Capital]]</f>
        <v>60</v>
      </c>
      <c r="R42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9.9228224917309813</v>
      </c>
      <c r="S42" s="176">
        <f t="shared" si="6"/>
        <v>12.552</v>
      </c>
      <c r="T4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2" s="43" cm="1">
        <f t="array" ref="U42">IF(SIP[[#This Row],[B/S]]="S",ABS(SIP[[#This Row],[Unit]])*(INDEX(SIP[NAV at Cost (Average)],MATCH(CONCATENATE((SIP[[#This Row],[Frequency]]-1),SIP[[#This Row],[Investor ID]]),SIP[Unique Code],0),0)),0)</f>
        <v>0</v>
      </c>
      <c r="V42" s="43">
        <f>IF(SIP[[#This Row],[BO Transfer]]="YES",SIP[[#This Row],[Unit]],)</f>
        <v>0</v>
      </c>
      <c r="W42" s="41">
        <f>SUMIFS(SIP[[#Headers],[BO UNIT TRANSFER]]:SIP[[#This Row],[BO UNIT TRANSFER]],SIP[[#Headers],[Investor ID]]:SIP[[#This Row],[Investor ID]],SIP[[#This Row],[Investor ID]])</f>
        <v>0</v>
      </c>
    </row>
    <row r="43" spans="1:23" ht="15" customHeight="1">
      <c r="A43" s="15">
        <v>2023</v>
      </c>
      <c r="B43" s="15">
        <v>3</v>
      </c>
      <c r="C43" s="15">
        <v>5</v>
      </c>
      <c r="D43" s="39">
        <f>IFERROR(DATE(SIP[[#This Row],[Year]],SIP[[#This Row],[Month]],SIP[[#This Row],[Day]]),0)</f>
        <v>44990</v>
      </c>
      <c r="E43" s="40" t="str" cm="1">
        <f t="array" ref="E43">IFERROR(INDEX(INVESTORS_LIST[INVESTOR NAME],MATCH(SIP[[#This Row],[Investor ID]],INVESTORS_LIST[INVESTOR CODE],0),)," ")</f>
        <v>AHMED ASIF</v>
      </c>
      <c r="F43" s="15" t="s">
        <v>943</v>
      </c>
      <c r="G43" s="15">
        <f>COUNTIFS(SIP[[#Headers],[Investor ID]]:SIP[[#This Row],[Investor ID]],SIP[[#This Row],[Investor ID]])</f>
        <v>9</v>
      </c>
      <c r="H43" s="15" t="str">
        <f>CONCATENATE(SIP[[#This Row],[Frequency]],SIP[[#This Row],[Investor ID]])</f>
        <v>9A00432</v>
      </c>
      <c r="I43" s="15" t="str">
        <f>IF(SIP[[#This Row],[B/S]]="B","BUY",(IF(SIP[[#This Row],[B/S]]="S","SELL"," ")))</f>
        <v>BUY</v>
      </c>
      <c r="J43" s="15" t="s">
        <v>301</v>
      </c>
      <c r="K43" s="38">
        <v>5000</v>
      </c>
      <c r="L43" s="38"/>
      <c r="M43" s="176">
        <f>IFERROR(SIP[[#This Row],[Amount]]/SIP[[#This Row],[Unit]],0)</f>
        <v>10.060362173038229</v>
      </c>
      <c r="N43" s="42">
        <f>SIP[[#This Row],[Unit Capital]]/10</f>
        <v>497</v>
      </c>
      <c r="O43" s="50">
        <f>SUMIFS(SIP[[#Headers],[Unit]]:SIP[[#This Row],[Unit]],SIP[[#Headers],[Investor ID]]:SIP[[#This Row],[Investor ID]],SIP[[#This Row],[Investor ID]])</f>
        <v>4528</v>
      </c>
      <c r="P43" s="38">
        <v>4970</v>
      </c>
      <c r="Q43" s="41">
        <f>SIP[[#This Row],[Amount]]-SIP[[#This Row],[Unit Capital]]</f>
        <v>30</v>
      </c>
      <c r="R43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9.9381625441696109</v>
      </c>
      <c r="S43" s="176">
        <f t="shared" ref="S43:S49" si="7">NAV_MKT</f>
        <v>12.552</v>
      </c>
      <c r="T4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3" s="43" cm="1">
        <f t="array" ref="U43">IF(SIP[[#This Row],[B/S]]="S",ABS(SIP[[#This Row],[Unit]])*(INDEX(SIP[NAV at Cost (Average)],MATCH(CONCATENATE((SIP[[#This Row],[Frequency]]-1),SIP[[#This Row],[Investor ID]]),SIP[Unique Code],0),0)),0)</f>
        <v>0</v>
      </c>
      <c r="V43" s="43">
        <f>IF(SIP[[#This Row],[BO Transfer]]="YES",SIP[[#This Row],[Unit]],)</f>
        <v>0</v>
      </c>
      <c r="W43" s="41">
        <f>SUMIFS(SIP[[#Headers],[BO UNIT TRANSFER]]:SIP[[#This Row],[BO UNIT TRANSFER]],SIP[[#Headers],[Investor ID]]:SIP[[#This Row],[Investor ID]],SIP[[#This Row],[Investor ID]])</f>
        <v>0</v>
      </c>
    </row>
    <row r="44" spans="1:23" ht="15" customHeight="1">
      <c r="A44" s="15">
        <v>2023</v>
      </c>
      <c r="B44" s="15">
        <v>3</v>
      </c>
      <c r="C44" s="15">
        <v>12</v>
      </c>
      <c r="D44" s="39">
        <f>IFERROR(DATE(SIP[[#This Row],[Year]],SIP[[#This Row],[Month]],SIP[[#This Row],[Day]]),0)</f>
        <v>44997</v>
      </c>
      <c r="E44" s="40" t="str" cm="1">
        <f t="array" ref="E44">IFERROR(INDEX(INVESTORS_LIST[INVESTOR NAME],MATCH(SIP[[#This Row],[Investor ID]],INVESTORS_LIST[INVESTOR CODE],0),)," ")</f>
        <v>MAISHA MUSSARRAT</v>
      </c>
      <c r="F44" s="15" t="s">
        <v>920</v>
      </c>
      <c r="G44" s="15">
        <f>COUNTIFS(SIP[[#Headers],[Investor ID]]:SIP[[#This Row],[Investor ID]],SIP[[#This Row],[Investor ID]])</f>
        <v>8</v>
      </c>
      <c r="H44" s="15" t="str">
        <f>CONCATENATE(SIP[[#This Row],[Frequency]],SIP[[#This Row],[Investor ID]])</f>
        <v>8A00420</v>
      </c>
      <c r="I44" s="15" t="str">
        <f>IF(SIP[[#This Row],[B/S]]="B","BUY",(IF(SIP[[#This Row],[B/S]]="S","SELL"," ")))</f>
        <v>SELL</v>
      </c>
      <c r="J44" s="15" t="s">
        <v>866</v>
      </c>
      <c r="K44" s="38">
        <v>-10000</v>
      </c>
      <c r="L44" s="38"/>
      <c r="M44" s="176">
        <f>IFERROR(SIP[[#This Row],[Amount]]/SIP[[#This Row],[Unit]],0)</f>
        <v>10.070493454179255</v>
      </c>
      <c r="N44" s="42">
        <f>SIP[[#This Row],[Unit Capital]]/10</f>
        <v>-993</v>
      </c>
      <c r="O44" s="50">
        <f>SUMIFS(SIP[[#Headers],[Unit]]:SIP[[#This Row],[Unit]],SIP[[#Headers],[Investor ID]]:SIP[[#This Row],[Investor ID]],SIP[[#This Row],[Investor ID]])</f>
        <v>4113</v>
      </c>
      <c r="P44" s="38">
        <v>-9930</v>
      </c>
      <c r="Q44" s="41">
        <f>SIP[[#This Row],[Amount]]-SIP[[#This Row],[Unit Capital]]</f>
        <v>-70</v>
      </c>
      <c r="R44" s="176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9.8601964942441267</v>
      </c>
      <c r="S44" s="176">
        <f t="shared" si="7"/>
        <v>12.552</v>
      </c>
      <c r="T44" s="41">
        <f>IF(SIP[[#This Row],[B/S]]="B",0,ABS(SIP[[#This Row],[Unit]])*(SIP[[#This Row],[NAV (Strike Rate)]]-INDEX(SIP[NAV at Cost (Average)],MATCH(CONCATENATE(SIP[[#This Row],[Frequency]]-1,SIP[[#This Row],[Investor ID]]),SIP[Unique Code],0),)))</f>
        <v>208.82488121558242</v>
      </c>
      <c r="U44" s="43" cm="1">
        <f t="array" ref="U44">IF(SIP[[#This Row],[B/S]]="S",ABS(SIP[[#This Row],[Unit]])*(INDEX(SIP[NAV at Cost (Average)],MATCH(CONCATENATE((SIP[[#This Row],[Frequency]]-1),SIP[[#This Row],[Investor ID]]),SIP[Unique Code],0),0)),0)</f>
        <v>9791.1751187844184</v>
      </c>
      <c r="V44" s="43">
        <f>IF(SIP[[#This Row],[BO Transfer]]="YES",SIP[[#This Row],[Unit]],)</f>
        <v>0</v>
      </c>
      <c r="W44" s="41">
        <f>SUMIFS(SIP[[#Headers],[BO UNIT TRANSFER]]:SIP[[#This Row],[BO UNIT TRANSFER]],SIP[[#Headers],[Investor ID]]:SIP[[#This Row],[Investor ID]],SIP[[#This Row],[Investor ID]])</f>
        <v>0</v>
      </c>
    </row>
    <row r="45" spans="1:23" ht="15" customHeight="1">
      <c r="A45" s="15">
        <v>2023</v>
      </c>
      <c r="B45" s="15">
        <v>3</v>
      </c>
      <c r="C45" s="15">
        <v>26</v>
      </c>
      <c r="D45" s="39">
        <f>IFERROR(DATE(SIP[[#This Row],[Year]],SIP[[#This Row],[Month]],SIP[[#This Row],[Day]]),0)</f>
        <v>45011</v>
      </c>
      <c r="E45" s="40" t="str" cm="1">
        <f t="array" ref="E45">IFERROR(INDEX(INVESTORS_LIST[INVESTOR NAME],MATCH(SIP[[#This Row],[Investor ID]],INVESTORS_LIST[INVESTOR CODE],0),)," ")</f>
        <v>MRIDUL KUMAR DEY</v>
      </c>
      <c r="F45" s="15" t="s">
        <v>27</v>
      </c>
      <c r="G45" s="15">
        <f>COUNTIFS(SIP[[#Headers],[Investor ID]]:SIP[[#This Row],[Investor ID]],SIP[[#This Row],[Investor ID]])</f>
        <v>12</v>
      </c>
      <c r="H45" s="15" t="str">
        <f>CONCATENATE(SIP[[#This Row],[Frequency]],SIP[[#This Row],[Investor ID]])</f>
        <v>12A00020</v>
      </c>
      <c r="I45" s="15" t="str">
        <f>IF(SIP[[#This Row],[B/S]]="B","BUY",(IF(SIP[[#This Row],[B/S]]="S","SELL"," ")))</f>
        <v>BUY</v>
      </c>
      <c r="J45" s="15" t="s">
        <v>301</v>
      </c>
      <c r="K45" s="38">
        <v>5000</v>
      </c>
      <c r="L45" s="38"/>
      <c r="M45" s="176">
        <f>IFERROR(SIP[[#This Row],[Amount]]/SIP[[#This Row],[Unit]],0)</f>
        <v>10.1010101010101</v>
      </c>
      <c r="N45" s="42">
        <f>SIP[[#This Row],[Unit Capital]]/10</f>
        <v>495</v>
      </c>
      <c r="O45" s="50">
        <f>SUMIFS(SIP[[#Headers],[Unit]]:SIP[[#This Row],[Unit]],SIP[[#Headers],[Investor ID]]:SIP[[#This Row],[Investor ID]],SIP[[#This Row],[Investor ID]])</f>
        <v>6037</v>
      </c>
      <c r="P45" s="38">
        <v>4950</v>
      </c>
      <c r="Q45" s="41">
        <f>SIP[[#This Row],[Amount]]-SIP[[#This Row],[Unit Capital]]</f>
        <v>50</v>
      </c>
      <c r="R4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9.9387112804373015</v>
      </c>
      <c r="S45" s="43">
        <f t="shared" si="7"/>
        <v>12.552</v>
      </c>
      <c r="T4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5" s="43" cm="1">
        <f t="array" ref="U45">IF(SIP[[#This Row],[B/S]]="S",ABS(SIP[[#This Row],[Unit]])*(INDEX(SIP[NAV at Cost (Average)],MATCH(CONCATENATE((SIP[[#This Row],[Frequency]]-1),SIP[[#This Row],[Investor ID]]),SIP[Unique Code],0),0)),0)</f>
        <v>0</v>
      </c>
      <c r="V45" s="43">
        <f>IF(SIP[[#This Row],[BO Transfer]]="YES",SIP[[#This Row],[Unit]],)</f>
        <v>0</v>
      </c>
      <c r="W45" s="41">
        <f>SUMIFS(SIP[[#Headers],[BO UNIT TRANSFER]]:SIP[[#This Row],[BO UNIT TRANSFER]],SIP[[#Headers],[Investor ID]]:SIP[[#This Row],[Investor ID]],SIP[[#This Row],[Investor ID]])</f>
        <v>0</v>
      </c>
    </row>
    <row r="46" spans="1:23" ht="15" customHeight="1">
      <c r="A46" s="15">
        <v>2023</v>
      </c>
      <c r="B46" s="15">
        <v>3</v>
      </c>
      <c r="C46" s="15">
        <v>26</v>
      </c>
      <c r="D46" s="39">
        <f>IFERROR(DATE(SIP[[#This Row],[Year]],SIP[[#This Row],[Month]],SIP[[#This Row],[Day]]),0)</f>
        <v>45011</v>
      </c>
      <c r="E46" s="40" t="str" cm="1">
        <f t="array" ref="E46">IFERROR(INDEX(INVESTORS_LIST[INVESTOR NAME],MATCH(SIP[[#This Row],[Investor ID]],INVESTORS_LIST[INVESTOR CODE],0),)," ")</f>
        <v>MD MIZANUR RAHMAN</v>
      </c>
      <c r="F46" s="15" t="s">
        <v>177</v>
      </c>
      <c r="G46" s="15">
        <f>COUNTIFS(SIP[[#Headers],[Investor ID]]:SIP[[#This Row],[Investor ID]],SIP[[#This Row],[Investor ID]])</f>
        <v>10</v>
      </c>
      <c r="H46" s="15" t="str">
        <f>CONCATENATE(SIP[[#This Row],[Frequency]],SIP[[#This Row],[Investor ID]])</f>
        <v>10A00144</v>
      </c>
      <c r="I46" s="15" t="str">
        <f>IF(SIP[[#This Row],[B/S]]="B","BUY",(IF(SIP[[#This Row],[B/S]]="S","SELL"," ")))</f>
        <v>BUY</v>
      </c>
      <c r="J46" s="15" t="s">
        <v>301</v>
      </c>
      <c r="K46" s="38">
        <v>10000</v>
      </c>
      <c r="L46" s="38"/>
      <c r="M46" s="176">
        <f>IFERROR(SIP[[#This Row],[Amount]]/SIP[[#This Row],[Unit]],0)</f>
        <v>10.1010101010101</v>
      </c>
      <c r="N46" s="42">
        <f>SIP[[#This Row],[Unit Capital]]/10</f>
        <v>990</v>
      </c>
      <c r="O46" s="50">
        <f>SUMIFS(SIP[[#Headers],[Unit]]:SIP[[#This Row],[Unit]],SIP[[#Headers],[Investor ID]]:SIP[[#This Row],[Investor ID]],SIP[[#This Row],[Investor ID]])</f>
        <v>10060</v>
      </c>
      <c r="P46" s="38">
        <v>9900</v>
      </c>
      <c r="Q46" s="41">
        <f>SIP[[#This Row],[Amount]]-SIP[[#This Row],[Unit Capital]]</f>
        <v>100</v>
      </c>
      <c r="R4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9.9403578528827037</v>
      </c>
      <c r="S46" s="43">
        <f t="shared" si="7"/>
        <v>12.552</v>
      </c>
      <c r="T4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6" s="43" cm="1">
        <f t="array" ref="U46">IF(SIP[[#This Row],[B/S]]="S",ABS(SIP[[#This Row],[Unit]])*(INDEX(SIP[NAV at Cost (Average)],MATCH(CONCATENATE((SIP[[#This Row],[Frequency]]-1),SIP[[#This Row],[Investor ID]]),SIP[Unique Code],0),0)),0)</f>
        <v>0</v>
      </c>
      <c r="V46" s="43">
        <f>IF(SIP[[#This Row],[BO Transfer]]="YES",SIP[[#This Row],[Unit]],)</f>
        <v>0</v>
      </c>
      <c r="W46" s="41">
        <f>SUMIFS(SIP[[#Headers],[BO UNIT TRANSFER]]:SIP[[#This Row],[BO UNIT TRANSFER]],SIP[[#Headers],[Investor ID]]:SIP[[#This Row],[Investor ID]],SIP[[#This Row],[Investor ID]])</f>
        <v>0</v>
      </c>
    </row>
    <row r="47" spans="1:23" ht="15" customHeight="1">
      <c r="A47" s="15">
        <v>2023</v>
      </c>
      <c r="B47" s="15">
        <v>4</v>
      </c>
      <c r="C47" s="15">
        <v>5</v>
      </c>
      <c r="D47" s="39">
        <f>IFERROR(DATE(SIP[[#This Row],[Year]],SIP[[#This Row],[Month]],SIP[[#This Row],[Day]]),0)</f>
        <v>45021</v>
      </c>
      <c r="E47" s="40" t="str" cm="1">
        <f t="array" ref="E47">IFERROR(INDEX(INVESTORS_LIST[INVESTOR NAME],MATCH(SIP[[#This Row],[Investor ID]],INVESTORS_LIST[INVESTOR CODE],0),)," ")</f>
        <v>AHMED ASIF</v>
      </c>
      <c r="F47" s="15" t="s">
        <v>943</v>
      </c>
      <c r="G47" s="15">
        <f>COUNTIFS(SIP[[#Headers],[Investor ID]]:SIP[[#This Row],[Investor ID]],SIP[[#This Row],[Investor ID]])</f>
        <v>10</v>
      </c>
      <c r="H47" s="15" t="str">
        <f>CONCATENATE(SIP[[#This Row],[Frequency]],SIP[[#This Row],[Investor ID]])</f>
        <v>10A00432</v>
      </c>
      <c r="I47" s="15" t="str">
        <f>IF(SIP[[#This Row],[B/S]]="B","BUY",(IF(SIP[[#This Row],[B/S]]="S","SELL"," ")))</f>
        <v>BUY</v>
      </c>
      <c r="J47" s="15" t="s">
        <v>301</v>
      </c>
      <c r="K47" s="38">
        <v>5000</v>
      </c>
      <c r="L47" s="38"/>
      <c r="M47" s="176">
        <f>IFERROR(SIP[[#This Row],[Amount]]/SIP[[#This Row],[Unit]],0)</f>
        <v>10.1010101010101</v>
      </c>
      <c r="N47" s="42">
        <f>SIP[[#This Row],[Unit Capital]]/10</f>
        <v>495</v>
      </c>
      <c r="O47" s="50">
        <f>SUMIFS(SIP[[#Headers],[Unit]]:SIP[[#This Row],[Unit]],SIP[[#Headers],[Investor ID]]:SIP[[#This Row],[Investor ID]],SIP[[#This Row],[Investor ID]])</f>
        <v>5023</v>
      </c>
      <c r="P47" s="38">
        <v>4950</v>
      </c>
      <c r="Q47" s="41">
        <f>SIP[[#This Row],[Amount]]-SIP[[#This Row],[Unit Capital]]</f>
        <v>50</v>
      </c>
      <c r="R4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9.954210631096954</v>
      </c>
      <c r="S47" s="43">
        <f t="shared" si="7"/>
        <v>12.552</v>
      </c>
      <c r="T4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7" s="43" cm="1">
        <f t="array" ref="U47">IF(SIP[[#This Row],[B/S]]="S",ABS(SIP[[#This Row],[Unit]])*(INDEX(SIP[NAV at Cost (Average)],MATCH(CONCATENATE((SIP[[#This Row],[Frequency]]-1),SIP[[#This Row],[Investor ID]]),SIP[Unique Code],0),0)),0)</f>
        <v>0</v>
      </c>
      <c r="V47" s="43">
        <f>IF(SIP[[#This Row],[BO Transfer]]="YES",SIP[[#This Row],[Unit]],)</f>
        <v>0</v>
      </c>
      <c r="W47" s="41">
        <f>SUMIFS(SIP[[#Headers],[BO UNIT TRANSFER]]:SIP[[#This Row],[BO UNIT TRANSFER]],SIP[[#Headers],[Investor ID]]:SIP[[#This Row],[Investor ID]],SIP[[#This Row],[Investor ID]])</f>
        <v>0</v>
      </c>
    </row>
    <row r="48" spans="1:23" ht="15" customHeight="1">
      <c r="A48" s="15">
        <v>2023</v>
      </c>
      <c r="B48" s="15">
        <v>4</v>
      </c>
      <c r="C48" s="15">
        <v>26</v>
      </c>
      <c r="D48" s="39">
        <f>IFERROR(DATE(SIP[[#This Row],[Year]],SIP[[#This Row],[Month]],SIP[[#This Row],[Day]]),0)</f>
        <v>45042</v>
      </c>
      <c r="E48" s="40" t="str" cm="1">
        <f t="array" ref="E48">IFERROR(INDEX(INVESTORS_LIST[INVESTOR NAME],MATCH(SIP[[#This Row],[Investor ID]],INVESTORS_LIST[INVESTOR CODE],0),)," ")</f>
        <v>MRIDUL KUMAR DEY</v>
      </c>
      <c r="F48" s="15" t="s">
        <v>27</v>
      </c>
      <c r="G48" s="15">
        <f>COUNTIFS(SIP[[#Headers],[Investor ID]]:SIP[[#This Row],[Investor ID]],SIP[[#This Row],[Investor ID]])</f>
        <v>13</v>
      </c>
      <c r="H48" s="15" t="str">
        <f>CONCATENATE(SIP[[#This Row],[Frequency]],SIP[[#This Row],[Investor ID]])</f>
        <v>13A00020</v>
      </c>
      <c r="I48" s="15" t="str">
        <f>IF(SIP[[#This Row],[B/S]]="B","BUY",(IF(SIP[[#This Row],[B/S]]="S","SELL"," ")))</f>
        <v>BUY</v>
      </c>
      <c r="J48" s="15" t="s">
        <v>301</v>
      </c>
      <c r="K48" s="38">
        <v>5000</v>
      </c>
      <c r="L48" s="38"/>
      <c r="M48" s="176">
        <f>IFERROR(SIP[[#This Row],[Amount]]/SIP[[#This Row],[Unit]],0)</f>
        <v>10.141987829614605</v>
      </c>
      <c r="N48" s="42">
        <f>SIP[[#This Row],[Unit Capital]]/10</f>
        <v>493</v>
      </c>
      <c r="O48" s="50">
        <f>SUMIFS(SIP[[#Headers],[Unit]]:SIP[[#This Row],[Unit]],SIP[[#Headers],[Investor ID]]:SIP[[#This Row],[Investor ID]],SIP[[#This Row],[Investor ID]])</f>
        <v>6530</v>
      </c>
      <c r="P48" s="38">
        <v>4930</v>
      </c>
      <c r="Q48" s="41">
        <f>SIP[[#This Row],[Amount]]-SIP[[#This Row],[Unit Capital]]</f>
        <v>70</v>
      </c>
      <c r="R4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9.9540581929555874</v>
      </c>
      <c r="S48" s="43">
        <f t="shared" si="7"/>
        <v>12.552</v>
      </c>
      <c r="T4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8" s="43" cm="1">
        <f t="array" ref="U48">IF(SIP[[#This Row],[B/S]]="S",ABS(SIP[[#This Row],[Unit]])*(INDEX(SIP[NAV at Cost (Average)],MATCH(CONCATENATE((SIP[[#This Row],[Frequency]]-1),SIP[[#This Row],[Investor ID]]),SIP[Unique Code],0),0)),0)</f>
        <v>0</v>
      </c>
      <c r="V48" s="43">
        <f>IF(SIP[[#This Row],[BO Transfer]]="YES",SIP[[#This Row],[Unit]],)</f>
        <v>0</v>
      </c>
      <c r="W48" s="41">
        <f>SUMIFS(SIP[[#Headers],[BO UNIT TRANSFER]]:SIP[[#This Row],[BO UNIT TRANSFER]],SIP[[#Headers],[Investor ID]]:SIP[[#This Row],[Investor ID]],SIP[[#This Row],[Investor ID]])</f>
        <v>0</v>
      </c>
    </row>
    <row r="49" spans="1:23" ht="15" customHeight="1">
      <c r="A49" s="15">
        <v>2023</v>
      </c>
      <c r="B49" s="15">
        <v>4</v>
      </c>
      <c r="C49" s="15">
        <v>26</v>
      </c>
      <c r="D49" s="39">
        <f>IFERROR(DATE(SIP[[#This Row],[Year]],SIP[[#This Row],[Month]],SIP[[#This Row],[Day]]),0)</f>
        <v>45042</v>
      </c>
      <c r="E49" s="40" t="str" cm="1">
        <f t="array" ref="E49">IFERROR(INDEX(INVESTORS_LIST[INVESTOR NAME],MATCH(SIP[[#This Row],[Investor ID]],INVESTORS_LIST[INVESTOR CODE],0),)," ")</f>
        <v>MD MIZANUR RAHMAN</v>
      </c>
      <c r="F49" s="15" t="s">
        <v>177</v>
      </c>
      <c r="G49" s="15">
        <f>COUNTIFS(SIP[[#Headers],[Investor ID]]:SIP[[#This Row],[Investor ID]],SIP[[#This Row],[Investor ID]])</f>
        <v>11</v>
      </c>
      <c r="H49" s="15" t="str">
        <f>CONCATENATE(SIP[[#This Row],[Frequency]],SIP[[#This Row],[Investor ID]])</f>
        <v>11A00144</v>
      </c>
      <c r="I49" s="15" t="str">
        <f>IF(SIP[[#This Row],[B/S]]="B","BUY",(IF(SIP[[#This Row],[B/S]]="S","SELL"," ")))</f>
        <v>BUY</v>
      </c>
      <c r="J49" s="15" t="s">
        <v>301</v>
      </c>
      <c r="K49" s="38">
        <v>10000</v>
      </c>
      <c r="L49" s="38"/>
      <c r="M49" s="176">
        <f>IFERROR(SIP[[#This Row],[Amount]]/SIP[[#This Row],[Unit]],0)</f>
        <v>10.152284263959391</v>
      </c>
      <c r="N49" s="42">
        <f>SIP[[#This Row],[Unit Capital]]/10</f>
        <v>985</v>
      </c>
      <c r="O49" s="50">
        <f>SUMIFS(SIP[[#Headers],[Unit]]:SIP[[#This Row],[Unit]],SIP[[#Headers],[Investor ID]]:SIP[[#This Row],[Investor ID]],SIP[[#This Row],[Investor ID]])</f>
        <v>11045</v>
      </c>
      <c r="P49" s="38">
        <v>9850</v>
      </c>
      <c r="Q49" s="41">
        <f>SIP[[#This Row],[Amount]]-SIP[[#This Row],[Unit Capital]]</f>
        <v>150</v>
      </c>
      <c r="R4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9.9592575826165692</v>
      </c>
      <c r="S49" s="43">
        <f t="shared" si="7"/>
        <v>12.552</v>
      </c>
      <c r="T4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49" s="43" cm="1">
        <f t="array" ref="U49">IF(SIP[[#This Row],[B/S]]="S",ABS(SIP[[#This Row],[Unit]])*(INDEX(SIP[NAV at Cost (Average)],MATCH(CONCATENATE((SIP[[#This Row],[Frequency]]-1),SIP[[#This Row],[Investor ID]]),SIP[Unique Code],0),0)),0)</f>
        <v>0</v>
      </c>
      <c r="V49" s="43">
        <f>IF(SIP[[#This Row],[BO Transfer]]="YES",SIP[[#This Row],[Unit]],)</f>
        <v>0</v>
      </c>
      <c r="W49" s="41">
        <f>SUMIFS(SIP[[#Headers],[BO UNIT TRANSFER]]:SIP[[#This Row],[BO UNIT TRANSFER]],SIP[[#Headers],[Investor ID]]:SIP[[#This Row],[Investor ID]],SIP[[#This Row],[Investor ID]])</f>
        <v>0</v>
      </c>
    </row>
    <row r="50" spans="1:23" ht="15" customHeight="1">
      <c r="A50" s="15">
        <v>2023</v>
      </c>
      <c r="B50" s="15">
        <v>5</v>
      </c>
      <c r="C50" s="15">
        <v>5</v>
      </c>
      <c r="D50" s="39">
        <f>IFERROR(DATE(SIP[[#This Row],[Year]],SIP[[#This Row],[Month]],SIP[[#This Row],[Day]]),0)</f>
        <v>45051</v>
      </c>
      <c r="E50" s="40" t="str" cm="1">
        <f t="array" ref="E50">IFERROR(INDEX(INVESTORS_LIST[INVESTOR NAME],MATCH(SIP[[#This Row],[Investor ID]],INVESTORS_LIST[INVESTOR CODE],0),)," ")</f>
        <v>AHMED ASIF</v>
      </c>
      <c r="F50" s="15" t="s">
        <v>943</v>
      </c>
      <c r="G50" s="15">
        <f>COUNTIFS(SIP[[#Headers],[Investor ID]]:SIP[[#This Row],[Investor ID]],SIP[[#This Row],[Investor ID]])</f>
        <v>11</v>
      </c>
      <c r="H50" s="15" t="str">
        <f>CONCATENATE(SIP[[#This Row],[Frequency]],SIP[[#This Row],[Investor ID]])</f>
        <v>11A00432</v>
      </c>
      <c r="I50" s="15" t="str">
        <f>IF(SIP[[#This Row],[B/S]]="B","BUY",(IF(SIP[[#This Row],[B/S]]="S","SELL"," ")))</f>
        <v>BUY</v>
      </c>
      <c r="J50" s="15" t="s">
        <v>301</v>
      </c>
      <c r="K50" s="38">
        <v>5000</v>
      </c>
      <c r="L50" s="38"/>
      <c r="M50" s="176">
        <f>IFERROR(SIP[[#This Row],[Amount]]/SIP[[#This Row],[Unit]],0)</f>
        <v>10.183299389002036</v>
      </c>
      <c r="N50" s="42">
        <f>SIP[[#This Row],[Unit Capital]]/10</f>
        <v>491</v>
      </c>
      <c r="O50" s="50">
        <f>SUMIFS(SIP[[#Headers],[Unit]]:SIP[[#This Row],[Unit]],SIP[[#Headers],[Investor ID]]:SIP[[#This Row],[Investor ID]],SIP[[#This Row],[Investor ID]])</f>
        <v>5514</v>
      </c>
      <c r="P50" s="38">
        <v>4910</v>
      </c>
      <c r="Q50" s="41">
        <f>SIP[[#This Row],[Amount]]-SIP[[#This Row],[Unit Capital]]</f>
        <v>90</v>
      </c>
      <c r="R5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9.974610083424011</v>
      </c>
      <c r="S50" s="43">
        <f t="shared" ref="S50:S55" si="8">NAV_MKT</f>
        <v>12.552</v>
      </c>
      <c r="T5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0" s="43" cm="1">
        <f t="array" ref="U50">IF(SIP[[#This Row],[B/S]]="S",ABS(SIP[[#This Row],[Unit]])*(INDEX(SIP[NAV at Cost (Average)],MATCH(CONCATENATE((SIP[[#This Row],[Frequency]]-1),SIP[[#This Row],[Investor ID]]),SIP[Unique Code],0),0)),0)</f>
        <v>0</v>
      </c>
      <c r="V50" s="43">
        <f>IF(SIP[[#This Row],[BO Transfer]]="YES",SIP[[#This Row],[Unit]],)</f>
        <v>0</v>
      </c>
      <c r="W50" s="41">
        <f>SUMIFS(SIP[[#Headers],[BO UNIT TRANSFER]]:SIP[[#This Row],[BO UNIT TRANSFER]],SIP[[#Headers],[Investor ID]]:SIP[[#This Row],[Investor ID]],SIP[[#This Row],[Investor ID]])</f>
        <v>0</v>
      </c>
    </row>
    <row r="51" spans="1:23" ht="15" customHeight="1">
      <c r="A51" s="15">
        <v>2023</v>
      </c>
      <c r="B51" s="15">
        <v>5</v>
      </c>
      <c r="C51" s="15">
        <v>26</v>
      </c>
      <c r="D51" s="39">
        <f>IFERROR(DATE(SIP[[#This Row],[Year]],SIP[[#This Row],[Month]],SIP[[#This Row],[Day]]),0)</f>
        <v>45072</v>
      </c>
      <c r="E51" s="40" t="str" cm="1">
        <f t="array" ref="E51">IFERROR(INDEX(INVESTORS_LIST[INVESTOR NAME],MATCH(SIP[[#This Row],[Investor ID]],INVESTORS_LIST[INVESTOR CODE],0),)," ")</f>
        <v>MRIDUL KUMAR DEY</v>
      </c>
      <c r="F51" s="15" t="s">
        <v>27</v>
      </c>
      <c r="G51" s="15">
        <f>COUNTIFS(SIP[[#Headers],[Investor ID]]:SIP[[#This Row],[Investor ID]],SIP[[#This Row],[Investor ID]])</f>
        <v>14</v>
      </c>
      <c r="H51" s="15" t="str">
        <f>CONCATENATE(SIP[[#This Row],[Frequency]],SIP[[#This Row],[Investor ID]])</f>
        <v>14A00020</v>
      </c>
      <c r="I51" s="15" t="str">
        <f>IF(SIP[[#This Row],[B/S]]="B","BUY",(IF(SIP[[#This Row],[B/S]]="S","SELL"," ")))</f>
        <v>BUY</v>
      </c>
      <c r="J51" s="15" t="s">
        <v>301</v>
      </c>
      <c r="K51" s="38">
        <v>5000</v>
      </c>
      <c r="L51" s="38"/>
      <c r="M51" s="176">
        <f>IFERROR(SIP[[#This Row],[Amount]]/SIP[[#This Row],[Unit]],0)</f>
        <v>10.224948875255624</v>
      </c>
      <c r="N51" s="42">
        <f>SIP[[#This Row],[Unit Capital]]/10</f>
        <v>489</v>
      </c>
      <c r="O51" s="50">
        <f>SUMIFS(SIP[[#Headers],[Unit]]:SIP[[#This Row],[Unit]],SIP[[#Headers],[Investor ID]]:SIP[[#This Row],[Investor ID]],SIP[[#This Row],[Investor ID]])</f>
        <v>7019</v>
      </c>
      <c r="P51" s="38">
        <v>4890</v>
      </c>
      <c r="Q51" s="41">
        <f>SIP[[#This Row],[Amount]]-SIP[[#This Row],[Unit Capital]]</f>
        <v>110</v>
      </c>
      <c r="R5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9.972930616896992</v>
      </c>
      <c r="S51" s="43">
        <f t="shared" si="8"/>
        <v>12.552</v>
      </c>
      <c r="T5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1" s="43" cm="1">
        <f t="array" ref="U51">IF(SIP[[#This Row],[B/S]]="S",ABS(SIP[[#This Row],[Unit]])*(INDEX(SIP[NAV at Cost (Average)],MATCH(CONCATENATE((SIP[[#This Row],[Frequency]]-1),SIP[[#This Row],[Investor ID]]),SIP[Unique Code],0),0)),0)</f>
        <v>0</v>
      </c>
      <c r="V51" s="43">
        <f>IF(SIP[[#This Row],[BO Transfer]]="YES",SIP[[#This Row],[Unit]],)</f>
        <v>0</v>
      </c>
      <c r="W51" s="41">
        <f>SUMIFS(SIP[[#Headers],[BO UNIT TRANSFER]]:SIP[[#This Row],[BO UNIT TRANSFER]],SIP[[#Headers],[Investor ID]]:SIP[[#This Row],[Investor ID]],SIP[[#This Row],[Investor ID]])</f>
        <v>0</v>
      </c>
    </row>
    <row r="52" spans="1:23" ht="15" customHeight="1">
      <c r="A52" s="15">
        <v>2023</v>
      </c>
      <c r="B52" s="15">
        <v>5</v>
      </c>
      <c r="C52" s="15">
        <v>26</v>
      </c>
      <c r="D52" s="39">
        <f>IFERROR(DATE(SIP[[#This Row],[Year]],SIP[[#This Row],[Month]],SIP[[#This Row],[Day]]),0)</f>
        <v>45072</v>
      </c>
      <c r="E52" s="40" t="str" cm="1">
        <f t="array" ref="E52">IFERROR(INDEX(INVESTORS_LIST[INVESTOR NAME],MATCH(SIP[[#This Row],[Investor ID]],INVESTORS_LIST[INVESTOR CODE],0),)," ")</f>
        <v>MD MIZANUR RAHMAN</v>
      </c>
      <c r="F52" s="15" t="s">
        <v>177</v>
      </c>
      <c r="G52" s="15">
        <f>COUNTIFS(SIP[[#Headers],[Investor ID]]:SIP[[#This Row],[Investor ID]],SIP[[#This Row],[Investor ID]])</f>
        <v>12</v>
      </c>
      <c r="H52" s="15" t="str">
        <f>CONCATENATE(SIP[[#This Row],[Frequency]],SIP[[#This Row],[Investor ID]])</f>
        <v>12A00144</v>
      </c>
      <c r="I52" s="15" t="str">
        <f>IF(SIP[[#This Row],[B/S]]="B","BUY",(IF(SIP[[#This Row],[B/S]]="S","SELL"," ")))</f>
        <v>BUY</v>
      </c>
      <c r="J52" s="15" t="s">
        <v>301</v>
      </c>
      <c r="K52" s="38">
        <v>10000</v>
      </c>
      <c r="L52" s="38"/>
      <c r="M52" s="176">
        <f>IFERROR(SIP[[#This Row],[Amount]]/SIP[[#This Row],[Unit]],0)</f>
        <v>10.224948875255624</v>
      </c>
      <c r="N52" s="42">
        <f>SIP[[#This Row],[Unit Capital]]/10</f>
        <v>978</v>
      </c>
      <c r="O52" s="50">
        <f>SUMIFS(SIP[[#Headers],[Unit]]:SIP[[#This Row],[Unit]],SIP[[#Headers],[Investor ID]]:SIP[[#This Row],[Investor ID]],SIP[[#This Row],[Investor ID]])</f>
        <v>12023</v>
      </c>
      <c r="P52" s="38">
        <v>9780</v>
      </c>
      <c r="Q52" s="41">
        <f>SIP[[#This Row],[Amount]]-SIP[[#This Row],[Unit Capital]]</f>
        <v>220</v>
      </c>
      <c r="R5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9.9808699991682612</v>
      </c>
      <c r="S52" s="43">
        <f t="shared" si="8"/>
        <v>12.552</v>
      </c>
      <c r="T5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2" s="43" cm="1">
        <f t="array" ref="U52">IF(SIP[[#This Row],[B/S]]="S",ABS(SIP[[#This Row],[Unit]])*(INDEX(SIP[NAV at Cost (Average)],MATCH(CONCATENATE((SIP[[#This Row],[Frequency]]-1),SIP[[#This Row],[Investor ID]]),SIP[Unique Code],0),0)),0)</f>
        <v>0</v>
      </c>
      <c r="V52" s="43">
        <f>IF(SIP[[#This Row],[BO Transfer]]="YES",SIP[[#This Row],[Unit]],)</f>
        <v>0</v>
      </c>
      <c r="W52" s="41">
        <f>SUMIFS(SIP[[#Headers],[BO UNIT TRANSFER]]:SIP[[#This Row],[BO UNIT TRANSFER]],SIP[[#Headers],[Investor ID]]:SIP[[#This Row],[Investor ID]],SIP[[#This Row],[Investor ID]])</f>
        <v>0</v>
      </c>
    </row>
    <row r="53" spans="1:23" ht="15" customHeight="1">
      <c r="A53" s="15">
        <v>2023</v>
      </c>
      <c r="B53" s="15">
        <v>6</v>
      </c>
      <c r="C53" s="15">
        <v>5</v>
      </c>
      <c r="D53" s="39">
        <f>IFERROR(DATE(SIP[[#This Row],[Year]],SIP[[#This Row],[Month]],SIP[[#This Row],[Day]]),0)</f>
        <v>45082</v>
      </c>
      <c r="E53" s="40" t="str" cm="1">
        <f t="array" ref="E53">IFERROR(INDEX(INVESTORS_LIST[INVESTOR NAME],MATCH(SIP[[#This Row],[Investor ID]],INVESTORS_LIST[INVESTOR CODE],0),)," ")</f>
        <v>AHMED ASIF</v>
      </c>
      <c r="F53" s="15" t="s">
        <v>943</v>
      </c>
      <c r="G53" s="15">
        <f>COUNTIFS(SIP[[#Headers],[Investor ID]]:SIP[[#This Row],[Investor ID]],SIP[[#This Row],[Investor ID]])</f>
        <v>12</v>
      </c>
      <c r="H53" s="15" t="str">
        <f>CONCATENATE(SIP[[#This Row],[Frequency]],SIP[[#This Row],[Investor ID]])</f>
        <v>12A00432</v>
      </c>
      <c r="I53" s="15" t="str">
        <f>IF(SIP[[#This Row],[B/S]]="B","BUY",(IF(SIP[[#This Row],[B/S]]="S","SELL"," ")))</f>
        <v>BUY</v>
      </c>
      <c r="J53" s="15" t="s">
        <v>301</v>
      </c>
      <c r="K53" s="38">
        <v>5000</v>
      </c>
      <c r="L53" s="38"/>
      <c r="M53" s="176">
        <f>IFERROR(SIP[[#This Row],[Amount]]/SIP[[#This Row],[Unit]],0)</f>
        <v>10.224948875255624</v>
      </c>
      <c r="N53" s="42">
        <f>SIP[[#This Row],[Unit Capital]]/10</f>
        <v>489</v>
      </c>
      <c r="O53" s="50">
        <f>SUMIFS(SIP[[#Headers],[Unit]]:SIP[[#This Row],[Unit]],SIP[[#Headers],[Investor ID]]:SIP[[#This Row],[Investor ID]],SIP[[#This Row],[Investor ID]])</f>
        <v>6003</v>
      </c>
      <c r="P53" s="38">
        <v>4890</v>
      </c>
      <c r="Q53" s="41">
        <f>SIP[[#This Row],[Amount]]-SIP[[#This Row],[Unit Capital]]</f>
        <v>110</v>
      </c>
      <c r="R5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9.9950024987506225</v>
      </c>
      <c r="S53" s="43">
        <f t="shared" si="8"/>
        <v>12.552</v>
      </c>
      <c r="T5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3" s="43" cm="1">
        <f t="array" ref="U53">IF(SIP[[#This Row],[B/S]]="S",ABS(SIP[[#This Row],[Unit]])*(INDEX(SIP[NAV at Cost (Average)],MATCH(CONCATENATE((SIP[[#This Row],[Frequency]]-1),SIP[[#This Row],[Investor ID]]),SIP[Unique Code],0),0)),0)</f>
        <v>0</v>
      </c>
      <c r="V53" s="43">
        <f>IF(SIP[[#This Row],[BO Transfer]]="YES",SIP[[#This Row],[Unit]],)</f>
        <v>0</v>
      </c>
      <c r="W53" s="41">
        <f>SUMIFS(SIP[[#Headers],[BO UNIT TRANSFER]]:SIP[[#This Row],[BO UNIT TRANSFER]],SIP[[#Headers],[Investor ID]]:SIP[[#This Row],[Investor ID]],SIP[[#This Row],[Investor ID]])</f>
        <v>0</v>
      </c>
    </row>
    <row r="54" spans="1:23" ht="15" customHeight="1">
      <c r="A54" s="15">
        <v>2023</v>
      </c>
      <c r="B54" s="15">
        <v>6</v>
      </c>
      <c r="C54" s="15">
        <v>26</v>
      </c>
      <c r="D54" s="39">
        <f>IFERROR(DATE(SIP[[#This Row],[Year]],SIP[[#This Row],[Month]],SIP[[#This Row],[Day]]),0)</f>
        <v>45103</v>
      </c>
      <c r="E54" s="40" t="str" cm="1">
        <f t="array" ref="E54">IFERROR(INDEX(INVESTORS_LIST[INVESTOR NAME],MATCH(SIP[[#This Row],[Investor ID]],INVESTORS_LIST[INVESTOR CODE],0),)," ")</f>
        <v>MRIDUL KUMAR DEY</v>
      </c>
      <c r="F54" s="15" t="s">
        <v>27</v>
      </c>
      <c r="G54" s="15">
        <f>COUNTIFS(SIP[[#Headers],[Investor ID]]:SIP[[#This Row],[Investor ID]],SIP[[#This Row],[Investor ID]])</f>
        <v>15</v>
      </c>
      <c r="H54" s="15" t="str">
        <f>CONCATENATE(SIP[[#This Row],[Frequency]],SIP[[#This Row],[Investor ID]])</f>
        <v>15A00020</v>
      </c>
      <c r="I54" s="15" t="str">
        <f>IF(SIP[[#This Row],[B/S]]="B","BUY",(IF(SIP[[#This Row],[B/S]]="S","SELL"," ")))</f>
        <v>BUY</v>
      </c>
      <c r="J54" s="15" t="s">
        <v>301</v>
      </c>
      <c r="K54" s="38">
        <v>5000</v>
      </c>
      <c r="L54" s="38"/>
      <c r="M54" s="176">
        <f>IFERROR(SIP[[#This Row],[Amount]]/SIP[[#This Row],[Unit]],0)</f>
        <v>10.245901639344263</v>
      </c>
      <c r="N54" s="42">
        <f>SIP[[#This Row],[Unit Capital]]/10</f>
        <v>488</v>
      </c>
      <c r="O54" s="50">
        <f>SUMIFS(SIP[[#Headers],[Unit]]:SIP[[#This Row],[Unit]],SIP[[#Headers],[Investor ID]]:SIP[[#This Row],[Investor ID]],SIP[[#This Row],[Investor ID]])</f>
        <v>7507</v>
      </c>
      <c r="P54" s="38">
        <v>4880</v>
      </c>
      <c r="Q54" s="41">
        <f>SIP[[#This Row],[Amount]]-SIP[[#This Row],[Unit Capital]]</f>
        <v>120</v>
      </c>
      <c r="R5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9.990675369654987</v>
      </c>
      <c r="S54" s="43">
        <f t="shared" si="8"/>
        <v>12.552</v>
      </c>
      <c r="T5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4" s="43" cm="1">
        <f t="array" ref="U54">IF(SIP[[#This Row],[B/S]]="S",ABS(SIP[[#This Row],[Unit]])*(INDEX(SIP[NAV at Cost (Average)],MATCH(CONCATENATE((SIP[[#This Row],[Frequency]]-1),SIP[[#This Row],[Investor ID]]),SIP[Unique Code],0),0)),0)</f>
        <v>0</v>
      </c>
      <c r="V54" s="43">
        <f>IF(SIP[[#This Row],[BO Transfer]]="YES",SIP[[#This Row],[Unit]],)</f>
        <v>0</v>
      </c>
      <c r="W54" s="41">
        <f>SUMIFS(SIP[[#Headers],[BO UNIT TRANSFER]]:SIP[[#This Row],[BO UNIT TRANSFER]],SIP[[#Headers],[Investor ID]]:SIP[[#This Row],[Investor ID]],SIP[[#This Row],[Investor ID]])</f>
        <v>0</v>
      </c>
    </row>
    <row r="55" spans="1:23" ht="15" customHeight="1">
      <c r="A55" s="15">
        <v>2023</v>
      </c>
      <c r="B55" s="15">
        <v>6</v>
      </c>
      <c r="C55" s="15">
        <v>26</v>
      </c>
      <c r="D55" s="39">
        <f>IFERROR(DATE(SIP[[#This Row],[Year]],SIP[[#This Row],[Month]],SIP[[#This Row],[Day]]),0)</f>
        <v>45103</v>
      </c>
      <c r="E55" s="40" t="str" cm="1">
        <f t="array" ref="E55">IFERROR(INDEX(INVESTORS_LIST[INVESTOR NAME],MATCH(SIP[[#This Row],[Investor ID]],INVESTORS_LIST[INVESTOR CODE],0),)," ")</f>
        <v>MD MIZANUR RAHMAN</v>
      </c>
      <c r="F55" s="15" t="s">
        <v>177</v>
      </c>
      <c r="G55" s="15">
        <f>COUNTIFS(SIP[[#Headers],[Investor ID]]:SIP[[#This Row],[Investor ID]],SIP[[#This Row],[Investor ID]])</f>
        <v>13</v>
      </c>
      <c r="H55" s="15" t="str">
        <f>CONCATENATE(SIP[[#This Row],[Frequency]],SIP[[#This Row],[Investor ID]])</f>
        <v>13A00144</v>
      </c>
      <c r="I55" s="15" t="str">
        <f>IF(SIP[[#This Row],[B/S]]="B","BUY",(IF(SIP[[#This Row],[B/S]]="S","SELL"," ")))</f>
        <v>BUY</v>
      </c>
      <c r="J55" s="15" t="s">
        <v>301</v>
      </c>
      <c r="K55" s="38">
        <v>10000</v>
      </c>
      <c r="L55" s="38"/>
      <c r="M55" s="176">
        <f>IFERROR(SIP[[#This Row],[Amount]]/SIP[[#This Row],[Unit]],0)</f>
        <v>10.256410256410257</v>
      </c>
      <c r="N55" s="42">
        <f>SIP[[#This Row],[Unit Capital]]/10</f>
        <v>975</v>
      </c>
      <c r="O55" s="50">
        <f>SUMIFS(SIP[[#Headers],[Unit]]:SIP[[#This Row],[Unit]],SIP[[#Headers],[Investor ID]]:SIP[[#This Row],[Investor ID]],SIP[[#This Row],[Investor ID]])</f>
        <v>12998</v>
      </c>
      <c r="P55" s="38">
        <v>9750</v>
      </c>
      <c r="Q55" s="41">
        <f>SIP[[#This Row],[Amount]]-SIP[[#This Row],[Unit Capital]]</f>
        <v>250</v>
      </c>
      <c r="R5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10.001538698261271</v>
      </c>
      <c r="S55" s="43">
        <f t="shared" si="8"/>
        <v>12.552</v>
      </c>
      <c r="T5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5" s="43" cm="1">
        <f t="array" ref="U55">IF(SIP[[#This Row],[B/S]]="S",ABS(SIP[[#This Row],[Unit]])*(INDEX(SIP[NAV at Cost (Average)],MATCH(CONCATENATE((SIP[[#This Row],[Frequency]]-1),SIP[[#This Row],[Investor ID]]),SIP[Unique Code],0),0)),0)</f>
        <v>0</v>
      </c>
      <c r="V55" s="43">
        <f>IF(SIP[[#This Row],[BO Transfer]]="YES",SIP[[#This Row],[Unit]],)</f>
        <v>0</v>
      </c>
      <c r="W55" s="41">
        <f>SUMIFS(SIP[[#Headers],[BO UNIT TRANSFER]]:SIP[[#This Row],[BO UNIT TRANSFER]],SIP[[#Headers],[Investor ID]]:SIP[[#This Row],[Investor ID]],SIP[[#This Row],[Investor ID]])</f>
        <v>0</v>
      </c>
    </row>
    <row r="56" spans="1:23" ht="15" customHeight="1">
      <c r="A56" s="15">
        <v>2023</v>
      </c>
      <c r="B56" s="15">
        <v>7</v>
      </c>
      <c r="C56" s="15">
        <v>5</v>
      </c>
      <c r="D56" s="39">
        <f>IFERROR(DATE(SIP[[#This Row],[Year]],SIP[[#This Row],[Month]],SIP[[#This Row],[Day]]),0)</f>
        <v>45112</v>
      </c>
      <c r="E56" s="40" t="str" cm="1">
        <f t="array" ref="E56">IFERROR(INDEX(INVESTORS_LIST[INVESTOR NAME],MATCH(SIP[[#This Row],[Investor ID]],INVESTORS_LIST[INVESTOR CODE],0),)," ")</f>
        <v>AHMED ASIF</v>
      </c>
      <c r="F56" s="15" t="s">
        <v>943</v>
      </c>
      <c r="G56" s="15">
        <f>COUNTIFS(SIP[[#Headers],[Investor ID]]:SIP[[#This Row],[Investor ID]],SIP[[#This Row],[Investor ID]])</f>
        <v>13</v>
      </c>
      <c r="H56" s="15" t="str">
        <f>CONCATENATE(SIP[[#This Row],[Frequency]],SIP[[#This Row],[Investor ID]])</f>
        <v>13A00432</v>
      </c>
      <c r="I56" s="15" t="str">
        <f>IF(SIP[[#This Row],[B/S]]="B","BUY",(IF(SIP[[#This Row],[B/S]]="S","SELL"," ")))</f>
        <v>BUY</v>
      </c>
      <c r="J56" s="15" t="s">
        <v>301</v>
      </c>
      <c r="K56" s="38">
        <v>5000</v>
      </c>
      <c r="L56" s="38"/>
      <c r="M56" s="176">
        <f>IFERROR(SIP[[#This Row],[Amount]]/SIP[[#This Row],[Unit]],0)</f>
        <v>10.245901639344263</v>
      </c>
      <c r="N56" s="42">
        <f>SIP[[#This Row],[Unit Capital]]/10</f>
        <v>488</v>
      </c>
      <c r="O56" s="50">
        <f>SUMIFS(SIP[[#Headers],[Unit]]:SIP[[#This Row],[Unit]],SIP[[#Headers],[Investor ID]]:SIP[[#This Row],[Investor ID]],SIP[[#This Row],[Investor ID]])</f>
        <v>6491</v>
      </c>
      <c r="P56" s="38">
        <v>4880</v>
      </c>
      <c r="Q56" s="41">
        <f>SIP[[#This Row],[Amount]]-SIP[[#This Row],[Unit Capital]]</f>
        <v>120</v>
      </c>
      <c r="R5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10.01386535202588</v>
      </c>
      <c r="S56" s="43">
        <f t="shared" ref="S56:S61" si="9">NAV_MKT</f>
        <v>12.552</v>
      </c>
      <c r="T5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6" s="43" cm="1">
        <f t="array" ref="U56">IF(SIP[[#This Row],[B/S]]="S",ABS(SIP[[#This Row],[Unit]])*(INDEX(SIP[NAV at Cost (Average)],MATCH(CONCATENATE((SIP[[#This Row],[Frequency]]-1),SIP[[#This Row],[Investor ID]]),SIP[Unique Code],0),0)),0)</f>
        <v>0</v>
      </c>
      <c r="V56" s="43">
        <f>IF(SIP[[#This Row],[BO Transfer]]="YES",SIP[[#This Row],[Unit]],)</f>
        <v>0</v>
      </c>
      <c r="W56" s="41">
        <f>SUMIFS(SIP[[#Headers],[BO UNIT TRANSFER]]:SIP[[#This Row],[BO UNIT TRANSFER]],SIP[[#Headers],[Investor ID]]:SIP[[#This Row],[Investor ID]],SIP[[#This Row],[Investor ID]])</f>
        <v>0</v>
      </c>
    </row>
    <row r="57" spans="1:23" ht="15" customHeight="1">
      <c r="A57" s="15">
        <v>2023</v>
      </c>
      <c r="B57" s="15">
        <v>7</v>
      </c>
      <c r="C57" s="15">
        <v>18</v>
      </c>
      <c r="D57" s="39">
        <f>IFERROR(DATE(SIP[[#This Row],[Year]],SIP[[#This Row],[Month]],SIP[[#This Row],[Day]]),0)</f>
        <v>45125</v>
      </c>
      <c r="E57" s="40" t="str" cm="1">
        <f t="array" ref="E57">IFERROR(INDEX(INVESTORS_LIST[INVESTOR NAME],MATCH(SIP[[#This Row],[Investor ID]],INVESTORS_LIST[INVESTOR CODE],0),)," ")</f>
        <v>AHMED ASIF</v>
      </c>
      <c r="F57" s="15" t="s">
        <v>943</v>
      </c>
      <c r="G57" s="15">
        <f>COUNTIFS(SIP[[#Headers],[Investor ID]]:SIP[[#This Row],[Investor ID]],SIP[[#This Row],[Investor ID]])</f>
        <v>14</v>
      </c>
      <c r="H57" s="15" t="str">
        <f>CONCATENATE(SIP[[#This Row],[Frequency]],SIP[[#This Row],[Investor ID]])</f>
        <v>14A00432</v>
      </c>
      <c r="I57" s="15" t="str">
        <f>IF(SIP[[#This Row],[B/S]]="B","BUY",(IF(SIP[[#This Row],[B/S]]="S","SELL"," ")))</f>
        <v>SELL</v>
      </c>
      <c r="J57" s="15" t="s">
        <v>866</v>
      </c>
      <c r="K57" s="38">
        <v>-66688.53</v>
      </c>
      <c r="L57" s="38"/>
      <c r="M57" s="176">
        <f>IFERROR(SIP[[#This Row],[Amount]]/SIP[[#This Row],[Unit]],0)</f>
        <v>10.273999383762131</v>
      </c>
      <c r="N57" s="42">
        <f>SIP[[#This Row],[Unit Capital]]/10</f>
        <v>-6491</v>
      </c>
      <c r="O57" s="50">
        <f>SUMIFS(SIP[[#Headers],[Unit]]:SIP[[#This Row],[Unit]],SIP[[#Headers],[Investor ID]]:SIP[[#This Row],[Investor ID]],SIP[[#This Row],[Investor ID]])</f>
        <v>0</v>
      </c>
      <c r="P57" s="38">
        <v>-64910</v>
      </c>
      <c r="Q57" s="41">
        <f>SIP[[#This Row],[Amount]]-SIP[[#This Row],[Unit Capital]]</f>
        <v>-1778.5299999999988</v>
      </c>
      <c r="R5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57" s="43">
        <f t="shared" si="9"/>
        <v>12.552</v>
      </c>
      <c r="T57" s="41">
        <f>IF(SIP[[#This Row],[B/S]]="B",0,ABS(SIP[[#This Row],[Unit]])*(SIP[[#This Row],[NAV (Strike Rate)]]-INDEX(SIP[NAV at Cost (Average)],MATCH(CONCATENATE(SIP[[#This Row],[Frequency]]-1,SIP[[#This Row],[Investor ID]]),SIP[Unique Code],0),)))</f>
        <v>1688.53000000001</v>
      </c>
      <c r="U57" s="43" cm="1">
        <f t="array" ref="U57">IF(SIP[[#This Row],[B/S]]="S",ABS(SIP[[#This Row],[Unit]])*(INDEX(SIP[NAV at Cost (Average)],MATCH(CONCATENATE((SIP[[#This Row],[Frequency]]-1),SIP[[#This Row],[Investor ID]]),SIP[Unique Code],0),0)),0)</f>
        <v>64999.999999999985</v>
      </c>
      <c r="V57" s="43">
        <f>IF(SIP[[#This Row],[BO Transfer]]="YES",SIP[[#This Row],[Unit]],)</f>
        <v>0</v>
      </c>
      <c r="W57" s="41">
        <f>SUMIFS(SIP[[#Headers],[BO UNIT TRANSFER]]:SIP[[#This Row],[BO UNIT TRANSFER]],SIP[[#Headers],[Investor ID]]:SIP[[#This Row],[Investor ID]],SIP[[#This Row],[Investor ID]])</f>
        <v>0</v>
      </c>
    </row>
    <row r="58" spans="1:23" ht="15" customHeight="1">
      <c r="A58" s="15">
        <v>2023</v>
      </c>
      <c r="B58" s="15">
        <v>7</v>
      </c>
      <c r="C58" s="15">
        <v>26</v>
      </c>
      <c r="D58" s="39">
        <f>IFERROR(DATE(SIP[[#This Row],[Year]],SIP[[#This Row],[Month]],SIP[[#This Row],[Day]]),0)</f>
        <v>45133</v>
      </c>
      <c r="E58" s="40" t="str" cm="1">
        <f t="array" ref="E58">IFERROR(INDEX(INVESTORS_LIST[INVESTOR NAME],MATCH(SIP[[#This Row],[Investor ID]],INVESTORS_LIST[INVESTOR CODE],0),)," ")</f>
        <v>MRIDUL KUMAR DEY</v>
      </c>
      <c r="F58" s="15" t="s">
        <v>27</v>
      </c>
      <c r="G58" s="15">
        <f>COUNTIFS(SIP[[#Headers],[Investor ID]]:SIP[[#This Row],[Investor ID]],SIP[[#This Row],[Investor ID]])</f>
        <v>16</v>
      </c>
      <c r="H58" s="15" t="str">
        <f>CONCATENATE(SIP[[#This Row],[Frequency]],SIP[[#This Row],[Investor ID]])</f>
        <v>16A00020</v>
      </c>
      <c r="I58" s="15" t="str">
        <f>IF(SIP[[#This Row],[B/S]]="B","BUY",(IF(SIP[[#This Row],[B/S]]="S","SELL"," ")))</f>
        <v>BUY</v>
      </c>
      <c r="J58" s="15" t="s">
        <v>301</v>
      </c>
      <c r="K58" s="38">
        <v>5000</v>
      </c>
      <c r="L58" s="38"/>
      <c r="M58" s="176">
        <f>IFERROR(SIP[[#This Row],[Amount]]/SIP[[#This Row],[Unit]],0)</f>
        <v>10.266940451745381</v>
      </c>
      <c r="N58" s="42">
        <f>SIP[[#This Row],[Unit Capital]]/10</f>
        <v>487</v>
      </c>
      <c r="O58" s="50">
        <f>SUMIFS(SIP[[#Headers],[Unit]]:SIP[[#This Row],[Unit]],SIP[[#Headers],[Investor ID]]:SIP[[#This Row],[Investor ID]],SIP[[#This Row],[Investor ID]])</f>
        <v>7994</v>
      </c>
      <c r="P58" s="38">
        <v>4870</v>
      </c>
      <c r="Q58" s="41">
        <f>SIP[[#This Row],[Amount]]-SIP[[#This Row],[Unit Capital]]</f>
        <v>130</v>
      </c>
      <c r="R5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10.007505629221916</v>
      </c>
      <c r="S58" s="43">
        <f t="shared" si="9"/>
        <v>12.552</v>
      </c>
      <c r="T5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8" s="43" cm="1">
        <f t="array" ref="U58">IF(SIP[[#This Row],[B/S]]="S",ABS(SIP[[#This Row],[Unit]])*(INDEX(SIP[NAV at Cost (Average)],MATCH(CONCATENATE((SIP[[#This Row],[Frequency]]-1),SIP[[#This Row],[Investor ID]]),SIP[Unique Code],0),0)),0)</f>
        <v>0</v>
      </c>
      <c r="V58" s="43">
        <f>IF(SIP[[#This Row],[BO Transfer]]="YES",SIP[[#This Row],[Unit]],)</f>
        <v>0</v>
      </c>
      <c r="W58" s="41">
        <f>SUMIFS(SIP[[#Headers],[BO UNIT TRANSFER]]:SIP[[#This Row],[BO UNIT TRANSFER]],SIP[[#Headers],[Investor ID]]:SIP[[#This Row],[Investor ID]],SIP[[#This Row],[Investor ID]])</f>
        <v>0</v>
      </c>
    </row>
    <row r="59" spans="1:23" ht="15" customHeight="1">
      <c r="A59" s="15">
        <v>2023</v>
      </c>
      <c r="B59" s="15">
        <v>7</v>
      </c>
      <c r="C59" s="15">
        <v>26</v>
      </c>
      <c r="D59" s="39">
        <f>IFERROR(DATE(SIP[[#This Row],[Year]],SIP[[#This Row],[Month]],SIP[[#This Row],[Day]]),0)</f>
        <v>45133</v>
      </c>
      <c r="E59" s="40" t="str" cm="1">
        <f t="array" ref="E59">IFERROR(INDEX(INVESTORS_LIST[INVESTOR NAME],MATCH(SIP[[#This Row],[Investor ID]],INVESTORS_LIST[INVESTOR CODE],0),)," ")</f>
        <v>MD MIZANUR RAHMAN</v>
      </c>
      <c r="F59" s="15" t="s">
        <v>177</v>
      </c>
      <c r="G59" s="15">
        <f>COUNTIFS(SIP[[#Headers],[Investor ID]]:SIP[[#This Row],[Investor ID]],SIP[[#This Row],[Investor ID]])</f>
        <v>14</v>
      </c>
      <c r="H59" s="15" t="str">
        <f>CONCATENATE(SIP[[#This Row],[Frequency]],SIP[[#This Row],[Investor ID]])</f>
        <v>14A00144</v>
      </c>
      <c r="I59" s="15" t="str">
        <f>IF(SIP[[#This Row],[B/S]]="B","BUY",(IF(SIP[[#This Row],[B/S]]="S","SELL"," ")))</f>
        <v>BUY</v>
      </c>
      <c r="J59" s="15" t="s">
        <v>301</v>
      </c>
      <c r="K59" s="38">
        <v>10000</v>
      </c>
      <c r="L59" s="38"/>
      <c r="M59" s="176">
        <f>IFERROR(SIP[[#This Row],[Amount]]/SIP[[#This Row],[Unit]],0)</f>
        <v>10.266940451745381</v>
      </c>
      <c r="N59" s="42">
        <f>SIP[[#This Row],[Unit Capital]]/10</f>
        <v>974</v>
      </c>
      <c r="O59" s="50">
        <f>SUMIFS(SIP[[#Headers],[Unit]]:SIP[[#This Row],[Unit]],SIP[[#Headers],[Investor ID]]:SIP[[#This Row],[Investor ID]],SIP[[#This Row],[Investor ID]])</f>
        <v>13972</v>
      </c>
      <c r="P59" s="38">
        <v>9740</v>
      </c>
      <c r="Q59" s="41">
        <f>SIP[[#This Row],[Amount]]-SIP[[#This Row],[Unit Capital]]</f>
        <v>260</v>
      </c>
      <c r="R5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10.020040080160321</v>
      </c>
      <c r="S59" s="43">
        <f t="shared" si="9"/>
        <v>12.552</v>
      </c>
      <c r="T5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59" s="43" cm="1">
        <f t="array" ref="U59">IF(SIP[[#This Row],[B/S]]="S",ABS(SIP[[#This Row],[Unit]])*(INDEX(SIP[NAV at Cost (Average)],MATCH(CONCATENATE((SIP[[#This Row],[Frequency]]-1),SIP[[#This Row],[Investor ID]]),SIP[Unique Code],0),0)),0)</f>
        <v>0</v>
      </c>
      <c r="V59" s="43">
        <f>IF(SIP[[#This Row],[BO Transfer]]="YES",SIP[[#This Row],[Unit]],)</f>
        <v>0</v>
      </c>
      <c r="W59" s="41">
        <f>SUMIFS(SIP[[#Headers],[BO UNIT TRANSFER]]:SIP[[#This Row],[BO UNIT TRANSFER]],SIP[[#Headers],[Investor ID]]:SIP[[#This Row],[Investor ID]],SIP[[#This Row],[Investor ID]])</f>
        <v>0</v>
      </c>
    </row>
    <row r="60" spans="1:23" ht="15" customHeight="1">
      <c r="A60" s="15">
        <v>2023</v>
      </c>
      <c r="B60" s="15">
        <v>8</v>
      </c>
      <c r="C60" s="15">
        <v>26</v>
      </c>
      <c r="D60" s="39">
        <f>IFERROR(DATE(SIP[[#This Row],[Year]],SIP[[#This Row],[Month]],SIP[[#This Row],[Day]]),0)</f>
        <v>45164</v>
      </c>
      <c r="E60" s="40" t="str" cm="1">
        <f t="array" ref="E60">IFERROR(INDEX(INVESTORS_LIST[INVESTOR NAME],MATCH(SIP[[#This Row],[Investor ID]],INVESTORS_LIST[INVESTOR CODE],0),)," ")</f>
        <v>MRIDUL KUMAR DEY</v>
      </c>
      <c r="F60" s="15" t="s">
        <v>27</v>
      </c>
      <c r="G60" s="15">
        <f>COUNTIFS(SIP[[#Headers],[Investor ID]]:SIP[[#This Row],[Investor ID]],SIP[[#This Row],[Investor ID]])</f>
        <v>17</v>
      </c>
      <c r="H60" s="15" t="str">
        <f>CONCATENATE(SIP[[#This Row],[Frequency]],SIP[[#This Row],[Investor ID]])</f>
        <v>17A00020</v>
      </c>
      <c r="I60" s="15" t="str">
        <f>IF(SIP[[#This Row],[B/S]]="B","BUY",(IF(SIP[[#This Row],[B/S]]="S","SELL"," ")))</f>
        <v>BUY</v>
      </c>
      <c r="J60" s="15" t="s">
        <v>301</v>
      </c>
      <c r="K60" s="38">
        <v>5000</v>
      </c>
      <c r="L60" s="38"/>
      <c r="M60" s="176">
        <f>IFERROR(SIP[[#This Row],[Amount]]/SIP[[#This Row],[Unit]],0)</f>
        <v>10.330578512396695</v>
      </c>
      <c r="N60" s="42">
        <f>SIP[[#This Row],[Unit Capital]]/10</f>
        <v>484</v>
      </c>
      <c r="O60" s="50">
        <f>SUMIFS(SIP[[#Headers],[Unit]]:SIP[[#This Row],[Unit]],SIP[[#Headers],[Investor ID]]:SIP[[#This Row],[Investor ID]],SIP[[#This Row],[Investor ID]])</f>
        <v>8478</v>
      </c>
      <c r="P60" s="38">
        <v>4840</v>
      </c>
      <c r="Q60" s="41">
        <f>SIP[[#This Row],[Amount]]-SIP[[#This Row],[Unit Capital]]</f>
        <v>160</v>
      </c>
      <c r="R6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10.025949516395375</v>
      </c>
      <c r="S60" s="43">
        <f t="shared" si="9"/>
        <v>12.552</v>
      </c>
      <c r="T6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0" s="43" cm="1">
        <f t="array" ref="U60">IF(SIP[[#This Row],[B/S]]="S",ABS(SIP[[#This Row],[Unit]])*(INDEX(SIP[NAV at Cost (Average)],MATCH(CONCATENATE((SIP[[#This Row],[Frequency]]-1),SIP[[#This Row],[Investor ID]]),SIP[Unique Code],0),0)),0)</f>
        <v>0</v>
      </c>
      <c r="V60" s="43">
        <f>IF(SIP[[#This Row],[BO Transfer]]="YES",SIP[[#This Row],[Unit]],)</f>
        <v>0</v>
      </c>
      <c r="W60" s="41">
        <f>SUMIFS(SIP[[#Headers],[BO UNIT TRANSFER]]:SIP[[#This Row],[BO UNIT TRANSFER]],SIP[[#Headers],[Investor ID]]:SIP[[#This Row],[Investor ID]],SIP[[#This Row],[Investor ID]])</f>
        <v>0</v>
      </c>
    </row>
    <row r="61" spans="1:23" ht="15" customHeight="1">
      <c r="A61" s="15">
        <v>2023</v>
      </c>
      <c r="B61" s="15">
        <v>8</v>
      </c>
      <c r="C61" s="15">
        <v>26</v>
      </c>
      <c r="D61" s="39">
        <f>IFERROR(DATE(SIP[[#This Row],[Year]],SIP[[#This Row],[Month]],SIP[[#This Row],[Day]]),0)</f>
        <v>45164</v>
      </c>
      <c r="E61" s="40" t="str" cm="1">
        <f t="array" ref="E61">IFERROR(INDEX(INVESTORS_LIST[INVESTOR NAME],MATCH(SIP[[#This Row],[Investor ID]],INVESTORS_LIST[INVESTOR CODE],0),)," ")</f>
        <v>MD MIZANUR RAHMAN</v>
      </c>
      <c r="F61" s="15" t="s">
        <v>177</v>
      </c>
      <c r="G61" s="15">
        <f>COUNTIFS(SIP[[#Headers],[Investor ID]]:SIP[[#This Row],[Investor ID]],SIP[[#This Row],[Investor ID]])</f>
        <v>15</v>
      </c>
      <c r="H61" s="15" t="str">
        <f>CONCATENATE(SIP[[#This Row],[Frequency]],SIP[[#This Row],[Investor ID]])</f>
        <v>15A00144</v>
      </c>
      <c r="I61" s="15" t="str">
        <f>IF(SIP[[#This Row],[B/S]]="B","BUY",(IF(SIP[[#This Row],[B/S]]="S","SELL"," ")))</f>
        <v>BUY</v>
      </c>
      <c r="J61" s="15" t="s">
        <v>301</v>
      </c>
      <c r="K61" s="38">
        <v>10000</v>
      </c>
      <c r="L61" s="38"/>
      <c r="M61" s="176">
        <f>IFERROR(SIP[[#This Row],[Amount]]/SIP[[#This Row],[Unit]],0)</f>
        <v>10.330578512396695</v>
      </c>
      <c r="N61" s="42">
        <f>SIP[[#This Row],[Unit Capital]]/10</f>
        <v>968</v>
      </c>
      <c r="O61" s="50">
        <f>SUMIFS(SIP[[#Headers],[Unit]]:SIP[[#This Row],[Unit]],SIP[[#Headers],[Investor ID]]:SIP[[#This Row],[Investor ID]],SIP[[#This Row],[Investor ID]])</f>
        <v>14940</v>
      </c>
      <c r="P61" s="38">
        <v>9680</v>
      </c>
      <c r="Q61" s="41">
        <f>SIP[[#This Row],[Amount]]-SIP[[#This Row],[Unit Capital]]</f>
        <v>320</v>
      </c>
      <c r="R6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10.04016064257028</v>
      </c>
      <c r="S61" s="43">
        <f t="shared" si="9"/>
        <v>12.552</v>
      </c>
      <c r="T6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1" s="43" cm="1">
        <f t="array" ref="U61">IF(SIP[[#This Row],[B/S]]="S",ABS(SIP[[#This Row],[Unit]])*(INDEX(SIP[NAV at Cost (Average)],MATCH(CONCATENATE((SIP[[#This Row],[Frequency]]-1),SIP[[#This Row],[Investor ID]]),SIP[Unique Code],0),0)),0)</f>
        <v>0</v>
      </c>
      <c r="V61" s="43">
        <f>IF(SIP[[#This Row],[BO Transfer]]="YES",SIP[[#This Row],[Unit]],)</f>
        <v>0</v>
      </c>
      <c r="W61" s="41">
        <f>SUMIFS(SIP[[#Headers],[BO UNIT TRANSFER]]:SIP[[#This Row],[BO UNIT TRANSFER]],SIP[[#Headers],[Investor ID]]:SIP[[#This Row],[Investor ID]],SIP[[#This Row],[Investor ID]])</f>
        <v>0</v>
      </c>
    </row>
    <row r="62" spans="1:23" ht="15" customHeight="1">
      <c r="A62" s="15">
        <v>2023</v>
      </c>
      <c r="B62" s="15">
        <v>9</v>
      </c>
      <c r="C62" s="15">
        <v>26</v>
      </c>
      <c r="D62" s="39">
        <f>IFERROR(DATE(SIP[[#This Row],[Year]],SIP[[#This Row],[Month]],SIP[[#This Row],[Day]]),0)</f>
        <v>45195</v>
      </c>
      <c r="E62" s="40" t="str" cm="1">
        <f t="array" ref="E62">IFERROR(INDEX(INVESTORS_LIST[INVESTOR NAME],MATCH(SIP[[#This Row],[Investor ID]],INVESTORS_LIST[INVESTOR CODE],0),)," ")</f>
        <v>MRIDUL KUMAR DEY</v>
      </c>
      <c r="F62" s="15" t="s">
        <v>27</v>
      </c>
      <c r="G62" s="15">
        <f>COUNTIFS(SIP[[#Headers],[Investor ID]]:SIP[[#This Row],[Investor ID]],SIP[[#This Row],[Investor ID]])</f>
        <v>18</v>
      </c>
      <c r="H62" s="15" t="str">
        <f>CONCATENATE(SIP[[#This Row],[Frequency]],SIP[[#This Row],[Investor ID]])</f>
        <v>18A00020</v>
      </c>
      <c r="I62" s="15" t="str">
        <f>IF(SIP[[#This Row],[B/S]]="B","BUY",(IF(SIP[[#This Row],[B/S]]="S","SELL"," ")))</f>
        <v>BUY</v>
      </c>
      <c r="J62" s="15" t="s">
        <v>301</v>
      </c>
      <c r="K62" s="38">
        <v>5000</v>
      </c>
      <c r="L62" s="38"/>
      <c r="M62" s="176">
        <f>IFERROR(SIP[[#This Row],[Amount]]/SIP[[#This Row],[Unit]],0)</f>
        <v>10.309278350515465</v>
      </c>
      <c r="N62" s="42">
        <f>SIP[[#This Row],[Unit Capital]]/10</f>
        <v>485</v>
      </c>
      <c r="O62" s="50">
        <f>SUMIFS(SIP[[#Headers],[Unit]]:SIP[[#This Row],[Unit]],SIP[[#Headers],[Investor ID]]:SIP[[#This Row],[Investor ID]],SIP[[#This Row],[Investor ID]])</f>
        <v>8963</v>
      </c>
      <c r="P62" s="38">
        <v>4850</v>
      </c>
      <c r="Q62" s="41">
        <f>SIP[[#This Row],[Amount]]-SIP[[#This Row],[Unit Capital]]</f>
        <v>150</v>
      </c>
      <c r="R6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10.041280821153631</v>
      </c>
      <c r="S62" s="43">
        <f t="shared" ref="S62:S68" si="10">NAV_MKT</f>
        <v>12.552</v>
      </c>
      <c r="T6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2" s="43" cm="1">
        <f t="array" ref="U62">IF(SIP[[#This Row],[B/S]]="S",ABS(SIP[[#This Row],[Unit]])*(INDEX(SIP[NAV at Cost (Average)],MATCH(CONCATENATE((SIP[[#This Row],[Frequency]]-1),SIP[[#This Row],[Investor ID]]),SIP[Unique Code],0),0)),0)</f>
        <v>0</v>
      </c>
      <c r="V62" s="43">
        <f>IF(SIP[[#This Row],[BO Transfer]]="YES",SIP[[#This Row],[Unit]],)</f>
        <v>0</v>
      </c>
      <c r="W62" s="41">
        <f>SUMIFS(SIP[[#Headers],[BO UNIT TRANSFER]]:SIP[[#This Row],[BO UNIT TRANSFER]],SIP[[#Headers],[Investor ID]]:SIP[[#This Row],[Investor ID]],SIP[[#This Row],[Investor ID]])</f>
        <v>0</v>
      </c>
    </row>
    <row r="63" spans="1:23" ht="15" customHeight="1">
      <c r="A63" s="15">
        <v>2023</v>
      </c>
      <c r="B63" s="15">
        <v>9</v>
      </c>
      <c r="C63" s="15">
        <v>26</v>
      </c>
      <c r="D63" s="39">
        <f>IFERROR(DATE(SIP[[#This Row],[Year]],SIP[[#This Row],[Month]],SIP[[#This Row],[Day]]),0)</f>
        <v>45195</v>
      </c>
      <c r="E63" s="40" t="str" cm="1">
        <f t="array" ref="E63">IFERROR(INDEX(INVESTORS_LIST[INVESTOR NAME],MATCH(SIP[[#This Row],[Investor ID]],INVESTORS_LIST[INVESTOR CODE],0),)," ")</f>
        <v>MD MIZANUR RAHMAN</v>
      </c>
      <c r="F63" s="15" t="s">
        <v>177</v>
      </c>
      <c r="G63" s="15">
        <f>COUNTIFS(SIP[[#Headers],[Investor ID]]:SIP[[#This Row],[Investor ID]],SIP[[#This Row],[Investor ID]])</f>
        <v>16</v>
      </c>
      <c r="H63" s="15" t="str">
        <f>CONCATENATE(SIP[[#This Row],[Frequency]],SIP[[#This Row],[Investor ID]])</f>
        <v>16A00144</v>
      </c>
      <c r="I63" s="15" t="str">
        <f>IF(SIP[[#This Row],[B/S]]="B","BUY",(IF(SIP[[#This Row],[B/S]]="S","SELL"," ")))</f>
        <v>BUY</v>
      </c>
      <c r="J63" s="15" t="s">
        <v>301</v>
      </c>
      <c r="K63" s="38">
        <v>10000</v>
      </c>
      <c r="L63" s="38"/>
      <c r="M63" s="176">
        <f>IFERROR(SIP[[#This Row],[Amount]]/SIP[[#This Row],[Unit]],0)</f>
        <v>10.309278350515465</v>
      </c>
      <c r="N63" s="42">
        <f>SIP[[#This Row],[Unit Capital]]/10</f>
        <v>970</v>
      </c>
      <c r="O63" s="50">
        <f>SUMIFS(SIP[[#Headers],[Unit]]:SIP[[#This Row],[Unit]],SIP[[#Headers],[Investor ID]]:SIP[[#This Row],[Investor ID]],SIP[[#This Row],[Investor ID]])</f>
        <v>15910</v>
      </c>
      <c r="P63" s="38">
        <v>9700</v>
      </c>
      <c r="Q63" s="41">
        <f>SIP[[#This Row],[Amount]]-SIP[[#This Row],[Unit Capital]]</f>
        <v>300</v>
      </c>
      <c r="R6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10.056568196103079</v>
      </c>
      <c r="S63" s="43">
        <f t="shared" si="10"/>
        <v>12.552</v>
      </c>
      <c r="T6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3" s="43" cm="1">
        <f t="array" ref="U63">IF(SIP[[#This Row],[B/S]]="S",ABS(SIP[[#This Row],[Unit]])*(INDEX(SIP[NAV at Cost (Average)],MATCH(CONCATENATE((SIP[[#This Row],[Frequency]]-1),SIP[[#This Row],[Investor ID]]),SIP[Unique Code],0),0)),0)</f>
        <v>0</v>
      </c>
      <c r="V63" s="43">
        <f>IF(SIP[[#This Row],[BO Transfer]]="YES",SIP[[#This Row],[Unit]],)</f>
        <v>0</v>
      </c>
      <c r="W63" s="41">
        <f>SUMIFS(SIP[[#Headers],[BO UNIT TRANSFER]]:SIP[[#This Row],[BO UNIT TRANSFER]],SIP[[#Headers],[Investor ID]]:SIP[[#This Row],[Investor ID]],SIP[[#This Row],[Investor ID]])</f>
        <v>0</v>
      </c>
    </row>
    <row r="64" spans="1:23" ht="15" customHeight="1">
      <c r="A64" s="8">
        <v>2023</v>
      </c>
      <c r="B64" s="8">
        <v>10</v>
      </c>
      <c r="C64" s="8">
        <v>3</v>
      </c>
      <c r="D64" s="39">
        <f>IFERROR(DATE(SIP[[#This Row],[Year]],SIP[[#This Row],[Month]],SIP[[#This Row],[Day]]),0)</f>
        <v>45202</v>
      </c>
      <c r="E64" s="40" t="str" cm="1">
        <f t="array" ref="E64">IFERROR(INDEX(INVESTORS_LIST[INVESTOR NAME],MATCH(SIP[[#This Row],[Investor ID]],INVESTORS_LIST[INVESTOR CODE],0),)," ")</f>
        <v>MD MIZANUR RAHMAN</v>
      </c>
      <c r="F64" s="116" t="s">
        <v>177</v>
      </c>
      <c r="G64" s="15">
        <f>COUNTIFS(SIP[[#Headers],[Investor ID]]:SIP[[#This Row],[Investor ID]],SIP[[#This Row],[Investor ID]])</f>
        <v>17</v>
      </c>
      <c r="H64" s="15" t="str">
        <f>CONCATENATE(SIP[[#This Row],[Frequency]],SIP[[#This Row],[Investor ID]])</f>
        <v>17A00144</v>
      </c>
      <c r="I64" s="15" t="str">
        <f>IF(SIP[[#This Row],[B/S]]="B","BUY",(IF(SIP[[#This Row],[B/S]]="S","SELL"," ")))</f>
        <v>SELL</v>
      </c>
      <c r="J64" s="8" t="s">
        <v>866</v>
      </c>
      <c r="K64" s="10">
        <v>-150000</v>
      </c>
      <c r="L64" s="38"/>
      <c r="M64" s="176">
        <f>IFERROR(SIP[[#This Row],[Amount]]/SIP[[#This Row],[Unit]],0)</f>
        <v>10.298661174047373</v>
      </c>
      <c r="N64" s="42">
        <f>SIP[[#This Row],[Unit Capital]]/10</f>
        <v>-14565</v>
      </c>
      <c r="O64" s="50">
        <f>SUMIFS(SIP[[#Headers],[Unit]]:SIP[[#This Row],[Unit]],SIP[[#Headers],[Investor ID]]:SIP[[#This Row],[Investor ID]],SIP[[#This Row],[Investor ID]])</f>
        <v>1345</v>
      </c>
      <c r="P64" s="38">
        <v>-145650</v>
      </c>
      <c r="Q64" s="41">
        <f>SIP[[#This Row],[Amount]]-SIP[[#This Row],[Unit Capital]]</f>
        <v>-4350</v>
      </c>
      <c r="R6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10.056568196103079</v>
      </c>
      <c r="S64" s="43">
        <f t="shared" si="10"/>
        <v>12.552</v>
      </c>
      <c r="T64" s="41">
        <f>IF(SIP[[#This Row],[B/S]]="B",0,ABS(SIP[[#This Row],[Unit]])*(SIP[[#This Row],[NAV (Strike Rate)]]-INDEX(SIP[NAV at Cost (Average)],MATCH(CONCATENATE(SIP[[#This Row],[Frequency]]-1,SIP[[#This Row],[Investor ID]]),SIP[Unique Code],0),)))</f>
        <v>3526.0842237586417</v>
      </c>
      <c r="U64" s="43" cm="1">
        <f t="array" ref="U64">IF(SIP[[#This Row],[B/S]]="S",ABS(SIP[[#This Row],[Unit]])*(INDEX(SIP[NAV at Cost (Average)],MATCH(CONCATENATE((SIP[[#This Row],[Frequency]]-1),SIP[[#This Row],[Investor ID]]),SIP[Unique Code],0),0)),0)</f>
        <v>146473.91577624134</v>
      </c>
      <c r="V64" s="43">
        <f>IF(SIP[[#This Row],[BO Transfer]]="YES",SIP[[#This Row],[Unit]],)</f>
        <v>0</v>
      </c>
      <c r="W64" s="41">
        <f>SUMIFS(SIP[[#Headers],[BO UNIT TRANSFER]]:SIP[[#This Row],[BO UNIT TRANSFER]],SIP[[#Headers],[Investor ID]]:SIP[[#This Row],[Investor ID]],SIP[[#This Row],[Investor ID]])</f>
        <v>0</v>
      </c>
    </row>
    <row r="65" spans="1:23" ht="15" customHeight="1">
      <c r="A65" s="8">
        <v>2023</v>
      </c>
      <c r="B65" s="8">
        <v>10</v>
      </c>
      <c r="C65" s="8">
        <v>26</v>
      </c>
      <c r="D65" s="39">
        <f>IFERROR(DATE(SIP[[#This Row],[Year]],SIP[[#This Row],[Month]],SIP[[#This Row],[Day]]),0)</f>
        <v>45225</v>
      </c>
      <c r="E65" s="40" t="str" cm="1">
        <f t="array" ref="E65">IFERROR(INDEX(INVESTORS_LIST[INVESTOR NAME],MATCH(SIP[[#This Row],[Investor ID]],INVESTORS_LIST[INVESTOR CODE],0),)," ")</f>
        <v>MRIDUL KUMAR DEY</v>
      </c>
      <c r="F65" s="15" t="s">
        <v>27</v>
      </c>
      <c r="G65" s="15">
        <f>COUNTIFS(SIP[[#Headers],[Investor ID]]:SIP[[#This Row],[Investor ID]],SIP[[#This Row],[Investor ID]])</f>
        <v>19</v>
      </c>
      <c r="H65" s="15" t="str">
        <f>CONCATENATE(SIP[[#This Row],[Frequency]],SIP[[#This Row],[Investor ID]])</f>
        <v>19A00020</v>
      </c>
      <c r="I65" s="15" t="str">
        <f>IF(SIP[[#This Row],[B/S]]="B","BUY",(IF(SIP[[#This Row],[B/S]]="S","SELL"," ")))</f>
        <v>BUY</v>
      </c>
      <c r="J65" s="15" t="s">
        <v>301</v>
      </c>
      <c r="K65" s="38">
        <v>5000</v>
      </c>
      <c r="L65" s="38"/>
      <c r="M65" s="176">
        <f>IFERROR(SIP[[#This Row],[Amount]]/SIP[[#This Row],[Unit]],0)</f>
        <v>10.309278350515465</v>
      </c>
      <c r="N65" s="42">
        <f>SIP[[#This Row],[Unit Capital]]/10</f>
        <v>485</v>
      </c>
      <c r="O65" s="50">
        <f>SUMIFS(SIP[[#Headers],[Unit]]:SIP[[#This Row],[Unit]],SIP[[#Headers],[Investor ID]]:SIP[[#This Row],[Investor ID]],SIP[[#This Row],[Investor ID]])</f>
        <v>9448</v>
      </c>
      <c r="P65" s="38">
        <v>4850</v>
      </c>
      <c r="Q65" s="41">
        <f>SIP[[#This Row],[Amount]]-SIP[[#This Row],[Unit Capital]]</f>
        <v>150</v>
      </c>
      <c r="R6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10.055038103302286</v>
      </c>
      <c r="S65" s="43">
        <f t="shared" si="10"/>
        <v>12.552</v>
      </c>
      <c r="T6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5" s="43" cm="1">
        <f t="array" ref="U65">IF(SIP[[#This Row],[B/S]]="S",ABS(SIP[[#This Row],[Unit]])*(INDEX(SIP[NAV at Cost (Average)],MATCH(CONCATENATE((SIP[[#This Row],[Frequency]]-1),SIP[[#This Row],[Investor ID]]),SIP[Unique Code],0),0)),0)</f>
        <v>0</v>
      </c>
      <c r="V65" s="43">
        <f>IF(SIP[[#This Row],[BO Transfer]]="YES",SIP[[#This Row],[Unit]],)</f>
        <v>0</v>
      </c>
      <c r="W65" s="41">
        <f>SUMIFS(SIP[[#Headers],[BO UNIT TRANSFER]]:SIP[[#This Row],[BO UNIT TRANSFER]],SIP[[#Headers],[Investor ID]]:SIP[[#This Row],[Investor ID]],SIP[[#This Row],[Investor ID]])</f>
        <v>0</v>
      </c>
    </row>
    <row r="66" spans="1:23" ht="15" customHeight="1">
      <c r="A66" s="8">
        <v>2023</v>
      </c>
      <c r="B66" s="8">
        <v>10</v>
      </c>
      <c r="C66" s="8">
        <v>26</v>
      </c>
      <c r="D66" s="39">
        <f>IFERROR(DATE(SIP[[#This Row],[Year]],SIP[[#This Row],[Month]],SIP[[#This Row],[Day]]),0)</f>
        <v>45225</v>
      </c>
      <c r="E66" s="40" t="str" cm="1">
        <f t="array" ref="E66">IFERROR(INDEX(INVESTORS_LIST[INVESTOR NAME],MATCH(SIP[[#This Row],[Investor ID]],INVESTORS_LIST[INVESTOR CODE],0),)," ")</f>
        <v>MD MIZANUR RAHMAN</v>
      </c>
      <c r="F66" s="15" t="s">
        <v>177</v>
      </c>
      <c r="G66" s="15">
        <f>COUNTIFS(SIP[[#Headers],[Investor ID]]:SIP[[#This Row],[Investor ID]],SIP[[#This Row],[Investor ID]])</f>
        <v>18</v>
      </c>
      <c r="H66" s="15" t="str">
        <f>CONCATENATE(SIP[[#This Row],[Frequency]],SIP[[#This Row],[Investor ID]])</f>
        <v>18A00144</v>
      </c>
      <c r="I66" s="15" t="str">
        <f>IF(SIP[[#This Row],[B/S]]="B","BUY",(IF(SIP[[#This Row],[B/S]]="S","SELL"," ")))</f>
        <v>BUY</v>
      </c>
      <c r="J66" s="15" t="s">
        <v>301</v>
      </c>
      <c r="K66" s="38">
        <v>10000</v>
      </c>
      <c r="L66" s="38"/>
      <c r="M66" s="176">
        <f>IFERROR(SIP[[#This Row],[Amount]]/SIP[[#This Row],[Unit]],0)</f>
        <v>10.309278350515465</v>
      </c>
      <c r="N66" s="42">
        <f>SIP[[#This Row],[Unit Capital]]/10</f>
        <v>970</v>
      </c>
      <c r="O66" s="50">
        <f>SUMIFS(SIP[[#Headers],[Unit]]:SIP[[#This Row],[Unit]],SIP[[#Headers],[Investor ID]]:SIP[[#This Row],[Investor ID]],SIP[[#This Row],[Investor ID]])</f>
        <v>2315</v>
      </c>
      <c r="P66" s="38">
        <v>9700</v>
      </c>
      <c r="Q66" s="41">
        <f>SIP[[#This Row],[Amount]]-SIP[[#This Row],[Unit Capital]]</f>
        <v>300</v>
      </c>
      <c r="R6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10.162455388232676</v>
      </c>
      <c r="S66" s="43">
        <f t="shared" si="10"/>
        <v>12.552</v>
      </c>
      <c r="T6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6" s="43" cm="1">
        <f t="array" ref="U66">IF(SIP[[#This Row],[B/S]]="S",ABS(SIP[[#This Row],[Unit]])*(INDEX(SIP[NAV at Cost (Average)],MATCH(CONCATENATE((SIP[[#This Row],[Frequency]]-1),SIP[[#This Row],[Investor ID]]),SIP[Unique Code],0),0)),0)</f>
        <v>0</v>
      </c>
      <c r="V66" s="43">
        <f>IF(SIP[[#This Row],[BO Transfer]]="YES",SIP[[#This Row],[Unit]],)</f>
        <v>0</v>
      </c>
      <c r="W66" s="41">
        <f>SUMIFS(SIP[[#Headers],[BO UNIT TRANSFER]]:SIP[[#This Row],[BO UNIT TRANSFER]],SIP[[#Headers],[Investor ID]]:SIP[[#This Row],[Investor ID]],SIP[[#This Row],[Investor ID]])</f>
        <v>0</v>
      </c>
    </row>
    <row r="67" spans="1:23" ht="15" customHeight="1">
      <c r="A67" s="8">
        <v>2023</v>
      </c>
      <c r="B67" s="8">
        <v>11</v>
      </c>
      <c r="C67" s="8">
        <v>26</v>
      </c>
      <c r="D67" s="39">
        <f>IFERROR(DATE(SIP[[#This Row],[Year]],SIP[[#This Row],[Month]],SIP[[#This Row],[Day]]),0)</f>
        <v>45256</v>
      </c>
      <c r="E67" s="40" t="str" cm="1">
        <f t="array" ref="E67">IFERROR(INDEX(INVESTORS_LIST[INVESTOR NAME],MATCH(SIP[[#This Row],[Investor ID]],INVESTORS_LIST[INVESTOR CODE],0),)," ")</f>
        <v>MRIDUL KUMAR DEY</v>
      </c>
      <c r="F67" s="15" t="s">
        <v>27</v>
      </c>
      <c r="G67" s="15">
        <f>COUNTIFS(SIP[[#Headers],[Investor ID]]:SIP[[#This Row],[Investor ID]],SIP[[#This Row],[Investor ID]])</f>
        <v>20</v>
      </c>
      <c r="H67" s="15" t="str">
        <f>CONCATENATE(SIP[[#This Row],[Frequency]],SIP[[#This Row],[Investor ID]])</f>
        <v>20A00020</v>
      </c>
      <c r="I67" s="15" t="str">
        <f>IF(SIP[[#This Row],[B/S]]="B","BUY",(IF(SIP[[#This Row],[B/S]]="S","SELL"," ")))</f>
        <v>BUY</v>
      </c>
      <c r="J67" s="15" t="s">
        <v>301</v>
      </c>
      <c r="K67" s="38">
        <v>5000</v>
      </c>
      <c r="L67" s="38"/>
      <c r="M67" s="176">
        <f>IFERROR(SIP[[#This Row],[Amount]]/SIP[[#This Row],[Unit]],0)</f>
        <v>10.309278350515465</v>
      </c>
      <c r="N67" s="42">
        <f>SIP[[#This Row],[Unit Capital]]/10</f>
        <v>485</v>
      </c>
      <c r="O67" s="50">
        <f>SUMIFS(SIP[[#Headers],[Unit]]:SIP[[#This Row],[Unit]],SIP[[#Headers],[Investor ID]]:SIP[[#This Row],[Investor ID]],SIP[[#This Row],[Investor ID]])</f>
        <v>9933</v>
      </c>
      <c r="P67" s="38">
        <v>4850</v>
      </c>
      <c r="Q67" s="41">
        <f>SIP[[#This Row],[Amount]]-SIP[[#This Row],[Unit Capital]]</f>
        <v>150</v>
      </c>
      <c r="R6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10.067451927917043</v>
      </c>
      <c r="S67" s="43">
        <f t="shared" si="10"/>
        <v>12.552</v>
      </c>
      <c r="T6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7" s="43" cm="1">
        <f t="array" ref="U67">IF(SIP[[#This Row],[B/S]]="S",ABS(SIP[[#This Row],[Unit]])*(INDEX(SIP[NAV at Cost (Average)],MATCH(CONCATENATE((SIP[[#This Row],[Frequency]]-1),SIP[[#This Row],[Investor ID]]),SIP[Unique Code],0),0)),0)</f>
        <v>0</v>
      </c>
      <c r="V67" s="43">
        <f>IF(SIP[[#This Row],[BO Transfer]]="YES",SIP[[#This Row],[Unit]],)</f>
        <v>0</v>
      </c>
      <c r="W67" s="41">
        <f>SUMIFS(SIP[[#Headers],[BO UNIT TRANSFER]]:SIP[[#This Row],[BO UNIT TRANSFER]],SIP[[#Headers],[Investor ID]]:SIP[[#This Row],[Investor ID]],SIP[[#This Row],[Investor ID]])</f>
        <v>0</v>
      </c>
    </row>
    <row r="68" spans="1:23" ht="15" customHeight="1">
      <c r="A68" s="8">
        <v>2023</v>
      </c>
      <c r="B68" s="8">
        <v>11</v>
      </c>
      <c r="C68" s="8">
        <v>26</v>
      </c>
      <c r="D68" s="39">
        <f>IFERROR(DATE(SIP[[#This Row],[Year]],SIP[[#This Row],[Month]],SIP[[#This Row],[Day]]),0)</f>
        <v>45256</v>
      </c>
      <c r="E68" s="40" t="str" cm="1">
        <f t="array" ref="E68">IFERROR(INDEX(INVESTORS_LIST[INVESTOR NAME],MATCH(SIP[[#This Row],[Investor ID]],INVESTORS_LIST[INVESTOR CODE],0),)," ")</f>
        <v>MD MIZANUR RAHMAN</v>
      </c>
      <c r="F68" s="15" t="s">
        <v>177</v>
      </c>
      <c r="G68" s="15">
        <f>COUNTIFS(SIP[[#Headers],[Investor ID]]:SIP[[#This Row],[Investor ID]],SIP[[#This Row],[Investor ID]])</f>
        <v>19</v>
      </c>
      <c r="H68" s="15" t="str">
        <f>CONCATENATE(SIP[[#This Row],[Frequency]],SIP[[#This Row],[Investor ID]])</f>
        <v>19A00144</v>
      </c>
      <c r="I68" s="15" t="str">
        <f>IF(SIP[[#This Row],[B/S]]="B","BUY",(IF(SIP[[#This Row],[B/S]]="S","SELL"," ")))</f>
        <v>BUY</v>
      </c>
      <c r="J68" s="15" t="s">
        <v>301</v>
      </c>
      <c r="K68" s="38">
        <v>10000</v>
      </c>
      <c r="L68" s="38"/>
      <c r="M68" s="176">
        <f>IFERROR(SIP[[#This Row],[Amount]]/SIP[[#This Row],[Unit]],0)</f>
        <v>10.309278350515465</v>
      </c>
      <c r="N68" s="42">
        <f>SIP[[#This Row],[Unit Capital]]/10</f>
        <v>970</v>
      </c>
      <c r="O68" s="50">
        <f>SUMIFS(SIP[[#Headers],[Unit]]:SIP[[#This Row],[Unit]],SIP[[#Headers],[Investor ID]]:SIP[[#This Row],[Investor ID]],SIP[[#This Row],[Investor ID]])</f>
        <v>3285</v>
      </c>
      <c r="P68" s="38">
        <v>9700</v>
      </c>
      <c r="Q68" s="41">
        <f>SIP[[#This Row],[Amount]]-SIP[[#This Row],[Unit Capital]]</f>
        <v>300</v>
      </c>
      <c r="R6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10.205809504949359</v>
      </c>
      <c r="S68" s="43">
        <f t="shared" si="10"/>
        <v>12.552</v>
      </c>
      <c r="T6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8" s="43" cm="1">
        <f t="array" ref="U68">IF(SIP[[#This Row],[B/S]]="S",ABS(SIP[[#This Row],[Unit]])*(INDEX(SIP[NAV at Cost (Average)],MATCH(CONCATENATE((SIP[[#This Row],[Frequency]]-1),SIP[[#This Row],[Investor ID]]),SIP[Unique Code],0),0)),0)</f>
        <v>0</v>
      </c>
      <c r="V68" s="43">
        <f>IF(SIP[[#This Row],[BO Transfer]]="YES",SIP[[#This Row],[Unit]],)</f>
        <v>0</v>
      </c>
      <c r="W68" s="41">
        <f>SUMIFS(SIP[[#Headers],[BO UNIT TRANSFER]]:SIP[[#This Row],[BO UNIT TRANSFER]],SIP[[#Headers],[Investor ID]]:SIP[[#This Row],[Investor ID]],SIP[[#This Row],[Investor ID]])</f>
        <v>0</v>
      </c>
    </row>
    <row r="69" spans="1:23" ht="15" customHeight="1">
      <c r="A69" s="8">
        <v>2023</v>
      </c>
      <c r="B69" s="8">
        <v>12</v>
      </c>
      <c r="C69" s="8">
        <v>26</v>
      </c>
      <c r="D69" s="39">
        <f>IFERROR(DATE(SIP[[#This Row],[Year]],SIP[[#This Row],[Month]],SIP[[#This Row],[Day]]),0)</f>
        <v>45286</v>
      </c>
      <c r="E69" s="40" t="str" cm="1">
        <f t="array" ref="E69">IFERROR(INDEX(INVESTORS_LIST[INVESTOR NAME],MATCH(SIP[[#This Row],[Investor ID]],INVESTORS_LIST[INVESTOR CODE],0),)," ")</f>
        <v>MRIDUL KUMAR DEY</v>
      </c>
      <c r="F69" s="15" t="s">
        <v>27</v>
      </c>
      <c r="G69" s="15">
        <f>COUNTIFS(SIP[[#Headers],[Investor ID]]:SIP[[#This Row],[Investor ID]],SIP[[#This Row],[Investor ID]])</f>
        <v>21</v>
      </c>
      <c r="H69" s="15" t="str">
        <f>CONCATENATE(SIP[[#This Row],[Frequency]],SIP[[#This Row],[Investor ID]])</f>
        <v>21A00020</v>
      </c>
      <c r="I69" s="15" t="str">
        <f>IF(SIP[[#This Row],[B/S]]="B","BUY",(IF(SIP[[#This Row],[B/S]]="S","SELL"," ")))</f>
        <v>BUY</v>
      </c>
      <c r="J69" s="15" t="s">
        <v>301</v>
      </c>
      <c r="K69" s="38">
        <v>5000</v>
      </c>
      <c r="L69" s="38"/>
      <c r="M69" s="176">
        <f>IFERROR(SIP[[#This Row],[Amount]]/SIP[[#This Row],[Unit]],0)</f>
        <v>10.330578512396695</v>
      </c>
      <c r="N69" s="42">
        <f>SIP[[#This Row],[Unit Capital]]/10</f>
        <v>484</v>
      </c>
      <c r="O69" s="50">
        <f>SUMIFS(SIP[[#Headers],[Unit]]:SIP[[#This Row],[Unit]],SIP[[#Headers],[Investor ID]]:SIP[[#This Row],[Investor ID]],SIP[[#This Row],[Investor ID]])</f>
        <v>10417</v>
      </c>
      <c r="P69" s="38">
        <v>4840</v>
      </c>
      <c r="Q69" s="41">
        <f>SIP[[#This Row],[Amount]]-SIP[[#This Row],[Unit Capital]]</f>
        <v>160</v>
      </c>
      <c r="R6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10.07967745032159</v>
      </c>
      <c r="S69" s="43">
        <f t="shared" ref="S69:S76" si="11">NAV_MKT</f>
        <v>12.552</v>
      </c>
      <c r="T6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69" s="43" cm="1">
        <f t="array" ref="U69">IF(SIP[[#This Row],[B/S]]="S",ABS(SIP[[#This Row],[Unit]])*(INDEX(SIP[NAV at Cost (Average)],MATCH(CONCATENATE((SIP[[#This Row],[Frequency]]-1),SIP[[#This Row],[Investor ID]]),SIP[Unique Code],0),0)),0)</f>
        <v>0</v>
      </c>
      <c r="V69" s="43">
        <f>IF(SIP[[#This Row],[BO Transfer]]="YES",SIP[[#This Row],[Unit]],)</f>
        <v>0</v>
      </c>
      <c r="W69" s="41">
        <f>SUMIFS(SIP[[#Headers],[BO UNIT TRANSFER]]:SIP[[#This Row],[BO UNIT TRANSFER]],SIP[[#Headers],[Investor ID]]:SIP[[#This Row],[Investor ID]],SIP[[#This Row],[Investor ID]])</f>
        <v>0</v>
      </c>
    </row>
    <row r="70" spans="1:23" ht="15" customHeight="1">
      <c r="A70" s="8">
        <v>2023</v>
      </c>
      <c r="B70" s="8">
        <v>12</v>
      </c>
      <c r="C70" s="8">
        <v>26</v>
      </c>
      <c r="D70" s="39">
        <f>IFERROR(DATE(SIP[[#This Row],[Year]],SIP[[#This Row],[Month]],SIP[[#This Row],[Day]]),0)</f>
        <v>45286</v>
      </c>
      <c r="E70" s="40" t="str" cm="1">
        <f t="array" ref="E70">IFERROR(INDEX(INVESTORS_LIST[INVESTOR NAME],MATCH(SIP[[#This Row],[Investor ID]],INVESTORS_LIST[INVESTOR CODE],0),)," ")</f>
        <v>MD MIZANUR RAHMAN</v>
      </c>
      <c r="F70" s="15" t="s">
        <v>177</v>
      </c>
      <c r="G70" s="15">
        <f>COUNTIFS(SIP[[#Headers],[Investor ID]]:SIP[[#This Row],[Investor ID]],SIP[[#This Row],[Investor ID]])</f>
        <v>20</v>
      </c>
      <c r="H70" s="15" t="str">
        <f>CONCATENATE(SIP[[#This Row],[Frequency]],SIP[[#This Row],[Investor ID]])</f>
        <v>20A00144</v>
      </c>
      <c r="I70" s="15" t="str">
        <f>IF(SIP[[#This Row],[B/S]]="B","BUY",(IF(SIP[[#This Row],[B/S]]="S","SELL"," ")))</f>
        <v>BUY</v>
      </c>
      <c r="J70" s="15" t="s">
        <v>301</v>
      </c>
      <c r="K70" s="38">
        <v>10000</v>
      </c>
      <c r="L70" s="38"/>
      <c r="M70" s="176">
        <f>IFERROR(SIP[[#This Row],[Amount]]/SIP[[#This Row],[Unit]],0)</f>
        <v>10.319917440660475</v>
      </c>
      <c r="N70" s="42">
        <f>SIP[[#This Row],[Unit Capital]]/10</f>
        <v>969</v>
      </c>
      <c r="O70" s="50">
        <f>SUMIFS(SIP[[#Headers],[Unit]]:SIP[[#This Row],[Unit]],SIP[[#Headers],[Investor ID]]:SIP[[#This Row],[Investor ID]],SIP[[#This Row],[Investor ID]])</f>
        <v>4254</v>
      </c>
      <c r="P70" s="38">
        <v>9690</v>
      </c>
      <c r="Q70" s="41">
        <f>SIP[[#This Row],[Amount]]-SIP[[#This Row],[Unit Capital]]</f>
        <v>310</v>
      </c>
      <c r="R7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10.231801651095122</v>
      </c>
      <c r="S70" s="43">
        <f t="shared" si="11"/>
        <v>12.552</v>
      </c>
      <c r="T7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0" s="43" cm="1">
        <f t="array" ref="U70">IF(SIP[[#This Row],[B/S]]="S",ABS(SIP[[#This Row],[Unit]])*(INDEX(SIP[NAV at Cost (Average)],MATCH(CONCATENATE((SIP[[#This Row],[Frequency]]-1),SIP[[#This Row],[Investor ID]]),SIP[Unique Code],0),0)),0)</f>
        <v>0</v>
      </c>
      <c r="V70" s="43">
        <f>IF(SIP[[#This Row],[BO Transfer]]="YES",SIP[[#This Row],[Unit]],)</f>
        <v>0</v>
      </c>
      <c r="W70" s="41">
        <f>SUMIFS(SIP[[#Headers],[BO UNIT TRANSFER]]:SIP[[#This Row],[BO UNIT TRANSFER]],SIP[[#Headers],[Investor ID]]:SIP[[#This Row],[Investor ID]],SIP[[#This Row],[Investor ID]])</f>
        <v>0</v>
      </c>
    </row>
    <row r="71" spans="1:23" ht="15" customHeight="1">
      <c r="A71" s="8">
        <v>2024</v>
      </c>
      <c r="B71" s="8">
        <v>1</v>
      </c>
      <c r="C71" s="8">
        <v>26</v>
      </c>
      <c r="D71" s="39">
        <f>IFERROR(DATE(SIP[[#This Row],[Year]],SIP[[#This Row],[Month]],SIP[[#This Row],[Day]]),0)</f>
        <v>45317</v>
      </c>
      <c r="E71" s="40" t="str" cm="1">
        <f t="array" ref="E71">IFERROR(INDEX(INVESTORS_LIST[INVESTOR NAME],MATCH(SIP[[#This Row],[Investor ID]],INVESTORS_LIST[INVESTOR CODE],0),)," ")</f>
        <v>MRIDUL KUMAR DEY</v>
      </c>
      <c r="F71" s="15" t="s">
        <v>27</v>
      </c>
      <c r="G71" s="15">
        <f>COUNTIFS(SIP[[#Headers],[Investor ID]]:SIP[[#This Row],[Investor ID]],SIP[[#This Row],[Investor ID]])</f>
        <v>22</v>
      </c>
      <c r="H71" s="15" t="str">
        <f>CONCATENATE(SIP[[#This Row],[Frequency]],SIP[[#This Row],[Investor ID]])</f>
        <v>22A00020</v>
      </c>
      <c r="I71" s="15" t="str">
        <f>IF(SIP[[#This Row],[B/S]]="B","BUY",(IF(SIP[[#This Row],[B/S]]="S","SELL"," ")))</f>
        <v>BUY</v>
      </c>
      <c r="J71" s="15" t="s">
        <v>301</v>
      </c>
      <c r="K71" s="38">
        <v>5000</v>
      </c>
      <c r="L71" s="38"/>
      <c r="M71" s="176">
        <f>IFERROR(SIP[[#This Row],[Amount]]/SIP[[#This Row],[Unit]],0)</f>
        <v>10.351966873706004</v>
      </c>
      <c r="N71" s="42">
        <f>SIP[[#This Row],[Unit Capital]]/10</f>
        <v>483</v>
      </c>
      <c r="O71" s="50">
        <f>SUMIFS(SIP[[#Headers],[Unit]]:SIP[[#This Row],[Unit]],SIP[[#Headers],[Investor ID]]:SIP[[#This Row],[Investor ID]],SIP[[#This Row],[Investor ID]])</f>
        <v>10900</v>
      </c>
      <c r="P71" s="38">
        <v>4830</v>
      </c>
      <c r="Q71" s="41">
        <f>SIP[[#This Row],[Amount]]-SIP[[#This Row],[Unit Capital]]</f>
        <v>170</v>
      </c>
      <c r="R7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10.091743119266056</v>
      </c>
      <c r="S71" s="43">
        <f t="shared" si="11"/>
        <v>12.552</v>
      </c>
      <c r="T7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1" s="43" cm="1">
        <f t="array" ref="U71">IF(SIP[[#This Row],[B/S]]="S",ABS(SIP[[#This Row],[Unit]])*(INDEX(SIP[NAV at Cost (Average)],MATCH(CONCATENATE((SIP[[#This Row],[Frequency]]-1),SIP[[#This Row],[Investor ID]]),SIP[Unique Code],0),0)),0)</f>
        <v>0</v>
      </c>
      <c r="V71" s="43">
        <f>IF(SIP[[#This Row],[BO Transfer]]="YES",SIP[[#This Row],[Unit]],)</f>
        <v>0</v>
      </c>
      <c r="W71" s="41">
        <f>SUMIFS(SIP[[#Headers],[BO UNIT TRANSFER]]:SIP[[#This Row],[BO UNIT TRANSFER]],SIP[[#Headers],[Investor ID]]:SIP[[#This Row],[Investor ID]],SIP[[#This Row],[Investor ID]])</f>
        <v>0</v>
      </c>
    </row>
    <row r="72" spans="1:23" ht="15" customHeight="1">
      <c r="A72" s="8">
        <v>2024</v>
      </c>
      <c r="B72" s="8">
        <v>1</v>
      </c>
      <c r="C72" s="8">
        <v>26</v>
      </c>
      <c r="D72" s="39">
        <f>IFERROR(DATE(SIP[[#This Row],[Year]],SIP[[#This Row],[Month]],SIP[[#This Row],[Day]]),0)</f>
        <v>45317</v>
      </c>
      <c r="E72" s="40" t="str" cm="1">
        <f t="array" ref="E72">IFERROR(INDEX(INVESTORS_LIST[INVESTOR NAME],MATCH(SIP[[#This Row],[Investor ID]],INVESTORS_LIST[INVESTOR CODE],0),)," ")</f>
        <v>MD MIZANUR RAHMAN</v>
      </c>
      <c r="F72" s="15" t="s">
        <v>177</v>
      </c>
      <c r="G72" s="15">
        <f>COUNTIFS(SIP[[#Headers],[Investor ID]]:SIP[[#This Row],[Investor ID]],SIP[[#This Row],[Investor ID]])</f>
        <v>21</v>
      </c>
      <c r="H72" s="15" t="str">
        <f>CONCATENATE(SIP[[#This Row],[Frequency]],SIP[[#This Row],[Investor ID]])</f>
        <v>21A00144</v>
      </c>
      <c r="I72" s="15" t="str">
        <f>IF(SIP[[#This Row],[B/S]]="B","BUY",(IF(SIP[[#This Row],[B/S]]="S","SELL"," ")))</f>
        <v>BUY</v>
      </c>
      <c r="J72" s="15" t="s">
        <v>301</v>
      </c>
      <c r="K72" s="38">
        <v>10000</v>
      </c>
      <c r="L72" s="38"/>
      <c r="M72" s="176">
        <f>IFERROR(SIP[[#This Row],[Amount]]/SIP[[#This Row],[Unit]],0)</f>
        <v>10.351966873706004</v>
      </c>
      <c r="N72" s="42">
        <f>SIP[[#This Row],[Unit Capital]]/10</f>
        <v>966</v>
      </c>
      <c r="O72" s="50">
        <f>SUMIFS(SIP[[#Headers],[Unit]]:SIP[[#This Row],[Unit]],SIP[[#Headers],[Investor ID]]:SIP[[#This Row],[Investor ID]],SIP[[#This Row],[Investor ID]])</f>
        <v>5220</v>
      </c>
      <c r="P72" s="38">
        <v>9660</v>
      </c>
      <c r="Q72" s="41">
        <f>SIP[[#This Row],[Amount]]-SIP[[#This Row],[Unit Capital]]</f>
        <v>340</v>
      </c>
      <c r="R7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10.254039123325413</v>
      </c>
      <c r="S72" s="43">
        <f t="shared" si="11"/>
        <v>12.552</v>
      </c>
      <c r="T7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2" s="43" cm="1">
        <f t="array" ref="U72">IF(SIP[[#This Row],[B/S]]="S",ABS(SIP[[#This Row],[Unit]])*(INDEX(SIP[NAV at Cost (Average)],MATCH(CONCATENATE((SIP[[#This Row],[Frequency]]-1),SIP[[#This Row],[Investor ID]]),SIP[Unique Code],0),0)),0)</f>
        <v>0</v>
      </c>
      <c r="V72" s="43">
        <f>IF(SIP[[#This Row],[BO Transfer]]="YES",SIP[[#This Row],[Unit]],)</f>
        <v>0</v>
      </c>
      <c r="W72" s="41">
        <f>SUMIFS(SIP[[#Headers],[BO UNIT TRANSFER]]:SIP[[#This Row],[BO UNIT TRANSFER]],SIP[[#Headers],[Investor ID]]:SIP[[#This Row],[Investor ID]],SIP[[#This Row],[Investor ID]])</f>
        <v>0</v>
      </c>
    </row>
    <row r="73" spans="1:23" ht="15" customHeight="1">
      <c r="A73" s="15">
        <v>2024</v>
      </c>
      <c r="B73" s="15">
        <v>2</v>
      </c>
      <c r="C73" s="15">
        <v>6</v>
      </c>
      <c r="D73" s="39">
        <f>IFERROR(DATE(SIP[[#This Row],[Year]],SIP[[#This Row],[Month]],SIP[[#This Row],[Day]]),0)</f>
        <v>45328</v>
      </c>
      <c r="E73" s="40" t="str" cm="1">
        <f t="array" ref="E73">IFERROR(INDEX(INVESTORS_LIST[INVESTOR NAME],MATCH(SIP[[#This Row],[Investor ID]],INVESTORS_LIST[INVESTOR CODE],0),)," ")</f>
        <v>MAISHA MUSSARRAT</v>
      </c>
      <c r="F73" s="181" t="s">
        <v>920</v>
      </c>
      <c r="G73" s="15">
        <f>COUNTIFS(SIP[[#Headers],[Investor ID]]:SIP[[#This Row],[Investor ID]],SIP[[#This Row],[Investor ID]])</f>
        <v>9</v>
      </c>
      <c r="H73" s="15" t="str">
        <f>CONCATENATE(SIP[[#This Row],[Frequency]],SIP[[#This Row],[Investor ID]])</f>
        <v>9A00420</v>
      </c>
      <c r="I73" s="15" t="str">
        <f>IF(SIP[[#This Row],[B/S]]="B","BUY",(IF(SIP[[#This Row],[B/S]]="S","SELL"," ")))</f>
        <v>BUY</v>
      </c>
      <c r="J73" s="15" t="s">
        <v>301</v>
      </c>
      <c r="K73" s="38">
        <v>1028.25</v>
      </c>
      <c r="L73" s="38"/>
      <c r="M73" s="176">
        <f>IFERROR(SIP[[#This Row],[Amount]]/SIP[[#This Row],[Unit]],0)</f>
        <v>10.282500000000001</v>
      </c>
      <c r="N73" s="42">
        <f>SIP[[#This Row],[Unit Capital]]/10</f>
        <v>100</v>
      </c>
      <c r="O73" s="50">
        <f>SUMIFS(SIP[[#Headers],[Unit]]:SIP[[#This Row],[Unit]],SIP[[#Headers],[Investor ID]]:SIP[[#This Row],[Investor ID]],SIP[[#This Row],[Investor ID]])</f>
        <v>4213</v>
      </c>
      <c r="P73" s="38">
        <v>1000</v>
      </c>
      <c r="Q73" s="41">
        <f>SIP[[#This Row],[Amount]]-SIP[[#This Row],[Unit Capital]]</f>
        <v>28.25</v>
      </c>
      <c r="R7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9.870220313512009</v>
      </c>
      <c r="S73" s="43">
        <f>NAV_MKT</f>
        <v>12.552</v>
      </c>
      <c r="T7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3" s="43" cm="1">
        <f t="array" ref="U73">IF(SIP[[#This Row],[B/S]]="S",ABS(SIP[[#This Row],[Unit]])*(INDEX(SIP[NAV at Cost (Average)],MATCH(CONCATENATE((SIP[[#This Row],[Frequency]]-1),SIP[[#This Row],[Investor ID]]),SIP[Unique Code],0),0)),0)</f>
        <v>0</v>
      </c>
      <c r="V73" s="43">
        <f>IF(SIP[[#This Row],[BO Transfer]]="YES",SIP[[#This Row],[Unit]],)</f>
        <v>0</v>
      </c>
      <c r="W73" s="41">
        <f>SUMIFS(SIP[[#Headers],[BO UNIT TRANSFER]]:SIP[[#This Row],[BO UNIT TRANSFER]],SIP[[#Headers],[Investor ID]]:SIP[[#This Row],[Investor ID]],SIP[[#This Row],[Investor ID]])</f>
        <v>0</v>
      </c>
    </row>
    <row r="74" spans="1:23" ht="15" customHeight="1">
      <c r="A74" s="15">
        <v>2024</v>
      </c>
      <c r="B74" s="15">
        <v>2</v>
      </c>
      <c r="C74" s="15">
        <v>6</v>
      </c>
      <c r="D74" s="39">
        <f>IFERROR(DATE(SIP[[#This Row],[Year]],SIP[[#This Row],[Month]],SIP[[#This Row],[Day]]),0)</f>
        <v>45328</v>
      </c>
      <c r="E74" s="40" t="str" cm="1">
        <f t="array" ref="E74">IFERROR(INDEX(INVESTORS_LIST[INVESTOR NAME],MATCH(SIP[[#This Row],[Investor ID]],INVESTORS_LIST[INVESTOR CODE],0),)," ")</f>
        <v>MAISHA MUSSARRAT</v>
      </c>
      <c r="F74" s="181" t="s">
        <v>920</v>
      </c>
      <c r="G74" s="15">
        <f>COUNTIFS(SIP[[#Headers],[Investor ID]]:SIP[[#This Row],[Investor ID]],SIP[[#This Row],[Investor ID]])</f>
        <v>10</v>
      </c>
      <c r="H74" s="15" t="str">
        <f>CONCATENATE(SIP[[#This Row],[Frequency]],SIP[[#This Row],[Investor ID]])</f>
        <v>10A00420</v>
      </c>
      <c r="I74" s="15" t="str">
        <f>IF(SIP[[#This Row],[B/S]]="B","BUY",(IF(SIP[[#This Row],[B/S]]="S","SELL"," ")))</f>
        <v>SELL</v>
      </c>
      <c r="J74" s="15" t="s">
        <v>866</v>
      </c>
      <c r="K74" s="38">
        <v>-42655.92</v>
      </c>
      <c r="L74" s="38"/>
      <c r="M74" s="176">
        <f>IFERROR(SIP[[#This Row],[Amount]]/SIP[[#This Row],[Unit]],0)</f>
        <v>10.124832660811773</v>
      </c>
      <c r="N74" s="42">
        <f>SIP[[#This Row],[Unit Capital]]/10</f>
        <v>-4213</v>
      </c>
      <c r="O74" s="50">
        <f>SUMIFS(SIP[[#Headers],[Unit]]:SIP[[#This Row],[Unit]],SIP[[#Headers],[Investor ID]]:SIP[[#This Row],[Investor ID]],SIP[[#This Row],[Investor ID]])</f>
        <v>0</v>
      </c>
      <c r="P74" s="38">
        <v>-42130</v>
      </c>
      <c r="Q74" s="41">
        <f>SIP[[#This Row],[Amount]]-SIP[[#This Row],[Unit Capital]]</f>
        <v>-525.91999999999825</v>
      </c>
      <c r="R7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74" s="43">
        <f t="shared" si="11"/>
        <v>12.552</v>
      </c>
      <c r="T74" s="41">
        <f>IF(SIP[[#This Row],[B/S]]="B",0,ABS(SIP[[#This Row],[Unit]])*(SIP[[#This Row],[NAV (Strike Rate)]]-INDEX(SIP[NAV at Cost (Average)],MATCH(CONCATENATE(SIP[[#This Row],[Frequency]]-1,SIP[[#This Row],[Investor ID]]),SIP[Unique Code],0),)))</f>
        <v>1072.6818191739053</v>
      </c>
      <c r="U74" s="43" cm="1">
        <f t="array" ref="U74">IF(SIP[[#This Row],[B/S]]="S",ABS(SIP[[#This Row],[Unit]])*(INDEX(SIP[NAV at Cost (Average)],MATCH(CONCATENATE((SIP[[#This Row],[Frequency]]-1),SIP[[#This Row],[Investor ID]]),SIP[Unique Code],0),0)),0)</f>
        <v>41583.238180826091</v>
      </c>
      <c r="V74" s="43">
        <f>IF(SIP[[#This Row],[BO Transfer]]="YES",SIP[[#This Row],[Unit]],)</f>
        <v>0</v>
      </c>
      <c r="W74" s="41">
        <f>SUMIFS(SIP[[#Headers],[BO UNIT TRANSFER]]:SIP[[#This Row],[BO UNIT TRANSFER]],SIP[[#Headers],[Investor ID]]:SIP[[#This Row],[Investor ID]],SIP[[#This Row],[Investor ID]])</f>
        <v>0</v>
      </c>
    </row>
    <row r="75" spans="1:23" ht="15" customHeight="1">
      <c r="A75" s="8">
        <v>2024</v>
      </c>
      <c r="B75" s="8">
        <v>2</v>
      </c>
      <c r="C75" s="8">
        <v>26</v>
      </c>
      <c r="D75" s="39">
        <f>IFERROR(DATE(SIP[[#This Row],[Year]],SIP[[#This Row],[Month]],SIP[[#This Row],[Day]]),0)</f>
        <v>45348</v>
      </c>
      <c r="E75" s="40" t="str" cm="1">
        <f t="array" ref="E75">IFERROR(INDEX(INVESTORS_LIST[INVESTOR NAME],MATCH(SIP[[#This Row],[Investor ID]],INVESTORS_LIST[INVESTOR CODE],0),)," ")</f>
        <v>MRIDUL KUMAR DEY</v>
      </c>
      <c r="F75" s="15" t="s">
        <v>27</v>
      </c>
      <c r="G75" s="15">
        <f>COUNTIFS(SIP[[#Headers],[Investor ID]]:SIP[[#This Row],[Investor ID]],SIP[[#This Row],[Investor ID]])</f>
        <v>23</v>
      </c>
      <c r="H75" s="15" t="str">
        <f>CONCATENATE(SIP[[#This Row],[Frequency]],SIP[[#This Row],[Investor ID]])</f>
        <v>23A00020</v>
      </c>
      <c r="I75" s="15" t="str">
        <f>IF(SIP[[#This Row],[B/S]]="B","BUY",(IF(SIP[[#This Row],[B/S]]="S","SELL"," ")))</f>
        <v>BUY</v>
      </c>
      <c r="J75" s="15" t="s">
        <v>301</v>
      </c>
      <c r="K75" s="38">
        <v>5000</v>
      </c>
      <c r="L75" s="38"/>
      <c r="M75" s="176">
        <f>IFERROR(SIP[[#This Row],[Amount]]/SIP[[#This Row],[Unit]],0)</f>
        <v>10.224948875255624</v>
      </c>
      <c r="N75" s="42">
        <f>SIP[[#This Row],[Unit Capital]]/10</f>
        <v>489</v>
      </c>
      <c r="O75" s="50">
        <f>SUMIFS(SIP[[#Headers],[Unit]]:SIP[[#This Row],[Unit]],SIP[[#Headers],[Investor ID]]:SIP[[#This Row],[Investor ID]],SIP[[#This Row],[Investor ID]])</f>
        <v>11389</v>
      </c>
      <c r="P75" s="38">
        <v>4890</v>
      </c>
      <c r="Q75" s="41">
        <f>SIP[[#This Row],[Amount]]-SIP[[#This Row],[Unit Capital]]</f>
        <v>110</v>
      </c>
      <c r="R7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10.097462463780843</v>
      </c>
      <c r="S75" s="43">
        <f t="shared" si="11"/>
        <v>12.552</v>
      </c>
      <c r="T7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5" s="43" cm="1">
        <f t="array" ref="U75">IF(SIP[[#This Row],[B/S]]="S",ABS(SIP[[#This Row],[Unit]])*(INDEX(SIP[NAV at Cost (Average)],MATCH(CONCATENATE((SIP[[#This Row],[Frequency]]-1),SIP[[#This Row],[Investor ID]]),SIP[Unique Code],0),0)),0)</f>
        <v>0</v>
      </c>
      <c r="V75" s="43">
        <f>IF(SIP[[#This Row],[BO Transfer]]="YES",SIP[[#This Row],[Unit]],)</f>
        <v>0</v>
      </c>
      <c r="W75" s="41">
        <f>SUMIFS(SIP[[#Headers],[BO UNIT TRANSFER]]:SIP[[#This Row],[BO UNIT TRANSFER]],SIP[[#Headers],[Investor ID]]:SIP[[#This Row],[Investor ID]],SIP[[#This Row],[Investor ID]])</f>
        <v>0</v>
      </c>
    </row>
    <row r="76" spans="1:23" ht="15" customHeight="1">
      <c r="A76" s="8">
        <v>2024</v>
      </c>
      <c r="B76" s="8">
        <v>2</v>
      </c>
      <c r="C76" s="8">
        <v>26</v>
      </c>
      <c r="D76" s="39">
        <f>IFERROR(DATE(SIP[[#This Row],[Year]],SIP[[#This Row],[Month]],SIP[[#This Row],[Day]]),0)</f>
        <v>45348</v>
      </c>
      <c r="E76" s="40" t="str" cm="1">
        <f t="array" ref="E76">IFERROR(INDEX(INVESTORS_LIST[INVESTOR NAME],MATCH(SIP[[#This Row],[Investor ID]],INVESTORS_LIST[INVESTOR CODE],0),)," ")</f>
        <v>MD MIZANUR RAHMAN</v>
      </c>
      <c r="F76" s="15" t="s">
        <v>177</v>
      </c>
      <c r="G76" s="15">
        <f>COUNTIFS(SIP[[#Headers],[Investor ID]]:SIP[[#This Row],[Investor ID]],SIP[[#This Row],[Investor ID]])</f>
        <v>22</v>
      </c>
      <c r="H76" s="15" t="str">
        <f>CONCATENATE(SIP[[#This Row],[Frequency]],SIP[[#This Row],[Investor ID]])</f>
        <v>22A00144</v>
      </c>
      <c r="I76" s="15" t="str">
        <f>IF(SIP[[#This Row],[B/S]]="B","BUY",(IF(SIP[[#This Row],[B/S]]="S","SELL"," ")))</f>
        <v>BUY</v>
      </c>
      <c r="J76" s="15" t="s">
        <v>301</v>
      </c>
      <c r="K76" s="38">
        <v>10000</v>
      </c>
      <c r="L76" s="38"/>
      <c r="M76" s="176">
        <f>IFERROR(SIP[[#This Row],[Amount]]/SIP[[#This Row],[Unit]],0)</f>
        <v>10.235414534288639</v>
      </c>
      <c r="N76" s="42">
        <f>SIP[[#This Row],[Unit Capital]]/10</f>
        <v>977</v>
      </c>
      <c r="O76" s="50">
        <f>SUMIFS(SIP[[#Headers],[Unit]]:SIP[[#This Row],[Unit]],SIP[[#Headers],[Investor ID]]:SIP[[#This Row],[Investor ID]],SIP[[#This Row],[Investor ID]])</f>
        <v>6197</v>
      </c>
      <c r="P76" s="38">
        <v>9770</v>
      </c>
      <c r="Q76" s="41">
        <f>SIP[[#This Row],[Amount]]-SIP[[#This Row],[Unit Capital]]</f>
        <v>230</v>
      </c>
      <c r="R7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10.251102827780967</v>
      </c>
      <c r="S76" s="43">
        <f t="shared" si="11"/>
        <v>12.552</v>
      </c>
      <c r="T7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6" s="43" cm="1">
        <f t="array" ref="U76">IF(SIP[[#This Row],[B/S]]="S",ABS(SIP[[#This Row],[Unit]])*(INDEX(SIP[NAV at Cost (Average)],MATCH(CONCATENATE((SIP[[#This Row],[Frequency]]-1),SIP[[#This Row],[Investor ID]]),SIP[Unique Code],0),0)),0)</f>
        <v>0</v>
      </c>
      <c r="V76" s="43">
        <f>IF(SIP[[#This Row],[BO Transfer]]="YES",SIP[[#This Row],[Unit]],)</f>
        <v>0</v>
      </c>
      <c r="W76" s="41">
        <f>SUMIFS(SIP[[#Headers],[BO UNIT TRANSFER]]:SIP[[#This Row],[BO UNIT TRANSFER]],SIP[[#Headers],[Investor ID]]:SIP[[#This Row],[Investor ID]],SIP[[#This Row],[Investor ID]])</f>
        <v>0</v>
      </c>
    </row>
    <row r="77" spans="1:23" ht="15" customHeight="1">
      <c r="A77" s="8">
        <v>2024</v>
      </c>
      <c r="B77" s="8">
        <v>3</v>
      </c>
      <c r="C77" s="8">
        <v>14</v>
      </c>
      <c r="D77" s="39">
        <f>IFERROR(DATE(SIP[[#This Row],[Year]],SIP[[#This Row],[Month]],SIP[[#This Row],[Day]]),0)</f>
        <v>45365</v>
      </c>
      <c r="E77" s="40" t="str" cm="1">
        <f t="array" ref="E77">IFERROR(INDEX(INVESTORS_LIST[INVESTOR NAME],MATCH(SIP[[#This Row],[Investor ID]],INVESTORS_LIST[INVESTOR CODE],0),)," ")</f>
        <v>MOHAMMAD NASIR HOSSAIN</v>
      </c>
      <c r="F77" s="15" t="s">
        <v>175</v>
      </c>
      <c r="G77" s="15">
        <f>COUNTIFS(SIP[[#Headers],[Investor ID]]:SIP[[#This Row],[Investor ID]],SIP[[#This Row],[Investor ID]])</f>
        <v>2</v>
      </c>
      <c r="H77" s="15" t="str">
        <f>CONCATENATE(SIP[[#This Row],[Frequency]],SIP[[#This Row],[Investor ID]])</f>
        <v>2A00142</v>
      </c>
      <c r="I77" s="15" t="str">
        <f>IF(SIP[[#This Row],[B/S]]="B","BUY",(IF(SIP[[#This Row],[B/S]]="S","SELL"," ")))</f>
        <v>SELL</v>
      </c>
      <c r="J77" s="15" t="s">
        <v>866</v>
      </c>
      <c r="K77" s="38">
        <v>-6.28</v>
      </c>
      <c r="L77" s="38"/>
      <c r="M77" s="176">
        <f>IFERROR(SIP[[#This Row],[Amount]]/SIP[[#This Row],[Unit]],0)</f>
        <v>6.28</v>
      </c>
      <c r="N77" s="42">
        <f>SIP[[#This Row],[Unit Capital]]/10</f>
        <v>-1</v>
      </c>
      <c r="O77" s="50">
        <f>SUMIFS(SIP[[#Headers],[Unit]]:SIP[[#This Row],[Unit]],SIP[[#Headers],[Investor ID]]:SIP[[#This Row],[Investor ID]],SIP[[#This Row],[Investor ID]])</f>
        <v>501</v>
      </c>
      <c r="P77" s="38">
        <v>-10</v>
      </c>
      <c r="Q77" s="41">
        <f>SIP[[#This Row],[Amount]]-SIP[[#This Row],[Unit Capital]]</f>
        <v>3.7199999999999998</v>
      </c>
      <c r="R7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9.9601593625498008</v>
      </c>
      <c r="S77" s="43">
        <f t="shared" ref="S77:S82" si="12">NAV_MKT</f>
        <v>12.552</v>
      </c>
      <c r="T77" s="41">
        <f>IF(SIP[[#This Row],[B/S]]="B",0,ABS(SIP[[#This Row],[Unit]])*(SIP[[#This Row],[NAV (Strike Rate)]]-INDEX(SIP[NAV at Cost (Average)],MATCH(CONCATENATE(SIP[[#This Row],[Frequency]]-1,SIP[[#This Row],[Investor ID]]),SIP[Unique Code],0),)))</f>
        <v>-3.6801593625498006</v>
      </c>
      <c r="U77" s="43" cm="1">
        <f t="array" ref="U77">IF(SIP[[#This Row],[B/S]]="S",ABS(SIP[[#This Row],[Unit]])*(INDEX(SIP[NAV at Cost (Average)],MATCH(CONCATENATE((SIP[[#This Row],[Frequency]]-1),SIP[[#This Row],[Investor ID]]),SIP[Unique Code],0),0)),0)</f>
        <v>9.9601593625498008</v>
      </c>
      <c r="V77" s="43">
        <f>IF(SIP[[#This Row],[BO Transfer]]="YES",SIP[[#This Row],[Unit]],)</f>
        <v>0</v>
      </c>
      <c r="W77" s="41">
        <f>SUMIFS(SIP[[#Headers],[BO UNIT TRANSFER]]:SIP[[#This Row],[BO UNIT TRANSFER]],SIP[[#Headers],[Investor ID]]:SIP[[#This Row],[Investor ID]],SIP[[#This Row],[Investor ID]])</f>
        <v>0</v>
      </c>
    </row>
    <row r="78" spans="1:23" ht="15" customHeight="1">
      <c r="A78" s="8">
        <v>2024</v>
      </c>
      <c r="B78" s="8">
        <v>3</v>
      </c>
      <c r="C78" s="8">
        <v>26</v>
      </c>
      <c r="D78" s="39">
        <f>IFERROR(DATE(SIP[[#This Row],[Year]],SIP[[#This Row],[Month]],SIP[[#This Row],[Day]]),0)</f>
        <v>45377</v>
      </c>
      <c r="E78" s="40" t="str" cm="1">
        <f t="array" ref="E78">IFERROR(INDEX(INVESTORS_LIST[INVESTOR NAME],MATCH(SIP[[#This Row],[Investor ID]],INVESTORS_LIST[INVESTOR CODE],0),)," ")</f>
        <v>MRIDUL KUMAR DEY</v>
      </c>
      <c r="F78" s="15" t="s">
        <v>27</v>
      </c>
      <c r="G78" s="15">
        <f>COUNTIFS(SIP[[#Headers],[Investor ID]]:SIP[[#This Row],[Investor ID]],SIP[[#This Row],[Investor ID]])</f>
        <v>24</v>
      </c>
      <c r="H78" s="15" t="str">
        <f>CONCATENATE(SIP[[#This Row],[Frequency]],SIP[[#This Row],[Investor ID]])</f>
        <v>24A00020</v>
      </c>
      <c r="I78" s="15" t="str">
        <f>IF(SIP[[#This Row],[B/S]]="B","BUY",(IF(SIP[[#This Row],[B/S]]="S","SELL"," ")))</f>
        <v>BUY</v>
      </c>
      <c r="J78" s="15" t="s">
        <v>301</v>
      </c>
      <c r="K78" s="38">
        <v>5000</v>
      </c>
      <c r="L78" s="38"/>
      <c r="M78" s="176">
        <f>IFERROR(SIP[[#This Row],[Amount]]/SIP[[#This Row],[Unit]],0)</f>
        <v>9.9403578528827037</v>
      </c>
      <c r="N78" s="42">
        <f>SIP[[#This Row],[Unit Capital]]/10</f>
        <v>503</v>
      </c>
      <c r="O78" s="50">
        <f>SUMIFS(SIP[[#Headers],[Unit]]:SIP[[#This Row],[Unit]],SIP[[#Headers],[Investor ID]]:SIP[[#This Row],[Investor ID]],SIP[[#This Row],[Investor ID]])</f>
        <v>11892</v>
      </c>
      <c r="P78" s="38">
        <v>5030</v>
      </c>
      <c r="Q78" s="41">
        <f>SIP[[#This Row],[Amount]]-SIP[[#This Row],[Unit Capital]]</f>
        <v>-30</v>
      </c>
      <c r="R7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10.090817356205854</v>
      </c>
      <c r="S78" s="43">
        <f t="shared" si="12"/>
        <v>12.552</v>
      </c>
      <c r="T7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8" s="43" cm="1">
        <f t="array" ref="U78">IF(SIP[[#This Row],[B/S]]="S",ABS(SIP[[#This Row],[Unit]])*(INDEX(SIP[NAV at Cost (Average)],MATCH(CONCATENATE((SIP[[#This Row],[Frequency]]-1),SIP[[#This Row],[Investor ID]]),SIP[Unique Code],0),0)),0)</f>
        <v>0</v>
      </c>
      <c r="V78" s="43">
        <f>IF(SIP[[#This Row],[BO Transfer]]="YES",SIP[[#This Row],[Unit]],)</f>
        <v>0</v>
      </c>
      <c r="W78" s="41">
        <f>SUMIFS(SIP[[#Headers],[BO UNIT TRANSFER]]:SIP[[#This Row],[BO UNIT TRANSFER]],SIP[[#Headers],[Investor ID]]:SIP[[#This Row],[Investor ID]],SIP[[#This Row],[Investor ID]])</f>
        <v>0</v>
      </c>
    </row>
    <row r="79" spans="1:23" ht="15" customHeight="1">
      <c r="A79" s="8">
        <v>2024</v>
      </c>
      <c r="B79" s="8">
        <v>3</v>
      </c>
      <c r="C79" s="8">
        <v>26</v>
      </c>
      <c r="D79" s="39">
        <f>IFERROR(DATE(SIP[[#This Row],[Year]],SIP[[#This Row],[Month]],SIP[[#This Row],[Day]]),0)</f>
        <v>45377</v>
      </c>
      <c r="E79" s="40" t="str" cm="1">
        <f t="array" ref="E79">IFERROR(INDEX(INVESTORS_LIST[INVESTOR NAME],MATCH(SIP[[#This Row],[Investor ID]],INVESTORS_LIST[INVESTOR CODE],0),)," ")</f>
        <v>MD MIZANUR RAHMAN</v>
      </c>
      <c r="F79" s="15" t="s">
        <v>177</v>
      </c>
      <c r="G79" s="15">
        <f>COUNTIFS(SIP[[#Headers],[Investor ID]]:SIP[[#This Row],[Investor ID]],SIP[[#This Row],[Investor ID]])</f>
        <v>23</v>
      </c>
      <c r="H79" s="15" t="str">
        <f>CONCATENATE(SIP[[#This Row],[Frequency]],SIP[[#This Row],[Investor ID]])</f>
        <v>23A00144</v>
      </c>
      <c r="I79" s="15" t="str">
        <f>IF(SIP[[#This Row],[B/S]]="B","BUY",(IF(SIP[[#This Row],[B/S]]="S","SELL"," ")))</f>
        <v>BUY</v>
      </c>
      <c r="J79" s="15" t="s">
        <v>301</v>
      </c>
      <c r="K79" s="38">
        <v>10000</v>
      </c>
      <c r="L79" s="38"/>
      <c r="M79" s="176">
        <f>IFERROR(SIP[[#This Row],[Amount]]/SIP[[#This Row],[Unit]],0)</f>
        <v>9.9304865938430975</v>
      </c>
      <c r="N79" s="42">
        <f>SIP[[#This Row],[Unit Capital]]/10</f>
        <v>1007</v>
      </c>
      <c r="O79" s="50">
        <f>SUMIFS(SIP[[#Headers],[Unit]]:SIP[[#This Row],[Unit]],SIP[[#Headers],[Investor ID]]:SIP[[#This Row],[Investor ID]],SIP[[#This Row],[Investor ID]])</f>
        <v>7204</v>
      </c>
      <c r="P79" s="38">
        <v>10070</v>
      </c>
      <c r="Q79" s="41">
        <f>SIP[[#This Row],[Amount]]-SIP[[#This Row],[Unit Capital]]</f>
        <v>-70</v>
      </c>
      <c r="R7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10.206285983309087</v>
      </c>
      <c r="S79" s="43">
        <f t="shared" si="12"/>
        <v>12.552</v>
      </c>
      <c r="T7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79" s="43" cm="1">
        <f t="array" ref="U79">IF(SIP[[#This Row],[B/S]]="S",ABS(SIP[[#This Row],[Unit]])*(INDEX(SIP[NAV at Cost (Average)],MATCH(CONCATENATE((SIP[[#This Row],[Frequency]]-1),SIP[[#This Row],[Investor ID]]),SIP[Unique Code],0),0)),0)</f>
        <v>0</v>
      </c>
      <c r="V79" s="43">
        <f>IF(SIP[[#This Row],[BO Transfer]]="YES",SIP[[#This Row],[Unit]],)</f>
        <v>0</v>
      </c>
      <c r="W79" s="41">
        <f>SUMIFS(SIP[[#Headers],[BO UNIT TRANSFER]]:SIP[[#This Row],[BO UNIT TRANSFER]],SIP[[#Headers],[Investor ID]]:SIP[[#This Row],[Investor ID]],SIP[[#This Row],[Investor ID]])</f>
        <v>0</v>
      </c>
    </row>
    <row r="80" spans="1:23" ht="15" customHeight="1">
      <c r="A80" s="8">
        <v>2024</v>
      </c>
      <c r="B80" s="8">
        <v>4</v>
      </c>
      <c r="C80" s="8">
        <v>28</v>
      </c>
      <c r="D80" s="39">
        <f>IFERROR(DATE(SIP[[#This Row],[Year]],SIP[[#This Row],[Month]],SIP[[#This Row],[Day]]),0)</f>
        <v>45410</v>
      </c>
      <c r="E80" s="40" t="str" cm="1">
        <f t="array" ref="E80">IFERROR(INDEX(INVESTORS_LIST[INVESTOR NAME],MATCH(SIP[[#This Row],[Investor ID]],INVESTORS_LIST[INVESTOR CODE],0),)," ")</f>
        <v>MD MIZANUR RAHMAN</v>
      </c>
      <c r="F80" s="15" t="s">
        <v>177</v>
      </c>
      <c r="G80" s="15">
        <f>COUNTIFS(SIP[[#Headers],[Investor ID]]:SIP[[#This Row],[Investor ID]],SIP[[#This Row],[Investor ID]])</f>
        <v>24</v>
      </c>
      <c r="H80" s="15" t="str">
        <f>CONCATENATE(SIP[[#This Row],[Frequency]],SIP[[#This Row],[Investor ID]])</f>
        <v>24A00144</v>
      </c>
      <c r="I80" s="15" t="str">
        <f>IF(SIP[[#This Row],[B/S]]="B","BUY",(IF(SIP[[#This Row],[B/S]]="S","SELL"," ")))</f>
        <v>SELL</v>
      </c>
      <c r="J80" s="15" t="s">
        <v>866</v>
      </c>
      <c r="K80" s="38">
        <v>-55499</v>
      </c>
      <c r="L80" s="38"/>
      <c r="M80" s="176">
        <f>IFERROR(SIP[[#This Row],[Amount]]/SIP[[#This Row],[Unit]],0)</f>
        <v>9.7933650961708132</v>
      </c>
      <c r="N80" s="42">
        <f>SIP[[#This Row],[Unit Capital]]/10</f>
        <v>-5667</v>
      </c>
      <c r="O80" s="50">
        <f>SUMIFS(SIP[[#Headers],[Unit]]:SIP[[#This Row],[Unit]],SIP[[#Headers],[Investor ID]]:SIP[[#This Row],[Investor ID]],SIP[[#This Row],[Investor ID]])</f>
        <v>1537</v>
      </c>
      <c r="P80" s="38">
        <v>-56670</v>
      </c>
      <c r="Q80" s="41">
        <f>SIP[[#This Row],[Amount]]-SIP[[#This Row],[Unit Capital]]</f>
        <v>1171</v>
      </c>
      <c r="R8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10.206285983309087</v>
      </c>
      <c r="S80" s="43">
        <f t="shared" si="12"/>
        <v>12.552</v>
      </c>
      <c r="T80" s="41">
        <f>IF(SIP[[#This Row],[B/S]]="B",0,ABS(SIP[[#This Row],[Unit]])*(SIP[[#This Row],[NAV (Strike Rate)]]-INDEX(SIP[NAV at Cost (Average)],MATCH(CONCATENATE(SIP[[#This Row],[Frequency]]-1,SIP[[#This Row],[Investor ID]]),SIP[Unique Code],0),)))</f>
        <v>-2340.022667412597</v>
      </c>
      <c r="U80" s="43" cm="1">
        <f t="array" ref="U80">IF(SIP[[#This Row],[B/S]]="S",ABS(SIP[[#This Row],[Unit]])*(INDEX(SIP[NAV at Cost (Average)],MATCH(CONCATENATE((SIP[[#This Row],[Frequency]]-1),SIP[[#This Row],[Investor ID]]),SIP[Unique Code],0),0)),0)</f>
        <v>57839.022667412595</v>
      </c>
      <c r="V80" s="43">
        <f>IF(SIP[[#This Row],[BO Transfer]]="YES",SIP[[#This Row],[Unit]],)</f>
        <v>0</v>
      </c>
      <c r="W80" s="41">
        <f>SUMIFS(SIP[[#Headers],[BO UNIT TRANSFER]]:SIP[[#This Row],[BO UNIT TRANSFER]],SIP[[#Headers],[Investor ID]]:SIP[[#This Row],[Investor ID]],SIP[[#This Row],[Investor ID]])</f>
        <v>0</v>
      </c>
    </row>
    <row r="81" spans="1:23" ht="15" customHeight="1">
      <c r="A81" s="8">
        <v>2024</v>
      </c>
      <c r="B81" s="8">
        <v>4</v>
      </c>
      <c r="C81" s="8">
        <v>26</v>
      </c>
      <c r="D81" s="39">
        <f>IFERROR(DATE(SIP[[#This Row],[Year]],SIP[[#This Row],[Month]],SIP[[#This Row],[Day]]),0)</f>
        <v>45408</v>
      </c>
      <c r="E81" s="40" t="str" cm="1">
        <f t="array" ref="E81">IFERROR(INDEX(INVESTORS_LIST[INVESTOR NAME],MATCH(SIP[[#This Row],[Investor ID]],INVESTORS_LIST[INVESTOR CODE],0),)," ")</f>
        <v>MRIDUL KUMAR DEY</v>
      </c>
      <c r="F81" s="15" t="s">
        <v>27</v>
      </c>
      <c r="G81" s="15">
        <f>COUNTIFS(SIP[[#Headers],[Investor ID]]:SIP[[#This Row],[Investor ID]],SIP[[#This Row],[Investor ID]])</f>
        <v>25</v>
      </c>
      <c r="H81" s="15" t="str">
        <f>CONCATENATE(SIP[[#This Row],[Frequency]],SIP[[#This Row],[Investor ID]])</f>
        <v>25A00020</v>
      </c>
      <c r="I81" s="15" t="str">
        <f>IF(SIP[[#This Row],[B/S]]="B","BUY",(IF(SIP[[#This Row],[B/S]]="S","SELL"," ")))</f>
        <v>BUY</v>
      </c>
      <c r="J81" s="15" t="s">
        <v>301</v>
      </c>
      <c r="K81" s="38">
        <v>5000</v>
      </c>
      <c r="L81" s="38"/>
      <c r="M81" s="176">
        <f>IFERROR(SIP[[#This Row],[Amount]]/SIP[[#This Row],[Unit]],0)</f>
        <v>9.7847358121330732</v>
      </c>
      <c r="N81" s="42">
        <f>SIP[[#This Row],[Unit Capital]]/10</f>
        <v>511</v>
      </c>
      <c r="O81" s="50">
        <f>SUMIFS(SIP[[#Headers],[Unit]]:SIP[[#This Row],[Unit]],SIP[[#Headers],[Investor ID]]:SIP[[#This Row],[Investor ID]],SIP[[#This Row],[Investor ID]])</f>
        <v>12403</v>
      </c>
      <c r="P81" s="38">
        <v>5110</v>
      </c>
      <c r="Q81" s="41">
        <f>SIP[[#This Row],[Amount]]-SIP[[#This Row],[Unit Capital]]</f>
        <v>-110</v>
      </c>
      <c r="R8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10.078206885430944</v>
      </c>
      <c r="S81" s="43">
        <f t="shared" si="12"/>
        <v>12.552</v>
      </c>
      <c r="T8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1" s="43" cm="1">
        <f t="array" ref="U81">IF(SIP[[#This Row],[B/S]]="S",ABS(SIP[[#This Row],[Unit]])*(INDEX(SIP[NAV at Cost (Average)],MATCH(CONCATENATE((SIP[[#This Row],[Frequency]]-1),SIP[[#This Row],[Investor ID]]),SIP[Unique Code],0),0)),0)</f>
        <v>0</v>
      </c>
      <c r="V81" s="43">
        <f>IF(SIP[[#This Row],[BO Transfer]]="YES",SIP[[#This Row],[Unit]],)</f>
        <v>0</v>
      </c>
      <c r="W81" s="41">
        <f>SUMIFS(SIP[[#Headers],[BO UNIT TRANSFER]]:SIP[[#This Row],[BO UNIT TRANSFER]],SIP[[#Headers],[Investor ID]]:SIP[[#This Row],[Investor ID]],SIP[[#This Row],[Investor ID]])</f>
        <v>0</v>
      </c>
    </row>
    <row r="82" spans="1:23" ht="15" customHeight="1">
      <c r="A82" s="8">
        <v>2024</v>
      </c>
      <c r="B82" s="8">
        <v>4</v>
      </c>
      <c r="C82" s="8">
        <v>26</v>
      </c>
      <c r="D82" s="39">
        <f>IFERROR(DATE(SIP[[#This Row],[Year]],SIP[[#This Row],[Month]],SIP[[#This Row],[Day]]),0)</f>
        <v>45408</v>
      </c>
      <c r="E82" s="40" t="str" cm="1">
        <f t="array" ref="E82">IFERROR(INDEX(INVESTORS_LIST[INVESTOR NAME],MATCH(SIP[[#This Row],[Investor ID]],INVESTORS_LIST[INVESTOR CODE],0),)," ")</f>
        <v>MD MIZANUR RAHMAN</v>
      </c>
      <c r="F82" s="15" t="s">
        <v>177</v>
      </c>
      <c r="G82" s="15">
        <f>COUNTIFS(SIP[[#Headers],[Investor ID]]:SIP[[#This Row],[Investor ID]],SIP[[#This Row],[Investor ID]])</f>
        <v>25</v>
      </c>
      <c r="H82" s="15" t="str">
        <f>CONCATENATE(SIP[[#This Row],[Frequency]],SIP[[#This Row],[Investor ID]])</f>
        <v>25A00144</v>
      </c>
      <c r="I82" s="15" t="str">
        <f>IF(SIP[[#This Row],[B/S]]="B","BUY",(IF(SIP[[#This Row],[B/S]]="S","SELL"," ")))</f>
        <v>BUY</v>
      </c>
      <c r="J82" s="15" t="s">
        <v>301</v>
      </c>
      <c r="K82" s="38">
        <v>10000</v>
      </c>
      <c r="L82" s="38"/>
      <c r="M82" s="176">
        <f>IFERROR(SIP[[#This Row],[Amount]]/SIP[[#This Row],[Unit]],0)</f>
        <v>9.7943192948090108</v>
      </c>
      <c r="N82" s="42">
        <f>SIP[[#This Row],[Unit Capital]]/10</f>
        <v>1021</v>
      </c>
      <c r="O82" s="50">
        <f>SUMIFS(SIP[[#Headers],[Unit]]:SIP[[#This Row],[Unit]],SIP[[#Headers],[Investor ID]]:SIP[[#This Row],[Investor ID]],SIP[[#This Row],[Investor ID]])</f>
        <v>2558</v>
      </c>
      <c r="P82" s="38">
        <v>10210</v>
      </c>
      <c r="Q82" s="41">
        <f>SIP[[#This Row],[Amount]]-SIP[[#This Row],[Unit Capital]]</f>
        <v>-210</v>
      </c>
      <c r="R8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10.041853618587204</v>
      </c>
      <c r="S82" s="43">
        <f t="shared" si="12"/>
        <v>12.552</v>
      </c>
      <c r="T8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2" s="43" cm="1">
        <f t="array" ref="U82">IF(SIP[[#This Row],[B/S]]="S",ABS(SIP[[#This Row],[Unit]])*(INDEX(SIP[NAV at Cost (Average)],MATCH(CONCATENATE((SIP[[#This Row],[Frequency]]-1),SIP[[#This Row],[Investor ID]]),SIP[Unique Code],0),0)),0)</f>
        <v>0</v>
      </c>
      <c r="V82" s="43">
        <f>IF(SIP[[#This Row],[BO Transfer]]="YES",SIP[[#This Row],[Unit]],)</f>
        <v>0</v>
      </c>
      <c r="W82" s="41">
        <f>SUMIFS(SIP[[#Headers],[BO UNIT TRANSFER]]:SIP[[#This Row],[BO UNIT TRANSFER]],SIP[[#Headers],[Investor ID]]:SIP[[#This Row],[Investor ID]],SIP[[#This Row],[Investor ID]])</f>
        <v>0</v>
      </c>
    </row>
    <row r="83" spans="1:23" ht="15" customHeight="1">
      <c r="A83" s="8">
        <v>2024</v>
      </c>
      <c r="B83" s="8">
        <v>5</v>
      </c>
      <c r="C83" s="8">
        <v>26</v>
      </c>
      <c r="D83" s="39">
        <f>IFERROR(DATE(SIP[[#This Row],[Year]],SIP[[#This Row],[Month]],SIP[[#This Row],[Day]]),0)</f>
        <v>45438</v>
      </c>
      <c r="E83" s="40" t="str" cm="1">
        <f t="array" ref="E83">IFERROR(INDEX(INVESTORS_LIST[INVESTOR NAME],MATCH(SIP[[#This Row],[Investor ID]],INVESTORS_LIST[INVESTOR CODE],0),)," ")</f>
        <v>MRIDUL KUMAR DEY</v>
      </c>
      <c r="F83" s="15" t="s">
        <v>27</v>
      </c>
      <c r="G83" s="15">
        <f>COUNTIFS(SIP[[#Headers],[Investor ID]]:SIP[[#This Row],[Investor ID]],SIP[[#This Row],[Investor ID]])</f>
        <v>26</v>
      </c>
      <c r="H83" s="15" t="str">
        <f>CONCATENATE(SIP[[#This Row],[Frequency]],SIP[[#This Row],[Investor ID]])</f>
        <v>26A00020</v>
      </c>
      <c r="I83" s="15" t="str">
        <f>IF(SIP[[#This Row],[B/S]]="B","BUY",(IF(SIP[[#This Row],[B/S]]="S","SELL"," ")))</f>
        <v>BUY</v>
      </c>
      <c r="J83" s="15" t="s">
        <v>301</v>
      </c>
      <c r="K83" s="38">
        <v>5000</v>
      </c>
      <c r="L83" s="38"/>
      <c r="M83" s="176">
        <f>IFERROR(SIP[[#This Row],[Amount]]/SIP[[#This Row],[Unit]],0)</f>
        <v>9.8619329388560164</v>
      </c>
      <c r="N83" s="42">
        <f>SIP[[#This Row],[Unit Capital]]/10</f>
        <v>507</v>
      </c>
      <c r="O83" s="50">
        <f>SUMIFS(SIP[[#Headers],[Unit]]:SIP[[#This Row],[Unit]],SIP[[#Headers],[Investor ID]]:SIP[[#This Row],[Investor ID]],SIP[[#This Row],[Investor ID]])</f>
        <v>12910</v>
      </c>
      <c r="P83" s="38">
        <v>5070</v>
      </c>
      <c r="Q83" s="41">
        <f>SIP[[#This Row],[Amount]]-SIP[[#This Row],[Unit Capital]]</f>
        <v>-70</v>
      </c>
      <c r="R8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10.069713400464757</v>
      </c>
      <c r="S83" s="43">
        <f t="shared" ref="S83:S88" si="13">NAV_MKT</f>
        <v>12.552</v>
      </c>
      <c r="T8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3" s="43" cm="1">
        <f t="array" ref="U83">IF(SIP[[#This Row],[B/S]]="S",ABS(SIP[[#This Row],[Unit]])*(INDEX(SIP[NAV at Cost (Average)],MATCH(CONCATENATE((SIP[[#This Row],[Frequency]]-1),SIP[[#This Row],[Investor ID]]),SIP[Unique Code],0),0)),0)</f>
        <v>0</v>
      </c>
      <c r="V83" s="43">
        <f>IF(SIP[[#This Row],[BO Transfer]]="YES",SIP[[#This Row],[Unit]],)</f>
        <v>0</v>
      </c>
      <c r="W83" s="41">
        <f>SUMIFS(SIP[[#Headers],[BO UNIT TRANSFER]]:SIP[[#This Row],[BO UNIT TRANSFER]],SIP[[#Headers],[Investor ID]]:SIP[[#This Row],[Investor ID]],SIP[[#This Row],[Investor ID]])</f>
        <v>0</v>
      </c>
    </row>
    <row r="84" spans="1:23" ht="15" customHeight="1">
      <c r="A84" s="8">
        <v>2024</v>
      </c>
      <c r="B84" s="8">
        <v>6</v>
      </c>
      <c r="C84" s="8">
        <v>26</v>
      </c>
      <c r="D84" s="39">
        <f>IFERROR(DATE(SIP[[#This Row],[Year]],SIP[[#This Row],[Month]],SIP[[#This Row],[Day]]),0)</f>
        <v>45469</v>
      </c>
      <c r="E84" s="40" t="str" cm="1">
        <f t="array" ref="E84">IFERROR(INDEX(INVESTORS_LIST[INVESTOR NAME],MATCH(SIP[[#This Row],[Investor ID]],INVESTORS_LIST[INVESTOR CODE],0),)," ")</f>
        <v>MRIDUL KUMAR DEY</v>
      </c>
      <c r="F84" s="15" t="s">
        <v>27</v>
      </c>
      <c r="G84" s="15">
        <f>COUNTIFS(SIP[[#Headers],[Investor ID]]:SIP[[#This Row],[Investor ID]],SIP[[#This Row],[Investor ID]])</f>
        <v>27</v>
      </c>
      <c r="H84" s="15" t="str">
        <f>CONCATENATE(SIP[[#This Row],[Frequency]],SIP[[#This Row],[Investor ID]])</f>
        <v>27A00020</v>
      </c>
      <c r="I84" s="15" t="str">
        <f>IF(SIP[[#This Row],[B/S]]="B","BUY",(IF(SIP[[#This Row],[B/S]]="S","SELL"," ")))</f>
        <v>BUY</v>
      </c>
      <c r="J84" s="15" t="s">
        <v>301</v>
      </c>
      <c r="K84" s="38">
        <v>5000</v>
      </c>
      <c r="L84" s="38"/>
      <c r="M84" s="176">
        <f>IFERROR(SIP[[#This Row],[Amount]]/SIP[[#This Row],[Unit]],0)</f>
        <v>9.8425196850393704</v>
      </c>
      <c r="N84" s="42">
        <f>SIP[[#This Row],[Unit Capital]]/10</f>
        <v>508</v>
      </c>
      <c r="O84" s="50">
        <f>SUMIFS(SIP[[#Headers],[Unit]]:SIP[[#This Row],[Unit]],SIP[[#Headers],[Investor ID]]:SIP[[#This Row],[Investor ID]],SIP[[#This Row],[Investor ID]])</f>
        <v>13418</v>
      </c>
      <c r="P84" s="38">
        <v>5080</v>
      </c>
      <c r="Q84" s="41">
        <f>SIP[[#This Row],[Amount]]-SIP[[#This Row],[Unit Capital]]</f>
        <v>-80</v>
      </c>
      <c r="R8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10.061111939186167</v>
      </c>
      <c r="S84" s="43">
        <f t="shared" si="13"/>
        <v>12.552</v>
      </c>
      <c r="T8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4" s="43" cm="1">
        <f t="array" ref="U84">IF(SIP[[#This Row],[B/S]]="S",ABS(SIP[[#This Row],[Unit]])*(INDEX(SIP[NAV at Cost (Average)],MATCH(CONCATENATE((SIP[[#This Row],[Frequency]]-1),SIP[[#This Row],[Investor ID]]),SIP[Unique Code],0),0)),0)</f>
        <v>0</v>
      </c>
      <c r="V84" s="43">
        <f>IF(SIP[[#This Row],[BO Transfer]]="YES",SIP[[#This Row],[Unit]],)</f>
        <v>0</v>
      </c>
      <c r="W84" s="41">
        <f>SUMIFS(SIP[[#Headers],[BO UNIT TRANSFER]]:SIP[[#This Row],[BO UNIT TRANSFER]],SIP[[#Headers],[Investor ID]]:SIP[[#This Row],[Investor ID]],SIP[[#This Row],[Investor ID]])</f>
        <v>0</v>
      </c>
    </row>
    <row r="85" spans="1:23" ht="15" customHeight="1">
      <c r="A85" s="8">
        <v>2024</v>
      </c>
      <c r="B85" s="8">
        <v>6</v>
      </c>
      <c r="C85" s="8">
        <v>26</v>
      </c>
      <c r="D85" s="39">
        <f>IFERROR(DATE(SIP[[#This Row],[Year]],SIP[[#This Row],[Month]],SIP[[#This Row],[Day]]),0)</f>
        <v>45469</v>
      </c>
      <c r="E85" s="40" t="str" cm="1">
        <f t="array" ref="E85">IFERROR(INDEX(INVESTORS_LIST[INVESTOR NAME],MATCH(SIP[[#This Row],[Investor ID]],INVESTORS_LIST[INVESTOR CODE],0),)," ")</f>
        <v>MD MIZANUR RAHMAN</v>
      </c>
      <c r="F85" s="15" t="s">
        <v>177</v>
      </c>
      <c r="G85" s="15">
        <f>COUNTIFS(SIP[[#Headers],[Investor ID]]:SIP[[#This Row],[Investor ID]],SIP[[#This Row],[Investor ID]])</f>
        <v>26</v>
      </c>
      <c r="H85" s="15" t="str">
        <f>CONCATENATE(SIP[[#This Row],[Frequency]],SIP[[#This Row],[Investor ID]])</f>
        <v>26A00144</v>
      </c>
      <c r="I85" s="15" t="str">
        <f>IF(SIP[[#This Row],[B/S]]="B","BUY",(IF(SIP[[#This Row],[B/S]]="S","SELL"," ")))</f>
        <v>BUY</v>
      </c>
      <c r="J85" s="15" t="s">
        <v>301</v>
      </c>
      <c r="K85" s="38">
        <v>10000</v>
      </c>
      <c r="L85" s="38"/>
      <c r="M85" s="176">
        <f>IFERROR(SIP[[#This Row],[Amount]]/SIP[[#This Row],[Unit]],0)</f>
        <v>9.8425196850393704</v>
      </c>
      <c r="N85" s="42">
        <f>SIP[[#This Row],[Unit Capital]]/10</f>
        <v>1016</v>
      </c>
      <c r="O85" s="50">
        <f>SUMIFS(SIP[[#Headers],[Unit]]:SIP[[#This Row],[Unit]],SIP[[#Headers],[Investor ID]]:SIP[[#This Row],[Investor ID]],SIP[[#This Row],[Investor ID]])</f>
        <v>3574</v>
      </c>
      <c r="P85" s="38">
        <v>10160</v>
      </c>
      <c r="Q85" s="41">
        <f>SIP[[#This Row],[Amount]]-SIP[[#This Row],[Unit Capital]]</f>
        <v>-160</v>
      </c>
      <c r="R8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9.9851879004885475</v>
      </c>
      <c r="S85" s="43">
        <f t="shared" si="13"/>
        <v>12.552</v>
      </c>
      <c r="T8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5" s="43" cm="1">
        <f t="array" ref="U85">IF(SIP[[#This Row],[B/S]]="S",ABS(SIP[[#This Row],[Unit]])*(INDEX(SIP[NAV at Cost (Average)],MATCH(CONCATENATE((SIP[[#This Row],[Frequency]]-1),SIP[[#This Row],[Investor ID]]),SIP[Unique Code],0),0)),0)</f>
        <v>0</v>
      </c>
      <c r="V85" s="43">
        <f>IF(SIP[[#This Row],[BO Transfer]]="YES",SIP[[#This Row],[Unit]],)</f>
        <v>0</v>
      </c>
      <c r="W85" s="41">
        <f>SUMIFS(SIP[[#Headers],[BO UNIT TRANSFER]]:SIP[[#This Row],[BO UNIT TRANSFER]],SIP[[#Headers],[Investor ID]]:SIP[[#This Row],[Investor ID]],SIP[[#This Row],[Investor ID]])</f>
        <v>0</v>
      </c>
    </row>
    <row r="86" spans="1:23" ht="15" customHeight="1">
      <c r="A86" s="8">
        <v>2024</v>
      </c>
      <c r="B86" s="8">
        <v>7</v>
      </c>
      <c r="C86" s="8">
        <v>26</v>
      </c>
      <c r="D86" s="39">
        <f>IFERROR(DATE(SIP[[#This Row],[Year]],SIP[[#This Row],[Month]],SIP[[#This Row],[Day]]),0)</f>
        <v>45499</v>
      </c>
      <c r="E86" s="40" t="str" cm="1">
        <f t="array" ref="E86">IFERROR(INDEX(INVESTORS_LIST[INVESTOR NAME],MATCH(SIP[[#This Row],[Investor ID]],INVESTORS_LIST[INVESTOR CODE],0),)," ")</f>
        <v>MRIDUL KUMAR DEY</v>
      </c>
      <c r="F86" s="15" t="s">
        <v>27</v>
      </c>
      <c r="G86" s="15">
        <f>COUNTIFS(SIP[[#Headers],[Investor ID]]:SIP[[#This Row],[Investor ID]],SIP[[#This Row],[Investor ID]])</f>
        <v>28</v>
      </c>
      <c r="H86" s="15" t="str">
        <f>CONCATENATE(SIP[[#This Row],[Frequency]],SIP[[#This Row],[Investor ID]])</f>
        <v>28A00020</v>
      </c>
      <c r="I86" s="15" t="str">
        <f>IF(SIP[[#This Row],[B/S]]="B","BUY",(IF(SIP[[#This Row],[B/S]]="S","SELL"," ")))</f>
        <v>BUY</v>
      </c>
      <c r="J86" s="15" t="s">
        <v>301</v>
      </c>
      <c r="K86" s="38">
        <v>5000</v>
      </c>
      <c r="L86" s="38"/>
      <c r="M86" s="176">
        <f>IFERROR(SIP[[#This Row],[Amount]]/SIP[[#This Row],[Unit]],0)</f>
        <v>10.204081632653061</v>
      </c>
      <c r="N86" s="42">
        <f>SIP[[#This Row],[Unit Capital]]/10</f>
        <v>490</v>
      </c>
      <c r="O86" s="50">
        <f>SUMIFS(SIP[[#Headers],[Unit]]:SIP[[#This Row],[Unit]],SIP[[#Headers],[Investor ID]]:SIP[[#This Row],[Investor ID]],SIP[[#This Row],[Investor ID]])</f>
        <v>13908</v>
      </c>
      <c r="P86" s="38">
        <v>4900</v>
      </c>
      <c r="Q86" s="41">
        <f>SIP[[#This Row],[Amount]]-SIP[[#This Row],[Unit Capital]]</f>
        <v>100</v>
      </c>
      <c r="R8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10.06614897900489</v>
      </c>
      <c r="S86" s="43">
        <f t="shared" si="13"/>
        <v>12.552</v>
      </c>
      <c r="T8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6" s="43" cm="1">
        <f t="array" ref="U86">IF(SIP[[#This Row],[B/S]]="S",ABS(SIP[[#This Row],[Unit]])*(INDEX(SIP[NAV at Cost (Average)],MATCH(CONCATENATE((SIP[[#This Row],[Frequency]]-1),SIP[[#This Row],[Investor ID]]),SIP[Unique Code],0),0)),0)</f>
        <v>0</v>
      </c>
      <c r="V86" s="43">
        <f>IF(SIP[[#This Row],[BO Transfer]]="YES",SIP[[#This Row],[Unit]],)</f>
        <v>0</v>
      </c>
      <c r="W86" s="41">
        <f>SUMIFS(SIP[[#Headers],[BO UNIT TRANSFER]]:SIP[[#This Row],[BO UNIT TRANSFER]],SIP[[#Headers],[Investor ID]]:SIP[[#This Row],[Investor ID]],SIP[[#This Row],[Investor ID]])</f>
        <v>0</v>
      </c>
    </row>
    <row r="87" spans="1:23" ht="15" customHeight="1">
      <c r="A87" s="8">
        <v>2024</v>
      </c>
      <c r="B87" s="8">
        <v>8</v>
      </c>
      <c r="C87" s="8">
        <v>15</v>
      </c>
      <c r="D87" s="39">
        <f>IFERROR(DATE(SIP[[#This Row],[Year]],SIP[[#This Row],[Month]],SIP[[#This Row],[Day]]),0)</f>
        <v>45519</v>
      </c>
      <c r="E87" s="40" t="str" cm="1">
        <f t="array" ref="E87">IFERROR(INDEX(INVESTORS_LIST[INVESTOR NAME],MATCH(SIP[[#This Row],[Investor ID]],INVESTORS_LIST[INVESTOR CODE],0),)," ")</f>
        <v>ANIK KUMAR GUPTA</v>
      </c>
      <c r="F87" s="15" t="s">
        <v>708</v>
      </c>
      <c r="G87" s="15">
        <f>COUNTIFS(SIP[[#Headers],[Investor ID]]:SIP[[#This Row],[Investor ID]],SIP[[#This Row],[Investor ID]])</f>
        <v>5</v>
      </c>
      <c r="H87" s="15" t="str">
        <f>CONCATENATE(SIP[[#This Row],[Frequency]],SIP[[#This Row],[Investor ID]])</f>
        <v>5A00381</v>
      </c>
      <c r="I87" s="15" t="str">
        <f>IF(SIP[[#This Row],[B/S]]="B","BUY",(IF(SIP[[#This Row],[B/S]]="S","SELL"," ")))</f>
        <v>SELL</v>
      </c>
      <c r="J87" s="15" t="s">
        <v>866</v>
      </c>
      <c r="K87" s="38">
        <v>-4355.67</v>
      </c>
      <c r="L87" s="38"/>
      <c r="M87" s="176">
        <f>IFERROR(SIP[[#This Row],[Amount]]/SIP[[#This Row],[Unit]],0)</f>
        <v>10.835000000000001</v>
      </c>
      <c r="N87" s="42">
        <f>SIP[[#This Row],[Unit Capital]]/10</f>
        <v>-402</v>
      </c>
      <c r="O87" s="50">
        <f>SUMIFS(SIP[[#Headers],[Unit]]:SIP[[#This Row],[Unit]],SIP[[#Headers],[Investor ID]]:SIP[[#This Row],[Investor ID]],SIP[[#This Row],[Investor ID]])</f>
        <v>0</v>
      </c>
      <c r="P87" s="38">
        <v>-4020</v>
      </c>
      <c r="Q87" s="41">
        <f>SIP[[#This Row],[Amount]]-SIP[[#This Row],[Unit Capital]]</f>
        <v>-335.67000000000007</v>
      </c>
      <c r="R8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87" s="43">
        <f t="shared" si="13"/>
        <v>12.552</v>
      </c>
      <c r="T87" s="41">
        <f>IF(SIP[[#This Row],[B/S]]="B",0,ABS(SIP[[#This Row],[Unit]])*(SIP[[#This Row],[NAV (Strike Rate)]]-INDEX(SIP[NAV at Cost (Average)],MATCH(CONCATENATE(SIP[[#This Row],[Frequency]]-1,SIP[[#This Row],[Investor ID]]),SIP[Unique Code],0),)))</f>
        <v>355.66999999999996</v>
      </c>
      <c r="U87" s="43" cm="1">
        <f t="array" ref="U87">IF(SIP[[#This Row],[B/S]]="S",ABS(SIP[[#This Row],[Unit]])*(INDEX(SIP[NAV at Cost (Average)],MATCH(CONCATENATE((SIP[[#This Row],[Frequency]]-1),SIP[[#This Row],[Investor ID]]),SIP[Unique Code],0),0)),0)</f>
        <v>4000.0000000000005</v>
      </c>
      <c r="V87" s="43">
        <f>IF(SIP[[#This Row],[BO Transfer]]="YES",SIP[[#This Row],[Unit]],)</f>
        <v>0</v>
      </c>
      <c r="W87" s="41">
        <f>SUMIFS(SIP[[#Headers],[BO UNIT TRANSFER]]:SIP[[#This Row],[BO UNIT TRANSFER]],SIP[[#Headers],[Investor ID]]:SIP[[#This Row],[Investor ID]],SIP[[#This Row],[Investor ID]])</f>
        <v>0</v>
      </c>
    </row>
    <row r="88" spans="1:23" ht="15" customHeight="1">
      <c r="A88" s="8">
        <v>2024</v>
      </c>
      <c r="B88" s="8">
        <v>8</v>
      </c>
      <c r="C88" s="8">
        <v>15</v>
      </c>
      <c r="D88" s="39">
        <f>IFERROR(DATE(SIP[[#This Row],[Year]],SIP[[#This Row],[Month]],SIP[[#This Row],[Day]]),0)</f>
        <v>45519</v>
      </c>
      <c r="E88" s="40" t="str" cm="1">
        <f t="array" ref="E88">IFERROR(INDEX(INVESTORS_LIST[INVESTOR NAME],MATCH(SIP[[#This Row],[Investor ID]],INVESTORS_LIST[INVESTOR CODE],0),)," ")</f>
        <v>ANIK KUMAR GUPTA</v>
      </c>
      <c r="F88" s="15" t="s">
        <v>708</v>
      </c>
      <c r="G88" s="15">
        <f>COUNTIFS(SIP[[#Headers],[Investor ID]]:SIP[[#This Row],[Investor ID]],SIP[[#This Row],[Investor ID]])</f>
        <v>6</v>
      </c>
      <c r="H88" s="15" t="str">
        <f>CONCATENATE(SIP[[#This Row],[Frequency]],SIP[[#This Row],[Investor ID]])</f>
        <v>6A00381</v>
      </c>
      <c r="I88" s="15" t="str">
        <f>IF(SIP[[#This Row],[B/S]]="B","BUY",(IF(SIP[[#This Row],[B/S]]="S","SELL"," ")))</f>
        <v>BUY</v>
      </c>
      <c r="J88" s="15" t="s">
        <v>301</v>
      </c>
      <c r="K88" s="38">
        <v>1000</v>
      </c>
      <c r="L88" s="38"/>
      <c r="M88" s="176">
        <f>IFERROR(SIP[[#This Row],[Amount]]/SIP[[#This Row],[Unit]],0)</f>
        <v>10.869565217391305</v>
      </c>
      <c r="N88" s="42">
        <f>SIP[[#This Row],[Unit Capital]]/10</f>
        <v>92</v>
      </c>
      <c r="O88" s="50">
        <f>SUMIFS(SIP[[#Headers],[Unit]]:SIP[[#This Row],[Unit]],SIP[[#Headers],[Investor ID]]:SIP[[#This Row],[Investor ID]],SIP[[#This Row],[Investor ID]])</f>
        <v>92</v>
      </c>
      <c r="P88" s="38">
        <v>920</v>
      </c>
      <c r="Q88" s="41">
        <f>SIP[[#This Row],[Amount]]-SIP[[#This Row],[Unit Capital]]</f>
        <v>80</v>
      </c>
      <c r="R8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10.869565217391305</v>
      </c>
      <c r="S88" s="43">
        <f t="shared" si="13"/>
        <v>12.552</v>
      </c>
      <c r="T8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88" s="43" cm="1">
        <f t="array" ref="U88">IF(SIP[[#This Row],[B/S]]="S",ABS(SIP[[#This Row],[Unit]])*(INDEX(SIP[NAV at Cost (Average)],MATCH(CONCATENATE((SIP[[#This Row],[Frequency]]-1),SIP[[#This Row],[Investor ID]]),SIP[Unique Code],0),0)),0)</f>
        <v>0</v>
      </c>
      <c r="V88" s="43">
        <f>IF(SIP[[#This Row],[BO Transfer]]="YES",SIP[[#This Row],[Unit]],)</f>
        <v>0</v>
      </c>
      <c r="W88" s="41">
        <f>SUMIFS(SIP[[#Headers],[BO UNIT TRANSFER]]:SIP[[#This Row],[BO UNIT TRANSFER]],SIP[[#Headers],[Investor ID]]:SIP[[#This Row],[Investor ID]],SIP[[#This Row],[Investor ID]])</f>
        <v>0</v>
      </c>
    </row>
    <row r="89" spans="1:23" ht="15" customHeight="1">
      <c r="A89" s="8">
        <v>2024</v>
      </c>
      <c r="B89" s="8">
        <v>8</v>
      </c>
      <c r="C89" s="8">
        <v>18</v>
      </c>
      <c r="D89" s="39">
        <f>IFERROR(DATE(SIP[[#This Row],[Year]],SIP[[#This Row],[Month]],SIP[[#This Row],[Day]]),0)</f>
        <v>45522</v>
      </c>
      <c r="E89" s="40" t="str" cm="1">
        <f t="array" ref="E89">IFERROR(INDEX(INVESTORS_LIST[INVESTOR NAME],MATCH(SIP[[#This Row],[Investor ID]],INVESTORS_LIST[INVESTOR CODE],0),)," ")</f>
        <v>ANIK KUMAR GUPTA</v>
      </c>
      <c r="F89" s="15" t="s">
        <v>708</v>
      </c>
      <c r="G89" s="15">
        <f>COUNTIFS(SIP[[#Headers],[Investor ID]]:SIP[[#This Row],[Investor ID]],SIP[[#This Row],[Investor ID]])</f>
        <v>7</v>
      </c>
      <c r="H89" s="15" t="str">
        <f>CONCATENATE(SIP[[#This Row],[Frequency]],SIP[[#This Row],[Investor ID]])</f>
        <v>7A00381</v>
      </c>
      <c r="I89" s="15" t="str">
        <f>IF(SIP[[#This Row],[B/S]]="B","BUY",(IF(SIP[[#This Row],[B/S]]="S","SELL"," ")))</f>
        <v>SELL</v>
      </c>
      <c r="J89" s="15" t="s">
        <v>866</v>
      </c>
      <c r="K89" s="38">
        <v>-1016.05</v>
      </c>
      <c r="L89" s="38"/>
      <c r="M89" s="176">
        <f>IFERROR(SIP[[#This Row],[Amount]]/SIP[[#This Row],[Unit]],0)</f>
        <v>11.044021739130434</v>
      </c>
      <c r="N89" s="42">
        <f>SIP[[#This Row],[Unit Capital]]/10</f>
        <v>-92</v>
      </c>
      <c r="O89" s="50">
        <f>SUMIFS(SIP[[#Headers],[Unit]]:SIP[[#This Row],[Unit]],SIP[[#Headers],[Investor ID]]:SIP[[#This Row],[Investor ID]],SIP[[#This Row],[Investor ID]])</f>
        <v>0</v>
      </c>
      <c r="P89" s="38">
        <v>-920</v>
      </c>
      <c r="Q89" s="41">
        <f>SIP[[#This Row],[Amount]]-SIP[[#This Row],[Unit Capital]]</f>
        <v>-96.049999999999955</v>
      </c>
      <c r="R8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89" s="43">
        <f t="shared" ref="S89:S97" si="14">NAV_MKT</f>
        <v>12.552</v>
      </c>
      <c r="T89" s="41">
        <f>IF(SIP[[#This Row],[B/S]]="B",0,ABS(SIP[[#This Row],[Unit]])*(SIP[[#This Row],[NAV (Strike Rate)]]-INDEX(SIP[NAV at Cost (Average)],MATCH(CONCATENATE(SIP[[#This Row],[Frequency]]-1,SIP[[#This Row],[Investor ID]]),SIP[Unique Code],0),)))</f>
        <v>16.049999999999905</v>
      </c>
      <c r="U89" s="43" cm="1">
        <f t="array" ref="U89">IF(SIP[[#This Row],[B/S]]="S",ABS(SIP[[#This Row],[Unit]])*(INDEX(SIP[NAV at Cost (Average)],MATCH(CONCATENATE((SIP[[#This Row],[Frequency]]-1),SIP[[#This Row],[Investor ID]]),SIP[Unique Code],0),0)),0)</f>
        <v>1000</v>
      </c>
      <c r="V89" s="43">
        <f>IF(SIP[[#This Row],[BO Transfer]]="YES",SIP[[#This Row],[Unit]],)</f>
        <v>0</v>
      </c>
      <c r="W89" s="41">
        <f>SUMIFS(SIP[[#Headers],[BO UNIT TRANSFER]]:SIP[[#This Row],[BO UNIT TRANSFER]],SIP[[#Headers],[Investor ID]]:SIP[[#This Row],[Investor ID]],SIP[[#This Row],[Investor ID]])</f>
        <v>0</v>
      </c>
    </row>
    <row r="90" spans="1:23" ht="15" customHeight="1">
      <c r="A90" s="8">
        <v>2024</v>
      </c>
      <c r="B90" s="8">
        <v>8</v>
      </c>
      <c r="C90" s="8">
        <v>26</v>
      </c>
      <c r="D90" s="39">
        <f>IFERROR(DATE(SIP[[#This Row],[Year]],SIP[[#This Row],[Month]],SIP[[#This Row],[Day]]),0)</f>
        <v>45530</v>
      </c>
      <c r="E90" s="40" t="str" cm="1">
        <f t="array" ref="E90">IFERROR(INDEX(INVESTORS_LIST[INVESTOR NAME],MATCH(SIP[[#This Row],[Investor ID]],INVESTORS_LIST[INVESTOR CODE],0),)," ")</f>
        <v>MRIDUL KUMAR DEY</v>
      </c>
      <c r="F90" s="15" t="s">
        <v>27</v>
      </c>
      <c r="G90" s="15">
        <f>COUNTIFS(SIP[[#Headers],[Investor ID]]:SIP[[#This Row],[Investor ID]],SIP[[#This Row],[Investor ID]])</f>
        <v>29</v>
      </c>
      <c r="H90" s="15" t="str">
        <f>CONCATENATE(SIP[[#This Row],[Frequency]],SIP[[#This Row],[Investor ID]])</f>
        <v>29A00020</v>
      </c>
      <c r="I90" s="15" t="str">
        <f>IF(SIP[[#This Row],[B/S]]="B","BUY",(IF(SIP[[#This Row],[B/S]]="S","SELL"," ")))</f>
        <v>BUY</v>
      </c>
      <c r="J90" s="15" t="s">
        <v>301</v>
      </c>
      <c r="K90" s="38">
        <v>5000</v>
      </c>
      <c r="L90" s="38"/>
      <c r="M90" s="176">
        <f>IFERROR(SIP[[#This Row],[Amount]]/SIP[[#This Row],[Unit]],0)</f>
        <v>11.037527593818984</v>
      </c>
      <c r="N90" s="42">
        <f>SIP[[#This Row],[Unit Capital]]/10</f>
        <v>453</v>
      </c>
      <c r="O90" s="50">
        <f>SUMIFS(SIP[[#Headers],[Unit]]:SIP[[#This Row],[Unit]],SIP[[#Headers],[Investor ID]]:SIP[[#This Row],[Investor ID]],SIP[[#This Row],[Investor ID]])</f>
        <v>14361</v>
      </c>
      <c r="P90" s="38">
        <v>4530</v>
      </c>
      <c r="Q90" s="41">
        <f>SIP[[#This Row],[Amount]]-SIP[[#This Row],[Unit Capital]]</f>
        <v>470</v>
      </c>
      <c r="R9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10.096789917136689</v>
      </c>
      <c r="S90" s="43">
        <f t="shared" si="14"/>
        <v>12.552</v>
      </c>
      <c r="T9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0" s="43" cm="1">
        <f t="array" ref="U90">IF(SIP[[#This Row],[B/S]]="S",ABS(SIP[[#This Row],[Unit]])*(INDEX(SIP[NAV at Cost (Average)],MATCH(CONCATENATE((SIP[[#This Row],[Frequency]]-1),SIP[[#This Row],[Investor ID]]),SIP[Unique Code],0),0)),0)</f>
        <v>0</v>
      </c>
      <c r="V90" s="43">
        <f>IF(SIP[[#This Row],[BO Transfer]]="YES",SIP[[#This Row],[Unit]],)</f>
        <v>0</v>
      </c>
      <c r="W90" s="41">
        <f>SUMIFS(SIP[[#Headers],[BO UNIT TRANSFER]]:SIP[[#This Row],[BO UNIT TRANSFER]],SIP[[#Headers],[Investor ID]]:SIP[[#This Row],[Investor ID]],SIP[[#This Row],[Investor ID]])</f>
        <v>0</v>
      </c>
    </row>
    <row r="91" spans="1:23" ht="15" customHeight="1">
      <c r="A91" s="8">
        <v>2024</v>
      </c>
      <c r="B91" s="8">
        <v>8</v>
      </c>
      <c r="C91" s="8">
        <v>26</v>
      </c>
      <c r="D91" s="39">
        <f>IFERROR(DATE(SIP[[#This Row],[Year]],SIP[[#This Row],[Month]],SIP[[#This Row],[Day]]),0)</f>
        <v>45530</v>
      </c>
      <c r="E91" s="40" t="str" cm="1">
        <f t="array" ref="E91">IFERROR(INDEX(INVESTORS_LIST[INVESTOR NAME],MATCH(SIP[[#This Row],[Investor ID]],INVESTORS_LIST[INVESTOR CODE],0),)," ")</f>
        <v>MD MIZANUR RAHMAN</v>
      </c>
      <c r="F91" s="15" t="s">
        <v>177</v>
      </c>
      <c r="G91" s="15">
        <f>COUNTIFS(SIP[[#Headers],[Investor ID]]:SIP[[#This Row],[Investor ID]],SIP[[#This Row],[Investor ID]])</f>
        <v>27</v>
      </c>
      <c r="H91" s="15" t="str">
        <f>CONCATENATE(SIP[[#This Row],[Frequency]],SIP[[#This Row],[Investor ID]])</f>
        <v>27A00144</v>
      </c>
      <c r="I91" s="15" t="str">
        <f>IF(SIP[[#This Row],[B/S]]="B","BUY",(IF(SIP[[#This Row],[B/S]]="S","SELL"," ")))</f>
        <v>BUY</v>
      </c>
      <c r="J91" s="15" t="s">
        <v>301</v>
      </c>
      <c r="K91" s="38">
        <v>10000</v>
      </c>
      <c r="L91" s="38"/>
      <c r="M91" s="176">
        <f>IFERROR(SIP[[#This Row],[Amount]]/SIP[[#This Row],[Unit]],0)</f>
        <v>11.037527593818984</v>
      </c>
      <c r="N91" s="42">
        <f>SIP[[#This Row],[Unit Capital]]/10</f>
        <v>906</v>
      </c>
      <c r="O91" s="50">
        <f>SUMIFS(SIP[[#Headers],[Unit]]:SIP[[#This Row],[Unit]],SIP[[#Headers],[Investor ID]]:SIP[[#This Row],[Investor ID]],SIP[[#This Row],[Investor ID]])</f>
        <v>4480</v>
      </c>
      <c r="P91" s="38">
        <v>9060</v>
      </c>
      <c r="Q91" s="41">
        <f>SIP[[#This Row],[Amount]]-SIP[[#This Row],[Unit Capital]]</f>
        <v>940</v>
      </c>
      <c r="R9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10.19800481168439</v>
      </c>
      <c r="S91" s="43">
        <f t="shared" si="14"/>
        <v>12.552</v>
      </c>
      <c r="T9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1" s="43" cm="1">
        <f t="array" ref="U91">IF(SIP[[#This Row],[B/S]]="S",ABS(SIP[[#This Row],[Unit]])*(INDEX(SIP[NAV at Cost (Average)],MATCH(CONCATENATE((SIP[[#This Row],[Frequency]]-1),SIP[[#This Row],[Investor ID]]),SIP[Unique Code],0),0)),0)</f>
        <v>0</v>
      </c>
      <c r="V91" s="43">
        <f>IF(SIP[[#This Row],[BO Transfer]]="YES",SIP[[#This Row],[Unit]],)</f>
        <v>0</v>
      </c>
      <c r="W91" s="41">
        <f>SUMIFS(SIP[[#Headers],[BO UNIT TRANSFER]]:SIP[[#This Row],[BO UNIT TRANSFER]],SIP[[#Headers],[Investor ID]]:SIP[[#This Row],[Investor ID]],SIP[[#This Row],[Investor ID]])</f>
        <v>0</v>
      </c>
    </row>
    <row r="92" spans="1:23" ht="15" customHeight="1">
      <c r="A92" s="8">
        <v>2024</v>
      </c>
      <c r="B92" s="8">
        <v>8</v>
      </c>
      <c r="C92" s="8">
        <v>26</v>
      </c>
      <c r="D92" s="39">
        <f>IFERROR(DATE(SIP[[#This Row],[Year]],SIP[[#This Row],[Month]],SIP[[#This Row],[Day]]),0)</f>
        <v>45530</v>
      </c>
      <c r="E92" s="40" t="str" cm="1">
        <f t="array" ref="E92">IFERROR(INDEX(INVESTORS_LIST[INVESTOR NAME],MATCH(SIP[[#This Row],[Investor ID]],INVESTORS_LIST[INVESTOR CODE],0),)," ")</f>
        <v>HUMAIRA TABASSUM READDHE</v>
      </c>
      <c r="F92" s="15" t="s">
        <v>1118</v>
      </c>
      <c r="G92" s="15">
        <f>COUNTIFS(SIP[[#Headers],[Investor ID]]:SIP[[#This Row],[Investor ID]],SIP[[#This Row],[Investor ID]])</f>
        <v>1</v>
      </c>
      <c r="H92" s="15" t="str">
        <f>CONCATENATE(SIP[[#This Row],[Frequency]],SIP[[#This Row],[Investor ID]])</f>
        <v>1A00503</v>
      </c>
      <c r="I92" s="15" t="str">
        <f>IF(SIP[[#This Row],[B/S]]="B","BUY",(IF(SIP[[#This Row],[B/S]]="S","SELL"," ")))</f>
        <v>BUY</v>
      </c>
      <c r="J92" s="15" t="s">
        <v>301</v>
      </c>
      <c r="K92" s="38">
        <v>2000</v>
      </c>
      <c r="L92" s="38"/>
      <c r="M92" s="176">
        <f>IFERROR(SIP[[#This Row],[Amount]]/SIP[[#This Row],[Unit]],0)</f>
        <v>11.049723756906078</v>
      </c>
      <c r="N92" s="42">
        <f>SIP[[#This Row],[Unit Capital]]/10</f>
        <v>181</v>
      </c>
      <c r="O92" s="50">
        <f>SUMIFS(SIP[[#Headers],[Unit]]:SIP[[#This Row],[Unit]],SIP[[#Headers],[Investor ID]]:SIP[[#This Row],[Investor ID]],SIP[[#This Row],[Investor ID]])</f>
        <v>181</v>
      </c>
      <c r="P92" s="38">
        <v>1810</v>
      </c>
      <c r="Q92" s="41">
        <f>SIP[[#This Row],[Amount]]-SIP[[#This Row],[Unit Capital]]</f>
        <v>190</v>
      </c>
      <c r="R9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11.049723756906078</v>
      </c>
      <c r="S92" s="43">
        <f t="shared" si="14"/>
        <v>12.552</v>
      </c>
      <c r="T9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2" s="43" cm="1">
        <f t="array" ref="U92">IF(SIP[[#This Row],[B/S]]="S",ABS(SIP[[#This Row],[Unit]])*(INDEX(SIP[NAV at Cost (Average)],MATCH(CONCATENATE((SIP[[#This Row],[Frequency]]-1),SIP[[#This Row],[Investor ID]]),SIP[Unique Code],0),0)),0)</f>
        <v>0</v>
      </c>
      <c r="V92" s="43">
        <f>IF(SIP[[#This Row],[BO Transfer]]="YES",SIP[[#This Row],[Unit]],)</f>
        <v>0</v>
      </c>
      <c r="W92" s="41">
        <f>SUMIFS(SIP[[#Headers],[BO UNIT TRANSFER]]:SIP[[#This Row],[BO UNIT TRANSFER]],SIP[[#Headers],[Investor ID]]:SIP[[#This Row],[Investor ID]],SIP[[#This Row],[Investor ID]])</f>
        <v>0</v>
      </c>
    </row>
    <row r="93" spans="1:23" ht="15" customHeight="1">
      <c r="A93" s="8">
        <v>2024</v>
      </c>
      <c r="B93" s="8">
        <v>8</v>
      </c>
      <c r="C93" s="8">
        <v>26</v>
      </c>
      <c r="D93" s="39">
        <f>IFERROR(DATE(SIP[[#This Row],[Year]],SIP[[#This Row],[Month]],SIP[[#This Row],[Day]]),0)</f>
        <v>45530</v>
      </c>
      <c r="E93" s="40" t="str" cm="1">
        <f t="array" ref="E93">IFERROR(INDEX(INVESTORS_LIST[INVESTOR NAME],MATCH(SIP[[#This Row],[Investor ID]],INVESTORS_LIST[INVESTOR CODE],0),)," ")</f>
        <v>MAHFUZUL ISLAM</v>
      </c>
      <c r="F93" s="15" t="s">
        <v>264</v>
      </c>
      <c r="G93" s="15">
        <f>COUNTIFS(SIP[[#Headers],[Investor ID]]:SIP[[#This Row],[Investor ID]],SIP[[#This Row],[Investor ID]])</f>
        <v>1</v>
      </c>
      <c r="H93" s="15" t="str">
        <f>CONCATENATE(SIP[[#This Row],[Frequency]],SIP[[#This Row],[Investor ID]])</f>
        <v>1A00212</v>
      </c>
      <c r="I93" s="15" t="str">
        <f>IF(SIP[[#This Row],[B/S]]="B","BUY",(IF(SIP[[#This Row],[B/S]]="S","SELL"," ")))</f>
        <v>BUY</v>
      </c>
      <c r="J93" s="15" t="s">
        <v>301</v>
      </c>
      <c r="K93" s="38">
        <v>2000</v>
      </c>
      <c r="L93" s="38"/>
      <c r="M93" s="176">
        <f>IFERROR(SIP[[#This Row],[Amount]]/SIP[[#This Row],[Unit]],0)</f>
        <v>11.049723756906078</v>
      </c>
      <c r="N93" s="42">
        <f>SIP[[#This Row],[Unit Capital]]/10</f>
        <v>181</v>
      </c>
      <c r="O93" s="50">
        <f>SUMIFS(SIP[[#Headers],[Unit]]:SIP[[#This Row],[Unit]],SIP[[#Headers],[Investor ID]]:SIP[[#This Row],[Investor ID]],SIP[[#This Row],[Investor ID]])</f>
        <v>181</v>
      </c>
      <c r="P93" s="38">
        <v>1810</v>
      </c>
      <c r="Q93" s="41">
        <f>SIP[[#This Row],[Amount]]-SIP[[#This Row],[Unit Capital]]</f>
        <v>190</v>
      </c>
      <c r="R9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11.049723756906078</v>
      </c>
      <c r="S93" s="43">
        <f t="shared" si="14"/>
        <v>12.552</v>
      </c>
      <c r="T9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3" s="43" cm="1">
        <f t="array" ref="U93">IF(SIP[[#This Row],[B/S]]="S",ABS(SIP[[#This Row],[Unit]])*(INDEX(SIP[NAV at Cost (Average)],MATCH(CONCATENATE((SIP[[#This Row],[Frequency]]-1),SIP[[#This Row],[Investor ID]]),SIP[Unique Code],0),0)),0)</f>
        <v>0</v>
      </c>
      <c r="V93" s="43">
        <f>IF(SIP[[#This Row],[BO Transfer]]="YES",SIP[[#This Row],[Unit]],)</f>
        <v>0</v>
      </c>
      <c r="W93" s="41">
        <f>SUMIFS(SIP[[#Headers],[BO UNIT TRANSFER]]:SIP[[#This Row],[BO UNIT TRANSFER]],SIP[[#Headers],[Investor ID]]:SIP[[#This Row],[Investor ID]],SIP[[#This Row],[Investor ID]])</f>
        <v>0</v>
      </c>
    </row>
    <row r="94" spans="1:23" ht="15" customHeight="1">
      <c r="A94" s="8">
        <v>2024</v>
      </c>
      <c r="B94" s="8">
        <v>9</v>
      </c>
      <c r="C94" s="8">
        <v>26</v>
      </c>
      <c r="D94" s="39">
        <f>IFERROR(DATE(SIP[[#This Row],[Year]],SIP[[#This Row],[Month]],SIP[[#This Row],[Day]]),0)</f>
        <v>45561</v>
      </c>
      <c r="E94" s="40" t="str" cm="1">
        <f t="array" ref="E94">IFERROR(INDEX(INVESTORS_LIST[INVESTOR NAME],MATCH(SIP[[#This Row],[Investor ID]],INVESTORS_LIST[INVESTOR CODE],0),)," ")</f>
        <v>MRIDUL KUMAR DEY</v>
      </c>
      <c r="F94" s="15" t="s">
        <v>27</v>
      </c>
      <c r="G94" s="15">
        <f>COUNTIFS(SIP[[#Headers],[Investor ID]]:SIP[[#This Row],[Investor ID]],SIP[[#This Row],[Investor ID]])</f>
        <v>30</v>
      </c>
      <c r="H94" s="15" t="str">
        <f>CONCATENATE(SIP[[#This Row],[Frequency]],SIP[[#This Row],[Investor ID]])</f>
        <v>30A00020</v>
      </c>
      <c r="I94" s="15" t="str">
        <f>IF(SIP[[#This Row],[B/S]]="B","BUY",(IF(SIP[[#This Row],[B/S]]="S","SELL"," ")))</f>
        <v>BUY</v>
      </c>
      <c r="J94" s="15" t="s">
        <v>301</v>
      </c>
      <c r="K94" s="38">
        <v>5000</v>
      </c>
      <c r="L94" s="38"/>
      <c r="M94" s="176">
        <f>IFERROR(SIP[[#This Row],[Amount]]/SIP[[#This Row],[Unit]],0)</f>
        <v>10.964912280701755</v>
      </c>
      <c r="N94" s="42">
        <f>SIP[[#This Row],[Unit Capital]]/10</f>
        <v>456</v>
      </c>
      <c r="O94" s="50">
        <f>SUMIFS(SIP[[#Headers],[Unit]]:SIP[[#This Row],[Unit]],SIP[[#Headers],[Investor ID]]:SIP[[#This Row],[Investor ID]],SIP[[#This Row],[Investor ID]])</f>
        <v>14817</v>
      </c>
      <c r="P94" s="38">
        <v>4560</v>
      </c>
      <c r="Q94" s="41">
        <f>SIP[[#This Row],[Amount]]-SIP[[#This Row],[Unit Capital]]</f>
        <v>440</v>
      </c>
      <c r="R9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10.123506782749544</v>
      </c>
      <c r="S94" s="43">
        <f t="shared" si="14"/>
        <v>12.552</v>
      </c>
      <c r="T9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4" s="43" cm="1">
        <f t="array" ref="U94">IF(SIP[[#This Row],[B/S]]="S",ABS(SIP[[#This Row],[Unit]])*(INDEX(SIP[NAV at Cost (Average)],MATCH(CONCATENATE((SIP[[#This Row],[Frequency]]-1),SIP[[#This Row],[Investor ID]]),SIP[Unique Code],0),0)),0)</f>
        <v>0</v>
      </c>
      <c r="V94" s="43">
        <f>IF(SIP[[#This Row],[BO Transfer]]="YES",SIP[[#This Row],[Unit]],)</f>
        <v>0</v>
      </c>
      <c r="W94" s="41">
        <f>SUMIFS(SIP[[#Headers],[BO UNIT TRANSFER]]:SIP[[#This Row],[BO UNIT TRANSFER]],SIP[[#Headers],[Investor ID]]:SIP[[#This Row],[Investor ID]],SIP[[#This Row],[Investor ID]])</f>
        <v>0</v>
      </c>
    </row>
    <row r="95" spans="1:23" ht="15" customHeight="1">
      <c r="A95" s="8">
        <v>2024</v>
      </c>
      <c r="B95" s="8">
        <v>9</v>
      </c>
      <c r="C95" s="8">
        <v>26</v>
      </c>
      <c r="D95" s="39">
        <f>IFERROR(DATE(SIP[[#This Row],[Year]],SIP[[#This Row],[Month]],SIP[[#This Row],[Day]]),0)</f>
        <v>45561</v>
      </c>
      <c r="E95" s="40" t="str" cm="1">
        <f t="array" ref="E95">IFERROR(INDEX(INVESTORS_LIST[INVESTOR NAME],MATCH(SIP[[#This Row],[Investor ID]],INVESTORS_LIST[INVESTOR CODE],0),)," ")</f>
        <v>MD MIZANUR RAHMAN</v>
      </c>
      <c r="F95" s="15" t="s">
        <v>177</v>
      </c>
      <c r="G95" s="15">
        <f>COUNTIFS(SIP[[#Headers],[Investor ID]]:SIP[[#This Row],[Investor ID]],SIP[[#This Row],[Investor ID]])</f>
        <v>28</v>
      </c>
      <c r="H95" s="15" t="str">
        <f>CONCATENATE(SIP[[#This Row],[Frequency]],SIP[[#This Row],[Investor ID]])</f>
        <v>28A00144</v>
      </c>
      <c r="I95" s="15" t="str">
        <f>IF(SIP[[#This Row],[B/S]]="B","BUY",(IF(SIP[[#This Row],[B/S]]="S","SELL"," ")))</f>
        <v>BUY</v>
      </c>
      <c r="J95" s="15" t="s">
        <v>301</v>
      </c>
      <c r="K95" s="38">
        <v>10000</v>
      </c>
      <c r="L95" s="38"/>
      <c r="M95" s="176">
        <f>IFERROR(SIP[[#This Row],[Amount]]/SIP[[#This Row],[Unit]],0)</f>
        <v>10.97694840834248</v>
      </c>
      <c r="N95" s="42">
        <f>SIP[[#This Row],[Unit Capital]]/10</f>
        <v>911</v>
      </c>
      <c r="O95" s="50">
        <f>SUMIFS(SIP[[#Headers],[Unit]]:SIP[[#This Row],[Unit]],SIP[[#Headers],[Investor ID]]:SIP[[#This Row],[Investor ID]],SIP[[#This Row],[Investor ID]])</f>
        <v>5391</v>
      </c>
      <c r="P95" s="38">
        <v>9110</v>
      </c>
      <c r="Q95" s="41">
        <f>SIP[[#This Row],[Amount]]-SIP[[#This Row],[Unit Capital]]</f>
        <v>890</v>
      </c>
      <c r="R9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10.32963486483882</v>
      </c>
      <c r="S95" s="43">
        <f t="shared" si="14"/>
        <v>12.552</v>
      </c>
      <c r="T9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5" s="43" cm="1">
        <f t="array" ref="U95">IF(SIP[[#This Row],[B/S]]="S",ABS(SIP[[#This Row],[Unit]])*(INDEX(SIP[NAV at Cost (Average)],MATCH(CONCATENATE((SIP[[#This Row],[Frequency]]-1),SIP[[#This Row],[Investor ID]]),SIP[Unique Code],0),0)),0)</f>
        <v>0</v>
      </c>
      <c r="V95" s="43">
        <f>IF(SIP[[#This Row],[BO Transfer]]="YES",SIP[[#This Row],[Unit]],)</f>
        <v>0</v>
      </c>
      <c r="W95" s="41">
        <f>SUMIFS(SIP[[#Headers],[BO UNIT TRANSFER]]:SIP[[#This Row],[BO UNIT TRANSFER]],SIP[[#Headers],[Investor ID]]:SIP[[#This Row],[Investor ID]],SIP[[#This Row],[Investor ID]])</f>
        <v>0</v>
      </c>
    </row>
    <row r="96" spans="1:23" ht="15" customHeight="1">
      <c r="A96" s="8">
        <v>2024</v>
      </c>
      <c r="B96" s="8">
        <v>9</v>
      </c>
      <c r="C96" s="8">
        <v>26</v>
      </c>
      <c r="D96" s="39">
        <f>IFERROR(DATE(SIP[[#This Row],[Year]],SIP[[#This Row],[Month]],SIP[[#This Row],[Day]]),0)</f>
        <v>45561</v>
      </c>
      <c r="E96" s="40" t="str" cm="1">
        <f t="array" ref="E96">IFERROR(INDEX(INVESTORS_LIST[INVESTOR NAME],MATCH(SIP[[#This Row],[Investor ID]],INVESTORS_LIST[INVESTOR CODE],0),)," ")</f>
        <v>HUMAIRA TABASSUM READDHE</v>
      </c>
      <c r="F96" s="15" t="s">
        <v>1118</v>
      </c>
      <c r="G96" s="15">
        <f>COUNTIFS(SIP[[#Headers],[Investor ID]]:SIP[[#This Row],[Investor ID]],SIP[[#This Row],[Investor ID]])</f>
        <v>2</v>
      </c>
      <c r="H96" s="15" t="str">
        <f>CONCATENATE(SIP[[#This Row],[Frequency]],SIP[[#This Row],[Investor ID]])</f>
        <v>2A00503</v>
      </c>
      <c r="I96" s="15" t="str">
        <f>IF(SIP[[#This Row],[B/S]]="B","BUY",(IF(SIP[[#This Row],[B/S]]="S","SELL"," ")))</f>
        <v>BUY</v>
      </c>
      <c r="J96" s="15" t="s">
        <v>301</v>
      </c>
      <c r="K96" s="38">
        <v>2000</v>
      </c>
      <c r="L96" s="38"/>
      <c r="M96" s="176">
        <f>IFERROR(SIP[[#This Row],[Amount]]/SIP[[#This Row],[Unit]],0)</f>
        <v>10.989010989010989</v>
      </c>
      <c r="N96" s="42">
        <f>SIP[[#This Row],[Unit Capital]]/10</f>
        <v>182</v>
      </c>
      <c r="O96" s="50">
        <f>SUMIFS(SIP[[#Headers],[Unit]]:SIP[[#This Row],[Unit]],SIP[[#Headers],[Investor ID]]:SIP[[#This Row],[Investor ID]],SIP[[#This Row],[Investor ID]])</f>
        <v>363</v>
      </c>
      <c r="P96" s="38">
        <v>1820</v>
      </c>
      <c r="Q96" s="41">
        <f>SIP[[#This Row],[Amount]]-SIP[[#This Row],[Unit Capital]]</f>
        <v>180</v>
      </c>
      <c r="R9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11.019283746556473</v>
      </c>
      <c r="S96" s="43">
        <f t="shared" si="14"/>
        <v>12.552</v>
      </c>
      <c r="T9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6" s="43" cm="1">
        <f t="array" ref="U96">IF(SIP[[#This Row],[B/S]]="S",ABS(SIP[[#This Row],[Unit]])*(INDEX(SIP[NAV at Cost (Average)],MATCH(CONCATENATE((SIP[[#This Row],[Frequency]]-1),SIP[[#This Row],[Investor ID]]),SIP[Unique Code],0),0)),0)</f>
        <v>0</v>
      </c>
      <c r="V96" s="43">
        <f>IF(SIP[[#This Row],[BO Transfer]]="YES",SIP[[#This Row],[Unit]],)</f>
        <v>0</v>
      </c>
      <c r="W96" s="41">
        <f>SUMIFS(SIP[[#Headers],[BO UNIT TRANSFER]]:SIP[[#This Row],[BO UNIT TRANSFER]],SIP[[#Headers],[Investor ID]]:SIP[[#This Row],[Investor ID]],SIP[[#This Row],[Investor ID]])</f>
        <v>0</v>
      </c>
    </row>
    <row r="97" spans="1:23" ht="15" customHeight="1">
      <c r="A97" s="8">
        <v>2024</v>
      </c>
      <c r="B97" s="8">
        <v>9</v>
      </c>
      <c r="C97" s="8">
        <v>26</v>
      </c>
      <c r="D97" s="39">
        <f>IFERROR(DATE(SIP[[#This Row],[Year]],SIP[[#This Row],[Month]],SIP[[#This Row],[Day]]),0)</f>
        <v>45561</v>
      </c>
      <c r="E97" s="40" t="str" cm="1">
        <f t="array" ref="E97">IFERROR(INDEX(INVESTORS_LIST[INVESTOR NAME],MATCH(SIP[[#This Row],[Investor ID]],INVESTORS_LIST[INVESTOR CODE],0),)," ")</f>
        <v>MAHFUZUL ISLAM</v>
      </c>
      <c r="F97" s="15" t="s">
        <v>264</v>
      </c>
      <c r="G97" s="15">
        <f>COUNTIFS(SIP[[#Headers],[Investor ID]]:SIP[[#This Row],[Investor ID]],SIP[[#This Row],[Investor ID]])</f>
        <v>2</v>
      </c>
      <c r="H97" s="15" t="str">
        <f>CONCATENATE(SIP[[#This Row],[Frequency]],SIP[[#This Row],[Investor ID]])</f>
        <v>2A00212</v>
      </c>
      <c r="I97" s="15" t="str">
        <f>IF(SIP[[#This Row],[B/S]]="B","BUY",(IF(SIP[[#This Row],[B/S]]="S","SELL"," ")))</f>
        <v>BUY</v>
      </c>
      <c r="J97" s="15" t="s">
        <v>301</v>
      </c>
      <c r="K97" s="38">
        <v>2000</v>
      </c>
      <c r="L97" s="38"/>
      <c r="M97" s="176">
        <f>IFERROR(SIP[[#This Row],[Amount]]/SIP[[#This Row],[Unit]],0)</f>
        <v>10.989010989010989</v>
      </c>
      <c r="N97" s="42">
        <f>SIP[[#This Row],[Unit Capital]]/10</f>
        <v>182</v>
      </c>
      <c r="O97" s="50">
        <f>SUMIFS(SIP[[#Headers],[Unit]]:SIP[[#This Row],[Unit]],SIP[[#Headers],[Investor ID]]:SIP[[#This Row],[Investor ID]],SIP[[#This Row],[Investor ID]])</f>
        <v>363</v>
      </c>
      <c r="P97" s="38">
        <v>1820</v>
      </c>
      <c r="Q97" s="41">
        <f>SIP[[#This Row],[Amount]]-SIP[[#This Row],[Unit Capital]]</f>
        <v>180</v>
      </c>
      <c r="R9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11.019283746556473</v>
      </c>
      <c r="S97" s="43">
        <f t="shared" si="14"/>
        <v>12.552</v>
      </c>
      <c r="T9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7" s="43" cm="1">
        <f t="array" ref="U97">IF(SIP[[#This Row],[B/S]]="S",ABS(SIP[[#This Row],[Unit]])*(INDEX(SIP[NAV at Cost (Average)],MATCH(CONCATENATE((SIP[[#This Row],[Frequency]]-1),SIP[[#This Row],[Investor ID]]),SIP[Unique Code],0),0)),0)</f>
        <v>0</v>
      </c>
      <c r="V97" s="43">
        <f>IF(SIP[[#This Row],[BO Transfer]]="YES",SIP[[#This Row],[Unit]],)</f>
        <v>0</v>
      </c>
      <c r="W97" s="41">
        <f>SUMIFS(SIP[[#Headers],[BO UNIT TRANSFER]]:SIP[[#This Row],[BO UNIT TRANSFER]],SIP[[#Headers],[Investor ID]]:SIP[[#This Row],[Investor ID]],SIP[[#This Row],[Investor ID]])</f>
        <v>0</v>
      </c>
    </row>
    <row r="98" spans="1:23" ht="15" customHeight="1">
      <c r="A98" s="8">
        <v>2024</v>
      </c>
      <c r="B98" s="8">
        <v>10</v>
      </c>
      <c r="C98" s="8">
        <v>26</v>
      </c>
      <c r="D98" s="39">
        <f>IFERROR(DATE(SIP[[#This Row],[Year]],SIP[[#This Row],[Month]],SIP[[#This Row],[Day]]),0)</f>
        <v>45591</v>
      </c>
      <c r="E98" s="40" t="str" cm="1">
        <f t="array" ref="E98">IFERROR(INDEX(INVESTORS_LIST[INVESTOR NAME],MATCH(SIP[[#This Row],[Investor ID]],INVESTORS_LIST[INVESTOR CODE],0),)," ")</f>
        <v>MRIDUL KUMAR DEY</v>
      </c>
      <c r="F98" s="15" t="s">
        <v>27</v>
      </c>
      <c r="G98" s="15">
        <f>COUNTIFS(SIP[[#Headers],[Investor ID]]:SIP[[#This Row],[Investor ID]],SIP[[#This Row],[Investor ID]])</f>
        <v>31</v>
      </c>
      <c r="H98" s="15" t="str">
        <f>CONCATENATE(SIP[[#This Row],[Frequency]],SIP[[#This Row],[Investor ID]])</f>
        <v>31A00020</v>
      </c>
      <c r="I98" s="15" t="str">
        <f>IF(SIP[[#This Row],[B/S]]="B","BUY",(IF(SIP[[#This Row],[B/S]]="S","SELL"," ")))</f>
        <v>BUY</v>
      </c>
      <c r="J98" s="15" t="s">
        <v>301</v>
      </c>
      <c r="K98" s="38">
        <v>5000</v>
      </c>
      <c r="L98" s="38"/>
      <c r="M98" s="176">
        <f>IFERROR(SIP[[#This Row],[Amount]]/SIP[[#This Row],[Unit]],0)</f>
        <v>10.548523206751055</v>
      </c>
      <c r="N98" s="42">
        <f>SIP[[#This Row],[Unit Capital]]/10</f>
        <v>474</v>
      </c>
      <c r="O98" s="50">
        <f>SUMIFS(SIP[[#Headers],[Unit]]:SIP[[#This Row],[Unit]],SIP[[#Headers],[Investor ID]]:SIP[[#This Row],[Investor ID]],SIP[[#This Row],[Investor ID]])</f>
        <v>15291</v>
      </c>
      <c r="P98" s="38">
        <v>4740</v>
      </c>
      <c r="Q98" s="41">
        <f>SIP[[#This Row],[Amount]]-SIP[[#This Row],[Unit Capital]]</f>
        <v>260</v>
      </c>
      <c r="R9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10.136681708194363</v>
      </c>
      <c r="S98" s="43">
        <f t="shared" ref="S98:S105" si="15">NAV_MKT</f>
        <v>12.552</v>
      </c>
      <c r="T9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8" s="43" cm="1">
        <f t="array" ref="U98">IF(SIP[[#This Row],[B/S]]="S",ABS(SIP[[#This Row],[Unit]])*(INDEX(SIP[NAV at Cost (Average)],MATCH(CONCATENATE((SIP[[#This Row],[Frequency]]-1),SIP[[#This Row],[Investor ID]]),SIP[Unique Code],0),0)),0)</f>
        <v>0</v>
      </c>
      <c r="V98" s="43">
        <f>IF(SIP[[#This Row],[BO Transfer]]="YES",SIP[[#This Row],[Unit]],)</f>
        <v>0</v>
      </c>
      <c r="W98" s="41">
        <f>SUMIFS(SIP[[#Headers],[BO UNIT TRANSFER]]:SIP[[#This Row],[BO UNIT TRANSFER]],SIP[[#Headers],[Investor ID]]:SIP[[#This Row],[Investor ID]],SIP[[#This Row],[Investor ID]])</f>
        <v>0</v>
      </c>
    </row>
    <row r="99" spans="1:23" ht="15" customHeight="1">
      <c r="A99" s="8">
        <v>2024</v>
      </c>
      <c r="B99" s="8">
        <v>10</v>
      </c>
      <c r="C99" s="8">
        <v>26</v>
      </c>
      <c r="D99" s="39">
        <f>IFERROR(DATE(SIP[[#This Row],[Year]],SIP[[#This Row],[Month]],SIP[[#This Row],[Day]]),0)</f>
        <v>45591</v>
      </c>
      <c r="E99" s="40" t="str" cm="1">
        <f t="array" ref="E99">IFERROR(INDEX(INVESTORS_LIST[INVESTOR NAME],MATCH(SIP[[#This Row],[Investor ID]],INVESTORS_LIST[INVESTOR CODE],0),)," ")</f>
        <v>MD MIZANUR RAHMAN</v>
      </c>
      <c r="F99" s="15" t="s">
        <v>177</v>
      </c>
      <c r="G99" s="15">
        <f>COUNTIFS(SIP[[#Headers],[Investor ID]]:SIP[[#This Row],[Investor ID]],SIP[[#This Row],[Investor ID]])</f>
        <v>29</v>
      </c>
      <c r="H99" s="15" t="str">
        <f>CONCATENATE(SIP[[#This Row],[Frequency]],SIP[[#This Row],[Investor ID]])</f>
        <v>29A00144</v>
      </c>
      <c r="I99" s="15" t="str">
        <f>IF(SIP[[#This Row],[B/S]]="B","BUY",(IF(SIP[[#This Row],[B/S]]="S","SELL"," ")))</f>
        <v>BUY</v>
      </c>
      <c r="J99" s="15" t="s">
        <v>301</v>
      </c>
      <c r="K99" s="38">
        <v>10000</v>
      </c>
      <c r="L99" s="38"/>
      <c r="M99" s="176">
        <f>IFERROR(SIP[[#This Row],[Amount]]/SIP[[#This Row],[Unit]],0)</f>
        <v>10.548523206751055</v>
      </c>
      <c r="N99" s="42">
        <f>SIP[[#This Row],[Unit Capital]]/10</f>
        <v>948</v>
      </c>
      <c r="O99" s="50">
        <f>SUMIFS(SIP[[#Headers],[Unit]]:SIP[[#This Row],[Unit]],SIP[[#Headers],[Investor ID]]:SIP[[#This Row],[Investor ID]],SIP[[#This Row],[Investor ID]])</f>
        <v>6339</v>
      </c>
      <c r="P99" s="38">
        <v>9480</v>
      </c>
      <c r="Q99" s="41">
        <f>SIP[[#This Row],[Amount]]-SIP[[#This Row],[Unit Capital]]</f>
        <v>520</v>
      </c>
      <c r="R9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10.362369704424369</v>
      </c>
      <c r="S99" s="43">
        <f t="shared" si="15"/>
        <v>12.552</v>
      </c>
      <c r="T9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99" s="43" cm="1">
        <f t="array" ref="U99">IF(SIP[[#This Row],[B/S]]="S",ABS(SIP[[#This Row],[Unit]])*(INDEX(SIP[NAV at Cost (Average)],MATCH(CONCATENATE((SIP[[#This Row],[Frequency]]-1),SIP[[#This Row],[Investor ID]]),SIP[Unique Code],0),0)),0)</f>
        <v>0</v>
      </c>
      <c r="V99" s="43">
        <f>IF(SIP[[#This Row],[BO Transfer]]="YES",SIP[[#This Row],[Unit]],)</f>
        <v>0</v>
      </c>
      <c r="W99" s="41">
        <f>SUMIFS(SIP[[#Headers],[BO UNIT TRANSFER]]:SIP[[#This Row],[BO UNIT TRANSFER]],SIP[[#Headers],[Investor ID]]:SIP[[#This Row],[Investor ID]],SIP[[#This Row],[Investor ID]])</f>
        <v>0</v>
      </c>
    </row>
    <row r="100" spans="1:23" ht="15" customHeight="1">
      <c r="A100" s="8">
        <v>2024</v>
      </c>
      <c r="B100" s="8">
        <v>10</v>
      </c>
      <c r="C100" s="8">
        <v>26</v>
      </c>
      <c r="D100" s="39">
        <f>IFERROR(DATE(SIP[[#This Row],[Year]],SIP[[#This Row],[Month]],SIP[[#This Row],[Day]]),0)</f>
        <v>45591</v>
      </c>
      <c r="E100" s="40" t="str" cm="1">
        <f t="array" ref="E100">IFERROR(INDEX(INVESTORS_LIST[INVESTOR NAME],MATCH(SIP[[#This Row],[Investor ID]],INVESTORS_LIST[INVESTOR CODE],0),)," ")</f>
        <v>HUMAIRA TABASSUM READDHE</v>
      </c>
      <c r="F100" s="15" t="s">
        <v>1118</v>
      </c>
      <c r="G100" s="15">
        <f>COUNTIFS(SIP[[#Headers],[Investor ID]]:SIP[[#This Row],[Investor ID]],SIP[[#This Row],[Investor ID]])</f>
        <v>3</v>
      </c>
      <c r="H100" s="15" t="str">
        <f>CONCATENATE(SIP[[#This Row],[Frequency]],SIP[[#This Row],[Investor ID]])</f>
        <v>3A00503</v>
      </c>
      <c r="I100" s="15" t="str">
        <f>IF(SIP[[#This Row],[B/S]]="B","BUY",(IF(SIP[[#This Row],[B/S]]="S","SELL"," ")))</f>
        <v>BUY</v>
      </c>
      <c r="J100" s="15" t="s">
        <v>301</v>
      </c>
      <c r="K100" s="38">
        <v>2000</v>
      </c>
      <c r="L100" s="38"/>
      <c r="M100" s="176">
        <f>IFERROR(SIP[[#This Row],[Amount]]/SIP[[#This Row],[Unit]],0)</f>
        <v>10.526315789473685</v>
      </c>
      <c r="N100" s="42">
        <f>SIP[[#This Row],[Unit Capital]]/10</f>
        <v>190</v>
      </c>
      <c r="O100" s="50">
        <f>SUMIFS(SIP[[#Headers],[Unit]]:SIP[[#This Row],[Unit]],SIP[[#Headers],[Investor ID]]:SIP[[#This Row],[Investor ID]],SIP[[#This Row],[Investor ID]])</f>
        <v>553</v>
      </c>
      <c r="P100" s="38">
        <v>1900</v>
      </c>
      <c r="Q100" s="41">
        <f>SIP[[#This Row],[Amount]]-SIP[[#This Row],[Unit Capital]]</f>
        <v>100</v>
      </c>
      <c r="R10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10.849909584086799</v>
      </c>
      <c r="S100" s="43">
        <f t="shared" si="15"/>
        <v>12.552</v>
      </c>
      <c r="T10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0" s="43" cm="1">
        <f t="array" ref="U100">IF(SIP[[#This Row],[B/S]]="S",ABS(SIP[[#This Row],[Unit]])*(INDEX(SIP[NAV at Cost (Average)],MATCH(CONCATENATE((SIP[[#This Row],[Frequency]]-1),SIP[[#This Row],[Investor ID]]),SIP[Unique Code],0),0)),0)</f>
        <v>0</v>
      </c>
      <c r="V100" s="43">
        <f>IF(SIP[[#This Row],[BO Transfer]]="YES",SIP[[#This Row],[Unit]],)</f>
        <v>0</v>
      </c>
      <c r="W100" s="41">
        <f>SUMIFS(SIP[[#Headers],[BO UNIT TRANSFER]]:SIP[[#This Row],[BO UNIT TRANSFER]],SIP[[#Headers],[Investor ID]]:SIP[[#This Row],[Investor ID]],SIP[[#This Row],[Investor ID]])</f>
        <v>0</v>
      </c>
    </row>
    <row r="101" spans="1:23" ht="15" customHeight="1">
      <c r="A101" s="8">
        <v>2024</v>
      </c>
      <c r="B101" s="8">
        <v>10</v>
      </c>
      <c r="C101" s="8">
        <v>26</v>
      </c>
      <c r="D101" s="39">
        <f>IFERROR(DATE(SIP[[#This Row],[Year]],SIP[[#This Row],[Month]],SIP[[#This Row],[Day]]),0)</f>
        <v>45591</v>
      </c>
      <c r="E101" s="40" t="str" cm="1">
        <f t="array" ref="E101">IFERROR(INDEX(INVESTORS_LIST[INVESTOR NAME],MATCH(SIP[[#This Row],[Investor ID]],INVESTORS_LIST[INVESTOR CODE],0),)," ")</f>
        <v>MAHFUZUL ISLAM</v>
      </c>
      <c r="F101" s="15" t="s">
        <v>264</v>
      </c>
      <c r="G101" s="15">
        <f>COUNTIFS(SIP[[#Headers],[Investor ID]]:SIP[[#This Row],[Investor ID]],SIP[[#This Row],[Investor ID]])</f>
        <v>3</v>
      </c>
      <c r="H101" s="15" t="str">
        <f>CONCATENATE(SIP[[#This Row],[Frequency]],SIP[[#This Row],[Investor ID]])</f>
        <v>3A00212</v>
      </c>
      <c r="I101" s="15" t="str">
        <f>IF(SIP[[#This Row],[B/S]]="B","BUY",(IF(SIP[[#This Row],[B/S]]="S","SELL"," ")))</f>
        <v>BUY</v>
      </c>
      <c r="J101" s="15" t="s">
        <v>301</v>
      </c>
      <c r="K101" s="38">
        <v>2000</v>
      </c>
      <c r="L101" s="38"/>
      <c r="M101" s="176">
        <f>IFERROR(SIP[[#This Row],[Amount]]/SIP[[#This Row],[Unit]],0)</f>
        <v>10.526315789473685</v>
      </c>
      <c r="N101" s="42">
        <f>SIP[[#This Row],[Unit Capital]]/10</f>
        <v>190</v>
      </c>
      <c r="O101" s="50">
        <f>SUMIFS(SIP[[#Headers],[Unit]]:SIP[[#This Row],[Unit]],SIP[[#Headers],[Investor ID]]:SIP[[#This Row],[Investor ID]],SIP[[#This Row],[Investor ID]])</f>
        <v>553</v>
      </c>
      <c r="P101" s="38">
        <v>1900</v>
      </c>
      <c r="Q101" s="41">
        <f>SIP[[#This Row],[Amount]]-SIP[[#This Row],[Unit Capital]]</f>
        <v>100</v>
      </c>
      <c r="R10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10.849909584086799</v>
      </c>
      <c r="S101" s="43">
        <f t="shared" si="15"/>
        <v>12.552</v>
      </c>
      <c r="T10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1" s="43" cm="1">
        <f t="array" ref="U101">IF(SIP[[#This Row],[B/S]]="S",ABS(SIP[[#This Row],[Unit]])*(INDEX(SIP[NAV at Cost (Average)],MATCH(CONCATENATE((SIP[[#This Row],[Frequency]]-1),SIP[[#This Row],[Investor ID]]),SIP[Unique Code],0),0)),0)</f>
        <v>0</v>
      </c>
      <c r="V101" s="43">
        <f>IF(SIP[[#This Row],[BO Transfer]]="YES",SIP[[#This Row],[Unit]],)</f>
        <v>0</v>
      </c>
      <c r="W101" s="41">
        <f>SUMIFS(SIP[[#Headers],[BO UNIT TRANSFER]]:SIP[[#This Row],[BO UNIT TRANSFER]],SIP[[#Headers],[Investor ID]]:SIP[[#This Row],[Investor ID]],SIP[[#This Row],[Investor ID]])</f>
        <v>0</v>
      </c>
    </row>
    <row r="102" spans="1:23" ht="15" customHeight="1">
      <c r="A102" s="8">
        <v>2024</v>
      </c>
      <c r="B102" s="8">
        <v>11</v>
      </c>
      <c r="C102" s="8">
        <v>14</v>
      </c>
      <c r="D102" s="39">
        <f>IFERROR(DATE(SIP[[#This Row],[Year]],SIP[[#This Row],[Month]],SIP[[#This Row],[Day]]),0)</f>
        <v>45610</v>
      </c>
      <c r="E102" s="40" t="str" cm="1">
        <f t="array" ref="E102">IFERROR(INDEX(INVESTORS_LIST[INVESTOR NAME],MATCH(SIP[[#This Row],[Investor ID]],INVESTORS_LIST[INVESTOR CODE],0),)," ")</f>
        <v>MD MIZANUR RAHMAN</v>
      </c>
      <c r="F102" s="15" t="s">
        <v>177</v>
      </c>
      <c r="G102" s="15">
        <f>COUNTIFS(SIP[[#Headers],[Investor ID]]:SIP[[#This Row],[Investor ID]],SIP[[#This Row],[Investor ID]])</f>
        <v>30</v>
      </c>
      <c r="H102" s="15" t="str">
        <f>CONCATENATE(SIP[[#This Row],[Frequency]],SIP[[#This Row],[Investor ID]])</f>
        <v>30A00144</v>
      </c>
      <c r="I102" s="15" t="str">
        <f>IF(SIP[[#This Row],[B/S]]="B","BUY",(IF(SIP[[#This Row],[B/S]]="S","SELL"," ")))</f>
        <v>SELL</v>
      </c>
      <c r="J102" s="15" t="s">
        <v>866</v>
      </c>
      <c r="K102" s="38">
        <v>-68518.25</v>
      </c>
      <c r="L102" s="38"/>
      <c r="M102" s="176">
        <f>IFERROR(SIP[[#This Row],[Amount]]/SIP[[#This Row],[Unit]],0)</f>
        <v>10.808999842246411</v>
      </c>
      <c r="N102" s="42">
        <f>SIP[[#This Row],[Unit Capital]]/10</f>
        <v>-6339</v>
      </c>
      <c r="O102" s="50">
        <f>SUMIFS(SIP[[#Headers],[Unit]]:SIP[[#This Row],[Unit]],SIP[[#Headers],[Investor ID]]:SIP[[#This Row],[Investor ID]],SIP[[#This Row],[Investor ID]])</f>
        <v>0</v>
      </c>
      <c r="P102" s="38">
        <v>-63390</v>
      </c>
      <c r="Q102" s="41">
        <f>SIP[[#This Row],[Amount]]-SIP[[#This Row],[Unit Capital]]</f>
        <v>-5128.25</v>
      </c>
      <c r="R10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02" s="43">
        <f t="shared" si="15"/>
        <v>12.552</v>
      </c>
      <c r="T102" s="41">
        <f>IF(SIP[[#This Row],[B/S]]="B",0,ABS(SIP[[#This Row],[Unit]])*(SIP[[#This Row],[NAV (Strike Rate)]]-INDEX(SIP[NAV at Cost (Average)],MATCH(CONCATENATE(SIP[[#This Row],[Frequency]]-1,SIP[[#This Row],[Investor ID]]),SIP[Unique Code],0),)))</f>
        <v>2831.1884436539276</v>
      </c>
      <c r="U102" s="43" cm="1">
        <f t="array" ref="U102">IF(SIP[[#This Row],[B/S]]="S",ABS(SIP[[#This Row],[Unit]])*(INDEX(SIP[NAV at Cost (Average)],MATCH(CONCATENATE((SIP[[#This Row],[Frequency]]-1),SIP[[#This Row],[Investor ID]]),SIP[Unique Code],0),0)),0)</f>
        <v>65687.061556346074</v>
      </c>
      <c r="V102" s="43">
        <f>IF(SIP[[#This Row],[BO Transfer]]="YES",SIP[[#This Row],[Unit]],)</f>
        <v>0</v>
      </c>
      <c r="W102" s="41">
        <f>SUMIFS(SIP[[#Headers],[BO UNIT TRANSFER]]:SIP[[#This Row],[BO UNIT TRANSFER]],SIP[[#Headers],[Investor ID]]:SIP[[#This Row],[Investor ID]],SIP[[#This Row],[Investor ID]])</f>
        <v>0</v>
      </c>
    </row>
    <row r="103" spans="1:23" ht="15" customHeight="1">
      <c r="A103" s="8">
        <v>2024</v>
      </c>
      <c r="B103" s="8">
        <v>11</v>
      </c>
      <c r="C103" s="8">
        <v>26</v>
      </c>
      <c r="D103" s="39">
        <f>IFERROR(DATE(SIP[[#This Row],[Year]],SIP[[#This Row],[Month]],SIP[[#This Row],[Day]]),0)</f>
        <v>45622</v>
      </c>
      <c r="E103" s="40" t="str" cm="1">
        <f t="array" ref="E103">IFERROR(INDEX(INVESTORS_LIST[INVESTOR NAME],MATCH(SIP[[#This Row],[Investor ID]],INVESTORS_LIST[INVESTOR CODE],0),)," ")</f>
        <v>MRIDUL KUMAR DEY</v>
      </c>
      <c r="F103" s="15" t="s">
        <v>27</v>
      </c>
      <c r="G103" s="15">
        <f>COUNTIFS(SIP[[#Headers],[Investor ID]]:SIP[[#This Row],[Investor ID]],SIP[[#This Row],[Investor ID]])</f>
        <v>32</v>
      </c>
      <c r="H103" s="15" t="str">
        <f>CONCATENATE(SIP[[#This Row],[Frequency]],SIP[[#This Row],[Investor ID]])</f>
        <v>32A00020</v>
      </c>
      <c r="I103" s="15" t="str">
        <f>IF(SIP[[#This Row],[B/S]]="B","BUY",(IF(SIP[[#This Row],[B/S]]="S","SELL"," ")))</f>
        <v>BUY</v>
      </c>
      <c r="J103" s="15" t="s">
        <v>301</v>
      </c>
      <c r="K103" s="38">
        <v>5000</v>
      </c>
      <c r="L103" s="38"/>
      <c r="M103" s="176">
        <f>IFERROR(SIP[[#This Row],[Amount]]/SIP[[#This Row],[Unit]],0)</f>
        <v>10.706638115631691</v>
      </c>
      <c r="N103" s="42">
        <f>SIP[[#This Row],[Unit Capital]]/10</f>
        <v>467</v>
      </c>
      <c r="O103" s="50">
        <f>SUMIFS(SIP[[#Headers],[Unit]]:SIP[[#This Row],[Unit]],SIP[[#Headers],[Investor ID]]:SIP[[#This Row],[Investor ID]],SIP[[#This Row],[Investor ID]])</f>
        <v>15758</v>
      </c>
      <c r="P103" s="38">
        <v>4670</v>
      </c>
      <c r="Q103" s="41">
        <f>SIP[[#This Row],[Amount]]-SIP[[#This Row],[Unit Capital]]</f>
        <v>330</v>
      </c>
      <c r="R10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10.153572788424928</v>
      </c>
      <c r="S103" s="43">
        <f t="shared" si="15"/>
        <v>12.552</v>
      </c>
      <c r="T10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3" s="43" cm="1">
        <f t="array" ref="U103">IF(SIP[[#This Row],[B/S]]="S",ABS(SIP[[#This Row],[Unit]])*(INDEX(SIP[NAV at Cost (Average)],MATCH(CONCATENATE((SIP[[#This Row],[Frequency]]-1),SIP[[#This Row],[Investor ID]]),SIP[Unique Code],0),0)),0)</f>
        <v>0</v>
      </c>
      <c r="V103" s="43">
        <f>IF(SIP[[#This Row],[BO Transfer]]="YES",SIP[[#This Row],[Unit]],)</f>
        <v>0</v>
      </c>
      <c r="W103" s="41">
        <f>SUMIFS(SIP[[#Headers],[BO UNIT TRANSFER]]:SIP[[#This Row],[BO UNIT TRANSFER]],SIP[[#Headers],[Investor ID]]:SIP[[#This Row],[Investor ID]],SIP[[#This Row],[Investor ID]])</f>
        <v>0</v>
      </c>
    </row>
    <row r="104" spans="1:23" ht="15" customHeight="1">
      <c r="A104" s="8">
        <v>2024</v>
      </c>
      <c r="B104" s="8">
        <v>11</v>
      </c>
      <c r="C104" s="8">
        <v>26</v>
      </c>
      <c r="D104" s="39">
        <f>IFERROR(DATE(SIP[[#This Row],[Year]],SIP[[#This Row],[Month]],SIP[[#This Row],[Day]]),0)</f>
        <v>45622</v>
      </c>
      <c r="E104" s="40" t="str" cm="1">
        <f t="array" ref="E104">IFERROR(INDEX(INVESTORS_LIST[INVESTOR NAME],MATCH(SIP[[#This Row],[Investor ID]],INVESTORS_LIST[INVESTOR CODE],0),)," ")</f>
        <v>HUMAIRA TABASSUM READDHE</v>
      </c>
      <c r="F104" s="15" t="s">
        <v>1118</v>
      </c>
      <c r="G104" s="15">
        <f>COUNTIFS(SIP[[#Headers],[Investor ID]]:SIP[[#This Row],[Investor ID]],SIP[[#This Row],[Investor ID]])</f>
        <v>4</v>
      </c>
      <c r="H104" s="15" t="str">
        <f>CONCATENATE(SIP[[#This Row],[Frequency]],SIP[[#This Row],[Investor ID]])</f>
        <v>4A00503</v>
      </c>
      <c r="I104" s="15" t="str">
        <f>IF(SIP[[#This Row],[B/S]]="B","BUY",(IF(SIP[[#This Row],[B/S]]="S","SELL"," ")))</f>
        <v>BUY</v>
      </c>
      <c r="J104" s="15" t="s">
        <v>301</v>
      </c>
      <c r="K104" s="38">
        <v>2000</v>
      </c>
      <c r="L104" s="38"/>
      <c r="M104" s="176">
        <f>IFERROR(SIP[[#This Row],[Amount]]/SIP[[#This Row],[Unit]],0)</f>
        <v>10.695187165775401</v>
      </c>
      <c r="N104" s="42">
        <f>SIP[[#This Row],[Unit Capital]]/10</f>
        <v>187</v>
      </c>
      <c r="O104" s="50">
        <f>SUMIFS(SIP[[#Headers],[Unit]]:SIP[[#This Row],[Unit]],SIP[[#Headers],[Investor ID]]:SIP[[#This Row],[Investor ID]],SIP[[#This Row],[Investor ID]])</f>
        <v>740</v>
      </c>
      <c r="P104" s="38">
        <v>1870</v>
      </c>
      <c r="Q104" s="41">
        <f>SIP[[#This Row],[Amount]]-SIP[[#This Row],[Unit Capital]]</f>
        <v>130</v>
      </c>
      <c r="R10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10.810810810810811</v>
      </c>
      <c r="S104" s="43">
        <f t="shared" si="15"/>
        <v>12.552</v>
      </c>
      <c r="T10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4" s="43" cm="1">
        <f t="array" ref="U104">IF(SIP[[#This Row],[B/S]]="S",ABS(SIP[[#This Row],[Unit]])*(INDEX(SIP[NAV at Cost (Average)],MATCH(CONCATENATE((SIP[[#This Row],[Frequency]]-1),SIP[[#This Row],[Investor ID]]),SIP[Unique Code],0),0)),0)</f>
        <v>0</v>
      </c>
      <c r="V104" s="43">
        <f>IF(SIP[[#This Row],[BO Transfer]]="YES",SIP[[#This Row],[Unit]],)</f>
        <v>0</v>
      </c>
      <c r="W104" s="41">
        <f>SUMIFS(SIP[[#Headers],[BO UNIT TRANSFER]]:SIP[[#This Row],[BO UNIT TRANSFER]],SIP[[#Headers],[Investor ID]]:SIP[[#This Row],[Investor ID]],SIP[[#This Row],[Investor ID]])</f>
        <v>0</v>
      </c>
    </row>
    <row r="105" spans="1:23" ht="15" customHeight="1">
      <c r="A105" s="8">
        <v>2024</v>
      </c>
      <c r="B105" s="8">
        <v>11</v>
      </c>
      <c r="C105" s="8">
        <v>26</v>
      </c>
      <c r="D105" s="39">
        <f>IFERROR(DATE(SIP[[#This Row],[Year]],SIP[[#This Row],[Month]],SIP[[#This Row],[Day]]),0)</f>
        <v>45622</v>
      </c>
      <c r="E105" s="40" t="str" cm="1">
        <f t="array" ref="E105">IFERROR(INDEX(INVESTORS_LIST[INVESTOR NAME],MATCH(SIP[[#This Row],[Investor ID]],INVESTORS_LIST[INVESTOR CODE],0),)," ")</f>
        <v>MAHFUZUL ISLAM</v>
      </c>
      <c r="F105" s="15" t="s">
        <v>264</v>
      </c>
      <c r="G105" s="15">
        <f>COUNTIFS(SIP[[#Headers],[Investor ID]]:SIP[[#This Row],[Investor ID]],SIP[[#This Row],[Investor ID]])</f>
        <v>4</v>
      </c>
      <c r="H105" s="15" t="str">
        <f>CONCATENATE(SIP[[#This Row],[Frequency]],SIP[[#This Row],[Investor ID]])</f>
        <v>4A00212</v>
      </c>
      <c r="I105" s="15" t="str">
        <f>IF(SIP[[#This Row],[B/S]]="B","BUY",(IF(SIP[[#This Row],[B/S]]="S","SELL"," ")))</f>
        <v>BUY</v>
      </c>
      <c r="J105" s="15" t="s">
        <v>301</v>
      </c>
      <c r="K105" s="38">
        <v>2000</v>
      </c>
      <c r="L105" s="38"/>
      <c r="M105" s="176">
        <f>IFERROR(SIP[[#This Row],[Amount]]/SIP[[#This Row],[Unit]],0)</f>
        <v>10.695187165775401</v>
      </c>
      <c r="N105" s="42">
        <f>SIP[[#This Row],[Unit Capital]]/10</f>
        <v>187</v>
      </c>
      <c r="O105" s="50">
        <f>SUMIFS(SIP[[#Headers],[Unit]]:SIP[[#This Row],[Unit]],SIP[[#Headers],[Investor ID]]:SIP[[#This Row],[Investor ID]],SIP[[#This Row],[Investor ID]])</f>
        <v>740</v>
      </c>
      <c r="P105" s="38">
        <v>1870</v>
      </c>
      <c r="Q105" s="41">
        <f>SIP[[#This Row],[Amount]]-SIP[[#This Row],[Unit Capital]]</f>
        <v>130</v>
      </c>
      <c r="R10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10.810810810810811</v>
      </c>
      <c r="S105" s="43">
        <f t="shared" si="15"/>
        <v>12.552</v>
      </c>
      <c r="T10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5" s="43" cm="1">
        <f t="array" ref="U105">IF(SIP[[#This Row],[B/S]]="S",ABS(SIP[[#This Row],[Unit]])*(INDEX(SIP[NAV at Cost (Average)],MATCH(CONCATENATE((SIP[[#This Row],[Frequency]]-1),SIP[[#This Row],[Investor ID]]),SIP[Unique Code],0),0)),0)</f>
        <v>0</v>
      </c>
      <c r="V105" s="43">
        <f>IF(SIP[[#This Row],[BO Transfer]]="YES",SIP[[#This Row],[Unit]],)</f>
        <v>0</v>
      </c>
      <c r="W105" s="41">
        <f>SUMIFS(SIP[[#Headers],[BO UNIT TRANSFER]]:SIP[[#This Row],[BO UNIT TRANSFER]],SIP[[#Headers],[Investor ID]]:SIP[[#This Row],[Investor ID]],SIP[[#This Row],[Investor ID]])</f>
        <v>0</v>
      </c>
    </row>
    <row r="106" spans="1:23" ht="15" customHeight="1">
      <c r="A106" s="8">
        <v>2024</v>
      </c>
      <c r="B106" s="8">
        <v>12</v>
      </c>
      <c r="C106" s="8">
        <v>5</v>
      </c>
      <c r="D106" s="39">
        <f>IFERROR(DATE(SIP[[#This Row],[Year]],SIP[[#This Row],[Month]],SIP[[#This Row],[Day]]),0)</f>
        <v>45631</v>
      </c>
      <c r="E106" s="40" t="str" cm="1">
        <f t="array" ref="E106">IFERROR(INDEX(INVESTORS_LIST[INVESTOR NAME],MATCH(SIP[[#This Row],[Investor ID]],INVESTORS_LIST[INVESTOR CODE],0),)," ")</f>
        <v>HUMAIRA TABASSUM READDHE</v>
      </c>
      <c r="F106" s="15" t="s">
        <v>1118</v>
      </c>
      <c r="G106" s="15">
        <f>COUNTIFS(SIP[[#Headers],[Investor ID]]:SIP[[#This Row],[Investor ID]],SIP[[#This Row],[Investor ID]])</f>
        <v>5</v>
      </c>
      <c r="H106" s="15" t="str">
        <f>CONCATENATE(SIP[[#This Row],[Frequency]],SIP[[#This Row],[Investor ID]])</f>
        <v>5A00503</v>
      </c>
      <c r="I106" s="15" t="str">
        <f>IF(SIP[[#This Row],[B/S]]="B","BUY",(IF(SIP[[#This Row],[B/S]]="S","SELL"," ")))</f>
        <v>SELL</v>
      </c>
      <c r="J106" s="15" t="s">
        <v>866</v>
      </c>
      <c r="K106" s="38">
        <v>-7875.82</v>
      </c>
      <c r="L106" s="38"/>
      <c r="M106" s="176">
        <f>IFERROR(SIP[[#This Row],[Amount]]/SIP[[#This Row],[Unit]],0)</f>
        <v>10.642999999999999</v>
      </c>
      <c r="N106" s="42">
        <f>SIP[[#This Row],[Unit Capital]]/10</f>
        <v>-740</v>
      </c>
      <c r="O106" s="50">
        <f>SUMIFS(SIP[[#Headers],[Unit]]:SIP[[#This Row],[Unit]],SIP[[#Headers],[Investor ID]]:SIP[[#This Row],[Investor ID]],SIP[[#This Row],[Investor ID]])</f>
        <v>0</v>
      </c>
      <c r="P106" s="38">
        <v>-7400</v>
      </c>
      <c r="Q106" s="41">
        <f>SIP[[#This Row],[Amount]]-SIP[[#This Row],[Unit Capital]]</f>
        <v>-475.81999999999971</v>
      </c>
      <c r="R10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06" s="43">
        <f t="shared" ref="S106:S112" si="16">NAV_MKT</f>
        <v>12.552</v>
      </c>
      <c r="T106" s="41">
        <f>IF(SIP[[#This Row],[B/S]]="B",0,ABS(SIP[[#This Row],[Unit]])*(SIP[[#This Row],[NAV (Strike Rate)]]-INDEX(SIP[NAV at Cost (Average)],MATCH(CONCATENATE(SIP[[#This Row],[Frequency]]-1,SIP[[#This Row],[Investor ID]]),SIP[Unique Code],0),)))</f>
        <v>-124.1800000000006</v>
      </c>
      <c r="U106" s="43" cm="1">
        <f t="array" ref="U106">IF(SIP[[#This Row],[B/S]]="S",ABS(SIP[[#This Row],[Unit]])*(INDEX(SIP[NAV at Cost (Average)],MATCH(CONCATENATE((SIP[[#This Row],[Frequency]]-1),SIP[[#This Row],[Investor ID]]),SIP[Unique Code],0),0)),0)</f>
        <v>8000</v>
      </c>
      <c r="V106" s="43">
        <f>IF(SIP[[#This Row],[BO Transfer]]="YES",SIP[[#This Row],[Unit]],)</f>
        <v>0</v>
      </c>
      <c r="W106" s="41">
        <f>SUMIFS(SIP[[#Headers],[BO UNIT TRANSFER]]:SIP[[#This Row],[BO UNIT TRANSFER]],SIP[[#Headers],[Investor ID]]:SIP[[#This Row],[Investor ID]],SIP[[#This Row],[Investor ID]])</f>
        <v>0</v>
      </c>
    </row>
    <row r="107" spans="1:23" ht="15" customHeight="1">
      <c r="A107" s="8">
        <v>2024</v>
      </c>
      <c r="B107" s="8">
        <v>12</v>
      </c>
      <c r="C107" s="8">
        <v>26</v>
      </c>
      <c r="D107" s="39">
        <f>IFERROR(DATE(SIP[[#This Row],[Year]],SIP[[#This Row],[Month]],SIP[[#This Row],[Day]]),0)</f>
        <v>45652</v>
      </c>
      <c r="E107" s="40" t="str" cm="1">
        <f t="array" ref="E107">IFERROR(INDEX(INVESTORS_LIST[INVESTOR NAME],MATCH(SIP[[#This Row],[Investor ID]],INVESTORS_LIST[INVESTOR CODE],0),)," ")</f>
        <v>MRIDUL KUMAR DEY</v>
      </c>
      <c r="F107" s="15" t="s">
        <v>27</v>
      </c>
      <c r="G107" s="15">
        <f>COUNTIFS(SIP[[#Headers],[Investor ID]]:SIP[[#This Row],[Investor ID]],SIP[[#This Row],[Investor ID]])</f>
        <v>33</v>
      </c>
      <c r="H107" s="15" t="str">
        <f>CONCATENATE(SIP[[#This Row],[Frequency]],SIP[[#This Row],[Investor ID]])</f>
        <v>33A00020</v>
      </c>
      <c r="I107" s="15" t="str">
        <f>IF(SIP[[#This Row],[B/S]]="B","BUY",(IF(SIP[[#This Row],[B/S]]="S","SELL"," ")))</f>
        <v>BUY</v>
      </c>
      <c r="J107" s="15" t="s">
        <v>301</v>
      </c>
      <c r="K107" s="38">
        <v>5000</v>
      </c>
      <c r="L107" s="38"/>
      <c r="M107" s="176">
        <f>IFERROR(SIP[[#This Row],[Amount]]/SIP[[#This Row],[Unit]],0)</f>
        <v>10.706638115631691</v>
      </c>
      <c r="N107" s="42">
        <f>SIP[[#This Row],[Unit Capital]]/10</f>
        <v>467</v>
      </c>
      <c r="O107" s="50">
        <f>SUMIFS(SIP[[#Headers],[Unit]]:SIP[[#This Row],[Unit]],SIP[[#Headers],[Investor ID]]:SIP[[#This Row],[Investor ID]],SIP[[#This Row],[Investor ID]])</f>
        <v>16225</v>
      </c>
      <c r="P107" s="38">
        <v>4670</v>
      </c>
      <c r="Q107" s="41">
        <f>SIP[[#This Row],[Amount]]-SIP[[#This Row],[Unit Capital]]</f>
        <v>330</v>
      </c>
      <c r="R10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10.16949152542373</v>
      </c>
      <c r="S107" s="43">
        <f t="shared" si="16"/>
        <v>12.552</v>
      </c>
      <c r="T10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7" s="43" cm="1">
        <f t="array" ref="U107">IF(SIP[[#This Row],[B/S]]="S",ABS(SIP[[#This Row],[Unit]])*(INDEX(SIP[NAV at Cost (Average)],MATCH(CONCATENATE((SIP[[#This Row],[Frequency]]-1),SIP[[#This Row],[Investor ID]]),SIP[Unique Code],0),0)),0)</f>
        <v>0</v>
      </c>
      <c r="V107" s="43">
        <f>IF(SIP[[#This Row],[BO Transfer]]="YES",SIP[[#This Row],[Unit]],)</f>
        <v>0</v>
      </c>
      <c r="W107" s="41">
        <f>SUMIFS(SIP[[#Headers],[BO UNIT TRANSFER]]:SIP[[#This Row],[BO UNIT TRANSFER]],SIP[[#Headers],[Investor ID]]:SIP[[#This Row],[Investor ID]],SIP[[#This Row],[Investor ID]])</f>
        <v>0</v>
      </c>
    </row>
    <row r="108" spans="1:23" ht="15" customHeight="1">
      <c r="A108" s="8">
        <v>2024</v>
      </c>
      <c r="B108" s="8">
        <v>12</v>
      </c>
      <c r="C108" s="8">
        <v>26</v>
      </c>
      <c r="D108" s="39">
        <f>IFERROR(DATE(SIP[[#This Row],[Year]],SIP[[#This Row],[Month]],SIP[[#This Row],[Day]]),0)</f>
        <v>45652</v>
      </c>
      <c r="E108" s="40" t="str" cm="1">
        <f t="array" ref="E108">IFERROR(INDEX(INVESTORS_LIST[INVESTOR NAME],MATCH(SIP[[#This Row],[Investor ID]],INVESTORS_LIST[INVESTOR CODE],0),)," ")</f>
        <v>HUMAIRA TABASSUM READDHE</v>
      </c>
      <c r="F108" s="15" t="s">
        <v>1118</v>
      </c>
      <c r="G108" s="15">
        <f>COUNTIFS(SIP[[#Headers],[Investor ID]]:SIP[[#This Row],[Investor ID]],SIP[[#This Row],[Investor ID]])</f>
        <v>6</v>
      </c>
      <c r="H108" s="15" t="str">
        <f>CONCATENATE(SIP[[#This Row],[Frequency]],SIP[[#This Row],[Investor ID]])</f>
        <v>6A00503</v>
      </c>
      <c r="I108" s="15" t="str">
        <f>IF(SIP[[#This Row],[B/S]]="B","BUY",(IF(SIP[[#This Row],[B/S]]="S","SELL"," ")))</f>
        <v>BUY</v>
      </c>
      <c r="J108" s="15" t="s">
        <v>301</v>
      </c>
      <c r="K108" s="38">
        <v>2000</v>
      </c>
      <c r="L108" s="38"/>
      <c r="M108" s="176">
        <f>IFERROR(SIP[[#This Row],[Amount]]/SIP[[#This Row],[Unit]],0)</f>
        <v>10.695187165775401</v>
      </c>
      <c r="N108" s="42">
        <f>SIP[[#This Row],[Unit Capital]]/10</f>
        <v>187</v>
      </c>
      <c r="O108" s="50">
        <f>SUMIFS(SIP[[#Headers],[Unit]]:SIP[[#This Row],[Unit]],SIP[[#Headers],[Investor ID]]:SIP[[#This Row],[Investor ID]],SIP[[#This Row],[Investor ID]])</f>
        <v>187</v>
      </c>
      <c r="P108" s="38">
        <v>1870</v>
      </c>
      <c r="Q108" s="41">
        <f>SIP[[#This Row],[Amount]]-SIP[[#This Row],[Unit Capital]]</f>
        <v>130</v>
      </c>
      <c r="R10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10.695187165775401</v>
      </c>
      <c r="S108" s="43">
        <f t="shared" si="16"/>
        <v>12.552</v>
      </c>
      <c r="T10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8" s="43" cm="1">
        <f t="array" ref="U108">IF(SIP[[#This Row],[B/S]]="S",ABS(SIP[[#This Row],[Unit]])*(INDEX(SIP[NAV at Cost (Average)],MATCH(CONCATENATE((SIP[[#This Row],[Frequency]]-1),SIP[[#This Row],[Investor ID]]),SIP[Unique Code],0),0)),0)</f>
        <v>0</v>
      </c>
      <c r="V108" s="43">
        <f>IF(SIP[[#This Row],[BO Transfer]]="YES",SIP[[#This Row],[Unit]],)</f>
        <v>0</v>
      </c>
      <c r="W108" s="41">
        <f>SUMIFS(SIP[[#Headers],[BO UNIT TRANSFER]]:SIP[[#This Row],[BO UNIT TRANSFER]],SIP[[#Headers],[Investor ID]]:SIP[[#This Row],[Investor ID]],SIP[[#This Row],[Investor ID]])</f>
        <v>0</v>
      </c>
    </row>
    <row r="109" spans="1:23" ht="15" customHeight="1">
      <c r="A109" s="8">
        <v>2024</v>
      </c>
      <c r="B109" s="8">
        <v>12</v>
      </c>
      <c r="C109" s="8">
        <v>26</v>
      </c>
      <c r="D109" s="39">
        <f>IFERROR(DATE(SIP[[#This Row],[Year]],SIP[[#This Row],[Month]],SIP[[#This Row],[Day]]),0)</f>
        <v>45652</v>
      </c>
      <c r="E109" s="40" t="str" cm="1">
        <f t="array" ref="E109">IFERROR(INDEX(INVESTORS_LIST[INVESTOR NAME],MATCH(SIP[[#This Row],[Investor ID]],INVESTORS_LIST[INVESTOR CODE],0),)," ")</f>
        <v>MAHFUZUL ISLAM</v>
      </c>
      <c r="F109" s="15" t="s">
        <v>264</v>
      </c>
      <c r="G109" s="15">
        <f>COUNTIFS(SIP[[#Headers],[Investor ID]]:SIP[[#This Row],[Investor ID]],SIP[[#This Row],[Investor ID]])</f>
        <v>5</v>
      </c>
      <c r="H109" s="15" t="str">
        <f>CONCATENATE(SIP[[#This Row],[Frequency]],SIP[[#This Row],[Investor ID]])</f>
        <v>5A00212</v>
      </c>
      <c r="I109" s="15" t="str">
        <f>IF(SIP[[#This Row],[B/S]]="B","BUY",(IF(SIP[[#This Row],[B/S]]="S","SELL"," ")))</f>
        <v>BUY</v>
      </c>
      <c r="J109" s="15" t="s">
        <v>301</v>
      </c>
      <c r="K109" s="38">
        <v>2000</v>
      </c>
      <c r="L109" s="38"/>
      <c r="M109" s="176">
        <f>IFERROR(SIP[[#This Row],[Amount]]/SIP[[#This Row],[Unit]],0)</f>
        <v>10.695187165775401</v>
      </c>
      <c r="N109" s="42">
        <f>SIP[[#This Row],[Unit Capital]]/10</f>
        <v>187</v>
      </c>
      <c r="O109" s="50">
        <f>SUMIFS(SIP[[#Headers],[Unit]]:SIP[[#This Row],[Unit]],SIP[[#Headers],[Investor ID]]:SIP[[#This Row],[Investor ID]],SIP[[#This Row],[Investor ID]])</f>
        <v>927</v>
      </c>
      <c r="P109" s="38">
        <v>1870</v>
      </c>
      <c r="Q109" s="41">
        <f>SIP[[#This Row],[Amount]]-SIP[[#This Row],[Unit Capital]]</f>
        <v>130</v>
      </c>
      <c r="R10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10.787486515641856</v>
      </c>
      <c r="S109" s="43">
        <f t="shared" si="16"/>
        <v>12.552</v>
      </c>
      <c r="T10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09" s="43" cm="1">
        <f t="array" ref="U109">IF(SIP[[#This Row],[B/S]]="S",ABS(SIP[[#This Row],[Unit]])*(INDEX(SIP[NAV at Cost (Average)],MATCH(CONCATENATE((SIP[[#This Row],[Frequency]]-1),SIP[[#This Row],[Investor ID]]),SIP[Unique Code],0),0)),0)</f>
        <v>0</v>
      </c>
      <c r="V109" s="43">
        <f>IF(SIP[[#This Row],[BO Transfer]]="YES",SIP[[#This Row],[Unit]],)</f>
        <v>0</v>
      </c>
      <c r="W109" s="41">
        <f>SUMIFS(SIP[[#Headers],[BO UNIT TRANSFER]]:SIP[[#This Row],[BO UNIT TRANSFER]],SIP[[#Headers],[Investor ID]]:SIP[[#This Row],[Investor ID]],SIP[[#This Row],[Investor ID]])</f>
        <v>0</v>
      </c>
    </row>
    <row r="110" spans="1:23" ht="15" customHeight="1">
      <c r="A110" s="8">
        <v>2025</v>
      </c>
      <c r="B110" s="8">
        <v>1</v>
      </c>
      <c r="C110" s="8">
        <v>26</v>
      </c>
      <c r="D110" s="39">
        <f>IFERROR(DATE(SIP[[#This Row],[Year]],SIP[[#This Row],[Month]],SIP[[#This Row],[Day]]),0)</f>
        <v>45683</v>
      </c>
      <c r="E110" s="40" t="str" cm="1">
        <f t="array" ref="E110">IFERROR(INDEX(INVESTORS_LIST[INVESTOR NAME],MATCH(SIP[[#This Row],[Investor ID]],INVESTORS_LIST[INVESTOR CODE],0),)," ")</f>
        <v>MAHFUZUL ISLAM</v>
      </c>
      <c r="F110" s="15" t="s">
        <v>264</v>
      </c>
      <c r="G110" s="15">
        <f>COUNTIFS(SIP[[#Headers],[Investor ID]]:SIP[[#This Row],[Investor ID]],SIP[[#This Row],[Investor ID]])</f>
        <v>6</v>
      </c>
      <c r="H110" s="15" t="str">
        <f>CONCATENATE(SIP[[#This Row],[Frequency]],SIP[[#This Row],[Investor ID]])</f>
        <v>6A00212</v>
      </c>
      <c r="I110" s="15" t="str">
        <f>IF(SIP[[#This Row],[B/S]]="B","BUY",(IF(SIP[[#This Row],[B/S]]="S","SELL"," ")))</f>
        <v>BUY</v>
      </c>
      <c r="J110" s="15" t="s">
        <v>301</v>
      </c>
      <c r="K110" s="38">
        <v>2000</v>
      </c>
      <c r="L110" s="38"/>
      <c r="M110" s="176">
        <f>IFERROR(SIP[[#This Row],[Amount]]/SIP[[#This Row],[Unit]],0)</f>
        <v>10.869565217391305</v>
      </c>
      <c r="N110" s="42">
        <f>SIP[[#This Row],[Unit Capital]]/10</f>
        <v>184</v>
      </c>
      <c r="O110" s="50">
        <f>SUMIFS(SIP[[#Headers],[Unit]]:SIP[[#This Row],[Unit]],SIP[[#Headers],[Investor ID]]:SIP[[#This Row],[Investor ID]],SIP[[#This Row],[Investor ID]])</f>
        <v>1111</v>
      </c>
      <c r="P110" s="38">
        <v>1840</v>
      </c>
      <c r="Q110" s="41">
        <f>SIP[[#This Row],[Amount]]-SIP[[#This Row],[Unit Capital]]</f>
        <v>160</v>
      </c>
      <c r="R11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10.801080108010803</v>
      </c>
      <c r="S110" s="43">
        <f t="shared" si="16"/>
        <v>12.552</v>
      </c>
      <c r="T11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0" s="43" cm="1">
        <f t="array" ref="U110">IF(SIP[[#This Row],[B/S]]="S",ABS(SIP[[#This Row],[Unit]])*(INDEX(SIP[NAV at Cost (Average)],MATCH(CONCATENATE((SIP[[#This Row],[Frequency]]-1),SIP[[#This Row],[Investor ID]]),SIP[Unique Code],0),0)),0)</f>
        <v>0</v>
      </c>
      <c r="V110" s="43">
        <f>IF(SIP[[#This Row],[BO Transfer]]="YES",SIP[[#This Row],[Unit]],)</f>
        <v>0</v>
      </c>
      <c r="W110" s="41">
        <f>SUMIFS(SIP[[#Headers],[BO UNIT TRANSFER]]:SIP[[#This Row],[BO UNIT TRANSFER]],SIP[[#Headers],[Investor ID]]:SIP[[#This Row],[Investor ID]],SIP[[#This Row],[Investor ID]])</f>
        <v>0</v>
      </c>
    </row>
    <row r="111" spans="1:23" ht="15" customHeight="1">
      <c r="A111" s="8">
        <v>2025</v>
      </c>
      <c r="B111" s="8">
        <v>1</v>
      </c>
      <c r="C111" s="8">
        <v>26</v>
      </c>
      <c r="D111" s="39">
        <f>IFERROR(DATE(SIP[[#This Row],[Year]],SIP[[#This Row],[Month]],SIP[[#This Row],[Day]]),0)</f>
        <v>45683</v>
      </c>
      <c r="E111" s="40" t="str" cm="1">
        <f t="array" ref="E111">IFERROR(INDEX(INVESTORS_LIST[INVESTOR NAME],MATCH(SIP[[#This Row],[Investor ID]],INVESTORS_LIST[INVESTOR CODE],0),)," ")</f>
        <v>MRIDUL KUMAR DEY</v>
      </c>
      <c r="F111" s="15" t="s">
        <v>27</v>
      </c>
      <c r="G111" s="15">
        <f>COUNTIFS(SIP[[#Headers],[Investor ID]]:SIP[[#This Row],[Investor ID]],SIP[[#This Row],[Investor ID]])</f>
        <v>34</v>
      </c>
      <c r="H111" s="15" t="str">
        <f>CONCATENATE(SIP[[#This Row],[Frequency]],SIP[[#This Row],[Investor ID]])</f>
        <v>34A00020</v>
      </c>
      <c r="I111" s="15" t="str">
        <f>IF(SIP[[#This Row],[B/S]]="B","BUY",(IF(SIP[[#This Row],[B/S]]="S","SELL"," ")))</f>
        <v>BUY</v>
      </c>
      <c r="J111" s="15" t="s">
        <v>301</v>
      </c>
      <c r="K111" s="38">
        <v>5000</v>
      </c>
      <c r="L111" s="38"/>
      <c r="M111" s="176">
        <f>IFERROR(SIP[[#This Row],[Amount]]/SIP[[#This Row],[Unit]],0)</f>
        <v>10.845986984815617</v>
      </c>
      <c r="N111" s="42">
        <f>SIP[[#This Row],[Unit Capital]]/10</f>
        <v>461</v>
      </c>
      <c r="O111" s="50">
        <f>SUMIFS(SIP[[#Headers],[Unit]]:SIP[[#This Row],[Unit]],SIP[[#Headers],[Investor ID]]:SIP[[#This Row],[Investor ID]],SIP[[#This Row],[Investor ID]])</f>
        <v>16686</v>
      </c>
      <c r="P111" s="38">
        <v>4610</v>
      </c>
      <c r="Q111" s="41">
        <f>SIP[[#This Row],[Amount]]-SIP[[#This Row],[Unit Capital]]</f>
        <v>390</v>
      </c>
      <c r="R11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10.188181709217311</v>
      </c>
      <c r="S111" s="43">
        <f t="shared" si="16"/>
        <v>12.552</v>
      </c>
      <c r="T11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1" s="43" cm="1">
        <f t="array" ref="U111">IF(SIP[[#This Row],[B/S]]="S",ABS(SIP[[#This Row],[Unit]])*(INDEX(SIP[NAV at Cost (Average)],MATCH(CONCATENATE((SIP[[#This Row],[Frequency]]-1),SIP[[#This Row],[Investor ID]]),SIP[Unique Code],0),0)),0)</f>
        <v>0</v>
      </c>
      <c r="V111" s="43">
        <f>IF(SIP[[#This Row],[BO Transfer]]="YES",SIP[[#This Row],[Unit]],)</f>
        <v>0</v>
      </c>
      <c r="W111" s="41">
        <f>SUMIFS(SIP[[#Headers],[BO UNIT TRANSFER]]:SIP[[#This Row],[BO UNIT TRANSFER]],SIP[[#Headers],[Investor ID]]:SIP[[#This Row],[Investor ID]],SIP[[#This Row],[Investor ID]])</f>
        <v>0</v>
      </c>
    </row>
    <row r="112" spans="1:23" ht="15" customHeight="1">
      <c r="A112" s="8">
        <v>2025</v>
      </c>
      <c r="B112" s="8">
        <v>1</v>
      </c>
      <c r="C112" s="8">
        <v>26</v>
      </c>
      <c r="D112" s="39">
        <f>IFERROR(DATE(SIP[[#This Row],[Year]],SIP[[#This Row],[Month]],SIP[[#This Row],[Day]]),0)</f>
        <v>45683</v>
      </c>
      <c r="E112" s="40" t="str" cm="1">
        <f t="array" ref="E112">IFERROR(INDEX(INVESTORS_LIST[INVESTOR NAME],MATCH(SIP[[#This Row],[Investor ID]],INVESTORS_LIST[INVESTOR CODE],0),)," ")</f>
        <v>HUMAIRA TABASSUM READDHE</v>
      </c>
      <c r="F112" s="15" t="s">
        <v>1118</v>
      </c>
      <c r="G112" s="15">
        <f>COUNTIFS(SIP[[#Headers],[Investor ID]]:SIP[[#This Row],[Investor ID]],SIP[[#This Row],[Investor ID]])</f>
        <v>7</v>
      </c>
      <c r="H112" s="15" t="str">
        <f>CONCATENATE(SIP[[#This Row],[Frequency]],SIP[[#This Row],[Investor ID]])</f>
        <v>7A00503</v>
      </c>
      <c r="I112" s="15" t="str">
        <f>IF(SIP[[#This Row],[B/S]]="B","BUY",(IF(SIP[[#This Row],[B/S]]="S","SELL"," ")))</f>
        <v>BUY</v>
      </c>
      <c r="J112" s="15" t="s">
        <v>301</v>
      </c>
      <c r="K112" s="38">
        <v>2000</v>
      </c>
      <c r="L112" s="38"/>
      <c r="M112" s="176">
        <f>IFERROR(SIP[[#This Row],[Amount]]/SIP[[#This Row],[Unit]],0)</f>
        <v>10.869565217391305</v>
      </c>
      <c r="N112" s="42">
        <f>SIP[[#This Row],[Unit Capital]]/10</f>
        <v>184</v>
      </c>
      <c r="O112" s="50">
        <f>SUMIFS(SIP[[#Headers],[Unit]]:SIP[[#This Row],[Unit]],SIP[[#Headers],[Investor ID]]:SIP[[#This Row],[Investor ID]],SIP[[#This Row],[Investor ID]])</f>
        <v>371</v>
      </c>
      <c r="P112" s="38">
        <v>1840</v>
      </c>
      <c r="Q112" s="41">
        <f>SIP[[#This Row],[Amount]]-SIP[[#This Row],[Unit Capital]]</f>
        <v>160</v>
      </c>
      <c r="R11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10.781671159029649</v>
      </c>
      <c r="S112" s="43">
        <f t="shared" si="16"/>
        <v>12.552</v>
      </c>
      <c r="T11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2" s="43" cm="1">
        <f t="array" ref="U112">IF(SIP[[#This Row],[B/S]]="S",ABS(SIP[[#This Row],[Unit]])*(INDEX(SIP[NAV at Cost (Average)],MATCH(CONCATENATE((SIP[[#This Row],[Frequency]]-1),SIP[[#This Row],[Investor ID]]),SIP[Unique Code],0),0)),0)</f>
        <v>0</v>
      </c>
      <c r="V112" s="43">
        <f>IF(SIP[[#This Row],[BO Transfer]]="YES",SIP[[#This Row],[Unit]],)</f>
        <v>0</v>
      </c>
      <c r="W112" s="41">
        <f>SUMIFS(SIP[[#Headers],[BO UNIT TRANSFER]]:SIP[[#This Row],[BO UNIT TRANSFER]],SIP[[#Headers],[Investor ID]]:SIP[[#This Row],[Investor ID]],SIP[[#This Row],[Investor ID]])</f>
        <v>0</v>
      </c>
    </row>
    <row r="113" spans="1:23" ht="15" customHeight="1">
      <c r="A113" s="8">
        <v>2025</v>
      </c>
      <c r="B113" s="8">
        <v>2</v>
      </c>
      <c r="C113" s="8">
        <v>26</v>
      </c>
      <c r="D113" s="39">
        <f>IFERROR(DATE(SIP[[#This Row],[Year]],SIP[[#This Row],[Month]],SIP[[#This Row],[Day]]),0)</f>
        <v>45714</v>
      </c>
      <c r="E113" s="40" t="str" cm="1">
        <f t="array" ref="E113">IFERROR(INDEX(INVESTORS_LIST[INVESTOR NAME],MATCH(SIP[[#This Row],[Investor ID]],INVESTORS_LIST[INVESTOR CODE],0),)," ")</f>
        <v>HUMAIRA TABASSUM READDHE</v>
      </c>
      <c r="F113" s="15" t="s">
        <v>1118</v>
      </c>
      <c r="G113" s="15">
        <f>COUNTIFS(SIP[[#Headers],[Investor ID]]:SIP[[#This Row],[Investor ID]],SIP[[#This Row],[Investor ID]])</f>
        <v>8</v>
      </c>
      <c r="H113" s="15" t="str">
        <f>CONCATENATE(SIP[[#This Row],[Frequency]],SIP[[#This Row],[Investor ID]])</f>
        <v>8A00503</v>
      </c>
      <c r="I113" s="15" t="str">
        <f>IF(SIP[[#This Row],[B/S]]="B","BUY",(IF(SIP[[#This Row],[B/S]]="S","SELL"," ")))</f>
        <v>BUY</v>
      </c>
      <c r="J113" s="15" t="s">
        <v>301</v>
      </c>
      <c r="K113" s="38">
        <v>2000</v>
      </c>
      <c r="L113" s="38"/>
      <c r="M113" s="176">
        <f>IFERROR(SIP[[#This Row],[Amount]]/SIP[[#This Row],[Unit]],0)</f>
        <v>10.526315789473685</v>
      </c>
      <c r="N113" s="42">
        <f>SIP[[#This Row],[Unit Capital]]/10</f>
        <v>190</v>
      </c>
      <c r="O113" s="50">
        <f>SUMIFS(SIP[[#Headers],[Unit]]:SIP[[#This Row],[Unit]],SIP[[#Headers],[Investor ID]]:SIP[[#This Row],[Investor ID]],SIP[[#This Row],[Investor ID]])</f>
        <v>561</v>
      </c>
      <c r="P113" s="38">
        <v>1900</v>
      </c>
      <c r="Q113" s="41">
        <f>SIP[[#This Row],[Amount]]-SIP[[#This Row],[Unit Capital]]</f>
        <v>100</v>
      </c>
      <c r="R11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10.695187165775401</v>
      </c>
      <c r="S113" s="43">
        <f t="shared" ref="S113:S118" si="17">NAV_MKT</f>
        <v>12.552</v>
      </c>
      <c r="T11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3" s="43" cm="1">
        <f t="array" ref="U113">IF(SIP[[#This Row],[B/S]]="S",ABS(SIP[[#This Row],[Unit]])*(INDEX(SIP[NAV at Cost (Average)],MATCH(CONCATENATE((SIP[[#This Row],[Frequency]]-1),SIP[[#This Row],[Investor ID]]),SIP[Unique Code],0),0)),0)</f>
        <v>0</v>
      </c>
      <c r="V113" s="43">
        <f>IF(SIP[[#This Row],[BO Transfer]]="YES",SIP[[#This Row],[Unit]],)</f>
        <v>0</v>
      </c>
      <c r="W113" s="41">
        <f>SUMIFS(SIP[[#Headers],[BO UNIT TRANSFER]]:SIP[[#This Row],[BO UNIT TRANSFER]],SIP[[#Headers],[Investor ID]]:SIP[[#This Row],[Investor ID]],SIP[[#This Row],[Investor ID]])</f>
        <v>0</v>
      </c>
    </row>
    <row r="114" spans="1:23" ht="15" customHeight="1">
      <c r="A114" s="8">
        <v>2025</v>
      </c>
      <c r="B114" s="8">
        <v>2</v>
      </c>
      <c r="C114" s="8">
        <v>26</v>
      </c>
      <c r="D114" s="39">
        <f>IFERROR(DATE(SIP[[#This Row],[Year]],SIP[[#This Row],[Month]],SIP[[#This Row],[Day]]),0)</f>
        <v>45714</v>
      </c>
      <c r="E114" s="40" t="str" cm="1">
        <f t="array" ref="E114">IFERROR(INDEX(INVESTORS_LIST[INVESTOR NAME],MATCH(SIP[[#This Row],[Investor ID]],INVESTORS_LIST[INVESTOR CODE],0),)," ")</f>
        <v>MRIDUL KUMAR DEY</v>
      </c>
      <c r="F114" s="15" t="s">
        <v>27</v>
      </c>
      <c r="G114" s="15">
        <f>COUNTIFS(SIP[[#Headers],[Investor ID]]:SIP[[#This Row],[Investor ID]],SIP[[#This Row],[Investor ID]])</f>
        <v>35</v>
      </c>
      <c r="H114" s="15" t="str">
        <f>CONCATENATE(SIP[[#This Row],[Frequency]],SIP[[#This Row],[Investor ID]])</f>
        <v>35A00020</v>
      </c>
      <c r="I114" s="15" t="str">
        <f>IF(SIP[[#This Row],[B/S]]="B","BUY",(IF(SIP[[#This Row],[B/S]]="S","SELL"," ")))</f>
        <v>BUY</v>
      </c>
      <c r="J114" s="15" t="s">
        <v>301</v>
      </c>
      <c r="K114" s="38">
        <v>5000</v>
      </c>
      <c r="L114" s="38"/>
      <c r="M114" s="176">
        <f>IFERROR(SIP[[#This Row],[Amount]]/SIP[[#This Row],[Unit]],0)</f>
        <v>10.548523206751055</v>
      </c>
      <c r="N114" s="42">
        <f>SIP[[#This Row],[Unit Capital]]/10</f>
        <v>474</v>
      </c>
      <c r="O114" s="50">
        <f>SUMIFS(SIP[[#Headers],[Unit]]:SIP[[#This Row],[Unit]],SIP[[#Headers],[Investor ID]]:SIP[[#This Row],[Investor ID]],SIP[[#This Row],[Investor ID]])</f>
        <v>17160</v>
      </c>
      <c r="P114" s="38">
        <v>4740</v>
      </c>
      <c r="Q114" s="41">
        <f>SIP[[#This Row],[Amount]]-SIP[[#This Row],[Unit Capital]]</f>
        <v>260</v>
      </c>
      <c r="R11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10.198135198135201</v>
      </c>
      <c r="S114" s="43">
        <f t="shared" si="17"/>
        <v>12.552</v>
      </c>
      <c r="T11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4" s="43" cm="1">
        <f t="array" ref="U114">IF(SIP[[#This Row],[B/S]]="S",ABS(SIP[[#This Row],[Unit]])*(INDEX(SIP[NAV at Cost (Average)],MATCH(CONCATENATE((SIP[[#This Row],[Frequency]]-1),SIP[[#This Row],[Investor ID]]),SIP[Unique Code],0),0)),0)</f>
        <v>0</v>
      </c>
      <c r="V114" s="43">
        <f>IF(SIP[[#This Row],[BO Transfer]]="YES",SIP[[#This Row],[Unit]],)</f>
        <v>0</v>
      </c>
      <c r="W114" s="41">
        <f>SUMIFS(SIP[[#Headers],[BO UNIT TRANSFER]]:SIP[[#This Row],[BO UNIT TRANSFER]],SIP[[#Headers],[Investor ID]]:SIP[[#This Row],[Investor ID]],SIP[[#This Row],[Investor ID]])</f>
        <v>0</v>
      </c>
    </row>
    <row r="115" spans="1:23" ht="15" customHeight="1">
      <c r="A115" s="8">
        <v>2025</v>
      </c>
      <c r="B115" s="8">
        <v>3</v>
      </c>
      <c r="C115" s="8">
        <v>26</v>
      </c>
      <c r="D115" s="39">
        <f>IFERROR(DATE(SIP[[#This Row],[Year]],SIP[[#This Row],[Month]],SIP[[#This Row],[Day]]),0)</f>
        <v>45742</v>
      </c>
      <c r="E115" s="40" t="str" cm="1">
        <f t="array" ref="E115">IFERROR(INDEX(INVESTORS_LIST[INVESTOR NAME],MATCH(SIP[[#This Row],[Investor ID]],INVESTORS_LIST[INVESTOR CODE],0),)," ")</f>
        <v>HUMAIRA TABASSUM READDHE</v>
      </c>
      <c r="F115" s="15" t="s">
        <v>1118</v>
      </c>
      <c r="G115" s="15">
        <f>COUNTIFS(SIP[[#Headers],[Investor ID]]:SIP[[#This Row],[Investor ID]],SIP[[#This Row],[Investor ID]])</f>
        <v>9</v>
      </c>
      <c r="H115" s="15" t="str">
        <f>CONCATENATE(SIP[[#This Row],[Frequency]],SIP[[#This Row],[Investor ID]])</f>
        <v>9A00503</v>
      </c>
      <c r="I115" s="15" t="str">
        <f>IF(SIP[[#This Row],[B/S]]="B","BUY",(IF(SIP[[#This Row],[B/S]]="S","SELL"," ")))</f>
        <v>BUY</v>
      </c>
      <c r="J115" s="15" t="s">
        <v>301</v>
      </c>
      <c r="K115" s="38">
        <v>2000</v>
      </c>
      <c r="L115" s="38"/>
      <c r="M115" s="176">
        <f>IFERROR(SIP[[#This Row],[Amount]]/SIP[[#This Row],[Unit]],0)</f>
        <v>10.526315789473685</v>
      </c>
      <c r="N115" s="42">
        <f>SIP[[#This Row],[Unit Capital]]/10</f>
        <v>190</v>
      </c>
      <c r="O115" s="50">
        <f>SUMIFS(SIP[[#Headers],[Unit]]:SIP[[#This Row],[Unit]],SIP[[#Headers],[Investor ID]]:SIP[[#This Row],[Investor ID]],SIP[[#This Row],[Investor ID]])</f>
        <v>751</v>
      </c>
      <c r="P115" s="38">
        <v>1900</v>
      </c>
      <c r="Q115" s="41">
        <f>SIP[[#This Row],[Amount]]-SIP[[#This Row],[Unit Capital]]</f>
        <v>100</v>
      </c>
      <c r="R11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10.652463382157125</v>
      </c>
      <c r="S115" s="43">
        <f t="shared" si="17"/>
        <v>12.552</v>
      </c>
      <c r="T11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5" s="43" cm="1">
        <f t="array" ref="U115">IF(SIP[[#This Row],[B/S]]="S",ABS(SIP[[#This Row],[Unit]])*(INDEX(SIP[NAV at Cost (Average)],MATCH(CONCATENATE((SIP[[#This Row],[Frequency]]-1),SIP[[#This Row],[Investor ID]]),SIP[Unique Code],0),0)),0)</f>
        <v>0</v>
      </c>
      <c r="V115" s="43">
        <f>IF(SIP[[#This Row],[BO Transfer]]="YES",SIP[[#This Row],[Unit]],)</f>
        <v>0</v>
      </c>
      <c r="W115" s="41">
        <f>SUMIFS(SIP[[#Headers],[BO UNIT TRANSFER]]:SIP[[#This Row],[BO UNIT TRANSFER]],SIP[[#Headers],[Investor ID]]:SIP[[#This Row],[Investor ID]],SIP[[#This Row],[Investor ID]])</f>
        <v>0</v>
      </c>
    </row>
    <row r="116" spans="1:23" ht="15" customHeight="1">
      <c r="A116" s="8">
        <v>2025</v>
      </c>
      <c r="B116" s="8">
        <v>3</v>
      </c>
      <c r="C116" s="8">
        <v>26</v>
      </c>
      <c r="D116" s="39">
        <f>IFERROR(DATE(SIP[[#This Row],[Year]],SIP[[#This Row],[Month]],SIP[[#This Row],[Day]]),0)</f>
        <v>45742</v>
      </c>
      <c r="E116" s="40" t="str" cm="1">
        <f t="array" ref="E116">IFERROR(INDEX(INVESTORS_LIST[INVESTOR NAME],MATCH(SIP[[#This Row],[Investor ID]],INVESTORS_LIST[INVESTOR CODE],0),)," ")</f>
        <v>MRIDUL KUMAR DEY</v>
      </c>
      <c r="F116" s="15" t="s">
        <v>27</v>
      </c>
      <c r="G116" s="15">
        <f>COUNTIFS(SIP[[#Headers],[Investor ID]]:SIP[[#This Row],[Investor ID]],SIP[[#This Row],[Investor ID]])</f>
        <v>36</v>
      </c>
      <c r="H116" s="15" t="str">
        <f>CONCATENATE(SIP[[#This Row],[Frequency]],SIP[[#This Row],[Investor ID]])</f>
        <v>36A00020</v>
      </c>
      <c r="I116" s="15" t="str">
        <f>IF(SIP[[#This Row],[B/S]]="B","BUY",(IF(SIP[[#This Row],[B/S]]="S","SELL"," ")))</f>
        <v>BUY</v>
      </c>
      <c r="J116" s="15" t="s">
        <v>301</v>
      </c>
      <c r="K116" s="38">
        <v>5000</v>
      </c>
      <c r="L116" s="38"/>
      <c r="M116" s="176">
        <f>IFERROR(SIP[[#This Row],[Amount]]/SIP[[#This Row],[Unit]],0)</f>
        <v>10.548523206751055</v>
      </c>
      <c r="N116" s="42">
        <f>SIP[[#This Row],[Unit Capital]]/10</f>
        <v>474</v>
      </c>
      <c r="O116" s="50">
        <f>SUMIFS(SIP[[#Headers],[Unit]]:SIP[[#This Row],[Unit]],SIP[[#Headers],[Investor ID]]:SIP[[#This Row],[Investor ID]],SIP[[#This Row],[Investor ID]])</f>
        <v>17634</v>
      </c>
      <c r="P116" s="38">
        <v>4740</v>
      </c>
      <c r="Q116" s="41">
        <f>SIP[[#This Row],[Amount]]-SIP[[#This Row],[Unit Capital]]</f>
        <v>260</v>
      </c>
      <c r="R11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10.207553589656349</v>
      </c>
      <c r="S116" s="43">
        <f t="shared" si="17"/>
        <v>12.552</v>
      </c>
      <c r="T11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6" s="43" cm="1">
        <f t="array" ref="U116">IF(SIP[[#This Row],[B/S]]="S",ABS(SIP[[#This Row],[Unit]])*(INDEX(SIP[NAV at Cost (Average)],MATCH(CONCATENATE((SIP[[#This Row],[Frequency]]-1),SIP[[#This Row],[Investor ID]]),SIP[Unique Code],0),0)),0)</f>
        <v>0</v>
      </c>
      <c r="V116" s="43">
        <f>IF(SIP[[#This Row],[BO Transfer]]="YES",SIP[[#This Row],[Unit]],)</f>
        <v>0</v>
      </c>
      <c r="W116" s="41">
        <f>SUMIFS(SIP[[#Headers],[BO UNIT TRANSFER]]:SIP[[#This Row],[BO UNIT TRANSFER]],SIP[[#Headers],[Investor ID]]:SIP[[#This Row],[Investor ID]],SIP[[#This Row],[Investor ID]])</f>
        <v>0</v>
      </c>
    </row>
    <row r="117" spans="1:23" ht="15" customHeight="1">
      <c r="A117" s="8">
        <v>2025</v>
      </c>
      <c r="B117" s="8">
        <v>4</v>
      </c>
      <c r="C117" s="8">
        <v>27</v>
      </c>
      <c r="D117" s="39">
        <f>IFERROR(DATE(SIP[[#This Row],[Year]],SIP[[#This Row],[Month]],SIP[[#This Row],[Day]]),0)</f>
        <v>45774</v>
      </c>
      <c r="E117" s="40" t="str" cm="1">
        <f t="array" ref="E117">IFERROR(INDEX(INVESTORS_LIST[INVESTOR NAME],MATCH(SIP[[#This Row],[Investor ID]],INVESTORS_LIST[INVESTOR CODE],0),)," ")</f>
        <v>HUMAIRA TABASSUM READDHE</v>
      </c>
      <c r="F117" s="15" t="s">
        <v>1118</v>
      </c>
      <c r="G117" s="15">
        <f>COUNTIFS(SIP[[#Headers],[Investor ID]]:SIP[[#This Row],[Investor ID]],SIP[[#This Row],[Investor ID]])</f>
        <v>10</v>
      </c>
      <c r="H117" s="15" t="str">
        <f>CONCATENATE(SIP[[#This Row],[Frequency]],SIP[[#This Row],[Investor ID]])</f>
        <v>10A00503</v>
      </c>
      <c r="I117" s="15" t="str">
        <f>IF(SIP[[#This Row],[B/S]]="B","BUY",(IF(SIP[[#This Row],[B/S]]="S","SELL"," ")))</f>
        <v>BUY</v>
      </c>
      <c r="J117" s="15" t="s">
        <v>301</v>
      </c>
      <c r="K117" s="38">
        <v>2000</v>
      </c>
      <c r="L117" s="38"/>
      <c r="M117" s="176">
        <f>IFERROR(SIP[[#This Row],[Amount]]/SIP[[#This Row],[Unit]],0)</f>
        <v>10.526315789473685</v>
      </c>
      <c r="N117" s="42">
        <f>SIP[[#This Row],[Unit Capital]]/10</f>
        <v>190</v>
      </c>
      <c r="O117" s="50">
        <f>SUMIFS(SIP[[#Headers],[Unit]]:SIP[[#This Row],[Unit]],SIP[[#Headers],[Investor ID]]:SIP[[#This Row],[Investor ID]],SIP[[#This Row],[Investor ID]])</f>
        <v>941</v>
      </c>
      <c r="P117" s="38">
        <v>1900</v>
      </c>
      <c r="Q117" s="41">
        <f>SIP[[#This Row],[Amount]]-SIP[[#This Row],[Unit Capital]]</f>
        <v>100</v>
      </c>
      <c r="R11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10.626992561105208</v>
      </c>
      <c r="S117" s="43">
        <f t="shared" si="17"/>
        <v>12.552</v>
      </c>
      <c r="T11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7" s="43" cm="1">
        <f t="array" ref="U117">IF(SIP[[#This Row],[B/S]]="S",ABS(SIP[[#This Row],[Unit]])*(INDEX(SIP[NAV at Cost (Average)],MATCH(CONCATENATE((SIP[[#This Row],[Frequency]]-1),SIP[[#This Row],[Investor ID]]),SIP[Unique Code],0),0)),0)</f>
        <v>0</v>
      </c>
      <c r="V117" s="43">
        <f>IF(SIP[[#This Row],[BO Transfer]]="YES",SIP[[#This Row],[Unit]],)</f>
        <v>0</v>
      </c>
      <c r="W117" s="41">
        <f>SUMIFS(SIP[[#Headers],[BO UNIT TRANSFER]]:SIP[[#This Row],[BO UNIT TRANSFER]],SIP[[#Headers],[Investor ID]]:SIP[[#This Row],[Investor ID]],SIP[[#This Row],[Investor ID]])</f>
        <v>0</v>
      </c>
    </row>
    <row r="118" spans="1:23" ht="15" customHeight="1">
      <c r="A118" s="8">
        <v>2025</v>
      </c>
      <c r="B118" s="8">
        <v>5</v>
      </c>
      <c r="C118" s="8">
        <v>26</v>
      </c>
      <c r="D118" s="39">
        <f>IFERROR(DATE(SIP[[#This Row],[Year]],SIP[[#This Row],[Month]],SIP[[#This Row],[Day]]),0)</f>
        <v>45803</v>
      </c>
      <c r="E118" s="40" t="str" cm="1">
        <f t="array" ref="E118">IFERROR(INDEX(INVESTORS_LIST[INVESTOR NAME],MATCH(SIP[[#This Row],[Investor ID]],INVESTORS_LIST[INVESTOR CODE],0),)," ")</f>
        <v>HUMAIRA TABASSUM READDHE</v>
      </c>
      <c r="F118" s="15" t="s">
        <v>1118</v>
      </c>
      <c r="G118" s="15">
        <f>COUNTIFS(SIP[[#Headers],[Investor ID]]:SIP[[#This Row],[Investor ID]],SIP[[#This Row],[Investor ID]])</f>
        <v>11</v>
      </c>
      <c r="H118" s="15" t="str">
        <f>CONCATENATE(SIP[[#This Row],[Frequency]],SIP[[#This Row],[Investor ID]])</f>
        <v>11A00503</v>
      </c>
      <c r="I118" s="15" t="str">
        <f>IF(SIP[[#This Row],[B/S]]="B","BUY",(IF(SIP[[#This Row],[B/S]]="S","SELL"," ")))</f>
        <v>BUY</v>
      </c>
      <c r="J118" s="15" t="s">
        <v>301</v>
      </c>
      <c r="K118" s="38">
        <v>2000</v>
      </c>
      <c r="L118" s="38"/>
      <c r="M118" s="176">
        <f>IFERROR(SIP[[#This Row],[Amount]]/SIP[[#This Row],[Unit]],0)</f>
        <v>10.526315789473685</v>
      </c>
      <c r="N118" s="42">
        <f>SIP[[#This Row],[Unit Capital]]/10</f>
        <v>190</v>
      </c>
      <c r="O118" s="50">
        <f>SUMIFS(SIP[[#Headers],[Unit]]:SIP[[#This Row],[Unit]],SIP[[#Headers],[Investor ID]]:SIP[[#This Row],[Investor ID]],SIP[[#This Row],[Investor ID]])</f>
        <v>1131</v>
      </c>
      <c r="P118" s="38">
        <v>1900</v>
      </c>
      <c r="Q118" s="41">
        <f>SIP[[#This Row],[Amount]]-SIP[[#This Row],[Unit Capital]]</f>
        <v>100</v>
      </c>
      <c r="R11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10.610079575596817</v>
      </c>
      <c r="S118" s="43">
        <f t="shared" si="17"/>
        <v>12.552</v>
      </c>
      <c r="T11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8" s="43" cm="1">
        <f t="array" ref="U118">IF(SIP[[#This Row],[B/S]]="S",ABS(SIP[[#This Row],[Unit]])*(INDEX(SIP[NAV at Cost (Average)],MATCH(CONCATENATE((SIP[[#This Row],[Frequency]]-1),SIP[[#This Row],[Investor ID]]),SIP[Unique Code],0),0)),0)</f>
        <v>0</v>
      </c>
      <c r="V118" s="43">
        <f>IF(SIP[[#This Row],[BO Transfer]]="YES",SIP[[#This Row],[Unit]],)</f>
        <v>0</v>
      </c>
      <c r="W118" s="41">
        <f>SUMIFS(SIP[[#Headers],[BO UNIT TRANSFER]]:SIP[[#This Row],[BO UNIT TRANSFER]],SIP[[#Headers],[Investor ID]]:SIP[[#This Row],[Investor ID]],SIP[[#This Row],[Investor ID]])</f>
        <v>0</v>
      </c>
    </row>
    <row r="119" spans="1:23" ht="15" customHeight="1">
      <c r="A119" s="8">
        <v>2025</v>
      </c>
      <c r="B119" s="8">
        <v>6</v>
      </c>
      <c r="C119" s="8">
        <v>26</v>
      </c>
      <c r="D119" s="39">
        <f>IFERROR(DATE(SIP[[#This Row],[Year]],SIP[[#This Row],[Month]],SIP[[#This Row],[Day]]),0)</f>
        <v>45834</v>
      </c>
      <c r="E119" s="40" t="str">
        <f t="array" ref="E119">IFERROR(INDEX(INVESTORS_LIST[INVESTOR NAME],MATCH(SIP[[#This Row],[Investor ID]],INVESTORS_LIST[INVESTOR CODE],0),)," ")</f>
        <v>HUMAIRA TABASSUM READDHE</v>
      </c>
      <c r="F119" s="15" t="s">
        <v>1118</v>
      </c>
      <c r="G119" s="15">
        <f>COUNTIFS(SIP[[#Headers],[Investor ID]]:SIP[[#This Row],[Investor ID]],SIP[[#This Row],[Investor ID]])</f>
        <v>12</v>
      </c>
      <c r="H119" s="15" t="str">
        <f>CONCATENATE(SIP[[#This Row],[Frequency]],SIP[[#This Row],[Investor ID]])</f>
        <v>12A00503</v>
      </c>
      <c r="I119" s="15" t="str">
        <f>IF(SIP[[#This Row],[B/S]]="B","BUY",(IF(SIP[[#This Row],[B/S]]="S","SELL"," ")))</f>
        <v>BUY</v>
      </c>
      <c r="J119" s="15" t="s">
        <v>301</v>
      </c>
      <c r="K119" s="38">
        <v>2000</v>
      </c>
      <c r="L119" s="38"/>
      <c r="M119" s="176">
        <f>IFERROR(SIP[[#This Row],[Amount]]/SIP[[#This Row],[Unit]],0)</f>
        <v>10.75268817204301</v>
      </c>
      <c r="N119" s="42">
        <f>SIP[[#This Row],[Unit Capital]]/10</f>
        <v>186</v>
      </c>
      <c r="O119" s="50">
        <f>SUMIFS(SIP[[#Headers],[Unit]]:SIP[[#This Row],[Unit]],SIP[[#Headers],[Investor ID]]:SIP[[#This Row],[Investor ID]],SIP[[#This Row],[Investor ID]])</f>
        <v>1317</v>
      </c>
      <c r="P119" s="38">
        <v>1860</v>
      </c>
      <c r="Q119" s="41">
        <f>SIP[[#This Row],[Amount]]-SIP[[#This Row],[Unit Capital]]</f>
        <v>140</v>
      </c>
      <c r="R11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10.630220197418375</v>
      </c>
      <c r="S119" s="43">
        <f t="shared" ref="S119:S124" si="18">NAV_MKT</f>
        <v>12.552</v>
      </c>
      <c r="T11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19" s="43">
        <f t="array" ref="U119">IF(SIP[[#This Row],[B/S]]="S",ABS(SIP[[#This Row],[Unit]])*(INDEX(SIP[NAV at Cost (Average)],MATCH(CONCATENATE((SIP[[#This Row],[Frequency]]-1),SIP[[#This Row],[Investor ID]]),SIP[Unique Code],0),0)),0)</f>
        <v>0</v>
      </c>
      <c r="V119" s="43">
        <f>IF(SIP[[#This Row],[BO Transfer]]="YES",SIP[[#This Row],[Unit]],)</f>
        <v>0</v>
      </c>
      <c r="W119" s="41">
        <f>SUMIFS(SIP[[#Headers],[BO UNIT TRANSFER]]:SIP[[#This Row],[BO UNIT TRANSFER]],SIP[[#Headers],[Investor ID]]:SIP[[#This Row],[Investor ID]],SIP[[#This Row],[Investor ID]])</f>
        <v>0</v>
      </c>
    </row>
    <row r="120" spans="1:23" ht="15" customHeight="1">
      <c r="A120" s="8">
        <v>2025</v>
      </c>
      <c r="B120" s="8">
        <v>6</v>
      </c>
      <c r="C120" s="8">
        <v>26</v>
      </c>
      <c r="D120" s="39">
        <f>IFERROR(DATE(SIP[[#This Row],[Year]],SIP[[#This Row],[Month]],SIP[[#This Row],[Day]]),0)</f>
        <v>45834</v>
      </c>
      <c r="E120" s="40" t="str">
        <f t="array" ref="E120">IFERROR(INDEX(INVESTORS_LIST[INVESTOR NAME],MATCH(SIP[[#This Row],[Investor ID]],INVESTORS_LIST[INVESTOR CODE],0),)," ")</f>
        <v>MD GOLAM SHAON</v>
      </c>
      <c r="F120" s="15" t="s">
        <v>1327</v>
      </c>
      <c r="G120" s="15">
        <f>COUNTIFS(SIP[[#Headers],[Investor ID]]:SIP[[#This Row],[Investor ID]],SIP[[#This Row],[Investor ID]])</f>
        <v>1</v>
      </c>
      <c r="H120" s="15" t="str">
        <f>CONCATENATE(SIP[[#This Row],[Frequency]],SIP[[#This Row],[Investor ID]])</f>
        <v>1A00567</v>
      </c>
      <c r="I120" s="15" t="str">
        <f>IF(SIP[[#This Row],[B/S]]="B","BUY",(IF(SIP[[#This Row],[B/S]]="S","SELL"," ")))</f>
        <v>BUY</v>
      </c>
      <c r="J120" s="15" t="s">
        <v>301</v>
      </c>
      <c r="K120" s="38">
        <v>10000</v>
      </c>
      <c r="L120" s="38"/>
      <c r="M120" s="176">
        <f>IFERROR(SIP[[#This Row],[Amount]]/SIP[[#This Row],[Unit]],0)</f>
        <v>10.741138560687434</v>
      </c>
      <c r="N120" s="42">
        <f>SIP[[#This Row],[Unit Capital]]/10</f>
        <v>931</v>
      </c>
      <c r="O120" s="50">
        <f>SUMIFS(SIP[[#Headers],[Unit]]:SIP[[#This Row],[Unit]],SIP[[#Headers],[Investor ID]]:SIP[[#This Row],[Investor ID]],SIP[[#This Row],[Investor ID]])</f>
        <v>931</v>
      </c>
      <c r="P120" s="38">
        <v>9310</v>
      </c>
      <c r="Q120" s="41">
        <f>SIP[[#This Row],[Amount]]-SIP[[#This Row],[Unit Capital]]</f>
        <v>690</v>
      </c>
      <c r="R12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10.741138560687434</v>
      </c>
      <c r="S120" s="43">
        <f t="shared" si="18"/>
        <v>12.552</v>
      </c>
      <c r="T12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0" s="43">
        <f t="array" ref="U120">IF(SIP[[#This Row],[B/S]]="S",ABS(SIP[[#This Row],[Unit]])*(INDEX(SIP[NAV at Cost (Average)],MATCH(CONCATENATE((SIP[[#This Row],[Frequency]]-1),SIP[[#This Row],[Investor ID]]),SIP[Unique Code],0),0)),0)</f>
        <v>0</v>
      </c>
      <c r="V120" s="43">
        <f>IF(SIP[[#This Row],[BO Transfer]]="YES",SIP[[#This Row],[Unit]],)</f>
        <v>0</v>
      </c>
      <c r="W120" s="41">
        <f>SUMIFS(SIP[[#Headers],[BO UNIT TRANSFER]]:SIP[[#This Row],[BO UNIT TRANSFER]],SIP[[#Headers],[Investor ID]]:SIP[[#This Row],[Investor ID]],SIP[[#This Row],[Investor ID]])</f>
        <v>0</v>
      </c>
    </row>
    <row r="121" spans="1:23" ht="15" customHeight="1">
      <c r="A121" s="8">
        <v>2025</v>
      </c>
      <c r="B121" s="8">
        <v>7</v>
      </c>
      <c r="C121" s="8">
        <v>27</v>
      </c>
      <c r="D121" s="39">
        <f>IFERROR(DATE(SIP[[#This Row],[Year]],SIP[[#This Row],[Month]],SIP[[#This Row],[Day]]),0)</f>
        <v>45865</v>
      </c>
      <c r="E121" s="40" t="str" cm="1">
        <f t="array" ref="E121">IFERROR(INDEX(INVESTORS_LIST[INVESTOR NAME],MATCH(SIP[[#This Row],[Investor ID]],INVESTORS_LIST[INVESTOR CODE],0),)," ")</f>
        <v>HUMAIRA TABASSUM READDHE</v>
      </c>
      <c r="F121" s="15" t="s">
        <v>1118</v>
      </c>
      <c r="G121" s="15">
        <f>COUNTIFS(SIP[[#Headers],[Investor ID]]:SIP[[#This Row],[Investor ID]],SIP[[#This Row],[Investor ID]])</f>
        <v>13</v>
      </c>
      <c r="H121" s="15" t="str">
        <f>CONCATENATE(SIP[[#This Row],[Frequency]],SIP[[#This Row],[Investor ID]])</f>
        <v>13A00503</v>
      </c>
      <c r="I121" s="15" t="str">
        <f>IF(SIP[[#This Row],[B/S]]="B","BUY",(IF(SIP[[#This Row],[B/S]]="S","SELL"," ")))</f>
        <v>BUY</v>
      </c>
      <c r="J121" s="15" t="s">
        <v>301</v>
      </c>
      <c r="K121" s="38">
        <v>2000</v>
      </c>
      <c r="L121" s="38"/>
      <c r="M121" s="176">
        <f>IFERROR(SIP[[#This Row],[Amount]]/SIP[[#This Row],[Unit]],0)</f>
        <v>11.834319526627219</v>
      </c>
      <c r="N121" s="42">
        <f>SIP[[#This Row],[Unit Capital]]/10</f>
        <v>169</v>
      </c>
      <c r="O121" s="50">
        <f>SUMIFS(SIP[[#Headers],[Unit]]:SIP[[#This Row],[Unit]],SIP[[#Headers],[Investor ID]]:SIP[[#This Row],[Investor ID]],SIP[[#This Row],[Investor ID]])</f>
        <v>1486</v>
      </c>
      <c r="P121" s="38">
        <v>1690</v>
      </c>
      <c r="Q121" s="41">
        <f>SIP[[#This Row],[Amount]]-SIP[[#This Row],[Unit Capital]]</f>
        <v>310</v>
      </c>
      <c r="R12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10.767160161507404</v>
      </c>
      <c r="S121" s="43">
        <f t="shared" si="18"/>
        <v>12.552</v>
      </c>
      <c r="T12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1" s="43" cm="1">
        <f t="array" ref="U121">IF(SIP[[#This Row],[B/S]]="S",ABS(SIP[[#This Row],[Unit]])*(INDEX(SIP[NAV at Cost (Average)],MATCH(CONCATENATE((SIP[[#This Row],[Frequency]]-1),SIP[[#This Row],[Investor ID]]),SIP[Unique Code],0),0)),0)</f>
        <v>0</v>
      </c>
      <c r="V121" s="43">
        <f>IF(SIP[[#This Row],[BO Transfer]]="YES",SIP[[#This Row],[Unit]],)</f>
        <v>0</v>
      </c>
      <c r="W121" s="41">
        <f>SUMIFS(SIP[[#Headers],[BO UNIT TRANSFER]]:SIP[[#This Row],[BO UNIT TRANSFER]],SIP[[#Headers],[Investor ID]]:SIP[[#This Row],[Investor ID]],SIP[[#This Row],[Investor ID]])</f>
        <v>0</v>
      </c>
    </row>
    <row r="122" spans="1:23" ht="15" customHeight="1">
      <c r="A122" s="8">
        <v>2025</v>
      </c>
      <c r="B122" s="8">
        <v>7</v>
      </c>
      <c r="C122" s="8">
        <v>27</v>
      </c>
      <c r="D122" s="39">
        <f>IFERROR(DATE(SIP[[#This Row],[Year]],SIP[[#This Row],[Month]],SIP[[#This Row],[Day]]),0)</f>
        <v>45865</v>
      </c>
      <c r="E122" s="40" t="str" cm="1">
        <f t="array" ref="E122">IFERROR(INDEX(INVESTORS_LIST[INVESTOR NAME],MATCH(SIP[[#This Row],[Investor ID]],INVESTORS_LIST[INVESTOR CODE],0),)," ")</f>
        <v>MD GOLAM SHAON</v>
      </c>
      <c r="F122" s="15" t="s">
        <v>1327</v>
      </c>
      <c r="G122" s="15">
        <f>COUNTIFS(SIP[[#Headers],[Investor ID]]:SIP[[#This Row],[Investor ID]],SIP[[#This Row],[Investor ID]])</f>
        <v>2</v>
      </c>
      <c r="H122" s="15" t="str">
        <f>CONCATENATE(SIP[[#This Row],[Frequency]],SIP[[#This Row],[Investor ID]])</f>
        <v>2A00567</v>
      </c>
      <c r="I122" s="15" t="str">
        <f>IF(SIP[[#This Row],[B/S]]="B","BUY",(IF(SIP[[#This Row],[B/S]]="S","SELL"," ")))</f>
        <v>BUY</v>
      </c>
      <c r="J122" s="15" t="s">
        <v>301</v>
      </c>
      <c r="K122" s="38">
        <v>10000</v>
      </c>
      <c r="L122" s="38" t="s">
        <v>957</v>
      </c>
      <c r="M122" s="176">
        <f>IFERROR(SIP[[#This Row],[Amount]]/SIP[[#This Row],[Unit]],0)</f>
        <v>11.862396204033216</v>
      </c>
      <c r="N122" s="42">
        <f>SIP[[#This Row],[Unit Capital]]/10</f>
        <v>843</v>
      </c>
      <c r="O122" s="50">
        <f>SUMIFS(SIP[[#Headers],[Unit]]:SIP[[#This Row],[Unit]],SIP[[#Headers],[Investor ID]]:SIP[[#This Row],[Investor ID]],SIP[[#This Row],[Investor ID]])</f>
        <v>1774</v>
      </c>
      <c r="P122" s="38">
        <v>8430</v>
      </c>
      <c r="Q122" s="41">
        <f>SIP[[#This Row],[Amount]]-SIP[[#This Row],[Unit Capital]]</f>
        <v>1570</v>
      </c>
      <c r="R12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11.273957158962796</v>
      </c>
      <c r="S122" s="43">
        <f t="shared" si="18"/>
        <v>12.552</v>
      </c>
      <c r="T12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2" s="43" cm="1">
        <f t="array" ref="U122">IF(SIP[[#This Row],[B/S]]="S",ABS(SIP[[#This Row],[Unit]])*(INDEX(SIP[NAV at Cost (Average)],MATCH(CONCATENATE((SIP[[#This Row],[Frequency]]-1),SIP[[#This Row],[Investor ID]]),SIP[Unique Code],0),0)),0)</f>
        <v>0</v>
      </c>
      <c r="V122" s="43">
        <f>IF(SIP[[#This Row],[BO Transfer]]="YES",SIP[[#This Row],[Unit]],)</f>
        <v>843</v>
      </c>
      <c r="W122" s="41">
        <f>SUMIFS(SIP[[#Headers],[BO UNIT TRANSFER]]:SIP[[#This Row],[BO UNIT TRANSFER]],SIP[[#Headers],[Investor ID]]:SIP[[#This Row],[Investor ID]],SIP[[#This Row],[Investor ID]])</f>
        <v>843</v>
      </c>
    </row>
    <row r="123" spans="1:23" ht="15" customHeight="1">
      <c r="A123" s="8">
        <v>2025</v>
      </c>
      <c r="B123" s="8">
        <v>7</v>
      </c>
      <c r="C123" s="8">
        <v>29</v>
      </c>
      <c r="D123" s="39">
        <f>IFERROR(DATE(SIP[[#This Row],[Year]],SIP[[#This Row],[Month]],SIP[[#This Row],[Day]]),0)</f>
        <v>45867</v>
      </c>
      <c r="E123" s="40" t="str" cm="1">
        <f t="array" ref="E123">IFERROR(INDEX(INVESTORS_LIST[INVESTOR NAME],MATCH(SIP[[#This Row],[Investor ID]],INVESTORS_LIST[INVESTOR CODE],0),)," ")</f>
        <v>MRIDUL KUMAR DEY</v>
      </c>
      <c r="F123" s="15" t="s">
        <v>27</v>
      </c>
      <c r="G123" s="15">
        <f>COUNTIFS(SIP[[#Headers],[Investor ID]]:SIP[[#This Row],[Investor ID]],SIP[[#This Row],[Investor ID]])</f>
        <v>37</v>
      </c>
      <c r="H123" s="15" t="str">
        <f>CONCATENATE(SIP[[#This Row],[Frequency]],SIP[[#This Row],[Investor ID]])</f>
        <v>37A00020</v>
      </c>
      <c r="I123" s="15" t="str">
        <f>IF(SIP[[#This Row],[B/S]]="B","BUY",(IF(SIP[[#This Row],[B/S]]="S","SELL"," ")))</f>
        <v>SELL</v>
      </c>
      <c r="J123" s="15" t="s">
        <v>866</v>
      </c>
      <c r="K123" s="38">
        <v>-188840.68</v>
      </c>
      <c r="L123" s="38"/>
      <c r="M123" s="176">
        <f>IFERROR(SIP[[#This Row],[Amount]]/SIP[[#This Row],[Unit]],0)</f>
        <v>11.858872142677718</v>
      </c>
      <c r="N123" s="42">
        <f>SIP[[#This Row],[Unit Capital]]/10</f>
        <v>-15924</v>
      </c>
      <c r="O123" s="50">
        <f>SUMIFS(SIP[[#Headers],[Unit]]:SIP[[#This Row],[Unit]],SIP[[#Headers],[Investor ID]]:SIP[[#This Row],[Investor ID]],SIP[[#This Row],[Investor ID]])</f>
        <v>1710</v>
      </c>
      <c r="P123" s="38">
        <v>-159240</v>
      </c>
      <c r="Q123" s="41">
        <f>SIP[[#This Row],[Amount]]-SIP[[#This Row],[Unit Capital]]</f>
        <v>-29600.679999999993</v>
      </c>
      <c r="R12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10.207553589656349</v>
      </c>
      <c r="S123" s="43">
        <f t="shared" si="18"/>
        <v>12.552</v>
      </c>
      <c r="T123" s="41">
        <f>IF(SIP[[#This Row],[B/S]]="B",0,ABS(SIP[[#This Row],[Unit]])*(SIP[[#This Row],[NAV (Strike Rate)]]-INDEX(SIP[NAV at Cost (Average)],MATCH(CONCATENATE(SIP[[#This Row],[Frequency]]-1,SIP[[#This Row],[Investor ID]]),SIP[Unique Code],0),)))</f>
        <v>26295.59663831228</v>
      </c>
      <c r="U123" s="43" cm="1">
        <f t="array" ref="U123">IF(SIP[[#This Row],[B/S]]="S",ABS(SIP[[#This Row],[Unit]])*(INDEX(SIP[NAV at Cost (Average)],MATCH(CONCATENATE((SIP[[#This Row],[Frequency]]-1),SIP[[#This Row],[Investor ID]]),SIP[Unique Code],0),0)),0)</f>
        <v>162545.08336168772</v>
      </c>
      <c r="V123" s="43">
        <f>IF(SIP[[#This Row],[BO Transfer]]="YES",SIP[[#This Row],[Unit]],)</f>
        <v>0</v>
      </c>
      <c r="W123" s="41">
        <f>SUMIFS(SIP[[#Headers],[BO UNIT TRANSFER]]:SIP[[#This Row],[BO UNIT TRANSFER]],SIP[[#Headers],[Investor ID]]:SIP[[#This Row],[Investor ID]],SIP[[#This Row],[Investor ID]])</f>
        <v>0</v>
      </c>
    </row>
    <row r="124" spans="1:23" ht="15" customHeight="1">
      <c r="A124" s="8">
        <v>2025</v>
      </c>
      <c r="B124" s="8">
        <v>8</v>
      </c>
      <c r="C124" s="8">
        <v>7</v>
      </c>
      <c r="D124" s="39">
        <f>IFERROR(DATE(SIP[[#This Row],[Year]],SIP[[#This Row],[Month]],SIP[[#This Row],[Day]]),0)</f>
        <v>45876</v>
      </c>
      <c r="E124" s="40" t="str" cm="1">
        <f t="array" ref="E124">IFERROR(INDEX(INVESTORS_LIST[INVESTOR NAME],MATCH(SIP[[#This Row],[Investor ID]],INVESTORS_LIST[INVESTOR CODE],0),)," ")</f>
        <v>SK FEROZ ALAM</v>
      </c>
      <c r="F124" s="15" t="s">
        <v>110</v>
      </c>
      <c r="G124" s="15">
        <f>COUNTIFS(SIP[[#Headers],[Investor ID]]:SIP[[#This Row],[Investor ID]],SIP[[#This Row],[Investor ID]])</f>
        <v>1</v>
      </c>
      <c r="H124" s="15" t="str">
        <f>CONCATENATE(SIP[[#This Row],[Frequency]],SIP[[#This Row],[Investor ID]])</f>
        <v>1A00096</v>
      </c>
      <c r="I124" s="15" t="str">
        <f>IF(SIP[[#This Row],[B/S]]="B","BUY",(IF(SIP[[#This Row],[B/S]]="S","SELL"," ")))</f>
        <v>BUY</v>
      </c>
      <c r="J124" s="15" t="s">
        <v>301</v>
      </c>
      <c r="K124" s="38">
        <v>1000</v>
      </c>
      <c r="L124" s="38"/>
      <c r="M124" s="176">
        <f>IFERROR(SIP[[#This Row],[Amount]]/SIP[[#This Row],[Unit]],0)</f>
        <v>12.048192771084338</v>
      </c>
      <c r="N124" s="42">
        <f>SIP[[#This Row],[Unit Capital]]/10</f>
        <v>83</v>
      </c>
      <c r="O124" s="50">
        <f>SUMIFS(SIP[[#Headers],[Unit]]:SIP[[#This Row],[Unit]],SIP[[#Headers],[Investor ID]]:SIP[[#This Row],[Investor ID]],SIP[[#This Row],[Investor ID]])</f>
        <v>83</v>
      </c>
      <c r="P124" s="38">
        <v>830</v>
      </c>
      <c r="Q124" s="41">
        <f>SIP[[#This Row],[Amount]]-SIP[[#This Row],[Unit Capital]]</f>
        <v>170</v>
      </c>
      <c r="R12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12.048192771084338</v>
      </c>
      <c r="S124" s="43">
        <f t="shared" si="18"/>
        <v>12.552</v>
      </c>
      <c r="T12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4" s="43" cm="1">
        <f t="array" ref="U124">IF(SIP[[#This Row],[B/S]]="S",ABS(SIP[[#This Row],[Unit]])*(INDEX(SIP[NAV at Cost (Average)],MATCH(CONCATENATE((SIP[[#This Row],[Frequency]]-1),SIP[[#This Row],[Investor ID]]),SIP[Unique Code],0),0)),0)</f>
        <v>0</v>
      </c>
      <c r="V124" s="43">
        <f>IF(SIP[[#This Row],[BO Transfer]]="YES",SIP[[#This Row],[Unit]],)</f>
        <v>0</v>
      </c>
      <c r="W124" s="41">
        <f>SUMIFS(SIP[[#Headers],[BO UNIT TRANSFER]]:SIP[[#This Row],[BO UNIT TRANSFER]],SIP[[#Headers],[Investor ID]]:SIP[[#This Row],[Investor ID]],SIP[[#This Row],[Investor ID]])</f>
        <v>0</v>
      </c>
    </row>
    <row r="125" spans="1:23" ht="15" customHeight="1">
      <c r="A125" s="8">
        <v>2025</v>
      </c>
      <c r="B125" s="8">
        <v>8</v>
      </c>
      <c r="C125" s="8">
        <v>26</v>
      </c>
      <c r="D125" s="39">
        <f>IFERROR(DATE(SIP[[#This Row],[Year]],SIP[[#This Row],[Month]],SIP[[#This Row],[Day]]),0)</f>
        <v>45895</v>
      </c>
      <c r="E125" s="40" t="str" cm="1">
        <f t="array" ref="E125">IFERROR(INDEX(INVESTORS_LIST[INVESTOR NAME],MATCH(SIP[[#This Row],[Investor ID]],INVESTORS_LIST[INVESTOR CODE],0),)," ")</f>
        <v>HUMAIRA TABASSUM READDHE</v>
      </c>
      <c r="F125" s="15" t="s">
        <v>1118</v>
      </c>
      <c r="G125" s="15">
        <f>COUNTIFS(SIP[[#Headers],[Investor ID]]:SIP[[#This Row],[Investor ID]],SIP[[#This Row],[Investor ID]])</f>
        <v>14</v>
      </c>
      <c r="H125" s="15" t="str">
        <f>CONCATENATE(SIP[[#This Row],[Frequency]],SIP[[#This Row],[Investor ID]])</f>
        <v>14A00503</v>
      </c>
      <c r="I125" s="15" t="str">
        <f>IF(SIP[[#This Row],[B/S]]="B","BUY",(IF(SIP[[#This Row],[B/S]]="S","SELL"," ")))</f>
        <v>BUY</v>
      </c>
      <c r="J125" s="15" t="s">
        <v>301</v>
      </c>
      <c r="K125" s="38">
        <v>2000</v>
      </c>
      <c r="L125" s="38"/>
      <c r="M125" s="176">
        <f>IFERROR(SIP[[#This Row],[Amount]]/SIP[[#This Row],[Unit]],0)</f>
        <v>12.121212121212121</v>
      </c>
      <c r="N125" s="42">
        <f>SIP[[#This Row],[Unit Capital]]/10</f>
        <v>165</v>
      </c>
      <c r="O125" s="50">
        <f>SUMIFS(SIP[[#Headers],[Unit]]:SIP[[#This Row],[Unit]],SIP[[#Headers],[Investor ID]]:SIP[[#This Row],[Investor ID]],SIP[[#This Row],[Investor ID]])</f>
        <v>1651</v>
      </c>
      <c r="P125" s="38">
        <v>1650</v>
      </c>
      <c r="Q125" s="41">
        <f>SIP[[#This Row],[Amount]]-SIP[[#This Row],[Unit Capital]]</f>
        <v>350</v>
      </c>
      <c r="R12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10.902483343428226</v>
      </c>
      <c r="S125" s="43">
        <f t="shared" ref="S125:S131" si="19">NAV_MKT</f>
        <v>12.552</v>
      </c>
      <c r="T12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5" s="43" cm="1">
        <f t="array" ref="U125">IF(SIP[[#This Row],[B/S]]="S",ABS(SIP[[#This Row],[Unit]])*(INDEX(SIP[NAV at Cost (Average)],MATCH(CONCATENATE((SIP[[#This Row],[Frequency]]-1),SIP[[#This Row],[Investor ID]]),SIP[Unique Code],0),0)),0)</f>
        <v>0</v>
      </c>
      <c r="V125" s="43">
        <f>IF(SIP[[#This Row],[BO Transfer]]="YES",SIP[[#This Row],[Unit]],)</f>
        <v>0</v>
      </c>
      <c r="W125" s="41">
        <f>SUMIFS(SIP[[#Headers],[BO UNIT TRANSFER]]:SIP[[#This Row],[BO UNIT TRANSFER]],SIP[[#Headers],[Investor ID]]:SIP[[#This Row],[Investor ID]],SIP[[#This Row],[Investor ID]])</f>
        <v>0</v>
      </c>
    </row>
    <row r="126" spans="1:23" ht="15" customHeight="1">
      <c r="A126" s="8">
        <v>2025</v>
      </c>
      <c r="B126" s="8">
        <v>8</v>
      </c>
      <c r="C126" s="8">
        <v>26</v>
      </c>
      <c r="D126" s="39">
        <f>IFERROR(DATE(SIP[[#This Row],[Year]],SIP[[#This Row],[Month]],SIP[[#This Row],[Day]]),0)</f>
        <v>45895</v>
      </c>
      <c r="E126" s="40" t="str" cm="1">
        <f t="array" ref="E126">IFERROR(INDEX(INVESTORS_LIST[INVESTOR NAME],MATCH(SIP[[#This Row],[Investor ID]],INVESTORS_LIST[INVESTOR CODE],0),)," ")</f>
        <v>MD GOLAM SHAON</v>
      </c>
      <c r="F126" s="15" t="s">
        <v>1327</v>
      </c>
      <c r="G126" s="15">
        <f>COUNTIFS(SIP[[#Headers],[Investor ID]]:SIP[[#This Row],[Investor ID]],SIP[[#This Row],[Investor ID]])</f>
        <v>3</v>
      </c>
      <c r="H126" s="15" t="str">
        <f>CONCATENATE(SIP[[#This Row],[Frequency]],SIP[[#This Row],[Investor ID]])</f>
        <v>3A00567</v>
      </c>
      <c r="I126" s="15" t="str">
        <f>IF(SIP[[#This Row],[B/S]]="B","BUY",(IF(SIP[[#This Row],[B/S]]="S","SELL"," ")))</f>
        <v>BUY</v>
      </c>
      <c r="J126" s="15" t="s">
        <v>301</v>
      </c>
      <c r="K126" s="38">
        <v>10000</v>
      </c>
      <c r="L126" s="38" t="s">
        <v>957</v>
      </c>
      <c r="M126" s="176">
        <f>IFERROR(SIP[[#This Row],[Amount]]/SIP[[#This Row],[Unit]],0)</f>
        <v>12.135922330097088</v>
      </c>
      <c r="N126" s="42">
        <f>SIP[[#This Row],[Unit Capital]]/10</f>
        <v>824</v>
      </c>
      <c r="O126" s="50">
        <f>SUMIFS(SIP[[#Headers],[Unit]]:SIP[[#This Row],[Unit]],SIP[[#Headers],[Investor ID]]:SIP[[#This Row],[Investor ID]],SIP[[#This Row],[Investor ID]])</f>
        <v>2598</v>
      </c>
      <c r="P126" s="38">
        <v>8240</v>
      </c>
      <c r="Q126" s="41">
        <f>SIP[[#This Row],[Amount]]-SIP[[#This Row],[Unit Capital]]</f>
        <v>1760</v>
      </c>
      <c r="R12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11.547344110854503</v>
      </c>
      <c r="S126" s="43">
        <f t="shared" si="19"/>
        <v>12.552</v>
      </c>
      <c r="T12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6" s="43" cm="1">
        <f t="array" ref="U126">IF(SIP[[#This Row],[B/S]]="S",ABS(SIP[[#This Row],[Unit]])*(INDEX(SIP[NAV at Cost (Average)],MATCH(CONCATENATE((SIP[[#This Row],[Frequency]]-1),SIP[[#This Row],[Investor ID]]),SIP[Unique Code],0),0)),0)</f>
        <v>0</v>
      </c>
      <c r="V126" s="43">
        <f>IF(SIP[[#This Row],[BO Transfer]]="YES",SIP[[#This Row],[Unit]],)</f>
        <v>824</v>
      </c>
      <c r="W126" s="41">
        <f>SUMIFS(SIP[[#Headers],[BO UNIT TRANSFER]]:SIP[[#This Row],[BO UNIT TRANSFER]],SIP[[#Headers],[Investor ID]]:SIP[[#This Row],[Investor ID]],SIP[[#This Row],[Investor ID]])</f>
        <v>1667</v>
      </c>
    </row>
    <row r="127" spans="1:23" ht="15" customHeight="1">
      <c r="A127" s="8">
        <v>2025</v>
      </c>
      <c r="B127" s="8">
        <v>9</v>
      </c>
      <c r="C127" s="8">
        <v>7</v>
      </c>
      <c r="D127" s="39">
        <f>IFERROR(DATE(SIP[[#This Row],[Year]],SIP[[#This Row],[Month]],SIP[[#This Row],[Day]]),0)</f>
        <v>45907</v>
      </c>
      <c r="E127" s="40" t="str" cm="1">
        <f t="array" ref="E127">IFERROR(INDEX(INVESTORS_LIST[INVESTOR NAME],MATCH(SIP[[#This Row],[Investor ID]],INVESTORS_LIST[INVESTOR CODE],0),)," ")</f>
        <v>SK FEROZ ALAM</v>
      </c>
      <c r="F127" s="15" t="s">
        <v>110</v>
      </c>
      <c r="G127" s="15">
        <f>COUNTIFS(SIP[[#Headers],[Investor ID]]:SIP[[#This Row],[Investor ID]],SIP[[#This Row],[Investor ID]])</f>
        <v>2</v>
      </c>
      <c r="H127" s="15" t="str">
        <f>CONCATENATE(SIP[[#This Row],[Frequency]],SIP[[#This Row],[Investor ID]])</f>
        <v>2A00096</v>
      </c>
      <c r="I127" s="15" t="str">
        <f>IF(SIP[[#This Row],[B/S]]="B","BUY",(IF(SIP[[#This Row],[B/S]]="S","SELL"," ")))</f>
        <v>BUY</v>
      </c>
      <c r="J127" s="15" t="s">
        <v>301</v>
      </c>
      <c r="K127" s="38">
        <v>1000</v>
      </c>
      <c r="L127" s="38"/>
      <c r="M127" s="176">
        <f>IFERROR(SIP[[#This Row],[Amount]]/SIP[[#This Row],[Unit]],0)</f>
        <v>12.5</v>
      </c>
      <c r="N127" s="42">
        <f>SIP[[#This Row],[Unit Capital]]/10</f>
        <v>80</v>
      </c>
      <c r="O127" s="50">
        <f>SUMIFS(SIP[[#Headers],[Unit]]:SIP[[#This Row],[Unit]],SIP[[#Headers],[Investor ID]]:SIP[[#This Row],[Investor ID]],SIP[[#This Row],[Investor ID]])</f>
        <v>163</v>
      </c>
      <c r="P127" s="38">
        <v>800</v>
      </c>
      <c r="Q127" s="41">
        <f>SIP[[#This Row],[Amount]]-SIP[[#This Row],[Unit Capital]]</f>
        <v>200</v>
      </c>
      <c r="R12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12.269938650306749</v>
      </c>
      <c r="S127" s="43">
        <f t="shared" si="19"/>
        <v>12.552</v>
      </c>
      <c r="T12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7" s="43" cm="1">
        <f t="array" ref="U127">IF(SIP[[#This Row],[B/S]]="S",ABS(SIP[[#This Row],[Unit]])*(INDEX(SIP[NAV at Cost (Average)],MATCH(CONCATENATE((SIP[[#This Row],[Frequency]]-1),SIP[[#This Row],[Investor ID]]),SIP[Unique Code],0),0)),0)</f>
        <v>0</v>
      </c>
      <c r="V127" s="43">
        <f>IF(SIP[[#This Row],[BO Transfer]]="YES",SIP[[#This Row],[Unit]],)</f>
        <v>0</v>
      </c>
      <c r="W127" s="41">
        <f>SUMIFS(SIP[[#Headers],[BO UNIT TRANSFER]]:SIP[[#This Row],[BO UNIT TRANSFER]],SIP[[#Headers],[Investor ID]]:SIP[[#This Row],[Investor ID]],SIP[[#This Row],[Investor ID]])</f>
        <v>0</v>
      </c>
    </row>
    <row r="128" spans="1:23" ht="15" customHeight="1">
      <c r="A128" s="8">
        <v>2025</v>
      </c>
      <c r="B128" s="8">
        <v>9</v>
      </c>
      <c r="C128" s="8">
        <v>28</v>
      </c>
      <c r="D128" s="39">
        <f>IFERROR(DATE(SIP[[#This Row],[Year]],SIP[[#This Row],[Month]],SIP[[#This Row],[Day]]),0)</f>
        <v>45928</v>
      </c>
      <c r="E128" s="40" t="str" cm="1">
        <f t="array" ref="E128">IFERROR(INDEX(INVESTORS_LIST[INVESTOR NAME],MATCH(SIP[[#This Row],[Investor ID]],INVESTORS_LIST[INVESTOR CODE],0),)," ")</f>
        <v>MD GOLAM SHAON</v>
      </c>
      <c r="F128" s="15" t="s">
        <v>1327</v>
      </c>
      <c r="G128" s="15">
        <f>COUNTIFS(SIP[[#Headers],[Investor ID]]:SIP[[#This Row],[Investor ID]],SIP[[#This Row],[Investor ID]])</f>
        <v>4</v>
      </c>
      <c r="H128" s="15" t="str">
        <f>CONCATENATE(SIP[[#This Row],[Frequency]],SIP[[#This Row],[Investor ID]])</f>
        <v>4A00567</v>
      </c>
      <c r="I128" s="15" t="str">
        <f>IF(SIP[[#This Row],[B/S]]="B","BUY",(IF(SIP[[#This Row],[B/S]]="S","SELL"," ")))</f>
        <v>BUY</v>
      </c>
      <c r="J128" s="15" t="s">
        <v>301</v>
      </c>
      <c r="K128" s="38">
        <v>10000</v>
      </c>
      <c r="L128" s="38" t="s">
        <v>957</v>
      </c>
      <c r="M128" s="176">
        <f>IFERROR(SIP[[#This Row],[Amount]]/SIP[[#This Row],[Unit]],0)</f>
        <v>12.150668286755771</v>
      </c>
      <c r="N128" s="42">
        <f>SIP[[#This Row],[Unit Capital]]/10</f>
        <v>823</v>
      </c>
      <c r="O128" s="50">
        <f>SUMIFS(SIP[[#Headers],[Unit]]:SIP[[#This Row],[Unit]],SIP[[#Headers],[Investor ID]]:SIP[[#This Row],[Investor ID]],SIP[[#This Row],[Investor ID]])</f>
        <v>3421</v>
      </c>
      <c r="P128" s="38">
        <v>8230</v>
      </c>
      <c r="Q128" s="41">
        <f>SIP[[#This Row],[Amount]]-SIP[[#This Row],[Unit Capital]]</f>
        <v>1770</v>
      </c>
      <c r="R12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11.692487576731949</v>
      </c>
      <c r="S128" s="43">
        <f t="shared" si="19"/>
        <v>12.552</v>
      </c>
      <c r="T12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8" s="43" cm="1">
        <f t="array" ref="U128">IF(SIP[[#This Row],[B/S]]="S",ABS(SIP[[#This Row],[Unit]])*(INDEX(SIP[NAV at Cost (Average)],MATCH(CONCATENATE((SIP[[#This Row],[Frequency]]-1),SIP[[#This Row],[Investor ID]]),SIP[Unique Code],0),0)),0)</f>
        <v>0</v>
      </c>
      <c r="V128" s="43">
        <f>IF(SIP[[#This Row],[BO Transfer]]="YES",SIP[[#This Row],[Unit]],)</f>
        <v>823</v>
      </c>
      <c r="W128" s="41">
        <f>SUMIFS(SIP[[#Headers],[BO UNIT TRANSFER]]:SIP[[#This Row],[BO UNIT TRANSFER]],SIP[[#Headers],[Investor ID]]:SIP[[#This Row],[Investor ID]],SIP[[#This Row],[Investor ID]])</f>
        <v>2490</v>
      </c>
    </row>
    <row r="129" spans="1:23" ht="15" customHeight="1">
      <c r="A129" s="8">
        <v>2025</v>
      </c>
      <c r="B129" s="8">
        <v>9</v>
      </c>
      <c r="C129" s="8">
        <v>28</v>
      </c>
      <c r="D129" s="39">
        <f>IFERROR(DATE(SIP[[#This Row],[Year]],SIP[[#This Row],[Month]],SIP[[#This Row],[Day]]),0)</f>
        <v>45928</v>
      </c>
      <c r="E129" s="40" t="str" cm="1">
        <f t="array" ref="E129">IFERROR(INDEX(INVESTORS_LIST[INVESTOR NAME],MATCH(SIP[[#This Row],[Investor ID]],INVESTORS_LIST[INVESTOR CODE],0),)," ")</f>
        <v>HUMAIRA TABASSUM READDHE</v>
      </c>
      <c r="F129" s="15" t="s">
        <v>1118</v>
      </c>
      <c r="G129" s="15">
        <f>COUNTIFS(SIP[[#Headers],[Investor ID]]:SIP[[#This Row],[Investor ID]],SIP[[#This Row],[Investor ID]])</f>
        <v>15</v>
      </c>
      <c r="H129" s="15" t="str">
        <f>CONCATENATE(SIP[[#This Row],[Frequency]],SIP[[#This Row],[Investor ID]])</f>
        <v>15A00503</v>
      </c>
      <c r="I129" s="15" t="str">
        <f>IF(SIP[[#This Row],[B/S]]="B","BUY",(IF(SIP[[#This Row],[B/S]]="S","SELL"," ")))</f>
        <v>BUY</v>
      </c>
      <c r="J129" s="15" t="s">
        <v>301</v>
      </c>
      <c r="K129" s="38">
        <v>2000</v>
      </c>
      <c r="L129" s="38"/>
      <c r="M129" s="176">
        <f>IFERROR(SIP[[#This Row],[Amount]]/SIP[[#This Row],[Unit]],0)</f>
        <v>12.121212121212121</v>
      </c>
      <c r="N129" s="42">
        <f>SIP[[#This Row],[Unit Capital]]/10</f>
        <v>165</v>
      </c>
      <c r="O129" s="50">
        <f>SUMIFS(SIP[[#Headers],[Unit]]:SIP[[#This Row],[Unit]],SIP[[#Headers],[Investor ID]]:SIP[[#This Row],[Investor ID]],SIP[[#This Row],[Investor ID]])</f>
        <v>1816</v>
      </c>
      <c r="P129" s="38">
        <v>1650</v>
      </c>
      <c r="Q129" s="41">
        <f>SIP[[#This Row],[Amount]]-SIP[[#This Row],[Unit Capital]]</f>
        <v>350</v>
      </c>
      <c r="R12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11.013215859030836</v>
      </c>
      <c r="S129" s="43">
        <f t="shared" si="19"/>
        <v>12.552</v>
      </c>
      <c r="T12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29" s="43" cm="1">
        <f t="array" ref="U129">IF(SIP[[#This Row],[B/S]]="S",ABS(SIP[[#This Row],[Unit]])*(INDEX(SIP[NAV at Cost (Average)],MATCH(CONCATENATE((SIP[[#This Row],[Frequency]]-1),SIP[[#This Row],[Investor ID]]),SIP[Unique Code],0),0)),0)</f>
        <v>0</v>
      </c>
      <c r="V129" s="43">
        <f>IF(SIP[[#This Row],[BO Transfer]]="YES",SIP[[#This Row],[Unit]],)</f>
        <v>0</v>
      </c>
      <c r="W129" s="41">
        <f>SUMIFS(SIP[[#Headers],[BO UNIT TRANSFER]]:SIP[[#This Row],[BO UNIT TRANSFER]],SIP[[#Headers],[Investor ID]]:SIP[[#This Row],[Investor ID]],SIP[[#This Row],[Investor ID]])</f>
        <v>0</v>
      </c>
    </row>
    <row r="130" spans="1:23" ht="15" customHeight="1">
      <c r="A130" s="8">
        <v>2025</v>
      </c>
      <c r="B130" s="8">
        <v>10</v>
      </c>
      <c r="C130" s="8">
        <v>5</v>
      </c>
      <c r="D130" s="39">
        <f>IFERROR(DATE(SIP[[#This Row],[Year]],SIP[[#This Row],[Month]],SIP[[#This Row],[Day]]),0)</f>
        <v>45935</v>
      </c>
      <c r="E130" s="40" t="str" cm="1">
        <f t="array" ref="E130">IFERROR(INDEX(INVESTORS_LIST[INVESTOR NAME],MATCH(SIP[[#This Row],[Investor ID]],INVESTORS_LIST[INVESTOR CODE],0),)," ")</f>
        <v>SK FEROZ ALAM</v>
      </c>
      <c r="F130" s="15" t="s">
        <v>110</v>
      </c>
      <c r="G130" s="15">
        <f>COUNTIFS(SIP[[#Headers],[Investor ID]]:SIP[[#This Row],[Investor ID]],SIP[[#This Row],[Investor ID]])</f>
        <v>3</v>
      </c>
      <c r="H130" s="15" t="str">
        <f>CONCATENATE(SIP[[#This Row],[Frequency]],SIP[[#This Row],[Investor ID]])</f>
        <v>3A00096</v>
      </c>
      <c r="I130" s="15" t="str">
        <f>IF(SIP[[#This Row],[B/S]]="B","BUY",(IF(SIP[[#This Row],[B/S]]="S","SELL"," ")))</f>
        <v>BUY</v>
      </c>
      <c r="J130" s="15" t="s">
        <v>301</v>
      </c>
      <c r="K130" s="38">
        <v>1000</v>
      </c>
      <c r="L130" s="38"/>
      <c r="M130" s="176">
        <f>IFERROR(SIP[[#This Row],[Amount]]/SIP[[#This Row],[Unit]],0)</f>
        <v>12.195121951219512</v>
      </c>
      <c r="N130" s="42">
        <f>SIP[[#This Row],[Unit Capital]]/10</f>
        <v>82</v>
      </c>
      <c r="O130" s="50">
        <f>SUMIFS(SIP[[#Headers],[Unit]]:SIP[[#This Row],[Unit]],SIP[[#Headers],[Investor ID]]:SIP[[#This Row],[Investor ID]],SIP[[#This Row],[Investor ID]])</f>
        <v>245</v>
      </c>
      <c r="P130" s="38">
        <v>820</v>
      </c>
      <c r="Q130" s="41">
        <f>SIP[[#This Row],[Amount]]-SIP[[#This Row],[Unit Capital]]</f>
        <v>180</v>
      </c>
      <c r="R13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12.244897959183675</v>
      </c>
      <c r="S130" s="43">
        <f t="shared" si="19"/>
        <v>12.552</v>
      </c>
      <c r="T13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0" s="43" cm="1">
        <f t="array" ref="U130">IF(SIP[[#This Row],[B/S]]="S",ABS(SIP[[#This Row],[Unit]])*(INDEX(SIP[NAV at Cost (Average)],MATCH(CONCATENATE((SIP[[#This Row],[Frequency]]-1),SIP[[#This Row],[Investor ID]]),SIP[Unique Code],0),0)),0)</f>
        <v>0</v>
      </c>
      <c r="V130" s="43">
        <f>IF(SIP[[#This Row],[BO Transfer]]="YES",SIP[[#This Row],[Unit]],)</f>
        <v>0</v>
      </c>
      <c r="W130" s="41">
        <f>SUMIFS(SIP[[#Headers],[BO UNIT TRANSFER]]:SIP[[#This Row],[BO UNIT TRANSFER]],SIP[[#Headers],[Investor ID]]:SIP[[#This Row],[Investor ID]],SIP[[#This Row],[Investor ID]])</f>
        <v>0</v>
      </c>
    </row>
    <row r="131" spans="1:23" ht="15" customHeight="1">
      <c r="A131" s="8">
        <v>2025</v>
      </c>
      <c r="B131" s="8">
        <v>10</v>
      </c>
      <c r="C131" s="8">
        <v>6</v>
      </c>
      <c r="D131" s="39">
        <f>IFERROR(DATE(SIP[[#This Row],[Year]],SIP[[#This Row],[Month]],SIP[[#This Row],[Day]]),0)</f>
        <v>45936</v>
      </c>
      <c r="E131" s="40" t="str" cm="1">
        <f t="array" ref="E131">IFERROR(INDEX(INVESTORS_LIST[INVESTOR NAME],MATCH(SIP[[#This Row],[Investor ID]],INVESTORS_LIST[INVESTOR CODE],0),)," ")</f>
        <v>MASUM AHMED</v>
      </c>
      <c r="F131" s="15" t="s">
        <v>1504</v>
      </c>
      <c r="G131" s="15">
        <f>COUNTIFS(SIP[[#Headers],[Investor ID]]:SIP[[#This Row],[Investor ID]],SIP[[#This Row],[Investor ID]])</f>
        <v>1</v>
      </c>
      <c r="H131" s="15" t="str">
        <f>CONCATENATE(SIP[[#This Row],[Frequency]],SIP[[#This Row],[Investor ID]])</f>
        <v>1A00657</v>
      </c>
      <c r="I131" s="15" t="str">
        <f>IF(SIP[[#This Row],[B/S]]="B","BUY",(IF(SIP[[#This Row],[B/S]]="S","SELL"," ")))</f>
        <v>BUY</v>
      </c>
      <c r="J131" s="15" t="s">
        <v>301</v>
      </c>
      <c r="K131" s="38">
        <v>5000</v>
      </c>
      <c r="L131" s="38"/>
      <c r="M131" s="176">
        <f>IFERROR(SIP[[#This Row],[Amount]]/SIP[[#This Row],[Unit]],0)</f>
        <v>12.135922330097088</v>
      </c>
      <c r="N131" s="42">
        <f>SIP[[#This Row],[Unit Capital]]/10</f>
        <v>412</v>
      </c>
      <c r="O131" s="50">
        <f>SUMIFS(SIP[[#Headers],[Unit]]:SIP[[#This Row],[Unit]],SIP[[#Headers],[Investor ID]]:SIP[[#This Row],[Investor ID]],SIP[[#This Row],[Investor ID]])</f>
        <v>412</v>
      </c>
      <c r="P131" s="38">
        <v>4120</v>
      </c>
      <c r="Q131" s="41">
        <f>SIP[[#This Row],[Amount]]-SIP[[#This Row],[Unit Capital]]</f>
        <v>880</v>
      </c>
      <c r="R13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12.135922330097088</v>
      </c>
      <c r="S131" s="43">
        <f t="shared" si="19"/>
        <v>12.552</v>
      </c>
      <c r="T13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1" s="43" cm="1">
        <f t="array" ref="U131">IF(SIP[[#This Row],[B/S]]="S",ABS(SIP[[#This Row],[Unit]])*(INDEX(SIP[NAV at Cost (Average)],MATCH(CONCATENATE((SIP[[#This Row],[Frequency]]-1),SIP[[#This Row],[Investor ID]]),SIP[Unique Code],0),0)),0)</f>
        <v>0</v>
      </c>
      <c r="V131" s="43">
        <f>IF(SIP[[#This Row],[BO Transfer]]="YES",SIP[[#This Row],[Unit]],)</f>
        <v>0</v>
      </c>
      <c r="W131" s="41">
        <f>SUMIFS(SIP[[#Headers],[BO UNIT TRANSFER]]:SIP[[#This Row],[BO UNIT TRANSFER]],SIP[[#Headers],[Investor ID]]:SIP[[#This Row],[Investor ID]],SIP[[#This Row],[Investor ID]])</f>
        <v>0</v>
      </c>
    </row>
    <row r="132" spans="1:23" ht="15" customHeight="1">
      <c r="A132" s="8">
        <v>2025</v>
      </c>
      <c r="B132" s="8">
        <v>10</v>
      </c>
      <c r="C132" s="8">
        <v>26</v>
      </c>
      <c r="D132" s="39">
        <f>IFERROR(DATE(SIP[[#This Row],[Year]],SIP[[#This Row],[Month]],SIP[[#This Row],[Day]]),0)</f>
        <v>45956</v>
      </c>
      <c r="E132" s="40" t="str" cm="1">
        <f t="array" ref="E132">IFERROR(INDEX(INVESTORS_LIST[INVESTOR NAME],MATCH(SIP[[#This Row],[Investor ID]],INVESTORS_LIST[INVESTOR CODE],0),)," ")</f>
        <v>HUMAIRA TABASSUM READDHE</v>
      </c>
      <c r="F132" s="15" t="s">
        <v>1118</v>
      </c>
      <c r="G132" s="15">
        <f>COUNTIFS(SIP[[#Headers],[Investor ID]]:SIP[[#This Row],[Investor ID]],SIP[[#This Row],[Investor ID]])</f>
        <v>16</v>
      </c>
      <c r="H132" s="15" t="str">
        <f>CONCATENATE(SIP[[#This Row],[Frequency]],SIP[[#This Row],[Investor ID]])</f>
        <v>16A00503</v>
      </c>
      <c r="I132" s="15" t="str">
        <f>IF(SIP[[#This Row],[B/S]]="B","BUY",(IF(SIP[[#This Row],[B/S]]="S","SELL"," ")))</f>
        <v>BUY</v>
      </c>
      <c r="J132" s="15" t="s">
        <v>301</v>
      </c>
      <c r="K132" s="38">
        <v>2000</v>
      </c>
      <c r="L132" s="38"/>
      <c r="M132" s="176">
        <f>IFERROR(SIP[[#This Row],[Amount]]/SIP[[#This Row],[Unit]],0)</f>
        <v>12.048192771084338</v>
      </c>
      <c r="N132" s="42">
        <f>SIP[[#This Row],[Unit Capital]]/10</f>
        <v>166</v>
      </c>
      <c r="O132" s="50">
        <f>SUMIFS(SIP[[#Headers],[Unit]]:SIP[[#This Row],[Unit]],SIP[[#Headers],[Investor ID]]:SIP[[#This Row],[Investor ID]],SIP[[#This Row],[Investor ID]])</f>
        <v>1982</v>
      </c>
      <c r="P132" s="38">
        <v>1660</v>
      </c>
      <c r="Q132" s="41">
        <f>SIP[[#This Row],[Amount]]-SIP[[#This Row],[Unit Capital]]</f>
        <v>340</v>
      </c>
      <c r="R13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11.099899091826437</v>
      </c>
      <c r="S132" s="43">
        <f t="shared" ref="S132:S137" si="20">NAV_MKT</f>
        <v>12.552</v>
      </c>
      <c r="T13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2" s="43" cm="1">
        <f t="array" ref="U132">IF(SIP[[#This Row],[B/S]]="S",ABS(SIP[[#This Row],[Unit]])*(INDEX(SIP[NAV at Cost (Average)],MATCH(CONCATENATE((SIP[[#This Row],[Frequency]]-1),SIP[[#This Row],[Investor ID]]),SIP[Unique Code],0),0)),0)</f>
        <v>0</v>
      </c>
      <c r="V132" s="43">
        <f>IF(SIP[[#This Row],[BO Transfer]]="YES",SIP[[#This Row],[Unit]],)</f>
        <v>0</v>
      </c>
      <c r="W132" s="41">
        <f>SUMIFS(SIP[[#Headers],[BO UNIT TRANSFER]]:SIP[[#This Row],[BO UNIT TRANSFER]],SIP[[#Headers],[Investor ID]]:SIP[[#This Row],[Investor ID]],SIP[[#This Row],[Investor ID]])</f>
        <v>0</v>
      </c>
    </row>
    <row r="133" spans="1:23" ht="15" customHeight="1">
      <c r="A133" s="8">
        <v>2025</v>
      </c>
      <c r="B133" s="8">
        <v>10</v>
      </c>
      <c r="C133" s="8">
        <v>26</v>
      </c>
      <c r="D133" s="39">
        <f>IFERROR(DATE(SIP[[#This Row],[Year]],SIP[[#This Row],[Month]],SIP[[#This Row],[Day]]),0)</f>
        <v>45956</v>
      </c>
      <c r="E133" s="40" t="str" cm="1">
        <f t="array" ref="E133">IFERROR(INDEX(INVESTORS_LIST[INVESTOR NAME],MATCH(SIP[[#This Row],[Investor ID]],INVESTORS_LIST[INVESTOR CODE],0),)," ")</f>
        <v>MD GOLAM SHAON</v>
      </c>
      <c r="F133" s="15" t="s">
        <v>1327</v>
      </c>
      <c r="G133" s="15">
        <f>COUNTIFS(SIP[[#Headers],[Investor ID]]:SIP[[#This Row],[Investor ID]],SIP[[#This Row],[Investor ID]])</f>
        <v>5</v>
      </c>
      <c r="H133" s="15" t="str">
        <f>CONCATENATE(SIP[[#This Row],[Frequency]],SIP[[#This Row],[Investor ID]])</f>
        <v>5A00567</v>
      </c>
      <c r="I133" s="15" t="str">
        <f>IF(SIP[[#This Row],[B/S]]="B","BUY",(IF(SIP[[#This Row],[B/S]]="S","SELL"," ")))</f>
        <v>BUY</v>
      </c>
      <c r="J133" s="15" t="s">
        <v>301</v>
      </c>
      <c r="K133" s="38">
        <v>10000</v>
      </c>
      <c r="L133" s="38" t="s">
        <v>957</v>
      </c>
      <c r="M133" s="176">
        <f>IFERROR(SIP[[#This Row],[Amount]]/SIP[[#This Row],[Unit]],0)</f>
        <v>12.01923076923077</v>
      </c>
      <c r="N133" s="42">
        <f>SIP[[#This Row],[Unit Capital]]/10</f>
        <v>832</v>
      </c>
      <c r="O133" s="50">
        <f>SUMIFS(SIP[[#Headers],[Unit]]:SIP[[#This Row],[Unit]],SIP[[#Headers],[Investor ID]]:SIP[[#This Row],[Investor ID]],SIP[[#This Row],[Investor ID]])</f>
        <v>4253</v>
      </c>
      <c r="P133" s="38">
        <v>8320</v>
      </c>
      <c r="Q133" s="41">
        <f>SIP[[#This Row],[Amount]]-SIP[[#This Row],[Unit Capital]]</f>
        <v>1680</v>
      </c>
      <c r="R13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11.75640724194686</v>
      </c>
      <c r="S133" s="43">
        <f t="shared" si="20"/>
        <v>12.552</v>
      </c>
      <c r="T13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3" s="43" cm="1">
        <f t="array" ref="U133">IF(SIP[[#This Row],[B/S]]="S",ABS(SIP[[#This Row],[Unit]])*(INDEX(SIP[NAV at Cost (Average)],MATCH(CONCATENATE((SIP[[#This Row],[Frequency]]-1),SIP[[#This Row],[Investor ID]]),SIP[Unique Code],0),0)),0)</f>
        <v>0</v>
      </c>
      <c r="V133" s="43">
        <f>IF(SIP[[#This Row],[BO Transfer]]="YES",SIP[[#This Row],[Unit]],)</f>
        <v>832</v>
      </c>
      <c r="W133" s="41">
        <f>SUMIFS(SIP[[#Headers],[BO UNIT TRANSFER]]:SIP[[#This Row],[BO UNIT TRANSFER]],SIP[[#Headers],[Investor ID]]:SIP[[#This Row],[Investor ID]],SIP[[#This Row],[Investor ID]])</f>
        <v>3322</v>
      </c>
    </row>
    <row r="134" spans="1:23" ht="15" customHeight="1">
      <c r="A134" s="8">
        <v>2025</v>
      </c>
      <c r="B134" s="8">
        <v>11</v>
      </c>
      <c r="C134" s="8">
        <v>5</v>
      </c>
      <c r="D134" s="39">
        <f>IFERROR(DATE(SIP[[#This Row],[Year]],SIP[[#This Row],[Month]],SIP[[#This Row],[Day]]),0)</f>
        <v>45966</v>
      </c>
      <c r="E134" s="40" t="str" cm="1">
        <f t="array" ref="E134">IFERROR(INDEX(INVESTORS_LIST[INVESTOR NAME],MATCH(SIP[[#This Row],[Investor ID]],INVESTORS_LIST[INVESTOR CODE],0),)," ")</f>
        <v>MAHFUZUL ISLAM</v>
      </c>
      <c r="F134" s="15" t="s">
        <v>264</v>
      </c>
      <c r="G134" s="15">
        <f>COUNTIFS(SIP[[#Headers],[Investor ID]]:SIP[[#This Row],[Investor ID]],SIP[[#This Row],[Investor ID]])</f>
        <v>7</v>
      </c>
      <c r="H134" s="15" t="str">
        <f>CONCATENATE(SIP[[#This Row],[Frequency]],SIP[[#This Row],[Investor ID]])</f>
        <v>7A00212</v>
      </c>
      <c r="I134" s="15" t="str">
        <f>IF(SIP[[#This Row],[B/S]]="B","BUY",(IF(SIP[[#This Row],[B/S]]="S","SELL"," ")))</f>
        <v>SELL</v>
      </c>
      <c r="J134" s="15" t="s">
        <v>866</v>
      </c>
      <c r="K134" s="38">
        <v>-13247.56</v>
      </c>
      <c r="L134" s="38"/>
      <c r="M134" s="176">
        <f>IFERROR(SIP[[#This Row],[Amount]]/SIP[[#This Row],[Unit]],0)</f>
        <v>11.923996399639963</v>
      </c>
      <c r="N134" s="42">
        <f>SIP[[#This Row],[Unit Capital]]/10</f>
        <v>-1111</v>
      </c>
      <c r="O134" s="50">
        <f>SUMIFS(SIP[[#Headers],[Unit]]:SIP[[#This Row],[Unit]],SIP[[#Headers],[Investor ID]]:SIP[[#This Row],[Investor ID]],SIP[[#This Row],[Investor ID]])</f>
        <v>0</v>
      </c>
      <c r="P134" s="38">
        <v>-11110</v>
      </c>
      <c r="Q134" s="41">
        <f>SIP[[#This Row],[Amount]]-SIP[[#This Row],[Unit Capital]]</f>
        <v>-2137.5599999999995</v>
      </c>
      <c r="R13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34" s="43">
        <f t="shared" si="20"/>
        <v>12.552</v>
      </c>
      <c r="T134" s="41">
        <f>IF(SIP[[#This Row],[B/S]]="B",0,ABS(SIP[[#This Row],[Unit]])*(SIP[[#This Row],[NAV (Strike Rate)]]-INDEX(SIP[NAV at Cost (Average)],MATCH(CONCATENATE(SIP[[#This Row],[Frequency]]-1,SIP[[#This Row],[Investor ID]]),SIP[Unique Code],0),)))</f>
        <v>1247.5599999999968</v>
      </c>
      <c r="U134" s="43" cm="1">
        <f t="array" ref="U134">IF(SIP[[#This Row],[B/S]]="S",ABS(SIP[[#This Row],[Unit]])*(INDEX(SIP[NAV at Cost (Average)],MATCH(CONCATENATE((SIP[[#This Row],[Frequency]]-1),SIP[[#This Row],[Investor ID]]),SIP[Unique Code],0),0)),0)</f>
        <v>12000.000000000002</v>
      </c>
      <c r="V134" s="43">
        <f>IF(SIP[[#This Row],[BO Transfer]]="YES",SIP[[#This Row],[Unit]],)</f>
        <v>0</v>
      </c>
      <c r="W134" s="41">
        <f>SUMIFS(SIP[[#Headers],[BO UNIT TRANSFER]]:SIP[[#This Row],[BO UNIT TRANSFER]],SIP[[#Headers],[Investor ID]]:SIP[[#This Row],[Investor ID]],SIP[[#This Row],[Investor ID]])</f>
        <v>0</v>
      </c>
    </row>
    <row r="135" spans="1:23" ht="15" customHeight="1">
      <c r="A135" s="8">
        <v>2025</v>
      </c>
      <c r="B135" s="8">
        <v>11</v>
      </c>
      <c r="C135" s="8">
        <v>5</v>
      </c>
      <c r="D135" s="39">
        <f>IFERROR(DATE(SIP[[#This Row],[Year]],SIP[[#This Row],[Month]],SIP[[#This Row],[Day]]),0)</f>
        <v>45966</v>
      </c>
      <c r="E135" s="40" t="str" cm="1">
        <f t="array" ref="E135">IFERROR(INDEX(INVESTORS_LIST[INVESTOR NAME],MATCH(SIP[[#This Row],[Investor ID]],INVESTORS_LIST[INVESTOR CODE],0),)," ")</f>
        <v>MASUM AHMED</v>
      </c>
      <c r="F135" s="15" t="s">
        <v>1504</v>
      </c>
      <c r="G135" s="15">
        <f>COUNTIFS(SIP[[#Headers],[Investor ID]]:SIP[[#This Row],[Investor ID]],SIP[[#This Row],[Investor ID]])</f>
        <v>2</v>
      </c>
      <c r="H135" s="15" t="str">
        <f>CONCATENATE(SIP[[#This Row],[Frequency]],SIP[[#This Row],[Investor ID]])</f>
        <v>2A00657</v>
      </c>
      <c r="I135" s="15" t="str">
        <f>IF(SIP[[#This Row],[B/S]]="B","BUY",(IF(SIP[[#This Row],[B/S]]="S","SELL"," ")))</f>
        <v>BUY</v>
      </c>
      <c r="J135" s="15" t="s">
        <v>301</v>
      </c>
      <c r="K135" s="38">
        <v>5000</v>
      </c>
      <c r="L135" s="38"/>
      <c r="M135" s="176">
        <f>IFERROR(SIP[[#This Row],[Amount]]/SIP[[#This Row],[Unit]],0)</f>
        <v>11.933174224343675</v>
      </c>
      <c r="N135" s="42">
        <f>SIP[[#This Row],[Unit Capital]]/10</f>
        <v>419</v>
      </c>
      <c r="O135" s="50">
        <f>SUMIFS(SIP[[#Headers],[Unit]]:SIP[[#This Row],[Unit]],SIP[[#Headers],[Investor ID]]:SIP[[#This Row],[Investor ID]],SIP[[#This Row],[Investor ID]])</f>
        <v>831</v>
      </c>
      <c r="P135" s="38">
        <v>4190</v>
      </c>
      <c r="Q135" s="41">
        <f>SIP[[#This Row],[Amount]]-SIP[[#This Row],[Unit Capital]]</f>
        <v>810</v>
      </c>
      <c r="R13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12.03369434416366</v>
      </c>
      <c r="S135" s="43">
        <f t="shared" si="20"/>
        <v>12.552</v>
      </c>
      <c r="T13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5" s="43" cm="1">
        <f t="array" ref="U135">IF(SIP[[#This Row],[B/S]]="S",ABS(SIP[[#This Row],[Unit]])*(INDEX(SIP[NAV at Cost (Average)],MATCH(CONCATENATE((SIP[[#This Row],[Frequency]]-1),SIP[[#This Row],[Investor ID]]),SIP[Unique Code],0),0)),0)</f>
        <v>0</v>
      </c>
      <c r="V135" s="43">
        <f>IF(SIP[[#This Row],[BO Transfer]]="YES",SIP[[#This Row],[Unit]],)</f>
        <v>0</v>
      </c>
      <c r="W135" s="41">
        <f>SUMIFS(SIP[[#Headers],[BO UNIT TRANSFER]]:SIP[[#This Row],[BO UNIT TRANSFER]],SIP[[#Headers],[Investor ID]]:SIP[[#This Row],[Investor ID]],SIP[[#This Row],[Investor ID]])</f>
        <v>0</v>
      </c>
    </row>
    <row r="136" spans="1:23" ht="15" customHeight="1">
      <c r="A136" s="8">
        <v>2025</v>
      </c>
      <c r="B136" s="8">
        <v>11</v>
      </c>
      <c r="C136" s="8">
        <v>5</v>
      </c>
      <c r="D136" s="39">
        <f>IFERROR(DATE(SIP[[#This Row],[Year]],SIP[[#This Row],[Month]],SIP[[#This Row],[Day]]),0)</f>
        <v>45966</v>
      </c>
      <c r="E136" s="40" t="str" cm="1">
        <f t="array" ref="E136">IFERROR(INDEX(INVESTORS_LIST[INVESTOR NAME],MATCH(SIP[[#This Row],[Investor ID]],INVESTORS_LIST[INVESTOR CODE],0),)," ")</f>
        <v>SK FEROZ ALAM</v>
      </c>
      <c r="F136" s="15" t="s">
        <v>110</v>
      </c>
      <c r="G136" s="15">
        <f>COUNTIFS(SIP[[#Headers],[Investor ID]]:SIP[[#This Row],[Investor ID]],SIP[[#This Row],[Investor ID]])</f>
        <v>4</v>
      </c>
      <c r="H136" s="15" t="str">
        <f>CONCATENATE(SIP[[#This Row],[Frequency]],SIP[[#This Row],[Investor ID]])</f>
        <v>4A00096</v>
      </c>
      <c r="I136" s="15" t="str">
        <f>IF(SIP[[#This Row],[B/S]]="B","BUY",(IF(SIP[[#This Row],[B/S]]="S","SELL"," ")))</f>
        <v>BUY</v>
      </c>
      <c r="J136" s="15" t="s">
        <v>301</v>
      </c>
      <c r="K136" s="38">
        <v>1000</v>
      </c>
      <c r="L136" s="38"/>
      <c r="M136" s="176">
        <f>IFERROR(SIP[[#This Row],[Amount]]/SIP[[#This Row],[Unit]],0)</f>
        <v>11.904761904761905</v>
      </c>
      <c r="N136" s="42">
        <f>SIP[[#This Row],[Unit Capital]]/10</f>
        <v>84</v>
      </c>
      <c r="O136" s="50">
        <f>SUMIFS(SIP[[#Headers],[Unit]]:SIP[[#This Row],[Unit]],SIP[[#Headers],[Investor ID]]:SIP[[#This Row],[Investor ID]],SIP[[#This Row],[Investor ID]])</f>
        <v>329</v>
      </c>
      <c r="P136" s="38">
        <v>840</v>
      </c>
      <c r="Q136" s="41">
        <f>SIP[[#This Row],[Amount]]-SIP[[#This Row],[Unit Capital]]</f>
        <v>160</v>
      </c>
      <c r="R13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12.158054711246201</v>
      </c>
      <c r="S136" s="43">
        <f t="shared" si="20"/>
        <v>12.552</v>
      </c>
      <c r="T13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6" s="43" cm="1">
        <f t="array" ref="U136">IF(SIP[[#This Row],[B/S]]="S",ABS(SIP[[#This Row],[Unit]])*(INDEX(SIP[NAV at Cost (Average)],MATCH(CONCATENATE((SIP[[#This Row],[Frequency]]-1),SIP[[#This Row],[Investor ID]]),SIP[Unique Code],0),0)),0)</f>
        <v>0</v>
      </c>
      <c r="V136" s="43">
        <f>IF(SIP[[#This Row],[BO Transfer]]="YES",SIP[[#This Row],[Unit]],)</f>
        <v>0</v>
      </c>
      <c r="W136" s="41">
        <f>SUMIFS(SIP[[#Headers],[BO UNIT TRANSFER]]:SIP[[#This Row],[BO UNIT TRANSFER]],SIP[[#Headers],[Investor ID]]:SIP[[#This Row],[Investor ID]],SIP[[#This Row],[Investor ID]])</f>
        <v>0</v>
      </c>
    </row>
    <row r="137" spans="1:23" ht="15" customHeight="1">
      <c r="A137" s="8">
        <v>2025</v>
      </c>
      <c r="B137" s="8">
        <v>11</v>
      </c>
      <c r="C137" s="8">
        <v>5</v>
      </c>
      <c r="D137" s="39">
        <f>IFERROR(DATE(SIP[[#This Row],[Year]],SIP[[#This Row],[Month]],SIP[[#This Row],[Day]]),0)</f>
        <v>45966</v>
      </c>
      <c r="E137" s="40" t="str" cm="1">
        <f t="array" ref="E137">IFERROR(INDEX(INVESTORS_LIST[INVESTOR NAME],MATCH(SIP[[#This Row],[Investor ID]],INVESTORS_LIST[INVESTOR CODE],0),)," ")</f>
        <v>AHNAF ABRAR HASIN</v>
      </c>
      <c r="F137" s="15" t="s">
        <v>1527</v>
      </c>
      <c r="G137" s="15">
        <f>COUNTIFS(SIP[[#Headers],[Investor ID]]:SIP[[#This Row],[Investor ID]],SIP[[#This Row],[Investor ID]])</f>
        <v>1</v>
      </c>
      <c r="H137" s="15" t="str">
        <f>CONCATENATE(SIP[[#This Row],[Frequency]],SIP[[#This Row],[Investor ID]])</f>
        <v>1A00669</v>
      </c>
      <c r="I137" s="15" t="str">
        <f>IF(SIP[[#This Row],[B/S]]="B","BUY",(IF(SIP[[#This Row],[B/S]]="S","SELL"," ")))</f>
        <v>BUY</v>
      </c>
      <c r="J137" s="15" t="s">
        <v>301</v>
      </c>
      <c r="K137" s="38">
        <v>32000</v>
      </c>
      <c r="L137" s="38" t="s">
        <v>957</v>
      </c>
      <c r="M137" s="176">
        <f>IFERROR(SIP[[#This Row],[Amount]]/SIP[[#This Row],[Unit]],0)</f>
        <v>11.922503725782414</v>
      </c>
      <c r="N137" s="42">
        <f>SIP[[#This Row],[Unit Capital]]/10</f>
        <v>2684</v>
      </c>
      <c r="O137" s="50">
        <f>SUMIFS(SIP[[#Headers],[Unit]]:SIP[[#This Row],[Unit]],SIP[[#Headers],[Investor ID]]:SIP[[#This Row],[Investor ID]],SIP[[#This Row],[Investor ID]])</f>
        <v>2684</v>
      </c>
      <c r="P137" s="38">
        <v>26840</v>
      </c>
      <c r="Q137" s="41">
        <f>SIP[[#This Row],[Amount]]-SIP[[#This Row],[Unit Capital]]</f>
        <v>5160</v>
      </c>
      <c r="R13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11.922503725782414</v>
      </c>
      <c r="S137" s="43">
        <f t="shared" si="20"/>
        <v>12.552</v>
      </c>
      <c r="T13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7" s="43" cm="1">
        <f t="array" ref="U137">IF(SIP[[#This Row],[B/S]]="S",ABS(SIP[[#This Row],[Unit]])*(INDEX(SIP[NAV at Cost (Average)],MATCH(CONCATENATE((SIP[[#This Row],[Frequency]]-1),SIP[[#This Row],[Investor ID]]),SIP[Unique Code],0),0)),0)</f>
        <v>0</v>
      </c>
      <c r="V137" s="43">
        <f>IF(SIP[[#This Row],[BO Transfer]]="YES",SIP[[#This Row],[Unit]],)</f>
        <v>2684</v>
      </c>
      <c r="W137" s="41">
        <f>SUMIFS(SIP[[#Headers],[BO UNIT TRANSFER]]:SIP[[#This Row],[BO UNIT TRANSFER]],SIP[[#Headers],[Investor ID]]:SIP[[#This Row],[Investor ID]],SIP[[#This Row],[Investor ID]])</f>
        <v>2684</v>
      </c>
    </row>
    <row r="138" spans="1:23" ht="15" customHeight="1">
      <c r="A138" s="8">
        <v>2025</v>
      </c>
      <c r="B138" s="8">
        <v>11</v>
      </c>
      <c r="C138" s="8">
        <v>10</v>
      </c>
      <c r="D138" s="39">
        <f>IFERROR(DATE(SIP[[#This Row],[Year]],SIP[[#This Row],[Month]],SIP[[#This Row],[Day]]),0)</f>
        <v>45971</v>
      </c>
      <c r="E138" s="40" t="str" cm="1">
        <f t="array" ref="E138">IFERROR(INDEX(INVESTORS_LIST[INVESTOR NAME],MATCH(SIP[[#This Row],[Investor ID]],INVESTORS_LIST[INVESTOR CODE],0),)," ")</f>
        <v>MD. OMAR FARUQUE Al QUADERI</v>
      </c>
      <c r="F138" s="15" t="s">
        <v>63</v>
      </c>
      <c r="G138" s="15">
        <f>COUNTIFS(SIP[[#Headers],[Investor ID]]:SIP[[#This Row],[Investor ID]],SIP[[#This Row],[Investor ID]])</f>
        <v>1</v>
      </c>
      <c r="H138" s="15" t="str">
        <f>CONCATENATE(SIP[[#This Row],[Frequency]],SIP[[#This Row],[Investor ID]])</f>
        <v>1A00056</v>
      </c>
      <c r="I138" s="15" t="str">
        <f>IF(SIP[[#This Row],[B/S]]="B","BUY",(IF(SIP[[#This Row],[B/S]]="S","SELL"," ")))</f>
        <v>BUY</v>
      </c>
      <c r="J138" s="15" t="s">
        <v>301</v>
      </c>
      <c r="K138" s="38">
        <v>5000</v>
      </c>
      <c r="L138" s="38"/>
      <c r="M138" s="176">
        <f>IFERROR(SIP[[#This Row],[Amount]]/SIP[[#This Row],[Unit]],0)</f>
        <v>11.933174224343675</v>
      </c>
      <c r="N138" s="42">
        <f>SIP[[#This Row],[Unit Capital]]/10</f>
        <v>419</v>
      </c>
      <c r="O138" s="50">
        <f>SUMIFS(SIP[[#Headers],[Unit]]:SIP[[#This Row],[Unit]],SIP[[#Headers],[Investor ID]]:SIP[[#This Row],[Investor ID]],SIP[[#This Row],[Investor ID]])</f>
        <v>419</v>
      </c>
      <c r="P138" s="38">
        <v>4190</v>
      </c>
      <c r="Q138" s="41">
        <f>SIP[[#This Row],[Amount]]-SIP[[#This Row],[Unit Capital]]</f>
        <v>810</v>
      </c>
      <c r="R13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11.933174224343675</v>
      </c>
      <c r="S138" s="43">
        <f t="shared" ref="S138:S144" si="21">NAV_MKT</f>
        <v>12.552</v>
      </c>
      <c r="T13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8" s="43" cm="1">
        <f t="array" ref="U138">IF(SIP[[#This Row],[B/S]]="S",ABS(SIP[[#This Row],[Unit]])*(INDEX(SIP[NAV at Cost (Average)],MATCH(CONCATENATE((SIP[[#This Row],[Frequency]]-1),SIP[[#This Row],[Investor ID]]),SIP[Unique Code],0),0)),0)</f>
        <v>0</v>
      </c>
      <c r="V138" s="43">
        <f>IF(SIP[[#This Row],[BO Transfer]]="YES",SIP[[#This Row],[Unit]],)</f>
        <v>0</v>
      </c>
      <c r="W138" s="41">
        <f>SUMIFS(SIP[[#Headers],[BO UNIT TRANSFER]]:SIP[[#This Row],[BO UNIT TRANSFER]],SIP[[#Headers],[Investor ID]]:SIP[[#This Row],[Investor ID]],SIP[[#This Row],[Investor ID]])</f>
        <v>0</v>
      </c>
    </row>
    <row r="139" spans="1:23" ht="15" customHeight="1">
      <c r="A139" s="8">
        <v>2025</v>
      </c>
      <c r="B139" s="8">
        <v>11</v>
      </c>
      <c r="C139" s="8">
        <v>26</v>
      </c>
      <c r="D139" s="39">
        <f>IFERROR(DATE(SIP[[#This Row],[Year]],SIP[[#This Row],[Month]],SIP[[#This Row],[Day]]),0)</f>
        <v>45987</v>
      </c>
      <c r="E139" s="40" t="str" cm="1">
        <f t="array" ref="E139">IFERROR(INDEX(INVESTORS_LIST[INVESTOR NAME],MATCH(SIP[[#This Row],[Investor ID]],INVESTORS_LIST[INVESTOR CODE],0),)," ")</f>
        <v>HUMAIRA TABASSUM READDHE</v>
      </c>
      <c r="F139" s="15" t="s">
        <v>1118</v>
      </c>
      <c r="G139" s="15">
        <f>COUNTIFS(SIP[[#Headers],[Investor ID]]:SIP[[#This Row],[Investor ID]],SIP[[#This Row],[Investor ID]])</f>
        <v>17</v>
      </c>
      <c r="H139" s="15" t="str">
        <f>CONCATENATE(SIP[[#This Row],[Frequency]],SIP[[#This Row],[Investor ID]])</f>
        <v>17A00503</v>
      </c>
      <c r="I139" s="15" t="str">
        <f>IF(SIP[[#This Row],[B/S]]="B","BUY",(IF(SIP[[#This Row],[B/S]]="S","SELL"," ")))</f>
        <v>BUY</v>
      </c>
      <c r="J139" s="15" t="s">
        <v>301</v>
      </c>
      <c r="K139" s="38">
        <v>2000</v>
      </c>
      <c r="L139" s="38"/>
      <c r="M139" s="176">
        <f>IFERROR(SIP[[#This Row],[Amount]]/SIP[[#This Row],[Unit]],0)</f>
        <v>11.764705882352942</v>
      </c>
      <c r="N139" s="42">
        <f>SIP[[#This Row],[Unit Capital]]/10</f>
        <v>170</v>
      </c>
      <c r="O139" s="50">
        <f>SUMIFS(SIP[[#Headers],[Unit]]:SIP[[#This Row],[Unit]],SIP[[#Headers],[Investor ID]]:SIP[[#This Row],[Investor ID]],SIP[[#This Row],[Investor ID]])</f>
        <v>2152</v>
      </c>
      <c r="P139" s="38">
        <v>1700</v>
      </c>
      <c r="Q139" s="41">
        <f>SIP[[#This Row],[Amount]]-SIP[[#This Row],[Unit Capital]]</f>
        <v>300</v>
      </c>
      <c r="R13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11.152416356877323</v>
      </c>
      <c r="S139" s="43">
        <f t="shared" si="21"/>
        <v>12.552</v>
      </c>
      <c r="T13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39" s="43" cm="1">
        <f t="array" ref="U139">IF(SIP[[#This Row],[B/S]]="S",ABS(SIP[[#This Row],[Unit]])*(INDEX(SIP[NAV at Cost (Average)],MATCH(CONCATENATE((SIP[[#This Row],[Frequency]]-1),SIP[[#This Row],[Investor ID]]),SIP[Unique Code],0),0)),0)</f>
        <v>0</v>
      </c>
      <c r="V139" s="43">
        <f>IF(SIP[[#This Row],[BO Transfer]]="YES",SIP[[#This Row],[Unit]],)</f>
        <v>0</v>
      </c>
      <c r="W139" s="41">
        <f>SUMIFS(SIP[[#Headers],[BO UNIT TRANSFER]]:SIP[[#This Row],[BO UNIT TRANSFER]],SIP[[#Headers],[Investor ID]]:SIP[[#This Row],[Investor ID]],SIP[[#This Row],[Investor ID]])</f>
        <v>0</v>
      </c>
    </row>
    <row r="140" spans="1:23" ht="15" customHeight="1">
      <c r="A140" s="8">
        <v>2025</v>
      </c>
      <c r="B140" s="8">
        <v>11</v>
      </c>
      <c r="C140" s="8">
        <v>26</v>
      </c>
      <c r="D140" s="39">
        <f>IFERROR(DATE(SIP[[#This Row],[Year]],SIP[[#This Row],[Month]],SIP[[#This Row],[Day]]),0)</f>
        <v>45987</v>
      </c>
      <c r="E140" s="40" t="str" cm="1">
        <f t="array" ref="E140">IFERROR(INDEX(INVESTORS_LIST[INVESTOR NAME],MATCH(SIP[[#This Row],[Investor ID]],INVESTORS_LIST[INVESTOR CODE],0),)," ")</f>
        <v>MD GOLAM SHAON</v>
      </c>
      <c r="F140" s="15" t="s">
        <v>1327</v>
      </c>
      <c r="G140" s="15">
        <f>COUNTIFS(SIP[[#Headers],[Investor ID]]:SIP[[#This Row],[Investor ID]],SIP[[#This Row],[Investor ID]])</f>
        <v>6</v>
      </c>
      <c r="H140" s="15" t="str">
        <f>CONCATENATE(SIP[[#This Row],[Frequency]],SIP[[#This Row],[Investor ID]])</f>
        <v>6A00567</v>
      </c>
      <c r="I140" s="15" t="str">
        <f>IF(SIP[[#This Row],[B/S]]="B","BUY",(IF(SIP[[#This Row],[B/S]]="S","SELL"," ")))</f>
        <v>BUY</v>
      </c>
      <c r="J140" s="15" t="s">
        <v>301</v>
      </c>
      <c r="K140" s="38">
        <v>10000</v>
      </c>
      <c r="L140" s="38" t="s">
        <v>957</v>
      </c>
      <c r="M140" s="176">
        <f>IFERROR(SIP[[#This Row],[Amount]]/SIP[[#This Row],[Unit]],0)</f>
        <v>11.778563015312132</v>
      </c>
      <c r="N140" s="42">
        <f>SIP[[#This Row],[Unit Capital]]/10</f>
        <v>849</v>
      </c>
      <c r="O140" s="50">
        <f>SUMIFS(SIP[[#Headers],[Unit]]:SIP[[#This Row],[Unit]],SIP[[#Headers],[Investor ID]]:SIP[[#This Row],[Investor ID]],SIP[[#This Row],[Investor ID]])</f>
        <v>5102</v>
      </c>
      <c r="P140" s="38">
        <v>8490</v>
      </c>
      <c r="Q140" s="41">
        <f>SIP[[#This Row],[Amount]]-SIP[[#This Row],[Unit Capital]]</f>
        <v>1510</v>
      </c>
      <c r="R14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11.760094080752646</v>
      </c>
      <c r="S140" s="43">
        <f t="shared" si="21"/>
        <v>12.552</v>
      </c>
      <c r="T14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0" s="43" cm="1">
        <f t="array" ref="U140">IF(SIP[[#This Row],[B/S]]="S",ABS(SIP[[#This Row],[Unit]])*(INDEX(SIP[NAV at Cost (Average)],MATCH(CONCATENATE((SIP[[#This Row],[Frequency]]-1),SIP[[#This Row],[Investor ID]]),SIP[Unique Code],0),0)),0)</f>
        <v>0</v>
      </c>
      <c r="V140" s="43">
        <f>IF(SIP[[#This Row],[BO Transfer]]="YES",SIP[[#This Row],[Unit]],)</f>
        <v>849</v>
      </c>
      <c r="W140" s="41">
        <f>SUMIFS(SIP[[#Headers],[BO UNIT TRANSFER]]:SIP[[#This Row],[BO UNIT TRANSFER]],SIP[[#Headers],[Investor ID]]:SIP[[#This Row],[Investor ID]],SIP[[#This Row],[Investor ID]])</f>
        <v>4171</v>
      </c>
    </row>
    <row r="141" spans="1:23" ht="15" customHeight="1">
      <c r="A141" s="8">
        <v>2025</v>
      </c>
      <c r="B141" s="8">
        <v>11</v>
      </c>
      <c r="C141" s="8">
        <v>26</v>
      </c>
      <c r="D141" s="39">
        <f>IFERROR(DATE(SIP[[#This Row],[Year]],SIP[[#This Row],[Month]],SIP[[#This Row],[Day]]),0)</f>
        <v>45987</v>
      </c>
      <c r="E141" s="40" t="str" cm="1">
        <f t="array" ref="E141">IFERROR(INDEX(INVESTORS_LIST[INVESTOR NAME],MATCH(SIP[[#This Row],[Investor ID]],INVESTORS_LIST[INVESTOR CODE],0),)," ")</f>
        <v>NAYEEM UDDIN</v>
      </c>
      <c r="F141" s="15" t="s">
        <v>1538</v>
      </c>
      <c r="G141" s="15">
        <f>COUNTIFS(SIP[[#Headers],[Investor ID]]:SIP[[#This Row],[Investor ID]],SIP[[#This Row],[Investor ID]])</f>
        <v>1</v>
      </c>
      <c r="H141" s="15" t="str">
        <f>CONCATENATE(SIP[[#This Row],[Frequency]],SIP[[#This Row],[Investor ID]])</f>
        <v>1A00672</v>
      </c>
      <c r="I141" s="15" t="str">
        <f>IF(SIP[[#This Row],[B/S]]="B","BUY",(IF(SIP[[#This Row],[B/S]]="S","SELL"," ")))</f>
        <v>BUY</v>
      </c>
      <c r="J141" s="15" t="s">
        <v>301</v>
      </c>
      <c r="K141" s="38">
        <v>5000</v>
      </c>
      <c r="L141" s="38"/>
      <c r="M141" s="176">
        <f>IFERROR(SIP[[#This Row],[Amount]]/SIP[[#This Row],[Unit]],0)</f>
        <v>11.79245283018868</v>
      </c>
      <c r="N141" s="42">
        <f>SIP[[#This Row],[Unit Capital]]/10</f>
        <v>424</v>
      </c>
      <c r="O141" s="50">
        <f>SUMIFS(SIP[[#Headers],[Unit]]:SIP[[#This Row],[Unit]],SIP[[#Headers],[Investor ID]]:SIP[[#This Row],[Investor ID]],SIP[[#This Row],[Investor ID]])</f>
        <v>424</v>
      </c>
      <c r="P141" s="38">
        <v>4240</v>
      </c>
      <c r="Q141" s="41">
        <f>SIP[[#This Row],[Amount]]-SIP[[#This Row],[Unit Capital]]</f>
        <v>760</v>
      </c>
      <c r="R14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11.79245283018868</v>
      </c>
      <c r="S141" s="43">
        <f t="shared" si="21"/>
        <v>12.552</v>
      </c>
      <c r="T14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1" s="43" cm="1">
        <f t="array" ref="U141">IF(SIP[[#This Row],[B/S]]="S",ABS(SIP[[#This Row],[Unit]])*(INDEX(SIP[NAV at Cost (Average)],MATCH(CONCATENATE((SIP[[#This Row],[Frequency]]-1),SIP[[#This Row],[Investor ID]]),SIP[Unique Code],0),0)),0)</f>
        <v>0</v>
      </c>
      <c r="V141" s="43">
        <f>IF(SIP[[#This Row],[BO Transfer]]="YES",SIP[[#This Row],[Unit]],)</f>
        <v>0</v>
      </c>
      <c r="W141" s="41">
        <f>SUMIFS(SIP[[#Headers],[BO UNIT TRANSFER]]:SIP[[#This Row],[BO UNIT TRANSFER]],SIP[[#Headers],[Investor ID]]:SIP[[#This Row],[Investor ID]],SIP[[#This Row],[Investor ID]])</f>
        <v>0</v>
      </c>
    </row>
    <row r="142" spans="1:23" ht="15" customHeight="1">
      <c r="A142" s="8">
        <v>2025</v>
      </c>
      <c r="B142" s="8">
        <v>12</v>
      </c>
      <c r="C142" s="8">
        <v>7</v>
      </c>
      <c r="D142" s="39">
        <f>IFERROR(DATE(SIP[[#This Row],[Year]],SIP[[#This Row],[Month]],SIP[[#This Row],[Day]]),0)</f>
        <v>45998</v>
      </c>
      <c r="E142" s="40" t="str" cm="1">
        <f t="array" ref="E142">IFERROR(INDEX(INVESTORS_LIST[INVESTOR NAME],MATCH(SIP[[#This Row],[Investor ID]],INVESTORS_LIST[INVESTOR CODE],0),)," ")</f>
        <v>AHNAF ABRAR HASIN</v>
      </c>
      <c r="F142" s="15" t="s">
        <v>1527</v>
      </c>
      <c r="G142" s="15">
        <f>COUNTIFS(SIP[[#Headers],[Investor ID]]:SIP[[#This Row],[Investor ID]],SIP[[#This Row],[Investor ID]])</f>
        <v>2</v>
      </c>
      <c r="H142" s="15" t="str">
        <f>CONCATENATE(SIP[[#This Row],[Frequency]],SIP[[#This Row],[Investor ID]])</f>
        <v>2A00669</v>
      </c>
      <c r="I142" s="15" t="str">
        <f>IF(SIP[[#This Row],[B/S]]="B","BUY",(IF(SIP[[#This Row],[B/S]]="S","SELL"," ")))</f>
        <v>BUY</v>
      </c>
      <c r="J142" s="15" t="s">
        <v>301</v>
      </c>
      <c r="K142" s="38">
        <v>32000</v>
      </c>
      <c r="L142" s="38" t="s">
        <v>957</v>
      </c>
      <c r="M142" s="176">
        <f>IFERROR(SIP[[#This Row],[Amount]]/SIP[[#This Row],[Unit]],0)</f>
        <v>11.913626209977663</v>
      </c>
      <c r="N142" s="42">
        <f>SIP[[#This Row],[Unit Capital]]/10</f>
        <v>2686</v>
      </c>
      <c r="O142" s="50">
        <f>SUMIFS(SIP[[#Headers],[Unit]]:SIP[[#This Row],[Unit]],SIP[[#Headers],[Investor ID]]:SIP[[#This Row],[Investor ID]],SIP[[#This Row],[Investor ID]])</f>
        <v>5370</v>
      </c>
      <c r="P142" s="38">
        <v>26860</v>
      </c>
      <c r="Q142" s="41">
        <f>SIP[[#This Row],[Amount]]-SIP[[#This Row],[Unit Capital]]</f>
        <v>5140</v>
      </c>
      <c r="R14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11.918063314711359</v>
      </c>
      <c r="S142" s="43">
        <f t="shared" si="21"/>
        <v>12.552</v>
      </c>
      <c r="T14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2" s="43" cm="1">
        <f t="array" ref="U142">IF(SIP[[#This Row],[B/S]]="S",ABS(SIP[[#This Row],[Unit]])*(INDEX(SIP[NAV at Cost (Average)],MATCH(CONCATENATE((SIP[[#This Row],[Frequency]]-1),SIP[[#This Row],[Investor ID]]),SIP[Unique Code],0),0)),0)</f>
        <v>0</v>
      </c>
      <c r="V142" s="43">
        <f>IF(SIP[[#This Row],[BO Transfer]]="YES",SIP[[#This Row],[Unit]],)</f>
        <v>2686</v>
      </c>
      <c r="W142" s="41">
        <f>SUMIFS(SIP[[#Headers],[BO UNIT TRANSFER]]:SIP[[#This Row],[BO UNIT TRANSFER]],SIP[[#Headers],[Investor ID]]:SIP[[#This Row],[Investor ID]],SIP[[#This Row],[Investor ID]])</f>
        <v>5370</v>
      </c>
    </row>
    <row r="143" spans="1:23" ht="15" customHeight="1">
      <c r="A143" s="8">
        <v>2025</v>
      </c>
      <c r="B143" s="8">
        <v>12</v>
      </c>
      <c r="C143" s="8">
        <v>7</v>
      </c>
      <c r="D143" s="39">
        <f>IFERROR(DATE(SIP[[#This Row],[Year]],SIP[[#This Row],[Month]],SIP[[#This Row],[Day]]),0)</f>
        <v>45998</v>
      </c>
      <c r="E143" s="40" t="str" cm="1">
        <f t="array" ref="E143">IFERROR(INDEX(INVESTORS_LIST[INVESTOR NAME],MATCH(SIP[[#This Row],[Investor ID]],INVESTORS_LIST[INVESTOR CODE],0),)," ")</f>
        <v>SK FEROZ ALAM</v>
      </c>
      <c r="F143" s="15" t="s">
        <v>110</v>
      </c>
      <c r="G143" s="15">
        <f>COUNTIFS(SIP[[#Headers],[Investor ID]]:SIP[[#This Row],[Investor ID]],SIP[[#This Row],[Investor ID]])</f>
        <v>5</v>
      </c>
      <c r="H143" s="15" t="str">
        <f>CONCATENATE(SIP[[#This Row],[Frequency]],SIP[[#This Row],[Investor ID]])</f>
        <v>5A00096</v>
      </c>
      <c r="I143" s="15" t="str">
        <f>IF(SIP[[#This Row],[B/S]]="B","BUY",(IF(SIP[[#This Row],[B/S]]="S","SELL"," ")))</f>
        <v>BUY</v>
      </c>
      <c r="J143" s="15" t="s">
        <v>301</v>
      </c>
      <c r="K143" s="38">
        <v>1000</v>
      </c>
      <c r="L143" s="38"/>
      <c r="M143" s="176">
        <f>IFERROR(SIP[[#This Row],[Amount]]/SIP[[#This Row],[Unit]],0)</f>
        <v>11.904761904761905</v>
      </c>
      <c r="N143" s="42">
        <f>SIP[[#This Row],[Unit Capital]]/10</f>
        <v>84</v>
      </c>
      <c r="O143" s="50">
        <f>SUMIFS(SIP[[#Headers],[Unit]]:SIP[[#This Row],[Unit]],SIP[[#Headers],[Investor ID]]:SIP[[#This Row],[Investor ID]],SIP[[#This Row],[Investor ID]])</f>
        <v>413</v>
      </c>
      <c r="P143" s="38">
        <v>840</v>
      </c>
      <c r="Q143" s="41">
        <f>SIP[[#This Row],[Amount]]-SIP[[#This Row],[Unit Capital]]</f>
        <v>160</v>
      </c>
      <c r="R14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12.106537530266344</v>
      </c>
      <c r="S143" s="43">
        <f t="shared" si="21"/>
        <v>12.552</v>
      </c>
      <c r="T14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3" s="43" cm="1">
        <f t="array" ref="U143">IF(SIP[[#This Row],[B/S]]="S",ABS(SIP[[#This Row],[Unit]])*(INDEX(SIP[NAV at Cost (Average)],MATCH(CONCATENATE((SIP[[#This Row],[Frequency]]-1),SIP[[#This Row],[Investor ID]]),SIP[Unique Code],0),0)),0)</f>
        <v>0</v>
      </c>
      <c r="V143" s="43">
        <f>IF(SIP[[#This Row],[BO Transfer]]="YES",SIP[[#This Row],[Unit]],)</f>
        <v>0</v>
      </c>
      <c r="W143" s="41">
        <f>SUMIFS(SIP[[#Headers],[BO UNIT TRANSFER]]:SIP[[#This Row],[BO UNIT TRANSFER]],SIP[[#Headers],[Investor ID]]:SIP[[#This Row],[Investor ID]],SIP[[#This Row],[Investor ID]])</f>
        <v>0</v>
      </c>
    </row>
    <row r="144" spans="1:23" ht="15" customHeight="1">
      <c r="A144" s="8">
        <v>2025</v>
      </c>
      <c r="B144" s="8">
        <v>12</v>
      </c>
      <c r="C144" s="8">
        <v>7</v>
      </c>
      <c r="D144" s="39">
        <f>IFERROR(DATE(SIP[[#This Row],[Year]],SIP[[#This Row],[Month]],SIP[[#This Row],[Day]]),0)</f>
        <v>45998</v>
      </c>
      <c r="E144" s="40" t="str" cm="1">
        <f t="array" ref="E144">IFERROR(INDEX(INVESTORS_LIST[INVESTOR NAME],MATCH(SIP[[#This Row],[Investor ID]],INVESTORS_LIST[INVESTOR CODE],0),)," ")</f>
        <v>MASUM AHMED</v>
      </c>
      <c r="F144" s="15" t="s">
        <v>1504</v>
      </c>
      <c r="G144" s="15">
        <f>COUNTIFS(SIP[[#Headers],[Investor ID]]:SIP[[#This Row],[Investor ID]],SIP[[#This Row],[Investor ID]])</f>
        <v>3</v>
      </c>
      <c r="H144" s="15" t="str">
        <f>CONCATENATE(SIP[[#This Row],[Frequency]],SIP[[#This Row],[Investor ID]])</f>
        <v>3A00657</v>
      </c>
      <c r="I144" s="15" t="str">
        <f>IF(SIP[[#This Row],[B/S]]="B","BUY",(IF(SIP[[#This Row],[B/S]]="S","SELL"," ")))</f>
        <v>BUY</v>
      </c>
      <c r="J144" s="15" t="s">
        <v>301</v>
      </c>
      <c r="K144" s="38">
        <v>5000</v>
      </c>
      <c r="L144" s="38"/>
      <c r="M144" s="176">
        <f>IFERROR(SIP[[#This Row],[Amount]]/SIP[[#This Row],[Unit]],0)</f>
        <v>11.904761904761905</v>
      </c>
      <c r="N144" s="42">
        <f>SIP[[#This Row],[Unit Capital]]/10</f>
        <v>420</v>
      </c>
      <c r="O144" s="50">
        <f>SUMIFS(SIP[[#Headers],[Unit]]:SIP[[#This Row],[Unit]],SIP[[#Headers],[Investor ID]]:SIP[[#This Row],[Investor ID]],SIP[[#This Row],[Investor ID]])</f>
        <v>1251</v>
      </c>
      <c r="P144" s="38">
        <v>4200</v>
      </c>
      <c r="Q144" s="41">
        <f>SIP[[#This Row],[Amount]]-SIP[[#This Row],[Unit Capital]]</f>
        <v>800</v>
      </c>
      <c r="R14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11.990407673860913</v>
      </c>
      <c r="S144" s="43">
        <f t="shared" si="21"/>
        <v>12.552</v>
      </c>
      <c r="T14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4" s="43" cm="1">
        <f t="array" ref="U144">IF(SIP[[#This Row],[B/S]]="S",ABS(SIP[[#This Row],[Unit]])*(INDEX(SIP[NAV at Cost (Average)],MATCH(CONCATENATE((SIP[[#This Row],[Frequency]]-1),SIP[[#This Row],[Investor ID]]),SIP[Unique Code],0),0)),0)</f>
        <v>0</v>
      </c>
      <c r="V144" s="43">
        <f>IF(SIP[[#This Row],[BO Transfer]]="YES",SIP[[#This Row],[Unit]],)</f>
        <v>0</v>
      </c>
      <c r="W144" s="41">
        <f>SUMIFS(SIP[[#Headers],[BO UNIT TRANSFER]]:SIP[[#This Row],[BO UNIT TRANSFER]],SIP[[#Headers],[Investor ID]]:SIP[[#This Row],[Investor ID]],SIP[[#This Row],[Investor ID]])</f>
        <v>0</v>
      </c>
    </row>
    <row r="145" spans="1:23" ht="15" customHeight="1">
      <c r="A145" s="8">
        <v>2025</v>
      </c>
      <c r="B145" s="8">
        <v>12</v>
      </c>
      <c r="C145" s="8">
        <v>10</v>
      </c>
      <c r="D145" s="39">
        <f>IFERROR(DATE(SIP[[#This Row],[Year]],SIP[[#This Row],[Month]],SIP[[#This Row],[Day]]),0)</f>
        <v>46001</v>
      </c>
      <c r="E145" s="40" t="str" cm="1">
        <f t="array" ref="E145">IFERROR(INDEX(INVESTORS_LIST[INVESTOR NAME],MATCH(SIP[[#This Row],[Investor ID]],INVESTORS_LIST[INVESTOR CODE],0),)," ")</f>
        <v>MD. OMAR FARUQUE Al QUADERI</v>
      </c>
      <c r="F145" s="15" t="s">
        <v>63</v>
      </c>
      <c r="G145" s="15">
        <f>COUNTIFS(SIP[[#Headers],[Investor ID]]:SIP[[#This Row],[Investor ID]],SIP[[#This Row],[Investor ID]])</f>
        <v>2</v>
      </c>
      <c r="H145" s="15" t="str">
        <f>CONCATENATE(SIP[[#This Row],[Frequency]],SIP[[#This Row],[Investor ID]])</f>
        <v>2A00056</v>
      </c>
      <c r="I145" s="15" t="str">
        <f>IF(SIP[[#This Row],[B/S]]="B","BUY",(IF(SIP[[#This Row],[B/S]]="S","SELL"," ")))</f>
        <v>BUY</v>
      </c>
      <c r="J145" s="15" t="s">
        <v>301</v>
      </c>
      <c r="K145" s="38">
        <v>5000</v>
      </c>
      <c r="L145" s="38"/>
      <c r="M145" s="176">
        <f>IFERROR(SIP[[#This Row],[Amount]]/SIP[[#This Row],[Unit]],0)</f>
        <v>11.990407673860911</v>
      </c>
      <c r="N145" s="42">
        <f>SIP[[#This Row],[Unit Capital]]/10</f>
        <v>417</v>
      </c>
      <c r="O145" s="50">
        <f>SUMIFS(SIP[[#Headers],[Unit]]:SIP[[#This Row],[Unit]],SIP[[#Headers],[Investor ID]]:SIP[[#This Row],[Investor ID]],SIP[[#This Row],[Investor ID]])</f>
        <v>836</v>
      </c>
      <c r="P145" s="38">
        <v>4170</v>
      </c>
      <c r="Q145" s="41">
        <f>SIP[[#This Row],[Amount]]-SIP[[#This Row],[Unit Capital]]</f>
        <v>830</v>
      </c>
      <c r="R14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11.961722488038278</v>
      </c>
      <c r="S145" s="43">
        <f t="shared" ref="S145:S150" si="22">NAV_MKT</f>
        <v>12.552</v>
      </c>
      <c r="T14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5" s="43" cm="1">
        <f t="array" ref="U145">IF(SIP[[#This Row],[B/S]]="S",ABS(SIP[[#This Row],[Unit]])*(INDEX(SIP[NAV at Cost (Average)],MATCH(CONCATENATE((SIP[[#This Row],[Frequency]]-1),SIP[[#This Row],[Investor ID]]),SIP[Unique Code],0),0)),0)</f>
        <v>0</v>
      </c>
      <c r="V145" s="43">
        <f>IF(SIP[[#This Row],[BO Transfer]]="YES",SIP[[#This Row],[Unit]],)</f>
        <v>0</v>
      </c>
      <c r="W145" s="41">
        <f>SUMIFS(SIP[[#Headers],[BO UNIT TRANSFER]]:SIP[[#This Row],[BO UNIT TRANSFER]],SIP[[#Headers],[Investor ID]]:SIP[[#This Row],[Investor ID]],SIP[[#This Row],[Investor ID]])</f>
        <v>0</v>
      </c>
    </row>
    <row r="146" spans="1:23" ht="15" customHeight="1">
      <c r="A146" s="8">
        <v>2025</v>
      </c>
      <c r="B146" s="8">
        <v>12</v>
      </c>
      <c r="C146" s="8">
        <v>18</v>
      </c>
      <c r="D146" s="39">
        <f>IFERROR(DATE(SIP[[#This Row],[Year]],SIP[[#This Row],[Month]],SIP[[#This Row],[Day]]),0)</f>
        <v>46009</v>
      </c>
      <c r="E146" s="40" t="str" cm="1">
        <f t="array" ref="E146">IFERROR(INDEX(INVESTORS_LIST[INVESTOR NAME],MATCH(SIP[[#This Row],[Investor ID]],INVESTORS_LIST[INVESTOR CODE],0),)," ")</f>
        <v>MD. KAMRUZZAMAN SHOVON</v>
      </c>
      <c r="F146" s="15" t="s">
        <v>1553</v>
      </c>
      <c r="G146" s="15">
        <f>COUNTIFS(SIP[[#Headers],[Investor ID]]:SIP[[#This Row],[Investor ID]],SIP[[#This Row],[Investor ID]])</f>
        <v>1</v>
      </c>
      <c r="H146" s="15" t="str">
        <f>CONCATENATE(SIP[[#This Row],[Frequency]],SIP[[#This Row],[Investor ID]])</f>
        <v>1A00680</v>
      </c>
      <c r="I146" s="15" t="str">
        <f>IF(SIP[[#This Row],[B/S]]="B","BUY",(IF(SIP[[#This Row],[B/S]]="S","SELL"," ")))</f>
        <v>BUY</v>
      </c>
      <c r="J146" s="15" t="s">
        <v>301</v>
      </c>
      <c r="K146" s="38">
        <v>1000</v>
      </c>
      <c r="L146" s="38"/>
      <c r="M146" s="176">
        <f>IFERROR(SIP[[#This Row],[Amount]]/SIP[[#This Row],[Unit]],0)</f>
        <v>11.904761904761905</v>
      </c>
      <c r="N146" s="42">
        <f>SIP[[#This Row],[Unit Capital]]/10</f>
        <v>84</v>
      </c>
      <c r="O146" s="50">
        <f>SUMIFS(SIP[[#Headers],[Unit]]:SIP[[#This Row],[Unit]],SIP[[#Headers],[Investor ID]]:SIP[[#This Row],[Investor ID]],SIP[[#This Row],[Investor ID]])</f>
        <v>84</v>
      </c>
      <c r="P146" s="38">
        <v>840</v>
      </c>
      <c r="Q146" s="41">
        <f>SIP[[#This Row],[Amount]]-SIP[[#This Row],[Unit Capital]]</f>
        <v>160</v>
      </c>
      <c r="R14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11.904761904761905</v>
      </c>
      <c r="S146" s="43">
        <f t="shared" si="22"/>
        <v>12.552</v>
      </c>
      <c r="T14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6" s="43" cm="1">
        <f t="array" ref="U146">IF(SIP[[#This Row],[B/S]]="S",ABS(SIP[[#This Row],[Unit]])*(INDEX(SIP[NAV at Cost (Average)],MATCH(CONCATENATE((SIP[[#This Row],[Frequency]]-1),SIP[[#This Row],[Investor ID]]),SIP[Unique Code],0),0)),0)</f>
        <v>0</v>
      </c>
      <c r="V146" s="43">
        <f>IF(SIP[[#This Row],[BO Transfer]]="YES",SIP[[#This Row],[Unit]],)</f>
        <v>0</v>
      </c>
      <c r="W146" s="41">
        <f>SUMIFS(SIP[[#Headers],[BO UNIT TRANSFER]]:SIP[[#This Row],[BO UNIT TRANSFER]],SIP[[#Headers],[Investor ID]]:SIP[[#This Row],[Investor ID]],SIP[[#This Row],[Investor ID]])</f>
        <v>0</v>
      </c>
    </row>
    <row r="147" spans="1:23" ht="15" customHeight="1">
      <c r="A147" s="8">
        <v>2025</v>
      </c>
      <c r="B147" s="8">
        <v>12</v>
      </c>
      <c r="C147" s="8">
        <v>28</v>
      </c>
      <c r="D147" s="39">
        <f>IFERROR(DATE(SIP[[#This Row],[Year]],SIP[[#This Row],[Month]],SIP[[#This Row],[Day]]),0)</f>
        <v>46019</v>
      </c>
      <c r="E147" s="40" t="str" cm="1">
        <f t="array" ref="E147">IFERROR(INDEX(INVESTORS_LIST[INVESTOR NAME],MATCH(SIP[[#This Row],[Investor ID]],INVESTORS_LIST[INVESTOR CODE],0),)," ")</f>
        <v>NAYEEM UDDIN</v>
      </c>
      <c r="F147" s="15" t="s">
        <v>1538</v>
      </c>
      <c r="G147" s="15">
        <f>COUNTIFS(SIP[[#Headers],[Investor ID]]:SIP[[#This Row],[Investor ID]],SIP[[#This Row],[Investor ID]])</f>
        <v>2</v>
      </c>
      <c r="H147" s="15" t="str">
        <f>CONCATENATE(SIP[[#This Row],[Frequency]],SIP[[#This Row],[Investor ID]])</f>
        <v>2A00672</v>
      </c>
      <c r="I147" s="15" t="str">
        <f>IF(SIP[[#This Row],[B/S]]="B","BUY",(IF(SIP[[#This Row],[B/S]]="S","SELL"," ")))</f>
        <v>BUY</v>
      </c>
      <c r="J147" s="15" t="s">
        <v>301</v>
      </c>
      <c r="K147" s="38">
        <v>5000</v>
      </c>
      <c r="L147" s="38" t="s">
        <v>957</v>
      </c>
      <c r="M147" s="176">
        <f>IFERROR(SIP[[#This Row],[Amount]]/SIP[[#This Row],[Unit]],0)</f>
        <v>11.933174224343675</v>
      </c>
      <c r="N147" s="42">
        <f>SIP[[#This Row],[Unit Capital]]/10</f>
        <v>419</v>
      </c>
      <c r="O147" s="50">
        <f>SUMIFS(SIP[[#Headers],[Unit]]:SIP[[#This Row],[Unit]],SIP[[#Headers],[Investor ID]]:SIP[[#This Row],[Investor ID]],SIP[[#This Row],[Investor ID]])</f>
        <v>843</v>
      </c>
      <c r="P147" s="38">
        <v>4190</v>
      </c>
      <c r="Q147" s="41">
        <f>SIP[[#This Row],[Amount]]-SIP[[#This Row],[Unit Capital]]</f>
        <v>810</v>
      </c>
      <c r="R14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11.862396204033216</v>
      </c>
      <c r="S147" s="43">
        <f t="shared" si="22"/>
        <v>12.552</v>
      </c>
      <c r="T14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7" s="43" cm="1">
        <f t="array" ref="U147">IF(SIP[[#This Row],[B/S]]="S",ABS(SIP[[#This Row],[Unit]])*(INDEX(SIP[NAV at Cost (Average)],MATCH(CONCATENATE((SIP[[#This Row],[Frequency]]-1),SIP[[#This Row],[Investor ID]]),SIP[Unique Code],0),0)),0)</f>
        <v>0</v>
      </c>
      <c r="V147" s="43">
        <f>IF(SIP[[#This Row],[BO Transfer]]="YES",SIP[[#This Row],[Unit]],)</f>
        <v>419</v>
      </c>
      <c r="W147" s="41">
        <f>SUMIFS(SIP[[#Headers],[BO UNIT TRANSFER]]:SIP[[#This Row],[BO UNIT TRANSFER]],SIP[[#Headers],[Investor ID]]:SIP[[#This Row],[Investor ID]],SIP[[#This Row],[Investor ID]])</f>
        <v>419</v>
      </c>
    </row>
    <row r="148" spans="1:23" ht="15" customHeight="1">
      <c r="A148" s="8">
        <v>2025</v>
      </c>
      <c r="B148" s="8">
        <v>12</v>
      </c>
      <c r="C148" s="8">
        <v>28</v>
      </c>
      <c r="D148" s="39">
        <f>IFERROR(DATE(SIP[[#This Row],[Year]],SIP[[#This Row],[Month]],SIP[[#This Row],[Day]]),0)</f>
        <v>46019</v>
      </c>
      <c r="E148" s="40" t="str" cm="1">
        <f t="array" ref="E148">IFERROR(INDEX(INVESTORS_LIST[INVESTOR NAME],MATCH(SIP[[#This Row],[Investor ID]],INVESTORS_LIST[INVESTOR CODE],0),)," ")</f>
        <v>HUMAIRA TABASSUM READDHE</v>
      </c>
      <c r="F148" s="15" t="s">
        <v>1118</v>
      </c>
      <c r="G148" s="15">
        <f>COUNTIFS(SIP[[#Headers],[Investor ID]]:SIP[[#This Row],[Investor ID]],SIP[[#This Row],[Investor ID]])</f>
        <v>18</v>
      </c>
      <c r="H148" s="15" t="str">
        <f>CONCATENATE(SIP[[#This Row],[Frequency]],SIP[[#This Row],[Investor ID]])</f>
        <v>18A00503</v>
      </c>
      <c r="I148" s="15" t="str">
        <f>IF(SIP[[#This Row],[B/S]]="B","BUY",(IF(SIP[[#This Row],[B/S]]="S","SELL"," ")))</f>
        <v>BUY</v>
      </c>
      <c r="J148" s="15" t="s">
        <v>301</v>
      </c>
      <c r="K148" s="38">
        <v>2000</v>
      </c>
      <c r="L148" s="38"/>
      <c r="M148" s="176">
        <f>IFERROR(SIP[[#This Row],[Amount]]/SIP[[#This Row],[Unit]],0)</f>
        <v>11.904761904761905</v>
      </c>
      <c r="N148" s="42">
        <f>SIP[[#This Row],[Unit Capital]]/10</f>
        <v>168</v>
      </c>
      <c r="O148" s="50">
        <f>SUMIFS(SIP[[#Headers],[Unit]]:SIP[[#This Row],[Unit]],SIP[[#Headers],[Investor ID]]:SIP[[#This Row],[Investor ID]],SIP[[#This Row],[Investor ID]])</f>
        <v>2320</v>
      </c>
      <c r="P148" s="38">
        <v>1680</v>
      </c>
      <c r="Q148" s="41">
        <f>SIP[[#This Row],[Amount]]-SIP[[#This Row],[Unit Capital]]</f>
        <v>320</v>
      </c>
      <c r="R14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11.206896551724137</v>
      </c>
      <c r="S148" s="43">
        <f t="shared" si="22"/>
        <v>12.552</v>
      </c>
      <c r="T14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8" s="43" cm="1">
        <f t="array" ref="U148">IF(SIP[[#This Row],[B/S]]="S",ABS(SIP[[#This Row],[Unit]])*(INDEX(SIP[NAV at Cost (Average)],MATCH(CONCATENATE((SIP[[#This Row],[Frequency]]-1),SIP[[#This Row],[Investor ID]]),SIP[Unique Code],0),0)),0)</f>
        <v>0</v>
      </c>
      <c r="V148" s="43">
        <f>IF(SIP[[#This Row],[BO Transfer]]="YES",SIP[[#This Row],[Unit]],)</f>
        <v>0</v>
      </c>
      <c r="W148" s="41">
        <f>SUMIFS(SIP[[#Headers],[BO UNIT TRANSFER]]:SIP[[#This Row],[BO UNIT TRANSFER]],SIP[[#Headers],[Investor ID]]:SIP[[#This Row],[Investor ID]],SIP[[#This Row],[Investor ID]])</f>
        <v>0</v>
      </c>
    </row>
    <row r="149" spans="1:23" ht="15" customHeight="1">
      <c r="A149" s="8">
        <v>2025</v>
      </c>
      <c r="B149" s="8">
        <v>12</v>
      </c>
      <c r="C149" s="8">
        <v>28</v>
      </c>
      <c r="D149" s="39">
        <f>IFERROR(DATE(SIP[[#This Row],[Year]],SIP[[#This Row],[Month]],SIP[[#This Row],[Day]]),0)</f>
        <v>46019</v>
      </c>
      <c r="E149" s="40" t="str" cm="1">
        <f t="array" ref="E149">IFERROR(INDEX(INVESTORS_LIST[INVESTOR NAME],MATCH(SIP[[#This Row],[Investor ID]],INVESTORS_LIST[INVESTOR CODE],0),)," ")</f>
        <v>MD GOLAM SHAON</v>
      </c>
      <c r="F149" s="15" t="s">
        <v>1327</v>
      </c>
      <c r="G149" s="15">
        <f>COUNTIFS(SIP[[#Headers],[Investor ID]]:SIP[[#This Row],[Investor ID]],SIP[[#This Row],[Investor ID]])</f>
        <v>7</v>
      </c>
      <c r="H149" s="15" t="str">
        <f>CONCATENATE(SIP[[#This Row],[Frequency]],SIP[[#This Row],[Investor ID]])</f>
        <v>7A00567</v>
      </c>
      <c r="I149" s="15" t="str">
        <f>IF(SIP[[#This Row],[B/S]]="B","BUY",(IF(SIP[[#This Row],[B/S]]="S","SELL"," ")))</f>
        <v>BUY</v>
      </c>
      <c r="J149" s="15" t="s">
        <v>301</v>
      </c>
      <c r="K149" s="38">
        <v>10000</v>
      </c>
      <c r="L149" s="38" t="s">
        <v>957</v>
      </c>
      <c r="M149" s="176">
        <f>IFERROR(SIP[[#This Row],[Amount]]/SIP[[#This Row],[Unit]],0)</f>
        <v>11.933174224343675</v>
      </c>
      <c r="N149" s="42">
        <f>SIP[[#This Row],[Unit Capital]]/10</f>
        <v>838</v>
      </c>
      <c r="O149" s="50">
        <f>SUMIFS(SIP[[#Headers],[Unit]]:SIP[[#This Row],[Unit]],SIP[[#Headers],[Investor ID]]:SIP[[#This Row],[Investor ID]],SIP[[#This Row],[Investor ID]])</f>
        <v>5940</v>
      </c>
      <c r="P149" s="38">
        <v>8380</v>
      </c>
      <c r="Q149" s="41">
        <f>SIP[[#This Row],[Amount]]-SIP[[#This Row],[Unit Capital]]</f>
        <v>1620</v>
      </c>
      <c r="R14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11.784511784511785</v>
      </c>
      <c r="S149" s="43">
        <f t="shared" si="22"/>
        <v>12.552</v>
      </c>
      <c r="T14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49" s="43" cm="1">
        <f t="array" ref="U149">IF(SIP[[#This Row],[B/S]]="S",ABS(SIP[[#This Row],[Unit]])*(INDEX(SIP[NAV at Cost (Average)],MATCH(CONCATENATE((SIP[[#This Row],[Frequency]]-1),SIP[[#This Row],[Investor ID]]),SIP[Unique Code],0),0)),0)</f>
        <v>0</v>
      </c>
      <c r="V149" s="43">
        <f>IF(SIP[[#This Row],[BO Transfer]]="YES",SIP[[#This Row],[Unit]],)</f>
        <v>838</v>
      </c>
      <c r="W149" s="41">
        <f>SUMIFS(SIP[[#Headers],[BO UNIT TRANSFER]]:SIP[[#This Row],[BO UNIT TRANSFER]],SIP[[#Headers],[Investor ID]]:SIP[[#This Row],[Investor ID]],SIP[[#This Row],[Investor ID]])</f>
        <v>5009</v>
      </c>
    </row>
    <row r="150" spans="1:23" ht="15" customHeight="1">
      <c r="A150" s="8">
        <v>2026</v>
      </c>
      <c r="B150" s="8">
        <v>1</v>
      </c>
      <c r="C150" s="8">
        <v>1</v>
      </c>
      <c r="D150" s="39">
        <f>IFERROR(DATE(SIP[[#This Row],[Year]],SIP[[#This Row],[Month]],SIP[[#This Row],[Day]]),0)</f>
        <v>46023</v>
      </c>
      <c r="E150" s="40" t="str" cm="1">
        <f t="array" ref="E150">IFERROR(INDEX(INVESTORS_LIST[INVESTOR NAME],MATCH(SIP[[#This Row],[Investor ID]],INVESTORS_LIST[INVESTOR CODE],0),)," ")</f>
        <v>MD. MONIRUZZAMAN</v>
      </c>
      <c r="F150" s="15" t="s">
        <v>1556</v>
      </c>
      <c r="G150" s="15">
        <f>COUNTIFS(SIP[[#Headers],[Investor ID]]:SIP[[#This Row],[Investor ID]],SIP[[#This Row],[Investor ID]])</f>
        <v>1</v>
      </c>
      <c r="H150" s="15" t="str">
        <f>CONCATENATE(SIP[[#This Row],[Frequency]],SIP[[#This Row],[Investor ID]])</f>
        <v>1A00682</v>
      </c>
      <c r="I150" s="15" t="str">
        <f>IF(SIP[[#This Row],[B/S]]="B","BUY",(IF(SIP[[#This Row],[B/S]]="S","SELL"," ")))</f>
        <v>BUY</v>
      </c>
      <c r="J150" s="15" t="s">
        <v>301</v>
      </c>
      <c r="K150" s="38">
        <v>50000</v>
      </c>
      <c r="L150" s="38"/>
      <c r="M150" s="176">
        <f>IFERROR(SIP[[#This Row],[Amount]]/SIP[[#This Row],[Unit]],0)</f>
        <v>11.848341232227488</v>
      </c>
      <c r="N150" s="42">
        <f>SIP[[#This Row],[Unit Capital]]/10</f>
        <v>4220</v>
      </c>
      <c r="O150" s="50">
        <f>SUMIFS(SIP[[#Headers],[Unit]]:SIP[[#This Row],[Unit]],SIP[[#Headers],[Investor ID]]:SIP[[#This Row],[Investor ID]],SIP[[#This Row],[Investor ID]])</f>
        <v>4220</v>
      </c>
      <c r="P150" s="38">
        <v>42200</v>
      </c>
      <c r="Q150" s="41">
        <f>SIP[[#This Row],[Amount]]-SIP[[#This Row],[Unit Capital]]</f>
        <v>7800</v>
      </c>
      <c r="R15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11.848341232227488</v>
      </c>
      <c r="S150" s="43">
        <f t="shared" si="22"/>
        <v>12.552</v>
      </c>
      <c r="T15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0" s="43" cm="1">
        <f t="array" ref="U150">IF(SIP[[#This Row],[B/S]]="S",ABS(SIP[[#This Row],[Unit]])*(INDEX(SIP[NAV at Cost (Average)],MATCH(CONCATENATE((SIP[[#This Row],[Frequency]]-1),SIP[[#This Row],[Investor ID]]),SIP[Unique Code],0),0)),0)</f>
        <v>0</v>
      </c>
      <c r="V150" s="43">
        <f>IF(SIP[[#This Row],[BO Transfer]]="YES",SIP[[#This Row],[Unit]],)</f>
        <v>0</v>
      </c>
      <c r="W150" s="41">
        <f>SUMIFS(SIP[[#Headers],[BO UNIT TRANSFER]]:SIP[[#This Row],[BO UNIT TRANSFER]],SIP[[#Headers],[Investor ID]]:SIP[[#This Row],[Investor ID]],SIP[[#This Row],[Investor ID]])</f>
        <v>0</v>
      </c>
    </row>
    <row r="151" spans="1:23" ht="15" customHeight="1">
      <c r="A151" s="8">
        <v>2026</v>
      </c>
      <c r="B151" s="8">
        <v>1</v>
      </c>
      <c r="C151" s="8">
        <v>5</v>
      </c>
      <c r="D151" s="39">
        <f>IFERROR(DATE(SIP[[#This Row],[Year]],SIP[[#This Row],[Month]],SIP[[#This Row],[Day]]),0)</f>
        <v>46027</v>
      </c>
      <c r="E151" s="40" t="str" cm="1">
        <f t="array" ref="E151">IFERROR(INDEX(INVESTORS_LIST[INVESTOR NAME],MATCH(SIP[[#This Row],[Investor ID]],INVESTORS_LIST[INVESTOR CODE],0),)," ")</f>
        <v>AHNAF ABRAR HASIN</v>
      </c>
      <c r="F151" s="15" t="s">
        <v>1527</v>
      </c>
      <c r="G151" s="15">
        <f>COUNTIFS(SIP[[#Headers],[Investor ID]]:SIP[[#This Row],[Investor ID]],SIP[[#This Row],[Investor ID]])</f>
        <v>3</v>
      </c>
      <c r="H151" s="15" t="str">
        <f>CONCATENATE(SIP[[#This Row],[Frequency]],SIP[[#This Row],[Investor ID]])</f>
        <v>3A00669</v>
      </c>
      <c r="I151" s="15" t="str">
        <f>IF(SIP[[#This Row],[B/S]]="B","BUY",(IF(SIP[[#This Row],[B/S]]="S","SELL"," ")))</f>
        <v>BUY</v>
      </c>
      <c r="J151" s="15" t="s">
        <v>301</v>
      </c>
      <c r="K151" s="38">
        <v>32000</v>
      </c>
      <c r="L151" s="38" t="s">
        <v>957</v>
      </c>
      <c r="M151" s="176">
        <f>IFERROR(SIP[[#This Row],[Amount]]/SIP[[#This Row],[Unit]],0)</f>
        <v>11.777695988222304</v>
      </c>
      <c r="N151" s="42">
        <f>SIP[[#This Row],[Unit Capital]]/10</f>
        <v>2717</v>
      </c>
      <c r="O151" s="50">
        <f>SUMIFS(SIP[[#Headers],[Unit]]:SIP[[#This Row],[Unit]],SIP[[#Headers],[Investor ID]]:SIP[[#This Row],[Investor ID]],SIP[[#This Row],[Investor ID]])</f>
        <v>8087</v>
      </c>
      <c r="P151" s="38">
        <v>27170</v>
      </c>
      <c r="Q151" s="41">
        <f>SIP[[#This Row],[Amount]]-SIP[[#This Row],[Unit Capital]]</f>
        <v>4830</v>
      </c>
      <c r="R15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11.870903919871399</v>
      </c>
      <c r="S151" s="43">
        <f t="shared" ref="S151:S156" si="23">NAV_MKT</f>
        <v>12.552</v>
      </c>
      <c r="T15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1" s="43" cm="1">
        <f t="array" ref="U151">IF(SIP[[#This Row],[B/S]]="S",ABS(SIP[[#This Row],[Unit]])*(INDEX(SIP[NAV at Cost (Average)],MATCH(CONCATENATE((SIP[[#This Row],[Frequency]]-1),SIP[[#This Row],[Investor ID]]),SIP[Unique Code],0),0)),0)</f>
        <v>0</v>
      </c>
      <c r="V151" s="43">
        <f>IF(SIP[[#This Row],[BO Transfer]]="YES",SIP[[#This Row],[Unit]],)</f>
        <v>2717</v>
      </c>
      <c r="W151" s="41">
        <f>SUMIFS(SIP[[#Headers],[BO UNIT TRANSFER]]:SIP[[#This Row],[BO UNIT TRANSFER]],SIP[[#Headers],[Investor ID]]:SIP[[#This Row],[Investor ID]],SIP[[#This Row],[Investor ID]])</f>
        <v>8087</v>
      </c>
    </row>
    <row r="152" spans="1:23" ht="15" customHeight="1">
      <c r="A152" s="8">
        <v>2026</v>
      </c>
      <c r="B152" s="8">
        <v>1</v>
      </c>
      <c r="C152" s="8">
        <v>5</v>
      </c>
      <c r="D152" s="39">
        <f>IFERROR(DATE(SIP[[#This Row],[Year]],SIP[[#This Row],[Month]],SIP[[#This Row],[Day]]),0)</f>
        <v>46027</v>
      </c>
      <c r="E152" s="40" t="str" cm="1">
        <f t="array" ref="E152">IFERROR(INDEX(INVESTORS_LIST[INVESTOR NAME],MATCH(SIP[[#This Row],[Investor ID]],INVESTORS_LIST[INVESTOR CODE],0),)," ")</f>
        <v>SK FEROZ ALAM</v>
      </c>
      <c r="F152" s="15" t="s">
        <v>110</v>
      </c>
      <c r="G152" s="15">
        <f>COUNTIFS(SIP[[#Headers],[Investor ID]]:SIP[[#This Row],[Investor ID]],SIP[[#This Row],[Investor ID]])</f>
        <v>6</v>
      </c>
      <c r="H152" s="15" t="str">
        <f>CONCATENATE(SIP[[#This Row],[Frequency]],SIP[[#This Row],[Investor ID]])</f>
        <v>6A00096</v>
      </c>
      <c r="I152" s="15" t="str">
        <f>IF(SIP[[#This Row],[B/S]]="B","BUY",(IF(SIP[[#This Row],[B/S]]="S","SELL"," ")))</f>
        <v>BUY</v>
      </c>
      <c r="J152" s="15" t="s">
        <v>301</v>
      </c>
      <c r="K152" s="38">
        <v>1000</v>
      </c>
      <c r="L152" s="38"/>
      <c r="M152" s="176">
        <f>IFERROR(SIP[[#This Row],[Amount]]/SIP[[#This Row],[Unit]],0)</f>
        <v>11.764705882352942</v>
      </c>
      <c r="N152" s="42">
        <f>SIP[[#This Row],[Unit Capital]]/10</f>
        <v>85</v>
      </c>
      <c r="O152" s="50">
        <f>SUMIFS(SIP[[#Headers],[Unit]]:SIP[[#This Row],[Unit]],SIP[[#Headers],[Investor ID]]:SIP[[#This Row],[Investor ID]],SIP[[#This Row],[Investor ID]])</f>
        <v>498</v>
      </c>
      <c r="P152" s="38">
        <v>850</v>
      </c>
      <c r="Q152" s="41">
        <f>SIP[[#This Row],[Amount]]-SIP[[#This Row],[Unit Capital]]</f>
        <v>150</v>
      </c>
      <c r="R15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12.048192771084338</v>
      </c>
      <c r="S152" s="43">
        <f t="shared" si="23"/>
        <v>12.552</v>
      </c>
      <c r="T15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2" s="43" cm="1">
        <f t="array" ref="U152">IF(SIP[[#This Row],[B/S]]="S",ABS(SIP[[#This Row],[Unit]])*(INDEX(SIP[NAV at Cost (Average)],MATCH(CONCATENATE((SIP[[#This Row],[Frequency]]-1),SIP[[#This Row],[Investor ID]]),SIP[Unique Code],0),0)),0)</f>
        <v>0</v>
      </c>
      <c r="V152" s="43">
        <f>IF(SIP[[#This Row],[BO Transfer]]="YES",SIP[[#This Row],[Unit]],)</f>
        <v>0</v>
      </c>
      <c r="W152" s="41">
        <f>SUMIFS(SIP[[#Headers],[BO UNIT TRANSFER]]:SIP[[#This Row],[BO UNIT TRANSFER]],SIP[[#Headers],[Investor ID]]:SIP[[#This Row],[Investor ID]],SIP[[#This Row],[Investor ID]])</f>
        <v>0</v>
      </c>
    </row>
    <row r="153" spans="1:23" ht="15" customHeight="1">
      <c r="A153" s="8">
        <v>2026</v>
      </c>
      <c r="B153" s="8">
        <v>1</v>
      </c>
      <c r="C153" s="8">
        <v>5</v>
      </c>
      <c r="D153" s="39">
        <f>IFERROR(DATE(SIP[[#This Row],[Year]],SIP[[#This Row],[Month]],SIP[[#This Row],[Day]]),0)</f>
        <v>46027</v>
      </c>
      <c r="E153" s="40" t="str" cm="1">
        <f t="array" ref="E153">IFERROR(INDEX(INVESTORS_LIST[INVESTOR NAME],MATCH(SIP[[#This Row],[Investor ID]],INVESTORS_LIST[INVESTOR CODE],0),)," ")</f>
        <v>MASUM AHMED</v>
      </c>
      <c r="F153" s="15" t="s">
        <v>1504</v>
      </c>
      <c r="G153" s="15">
        <f>COUNTIFS(SIP[[#Headers],[Investor ID]]:SIP[[#This Row],[Investor ID]],SIP[[#This Row],[Investor ID]])</f>
        <v>4</v>
      </c>
      <c r="H153" s="15" t="str">
        <f>CONCATENATE(SIP[[#This Row],[Frequency]],SIP[[#This Row],[Investor ID]])</f>
        <v>4A00657</v>
      </c>
      <c r="I153" s="15" t="str">
        <f>IF(SIP[[#This Row],[B/S]]="B","BUY",(IF(SIP[[#This Row],[B/S]]="S","SELL"," ")))</f>
        <v>BUY</v>
      </c>
      <c r="J153" s="15" t="s">
        <v>301</v>
      </c>
      <c r="K153" s="38">
        <v>5000</v>
      </c>
      <c r="L153" s="38" t="s">
        <v>957</v>
      </c>
      <c r="M153" s="176">
        <f>IFERROR(SIP[[#This Row],[Amount]]/SIP[[#This Row],[Unit]],0)</f>
        <v>11.79245283018868</v>
      </c>
      <c r="N153" s="42">
        <f>SIP[[#This Row],[Unit Capital]]/10</f>
        <v>424</v>
      </c>
      <c r="O153" s="50">
        <f>SUMIFS(SIP[[#Headers],[Unit]]:SIP[[#This Row],[Unit]],SIP[[#Headers],[Investor ID]]:SIP[[#This Row],[Investor ID]],SIP[[#This Row],[Investor ID]])</f>
        <v>1675</v>
      </c>
      <c r="P153" s="38">
        <v>4240</v>
      </c>
      <c r="Q153" s="41">
        <f>SIP[[#This Row],[Amount]]-SIP[[#This Row],[Unit Capital]]</f>
        <v>760</v>
      </c>
      <c r="R15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11.940298507462687</v>
      </c>
      <c r="S153" s="43">
        <f t="shared" si="23"/>
        <v>12.552</v>
      </c>
      <c r="T15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3" s="43" cm="1">
        <f t="array" ref="U153">IF(SIP[[#This Row],[B/S]]="S",ABS(SIP[[#This Row],[Unit]])*(INDEX(SIP[NAV at Cost (Average)],MATCH(CONCATENATE((SIP[[#This Row],[Frequency]]-1),SIP[[#This Row],[Investor ID]]),SIP[Unique Code],0),0)),0)</f>
        <v>0</v>
      </c>
      <c r="V153" s="43">
        <f>IF(SIP[[#This Row],[BO Transfer]]="YES",SIP[[#This Row],[Unit]],)</f>
        <v>424</v>
      </c>
      <c r="W153" s="41">
        <f>SUMIFS(SIP[[#Headers],[BO UNIT TRANSFER]]:SIP[[#This Row],[BO UNIT TRANSFER]],SIP[[#Headers],[Investor ID]]:SIP[[#This Row],[Investor ID]],SIP[[#This Row],[Investor ID]])</f>
        <v>424</v>
      </c>
    </row>
    <row r="154" spans="1:23" ht="15" customHeight="1">
      <c r="A154" s="8">
        <v>2026</v>
      </c>
      <c r="B154" s="8">
        <v>1</v>
      </c>
      <c r="C154" s="8">
        <v>11</v>
      </c>
      <c r="D154" s="39">
        <f>IFERROR(DATE(SIP[[#This Row],[Year]],SIP[[#This Row],[Month]],SIP[[#This Row],[Day]]),0)</f>
        <v>46033</v>
      </c>
      <c r="E154" s="40" t="str" cm="1">
        <f t="array" ref="E154">IFERROR(INDEX(INVESTORS_LIST[INVESTOR NAME],MATCH(SIP[[#This Row],[Investor ID]],INVESTORS_LIST[INVESTOR CODE],0),)," ")</f>
        <v>MD. OMAR FARUQUE Al QUADERI</v>
      </c>
      <c r="F154" s="15" t="s">
        <v>63</v>
      </c>
      <c r="G154" s="15">
        <f>COUNTIFS(SIP[[#Headers],[Investor ID]]:SIP[[#This Row],[Investor ID]],SIP[[#This Row],[Investor ID]])</f>
        <v>3</v>
      </c>
      <c r="H154" s="15" t="str">
        <f>CONCATENATE(SIP[[#This Row],[Frequency]],SIP[[#This Row],[Investor ID]])</f>
        <v>3A00056</v>
      </c>
      <c r="I154" s="15" t="str">
        <f>IF(SIP[[#This Row],[B/S]]="B","BUY",(IF(SIP[[#This Row],[B/S]]="S","SELL"," ")))</f>
        <v>BUY</v>
      </c>
      <c r="J154" s="15" t="s">
        <v>301</v>
      </c>
      <c r="K154" s="38">
        <v>5000</v>
      </c>
      <c r="L154" s="38"/>
      <c r="M154" s="176">
        <f>IFERROR(SIP[[#This Row],[Amount]]/SIP[[#This Row],[Unit]],0)</f>
        <v>11.990407673860911</v>
      </c>
      <c r="N154" s="42">
        <f>SIP[[#This Row],[Unit Capital]]/10</f>
        <v>417</v>
      </c>
      <c r="O154" s="50">
        <f>SUMIFS(SIP[[#Headers],[Unit]]:SIP[[#This Row],[Unit]],SIP[[#Headers],[Investor ID]]:SIP[[#This Row],[Investor ID]],SIP[[#This Row],[Investor ID]])</f>
        <v>1253</v>
      </c>
      <c r="P154" s="38">
        <v>4170</v>
      </c>
      <c r="Q154" s="41">
        <f>SIP[[#This Row],[Amount]]-SIP[[#This Row],[Unit Capital]]</f>
        <v>830</v>
      </c>
      <c r="R15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11.971268954509179</v>
      </c>
      <c r="S154" s="43">
        <f t="shared" si="23"/>
        <v>12.552</v>
      </c>
      <c r="T15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4" s="43" cm="1">
        <f t="array" ref="U154">IF(SIP[[#This Row],[B/S]]="S",ABS(SIP[[#This Row],[Unit]])*(INDEX(SIP[NAV at Cost (Average)],MATCH(CONCATENATE((SIP[[#This Row],[Frequency]]-1),SIP[[#This Row],[Investor ID]]),SIP[Unique Code],0),0)),0)</f>
        <v>0</v>
      </c>
      <c r="V154" s="43">
        <f>IF(SIP[[#This Row],[BO Transfer]]="YES",SIP[[#This Row],[Unit]],)</f>
        <v>0</v>
      </c>
      <c r="W154" s="41">
        <f>SUMIFS(SIP[[#Headers],[BO UNIT TRANSFER]]:SIP[[#This Row],[BO UNIT TRANSFER]],SIP[[#Headers],[Investor ID]]:SIP[[#This Row],[Investor ID]],SIP[[#This Row],[Investor ID]])</f>
        <v>0</v>
      </c>
    </row>
    <row r="155" spans="1:23" ht="15" customHeight="1">
      <c r="A155" s="8">
        <v>2026</v>
      </c>
      <c r="B155" s="8">
        <v>1</v>
      </c>
      <c r="C155" s="8">
        <v>14</v>
      </c>
      <c r="D155" s="39">
        <f>IFERROR(DATE(SIP[[#This Row],[Year]],SIP[[#This Row],[Month]],SIP[[#This Row],[Day]]),0)</f>
        <v>46036</v>
      </c>
      <c r="E155" s="40" t="str" cm="1">
        <f t="array" ref="E155">IFERROR(INDEX(INVESTORS_LIST[INVESTOR NAME],MATCH(SIP[[#This Row],[Investor ID]],INVESTORS_LIST[INVESTOR CODE],0),)," ")</f>
        <v>MAMATAZ JAKIR</v>
      </c>
      <c r="F155" s="15" t="s">
        <v>1567</v>
      </c>
      <c r="G155" s="15">
        <f>COUNTIFS(SIP[[#Headers],[Investor ID]]:SIP[[#This Row],[Investor ID]],SIP[[#This Row],[Investor ID]])</f>
        <v>1</v>
      </c>
      <c r="H155" s="15" t="str">
        <f>CONCATENATE(SIP[[#This Row],[Frequency]],SIP[[#This Row],[Investor ID]])</f>
        <v>1A00686</v>
      </c>
      <c r="I155" s="15" t="str">
        <f>IF(SIP[[#This Row],[B/S]]="B","BUY",(IF(SIP[[#This Row],[B/S]]="S","SELL"," ")))</f>
        <v>BUY</v>
      </c>
      <c r="J155" s="15" t="s">
        <v>301</v>
      </c>
      <c r="K155" s="38">
        <v>1000</v>
      </c>
      <c r="L155" s="38" t="s">
        <v>957</v>
      </c>
      <c r="M155" s="176">
        <f>IFERROR(SIP[[#This Row],[Amount]]/SIP[[#This Row],[Unit]],0)</f>
        <v>11.904761904761905</v>
      </c>
      <c r="N155" s="42">
        <f>SIP[[#This Row],[Unit Capital]]/10</f>
        <v>84</v>
      </c>
      <c r="O155" s="50">
        <f>SUMIFS(SIP[[#Headers],[Unit]]:SIP[[#This Row],[Unit]],SIP[[#Headers],[Investor ID]]:SIP[[#This Row],[Investor ID]],SIP[[#This Row],[Investor ID]])</f>
        <v>84</v>
      </c>
      <c r="P155" s="38">
        <v>840</v>
      </c>
      <c r="Q155" s="41">
        <f>SIP[[#This Row],[Amount]]-SIP[[#This Row],[Unit Capital]]</f>
        <v>160</v>
      </c>
      <c r="R15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11.904761904761905</v>
      </c>
      <c r="S155" s="43">
        <f t="shared" si="23"/>
        <v>12.552</v>
      </c>
      <c r="T15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5" s="43" cm="1">
        <f t="array" ref="U155">IF(SIP[[#This Row],[B/S]]="S",ABS(SIP[[#This Row],[Unit]])*(INDEX(SIP[NAV at Cost (Average)],MATCH(CONCATENATE((SIP[[#This Row],[Frequency]]-1),SIP[[#This Row],[Investor ID]]),SIP[Unique Code],0),0)),0)</f>
        <v>0</v>
      </c>
      <c r="V155" s="43">
        <f>IF(SIP[[#This Row],[BO Transfer]]="YES",SIP[[#This Row],[Unit]],)</f>
        <v>84</v>
      </c>
      <c r="W155" s="41">
        <f>SUMIFS(SIP[[#Headers],[BO UNIT TRANSFER]]:SIP[[#This Row],[BO UNIT TRANSFER]],SIP[[#Headers],[Investor ID]]:SIP[[#This Row],[Investor ID]],SIP[[#This Row],[Investor ID]])</f>
        <v>84</v>
      </c>
    </row>
    <row r="156" spans="1:23" ht="15" customHeight="1">
      <c r="A156" s="8">
        <v>2026</v>
      </c>
      <c r="B156" s="8">
        <v>1</v>
      </c>
      <c r="C156" s="8">
        <v>15</v>
      </c>
      <c r="D156" s="39">
        <f>IFERROR(DATE(SIP[[#This Row],[Year]],SIP[[#This Row],[Month]],SIP[[#This Row],[Day]]),0)</f>
        <v>46037</v>
      </c>
      <c r="E156" s="40" t="str" cm="1">
        <f t="array" ref="E156">IFERROR(INDEX(INVESTORS_LIST[INVESTOR NAME],MATCH(SIP[[#This Row],[Investor ID]],INVESTORS_LIST[INVESTOR CODE],0),)," ")</f>
        <v>MD. KAMRUZZAMAN SHOVON</v>
      </c>
      <c r="F156" s="15" t="s">
        <v>1553</v>
      </c>
      <c r="G156" s="15">
        <f>COUNTIFS(SIP[[#Headers],[Investor ID]]:SIP[[#This Row],[Investor ID]],SIP[[#This Row],[Investor ID]])</f>
        <v>2</v>
      </c>
      <c r="H156" s="15" t="str">
        <f>CONCATENATE(SIP[[#This Row],[Frequency]],SIP[[#This Row],[Investor ID]])</f>
        <v>2A00680</v>
      </c>
      <c r="I156" s="15" t="str">
        <f>IF(SIP[[#This Row],[B/S]]="B","BUY",(IF(SIP[[#This Row],[B/S]]="S","SELL"," ")))</f>
        <v>BUY</v>
      </c>
      <c r="J156" s="15" t="s">
        <v>301</v>
      </c>
      <c r="K156" s="38">
        <v>1000</v>
      </c>
      <c r="L156" s="38"/>
      <c r="M156" s="176">
        <f>IFERROR(SIP[[#This Row],[Amount]]/SIP[[#This Row],[Unit]],0)</f>
        <v>11.904761904761905</v>
      </c>
      <c r="N156" s="42">
        <f>SIP[[#This Row],[Unit Capital]]/10</f>
        <v>84</v>
      </c>
      <c r="O156" s="50">
        <f>SUMIFS(SIP[[#Headers],[Unit]]:SIP[[#This Row],[Unit]],SIP[[#Headers],[Investor ID]]:SIP[[#This Row],[Investor ID]],SIP[[#This Row],[Investor ID]])</f>
        <v>168</v>
      </c>
      <c r="P156" s="38">
        <v>840</v>
      </c>
      <c r="Q156" s="41">
        <f>SIP[[#This Row],[Amount]]-SIP[[#This Row],[Unit Capital]]</f>
        <v>160</v>
      </c>
      <c r="R15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11.904761904761905</v>
      </c>
      <c r="S156" s="43">
        <f t="shared" si="23"/>
        <v>12.552</v>
      </c>
      <c r="T15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6" s="43" cm="1">
        <f t="array" ref="U156">IF(SIP[[#This Row],[B/S]]="S",ABS(SIP[[#This Row],[Unit]])*(INDEX(SIP[NAV at Cost (Average)],MATCH(CONCATENATE((SIP[[#This Row],[Frequency]]-1),SIP[[#This Row],[Investor ID]]),SIP[Unique Code],0),0)),0)</f>
        <v>0</v>
      </c>
      <c r="V156" s="43">
        <f>IF(SIP[[#This Row],[BO Transfer]]="YES",SIP[[#This Row],[Unit]],)</f>
        <v>0</v>
      </c>
      <c r="W156" s="41">
        <f>SUMIFS(SIP[[#Headers],[BO UNIT TRANSFER]]:SIP[[#This Row],[BO UNIT TRANSFER]],SIP[[#Headers],[Investor ID]]:SIP[[#This Row],[Investor ID]],SIP[[#This Row],[Investor ID]])</f>
        <v>0</v>
      </c>
    </row>
    <row r="157" spans="1:23" ht="15" customHeight="1">
      <c r="A157" s="8">
        <v>2026</v>
      </c>
      <c r="B157" s="8">
        <v>1</v>
      </c>
      <c r="C157" s="15">
        <v>26</v>
      </c>
      <c r="D157" s="39">
        <f>IFERROR(DATE(SIP[[#This Row],[Year]],SIP[[#This Row],[Month]],SIP[[#This Row],[Day]]),0)</f>
        <v>46048</v>
      </c>
      <c r="E157" s="40" t="str" cm="1">
        <f t="array" ref="E157">IFERROR(INDEX(INVESTORS_LIST[INVESTOR NAME],MATCH(SIP[[#This Row],[Investor ID]],INVESTORS_LIST[INVESTOR CODE],0),)," ")</f>
        <v>HUMAIRA TABASSUM READDHE</v>
      </c>
      <c r="F157" s="15" t="s">
        <v>1118</v>
      </c>
      <c r="G157" s="15">
        <f>COUNTIFS(SIP[[#Headers],[Investor ID]]:SIP[[#This Row],[Investor ID]],SIP[[#This Row],[Investor ID]])</f>
        <v>19</v>
      </c>
      <c r="H157" s="15" t="str">
        <f>CONCATENATE(SIP[[#This Row],[Frequency]],SIP[[#This Row],[Investor ID]])</f>
        <v>19A00503</v>
      </c>
      <c r="I157" s="15" t="str">
        <f>IF(SIP[[#This Row],[B/S]]="B","BUY",(IF(SIP[[#This Row],[B/S]]="S","SELL"," ")))</f>
        <v>BUY</v>
      </c>
      <c r="J157" s="15" t="s">
        <v>301</v>
      </c>
      <c r="K157" s="38">
        <v>2000</v>
      </c>
      <c r="L157" s="38"/>
      <c r="M157" s="176">
        <f>IFERROR(SIP[[#This Row],[Amount]]/SIP[[#This Row],[Unit]],0)</f>
        <v>12.121212121212121</v>
      </c>
      <c r="N157" s="42">
        <f>SIP[[#This Row],[Unit Capital]]/10</f>
        <v>165</v>
      </c>
      <c r="O157" s="50">
        <f>SUMIFS(SIP[[#Headers],[Unit]]:SIP[[#This Row],[Unit]],SIP[[#Headers],[Investor ID]]:SIP[[#This Row],[Investor ID]],SIP[[#This Row],[Investor ID]])</f>
        <v>2485</v>
      </c>
      <c r="P157" s="38">
        <v>1650</v>
      </c>
      <c r="Q157" s="41">
        <f>SIP[[#This Row],[Amount]]-SIP[[#This Row],[Unit Capital]]</f>
        <v>350</v>
      </c>
      <c r="R15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11.267605633802816</v>
      </c>
      <c r="S157" s="43">
        <f t="shared" ref="S157:S162" si="24">NAV_MKT</f>
        <v>12.552</v>
      </c>
      <c r="T15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7" s="43" cm="1">
        <f t="array" ref="U157">IF(SIP[[#This Row],[B/S]]="S",ABS(SIP[[#This Row],[Unit]])*(INDEX(SIP[NAV at Cost (Average)],MATCH(CONCATENATE((SIP[[#This Row],[Frequency]]-1),SIP[[#This Row],[Investor ID]]),SIP[Unique Code],0),0)),0)</f>
        <v>0</v>
      </c>
      <c r="V157" s="43">
        <f>IF(SIP[[#This Row],[BO Transfer]]="YES",SIP[[#This Row],[Unit]],)</f>
        <v>0</v>
      </c>
      <c r="W157" s="41">
        <f>SUMIFS(SIP[[#Headers],[BO UNIT TRANSFER]]:SIP[[#This Row],[BO UNIT TRANSFER]],SIP[[#Headers],[Investor ID]]:SIP[[#This Row],[Investor ID]],SIP[[#This Row],[Investor ID]])</f>
        <v>0</v>
      </c>
    </row>
    <row r="158" spans="1:23" ht="15" customHeight="1">
      <c r="A158" s="8">
        <v>2026</v>
      </c>
      <c r="B158" s="8">
        <v>1</v>
      </c>
      <c r="C158" s="15">
        <v>26</v>
      </c>
      <c r="D158" s="39">
        <f>IFERROR(DATE(SIP[[#This Row],[Year]],SIP[[#This Row],[Month]],SIP[[#This Row],[Day]]),0)</f>
        <v>46048</v>
      </c>
      <c r="E158" s="40" t="str" cm="1">
        <f t="array" ref="E158">IFERROR(INDEX(INVESTORS_LIST[INVESTOR NAME],MATCH(SIP[[#This Row],[Investor ID]],INVESTORS_LIST[INVESTOR CODE],0),)," ")</f>
        <v>MD GOLAM SHAON</v>
      </c>
      <c r="F158" s="15" t="s">
        <v>1327</v>
      </c>
      <c r="G158" s="15">
        <f>COUNTIFS(SIP[[#Headers],[Investor ID]]:SIP[[#This Row],[Investor ID]],SIP[[#This Row],[Investor ID]])</f>
        <v>8</v>
      </c>
      <c r="H158" s="15" t="str">
        <f>CONCATENATE(SIP[[#This Row],[Frequency]],SIP[[#This Row],[Investor ID]])</f>
        <v>8A00567</v>
      </c>
      <c r="I158" s="15" t="str">
        <f>IF(SIP[[#This Row],[B/S]]="B","BUY",(IF(SIP[[#This Row],[B/S]]="S","SELL"," ")))</f>
        <v>BUY</v>
      </c>
      <c r="J158" s="15" t="s">
        <v>301</v>
      </c>
      <c r="K158" s="38">
        <v>10000</v>
      </c>
      <c r="L158" s="38" t="s">
        <v>957</v>
      </c>
      <c r="M158" s="176">
        <f>IFERROR(SIP[[#This Row],[Amount]]/SIP[[#This Row],[Unit]],0)</f>
        <v>12.135922330097088</v>
      </c>
      <c r="N158" s="42">
        <f>SIP[[#This Row],[Unit Capital]]/10</f>
        <v>824</v>
      </c>
      <c r="O158" s="50">
        <f>SUMIFS(SIP[[#Headers],[Unit]]:SIP[[#This Row],[Unit]],SIP[[#Headers],[Investor ID]]:SIP[[#This Row],[Investor ID]],SIP[[#This Row],[Investor ID]])</f>
        <v>6764</v>
      </c>
      <c r="P158" s="38">
        <v>8240</v>
      </c>
      <c r="Q158" s="41">
        <f>SIP[[#This Row],[Amount]]-SIP[[#This Row],[Unit Capital]]</f>
        <v>1760</v>
      </c>
      <c r="R15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11.827321111768185</v>
      </c>
      <c r="S158" s="43">
        <f t="shared" si="24"/>
        <v>12.552</v>
      </c>
      <c r="T15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8" s="43" cm="1">
        <f t="array" ref="U158">IF(SIP[[#This Row],[B/S]]="S",ABS(SIP[[#This Row],[Unit]])*(INDEX(SIP[NAV at Cost (Average)],MATCH(CONCATENATE((SIP[[#This Row],[Frequency]]-1),SIP[[#This Row],[Investor ID]]),SIP[Unique Code],0),0)),0)</f>
        <v>0</v>
      </c>
      <c r="V158" s="43">
        <f>IF(SIP[[#This Row],[BO Transfer]]="YES",SIP[[#This Row],[Unit]],)</f>
        <v>824</v>
      </c>
      <c r="W158" s="41">
        <f>SUMIFS(SIP[[#Headers],[BO UNIT TRANSFER]]:SIP[[#This Row],[BO UNIT TRANSFER]],SIP[[#Headers],[Investor ID]]:SIP[[#This Row],[Investor ID]],SIP[[#This Row],[Investor ID]])</f>
        <v>5833</v>
      </c>
    </row>
    <row r="159" spans="1:23" ht="15" customHeight="1">
      <c r="A159" s="8">
        <v>2026</v>
      </c>
      <c r="B159" s="8">
        <v>1</v>
      </c>
      <c r="C159" s="15">
        <v>26</v>
      </c>
      <c r="D159" s="39">
        <f>IFERROR(DATE(SIP[[#This Row],[Year]],SIP[[#This Row],[Month]],SIP[[#This Row],[Day]]),0)</f>
        <v>46048</v>
      </c>
      <c r="E159" s="40" t="str" cm="1">
        <f t="array" ref="E159">IFERROR(INDEX(INVESTORS_LIST[INVESTOR NAME],MATCH(SIP[[#This Row],[Investor ID]],INVESTORS_LIST[INVESTOR CODE],0),)," ")</f>
        <v>NAYEEM UDDIN</v>
      </c>
      <c r="F159" s="15" t="s">
        <v>1538</v>
      </c>
      <c r="G159" s="15">
        <f>COUNTIFS(SIP[[#Headers],[Investor ID]]:SIP[[#This Row],[Investor ID]],SIP[[#This Row],[Investor ID]])</f>
        <v>3</v>
      </c>
      <c r="H159" s="15" t="str">
        <f>CONCATENATE(SIP[[#This Row],[Frequency]],SIP[[#This Row],[Investor ID]])</f>
        <v>3A00672</v>
      </c>
      <c r="I159" s="15" t="str">
        <f>IF(SIP[[#This Row],[B/S]]="B","BUY",(IF(SIP[[#This Row],[B/S]]="S","SELL"," ")))</f>
        <v>BUY</v>
      </c>
      <c r="J159" s="15" t="s">
        <v>301</v>
      </c>
      <c r="K159" s="38">
        <v>5000</v>
      </c>
      <c r="L159" s="38" t="s">
        <v>957</v>
      </c>
      <c r="M159" s="176">
        <f>IFERROR(SIP[[#This Row],[Amount]]/SIP[[#This Row],[Unit]],0)</f>
        <v>12.135922330097088</v>
      </c>
      <c r="N159" s="42">
        <f>SIP[[#This Row],[Unit Capital]]/10</f>
        <v>412</v>
      </c>
      <c r="O159" s="50">
        <f>SUMIFS(SIP[[#Headers],[Unit]]:SIP[[#This Row],[Unit]],SIP[[#Headers],[Investor ID]]:SIP[[#This Row],[Investor ID]],SIP[[#This Row],[Investor ID]])</f>
        <v>1255</v>
      </c>
      <c r="P159" s="38">
        <v>4120</v>
      </c>
      <c r="Q159" s="41">
        <f>SIP[[#This Row],[Amount]]-SIP[[#This Row],[Unit Capital]]</f>
        <v>880</v>
      </c>
      <c r="R15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11.952191235059761</v>
      </c>
      <c r="S159" s="43">
        <f t="shared" si="24"/>
        <v>12.552</v>
      </c>
      <c r="T15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59" s="43" cm="1">
        <f t="array" ref="U159">IF(SIP[[#This Row],[B/S]]="S",ABS(SIP[[#This Row],[Unit]])*(INDEX(SIP[NAV at Cost (Average)],MATCH(CONCATENATE((SIP[[#This Row],[Frequency]]-1),SIP[[#This Row],[Investor ID]]),SIP[Unique Code],0),0)),0)</f>
        <v>0</v>
      </c>
      <c r="V159" s="43">
        <f>IF(SIP[[#This Row],[BO Transfer]]="YES",SIP[[#This Row],[Unit]],)</f>
        <v>412</v>
      </c>
      <c r="W159" s="41">
        <f>SUMIFS(SIP[[#Headers],[BO UNIT TRANSFER]]:SIP[[#This Row],[BO UNIT TRANSFER]],SIP[[#Headers],[Investor ID]]:SIP[[#This Row],[Investor ID]],SIP[[#This Row],[Investor ID]])</f>
        <v>831</v>
      </c>
    </row>
    <row r="160" spans="1:23" ht="15" customHeight="1">
      <c r="A160" s="8">
        <v>2026</v>
      </c>
      <c r="B160" s="8">
        <v>1</v>
      </c>
      <c r="C160" s="15">
        <v>26</v>
      </c>
      <c r="D160" s="39">
        <f>IFERROR(DATE(SIP[[#This Row],[Year]],SIP[[#This Row],[Month]],SIP[[#This Row],[Day]]),0)</f>
        <v>46048</v>
      </c>
      <c r="E160" s="40" t="str" cm="1">
        <f t="array" ref="E160">IFERROR(INDEX(INVESTORS_LIST[INVESTOR NAME],MATCH(SIP[[#This Row],[Investor ID]],INVESTORS_LIST[INVESTOR CODE],0),)," ")</f>
        <v>HASIB MUSTABSIR</v>
      </c>
      <c r="F160" s="15" t="s">
        <v>230</v>
      </c>
      <c r="G160" s="15">
        <f>COUNTIFS(SIP[[#Headers],[Investor ID]]:SIP[[#This Row],[Investor ID]],SIP[[#This Row],[Investor ID]])</f>
        <v>1</v>
      </c>
      <c r="H160" s="15" t="str">
        <f>CONCATENATE(SIP[[#This Row],[Frequency]],SIP[[#This Row],[Investor ID]])</f>
        <v>1A00194</v>
      </c>
      <c r="I160" s="15" t="str">
        <f>IF(SIP[[#This Row],[B/S]]="B","BUY",(IF(SIP[[#This Row],[B/S]]="S","SELL"," ")))</f>
        <v>BUY</v>
      </c>
      <c r="J160" s="15" t="s">
        <v>301</v>
      </c>
      <c r="K160" s="38">
        <v>10000</v>
      </c>
      <c r="L160" s="38"/>
      <c r="M160" s="176">
        <f>IFERROR(SIP[[#This Row],[Amount]]/SIP[[#This Row],[Unit]],0)</f>
        <v>12.135922330097088</v>
      </c>
      <c r="N160" s="42">
        <f>SIP[[#This Row],[Unit Capital]]/10</f>
        <v>824</v>
      </c>
      <c r="O160" s="50">
        <f>SUMIFS(SIP[[#Headers],[Unit]]:SIP[[#This Row],[Unit]],SIP[[#Headers],[Investor ID]]:SIP[[#This Row],[Investor ID]],SIP[[#This Row],[Investor ID]])</f>
        <v>824</v>
      </c>
      <c r="P160" s="38">
        <v>8240</v>
      </c>
      <c r="Q160" s="41">
        <f>SIP[[#This Row],[Amount]]-SIP[[#This Row],[Unit Capital]]</f>
        <v>1760</v>
      </c>
      <c r="R16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12.135922330097088</v>
      </c>
      <c r="S160" s="43">
        <f t="shared" si="24"/>
        <v>12.552</v>
      </c>
      <c r="T16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0" s="43" cm="1">
        <f t="array" ref="U160">IF(SIP[[#This Row],[B/S]]="S",ABS(SIP[[#This Row],[Unit]])*(INDEX(SIP[NAV at Cost (Average)],MATCH(CONCATENATE((SIP[[#This Row],[Frequency]]-1),SIP[[#This Row],[Investor ID]]),SIP[Unique Code],0),0)),0)</f>
        <v>0</v>
      </c>
      <c r="V160" s="43">
        <f>IF(SIP[[#This Row],[BO Transfer]]="YES",SIP[[#This Row],[Unit]],)</f>
        <v>0</v>
      </c>
      <c r="W160" s="41">
        <f>SUMIFS(SIP[[#Headers],[BO UNIT TRANSFER]]:SIP[[#This Row],[BO UNIT TRANSFER]],SIP[[#Headers],[Investor ID]]:SIP[[#This Row],[Investor ID]],SIP[[#This Row],[Investor ID]])</f>
        <v>0</v>
      </c>
    </row>
    <row r="161" spans="1:23" ht="15" customHeight="1">
      <c r="A161" s="8">
        <v>2026</v>
      </c>
      <c r="B161" s="8">
        <v>1</v>
      </c>
      <c r="C161" s="15">
        <v>26</v>
      </c>
      <c r="D161" s="39">
        <f>IFERROR(DATE(SIP[[#This Row],[Year]],SIP[[#This Row],[Month]],SIP[[#This Row],[Day]]),0)</f>
        <v>46048</v>
      </c>
      <c r="E161" s="40" t="str" cm="1">
        <f t="array" ref="E161">IFERROR(INDEX(INVESTORS_LIST[INVESTOR NAME],MATCH(SIP[[#This Row],[Investor ID]],INVESTORS_LIST[INVESTOR CODE],0),)," ")</f>
        <v>HASAN MUHAMMED RASEL</v>
      </c>
      <c r="F161" s="15" t="s">
        <v>1561</v>
      </c>
      <c r="G161" s="15">
        <f>COUNTIFS(SIP[[#Headers],[Investor ID]]:SIP[[#This Row],[Investor ID]],SIP[[#This Row],[Investor ID]])</f>
        <v>1</v>
      </c>
      <c r="H161" s="15" t="str">
        <f>CONCATENATE(SIP[[#This Row],[Frequency]],SIP[[#This Row],[Investor ID]])</f>
        <v>1A00685</v>
      </c>
      <c r="I161" s="15" t="str">
        <f>IF(SIP[[#This Row],[B/S]]="B","BUY",(IF(SIP[[#This Row],[B/S]]="S","SELL"," ")))</f>
        <v>BUY</v>
      </c>
      <c r="J161" s="15" t="s">
        <v>301</v>
      </c>
      <c r="K161" s="38">
        <v>40000</v>
      </c>
      <c r="L161" s="38"/>
      <c r="M161" s="176">
        <f>IFERROR(SIP[[#This Row],[Amount]]/SIP[[#This Row],[Unit]],0)</f>
        <v>12.13224143160449</v>
      </c>
      <c r="N161" s="42">
        <f>SIP[[#This Row],[Unit Capital]]/10</f>
        <v>3297</v>
      </c>
      <c r="O161" s="50">
        <f>SUMIFS(SIP[[#Headers],[Unit]]:SIP[[#This Row],[Unit]],SIP[[#Headers],[Investor ID]]:SIP[[#This Row],[Investor ID]],SIP[[#This Row],[Investor ID]])</f>
        <v>3297</v>
      </c>
      <c r="P161" s="38">
        <v>32970</v>
      </c>
      <c r="Q161" s="41">
        <f>SIP[[#This Row],[Amount]]-SIP[[#This Row],[Unit Capital]]</f>
        <v>7030</v>
      </c>
      <c r="R16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12.13224143160449</v>
      </c>
      <c r="S161" s="43">
        <f t="shared" si="24"/>
        <v>12.552</v>
      </c>
      <c r="T16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1" s="43" cm="1">
        <f t="array" ref="U161">IF(SIP[[#This Row],[B/S]]="S",ABS(SIP[[#This Row],[Unit]])*(INDEX(SIP[NAV at Cost (Average)],MATCH(CONCATENATE((SIP[[#This Row],[Frequency]]-1),SIP[[#This Row],[Investor ID]]),SIP[Unique Code],0),0)),0)</f>
        <v>0</v>
      </c>
      <c r="V161" s="43">
        <f>IF(SIP[[#This Row],[BO Transfer]]="YES",SIP[[#This Row],[Unit]],)</f>
        <v>0</v>
      </c>
      <c r="W161" s="41">
        <f>SUMIFS(SIP[[#Headers],[BO UNIT TRANSFER]]:SIP[[#This Row],[BO UNIT TRANSFER]],SIP[[#Headers],[Investor ID]]:SIP[[#This Row],[Investor ID]],SIP[[#This Row],[Investor ID]])</f>
        <v>0</v>
      </c>
    </row>
    <row r="162" spans="1:23" ht="15" customHeight="1">
      <c r="A162" s="15">
        <v>2026</v>
      </c>
      <c r="B162" s="15">
        <v>2</v>
      </c>
      <c r="C162" s="15">
        <v>1</v>
      </c>
      <c r="D162" s="39">
        <f>IFERROR(DATE(SIP[[#This Row],[Year]],SIP[[#This Row],[Month]],SIP[[#This Row],[Day]]),0)</f>
        <v>46054</v>
      </c>
      <c r="E162" s="40" t="str" cm="1">
        <f t="array" ref="E162">IFERROR(INDEX(INVESTORS_LIST[INVESTOR NAME],MATCH(SIP[[#This Row],[Investor ID]],INVESTORS_LIST[INVESTOR CODE],0),)," ")</f>
        <v>MD. MONIRUZZAMAN</v>
      </c>
      <c r="F162" s="15" t="s">
        <v>1556</v>
      </c>
      <c r="G162" s="15">
        <f>COUNTIFS(SIP[[#Headers],[Investor ID]]:SIP[[#This Row],[Investor ID]],SIP[[#This Row],[Investor ID]])</f>
        <v>2</v>
      </c>
      <c r="H162" s="15" t="str">
        <f>CONCATENATE(SIP[[#This Row],[Frequency]],SIP[[#This Row],[Investor ID]])</f>
        <v>2A00682</v>
      </c>
      <c r="I162" s="15" t="str">
        <f>IF(SIP[[#This Row],[B/S]]="B","BUY",(IF(SIP[[#This Row],[B/S]]="S","SELL"," ")))</f>
        <v>BUY</v>
      </c>
      <c r="J162" s="15" t="s">
        <v>301</v>
      </c>
      <c r="K162" s="38">
        <v>50000</v>
      </c>
      <c r="L162" s="38"/>
      <c r="M162" s="176">
        <f>IFERROR(SIP[[#This Row],[Amount]]/SIP[[#This Row],[Unit]],0)</f>
        <v>12.410027302060065</v>
      </c>
      <c r="N162" s="42">
        <f>SIP[[#This Row],[Unit Capital]]/10</f>
        <v>4029</v>
      </c>
      <c r="O162" s="50">
        <f>SUMIFS(SIP[[#Headers],[Unit]]:SIP[[#This Row],[Unit]],SIP[[#Headers],[Investor ID]]:SIP[[#This Row],[Investor ID]],SIP[[#This Row],[Investor ID]])</f>
        <v>8249</v>
      </c>
      <c r="P162" s="38">
        <v>40290</v>
      </c>
      <c r="Q162" s="41">
        <f>SIP[[#This Row],[Amount]]-SIP[[#This Row],[Unit Capital]]</f>
        <v>9710</v>
      </c>
      <c r="R16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12.122681537156019</v>
      </c>
      <c r="S162" s="43">
        <f t="shared" si="24"/>
        <v>12.552</v>
      </c>
      <c r="T16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2" s="43" cm="1">
        <f t="array" ref="U162">IF(SIP[[#This Row],[B/S]]="S",ABS(SIP[[#This Row],[Unit]])*(INDEX(SIP[NAV at Cost (Average)],MATCH(CONCATENATE((SIP[[#This Row],[Frequency]]-1),SIP[[#This Row],[Investor ID]]),SIP[Unique Code],0),0)),0)</f>
        <v>0</v>
      </c>
      <c r="V162" s="43">
        <f>IF(SIP[[#This Row],[BO Transfer]]="YES",SIP[[#This Row],[Unit]],)</f>
        <v>0</v>
      </c>
      <c r="W162" s="41">
        <f>SUMIFS(SIP[[#Headers],[BO UNIT TRANSFER]]:SIP[[#This Row],[BO UNIT TRANSFER]],SIP[[#Headers],[Investor ID]]:SIP[[#This Row],[Investor ID]],SIP[[#This Row],[Investor ID]])</f>
        <v>0</v>
      </c>
    </row>
    <row r="163" spans="1:23" ht="15" customHeight="1">
      <c r="A163" s="15">
        <v>2026</v>
      </c>
      <c r="B163" s="15">
        <v>2</v>
      </c>
      <c r="C163" s="15">
        <v>5</v>
      </c>
      <c r="D163" s="39">
        <f>IFERROR(DATE(SIP[[#This Row],[Year]],SIP[[#This Row],[Month]],SIP[[#This Row],[Day]]),0)</f>
        <v>46058</v>
      </c>
      <c r="E163" s="40" t="str" cm="1">
        <f t="array" ref="E163">IFERROR(INDEX(INVESTORS_LIST[INVESTOR NAME],MATCH(SIP[[#This Row],[Investor ID]],INVESTORS_LIST[INVESTOR CODE],0),)," ")</f>
        <v>MAMATAZ JAKIR</v>
      </c>
      <c r="F163" s="281" t="s">
        <v>1567</v>
      </c>
      <c r="G163" s="15">
        <f>COUNTIFS(SIP[[#Headers],[Investor ID]]:SIP[[#This Row],[Investor ID]],SIP[[#This Row],[Investor ID]])</f>
        <v>2</v>
      </c>
      <c r="H163" s="15" t="str">
        <f>CONCATENATE(SIP[[#This Row],[Frequency]],SIP[[#This Row],[Investor ID]])</f>
        <v>2A00686</v>
      </c>
      <c r="I163" s="15" t="str">
        <f>IF(SIP[[#This Row],[B/S]]="B","BUY",(IF(SIP[[#This Row],[B/S]]="S","SELL"," ")))</f>
        <v>BUY</v>
      </c>
      <c r="J163" s="15" t="s">
        <v>301</v>
      </c>
      <c r="K163" s="38">
        <v>1000</v>
      </c>
      <c r="L163" s="38" t="s">
        <v>957</v>
      </c>
      <c r="M163" s="176">
        <f>IFERROR(SIP[[#This Row],[Amount]]/SIP[[#This Row],[Unit]],0)</f>
        <v>12.658227848101266</v>
      </c>
      <c r="N163" s="42">
        <f>SIP[[#This Row],[Unit Capital]]/10</f>
        <v>79</v>
      </c>
      <c r="O163" s="50">
        <f>SUMIFS(SIP[[#Headers],[Unit]]:SIP[[#This Row],[Unit]],SIP[[#Headers],[Investor ID]]:SIP[[#This Row],[Investor ID]],SIP[[#This Row],[Investor ID]])</f>
        <v>163</v>
      </c>
      <c r="P163" s="38">
        <v>790</v>
      </c>
      <c r="Q163" s="41">
        <f>SIP[[#This Row],[Amount]]-SIP[[#This Row],[Unit Capital]]</f>
        <v>210</v>
      </c>
      <c r="R16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12.269938650306749</v>
      </c>
      <c r="S163" s="43">
        <f t="shared" ref="S163:S170" si="25">NAV_MKT</f>
        <v>12.552</v>
      </c>
      <c r="T16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3" s="43" cm="1">
        <f t="array" ref="U163">IF(SIP[[#This Row],[B/S]]="S",ABS(SIP[[#This Row],[Unit]])*(INDEX(SIP[NAV at Cost (Average)],MATCH(CONCATENATE((SIP[[#This Row],[Frequency]]-1),SIP[[#This Row],[Investor ID]]),SIP[Unique Code],0),0)),0)</f>
        <v>0</v>
      </c>
      <c r="V163" s="43">
        <f>IF(SIP[[#This Row],[BO Transfer]]="YES",SIP[[#This Row],[Unit]],)</f>
        <v>79</v>
      </c>
      <c r="W163" s="41">
        <f>SUMIFS(SIP[[#Headers],[BO UNIT TRANSFER]]:SIP[[#This Row],[BO UNIT TRANSFER]],SIP[[#Headers],[Investor ID]]:SIP[[#This Row],[Investor ID]],SIP[[#This Row],[Investor ID]])</f>
        <v>163</v>
      </c>
    </row>
    <row r="164" spans="1:23" ht="15" customHeight="1">
      <c r="A164" s="15">
        <v>2026</v>
      </c>
      <c r="B164" s="15">
        <v>2</v>
      </c>
      <c r="C164" s="15">
        <v>5</v>
      </c>
      <c r="D164" s="39">
        <f>IFERROR(DATE(SIP[[#This Row],[Year]],SIP[[#This Row],[Month]],SIP[[#This Row],[Day]]),0)</f>
        <v>46058</v>
      </c>
      <c r="E164" s="40" t="str" cm="1">
        <f t="array" ref="E164">IFERROR(INDEX(INVESTORS_LIST[INVESTOR NAME],MATCH(SIP[[#This Row],[Investor ID]],INVESTORS_LIST[INVESTOR CODE],0),)," ")</f>
        <v>SK FEROZ ALAM</v>
      </c>
      <c r="F164" s="15" t="s">
        <v>110</v>
      </c>
      <c r="G164" s="15">
        <f>COUNTIFS(SIP[[#Headers],[Investor ID]]:SIP[[#This Row],[Investor ID]],SIP[[#This Row],[Investor ID]])</f>
        <v>7</v>
      </c>
      <c r="H164" s="15" t="str">
        <f>CONCATENATE(SIP[[#This Row],[Frequency]],SIP[[#This Row],[Investor ID]])</f>
        <v>7A00096</v>
      </c>
      <c r="I164" s="15" t="str">
        <f>IF(SIP[[#This Row],[B/S]]="B","BUY",(IF(SIP[[#This Row],[B/S]]="S","SELL"," ")))</f>
        <v>BUY</v>
      </c>
      <c r="J164" s="15" t="s">
        <v>301</v>
      </c>
      <c r="K164" s="38">
        <v>1000</v>
      </c>
      <c r="L164" s="38"/>
      <c r="M164" s="176">
        <f>IFERROR(SIP[[#This Row],[Amount]]/SIP[[#This Row],[Unit]],0)</f>
        <v>12.658227848101266</v>
      </c>
      <c r="N164" s="42">
        <f>SIP[[#This Row],[Unit Capital]]/10</f>
        <v>79</v>
      </c>
      <c r="O164" s="50">
        <f>SUMIFS(SIP[[#Headers],[Unit]]:SIP[[#This Row],[Unit]],SIP[[#Headers],[Investor ID]]:SIP[[#This Row],[Investor ID]],SIP[[#This Row],[Investor ID]])</f>
        <v>577</v>
      </c>
      <c r="P164" s="38">
        <v>790</v>
      </c>
      <c r="Q164" s="41">
        <f>SIP[[#This Row],[Amount]]-SIP[[#This Row],[Unit Capital]]</f>
        <v>210</v>
      </c>
      <c r="R16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12.131715771230503</v>
      </c>
      <c r="S164" s="43">
        <f t="shared" si="25"/>
        <v>12.552</v>
      </c>
      <c r="T16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4" s="43" cm="1">
        <f t="array" ref="U164">IF(SIP[[#This Row],[B/S]]="S",ABS(SIP[[#This Row],[Unit]])*(INDEX(SIP[NAV at Cost (Average)],MATCH(CONCATENATE((SIP[[#This Row],[Frequency]]-1),SIP[[#This Row],[Investor ID]]),SIP[Unique Code],0),0)),0)</f>
        <v>0</v>
      </c>
      <c r="V164" s="43">
        <f>IF(SIP[[#This Row],[BO Transfer]]="YES",SIP[[#This Row],[Unit]],)</f>
        <v>0</v>
      </c>
      <c r="W164" s="41">
        <f>SUMIFS(SIP[[#Headers],[BO UNIT TRANSFER]]:SIP[[#This Row],[BO UNIT TRANSFER]],SIP[[#Headers],[Investor ID]]:SIP[[#This Row],[Investor ID]],SIP[[#This Row],[Investor ID]])</f>
        <v>0</v>
      </c>
    </row>
    <row r="165" spans="1:23" ht="15" customHeight="1">
      <c r="A165" s="15">
        <v>2026</v>
      </c>
      <c r="B165" s="15">
        <v>2</v>
      </c>
      <c r="C165" s="15">
        <v>5</v>
      </c>
      <c r="D165" s="39">
        <f>IFERROR(DATE(SIP[[#This Row],[Year]],SIP[[#This Row],[Month]],SIP[[#This Row],[Day]]),0)</f>
        <v>46058</v>
      </c>
      <c r="E165" s="40" t="str" cm="1">
        <f t="array" ref="E165">IFERROR(INDEX(INVESTORS_LIST[INVESTOR NAME],MATCH(SIP[[#This Row],[Investor ID]],INVESTORS_LIST[INVESTOR CODE],0),)," ")</f>
        <v>MASUM AHMED</v>
      </c>
      <c r="F165" s="15" t="s">
        <v>1504</v>
      </c>
      <c r="G165" s="15">
        <f>COUNTIFS(SIP[[#Headers],[Investor ID]]:SIP[[#This Row],[Investor ID]],SIP[[#This Row],[Investor ID]])</f>
        <v>5</v>
      </c>
      <c r="H165" s="15" t="str">
        <f>CONCATENATE(SIP[[#This Row],[Frequency]],SIP[[#This Row],[Investor ID]])</f>
        <v>5A00657</v>
      </c>
      <c r="I165" s="15" t="str">
        <f>IF(SIP[[#This Row],[B/S]]="B","BUY",(IF(SIP[[#This Row],[B/S]]="S","SELL"," ")))</f>
        <v>BUY</v>
      </c>
      <c r="J165" s="15" t="s">
        <v>301</v>
      </c>
      <c r="K165" s="38">
        <v>5000</v>
      </c>
      <c r="L165" s="38" t="s">
        <v>957</v>
      </c>
      <c r="M165" s="176">
        <f>IFERROR(SIP[[#This Row],[Amount]]/SIP[[#This Row],[Unit]],0)</f>
        <v>12.626262626262626</v>
      </c>
      <c r="N165" s="42">
        <f>SIP[[#This Row],[Unit Capital]]/10</f>
        <v>396</v>
      </c>
      <c r="O165" s="50">
        <f>SUMIFS(SIP[[#Headers],[Unit]]:SIP[[#This Row],[Unit]],SIP[[#Headers],[Investor ID]]:SIP[[#This Row],[Investor ID]],SIP[[#This Row],[Investor ID]])</f>
        <v>2071</v>
      </c>
      <c r="P165" s="38">
        <v>3960</v>
      </c>
      <c r="Q165" s="41">
        <f>SIP[[#This Row],[Amount]]-SIP[[#This Row],[Unit Capital]]</f>
        <v>1040</v>
      </c>
      <c r="R16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12.071463061323033</v>
      </c>
      <c r="S165" s="43">
        <f t="shared" si="25"/>
        <v>12.552</v>
      </c>
      <c r="T16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5" s="43" cm="1">
        <f t="array" ref="U165">IF(SIP[[#This Row],[B/S]]="S",ABS(SIP[[#This Row],[Unit]])*(INDEX(SIP[NAV at Cost (Average)],MATCH(CONCATENATE((SIP[[#This Row],[Frequency]]-1),SIP[[#This Row],[Investor ID]]),SIP[Unique Code],0),0)),0)</f>
        <v>0</v>
      </c>
      <c r="V165" s="43">
        <f>IF(SIP[[#This Row],[BO Transfer]]="YES",SIP[[#This Row],[Unit]],)</f>
        <v>396</v>
      </c>
      <c r="W165" s="41">
        <f>SUMIFS(SIP[[#Headers],[BO UNIT TRANSFER]]:SIP[[#This Row],[BO UNIT TRANSFER]],SIP[[#Headers],[Investor ID]]:SIP[[#This Row],[Investor ID]],SIP[[#This Row],[Investor ID]])</f>
        <v>820</v>
      </c>
    </row>
    <row r="166" spans="1:23" ht="15" customHeight="1">
      <c r="A166" s="15">
        <v>2026</v>
      </c>
      <c r="B166" s="15">
        <v>2</v>
      </c>
      <c r="C166" s="15">
        <v>5</v>
      </c>
      <c r="D166" s="39">
        <f>IFERROR(DATE(SIP[[#This Row],[Year]],SIP[[#This Row],[Month]],SIP[[#This Row],[Day]]),0)</f>
        <v>46058</v>
      </c>
      <c r="E166" s="40" t="str" cm="1">
        <f t="array" ref="E166">IFERROR(INDEX(INVESTORS_LIST[INVESTOR NAME],MATCH(SIP[[#This Row],[Investor ID]],INVESTORS_LIST[INVESTOR CODE],0),)," ")</f>
        <v>AHNAF ABRAR HASIN</v>
      </c>
      <c r="F166" s="15" t="s">
        <v>1527</v>
      </c>
      <c r="G166" s="15">
        <f>COUNTIFS(SIP[[#Headers],[Investor ID]]:SIP[[#This Row],[Investor ID]],SIP[[#This Row],[Investor ID]])</f>
        <v>4</v>
      </c>
      <c r="H166" s="15" t="str">
        <f>CONCATENATE(SIP[[#This Row],[Frequency]],SIP[[#This Row],[Investor ID]])</f>
        <v>4A00669</v>
      </c>
      <c r="I166" s="15" t="str">
        <f>IF(SIP[[#This Row],[B/S]]="B","BUY",(IF(SIP[[#This Row],[B/S]]="S","SELL"," ")))</f>
        <v>BUY</v>
      </c>
      <c r="J166" s="15" t="s">
        <v>301</v>
      </c>
      <c r="K166" s="38">
        <v>32000</v>
      </c>
      <c r="L166" s="38" t="s">
        <v>957</v>
      </c>
      <c r="M166" s="176">
        <f>IFERROR(SIP[[#This Row],[Amount]]/SIP[[#This Row],[Unit]],0)</f>
        <v>12.613322822230982</v>
      </c>
      <c r="N166" s="42">
        <f>SIP[[#This Row],[Unit Capital]]/10</f>
        <v>2537</v>
      </c>
      <c r="O166" s="50">
        <f>SUMIFS(SIP[[#Headers],[Unit]]:SIP[[#This Row],[Unit]],SIP[[#Headers],[Investor ID]]:SIP[[#This Row],[Investor ID]],SIP[[#This Row],[Investor ID]])</f>
        <v>10624</v>
      </c>
      <c r="P166" s="38">
        <v>25370</v>
      </c>
      <c r="Q166" s="41">
        <f>SIP[[#This Row],[Amount]]-SIP[[#This Row],[Unit Capital]]</f>
        <v>6630</v>
      </c>
      <c r="R16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12.048192771084338</v>
      </c>
      <c r="S166" s="43">
        <f t="shared" si="25"/>
        <v>12.552</v>
      </c>
      <c r="T16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6" s="43" cm="1">
        <f t="array" ref="U166">IF(SIP[[#This Row],[B/S]]="S",ABS(SIP[[#This Row],[Unit]])*(INDEX(SIP[NAV at Cost (Average)],MATCH(CONCATENATE((SIP[[#This Row],[Frequency]]-1),SIP[[#This Row],[Investor ID]]),SIP[Unique Code],0),0)),0)</f>
        <v>0</v>
      </c>
      <c r="V166" s="43">
        <f>IF(SIP[[#This Row],[BO Transfer]]="YES",SIP[[#This Row],[Unit]],)</f>
        <v>2537</v>
      </c>
      <c r="W166" s="41">
        <f>SUMIFS(SIP[[#Headers],[BO UNIT TRANSFER]]:SIP[[#This Row],[BO UNIT TRANSFER]],SIP[[#Headers],[Investor ID]]:SIP[[#This Row],[Investor ID]],SIP[[#This Row],[Investor ID]])</f>
        <v>10624</v>
      </c>
    </row>
    <row r="167" spans="1:23" ht="15" customHeight="1">
      <c r="A167" s="15">
        <v>2026</v>
      </c>
      <c r="B167" s="15">
        <v>2</v>
      </c>
      <c r="C167" s="15">
        <v>10</v>
      </c>
      <c r="D167" s="39">
        <f>IFERROR(DATE(SIP[[#This Row],[Year]],SIP[[#This Row],[Month]],SIP[[#This Row],[Day]]),0)</f>
        <v>46063</v>
      </c>
      <c r="E167" s="40" t="str" cm="1">
        <f t="array" ref="E167">IFERROR(INDEX(INVESTORS_LIST[INVESTOR NAME],MATCH(SIP[[#This Row],[Investor ID]],INVESTORS_LIST[INVESTOR CODE],0),)," ")</f>
        <v>AL-FARABI AKASH</v>
      </c>
      <c r="F167" s="15" t="s">
        <v>1603</v>
      </c>
      <c r="G167" s="15">
        <f>COUNTIFS(SIP[[#Headers],[Investor ID]]:SIP[[#This Row],[Investor ID]],SIP[[#This Row],[Investor ID]])</f>
        <v>1</v>
      </c>
      <c r="H167" s="15" t="str">
        <f>CONCATENATE(SIP[[#This Row],[Frequency]],SIP[[#This Row],[Investor ID]])</f>
        <v>1BR0002</v>
      </c>
      <c r="I167" s="15" t="str">
        <f>IF(SIP[[#This Row],[B/S]]="B","BUY",(IF(SIP[[#This Row],[B/S]]="S","SELL"," ")))</f>
        <v>BUY</v>
      </c>
      <c r="J167" s="15" t="s">
        <v>301</v>
      </c>
      <c r="K167" s="38">
        <v>1000</v>
      </c>
      <c r="L167" s="38" t="s">
        <v>957</v>
      </c>
      <c r="M167" s="176">
        <f>IFERROR(SIP[[#This Row],[Amount]]/SIP[[#This Row],[Unit]],0)</f>
        <v>12.5</v>
      </c>
      <c r="N167" s="42">
        <f>SIP[[#This Row],[Unit Capital]]/10</f>
        <v>80</v>
      </c>
      <c r="O167" s="50">
        <f>SUMIFS(SIP[[#Headers],[Unit]]:SIP[[#This Row],[Unit]],SIP[[#Headers],[Investor ID]]:SIP[[#This Row],[Investor ID]],SIP[[#This Row],[Investor ID]])</f>
        <v>80</v>
      </c>
      <c r="P167" s="38">
        <v>800</v>
      </c>
      <c r="Q167" s="41">
        <f>SIP[[#This Row],[Amount]]-SIP[[#This Row],[Unit Capital]]</f>
        <v>200</v>
      </c>
      <c r="R16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</v>
      </c>
      <c r="S167" s="43">
        <f t="shared" si="25"/>
        <v>12.552</v>
      </c>
      <c r="T16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7" s="43" cm="1">
        <f t="array" ref="U167">IF(SIP[[#This Row],[B/S]]="S",ABS(SIP[[#This Row],[Unit]])*(INDEX(SIP[NAV at Cost (Average)],MATCH(CONCATENATE((SIP[[#This Row],[Frequency]]-1),SIP[[#This Row],[Investor ID]]),SIP[Unique Code],0),0)),0)</f>
        <v>0</v>
      </c>
      <c r="V167" s="43">
        <f>IF(SIP[[#This Row],[BO Transfer]]="YES",SIP[[#This Row],[Unit]],)</f>
        <v>80</v>
      </c>
      <c r="W167" s="41">
        <f>SUMIFS(SIP[[#Headers],[BO UNIT TRANSFER]]:SIP[[#This Row],[BO UNIT TRANSFER]],SIP[[#Headers],[Investor ID]]:SIP[[#This Row],[Investor ID]],SIP[[#This Row],[Investor ID]])</f>
        <v>80</v>
      </c>
    </row>
    <row r="168" spans="1:23" ht="15" customHeight="1">
      <c r="A168" s="15">
        <v>2026</v>
      </c>
      <c r="B168" s="15">
        <v>2</v>
      </c>
      <c r="C168" s="15">
        <v>10</v>
      </c>
      <c r="D168" s="39">
        <f>IFERROR(DATE(SIP[[#This Row],[Year]],SIP[[#This Row],[Month]],SIP[[#This Row],[Day]]),0)</f>
        <v>46063</v>
      </c>
      <c r="E168" s="40" t="str" cm="1">
        <f t="array" ref="E168">IFERROR(INDEX(INVESTORS_LIST[INVESTOR NAME],MATCH(SIP[[#This Row],[Investor ID]],INVESTORS_LIST[INVESTOR CODE],0),)," ")</f>
        <v>MD. OMAR FARUQUE Al QUADERI</v>
      </c>
      <c r="F168" s="15" t="s">
        <v>63</v>
      </c>
      <c r="G168" s="15">
        <f>COUNTIFS(SIP[[#Headers],[Investor ID]]:SIP[[#This Row],[Investor ID]],SIP[[#This Row],[Investor ID]])</f>
        <v>4</v>
      </c>
      <c r="H168" s="15" t="str">
        <f>CONCATENATE(SIP[[#This Row],[Frequency]],SIP[[#This Row],[Investor ID]])</f>
        <v>4A00056</v>
      </c>
      <c r="I168" s="15" t="str">
        <f>IF(SIP[[#This Row],[B/S]]="B","BUY",(IF(SIP[[#This Row],[B/S]]="S","SELL"," ")))</f>
        <v>BUY</v>
      </c>
      <c r="J168" s="15" t="s">
        <v>301</v>
      </c>
      <c r="K168" s="38">
        <v>5000</v>
      </c>
      <c r="L168" s="38"/>
      <c r="M168" s="176">
        <f>IFERROR(SIP[[#This Row],[Amount]]/SIP[[#This Row],[Unit]],0)</f>
        <v>12.658227848101266</v>
      </c>
      <c r="N168" s="42">
        <f>SIP[[#This Row],[Unit Capital]]/10</f>
        <v>395</v>
      </c>
      <c r="O168" s="50">
        <f>SUMIFS(SIP[[#Headers],[Unit]]:SIP[[#This Row],[Unit]],SIP[[#Headers],[Investor ID]]:SIP[[#This Row],[Investor ID]],SIP[[#This Row],[Investor ID]])</f>
        <v>1648</v>
      </c>
      <c r="P168" s="38">
        <v>3950</v>
      </c>
      <c r="Q168" s="41">
        <f>SIP[[#This Row],[Amount]]-SIP[[#This Row],[Unit Capital]]</f>
        <v>1050</v>
      </c>
      <c r="R16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12.135922330097088</v>
      </c>
      <c r="S168" s="43">
        <f t="shared" si="25"/>
        <v>12.552</v>
      </c>
      <c r="T16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8" s="43" cm="1">
        <f t="array" ref="U168">IF(SIP[[#This Row],[B/S]]="S",ABS(SIP[[#This Row],[Unit]])*(INDEX(SIP[NAV at Cost (Average)],MATCH(CONCATENATE((SIP[[#This Row],[Frequency]]-1),SIP[[#This Row],[Investor ID]]),SIP[Unique Code],0),0)),0)</f>
        <v>0</v>
      </c>
      <c r="V168" s="43">
        <f>IF(SIP[[#This Row],[BO Transfer]]="YES",SIP[[#This Row],[Unit]],)</f>
        <v>0</v>
      </c>
      <c r="W168" s="41">
        <f>SUMIFS(SIP[[#Headers],[BO UNIT TRANSFER]]:SIP[[#This Row],[BO UNIT TRANSFER]],SIP[[#Headers],[Investor ID]]:SIP[[#This Row],[Investor ID]],SIP[[#This Row],[Investor ID]])</f>
        <v>0</v>
      </c>
    </row>
    <row r="169" spans="1:23" ht="15" customHeight="1">
      <c r="A169" s="15">
        <v>2026</v>
      </c>
      <c r="B169" s="15">
        <v>2</v>
      </c>
      <c r="C169" s="15">
        <v>15</v>
      </c>
      <c r="D169" s="39">
        <f>IFERROR(DATE(SIP[[#This Row],[Year]],SIP[[#This Row],[Month]],SIP[[#This Row],[Day]]),0)</f>
        <v>46068</v>
      </c>
      <c r="E169" s="40" t="str" cm="1">
        <f t="array" ref="E169">IFERROR(INDEX(INVESTORS_LIST[INVESTOR NAME],MATCH(SIP[[#This Row],[Investor ID]],INVESTORS_LIST[INVESTOR CODE],0),)," ")</f>
        <v>MD. RIDWAN SIDDIQUEE</v>
      </c>
      <c r="F169" s="15" t="s">
        <v>1597</v>
      </c>
      <c r="G169" s="15">
        <f>COUNTIFS(SIP[[#Headers],[Investor ID]]:SIP[[#This Row],[Investor ID]],SIP[[#This Row],[Investor ID]])</f>
        <v>1</v>
      </c>
      <c r="H169" s="15" t="str">
        <f>CONCATENATE(SIP[[#This Row],[Frequency]],SIP[[#This Row],[Investor ID]])</f>
        <v>1BI0009</v>
      </c>
      <c r="I169" s="15" t="str">
        <f>IF(SIP[[#This Row],[B/S]]="B","BUY",(IF(SIP[[#This Row],[B/S]]="S","SELL"," ")))</f>
        <v>BUY</v>
      </c>
      <c r="J169" s="15" t="s">
        <v>301</v>
      </c>
      <c r="K169" s="38">
        <v>10000</v>
      </c>
      <c r="L169" s="38" t="s">
        <v>957</v>
      </c>
      <c r="M169" s="176">
        <f>IFERROR(SIP[[#This Row],[Amount]]/SIP[[#This Row],[Unit]],0)</f>
        <v>12.804097311139564</v>
      </c>
      <c r="N169" s="42">
        <f>SIP[[#This Row],[Unit Capital]]/10</f>
        <v>781</v>
      </c>
      <c r="O169" s="50">
        <f>SUMIFS(SIP[[#Headers],[Unit]]:SIP[[#This Row],[Unit]],SIP[[#Headers],[Investor ID]]:SIP[[#This Row],[Investor ID]],SIP[[#This Row],[Investor ID]])</f>
        <v>781</v>
      </c>
      <c r="P169" s="38">
        <v>7810</v>
      </c>
      <c r="Q169" s="41">
        <f>SIP[[#This Row],[Amount]]-SIP[[#This Row],[Unit Capital]]</f>
        <v>2190</v>
      </c>
      <c r="R16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12.804097311139564</v>
      </c>
      <c r="S169" s="43">
        <f t="shared" si="25"/>
        <v>12.552</v>
      </c>
      <c r="T16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69" s="43" cm="1">
        <f t="array" ref="U169">IF(SIP[[#This Row],[B/S]]="S",ABS(SIP[[#This Row],[Unit]])*(INDEX(SIP[NAV at Cost (Average)],MATCH(CONCATENATE((SIP[[#This Row],[Frequency]]-1),SIP[[#This Row],[Investor ID]]),SIP[Unique Code],0),0)),0)</f>
        <v>0</v>
      </c>
      <c r="V169" s="43">
        <f>IF(SIP[[#This Row],[BO Transfer]]="YES",SIP[[#This Row],[Unit]],)</f>
        <v>781</v>
      </c>
      <c r="W169" s="41">
        <f>SUMIFS(SIP[[#Headers],[BO UNIT TRANSFER]]:SIP[[#This Row],[BO UNIT TRANSFER]],SIP[[#Headers],[Investor ID]]:SIP[[#This Row],[Investor ID]],SIP[[#This Row],[Investor ID]])</f>
        <v>781</v>
      </c>
    </row>
    <row r="170" spans="1:23" ht="15" customHeight="1">
      <c r="A170" s="15">
        <v>2026</v>
      </c>
      <c r="B170" s="15">
        <v>2</v>
      </c>
      <c r="C170" s="15">
        <v>15</v>
      </c>
      <c r="D170" s="39">
        <f>IFERROR(DATE(SIP[[#This Row],[Year]],SIP[[#This Row],[Month]],SIP[[#This Row],[Day]]),0)</f>
        <v>46068</v>
      </c>
      <c r="E170" s="40" t="str" cm="1">
        <f t="array" ref="E170">IFERROR(INDEX(INVESTORS_LIST[INVESTOR NAME],MATCH(SIP[[#This Row],[Investor ID]],INVESTORS_LIST[INVESTOR CODE],0),)," ")</f>
        <v>MD. KAMRUZZAMAN SHOVON</v>
      </c>
      <c r="F170" s="15" t="s">
        <v>1553</v>
      </c>
      <c r="G170" s="15">
        <f>COUNTIFS(SIP[[#Headers],[Investor ID]]:SIP[[#This Row],[Investor ID]],SIP[[#This Row],[Investor ID]])</f>
        <v>3</v>
      </c>
      <c r="H170" s="15" t="str">
        <f>CONCATENATE(SIP[[#This Row],[Frequency]],SIP[[#This Row],[Investor ID]])</f>
        <v>3A00680</v>
      </c>
      <c r="I170" s="15" t="str">
        <f>IF(SIP[[#This Row],[B/S]]="B","BUY",(IF(SIP[[#This Row],[B/S]]="S","SELL"," ")))</f>
        <v>BUY</v>
      </c>
      <c r="J170" s="15" t="s">
        <v>301</v>
      </c>
      <c r="K170" s="38">
        <v>1000</v>
      </c>
      <c r="L170" s="38"/>
      <c r="M170" s="176">
        <f>IFERROR(SIP[[#This Row],[Amount]]/SIP[[#This Row],[Unit]],0)</f>
        <v>12.820512820512821</v>
      </c>
      <c r="N170" s="42">
        <f>SIP[[#This Row],[Unit Capital]]/10</f>
        <v>78</v>
      </c>
      <c r="O170" s="50">
        <f>SUMIFS(SIP[[#Headers],[Unit]]:SIP[[#This Row],[Unit]],SIP[[#Headers],[Investor ID]]:SIP[[#This Row],[Investor ID]],SIP[[#This Row],[Investor ID]])</f>
        <v>246</v>
      </c>
      <c r="P170" s="38">
        <v>780</v>
      </c>
      <c r="Q170" s="41">
        <f>SIP[[#This Row],[Amount]]-SIP[[#This Row],[Unit Capital]]</f>
        <v>220</v>
      </c>
      <c r="R17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12.195121951219512</v>
      </c>
      <c r="S170" s="43">
        <f t="shared" si="25"/>
        <v>12.552</v>
      </c>
      <c r="T17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0" s="43" cm="1">
        <f t="array" ref="U170">IF(SIP[[#This Row],[B/S]]="S",ABS(SIP[[#This Row],[Unit]])*(INDEX(SIP[NAV at Cost (Average)],MATCH(CONCATENATE((SIP[[#This Row],[Frequency]]-1),SIP[[#This Row],[Investor ID]]),SIP[Unique Code],0),0)),0)</f>
        <v>0</v>
      </c>
      <c r="V170" s="43">
        <f>IF(SIP[[#This Row],[BO Transfer]]="YES",SIP[[#This Row],[Unit]],)</f>
        <v>0</v>
      </c>
      <c r="W170" s="41">
        <f>SUMIFS(SIP[[#Headers],[BO UNIT TRANSFER]]:SIP[[#This Row],[BO UNIT TRANSFER]],SIP[[#Headers],[Investor ID]]:SIP[[#This Row],[Investor ID]],SIP[[#This Row],[Investor ID]])</f>
        <v>0</v>
      </c>
    </row>
    <row r="171" spans="1:23" ht="15" customHeight="1">
      <c r="A171" s="15">
        <v>2026</v>
      </c>
      <c r="B171" s="15">
        <v>2</v>
      </c>
      <c r="C171" s="15">
        <v>19</v>
      </c>
      <c r="D171" s="39">
        <f>IFERROR(DATE(SIP[[#This Row],[Year]],SIP[[#This Row],[Month]],SIP[[#This Row],[Day]]),0)</f>
        <v>46072</v>
      </c>
      <c r="E171" s="40" t="str" cm="1">
        <f t="array" ref="E171">IFERROR(INDEX(INVESTORS_LIST[INVESTOR NAME],MATCH(SIP[[#This Row],[Investor ID]],INVESTORS_LIST[INVESTOR CODE],0),)," ")</f>
        <v>ALBIN AHAMED</v>
      </c>
      <c r="F171" s="15" t="s">
        <v>1611</v>
      </c>
      <c r="G171" s="15">
        <f>COUNTIFS(SIP[[#Headers],[Investor ID]]:SIP[[#This Row],[Investor ID]],SIP[[#This Row],[Investor ID]])</f>
        <v>1</v>
      </c>
      <c r="H171" s="15" t="str">
        <f>CONCATENATE(SIP[[#This Row],[Frequency]],SIP[[#This Row],[Investor ID]])</f>
        <v>1BR0003</v>
      </c>
      <c r="I171" s="15" t="str">
        <f>IF(SIP[[#This Row],[B/S]]="B","BUY",(IF(SIP[[#This Row],[B/S]]="S","SELL"," ")))</f>
        <v>BUY</v>
      </c>
      <c r="J171" s="15" t="s">
        <v>301</v>
      </c>
      <c r="K171" s="38">
        <v>1000</v>
      </c>
      <c r="L171" s="38" t="s">
        <v>957</v>
      </c>
      <c r="M171" s="176">
        <f>IFERROR(SIP[[#This Row],[Amount]]/SIP[[#This Row],[Unit]],0)</f>
        <v>12.987012987012987</v>
      </c>
      <c r="N171" s="42">
        <f>SIP[[#This Row],[Unit Capital]]/10</f>
        <v>77</v>
      </c>
      <c r="O171" s="50">
        <f>SUMIFS(SIP[[#Headers],[Unit]]:SIP[[#This Row],[Unit]],SIP[[#Headers],[Investor ID]]:SIP[[#This Row],[Investor ID]],SIP[[#This Row],[Investor ID]])</f>
        <v>77</v>
      </c>
      <c r="P171" s="38">
        <v>770</v>
      </c>
      <c r="Q171" s="41">
        <f>SIP[[#This Row],[Amount]]-SIP[[#This Row],[Unit Capital]]</f>
        <v>230</v>
      </c>
      <c r="R17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12.987012987012987</v>
      </c>
      <c r="S171" s="43">
        <f t="shared" ref="S171:S186" si="26">NAV_MKT</f>
        <v>12.552</v>
      </c>
      <c r="T17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1" s="43" cm="1">
        <f t="array" ref="U171">IF(SIP[[#This Row],[B/S]]="S",ABS(SIP[[#This Row],[Unit]])*(INDEX(SIP[NAV at Cost (Average)],MATCH(CONCATENATE((SIP[[#This Row],[Frequency]]-1),SIP[[#This Row],[Investor ID]]),SIP[Unique Code],0),0)),0)</f>
        <v>0</v>
      </c>
      <c r="V171" s="43">
        <f>IF(SIP[[#This Row],[BO Transfer]]="YES",SIP[[#This Row],[Unit]],)</f>
        <v>77</v>
      </c>
      <c r="W171" s="41">
        <f>SUMIFS(SIP[[#Headers],[BO UNIT TRANSFER]]:SIP[[#This Row],[BO UNIT TRANSFER]],SIP[[#Headers],[Investor ID]]:SIP[[#This Row],[Investor ID]],SIP[[#This Row],[Investor ID]])</f>
        <v>77</v>
      </c>
    </row>
    <row r="172" spans="1:23" ht="15" customHeight="1">
      <c r="A172" s="15">
        <v>2026</v>
      </c>
      <c r="B172" s="15">
        <v>2</v>
      </c>
      <c r="C172" s="15">
        <v>26</v>
      </c>
      <c r="D172" s="39">
        <f>IFERROR(DATE(SIP[[#This Row],[Year]],SIP[[#This Row],[Month]],SIP[[#This Row],[Day]]),0)</f>
        <v>46079</v>
      </c>
      <c r="E172" s="40" t="str" cm="1">
        <f t="array" ref="E172">IFERROR(INDEX(INVESTORS_LIST[INVESTOR NAME],MATCH(SIP[[#This Row],[Investor ID]],INVESTORS_LIST[INVESTOR CODE],0),)," ")</f>
        <v>HUMAIRA TABASSUM READDHE</v>
      </c>
      <c r="F172" s="15" t="s">
        <v>1118</v>
      </c>
      <c r="G172" s="15">
        <f>COUNTIFS(SIP[[#Headers],[Investor ID]]:SIP[[#This Row],[Investor ID]],SIP[[#This Row],[Investor ID]])</f>
        <v>20</v>
      </c>
      <c r="H172" s="15" t="str">
        <f>CONCATENATE(SIP[[#This Row],[Frequency]],SIP[[#This Row],[Investor ID]])</f>
        <v>20A00503</v>
      </c>
      <c r="I172" s="15" t="str">
        <f>IF(SIP[[#This Row],[B/S]]="B","BUY",(IF(SIP[[#This Row],[B/S]]="S","SELL"," ")))</f>
        <v>BUY</v>
      </c>
      <c r="J172" s="15" t="s">
        <v>301</v>
      </c>
      <c r="K172" s="38">
        <v>2000</v>
      </c>
      <c r="L172" s="38"/>
      <c r="M172" s="176">
        <f>IFERROR(SIP[[#This Row],[Amount]]/SIP[[#This Row],[Unit]],0)</f>
        <v>13.157894736842104</v>
      </c>
      <c r="N172" s="42">
        <f>SIP[[#This Row],[Unit Capital]]/10</f>
        <v>152</v>
      </c>
      <c r="O172" s="50">
        <f>SUMIFS(SIP[[#Headers],[Unit]]:SIP[[#This Row],[Unit]],SIP[[#Headers],[Investor ID]]:SIP[[#This Row],[Investor ID]],SIP[[#This Row],[Investor ID]])</f>
        <v>2637</v>
      </c>
      <c r="P172" s="38">
        <v>1520</v>
      </c>
      <c r="Q172" s="41">
        <f>SIP[[#This Row],[Amount]]-SIP[[#This Row],[Unit Capital]]</f>
        <v>480</v>
      </c>
      <c r="R17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11.376564277588168</v>
      </c>
      <c r="S172" s="43">
        <f t="shared" si="26"/>
        <v>12.552</v>
      </c>
      <c r="T17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2" s="43" cm="1">
        <f t="array" ref="U172">IF(SIP[[#This Row],[B/S]]="S",ABS(SIP[[#This Row],[Unit]])*(INDEX(SIP[NAV at Cost (Average)],MATCH(CONCATENATE((SIP[[#This Row],[Frequency]]-1),SIP[[#This Row],[Investor ID]]),SIP[Unique Code],0),0)),0)</f>
        <v>0</v>
      </c>
      <c r="V172" s="43">
        <f>IF(SIP[[#This Row],[BO Transfer]]="YES",SIP[[#This Row],[Unit]],)</f>
        <v>0</v>
      </c>
      <c r="W172" s="41">
        <f>SUMIFS(SIP[[#Headers],[BO UNIT TRANSFER]]:SIP[[#This Row],[BO UNIT TRANSFER]],SIP[[#Headers],[Investor ID]]:SIP[[#This Row],[Investor ID]],SIP[[#This Row],[Investor ID]])</f>
        <v>0</v>
      </c>
    </row>
    <row r="173" spans="1:23" ht="15" customHeight="1">
      <c r="A173" s="15">
        <v>2026</v>
      </c>
      <c r="B173" s="15">
        <v>2</v>
      </c>
      <c r="C173" s="15">
        <v>26</v>
      </c>
      <c r="D173" s="39">
        <f>IFERROR(DATE(SIP[[#This Row],[Year]],SIP[[#This Row],[Month]],SIP[[#This Row],[Day]]),0)</f>
        <v>46079</v>
      </c>
      <c r="E173" s="40" t="str" cm="1">
        <f t="array" ref="E173">IFERROR(INDEX(INVESTORS_LIST[INVESTOR NAME],MATCH(SIP[[#This Row],[Investor ID]],INVESTORS_LIST[INVESTOR CODE],0),)," ")</f>
        <v>NAYEEM UDDIN</v>
      </c>
      <c r="F173" s="15" t="s">
        <v>1538</v>
      </c>
      <c r="G173" s="15">
        <f>COUNTIFS(SIP[[#Headers],[Investor ID]]:SIP[[#This Row],[Investor ID]],SIP[[#This Row],[Investor ID]])</f>
        <v>4</v>
      </c>
      <c r="H173" s="15" t="str">
        <f>CONCATENATE(SIP[[#This Row],[Frequency]],SIP[[#This Row],[Investor ID]])</f>
        <v>4A00672</v>
      </c>
      <c r="I173" s="15" t="str">
        <f>IF(SIP[[#This Row],[B/S]]="B","BUY",(IF(SIP[[#This Row],[B/S]]="S","SELL"," ")))</f>
        <v>BUY</v>
      </c>
      <c r="J173" s="15" t="s">
        <v>301</v>
      </c>
      <c r="K173" s="38">
        <v>5000</v>
      </c>
      <c r="L173" s="38"/>
      <c r="M173" s="176">
        <f>IFERROR(SIP[[#This Row],[Amount]]/SIP[[#This Row],[Unit]],0)</f>
        <v>13.192612137203167</v>
      </c>
      <c r="N173" s="42">
        <f>SIP[[#This Row],[Unit Capital]]/10</f>
        <v>379</v>
      </c>
      <c r="O173" s="50">
        <f>SUMIFS(SIP[[#Headers],[Unit]]:SIP[[#This Row],[Unit]],SIP[[#Headers],[Investor ID]]:SIP[[#This Row],[Investor ID]],SIP[[#This Row],[Investor ID]])</f>
        <v>1634</v>
      </c>
      <c r="P173" s="38">
        <v>3790</v>
      </c>
      <c r="Q173" s="41">
        <f>SIP[[#This Row],[Amount]]-SIP[[#This Row],[Unit Capital]]</f>
        <v>1210</v>
      </c>
      <c r="R17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12.239902080783352</v>
      </c>
      <c r="S173" s="43">
        <f t="shared" si="26"/>
        <v>12.552</v>
      </c>
      <c r="T17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3" s="43" cm="1">
        <f t="array" ref="U173">IF(SIP[[#This Row],[B/S]]="S",ABS(SIP[[#This Row],[Unit]])*(INDEX(SIP[NAV at Cost (Average)],MATCH(CONCATENATE((SIP[[#This Row],[Frequency]]-1),SIP[[#This Row],[Investor ID]]),SIP[Unique Code],0),0)),0)</f>
        <v>0</v>
      </c>
      <c r="V173" s="43">
        <f>IF(SIP[[#This Row],[BO Transfer]]="YES",SIP[[#This Row],[Unit]],)</f>
        <v>0</v>
      </c>
      <c r="W173" s="41">
        <f>SUMIFS(SIP[[#Headers],[BO UNIT TRANSFER]]:SIP[[#This Row],[BO UNIT TRANSFER]],SIP[[#Headers],[Investor ID]]:SIP[[#This Row],[Investor ID]],SIP[[#This Row],[Investor ID]])</f>
        <v>831</v>
      </c>
    </row>
    <row r="174" spans="1:23" ht="15" customHeight="1">
      <c r="A174" s="15">
        <v>2026</v>
      </c>
      <c r="B174" s="15">
        <v>2</v>
      </c>
      <c r="C174" s="15">
        <v>26</v>
      </c>
      <c r="D174" s="39">
        <f>IFERROR(DATE(SIP[[#This Row],[Year]],SIP[[#This Row],[Month]],SIP[[#This Row],[Day]]),0)</f>
        <v>46079</v>
      </c>
      <c r="E174" s="40" t="str" cm="1">
        <f t="array" ref="E174">IFERROR(INDEX(INVESTORS_LIST[INVESTOR NAME],MATCH(SIP[[#This Row],[Investor ID]],INVESTORS_LIST[INVESTOR CODE],0),)," ")</f>
        <v>MD. AKRAM UDDIN</v>
      </c>
      <c r="F174" s="15" t="s">
        <v>1308</v>
      </c>
      <c r="G174" s="15">
        <f>COUNTIFS(SIP[[#Headers],[Investor ID]]:SIP[[#This Row],[Investor ID]],SIP[[#This Row],[Investor ID]])</f>
        <v>1</v>
      </c>
      <c r="H174" s="15" t="str">
        <f>CONCATENATE(SIP[[#This Row],[Frequency]],SIP[[#This Row],[Investor ID]])</f>
        <v>1A00557</v>
      </c>
      <c r="I174" s="15" t="str">
        <f>IF(SIP[[#This Row],[B/S]]="B","BUY",(IF(SIP[[#This Row],[B/S]]="S","SELL"," ")))</f>
        <v>BUY</v>
      </c>
      <c r="J174" s="15" t="s">
        <v>301</v>
      </c>
      <c r="K174" s="38">
        <v>5000</v>
      </c>
      <c r="L174" s="38"/>
      <c r="M174" s="176">
        <f>IFERROR(SIP[[#This Row],[Amount]]/SIP[[#This Row],[Unit]],0)</f>
        <v>13.192612137203167</v>
      </c>
      <c r="N174" s="42">
        <f>SIP[[#This Row],[Unit Capital]]/10</f>
        <v>379</v>
      </c>
      <c r="O174" s="50">
        <f>SUMIFS(SIP[[#Headers],[Unit]]:SIP[[#This Row],[Unit]],SIP[[#Headers],[Investor ID]]:SIP[[#This Row],[Investor ID]],SIP[[#This Row],[Investor ID]])</f>
        <v>379</v>
      </c>
      <c r="P174" s="38">
        <v>3790</v>
      </c>
      <c r="Q174" s="41">
        <f>SIP[[#This Row],[Amount]]-SIP[[#This Row],[Unit Capital]]</f>
        <v>1210</v>
      </c>
      <c r="R17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13.192612137203167</v>
      </c>
      <c r="S174" s="43">
        <f t="shared" si="26"/>
        <v>12.552</v>
      </c>
      <c r="T17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4" s="43" cm="1">
        <f t="array" ref="U174">IF(SIP[[#This Row],[B/S]]="S",ABS(SIP[[#This Row],[Unit]])*(INDEX(SIP[NAV at Cost (Average)],MATCH(CONCATENATE((SIP[[#This Row],[Frequency]]-1),SIP[[#This Row],[Investor ID]]),SIP[Unique Code],0),0)),0)</f>
        <v>0</v>
      </c>
      <c r="V174" s="43">
        <f>IF(SIP[[#This Row],[BO Transfer]]="YES",SIP[[#This Row],[Unit]],)</f>
        <v>0</v>
      </c>
      <c r="W174" s="41">
        <f>SUMIFS(SIP[[#Headers],[BO UNIT TRANSFER]]:SIP[[#This Row],[BO UNIT TRANSFER]],SIP[[#Headers],[Investor ID]]:SIP[[#This Row],[Investor ID]],SIP[[#This Row],[Investor ID]])</f>
        <v>0</v>
      </c>
    </row>
    <row r="175" spans="1:23" ht="15" customHeight="1">
      <c r="A175" s="15">
        <v>2026</v>
      </c>
      <c r="B175" s="15">
        <v>2</v>
      </c>
      <c r="C175" s="15">
        <v>26</v>
      </c>
      <c r="D175" s="39">
        <f>IFERROR(DATE(SIP[[#This Row],[Year]],SIP[[#This Row],[Month]],SIP[[#This Row],[Day]]),0)</f>
        <v>46079</v>
      </c>
      <c r="E175" s="40" t="str" cm="1">
        <f t="array" ref="E175">IFERROR(INDEX(INVESTORS_LIST[INVESTOR NAME],MATCH(SIP[[#This Row],[Investor ID]],INVESTORS_LIST[INVESTOR CODE],0),)," ")</f>
        <v>MINHAJ UDDIN</v>
      </c>
      <c r="F175" s="15" t="s">
        <v>29</v>
      </c>
      <c r="G175" s="15">
        <f>COUNTIFS(SIP[[#Headers],[Investor ID]]:SIP[[#This Row],[Investor ID]],SIP[[#This Row],[Investor ID]])</f>
        <v>1</v>
      </c>
      <c r="H175" s="15" t="str">
        <f>CONCATENATE(SIP[[#This Row],[Frequency]],SIP[[#This Row],[Investor ID]])</f>
        <v>1A00022</v>
      </c>
      <c r="I175" s="15" t="str">
        <f>IF(SIP[[#This Row],[B/S]]="B","BUY",(IF(SIP[[#This Row],[B/S]]="S","SELL"," ")))</f>
        <v>BUY</v>
      </c>
      <c r="J175" s="15" t="s">
        <v>301</v>
      </c>
      <c r="K175" s="38">
        <v>10000</v>
      </c>
      <c r="L175" s="38"/>
      <c r="M175" s="176">
        <f>IFERROR(SIP[[#This Row],[Amount]]/SIP[[#This Row],[Unit]],0)</f>
        <v>13.175230566534914</v>
      </c>
      <c r="N175" s="42">
        <f>SIP[[#This Row],[Unit Capital]]/10</f>
        <v>759</v>
      </c>
      <c r="O175" s="50">
        <f>SUMIFS(SIP[[#Headers],[Unit]]:SIP[[#This Row],[Unit]],SIP[[#Headers],[Investor ID]]:SIP[[#This Row],[Investor ID]],SIP[[#This Row],[Investor ID]])</f>
        <v>759</v>
      </c>
      <c r="P175" s="38">
        <v>7590</v>
      </c>
      <c r="Q175" s="41">
        <f>SIP[[#This Row],[Amount]]-SIP[[#This Row],[Unit Capital]]</f>
        <v>2410</v>
      </c>
      <c r="R17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13.175230566534914</v>
      </c>
      <c r="S175" s="43">
        <f t="shared" si="26"/>
        <v>12.552</v>
      </c>
      <c r="T17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5" s="43" cm="1">
        <f t="array" ref="U175">IF(SIP[[#This Row],[B/S]]="S",ABS(SIP[[#This Row],[Unit]])*(INDEX(SIP[NAV at Cost (Average)],MATCH(CONCATENATE((SIP[[#This Row],[Frequency]]-1),SIP[[#This Row],[Investor ID]]),SIP[Unique Code],0),0)),0)</f>
        <v>0</v>
      </c>
      <c r="V175" s="43">
        <f>IF(SIP[[#This Row],[BO Transfer]]="YES",SIP[[#This Row],[Unit]],)</f>
        <v>0</v>
      </c>
      <c r="W175" s="41">
        <f>SUMIFS(SIP[[#Headers],[BO UNIT TRANSFER]]:SIP[[#This Row],[BO UNIT TRANSFER]],SIP[[#Headers],[Investor ID]]:SIP[[#This Row],[Investor ID]],SIP[[#This Row],[Investor ID]])</f>
        <v>0</v>
      </c>
    </row>
    <row r="176" spans="1:23" ht="15" customHeight="1">
      <c r="A176" s="15">
        <v>2026</v>
      </c>
      <c r="B176" s="15">
        <v>2</v>
      </c>
      <c r="C176" s="15">
        <v>26</v>
      </c>
      <c r="D176" s="39">
        <f>IFERROR(DATE(SIP[[#This Row],[Year]],SIP[[#This Row],[Month]],SIP[[#This Row],[Day]]),0)</f>
        <v>46079</v>
      </c>
      <c r="E176" s="40" t="str" cm="1">
        <f t="array" ref="E176">IFERROR(INDEX(INVESTORS_LIST[INVESTOR NAME],MATCH(SIP[[#This Row],[Investor ID]],INVESTORS_LIST[INVESTOR CODE],0),)," ")</f>
        <v>KHADIZA PARVIN</v>
      </c>
      <c r="F176" s="15" t="s">
        <v>1605</v>
      </c>
      <c r="G176" s="15">
        <f>COUNTIFS(SIP[[#Headers],[Investor ID]]:SIP[[#This Row],[Investor ID]],SIP[[#This Row],[Investor ID]])</f>
        <v>1</v>
      </c>
      <c r="H176" s="15" t="str">
        <f>CONCATENATE(SIP[[#This Row],[Frequency]],SIP[[#This Row],[Investor ID]])</f>
        <v>1A00696</v>
      </c>
      <c r="I176" s="15" t="str">
        <f>IF(SIP[[#This Row],[B/S]]="B","BUY",(IF(SIP[[#This Row],[B/S]]="S","SELL"," ")))</f>
        <v>BUY</v>
      </c>
      <c r="J176" s="15" t="s">
        <v>301</v>
      </c>
      <c r="K176" s="38">
        <v>10000</v>
      </c>
      <c r="L176" s="38"/>
      <c r="M176" s="176">
        <f>IFERROR(SIP[[#This Row],[Amount]]/SIP[[#This Row],[Unit]],0)</f>
        <v>13.175230566534914</v>
      </c>
      <c r="N176" s="42">
        <f>SIP[[#This Row],[Unit Capital]]/10</f>
        <v>759</v>
      </c>
      <c r="O176" s="50">
        <f>SUMIFS(SIP[[#Headers],[Unit]]:SIP[[#This Row],[Unit]],SIP[[#Headers],[Investor ID]]:SIP[[#This Row],[Investor ID]],SIP[[#This Row],[Investor ID]])</f>
        <v>759</v>
      </c>
      <c r="P176" s="38">
        <v>7590</v>
      </c>
      <c r="Q176" s="41">
        <f>SIP[[#This Row],[Amount]]-SIP[[#This Row],[Unit Capital]]</f>
        <v>2410</v>
      </c>
      <c r="R17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13.175230566534914</v>
      </c>
      <c r="S176" s="43">
        <f t="shared" si="26"/>
        <v>12.552</v>
      </c>
      <c r="T17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6" s="43" cm="1">
        <f t="array" ref="U176">IF(SIP[[#This Row],[B/S]]="S",ABS(SIP[[#This Row],[Unit]])*(INDEX(SIP[NAV at Cost (Average)],MATCH(CONCATENATE((SIP[[#This Row],[Frequency]]-1),SIP[[#This Row],[Investor ID]]),SIP[Unique Code],0),0)),0)</f>
        <v>0</v>
      </c>
      <c r="V176" s="43">
        <f>IF(SIP[[#This Row],[BO Transfer]]="YES",SIP[[#This Row],[Unit]],)</f>
        <v>0</v>
      </c>
      <c r="W176" s="41">
        <f>SUMIFS(SIP[[#Headers],[BO UNIT TRANSFER]]:SIP[[#This Row],[BO UNIT TRANSFER]],SIP[[#Headers],[Investor ID]]:SIP[[#This Row],[Investor ID]],SIP[[#This Row],[Investor ID]])</f>
        <v>0</v>
      </c>
    </row>
    <row r="177" spans="1:23" ht="15" customHeight="1">
      <c r="A177" s="15">
        <v>2026</v>
      </c>
      <c r="B177" s="15">
        <v>2</v>
      </c>
      <c r="C177" s="15">
        <v>26</v>
      </c>
      <c r="D177" s="39">
        <f>IFERROR(DATE(SIP[[#This Row],[Year]],SIP[[#This Row],[Month]],SIP[[#This Row],[Day]]),0)</f>
        <v>46079</v>
      </c>
      <c r="E177" s="40" t="str" cm="1">
        <f t="array" ref="E177">IFERROR(INDEX(INVESTORS_LIST[INVESTOR NAME],MATCH(SIP[[#This Row],[Investor ID]],INVESTORS_LIST[INVESTOR CODE],0),)," ")</f>
        <v>MAHBUB-UL-ANAM KHAN</v>
      </c>
      <c r="F177" s="15" t="s">
        <v>436</v>
      </c>
      <c r="G177" s="15">
        <f>COUNTIFS(SIP[[#Headers],[Investor ID]]:SIP[[#This Row],[Investor ID]],SIP[[#This Row],[Investor ID]])</f>
        <v>1</v>
      </c>
      <c r="H177" s="15" t="str">
        <f>CONCATENATE(SIP[[#This Row],[Frequency]],SIP[[#This Row],[Investor ID]])</f>
        <v>1A00289</v>
      </c>
      <c r="I177" s="15" t="str">
        <f>IF(SIP[[#This Row],[B/S]]="B","BUY",(IF(SIP[[#This Row],[B/S]]="S","SELL"," ")))</f>
        <v>BUY</v>
      </c>
      <c r="J177" s="15" t="s">
        <v>301</v>
      </c>
      <c r="K177" s="38">
        <v>5000</v>
      </c>
      <c r="L177" s="38"/>
      <c r="M177" s="176">
        <f>IFERROR(SIP[[#This Row],[Amount]]/SIP[[#This Row],[Unit]],0)</f>
        <v>13.192612137203167</v>
      </c>
      <c r="N177" s="42">
        <f>SIP[[#This Row],[Unit Capital]]/10</f>
        <v>379</v>
      </c>
      <c r="O177" s="50">
        <f>SUMIFS(SIP[[#Headers],[Unit]]:SIP[[#This Row],[Unit]],SIP[[#Headers],[Investor ID]]:SIP[[#This Row],[Investor ID]],SIP[[#This Row],[Investor ID]])</f>
        <v>379</v>
      </c>
      <c r="P177" s="38">
        <v>3790</v>
      </c>
      <c r="Q177" s="41">
        <f>SIP[[#This Row],[Amount]]-SIP[[#This Row],[Unit Capital]]</f>
        <v>1210</v>
      </c>
      <c r="R17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13.192612137203167</v>
      </c>
      <c r="S177" s="43">
        <f t="shared" si="26"/>
        <v>12.552</v>
      </c>
      <c r="T17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7" s="43" cm="1">
        <f t="array" ref="U177">IF(SIP[[#This Row],[B/S]]="S",ABS(SIP[[#This Row],[Unit]])*(INDEX(SIP[NAV at Cost (Average)],MATCH(CONCATENATE((SIP[[#This Row],[Frequency]]-1),SIP[[#This Row],[Investor ID]]),SIP[Unique Code],0),0)),0)</f>
        <v>0</v>
      </c>
      <c r="V177" s="43">
        <f>IF(SIP[[#This Row],[BO Transfer]]="YES",SIP[[#This Row],[Unit]],)</f>
        <v>0</v>
      </c>
      <c r="W177" s="41">
        <f>SUMIFS(SIP[[#Headers],[BO UNIT TRANSFER]]:SIP[[#This Row],[BO UNIT TRANSFER]],SIP[[#Headers],[Investor ID]]:SIP[[#This Row],[Investor ID]],SIP[[#This Row],[Investor ID]])</f>
        <v>0</v>
      </c>
    </row>
    <row r="178" spans="1:23" ht="15" customHeight="1">
      <c r="A178" s="15">
        <v>2026</v>
      </c>
      <c r="B178" s="15">
        <v>2</v>
      </c>
      <c r="C178" s="15">
        <v>26</v>
      </c>
      <c r="D178" s="39">
        <f>IFERROR(DATE(SIP[[#This Row],[Year]],SIP[[#This Row],[Month]],SIP[[#This Row],[Day]]),0)</f>
        <v>46079</v>
      </c>
      <c r="E178" s="40" t="str" cm="1">
        <f t="array" ref="E178">IFERROR(INDEX(INVESTORS_LIST[INVESTOR NAME],MATCH(SIP[[#This Row],[Investor ID]],INVESTORS_LIST[INVESTOR CODE],0),)," ")</f>
        <v>HASIB MUSTABSIR</v>
      </c>
      <c r="F178" s="15" t="s">
        <v>230</v>
      </c>
      <c r="G178" s="15">
        <f>COUNTIFS(SIP[[#Headers],[Investor ID]]:SIP[[#This Row],[Investor ID]],SIP[[#This Row],[Investor ID]])</f>
        <v>2</v>
      </c>
      <c r="H178" s="15" t="str">
        <f>CONCATENATE(SIP[[#This Row],[Frequency]],SIP[[#This Row],[Investor ID]])</f>
        <v>2A00194</v>
      </c>
      <c r="I178" s="15" t="str">
        <f>IF(SIP[[#This Row],[B/S]]="B","BUY",(IF(SIP[[#This Row],[B/S]]="S","SELL"," ")))</f>
        <v>BUY</v>
      </c>
      <c r="J178" s="15" t="s">
        <v>301</v>
      </c>
      <c r="K178" s="38">
        <v>10000</v>
      </c>
      <c r="L178" s="38"/>
      <c r="M178" s="176">
        <f>IFERROR(SIP[[#This Row],[Amount]]/SIP[[#This Row],[Unit]],0)</f>
        <v>13.175230566534914</v>
      </c>
      <c r="N178" s="42">
        <f>SIP[[#This Row],[Unit Capital]]/10</f>
        <v>759</v>
      </c>
      <c r="O178" s="50">
        <f>SUMIFS(SIP[[#Headers],[Unit]]:SIP[[#This Row],[Unit]],SIP[[#Headers],[Investor ID]]:SIP[[#This Row],[Investor ID]],SIP[[#This Row],[Investor ID]])</f>
        <v>1583</v>
      </c>
      <c r="P178" s="38">
        <v>7590</v>
      </c>
      <c r="Q178" s="41">
        <f>SIP[[#This Row],[Amount]]-SIP[[#This Row],[Unit Capital]]</f>
        <v>2410</v>
      </c>
      <c r="R17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12.634238787113077</v>
      </c>
      <c r="S178" s="43">
        <f t="shared" si="26"/>
        <v>12.552</v>
      </c>
      <c r="T17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8" s="43" cm="1">
        <f t="array" ref="U178">IF(SIP[[#This Row],[B/S]]="S",ABS(SIP[[#This Row],[Unit]])*(INDEX(SIP[NAV at Cost (Average)],MATCH(CONCATENATE((SIP[[#This Row],[Frequency]]-1),SIP[[#This Row],[Investor ID]]),SIP[Unique Code],0),0)),0)</f>
        <v>0</v>
      </c>
      <c r="V178" s="43">
        <f>IF(SIP[[#This Row],[BO Transfer]]="YES",SIP[[#This Row],[Unit]],)</f>
        <v>0</v>
      </c>
      <c r="W178" s="41">
        <f>SUMIFS(SIP[[#Headers],[BO UNIT TRANSFER]]:SIP[[#This Row],[BO UNIT TRANSFER]],SIP[[#Headers],[Investor ID]]:SIP[[#This Row],[Investor ID]],SIP[[#This Row],[Investor ID]])</f>
        <v>0</v>
      </c>
    </row>
    <row r="179" spans="1:23" ht="15" customHeight="1">
      <c r="A179" s="15">
        <v>2026</v>
      </c>
      <c r="B179" s="15">
        <v>2</v>
      </c>
      <c r="C179" s="15">
        <v>26</v>
      </c>
      <c r="D179" s="39">
        <f>IFERROR(DATE(SIP[[#This Row],[Year]],SIP[[#This Row],[Month]],SIP[[#This Row],[Day]]),0)</f>
        <v>46079</v>
      </c>
      <c r="E179" s="40" t="str" cm="1">
        <f t="array" ref="E179">IFERROR(INDEX(INVESTORS_LIST[INVESTOR NAME],MATCH(SIP[[#This Row],[Investor ID]],INVESTORS_LIST[INVESTOR CODE],0),)," ")</f>
        <v>HASAN MUHAMMED RASEL</v>
      </c>
      <c r="F179" s="15" t="s">
        <v>1561</v>
      </c>
      <c r="G179" s="15">
        <f>COUNTIFS(SIP[[#Headers],[Investor ID]]:SIP[[#This Row],[Investor ID]],SIP[[#This Row],[Investor ID]])</f>
        <v>2</v>
      </c>
      <c r="H179" s="15" t="str">
        <f>CONCATENATE(SIP[[#This Row],[Frequency]],SIP[[#This Row],[Investor ID]])</f>
        <v>2A00685</v>
      </c>
      <c r="I179" s="15" t="str">
        <f>IF(SIP[[#This Row],[B/S]]="B","BUY",(IF(SIP[[#This Row],[B/S]]="S","SELL"," ")))</f>
        <v>BUY</v>
      </c>
      <c r="J179" s="15" t="s">
        <v>301</v>
      </c>
      <c r="K179" s="38">
        <v>40000</v>
      </c>
      <c r="L179" s="38"/>
      <c r="M179" s="176">
        <f>IFERROR(SIP[[#This Row],[Amount]]/SIP[[#This Row],[Unit]],0)</f>
        <v>13.179571663920923</v>
      </c>
      <c r="N179" s="42">
        <f>SIP[[#This Row],[Unit Capital]]/10</f>
        <v>3035</v>
      </c>
      <c r="O179" s="50">
        <f>SUMIFS(SIP[[#Headers],[Unit]]:SIP[[#This Row],[Unit]],SIP[[#Headers],[Investor ID]]:SIP[[#This Row],[Investor ID]],SIP[[#This Row],[Investor ID]])</f>
        <v>6332</v>
      </c>
      <c r="P179" s="38">
        <v>30350</v>
      </c>
      <c r="Q179" s="41">
        <f>SIP[[#This Row],[Amount]]-SIP[[#This Row],[Unit Capital]]</f>
        <v>9650</v>
      </c>
      <c r="R17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12.634238787113077</v>
      </c>
      <c r="S179" s="43">
        <f t="shared" si="26"/>
        <v>12.552</v>
      </c>
      <c r="T17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79" s="43" cm="1">
        <f t="array" ref="U179">IF(SIP[[#This Row],[B/S]]="S",ABS(SIP[[#This Row],[Unit]])*(INDEX(SIP[NAV at Cost (Average)],MATCH(CONCATENATE((SIP[[#This Row],[Frequency]]-1),SIP[[#This Row],[Investor ID]]),SIP[Unique Code],0),0)),0)</f>
        <v>0</v>
      </c>
      <c r="V179" s="43">
        <f>IF(SIP[[#This Row],[BO Transfer]]="YES",SIP[[#This Row],[Unit]],)</f>
        <v>0</v>
      </c>
      <c r="W179" s="41">
        <f>SUMIFS(SIP[[#Headers],[BO UNIT TRANSFER]]:SIP[[#This Row],[BO UNIT TRANSFER]],SIP[[#Headers],[Investor ID]]:SIP[[#This Row],[Investor ID]],SIP[[#This Row],[Investor ID]])</f>
        <v>0</v>
      </c>
    </row>
    <row r="180" spans="1:23" ht="15" customHeight="1">
      <c r="A180" s="15">
        <v>2026</v>
      </c>
      <c r="B180" s="15">
        <v>2</v>
      </c>
      <c r="C180" s="15">
        <v>26</v>
      </c>
      <c r="D180" s="39">
        <f>IFERROR(DATE(SIP[[#This Row],[Year]],SIP[[#This Row],[Month]],SIP[[#This Row],[Day]]),0)</f>
        <v>46079</v>
      </c>
      <c r="E180" s="40" t="str" cm="1">
        <f t="array" ref="E180">IFERROR(INDEX(INVESTORS_LIST[INVESTOR NAME],MATCH(SIP[[#This Row],[Investor ID]],INVESTORS_LIST[INVESTOR CODE],0),)," ")</f>
        <v>MD GOLAM SHAON</v>
      </c>
      <c r="F180" s="15" t="s">
        <v>1327</v>
      </c>
      <c r="G180" s="15">
        <f>COUNTIFS(SIP[[#Headers],[Investor ID]]:SIP[[#This Row],[Investor ID]],SIP[[#This Row],[Investor ID]])</f>
        <v>9</v>
      </c>
      <c r="H180" s="15" t="str">
        <f>CONCATENATE(SIP[[#This Row],[Frequency]],SIP[[#This Row],[Investor ID]])</f>
        <v>9A00567</v>
      </c>
      <c r="I180" s="15" t="str">
        <f>IF(SIP[[#This Row],[B/S]]="B","BUY",(IF(SIP[[#This Row],[B/S]]="S","SELL"," ")))</f>
        <v>BUY</v>
      </c>
      <c r="J180" s="15" t="s">
        <v>301</v>
      </c>
      <c r="K180" s="38">
        <v>10000</v>
      </c>
      <c r="L180" s="38"/>
      <c r="M180" s="176">
        <f>IFERROR(SIP[[#This Row],[Amount]]/SIP[[#This Row],[Unit]],0)</f>
        <v>13.175230566534914</v>
      </c>
      <c r="N180" s="42">
        <f>SIP[[#This Row],[Unit Capital]]/10</f>
        <v>759</v>
      </c>
      <c r="O180" s="50">
        <f>SUMIFS(SIP[[#Headers],[Unit]]:SIP[[#This Row],[Unit]],SIP[[#Headers],[Investor ID]]:SIP[[#This Row],[Investor ID]],SIP[[#This Row],[Investor ID]])</f>
        <v>7523</v>
      </c>
      <c r="P180" s="38">
        <v>7590</v>
      </c>
      <c r="Q180" s="41">
        <f>SIP[[#This Row],[Amount]]-SIP[[#This Row],[Unit Capital]]</f>
        <v>2410</v>
      </c>
      <c r="R18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11.963312508307856</v>
      </c>
      <c r="S180" s="43">
        <f t="shared" si="26"/>
        <v>12.552</v>
      </c>
      <c r="T18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0" s="43" cm="1">
        <f t="array" ref="U180">IF(SIP[[#This Row],[B/S]]="S",ABS(SIP[[#This Row],[Unit]])*(INDEX(SIP[NAV at Cost (Average)],MATCH(CONCATENATE((SIP[[#This Row],[Frequency]]-1),SIP[[#This Row],[Investor ID]]),SIP[Unique Code],0),0)),0)</f>
        <v>0</v>
      </c>
      <c r="V180" s="43">
        <f>IF(SIP[[#This Row],[BO Transfer]]="YES",SIP[[#This Row],[Unit]],)</f>
        <v>0</v>
      </c>
      <c r="W180" s="41">
        <f>SUMIFS(SIP[[#Headers],[BO UNIT TRANSFER]]:SIP[[#This Row],[BO UNIT TRANSFER]],SIP[[#Headers],[Investor ID]]:SIP[[#This Row],[Investor ID]],SIP[[#This Row],[Investor ID]])</f>
        <v>5833</v>
      </c>
    </row>
    <row r="181" spans="1:23" ht="15" customHeight="1">
      <c r="A181" s="15">
        <v>2026</v>
      </c>
      <c r="B181" s="15">
        <v>2</v>
      </c>
      <c r="C181" s="15">
        <v>26</v>
      </c>
      <c r="D181" s="39">
        <f>IFERROR(DATE(SIP[[#This Row],[Year]],SIP[[#This Row],[Month]],SIP[[#This Row],[Day]]),0)</f>
        <v>46079</v>
      </c>
      <c r="E181" s="40" t="str" cm="1">
        <f t="array" ref="E181">IFERROR(INDEX(INVESTORS_LIST[INVESTOR NAME],MATCH(SIP[[#This Row],[Investor ID]],INVESTORS_LIST[INVESTOR CODE],0),)," ")</f>
        <v>FARUK-E AZAM BIN HAIDER</v>
      </c>
      <c r="F181" s="15" t="s">
        <v>220</v>
      </c>
      <c r="G181" s="15">
        <f>COUNTIFS(SIP[[#Headers],[Investor ID]]:SIP[[#This Row],[Investor ID]],SIP[[#This Row],[Investor ID]])</f>
        <v>1</v>
      </c>
      <c r="H181" s="15" t="str">
        <f>CONCATENATE(SIP[[#This Row],[Frequency]],SIP[[#This Row],[Investor ID]])</f>
        <v>1A00188</v>
      </c>
      <c r="I181" s="15" t="str">
        <f>IF(SIP[[#This Row],[B/S]]="B","BUY",(IF(SIP[[#This Row],[B/S]]="S","SELL"," ")))</f>
        <v>BUY</v>
      </c>
      <c r="J181" s="15" t="s">
        <v>301</v>
      </c>
      <c r="K181" s="38">
        <v>10000</v>
      </c>
      <c r="L181" s="38"/>
      <c r="M181" s="176">
        <f>IFERROR(SIP[[#This Row],[Amount]]/SIP[[#This Row],[Unit]],0)</f>
        <v>13.175230566534914</v>
      </c>
      <c r="N181" s="42">
        <f>SIP[[#This Row],[Unit Capital]]/10</f>
        <v>759</v>
      </c>
      <c r="O181" s="50">
        <f>SUMIFS(SIP[[#Headers],[Unit]]:SIP[[#This Row],[Unit]],SIP[[#Headers],[Investor ID]]:SIP[[#This Row],[Investor ID]],SIP[[#This Row],[Investor ID]])</f>
        <v>759</v>
      </c>
      <c r="P181" s="38">
        <v>7590</v>
      </c>
      <c r="Q181" s="41">
        <f>SIP[[#This Row],[Amount]]-SIP[[#This Row],[Unit Capital]]</f>
        <v>2410</v>
      </c>
      <c r="R18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13.175230566534914</v>
      </c>
      <c r="S181" s="43">
        <f t="shared" si="26"/>
        <v>12.552</v>
      </c>
      <c r="T18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1" s="43" cm="1">
        <f t="array" ref="U181">IF(SIP[[#This Row],[B/S]]="S",ABS(SIP[[#This Row],[Unit]])*(INDEX(SIP[NAV at Cost (Average)],MATCH(CONCATENATE((SIP[[#This Row],[Frequency]]-1),SIP[[#This Row],[Investor ID]]),SIP[Unique Code],0),0)),0)</f>
        <v>0</v>
      </c>
      <c r="V181" s="43">
        <f>IF(SIP[[#This Row],[BO Transfer]]="YES",SIP[[#This Row],[Unit]],)</f>
        <v>0</v>
      </c>
      <c r="W181" s="41">
        <f>SUMIFS(SIP[[#Headers],[BO UNIT TRANSFER]]:SIP[[#This Row],[BO UNIT TRANSFER]],SIP[[#Headers],[Investor ID]]:SIP[[#This Row],[Investor ID]],SIP[[#This Row],[Investor ID]])</f>
        <v>0</v>
      </c>
    </row>
    <row r="182" spans="1:23" ht="15" customHeight="1">
      <c r="A182" s="15">
        <v>2026</v>
      </c>
      <c r="B182" s="15">
        <v>2</v>
      </c>
      <c r="C182" s="15">
        <v>26</v>
      </c>
      <c r="D182" s="39">
        <f>IFERROR(DATE(SIP[[#This Row],[Year]],SIP[[#This Row],[Month]],SIP[[#This Row],[Day]]),0)</f>
        <v>46079</v>
      </c>
      <c r="E182" s="40" t="str" cm="1">
        <f t="array" ref="E182">IFERROR(INDEX(INVESTORS_LIST[INVESTOR NAME],MATCH(SIP[[#This Row],[Investor ID]],INVESTORS_LIST[INVESTOR CODE],0),)," ")</f>
        <v>MD. ARIFUL ISLAM</v>
      </c>
      <c r="F182" s="15" t="s">
        <v>95</v>
      </c>
      <c r="G182" s="15">
        <f>COUNTIFS(SIP[[#Headers],[Investor ID]]:SIP[[#This Row],[Investor ID]],SIP[[#This Row],[Investor ID]])</f>
        <v>1</v>
      </c>
      <c r="H182" s="15" t="str">
        <f>CONCATENATE(SIP[[#This Row],[Frequency]],SIP[[#This Row],[Investor ID]])</f>
        <v>1A00087</v>
      </c>
      <c r="I182" s="15" t="str">
        <f>IF(SIP[[#This Row],[B/S]]="B","BUY",(IF(SIP[[#This Row],[B/S]]="S","SELL"," ")))</f>
        <v>BUY</v>
      </c>
      <c r="J182" s="15" t="s">
        <v>301</v>
      </c>
      <c r="K182" s="38">
        <v>25000</v>
      </c>
      <c r="L182" s="38"/>
      <c r="M182" s="176">
        <f>IFERROR(SIP[[#This Row],[Amount]]/SIP[[#This Row],[Unit]],0)</f>
        <v>13.178703215603585</v>
      </c>
      <c r="N182" s="42">
        <f>SIP[[#This Row],[Unit Capital]]/10</f>
        <v>1897</v>
      </c>
      <c r="O182" s="50">
        <f>SUMIFS(SIP[[#Headers],[Unit]]:SIP[[#This Row],[Unit]],SIP[[#Headers],[Investor ID]]:SIP[[#This Row],[Investor ID]],SIP[[#This Row],[Investor ID]])</f>
        <v>1897</v>
      </c>
      <c r="P182" s="38">
        <v>18970</v>
      </c>
      <c r="Q182" s="41">
        <f>SIP[[#This Row],[Amount]]-SIP[[#This Row],[Unit Capital]]</f>
        <v>6030</v>
      </c>
      <c r="R18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13.178703215603585</v>
      </c>
      <c r="S182" s="43">
        <f t="shared" si="26"/>
        <v>12.552</v>
      </c>
      <c r="T18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2" s="43" cm="1">
        <f t="array" ref="U182">IF(SIP[[#This Row],[B/S]]="S",ABS(SIP[[#This Row],[Unit]])*(INDEX(SIP[NAV at Cost (Average)],MATCH(CONCATENATE((SIP[[#This Row],[Frequency]]-1),SIP[[#This Row],[Investor ID]]),SIP[Unique Code],0),0)),0)</f>
        <v>0</v>
      </c>
      <c r="V182" s="43">
        <f>IF(SIP[[#This Row],[BO Transfer]]="YES",SIP[[#This Row],[Unit]],)</f>
        <v>0</v>
      </c>
      <c r="W182" s="41">
        <f>SUMIFS(SIP[[#Headers],[BO UNIT TRANSFER]]:SIP[[#This Row],[BO UNIT TRANSFER]],SIP[[#Headers],[Investor ID]]:SIP[[#This Row],[Investor ID]],SIP[[#This Row],[Investor ID]])</f>
        <v>0</v>
      </c>
    </row>
    <row r="183" spans="1:23" ht="15" customHeight="1">
      <c r="A183" s="15">
        <v>2026</v>
      </c>
      <c r="B183" s="15">
        <v>3</v>
      </c>
      <c r="C183" s="15">
        <v>1</v>
      </c>
      <c r="D183" s="39">
        <f>IFERROR(DATE(SIP[[#This Row],[Year]],SIP[[#This Row],[Month]],SIP[[#This Row],[Day]]),0)</f>
        <v>46082</v>
      </c>
      <c r="E183" s="40" t="str" cm="1">
        <f t="array" ref="E183">IFERROR(INDEX(INVESTORS_LIST[INVESTOR NAME],MATCH(SIP[[#This Row],[Investor ID]],INVESTORS_LIST[INVESTOR CODE],0),)," ")</f>
        <v>NAYEEM UDDIN</v>
      </c>
      <c r="F183" s="15" t="s">
        <v>1538</v>
      </c>
      <c r="G183" s="15">
        <f>COUNTIFS(SIP[[#Headers],[Investor ID]]:SIP[[#This Row],[Investor ID]],SIP[[#This Row],[Investor ID]])</f>
        <v>5</v>
      </c>
      <c r="H183" s="15" t="str">
        <f>CONCATENATE(SIP[[#This Row],[Frequency]],SIP[[#This Row],[Investor ID]])</f>
        <v>5A00672</v>
      </c>
      <c r="I183" s="15" t="str">
        <f>IF(SIP[[#This Row],[B/S]]="B","BUY",(IF(SIP[[#This Row],[B/S]]="S","SELL"," ")))</f>
        <v>SELL</v>
      </c>
      <c r="J183" s="15" t="s">
        <v>866</v>
      </c>
      <c r="K183" s="38">
        <v>-5000</v>
      </c>
      <c r="L183" s="38"/>
      <c r="M183" s="176">
        <f>IFERROR(SIP[[#This Row],[Amount]]/SIP[[#This Row],[Unit]],0)</f>
        <v>13.192612137203167</v>
      </c>
      <c r="N183" s="42">
        <f>SIP[[#This Row],[Unit Capital]]/10</f>
        <v>-379</v>
      </c>
      <c r="O183" s="50">
        <f>SUMIFS(SIP[[#Headers],[Unit]]:SIP[[#This Row],[Unit]],SIP[[#Headers],[Investor ID]]:SIP[[#This Row],[Investor ID]],SIP[[#This Row],[Investor ID]])</f>
        <v>1255</v>
      </c>
      <c r="P183" s="38">
        <v>-3790</v>
      </c>
      <c r="Q183" s="41">
        <f>SIP[[#This Row],[Amount]]-SIP[[#This Row],[Unit Capital]]</f>
        <v>-1210</v>
      </c>
      <c r="R18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12.239902080783352</v>
      </c>
      <c r="S183" s="43">
        <f t="shared" si="26"/>
        <v>12.552</v>
      </c>
      <c r="T183" s="41">
        <f>IF(SIP[[#This Row],[B/S]]="B",0,ABS(SIP[[#This Row],[Unit]])*(SIP[[#This Row],[NAV (Strike Rate)]]-INDEX(SIP[NAV at Cost (Average)],MATCH(CONCATENATE(SIP[[#This Row],[Frequency]]-1,SIP[[#This Row],[Investor ID]]),SIP[Unique Code],0),)))</f>
        <v>361.07711138310964</v>
      </c>
      <c r="U183" s="43" cm="1">
        <f t="array" ref="U183">IF(SIP[[#This Row],[B/S]]="S",ABS(SIP[[#This Row],[Unit]])*(INDEX(SIP[NAV at Cost (Average)],MATCH(CONCATENATE((SIP[[#This Row],[Frequency]]-1),SIP[[#This Row],[Investor ID]]),SIP[Unique Code],0),0)),0)</f>
        <v>4638.9228886168903</v>
      </c>
      <c r="V183" s="43">
        <f>IF(SIP[[#This Row],[BO Transfer]]="YES",SIP[[#This Row],[Unit]],)</f>
        <v>0</v>
      </c>
      <c r="W183" s="41">
        <f>SUMIFS(SIP[[#Headers],[BO UNIT TRANSFER]]:SIP[[#This Row],[BO UNIT TRANSFER]],SIP[[#Headers],[Investor ID]]:SIP[[#This Row],[Investor ID]],SIP[[#This Row],[Investor ID]])</f>
        <v>831</v>
      </c>
    </row>
    <row r="184" spans="1:23" ht="15" customHeight="1">
      <c r="A184" s="15">
        <v>2026</v>
      </c>
      <c r="B184" s="15">
        <v>3</v>
      </c>
      <c r="C184" s="15">
        <v>1</v>
      </c>
      <c r="D184" s="39">
        <f>IFERROR(DATE(SIP[[#This Row],[Year]],SIP[[#This Row],[Month]],SIP[[#This Row],[Day]]),0)</f>
        <v>46082</v>
      </c>
      <c r="E184" s="40" t="str" cm="1">
        <f t="array" ref="E184">IFERROR(INDEX(INVESTORS_LIST[INVESTOR NAME],MATCH(SIP[[#This Row],[Investor ID]],INVESTORS_LIST[INVESTOR CODE],0),)," ")</f>
        <v>MINHAJ UDDIN</v>
      </c>
      <c r="F184" s="15" t="s">
        <v>29</v>
      </c>
      <c r="G184" s="15">
        <f>COUNTIFS(SIP[[#Headers],[Investor ID]]:SIP[[#This Row],[Investor ID]],SIP[[#This Row],[Investor ID]])</f>
        <v>2</v>
      </c>
      <c r="H184" s="15" t="str">
        <f>CONCATENATE(SIP[[#This Row],[Frequency]],SIP[[#This Row],[Investor ID]])</f>
        <v>2A00022</v>
      </c>
      <c r="I184" s="15" t="str">
        <f>IF(SIP[[#This Row],[B/S]]="B","BUY",(IF(SIP[[#This Row],[B/S]]="S","SELL"," ")))</f>
        <v>SELL</v>
      </c>
      <c r="J184" s="15" t="s">
        <v>866</v>
      </c>
      <c r="K184" s="38">
        <v>-10000</v>
      </c>
      <c r="L184" s="38"/>
      <c r="M184" s="176">
        <f>IFERROR(SIP[[#This Row],[Amount]]/SIP[[#This Row],[Unit]],0)</f>
        <v>13.175230566534914</v>
      </c>
      <c r="N184" s="42">
        <f>SIP[[#This Row],[Unit Capital]]/10</f>
        <v>-759</v>
      </c>
      <c r="O184" s="50">
        <f>SUMIFS(SIP[[#Headers],[Unit]]:SIP[[#This Row],[Unit]],SIP[[#Headers],[Investor ID]]:SIP[[#This Row],[Investor ID]],SIP[[#This Row],[Investor ID]])</f>
        <v>0</v>
      </c>
      <c r="P184" s="38">
        <v>-7590</v>
      </c>
      <c r="Q184" s="41">
        <f>SIP[[#This Row],[Amount]]-SIP[[#This Row],[Unit Capital]]</f>
        <v>-2410</v>
      </c>
      <c r="R18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0</v>
      </c>
      <c r="S184" s="43">
        <f t="shared" si="26"/>
        <v>12.552</v>
      </c>
      <c r="T18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4" s="43" cm="1">
        <f t="array" ref="U184">IF(SIP[[#This Row],[B/S]]="S",ABS(SIP[[#This Row],[Unit]])*(INDEX(SIP[NAV at Cost (Average)],MATCH(CONCATENATE((SIP[[#This Row],[Frequency]]-1),SIP[[#This Row],[Investor ID]]),SIP[Unique Code],0),0)),0)</f>
        <v>10000</v>
      </c>
      <c r="V184" s="43">
        <f>IF(SIP[[#This Row],[BO Transfer]]="YES",SIP[[#This Row],[Unit]],)</f>
        <v>0</v>
      </c>
      <c r="W184" s="41">
        <f>SUMIFS(SIP[[#Headers],[BO UNIT TRANSFER]]:SIP[[#This Row],[BO UNIT TRANSFER]],SIP[[#Headers],[Investor ID]]:SIP[[#This Row],[Investor ID]],SIP[[#This Row],[Investor ID]])</f>
        <v>0</v>
      </c>
    </row>
    <row r="185" spans="1:23" ht="15" customHeight="1">
      <c r="A185" s="15">
        <v>2026</v>
      </c>
      <c r="B185" s="15">
        <v>3</v>
      </c>
      <c r="C185" s="15">
        <v>1</v>
      </c>
      <c r="D185" s="39">
        <f>IFERROR(DATE(SIP[[#This Row],[Year]],SIP[[#This Row],[Month]],SIP[[#This Row],[Day]]),0)</f>
        <v>46082</v>
      </c>
      <c r="E185" s="40" t="str" cm="1">
        <f t="array" ref="E185">IFERROR(INDEX(INVESTORS_LIST[INVESTOR NAME],MATCH(SIP[[#This Row],[Investor ID]],INVESTORS_LIST[INVESTOR CODE],0),)," ")</f>
        <v>MD. MONIRUZZAMAN</v>
      </c>
      <c r="F185" s="15" t="s">
        <v>1556</v>
      </c>
      <c r="G185" s="15">
        <f>COUNTIFS(SIP[[#Headers],[Investor ID]]:SIP[[#This Row],[Investor ID]],SIP[[#This Row],[Investor ID]])</f>
        <v>3</v>
      </c>
      <c r="H185" s="15" t="str">
        <f>CONCATENATE(SIP[[#This Row],[Frequency]],SIP[[#This Row],[Investor ID]])</f>
        <v>3A00682</v>
      </c>
      <c r="I185" s="15" t="str">
        <f>IF(SIP[[#This Row],[B/S]]="B","BUY",(IF(SIP[[#This Row],[B/S]]="S","SELL"," ")))</f>
        <v>BUY</v>
      </c>
      <c r="J185" s="15" t="s">
        <v>301</v>
      </c>
      <c r="K185" s="38">
        <v>50000</v>
      </c>
      <c r="L185" s="38"/>
      <c r="M185" s="176">
        <f>IFERROR(SIP[[#This Row],[Amount]]/SIP[[#This Row],[Unit]],0)</f>
        <v>13.495276653171389</v>
      </c>
      <c r="N185" s="42">
        <f>SIP[[#This Row],[Unit Capital]]/10</f>
        <v>3705</v>
      </c>
      <c r="O185" s="50">
        <f>SUMIFS(SIP[[#Headers],[Unit]]:SIP[[#This Row],[Unit]],SIP[[#Headers],[Investor ID]]:SIP[[#This Row],[Investor ID]],SIP[[#This Row],[Investor ID]])</f>
        <v>11954</v>
      </c>
      <c r="P185" s="38">
        <v>37050</v>
      </c>
      <c r="Q185" s="41">
        <f>SIP[[#This Row],[Amount]]-SIP[[#This Row],[Unit Capital]]</f>
        <v>12950</v>
      </c>
      <c r="R18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12.548101054040488</v>
      </c>
      <c r="S185" s="43">
        <f t="shared" si="26"/>
        <v>12.552</v>
      </c>
      <c r="T18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5" s="43" cm="1">
        <f t="array" ref="U185">IF(SIP[[#This Row],[B/S]]="S",ABS(SIP[[#This Row],[Unit]])*(INDEX(SIP[NAV at Cost (Average)],MATCH(CONCATENATE((SIP[[#This Row],[Frequency]]-1),SIP[[#This Row],[Investor ID]]),SIP[Unique Code],0),0)),0)</f>
        <v>0</v>
      </c>
      <c r="V185" s="43">
        <f>IF(SIP[[#This Row],[BO Transfer]]="YES",SIP[[#This Row],[Unit]],)</f>
        <v>0</v>
      </c>
      <c r="W185" s="41">
        <f>SUMIFS(SIP[[#Headers],[BO UNIT TRANSFER]]:SIP[[#This Row],[BO UNIT TRANSFER]],SIP[[#Headers],[Investor ID]]:SIP[[#This Row],[Investor ID]],SIP[[#This Row],[Investor ID]])</f>
        <v>0</v>
      </c>
    </row>
    <row r="186" spans="1:23" ht="15" customHeight="1">
      <c r="A186" s="15">
        <v>2026</v>
      </c>
      <c r="B186" s="15">
        <v>3</v>
      </c>
      <c r="C186" s="15">
        <v>1</v>
      </c>
      <c r="D186" s="39">
        <f>IFERROR(DATE(SIP[[#This Row],[Year]],SIP[[#This Row],[Month]],SIP[[#This Row],[Day]]),0)</f>
        <v>46082</v>
      </c>
      <c r="E186" s="40" t="str" cm="1">
        <f t="array" ref="E186">IFERROR(INDEX(INVESTORS_LIST[INVESTOR NAME],MATCH(SIP[[#This Row],[Investor ID]],INVESTORS_LIST[INVESTOR CODE],0),)," ")</f>
        <v>MD. RAQUIBUL ISLAM RUSSEAU</v>
      </c>
      <c r="F186" s="15" t="s">
        <v>1364</v>
      </c>
      <c r="G186" s="15">
        <f>COUNTIFS(SIP[[#Headers],[Investor ID]]:SIP[[#This Row],[Investor ID]],SIP[[#This Row],[Investor ID]])</f>
        <v>1</v>
      </c>
      <c r="H186" s="15" t="str">
        <f>CONCATENATE(SIP[[#This Row],[Frequency]],SIP[[#This Row],[Investor ID]])</f>
        <v>1A00584</v>
      </c>
      <c r="I186" s="15" t="str">
        <f>IF(SIP[[#This Row],[B/S]]="B","BUY",(IF(SIP[[#This Row],[B/S]]="S","SELL"," ")))</f>
        <v>BUY</v>
      </c>
      <c r="J186" s="15" t="s">
        <v>301</v>
      </c>
      <c r="K186" s="38">
        <v>20000</v>
      </c>
      <c r="L186" s="38"/>
      <c r="M186" s="176">
        <f>IFERROR(SIP[[#This Row],[Amount]]/SIP[[#This Row],[Unit]],0)</f>
        <v>13.495276653171389</v>
      </c>
      <c r="N186" s="42">
        <f>SIP[[#This Row],[Unit Capital]]/10</f>
        <v>1482</v>
      </c>
      <c r="O186" s="50">
        <f>SUMIFS(SIP[[#Headers],[Unit]]:SIP[[#This Row],[Unit]],SIP[[#Headers],[Investor ID]]:SIP[[#This Row],[Investor ID]],SIP[[#This Row],[Investor ID]])</f>
        <v>1482</v>
      </c>
      <c r="P186" s="38">
        <v>14820</v>
      </c>
      <c r="Q186" s="41">
        <f>SIP[[#This Row],[Amount]]-SIP[[#This Row],[Unit Capital]]</f>
        <v>5180</v>
      </c>
      <c r="R186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13.495276653171389</v>
      </c>
      <c r="S186" s="43">
        <f t="shared" si="26"/>
        <v>12.552</v>
      </c>
      <c r="T186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6" s="43" cm="1">
        <f t="array" ref="U186">IF(SIP[[#This Row],[B/S]]="S",ABS(SIP[[#This Row],[Unit]])*(INDEX(SIP[NAV at Cost (Average)],MATCH(CONCATENATE((SIP[[#This Row],[Frequency]]-1),SIP[[#This Row],[Investor ID]]),SIP[Unique Code],0),0)),0)</f>
        <v>0</v>
      </c>
      <c r="V186" s="43">
        <f>IF(SIP[[#This Row],[BO Transfer]]="YES",SIP[[#This Row],[Unit]],)</f>
        <v>0</v>
      </c>
      <c r="W186" s="41">
        <f>SUMIFS(SIP[[#Headers],[BO UNIT TRANSFER]]:SIP[[#This Row],[BO UNIT TRANSFER]],SIP[[#Headers],[Investor ID]]:SIP[[#This Row],[Investor ID]],SIP[[#This Row],[Investor ID]])</f>
        <v>0</v>
      </c>
    </row>
    <row r="187" spans="1:23" ht="15" customHeight="1">
      <c r="A187" s="15">
        <v>2026</v>
      </c>
      <c r="B187" s="15">
        <v>3</v>
      </c>
      <c r="C187" s="15">
        <v>5</v>
      </c>
      <c r="D187" s="39">
        <f>IFERROR(DATE(SIP[[#This Row],[Year]],SIP[[#This Row],[Month]],SIP[[#This Row],[Day]]),0)</f>
        <v>46086</v>
      </c>
      <c r="E187" s="40" t="str" cm="1">
        <f t="array" ref="E187">IFERROR(INDEX(INVESTORS_LIST[INVESTOR NAME],MATCH(SIP[[#This Row],[Investor ID]],INVESTORS_LIST[INVESTOR CODE],0),)," ")</f>
        <v>MASUM AHMED</v>
      </c>
      <c r="F187" s="15" t="s">
        <v>1504</v>
      </c>
      <c r="G187" s="15">
        <f>COUNTIFS(SIP[[#Headers],[Investor ID]]:SIP[[#This Row],[Investor ID]],SIP[[#This Row],[Investor ID]])</f>
        <v>6</v>
      </c>
      <c r="H187" s="15" t="str">
        <f>CONCATENATE(SIP[[#This Row],[Frequency]],SIP[[#This Row],[Investor ID]])</f>
        <v>6A00657</v>
      </c>
      <c r="I187" s="15" t="str">
        <f>IF(SIP[[#This Row],[B/S]]="B","BUY",(IF(SIP[[#This Row],[B/S]]="S","SELL"," ")))</f>
        <v>BUY</v>
      </c>
      <c r="J187" s="15" t="s">
        <v>301</v>
      </c>
      <c r="K187" s="38">
        <v>5000</v>
      </c>
      <c r="L187" s="38"/>
      <c r="M187" s="176">
        <f>IFERROR(SIP[[#This Row],[Amount]]/SIP[[#This Row],[Unit]],0)</f>
        <v>14.124293785310735</v>
      </c>
      <c r="N187" s="42">
        <f>SIP[[#This Row],[Unit Capital]]/10</f>
        <v>354</v>
      </c>
      <c r="O187" s="50">
        <f>SUMIFS(SIP[[#Headers],[Unit]]:SIP[[#This Row],[Unit]],SIP[[#Headers],[Investor ID]]:SIP[[#This Row],[Investor ID]],SIP[[#This Row],[Investor ID]])</f>
        <v>2425</v>
      </c>
      <c r="P187" s="38">
        <v>3540</v>
      </c>
      <c r="Q187" s="41">
        <f>SIP[[#This Row],[Amount]]-SIP[[#This Row],[Unit Capital]]</f>
        <v>1460</v>
      </c>
      <c r="R187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12.371134020618557</v>
      </c>
      <c r="S187" s="43">
        <f t="shared" ref="S187:S192" si="27">NAV_MKT</f>
        <v>12.552</v>
      </c>
      <c r="T187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7" s="43" cm="1">
        <f t="array" ref="U187">IF(SIP[[#This Row],[B/S]]="S",ABS(SIP[[#This Row],[Unit]])*(INDEX(SIP[NAV at Cost (Average)],MATCH(CONCATENATE((SIP[[#This Row],[Frequency]]-1),SIP[[#This Row],[Investor ID]]),SIP[Unique Code],0),0)),0)</f>
        <v>0</v>
      </c>
      <c r="V187" s="43">
        <f>IF(SIP[[#This Row],[BO Transfer]]="YES",SIP[[#This Row],[Unit]],)</f>
        <v>0</v>
      </c>
      <c r="W187" s="41">
        <f>SUMIFS(SIP[[#Headers],[BO UNIT TRANSFER]]:SIP[[#This Row],[BO UNIT TRANSFER]],SIP[[#Headers],[Investor ID]]:SIP[[#This Row],[Investor ID]],SIP[[#This Row],[Investor ID]])</f>
        <v>820</v>
      </c>
    </row>
    <row r="188" spans="1:23" ht="15" customHeight="1">
      <c r="A188" s="15">
        <v>2026</v>
      </c>
      <c r="B188" s="15">
        <v>3</v>
      </c>
      <c r="C188" s="15">
        <v>5</v>
      </c>
      <c r="D188" s="39">
        <f>IFERROR(DATE(SIP[[#This Row],[Year]],SIP[[#This Row],[Month]],SIP[[#This Row],[Day]]),0)</f>
        <v>46086</v>
      </c>
      <c r="E188" s="40" t="str" cm="1">
        <f t="array" ref="E188">IFERROR(INDEX(INVESTORS_LIST[INVESTOR NAME],MATCH(SIP[[#This Row],[Investor ID]],INVESTORS_LIST[INVESTOR CODE],0),)," ")</f>
        <v>MAMATAZ JAKIR</v>
      </c>
      <c r="F188" s="15" t="s">
        <v>1567</v>
      </c>
      <c r="G188" s="15">
        <f>COUNTIFS(SIP[[#Headers],[Investor ID]]:SIP[[#This Row],[Investor ID]],SIP[[#This Row],[Investor ID]])</f>
        <v>3</v>
      </c>
      <c r="H188" s="15" t="str">
        <f>CONCATENATE(SIP[[#This Row],[Frequency]],SIP[[#This Row],[Investor ID]])</f>
        <v>3A00686</v>
      </c>
      <c r="I188" s="15" t="str">
        <f>IF(SIP[[#This Row],[B/S]]="B","BUY",(IF(SIP[[#This Row],[B/S]]="S","SELL"," ")))</f>
        <v>BUY</v>
      </c>
      <c r="J188" s="15" t="s">
        <v>301</v>
      </c>
      <c r="K188" s="38">
        <v>1000</v>
      </c>
      <c r="L188" s="38"/>
      <c r="M188" s="176">
        <f>IFERROR(SIP[[#This Row],[Amount]]/SIP[[#This Row],[Unit]],0)</f>
        <v>14.084507042253522</v>
      </c>
      <c r="N188" s="42">
        <f>SIP[[#This Row],[Unit Capital]]/10</f>
        <v>71</v>
      </c>
      <c r="O188" s="50">
        <f>SUMIFS(SIP[[#Headers],[Unit]]:SIP[[#This Row],[Unit]],SIP[[#Headers],[Investor ID]]:SIP[[#This Row],[Investor ID]],SIP[[#This Row],[Investor ID]])</f>
        <v>234</v>
      </c>
      <c r="P188" s="38">
        <v>710</v>
      </c>
      <c r="Q188" s="41">
        <f>SIP[[#This Row],[Amount]]-SIP[[#This Row],[Unit Capital]]</f>
        <v>290</v>
      </c>
      <c r="R188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12.820512820512821</v>
      </c>
      <c r="S188" s="43">
        <f t="shared" si="27"/>
        <v>12.552</v>
      </c>
      <c r="T188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8" s="43" cm="1">
        <f t="array" ref="U188">IF(SIP[[#This Row],[B/S]]="S",ABS(SIP[[#This Row],[Unit]])*(INDEX(SIP[NAV at Cost (Average)],MATCH(CONCATENATE((SIP[[#This Row],[Frequency]]-1),SIP[[#This Row],[Investor ID]]),SIP[Unique Code],0),0)),0)</f>
        <v>0</v>
      </c>
      <c r="V188" s="43">
        <f>IF(SIP[[#This Row],[BO Transfer]]="YES",SIP[[#This Row],[Unit]],)</f>
        <v>0</v>
      </c>
      <c r="W188" s="41">
        <f>SUMIFS(SIP[[#Headers],[BO UNIT TRANSFER]]:SIP[[#This Row],[BO UNIT TRANSFER]],SIP[[#Headers],[Investor ID]]:SIP[[#This Row],[Investor ID]],SIP[[#This Row],[Investor ID]])</f>
        <v>163</v>
      </c>
    </row>
    <row r="189" spans="1:23" ht="15" customHeight="1">
      <c r="A189" s="15">
        <v>2026</v>
      </c>
      <c r="B189" s="15">
        <v>3</v>
      </c>
      <c r="C189" s="15">
        <v>5</v>
      </c>
      <c r="D189" s="39">
        <f>IFERROR(DATE(SIP[[#This Row],[Year]],SIP[[#This Row],[Month]],SIP[[#This Row],[Day]]),0)</f>
        <v>46086</v>
      </c>
      <c r="E189" s="40" t="str" cm="1">
        <f t="array" ref="E189">IFERROR(INDEX(INVESTORS_LIST[INVESTOR NAME],MATCH(SIP[[#This Row],[Investor ID]],INVESTORS_LIST[INVESTOR CODE],0),)," ")</f>
        <v>SK FEROZ ALAM</v>
      </c>
      <c r="F189" s="15" t="s">
        <v>110</v>
      </c>
      <c r="G189" s="15">
        <f>COUNTIFS(SIP[[#Headers],[Investor ID]]:SIP[[#This Row],[Investor ID]],SIP[[#This Row],[Investor ID]])</f>
        <v>8</v>
      </c>
      <c r="H189" s="15" t="str">
        <f>CONCATENATE(SIP[[#This Row],[Frequency]],SIP[[#This Row],[Investor ID]])</f>
        <v>8A00096</v>
      </c>
      <c r="I189" s="15" t="str">
        <f>IF(SIP[[#This Row],[B/S]]="B","BUY",(IF(SIP[[#This Row],[B/S]]="S","SELL"," ")))</f>
        <v>BUY</v>
      </c>
      <c r="J189" s="15" t="s">
        <v>301</v>
      </c>
      <c r="K189" s="38">
        <v>1000</v>
      </c>
      <c r="L189" s="38"/>
      <c r="M189" s="176">
        <f>IFERROR(SIP[[#This Row],[Amount]]/SIP[[#This Row],[Unit]],0)</f>
        <v>14.084507042253522</v>
      </c>
      <c r="N189" s="42">
        <f>SIP[[#This Row],[Unit Capital]]/10</f>
        <v>71</v>
      </c>
      <c r="O189" s="50">
        <f>SUMIFS(SIP[[#Headers],[Unit]]:SIP[[#This Row],[Unit]],SIP[[#Headers],[Investor ID]]:SIP[[#This Row],[Investor ID]],SIP[[#This Row],[Investor ID]])</f>
        <v>648</v>
      </c>
      <c r="P189" s="38">
        <v>710</v>
      </c>
      <c r="Q189" s="41">
        <f>SIP[[#This Row],[Amount]]-SIP[[#This Row],[Unit Capital]]</f>
        <v>290</v>
      </c>
      <c r="R189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12.345679012345681</v>
      </c>
      <c r="S189" s="43">
        <f t="shared" si="27"/>
        <v>12.552</v>
      </c>
      <c r="T189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89" s="43" cm="1">
        <f t="array" ref="U189">IF(SIP[[#This Row],[B/S]]="S",ABS(SIP[[#This Row],[Unit]])*(INDEX(SIP[NAV at Cost (Average)],MATCH(CONCATENATE((SIP[[#This Row],[Frequency]]-1),SIP[[#This Row],[Investor ID]]),SIP[Unique Code],0),0)),0)</f>
        <v>0</v>
      </c>
      <c r="V189" s="43">
        <f>IF(SIP[[#This Row],[BO Transfer]]="YES",SIP[[#This Row],[Unit]],)</f>
        <v>0</v>
      </c>
      <c r="W189" s="41">
        <f>SUMIFS(SIP[[#Headers],[BO UNIT TRANSFER]]:SIP[[#This Row],[BO UNIT TRANSFER]],SIP[[#Headers],[Investor ID]]:SIP[[#This Row],[Investor ID]],SIP[[#This Row],[Investor ID]])</f>
        <v>0</v>
      </c>
    </row>
    <row r="190" spans="1:23" ht="15" customHeight="1">
      <c r="A190" s="15">
        <v>2026</v>
      </c>
      <c r="B190" s="15">
        <v>3</v>
      </c>
      <c r="C190" s="15">
        <v>5</v>
      </c>
      <c r="D190" s="39">
        <f>IFERROR(DATE(SIP[[#This Row],[Year]],SIP[[#This Row],[Month]],SIP[[#This Row],[Day]]),0)</f>
        <v>46086</v>
      </c>
      <c r="E190" s="40" t="str" cm="1">
        <f t="array" ref="E190">IFERROR(INDEX(INVESTORS_LIST[INVESTOR NAME],MATCH(SIP[[#This Row],[Investor ID]],INVESTORS_LIST[INVESTOR CODE],0),)," ")</f>
        <v>AHNAF ABRAR HASIN</v>
      </c>
      <c r="F190" s="15" t="s">
        <v>1527</v>
      </c>
      <c r="G190" s="15">
        <f>COUNTIFS(SIP[[#Headers],[Investor ID]]:SIP[[#This Row],[Investor ID]],SIP[[#This Row],[Investor ID]])</f>
        <v>5</v>
      </c>
      <c r="H190" s="15" t="str">
        <f>CONCATENATE(SIP[[#This Row],[Frequency]],SIP[[#This Row],[Investor ID]])</f>
        <v>5A00669</v>
      </c>
      <c r="I190" s="15" t="str">
        <f>IF(SIP[[#This Row],[B/S]]="B","BUY",(IF(SIP[[#This Row],[B/S]]="S","SELL"," ")))</f>
        <v>BUY</v>
      </c>
      <c r="J190" s="15" t="s">
        <v>301</v>
      </c>
      <c r="K190" s="38">
        <v>32000</v>
      </c>
      <c r="L190" s="38"/>
      <c r="M190" s="176">
        <f>IFERROR(SIP[[#This Row],[Amount]]/SIP[[#This Row],[Unit]],0)</f>
        <v>14.121800529567519</v>
      </c>
      <c r="N190" s="42">
        <f>SIP[[#This Row],[Unit Capital]]/10</f>
        <v>2266</v>
      </c>
      <c r="O190" s="50">
        <f>SUMIFS(SIP[[#Headers],[Unit]]:SIP[[#This Row],[Unit]],SIP[[#Headers],[Investor ID]]:SIP[[#This Row],[Investor ID]],SIP[[#This Row],[Investor ID]])</f>
        <v>12890</v>
      </c>
      <c r="P190" s="38">
        <v>22660</v>
      </c>
      <c r="Q190" s="41">
        <f>SIP[[#This Row],[Amount]]-SIP[[#This Row],[Unit Capital]]</f>
        <v>9340</v>
      </c>
      <c r="R190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12.412723041117147</v>
      </c>
      <c r="S190" s="43">
        <f t="shared" si="27"/>
        <v>12.552</v>
      </c>
      <c r="T190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0" s="43" cm="1">
        <f t="array" ref="U190">IF(SIP[[#This Row],[B/S]]="S",ABS(SIP[[#This Row],[Unit]])*(INDEX(SIP[NAV at Cost (Average)],MATCH(CONCATENATE((SIP[[#This Row],[Frequency]]-1),SIP[[#This Row],[Investor ID]]),SIP[Unique Code],0),0)),0)</f>
        <v>0</v>
      </c>
      <c r="V190" s="43">
        <f>IF(SIP[[#This Row],[BO Transfer]]="YES",SIP[[#This Row],[Unit]],)</f>
        <v>0</v>
      </c>
      <c r="W190" s="41">
        <f>SUMIFS(SIP[[#Headers],[BO UNIT TRANSFER]]:SIP[[#This Row],[BO UNIT TRANSFER]],SIP[[#Headers],[Investor ID]]:SIP[[#This Row],[Investor ID]],SIP[[#This Row],[Investor ID]])</f>
        <v>10624</v>
      </c>
    </row>
    <row r="191" spans="1:23" ht="15" customHeight="1">
      <c r="A191" s="15">
        <v>2026</v>
      </c>
      <c r="B191" s="15">
        <v>3</v>
      </c>
      <c r="C191" s="15">
        <v>5</v>
      </c>
      <c r="D191" s="39">
        <f>IFERROR(DATE(SIP[[#This Row],[Year]],SIP[[#This Row],[Month]],SIP[[#This Row],[Day]]),0)</f>
        <v>46086</v>
      </c>
      <c r="E191" s="40" t="str" cm="1">
        <f t="array" ref="E191">IFERROR(INDEX(INVESTORS_LIST[INVESTOR NAME],MATCH(SIP[[#This Row],[Investor ID]],INVESTORS_LIST[INVESTOR CODE],0),)," ")</f>
        <v>AL-FARABI AKASH</v>
      </c>
      <c r="F191" s="15" t="s">
        <v>1603</v>
      </c>
      <c r="G191" s="15">
        <f>COUNTIFS(SIP[[#Headers],[Investor ID]]:SIP[[#This Row],[Investor ID]],SIP[[#This Row],[Investor ID]])</f>
        <v>2</v>
      </c>
      <c r="H191" s="15" t="str">
        <f>CONCATENATE(SIP[[#This Row],[Frequency]],SIP[[#This Row],[Investor ID]])</f>
        <v>2BR0002</v>
      </c>
      <c r="I191" s="15" t="str">
        <f>IF(SIP[[#This Row],[B/S]]="B","BUY",(IF(SIP[[#This Row],[B/S]]="S","SELL"," ")))</f>
        <v>BUY</v>
      </c>
      <c r="J191" s="15" t="s">
        <v>301</v>
      </c>
      <c r="K191" s="38">
        <v>1000</v>
      </c>
      <c r="L191" s="38"/>
      <c r="M191" s="176">
        <f>IFERROR(SIP[[#This Row],[Amount]]/SIP[[#This Row],[Unit]],0)</f>
        <v>14.084507042253522</v>
      </c>
      <c r="N191" s="42">
        <f>SIP[[#This Row],[Unit Capital]]/10</f>
        <v>71</v>
      </c>
      <c r="O191" s="50">
        <f>SUMIFS(SIP[[#Headers],[Unit]]:SIP[[#This Row],[Unit]],SIP[[#Headers],[Investor ID]]:SIP[[#This Row],[Investor ID]],SIP[[#This Row],[Investor ID]])</f>
        <v>151</v>
      </c>
      <c r="P191" s="38">
        <v>710</v>
      </c>
      <c r="Q191" s="41">
        <f>SIP[[#This Row],[Amount]]-SIP[[#This Row],[Unit Capital]]</f>
        <v>290</v>
      </c>
      <c r="R191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13.245033112582782</v>
      </c>
      <c r="S191" s="43">
        <f t="shared" si="27"/>
        <v>12.552</v>
      </c>
      <c r="T191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1" s="43" cm="1">
        <f t="array" ref="U191">IF(SIP[[#This Row],[B/S]]="S",ABS(SIP[[#This Row],[Unit]])*(INDEX(SIP[NAV at Cost (Average)],MATCH(CONCATENATE((SIP[[#This Row],[Frequency]]-1),SIP[[#This Row],[Investor ID]]),SIP[Unique Code],0),0)),0)</f>
        <v>0</v>
      </c>
      <c r="V191" s="43">
        <f>IF(SIP[[#This Row],[BO Transfer]]="YES",SIP[[#This Row],[Unit]],)</f>
        <v>0</v>
      </c>
      <c r="W191" s="41">
        <f>SUMIFS(SIP[[#Headers],[BO UNIT TRANSFER]]:SIP[[#This Row],[BO UNIT TRANSFER]],SIP[[#Headers],[Investor ID]]:SIP[[#This Row],[Investor ID]],SIP[[#This Row],[Investor ID]])</f>
        <v>80</v>
      </c>
    </row>
    <row r="192" spans="1:23" ht="15" customHeight="1">
      <c r="A192" s="15">
        <v>2026</v>
      </c>
      <c r="B192" s="15">
        <v>3</v>
      </c>
      <c r="C192" s="15">
        <v>10</v>
      </c>
      <c r="D192" s="39">
        <f>IFERROR(DATE(SIP[[#This Row],[Year]],SIP[[#This Row],[Month]],SIP[[#This Row],[Day]]),0)</f>
        <v>46091</v>
      </c>
      <c r="E192" s="40" t="str" cm="1">
        <f t="array" ref="E192">IFERROR(INDEX(INVESTORS_LIST[INVESTOR NAME],MATCH(SIP[[#This Row],[Investor ID]],INVESTORS_LIST[INVESTOR CODE],0),)," ")</f>
        <v>MD. OMAR FARUQUE Al QUADERI</v>
      </c>
      <c r="F192" s="15" t="s">
        <v>63</v>
      </c>
      <c r="G192" s="15">
        <f>COUNTIFS(SIP[[#Headers],[Investor ID]]:SIP[[#This Row],[Investor ID]],SIP[[#This Row],[Investor ID]])</f>
        <v>5</v>
      </c>
      <c r="H192" s="15" t="str">
        <f>CONCATENATE(SIP[[#This Row],[Frequency]],SIP[[#This Row],[Investor ID]])</f>
        <v>5A00056</v>
      </c>
      <c r="I192" s="15" t="str">
        <f>IF(SIP[[#This Row],[B/S]]="B","BUY",(IF(SIP[[#This Row],[B/S]]="S","SELL"," ")))</f>
        <v>BUY</v>
      </c>
      <c r="J192" s="15" t="s">
        <v>301</v>
      </c>
      <c r="K192" s="38">
        <v>5000</v>
      </c>
      <c r="L192" s="38"/>
      <c r="M192" s="176">
        <f>IFERROR(SIP[[#This Row],[Amount]]/SIP[[#This Row],[Unit]],0)</f>
        <v>12.531328320802006</v>
      </c>
      <c r="N192" s="42">
        <f>SIP[[#This Row],[Unit Capital]]/10</f>
        <v>399</v>
      </c>
      <c r="O192" s="50">
        <f>SUMIFS(SIP[[#Headers],[Unit]]:SIP[[#This Row],[Unit]],SIP[[#Headers],[Investor ID]]:SIP[[#This Row],[Investor ID]],SIP[[#This Row],[Investor ID]])</f>
        <v>2047</v>
      </c>
      <c r="P192" s="38">
        <v>3990</v>
      </c>
      <c r="Q192" s="41">
        <f>SIP[[#This Row],[Amount]]-SIP[[#This Row],[Unit Capital]]</f>
        <v>1010</v>
      </c>
      <c r="R192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12.212994626282365</v>
      </c>
      <c r="S192" s="43">
        <f t="shared" si="27"/>
        <v>12.552</v>
      </c>
      <c r="T192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2" s="43" cm="1">
        <f t="array" ref="U192">IF(SIP[[#This Row],[B/S]]="S",ABS(SIP[[#This Row],[Unit]])*(INDEX(SIP[NAV at Cost (Average)],MATCH(CONCATENATE((SIP[[#This Row],[Frequency]]-1),SIP[[#This Row],[Investor ID]]),SIP[Unique Code],0),0)),0)</f>
        <v>0</v>
      </c>
      <c r="V192" s="43">
        <f>IF(SIP[[#This Row],[BO Transfer]]="YES",SIP[[#This Row],[Unit]],)</f>
        <v>0</v>
      </c>
      <c r="W192" s="41">
        <f>SUMIFS(SIP[[#Headers],[BO UNIT TRANSFER]]:SIP[[#This Row],[BO UNIT TRANSFER]],SIP[[#Headers],[Investor ID]]:SIP[[#This Row],[Investor ID]],SIP[[#This Row],[Investor ID]])</f>
        <v>0</v>
      </c>
    </row>
    <row r="193" spans="1:23" ht="15" customHeight="1">
      <c r="A193" s="15">
        <v>2026</v>
      </c>
      <c r="B193" s="15">
        <v>3</v>
      </c>
      <c r="C193" s="15">
        <v>15</v>
      </c>
      <c r="D193" s="39">
        <f>IFERROR(DATE(SIP[[#This Row],[Year]],SIP[[#This Row],[Month]],SIP[[#This Row],[Day]]),0)</f>
        <v>46096</v>
      </c>
      <c r="E193" s="40" t="str" cm="1">
        <f t="array" ref="E193">IFERROR(INDEX(INVESTORS_LIST[INVESTOR NAME],MATCH(SIP[[#This Row],[Investor ID]],INVESTORS_LIST[INVESTOR CODE],0),)," ")</f>
        <v>MD. RIDWAN SIDDIQUEE</v>
      </c>
      <c r="F193" s="15" t="s">
        <v>1597</v>
      </c>
      <c r="G193" s="15">
        <f>COUNTIFS(SIP[[#Headers],[Investor ID]]:SIP[[#This Row],[Investor ID]],SIP[[#This Row],[Investor ID]])</f>
        <v>2</v>
      </c>
      <c r="H193" s="15" t="str">
        <f>CONCATENATE(SIP[[#This Row],[Frequency]],SIP[[#This Row],[Investor ID]])</f>
        <v>2BI0009</v>
      </c>
      <c r="I193" s="15" t="str">
        <f>IF(SIP[[#This Row],[B/S]]="B","BUY",(IF(SIP[[#This Row],[B/S]]="S","SELL"," ")))</f>
        <v>BUY</v>
      </c>
      <c r="J193" s="15" t="s">
        <v>301</v>
      </c>
      <c r="K193" s="38">
        <v>10000</v>
      </c>
      <c r="L193" s="38"/>
      <c r="M193" s="176">
        <f>IFERROR(SIP[[#This Row],[Amount]]/SIP[[#This Row],[Unit]],0)</f>
        <v>12.88659793814433</v>
      </c>
      <c r="N193" s="42">
        <f>SIP[[#This Row],[Unit Capital]]/10</f>
        <v>776</v>
      </c>
      <c r="O193" s="50">
        <f>SUMIFS(SIP[[#Headers],[Unit]]:SIP[[#This Row],[Unit]],SIP[[#Headers],[Investor ID]]:SIP[[#This Row],[Investor ID]],SIP[[#This Row],[Investor ID]])</f>
        <v>1557</v>
      </c>
      <c r="P193" s="38">
        <f>ROUND(SIP[[#This Row],[Amount]]/12.883,0)*10</f>
        <v>7760</v>
      </c>
      <c r="Q193" s="41">
        <f>SIP[[#This Row],[Amount]]-SIP[[#This Row],[Unit Capital]]</f>
        <v>2240</v>
      </c>
      <c r="R193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12.845215157353884</v>
      </c>
      <c r="S193" s="43">
        <f>NAV_MKT</f>
        <v>12.552</v>
      </c>
      <c r="T193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3" s="43" cm="1">
        <f t="array" ref="U193">IF(SIP[[#This Row],[B/S]]="S",ABS(SIP[[#This Row],[Unit]])*(INDEX(SIP[NAV at Cost (Average)],MATCH(CONCATENATE((SIP[[#This Row],[Frequency]]-1),SIP[[#This Row],[Investor ID]]),SIP[Unique Code],0),0)),0)</f>
        <v>0</v>
      </c>
      <c r="V193" s="43">
        <f>IF(SIP[[#This Row],[BO Transfer]]="YES",SIP[[#This Row],[Unit]],)</f>
        <v>0</v>
      </c>
      <c r="W193" s="41">
        <f>SUMIFS(SIP[[#Headers],[BO UNIT TRANSFER]]:SIP[[#This Row],[BO UNIT TRANSFER]],SIP[[#Headers],[Investor ID]]:SIP[[#This Row],[Investor ID]],SIP[[#This Row],[Investor ID]])</f>
        <v>781</v>
      </c>
    </row>
    <row r="194" spans="1:23" ht="15" customHeight="1">
      <c r="A194" s="15">
        <v>2026</v>
      </c>
      <c r="B194" s="15">
        <v>3</v>
      </c>
      <c r="C194" s="15">
        <v>15</v>
      </c>
      <c r="D194" s="39">
        <f>IFERROR(DATE(SIP[[#This Row],[Year]],SIP[[#This Row],[Month]],SIP[[#This Row],[Day]]),0)</f>
        <v>46096</v>
      </c>
      <c r="E194" s="40" t="str" cm="1">
        <f t="array" ref="E194">IFERROR(INDEX(INVESTORS_LIST[INVESTOR NAME],MATCH(SIP[[#This Row],[Investor ID]],INVESTORS_LIST[INVESTOR CODE],0),)," ")</f>
        <v>MD. KAMRUZZAMAN SHOVON</v>
      </c>
      <c r="F194" s="15" t="s">
        <v>1553</v>
      </c>
      <c r="G194" s="15">
        <f>COUNTIFS(SIP[[#Headers],[Investor ID]]:SIP[[#This Row],[Investor ID]],SIP[[#This Row],[Investor ID]])</f>
        <v>4</v>
      </c>
      <c r="H194" s="15" t="str">
        <f>CONCATENATE(SIP[[#This Row],[Frequency]],SIP[[#This Row],[Investor ID]])</f>
        <v>4A00680</v>
      </c>
      <c r="I194" s="15" t="str">
        <f>IF(SIP[[#This Row],[B/S]]="B","BUY",(IF(SIP[[#This Row],[B/S]]="S","SELL"," ")))</f>
        <v>BUY</v>
      </c>
      <c r="J194" s="15" t="s">
        <v>301</v>
      </c>
      <c r="K194" s="38">
        <v>1000</v>
      </c>
      <c r="L194" s="38"/>
      <c r="M194" s="176">
        <f>IFERROR(SIP[[#This Row],[Amount]]/SIP[[#This Row],[Unit]],0)</f>
        <v>12.820512820512821</v>
      </c>
      <c r="N194" s="42">
        <f>SIP[[#This Row],[Unit Capital]]/10</f>
        <v>78</v>
      </c>
      <c r="O194" s="50">
        <f>SUMIFS(SIP[[#Headers],[Unit]]:SIP[[#This Row],[Unit]],SIP[[#Headers],[Investor ID]]:SIP[[#This Row],[Investor ID]],SIP[[#This Row],[Investor ID]])</f>
        <v>324</v>
      </c>
      <c r="P194" s="38">
        <f>ROUND(SIP[[#This Row],[Amount]]/12.883,0)*10</f>
        <v>780</v>
      </c>
      <c r="Q194" s="41">
        <f>SIP[[#This Row],[Amount]]-SIP[[#This Row],[Unit Capital]]</f>
        <v>220</v>
      </c>
      <c r="R194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12.345679012345679</v>
      </c>
      <c r="S194" s="43">
        <f>NAV_MKT</f>
        <v>12.552</v>
      </c>
      <c r="T194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4" s="43" cm="1">
        <f t="array" ref="U194">IF(SIP[[#This Row],[B/S]]="S",ABS(SIP[[#This Row],[Unit]])*(INDEX(SIP[NAV at Cost (Average)],MATCH(CONCATENATE((SIP[[#This Row],[Frequency]]-1),SIP[[#This Row],[Investor ID]]),SIP[Unique Code],0),0)),0)</f>
        <v>0</v>
      </c>
      <c r="V194" s="43">
        <f>IF(SIP[[#This Row],[BO Transfer]]="YES",SIP[[#This Row],[Unit]],)</f>
        <v>0</v>
      </c>
      <c r="W194" s="41">
        <f>SUMIFS(SIP[[#Headers],[BO UNIT TRANSFER]]:SIP[[#This Row],[BO UNIT TRANSFER]],SIP[[#Headers],[Investor ID]]:SIP[[#This Row],[Investor ID]],SIP[[#This Row],[Investor ID]])</f>
        <v>0</v>
      </c>
    </row>
    <row r="195" spans="1:23" ht="15" customHeight="1">
      <c r="A195" s="15">
        <v>2026</v>
      </c>
      <c r="B195" s="15">
        <v>3</v>
      </c>
      <c r="C195" s="15">
        <v>15</v>
      </c>
      <c r="D195" s="39">
        <f>IFERROR(DATE(SIP[[#This Row],[Year]],SIP[[#This Row],[Month]],SIP[[#This Row],[Day]]),0)</f>
        <v>46096</v>
      </c>
      <c r="E195" s="40" t="str" cm="1">
        <f t="array" ref="E195">IFERROR(INDEX(INVESTORS_LIST[INVESTOR NAME],MATCH(SIP[[#This Row],[Investor ID]],INVESTORS_LIST[INVESTOR CODE],0),)," ")</f>
        <v>ALBIN AHAMED</v>
      </c>
      <c r="F195" s="15" t="s">
        <v>1611</v>
      </c>
      <c r="G195" s="15">
        <f>COUNTIFS(SIP[[#Headers],[Investor ID]]:SIP[[#This Row],[Investor ID]],SIP[[#This Row],[Investor ID]])</f>
        <v>2</v>
      </c>
      <c r="H195" s="15" t="str">
        <f>CONCATENATE(SIP[[#This Row],[Frequency]],SIP[[#This Row],[Investor ID]])</f>
        <v>2BR0003</v>
      </c>
      <c r="I195" s="15" t="str">
        <f>IF(SIP[[#This Row],[B/S]]="B","BUY",(IF(SIP[[#This Row],[B/S]]="S","SELL"," ")))</f>
        <v>BUY</v>
      </c>
      <c r="J195" s="15" t="s">
        <v>301</v>
      </c>
      <c r="K195" s="38">
        <v>1000</v>
      </c>
      <c r="L195" s="38"/>
      <c r="M195" s="176">
        <f>IFERROR(SIP[[#This Row],[Amount]]/SIP[[#This Row],[Unit]],0)</f>
        <v>12.820512820512821</v>
      </c>
      <c r="N195" s="42">
        <f>SIP[[#This Row],[Unit Capital]]/10</f>
        <v>78</v>
      </c>
      <c r="O195" s="50">
        <f>SUMIFS(SIP[[#Headers],[Unit]]:SIP[[#This Row],[Unit]],SIP[[#Headers],[Investor ID]]:SIP[[#This Row],[Investor ID]],SIP[[#This Row],[Investor ID]])</f>
        <v>155</v>
      </c>
      <c r="P195" s="38">
        <f>ROUND(SIP[[#This Row],[Amount]]/12.883,0)*10</f>
        <v>780</v>
      </c>
      <c r="Q195" s="41">
        <f>SIP[[#This Row],[Amount]]-SIP[[#This Row],[Unit Capital]]</f>
        <v>220</v>
      </c>
      <c r="R195" s="43">
        <f>IF(SIP[[#This Row],[Cumulative Unit]]=0,0,IF(SIP[[#This Row],[B/S]]="B",IF(SIP[[#This Row],[Frequency]]=1,SIP[[#This Row],[NAV (Strike Rate)]],((SIP[[#This Row],[Unit]]/SIP[[#This Row],[Cumulative Unit]])*SIP[[#This Row],[NAV (Strike Rate)]])+(((SIP[[#This Row],[Cumulative Unit]]-SIP[[#This Row],[Unit]])/SIP[[#This Row],[Cumulative Unit]])*(INDEX(SIP[[#Headers],[NAV at Cost (Average)]]:SIP[[#This Row],[NAV at Cost (Average)]],MATCH(CONCATENATE(SIP[[#This Row],[Frequency]]-1,SIP[[#This Row],[Investor ID]]),SIP[[#Headers],[Unique Code]]:SIP[[#This Row],[Unique Code]],0),)))),INDEX(SIP[[#Headers],[NAV at Cost (Average)]]:SIP[[#This Row],[NAV at Cost (Average)]],MATCH(CONCATENATE(SIP[[#This Row],[Frequency]]-1,SIP[[#This Row],[Investor ID]]),SIP[[#Headers],[Unique Code]]:SIP[[#This Row],[Unique Code]],0),)))</f>
        <v>12.903225806451612</v>
      </c>
      <c r="S195" s="43">
        <f>NAV_MKT</f>
        <v>12.552</v>
      </c>
      <c r="T195" s="41">
        <f>IF(SIP[[#This Row],[B/S]]="B",0,ABS(SIP[[#This Row],[Unit]])*(SIP[[#This Row],[NAV (Strike Rate)]]-INDEX(SIP[NAV at Cost (Average)],MATCH(CONCATENATE(SIP[[#This Row],[Frequency]]-1,SIP[[#This Row],[Investor ID]]),SIP[Unique Code],0),)))</f>
        <v>0</v>
      </c>
      <c r="U195" s="43" cm="1">
        <f t="array" ref="U195">IF(SIP[[#This Row],[B/S]]="S",ABS(SIP[[#This Row],[Unit]])*(INDEX(SIP[NAV at Cost (Average)],MATCH(CONCATENATE((SIP[[#This Row],[Frequency]]-1),SIP[[#This Row],[Investor ID]]),SIP[Unique Code],0),0)),0)</f>
        <v>0</v>
      </c>
      <c r="V195" s="43">
        <f>IF(SIP[[#This Row],[BO Transfer]]="YES",SIP[[#This Row],[Unit]],)</f>
        <v>0</v>
      </c>
      <c r="W195" s="41">
        <f>SUMIFS(SIP[[#Headers],[BO UNIT TRANSFER]]:SIP[[#This Row],[BO UNIT TRANSFER]],SIP[[#Headers],[Investor ID]]:SIP[[#This Row],[Investor ID]],SIP[[#This Row],[Investor ID]])</f>
        <v>77</v>
      </c>
    </row>
    <row r="196" spans="1:23" ht="15" customHeight="1">
      <c r="D196" s="39"/>
      <c r="E196" s="40"/>
      <c r="K196" s="38"/>
      <c r="L196" s="38"/>
      <c r="M196" s="43"/>
      <c r="N196" s="42"/>
      <c r="O196" s="50"/>
      <c r="P196" s="38"/>
      <c r="Q196" s="41"/>
      <c r="R196" s="43"/>
      <c r="S196" s="43"/>
      <c r="T196" s="41"/>
      <c r="U196" s="43"/>
      <c r="V196" s="43"/>
    </row>
    <row r="197" spans="1:23" ht="15" customHeight="1">
      <c r="D197" s="39"/>
      <c r="E197" s="40"/>
      <c r="K197" s="38"/>
      <c r="L197" s="38"/>
      <c r="M197" s="43"/>
      <c r="N197" s="42"/>
      <c r="O197" s="50"/>
      <c r="P197" s="38"/>
      <c r="Q197" s="41"/>
      <c r="R197" s="43"/>
      <c r="S197" s="43"/>
      <c r="T197" s="41"/>
      <c r="U197" s="43"/>
      <c r="V197" s="43"/>
    </row>
    <row r="198" spans="1:23" ht="15" customHeight="1">
      <c r="D198" s="39"/>
      <c r="E198" s="40"/>
      <c r="K198" s="38"/>
      <c r="L198" s="38"/>
      <c r="M198" s="43"/>
      <c r="N198" s="42"/>
      <c r="O198" s="50"/>
      <c r="P198" s="38"/>
      <c r="Q198" s="41"/>
      <c r="R198" s="43"/>
      <c r="S198" s="43"/>
      <c r="T198" s="41"/>
      <c r="U198" s="43"/>
      <c r="V198" s="43"/>
    </row>
    <row r="199" spans="1:23" ht="15" customHeight="1">
      <c r="D199" s="39"/>
      <c r="E199" s="40"/>
      <c r="K199" s="38"/>
      <c r="L199" s="38"/>
      <c r="M199" s="43"/>
      <c r="N199" s="42"/>
      <c r="O199" s="50"/>
      <c r="P199" s="38"/>
      <c r="Q199" s="41"/>
      <c r="R199" s="43"/>
      <c r="S199" s="43"/>
      <c r="T199" s="41"/>
      <c r="U199" s="43"/>
      <c r="V199" s="43"/>
    </row>
    <row r="200" spans="1:23" ht="15" customHeight="1">
      <c r="D200" s="39"/>
      <c r="E200" s="40"/>
      <c r="K200" s="38"/>
      <c r="L200" s="38"/>
      <c r="M200" s="43"/>
      <c r="N200" s="42"/>
      <c r="O200" s="50"/>
      <c r="P200" s="38"/>
      <c r="Q200" s="41"/>
      <c r="R200" s="43"/>
      <c r="S200" s="43"/>
      <c r="T200" s="41"/>
      <c r="U200" s="43"/>
      <c r="V200" s="43"/>
    </row>
    <row r="201" spans="1:23" ht="15" customHeight="1">
      <c r="D201" s="39"/>
      <c r="E201" s="40"/>
      <c r="K201" s="38"/>
      <c r="L201" s="38"/>
      <c r="M201" s="43"/>
      <c r="N201" s="42"/>
      <c r="O201" s="50"/>
      <c r="P201" s="38"/>
      <c r="Q201" s="41"/>
      <c r="R201" s="43"/>
      <c r="S201" s="43"/>
      <c r="T201" s="41"/>
      <c r="U201" s="43"/>
      <c r="V201" s="43"/>
    </row>
    <row r="202" spans="1:23" ht="15" customHeight="1">
      <c r="D202" s="39"/>
      <c r="E202" s="40"/>
      <c r="K202" s="38"/>
      <c r="L202" s="38"/>
      <c r="M202" s="43"/>
      <c r="N202" s="42"/>
      <c r="O202" s="50"/>
      <c r="P202" s="38"/>
      <c r="Q202" s="41"/>
      <c r="R202" s="43"/>
      <c r="S202" s="43"/>
      <c r="T202" s="41"/>
      <c r="U202" s="43"/>
      <c r="V202" s="43"/>
    </row>
    <row r="203" spans="1:23" ht="15" customHeight="1">
      <c r="D203" s="39"/>
      <c r="E203" s="40"/>
      <c r="K203" s="38"/>
      <c r="L203" s="38"/>
      <c r="M203" s="43"/>
      <c r="N203" s="42"/>
      <c r="O203" s="50"/>
      <c r="P203" s="38"/>
      <c r="Q203" s="41"/>
      <c r="R203" s="43"/>
      <c r="S203" s="43"/>
      <c r="T203" s="41"/>
      <c r="U203" s="43"/>
      <c r="V203" s="43"/>
    </row>
    <row r="204" spans="1:23" ht="15" customHeight="1">
      <c r="D204" s="39"/>
      <c r="E204" s="40"/>
      <c r="K204" s="38"/>
      <c r="L204" s="38"/>
      <c r="M204" s="43"/>
      <c r="N204" s="42"/>
      <c r="O204" s="50"/>
      <c r="P204" s="38"/>
      <c r="Q204" s="41"/>
      <c r="R204" s="43"/>
      <c r="S204" s="43"/>
      <c r="T204" s="41"/>
      <c r="U204" s="43"/>
      <c r="V204" s="43"/>
    </row>
    <row r="205" spans="1:23" ht="15" customHeight="1">
      <c r="D205" s="39"/>
      <c r="E205" s="40"/>
      <c r="K205" s="38"/>
      <c r="L205" s="38"/>
      <c r="M205" s="43"/>
      <c r="N205" s="42"/>
      <c r="O205" s="50"/>
      <c r="P205" s="38"/>
      <c r="Q205" s="41"/>
      <c r="R205" s="43"/>
      <c r="S205" s="43"/>
      <c r="T205" s="41"/>
      <c r="U205" s="43"/>
      <c r="V205" s="43"/>
    </row>
    <row r="206" spans="1:23" ht="15" customHeight="1">
      <c r="D206" s="39"/>
      <c r="E206" s="40"/>
      <c r="K206" s="38"/>
      <c r="L206" s="38"/>
      <c r="M206" s="43"/>
      <c r="N206" s="42"/>
      <c r="O206" s="50"/>
      <c r="P206" s="38"/>
      <c r="Q206" s="41"/>
      <c r="R206" s="43"/>
      <c r="S206" s="43"/>
      <c r="T206" s="41"/>
      <c r="U206" s="43"/>
      <c r="V206" s="43"/>
    </row>
    <row r="207" spans="1:23" ht="15" customHeight="1">
      <c r="D207" s="39"/>
      <c r="E207" s="40"/>
      <c r="K207" s="38"/>
      <c r="L207" s="38"/>
      <c r="M207" s="43"/>
      <c r="N207" s="42"/>
      <c r="O207" s="50"/>
      <c r="P207" s="38"/>
      <c r="Q207" s="41"/>
      <c r="R207" s="43"/>
      <c r="S207" s="43"/>
      <c r="T207" s="41"/>
      <c r="U207" s="43"/>
      <c r="V207" s="43"/>
    </row>
    <row r="208" spans="1:23" ht="15" customHeight="1">
      <c r="D208" s="39"/>
      <c r="E208" s="40"/>
      <c r="K208" s="38"/>
      <c r="L208" s="38"/>
      <c r="M208" s="43"/>
      <c r="N208" s="42"/>
      <c r="O208" s="50"/>
      <c r="P208" s="38"/>
      <c r="Q208" s="41"/>
      <c r="R208" s="43"/>
      <c r="S208" s="43"/>
      <c r="T208" s="41"/>
      <c r="U208" s="43"/>
      <c r="V208" s="43"/>
    </row>
    <row r="209" spans="4:22" ht="15" customHeight="1">
      <c r="D209" s="39"/>
      <c r="E209" s="40"/>
      <c r="K209" s="38"/>
      <c r="L209" s="38"/>
      <c r="M209" s="43"/>
      <c r="N209" s="42"/>
      <c r="O209" s="50"/>
      <c r="P209" s="38"/>
      <c r="Q209" s="41"/>
      <c r="R209" s="43"/>
      <c r="S209" s="43"/>
      <c r="T209" s="41"/>
      <c r="U209" s="43"/>
      <c r="V209" s="43"/>
    </row>
    <row r="210" spans="4:22" ht="15" customHeight="1">
      <c r="D210" s="39"/>
      <c r="E210" s="40"/>
      <c r="K210" s="38"/>
      <c r="L210" s="38"/>
      <c r="M210" s="43"/>
      <c r="N210" s="42"/>
      <c r="O210" s="50"/>
      <c r="P210" s="38"/>
      <c r="Q210" s="41"/>
      <c r="R210" s="43"/>
      <c r="S210" s="43"/>
      <c r="T210" s="41"/>
      <c r="U210" s="43"/>
      <c r="V210" s="43"/>
    </row>
    <row r="211" spans="4:22" ht="15" customHeight="1">
      <c r="D211" s="39"/>
      <c r="E211" s="40"/>
      <c r="K211" s="38"/>
      <c r="L211" s="38"/>
      <c r="M211" s="43"/>
      <c r="N211" s="42"/>
      <c r="O211" s="50"/>
      <c r="P211" s="38"/>
      <c r="Q211" s="41"/>
      <c r="R211" s="43"/>
      <c r="S211" s="43"/>
      <c r="T211" s="41"/>
      <c r="U211" s="43"/>
      <c r="V211" s="43"/>
    </row>
    <row r="212" spans="4:22" ht="15" customHeight="1">
      <c r="D212" s="39"/>
      <c r="E212" s="40"/>
      <c r="K212" s="38"/>
      <c r="L212" s="38"/>
      <c r="M212" s="43"/>
      <c r="N212" s="42"/>
      <c r="O212" s="50"/>
      <c r="P212" s="38"/>
      <c r="Q212" s="41"/>
      <c r="R212" s="43"/>
      <c r="S212" s="43"/>
      <c r="T212" s="41"/>
      <c r="U212" s="43"/>
      <c r="V212" s="43"/>
    </row>
    <row r="213" spans="4:22" ht="15" customHeight="1">
      <c r="D213" s="39"/>
      <c r="E213" s="40"/>
      <c r="K213" s="38"/>
      <c r="L213" s="38"/>
      <c r="M213" s="43"/>
      <c r="N213" s="42"/>
      <c r="O213" s="50"/>
      <c r="P213" s="38"/>
      <c r="Q213" s="41"/>
      <c r="R213" s="43"/>
      <c r="S213" s="43"/>
      <c r="T213" s="41"/>
      <c r="U213" s="43"/>
      <c r="V213" s="43"/>
    </row>
    <row r="214" spans="4:22" ht="15" customHeight="1">
      <c r="D214" s="39"/>
      <c r="E214" s="40"/>
      <c r="K214" s="38"/>
      <c r="L214" s="38"/>
      <c r="M214" s="43"/>
      <c r="N214" s="42"/>
      <c r="O214" s="50"/>
      <c r="P214" s="38"/>
      <c r="Q214" s="41"/>
      <c r="R214" s="43"/>
      <c r="S214" s="43"/>
      <c r="T214" s="41"/>
      <c r="U214" s="43"/>
      <c r="V214" s="43"/>
    </row>
    <row r="215" spans="4:22" ht="15" customHeight="1">
      <c r="D215" s="39"/>
      <c r="E215" s="40"/>
      <c r="K215" s="38"/>
      <c r="L215" s="38"/>
      <c r="M215" s="43"/>
      <c r="N215" s="42"/>
      <c r="O215" s="50"/>
      <c r="P215" s="38"/>
      <c r="Q215" s="41"/>
      <c r="R215" s="43"/>
      <c r="S215" s="43"/>
      <c r="T215" s="41"/>
      <c r="U215" s="43"/>
      <c r="V215" s="43"/>
    </row>
    <row r="216" spans="4:22" ht="15" customHeight="1">
      <c r="D216" s="39"/>
      <c r="E216" s="40"/>
      <c r="K216" s="38"/>
      <c r="L216" s="38"/>
      <c r="M216" s="43"/>
      <c r="N216" s="42"/>
      <c r="O216" s="50"/>
      <c r="P216" s="38"/>
      <c r="Q216" s="41"/>
      <c r="R216" s="43"/>
      <c r="S216" s="43"/>
      <c r="T216" s="41"/>
      <c r="U216" s="43"/>
      <c r="V216" s="43"/>
    </row>
    <row r="217" spans="4:22" ht="15" customHeight="1">
      <c r="D217" s="39"/>
      <c r="E217" s="40"/>
      <c r="K217" s="38"/>
      <c r="L217" s="38"/>
      <c r="M217" s="43"/>
      <c r="N217" s="42"/>
      <c r="O217" s="50"/>
      <c r="P217" s="38"/>
      <c r="Q217" s="41"/>
      <c r="R217" s="43"/>
      <c r="S217" s="43"/>
      <c r="T217" s="41"/>
      <c r="U217" s="43"/>
      <c r="V217" s="43"/>
    </row>
    <row r="218" spans="4:22" ht="15" customHeight="1">
      <c r="D218" s="39"/>
      <c r="E218" s="40"/>
      <c r="K218" s="38"/>
      <c r="L218" s="38"/>
      <c r="M218" s="43"/>
      <c r="N218" s="42"/>
      <c r="O218" s="50"/>
      <c r="P218" s="38"/>
      <c r="Q218" s="41"/>
      <c r="R218" s="43"/>
      <c r="S218" s="43"/>
      <c r="T218" s="41"/>
      <c r="U218" s="43"/>
      <c r="V218" s="43"/>
    </row>
    <row r="219" spans="4:22" ht="15" customHeight="1">
      <c r="D219" s="39"/>
      <c r="E219" s="40"/>
      <c r="K219" s="38"/>
      <c r="L219" s="38"/>
      <c r="M219" s="43"/>
      <c r="N219" s="42"/>
      <c r="O219" s="50"/>
      <c r="P219" s="38"/>
      <c r="Q219" s="41"/>
      <c r="R219" s="43"/>
      <c r="S219" s="43"/>
      <c r="T219" s="41"/>
      <c r="U219" s="43"/>
      <c r="V219" s="43"/>
    </row>
    <row r="220" spans="4:22" ht="15" customHeight="1">
      <c r="D220" s="39"/>
      <c r="E220" s="40"/>
      <c r="K220" s="38"/>
      <c r="L220" s="38"/>
      <c r="M220" s="43"/>
      <c r="N220" s="42"/>
      <c r="O220" s="50"/>
      <c r="P220" s="38"/>
      <c r="Q220" s="41"/>
      <c r="R220" s="43"/>
      <c r="S220" s="43"/>
      <c r="T220" s="41"/>
      <c r="U220" s="43"/>
      <c r="V220" s="43"/>
    </row>
    <row r="221" spans="4:22" ht="15" customHeight="1">
      <c r="D221" s="39"/>
      <c r="E221" s="40"/>
      <c r="K221" s="38"/>
      <c r="L221" s="38"/>
      <c r="M221" s="43"/>
      <c r="N221" s="42"/>
      <c r="O221" s="50"/>
      <c r="P221" s="38"/>
      <c r="Q221" s="41"/>
      <c r="R221" s="43"/>
      <c r="S221" s="43"/>
      <c r="T221" s="41"/>
      <c r="U221" s="43"/>
      <c r="V221" s="43"/>
    </row>
    <row r="222" spans="4:22" ht="15" customHeight="1">
      <c r="D222" s="39"/>
      <c r="E222" s="40"/>
      <c r="K222" s="38"/>
      <c r="L222" s="38"/>
      <c r="M222" s="43"/>
      <c r="N222" s="42"/>
      <c r="O222" s="50"/>
      <c r="P222" s="38"/>
      <c r="Q222" s="41"/>
      <c r="R222" s="43"/>
      <c r="S222" s="43"/>
      <c r="T222" s="41"/>
      <c r="U222" s="43"/>
      <c r="V222" s="43"/>
    </row>
    <row r="223" spans="4:22" ht="15" customHeight="1">
      <c r="D223" s="39"/>
      <c r="E223" s="40"/>
      <c r="K223" s="38"/>
      <c r="L223" s="38"/>
      <c r="M223" s="43"/>
      <c r="N223" s="42"/>
      <c r="O223" s="50"/>
      <c r="P223" s="38"/>
      <c r="Q223" s="41"/>
      <c r="R223" s="43"/>
      <c r="S223" s="43"/>
      <c r="T223" s="41"/>
      <c r="U223" s="43"/>
      <c r="V223" s="43"/>
    </row>
    <row r="224" spans="4:22" ht="15" customHeight="1">
      <c r="D224" s="39"/>
      <c r="E224" s="40"/>
      <c r="K224" s="38"/>
      <c r="L224" s="38"/>
      <c r="M224" s="43"/>
      <c r="N224" s="42"/>
      <c r="O224" s="50"/>
      <c r="P224" s="38"/>
      <c r="Q224" s="41"/>
      <c r="R224" s="43"/>
      <c r="S224" s="43"/>
      <c r="T224" s="41"/>
      <c r="U224" s="43"/>
      <c r="V224" s="43"/>
    </row>
    <row r="225" spans="4:22" ht="15" customHeight="1">
      <c r="D225" s="39"/>
      <c r="E225" s="40"/>
      <c r="K225" s="38"/>
      <c r="L225" s="38"/>
      <c r="M225" s="43"/>
      <c r="N225" s="42"/>
      <c r="O225" s="50"/>
      <c r="P225" s="38"/>
      <c r="Q225" s="41"/>
      <c r="R225" s="43"/>
      <c r="S225" s="43"/>
      <c r="T225" s="41"/>
      <c r="U225" s="43"/>
      <c r="V225" s="43"/>
    </row>
    <row r="226" spans="4:22" ht="15" customHeight="1">
      <c r="D226" s="39"/>
      <c r="E226" s="40"/>
      <c r="K226" s="38"/>
      <c r="L226" s="38"/>
      <c r="M226" s="43"/>
      <c r="N226" s="42"/>
      <c r="O226" s="50"/>
      <c r="P226" s="38"/>
      <c r="Q226" s="41"/>
      <c r="R226" s="43"/>
      <c r="S226" s="43"/>
      <c r="T226" s="41"/>
      <c r="U226" s="43"/>
      <c r="V226" s="43"/>
    </row>
    <row r="227" spans="4:22" ht="15" customHeight="1">
      <c r="D227" s="39"/>
      <c r="E227" s="40"/>
      <c r="K227" s="38"/>
      <c r="L227" s="38"/>
      <c r="M227" s="43"/>
      <c r="N227" s="42"/>
      <c r="O227" s="50"/>
      <c r="P227" s="38"/>
      <c r="Q227" s="41"/>
      <c r="R227" s="43"/>
      <c r="S227" s="43"/>
      <c r="T227" s="41"/>
      <c r="U227" s="43"/>
      <c r="V227" s="43"/>
    </row>
    <row r="228" spans="4:22" ht="15" customHeight="1">
      <c r="D228" s="39"/>
      <c r="E228" s="40"/>
      <c r="K228" s="38"/>
      <c r="L228" s="38"/>
      <c r="M228" s="43"/>
      <c r="N228" s="42"/>
      <c r="O228" s="50"/>
      <c r="P228" s="38"/>
      <c r="Q228" s="41"/>
      <c r="R228" s="43"/>
      <c r="S228" s="43"/>
      <c r="T228" s="41"/>
      <c r="U228" s="43"/>
      <c r="V228" s="43"/>
    </row>
    <row r="229" spans="4:22" ht="15" customHeight="1">
      <c r="D229" s="39"/>
      <c r="E229" s="40"/>
      <c r="K229" s="38"/>
      <c r="L229" s="38"/>
      <c r="M229" s="43"/>
      <c r="N229" s="42"/>
      <c r="O229" s="50"/>
      <c r="P229" s="38"/>
      <c r="Q229" s="41"/>
      <c r="R229" s="43"/>
      <c r="S229" s="43"/>
      <c r="T229" s="41"/>
      <c r="U229" s="43"/>
      <c r="V229" s="43"/>
    </row>
    <row r="230" spans="4:22" ht="15" customHeight="1">
      <c r="D230" s="39"/>
      <c r="E230" s="40"/>
      <c r="K230" s="38"/>
      <c r="L230" s="38"/>
      <c r="M230" s="43"/>
      <c r="N230" s="42"/>
      <c r="O230" s="50"/>
      <c r="P230" s="38"/>
      <c r="Q230" s="41"/>
      <c r="R230" s="43"/>
      <c r="S230" s="43"/>
      <c r="T230" s="41"/>
      <c r="U230" s="43"/>
      <c r="V230" s="43"/>
    </row>
    <row r="231" spans="4:22" ht="15" customHeight="1">
      <c r="D231" s="39"/>
      <c r="E231" s="40"/>
      <c r="K231" s="38"/>
      <c r="L231" s="38"/>
      <c r="M231" s="43"/>
      <c r="N231" s="42"/>
      <c r="O231" s="50"/>
      <c r="P231" s="38"/>
      <c r="Q231" s="41"/>
      <c r="R231" s="43"/>
      <c r="S231" s="43"/>
      <c r="T231" s="41"/>
      <c r="U231" s="43"/>
      <c r="V231" s="43"/>
    </row>
    <row r="232" spans="4:22" ht="15" customHeight="1">
      <c r="D232" s="39"/>
      <c r="E232" s="40"/>
      <c r="K232" s="38"/>
      <c r="L232" s="38"/>
      <c r="M232" s="43"/>
      <c r="N232" s="42"/>
      <c r="O232" s="50"/>
      <c r="P232" s="38"/>
      <c r="Q232" s="41"/>
      <c r="R232" s="43"/>
      <c r="S232" s="43"/>
      <c r="T232" s="41"/>
      <c r="U232" s="43"/>
      <c r="V232" s="43"/>
    </row>
    <row r="233" spans="4:22" ht="15" customHeight="1">
      <c r="D233" s="39"/>
      <c r="E233" s="40"/>
      <c r="K233" s="38"/>
      <c r="L233" s="38"/>
      <c r="M233" s="43"/>
      <c r="N233" s="42"/>
      <c r="O233" s="50"/>
      <c r="P233" s="38"/>
      <c r="Q233" s="41"/>
      <c r="R233" s="43"/>
      <c r="S233" s="43"/>
      <c r="T233" s="41"/>
      <c r="U233" s="43"/>
      <c r="V233" s="43"/>
    </row>
    <row r="234" spans="4:22" ht="15" customHeight="1">
      <c r="D234" s="39"/>
      <c r="E234" s="40"/>
      <c r="K234" s="38"/>
      <c r="L234" s="38"/>
      <c r="M234" s="43"/>
      <c r="N234" s="42"/>
      <c r="O234" s="50"/>
      <c r="P234" s="38"/>
      <c r="Q234" s="41"/>
      <c r="R234" s="43"/>
      <c r="S234" s="43"/>
      <c r="T234" s="41"/>
      <c r="U234" s="43"/>
      <c r="V234" s="43"/>
    </row>
    <row r="235" spans="4:22" ht="15" customHeight="1">
      <c r="D235" s="39"/>
      <c r="E235" s="40"/>
      <c r="K235" s="38"/>
      <c r="L235" s="38"/>
      <c r="M235" s="43"/>
      <c r="N235" s="42"/>
      <c r="O235" s="50"/>
      <c r="P235" s="38"/>
      <c r="Q235" s="41"/>
      <c r="R235" s="43"/>
      <c r="S235" s="43"/>
      <c r="T235" s="41"/>
      <c r="U235" s="43"/>
      <c r="V235" s="43"/>
    </row>
    <row r="236" spans="4:22" ht="15" customHeight="1">
      <c r="D236" s="39"/>
      <c r="E236" s="40"/>
      <c r="K236" s="38"/>
      <c r="L236" s="38"/>
      <c r="M236" s="43"/>
      <c r="N236" s="42"/>
      <c r="O236" s="50"/>
      <c r="P236" s="38"/>
      <c r="Q236" s="41"/>
      <c r="R236" s="43"/>
      <c r="S236" s="43"/>
      <c r="T236" s="41"/>
      <c r="U236" s="43"/>
      <c r="V236" s="43"/>
    </row>
    <row r="237" spans="4:22" ht="15" customHeight="1">
      <c r="D237" s="39"/>
      <c r="E237" s="40"/>
      <c r="K237" s="38"/>
      <c r="L237" s="38"/>
      <c r="M237" s="43"/>
      <c r="N237" s="42"/>
      <c r="O237" s="50"/>
      <c r="P237" s="38"/>
      <c r="Q237" s="41"/>
      <c r="R237" s="43"/>
      <c r="S237" s="43"/>
      <c r="T237" s="41"/>
      <c r="U237" s="43"/>
      <c r="V237" s="43"/>
    </row>
    <row r="238" spans="4:22" ht="15" customHeight="1">
      <c r="D238" s="39"/>
      <c r="E238" s="40"/>
      <c r="K238" s="38"/>
      <c r="L238" s="38"/>
      <c r="M238" s="43"/>
      <c r="N238" s="42"/>
      <c r="O238" s="50"/>
      <c r="P238" s="38"/>
      <c r="Q238" s="41"/>
      <c r="R238" s="43"/>
      <c r="S238" s="43"/>
      <c r="T238" s="41"/>
      <c r="U238" s="43"/>
      <c r="V238" s="43"/>
    </row>
    <row r="239" spans="4:22" ht="15" customHeight="1">
      <c r="D239" s="39"/>
      <c r="E239" s="40"/>
      <c r="K239" s="38"/>
      <c r="L239" s="38"/>
      <c r="M239" s="43"/>
      <c r="N239" s="42"/>
      <c r="O239" s="50"/>
      <c r="P239" s="38"/>
      <c r="Q239" s="41"/>
      <c r="R239" s="43"/>
      <c r="S239" s="43"/>
      <c r="T239" s="41"/>
      <c r="U239" s="43"/>
      <c r="V239" s="43"/>
    </row>
    <row r="240" spans="4:22" ht="15" customHeight="1">
      <c r="D240" s="39"/>
      <c r="E240" s="40"/>
      <c r="K240" s="38"/>
      <c r="L240" s="38"/>
      <c r="M240" s="43"/>
      <c r="N240" s="42"/>
      <c r="O240" s="50"/>
      <c r="P240" s="38"/>
      <c r="Q240" s="41"/>
      <c r="R240" s="43"/>
      <c r="S240" s="43"/>
      <c r="T240" s="41"/>
      <c r="U240" s="43"/>
      <c r="V240" s="43"/>
    </row>
    <row r="241" spans="4:22" ht="15" customHeight="1">
      <c r="D241" s="39"/>
      <c r="E241" s="40"/>
      <c r="K241" s="38"/>
      <c r="L241" s="38"/>
      <c r="M241" s="43"/>
      <c r="N241" s="42"/>
      <c r="O241" s="50"/>
      <c r="P241" s="38"/>
      <c r="Q241" s="41"/>
      <c r="R241" s="43"/>
      <c r="S241" s="43"/>
      <c r="T241" s="41"/>
      <c r="U241" s="43"/>
      <c r="V241" s="43"/>
    </row>
    <row r="242" spans="4:22" ht="15" customHeight="1">
      <c r="D242" s="39"/>
      <c r="E242" s="40"/>
      <c r="K242" s="38"/>
      <c r="L242" s="38"/>
      <c r="M242" s="43"/>
      <c r="N242" s="42"/>
      <c r="O242" s="50"/>
      <c r="P242" s="38"/>
      <c r="Q242" s="41"/>
      <c r="R242" s="43"/>
      <c r="S242" s="43"/>
      <c r="T242" s="41"/>
      <c r="U242" s="43"/>
      <c r="V242" s="43"/>
    </row>
    <row r="243" spans="4:22" ht="15" customHeight="1">
      <c r="D243" s="39"/>
      <c r="E243" s="40"/>
      <c r="K243" s="38"/>
      <c r="L243" s="38"/>
      <c r="M243" s="43"/>
      <c r="N243" s="42"/>
      <c r="O243" s="50"/>
      <c r="P243" s="38"/>
      <c r="Q243" s="41"/>
      <c r="R243" s="43"/>
      <c r="S243" s="43"/>
      <c r="T243" s="41"/>
      <c r="U243" s="43"/>
      <c r="V243" s="43"/>
    </row>
    <row r="244" spans="4:22" ht="15" customHeight="1">
      <c r="D244" s="39"/>
      <c r="E244" s="40"/>
      <c r="K244" s="38"/>
      <c r="L244" s="38"/>
      <c r="M244" s="43"/>
      <c r="N244" s="42"/>
      <c r="O244" s="50"/>
      <c r="P244" s="38"/>
      <c r="Q244" s="41"/>
      <c r="R244" s="43"/>
      <c r="S244" s="43"/>
      <c r="T244" s="41"/>
      <c r="U244" s="43"/>
      <c r="V244" s="43"/>
    </row>
    <row r="245" spans="4:22" ht="15" customHeight="1">
      <c r="D245" s="39"/>
      <c r="E245" s="40"/>
      <c r="K245" s="38"/>
      <c r="L245" s="38"/>
      <c r="M245" s="43"/>
      <c r="N245" s="42"/>
      <c r="O245" s="50"/>
      <c r="P245" s="38"/>
      <c r="Q245" s="41"/>
      <c r="R245" s="43"/>
      <c r="S245" s="43"/>
      <c r="T245" s="41"/>
      <c r="U245" s="43"/>
      <c r="V245" s="43"/>
    </row>
    <row r="246" spans="4:22" ht="15" customHeight="1">
      <c r="D246" s="39"/>
      <c r="E246" s="40"/>
      <c r="K246" s="38"/>
      <c r="L246" s="38"/>
      <c r="M246" s="43"/>
      <c r="N246" s="42"/>
      <c r="O246" s="50"/>
      <c r="P246" s="38"/>
      <c r="Q246" s="41"/>
      <c r="R246" s="43"/>
      <c r="S246" s="43"/>
      <c r="T246" s="41"/>
      <c r="U246" s="43"/>
      <c r="V246" s="43"/>
    </row>
    <row r="247" spans="4:22" ht="15" customHeight="1">
      <c r="D247" s="39"/>
      <c r="E247" s="40"/>
      <c r="K247" s="38"/>
      <c r="L247" s="38"/>
      <c r="M247" s="43"/>
      <c r="N247" s="42"/>
      <c r="O247" s="50"/>
      <c r="P247" s="38"/>
      <c r="Q247" s="41"/>
      <c r="R247" s="43"/>
      <c r="S247" s="43"/>
      <c r="T247" s="41"/>
      <c r="U247" s="43"/>
      <c r="V247" s="43"/>
    </row>
    <row r="248" spans="4:22" ht="15" customHeight="1">
      <c r="D248" s="39"/>
      <c r="E248" s="40"/>
      <c r="K248" s="38"/>
      <c r="L248" s="38"/>
      <c r="M248" s="43"/>
      <c r="N248" s="42"/>
      <c r="O248" s="50"/>
      <c r="P248" s="38"/>
      <c r="Q248" s="41"/>
      <c r="R248" s="43"/>
      <c r="S248" s="43"/>
      <c r="T248" s="41"/>
      <c r="U248" s="43"/>
      <c r="V248" s="43"/>
    </row>
    <row r="249" spans="4:22" ht="15" customHeight="1">
      <c r="D249" s="39"/>
      <c r="E249" s="40"/>
      <c r="K249" s="38"/>
      <c r="L249" s="38"/>
      <c r="M249" s="43"/>
      <c r="N249" s="42"/>
      <c r="O249" s="50"/>
      <c r="P249" s="38"/>
      <c r="Q249" s="41"/>
      <c r="R249" s="43"/>
      <c r="S249" s="43"/>
      <c r="T249" s="41"/>
      <c r="U249" s="43"/>
      <c r="V249" s="43"/>
    </row>
    <row r="250" spans="4:22" ht="15" customHeight="1">
      <c r="D250" s="39"/>
      <c r="E250" s="40"/>
      <c r="K250" s="38"/>
      <c r="L250" s="38"/>
      <c r="M250" s="43"/>
      <c r="N250" s="42"/>
      <c r="O250" s="50"/>
      <c r="P250" s="38"/>
      <c r="Q250" s="41"/>
      <c r="R250" s="43"/>
      <c r="S250" s="43"/>
      <c r="T250" s="41"/>
      <c r="U250" s="43"/>
      <c r="V250" s="43"/>
    </row>
    <row r="251" spans="4:22" ht="15" customHeight="1">
      <c r="D251" s="39"/>
      <c r="E251" s="40"/>
      <c r="K251" s="38"/>
      <c r="L251" s="38"/>
      <c r="M251" s="43"/>
      <c r="N251" s="42"/>
      <c r="O251" s="50"/>
      <c r="P251" s="38"/>
      <c r="Q251" s="41"/>
      <c r="R251" s="43"/>
      <c r="S251" s="43"/>
      <c r="T251" s="41"/>
      <c r="U251" s="43"/>
      <c r="V251" s="43"/>
    </row>
    <row r="252" spans="4:22" ht="15" customHeight="1">
      <c r="D252" s="39"/>
      <c r="E252" s="40"/>
      <c r="K252" s="38"/>
      <c r="L252" s="38"/>
      <c r="M252" s="43"/>
      <c r="N252" s="42"/>
      <c r="O252" s="50"/>
      <c r="P252" s="38"/>
      <c r="Q252" s="41"/>
      <c r="R252" s="43"/>
      <c r="S252" s="43"/>
      <c r="T252" s="41"/>
      <c r="U252" s="43"/>
      <c r="V252" s="43"/>
    </row>
    <row r="253" spans="4:22" ht="15" customHeight="1">
      <c r="D253" s="39"/>
      <c r="E253" s="40"/>
      <c r="K253" s="38"/>
      <c r="L253" s="38"/>
      <c r="M253" s="43"/>
      <c r="N253" s="42"/>
      <c r="O253" s="50"/>
      <c r="P253" s="38"/>
      <c r="Q253" s="41"/>
      <c r="R253" s="43"/>
      <c r="S253" s="43"/>
      <c r="T253" s="41"/>
      <c r="U253" s="43"/>
      <c r="V253" s="43"/>
    </row>
    <row r="254" spans="4:22" ht="15" customHeight="1">
      <c r="D254" s="39"/>
      <c r="E254" s="40"/>
      <c r="K254" s="38"/>
      <c r="L254" s="38"/>
      <c r="M254" s="43"/>
      <c r="N254" s="42"/>
      <c r="O254" s="50"/>
      <c r="P254" s="38"/>
      <c r="Q254" s="41"/>
      <c r="R254" s="43"/>
      <c r="S254" s="43"/>
      <c r="T254" s="41"/>
      <c r="U254" s="43"/>
      <c r="V254" s="43"/>
    </row>
    <row r="255" spans="4:22" ht="15" customHeight="1">
      <c r="D255" s="39"/>
      <c r="E255" s="40"/>
      <c r="K255" s="38"/>
      <c r="L255" s="38"/>
      <c r="M255" s="43"/>
      <c r="N255" s="42"/>
      <c r="O255" s="50"/>
      <c r="P255" s="38"/>
      <c r="Q255" s="41"/>
      <c r="R255" s="43"/>
      <c r="S255" s="43"/>
      <c r="T255" s="41"/>
      <c r="U255" s="43"/>
      <c r="V255" s="43"/>
    </row>
    <row r="256" spans="4:22" ht="15" customHeight="1">
      <c r="D256" s="39"/>
      <c r="E256" s="40"/>
      <c r="K256" s="38"/>
      <c r="L256" s="38"/>
      <c r="M256" s="43"/>
      <c r="N256" s="42"/>
      <c r="O256" s="50"/>
      <c r="P256" s="38"/>
      <c r="Q256" s="41"/>
      <c r="R256" s="43"/>
      <c r="S256" s="43"/>
      <c r="T256" s="41"/>
      <c r="U256" s="43"/>
      <c r="V256" s="43"/>
    </row>
    <row r="257" spans="4:22" ht="15" customHeight="1">
      <c r="D257" s="39"/>
      <c r="E257" s="40"/>
      <c r="K257" s="38"/>
      <c r="L257" s="38"/>
      <c r="M257" s="43"/>
      <c r="N257" s="42"/>
      <c r="O257" s="50"/>
      <c r="P257" s="38"/>
      <c r="Q257" s="41"/>
      <c r="R257" s="43"/>
      <c r="S257" s="43"/>
      <c r="T257" s="41"/>
      <c r="U257" s="43"/>
      <c r="V257" s="43"/>
    </row>
    <row r="258" spans="4:22" ht="15" customHeight="1">
      <c r="D258" s="39"/>
      <c r="E258" s="40"/>
      <c r="K258" s="38"/>
      <c r="L258" s="38"/>
      <c r="M258" s="43"/>
      <c r="N258" s="42"/>
      <c r="O258" s="50"/>
      <c r="P258" s="38"/>
      <c r="Q258" s="41"/>
      <c r="R258" s="43"/>
      <c r="S258" s="43"/>
      <c r="T258" s="41"/>
      <c r="U258" s="43"/>
      <c r="V258" s="43"/>
    </row>
    <row r="259" spans="4:22" ht="15" customHeight="1">
      <c r="D259" s="39"/>
      <c r="E259" s="40"/>
      <c r="K259" s="38"/>
      <c r="L259" s="38"/>
      <c r="M259" s="43"/>
      <c r="N259" s="42"/>
      <c r="O259" s="50"/>
      <c r="P259" s="38"/>
      <c r="Q259" s="41"/>
      <c r="R259" s="43"/>
      <c r="S259" s="43"/>
      <c r="T259" s="41"/>
      <c r="U259" s="43"/>
      <c r="V259" s="43"/>
    </row>
    <row r="260" spans="4:22" ht="15" customHeight="1">
      <c r="D260" s="39"/>
      <c r="E260" s="40"/>
      <c r="K260" s="38"/>
      <c r="L260" s="38"/>
      <c r="M260" s="43"/>
      <c r="N260" s="42"/>
      <c r="O260" s="50"/>
      <c r="P260" s="38"/>
      <c r="Q260" s="41"/>
      <c r="R260" s="43"/>
      <c r="S260" s="43"/>
      <c r="T260" s="41"/>
      <c r="U260" s="43"/>
      <c r="V260" s="43"/>
    </row>
    <row r="261" spans="4:22" ht="15" customHeight="1">
      <c r="D261" s="39"/>
      <c r="E261" s="40"/>
      <c r="K261" s="38"/>
      <c r="L261" s="38"/>
      <c r="M261" s="43"/>
      <c r="N261" s="42"/>
      <c r="O261" s="50"/>
      <c r="P261" s="38"/>
      <c r="Q261" s="41"/>
      <c r="R261" s="43"/>
      <c r="S261" s="43"/>
      <c r="T261" s="41"/>
      <c r="U261" s="43"/>
      <c r="V261" s="43"/>
    </row>
    <row r="262" spans="4:22" ht="15" customHeight="1">
      <c r="D262" s="39"/>
      <c r="E262" s="40"/>
      <c r="K262" s="38"/>
      <c r="L262" s="38"/>
      <c r="M262" s="43"/>
      <c r="N262" s="42"/>
      <c r="O262" s="50"/>
      <c r="P262" s="38"/>
      <c r="Q262" s="41"/>
      <c r="R262" s="43"/>
      <c r="S262" s="43"/>
      <c r="T262" s="41"/>
      <c r="U262" s="43"/>
      <c r="V262" s="43"/>
    </row>
    <row r="263" spans="4:22" ht="15" customHeight="1">
      <c r="D263" s="39"/>
      <c r="E263" s="40"/>
      <c r="K263" s="38"/>
      <c r="L263" s="38"/>
      <c r="M263" s="43"/>
      <c r="N263" s="42"/>
      <c r="O263" s="50"/>
      <c r="P263" s="38"/>
      <c r="Q263" s="41"/>
      <c r="R263" s="43"/>
      <c r="S263" s="43"/>
      <c r="T263" s="41"/>
      <c r="U263" s="43"/>
      <c r="V263" s="43"/>
    </row>
    <row r="264" spans="4:22" ht="15" customHeight="1">
      <c r="D264" s="39"/>
      <c r="E264" s="40"/>
      <c r="K264" s="38"/>
      <c r="L264" s="38"/>
      <c r="M264" s="43"/>
      <c r="N264" s="42"/>
      <c r="O264" s="50"/>
      <c r="P264" s="38"/>
      <c r="Q264" s="41"/>
      <c r="R264" s="43"/>
      <c r="S264" s="43"/>
      <c r="T264" s="41"/>
      <c r="U264" s="43"/>
      <c r="V264" s="43"/>
    </row>
    <row r="265" spans="4:22" ht="15" customHeight="1">
      <c r="D265" s="39"/>
      <c r="E265" s="40"/>
      <c r="K265" s="38"/>
      <c r="L265" s="38"/>
      <c r="M265" s="43"/>
      <c r="N265" s="42"/>
      <c r="O265" s="50"/>
      <c r="P265" s="38"/>
      <c r="Q265" s="41"/>
      <c r="R265" s="43"/>
      <c r="S265" s="43"/>
      <c r="T265" s="41"/>
      <c r="U265" s="43"/>
      <c r="V265" s="43"/>
    </row>
    <row r="266" spans="4:22" ht="15" customHeight="1">
      <c r="D266" s="39"/>
      <c r="E266" s="40"/>
      <c r="K266" s="38"/>
      <c r="L266" s="38"/>
      <c r="M266" s="43"/>
      <c r="N266" s="42"/>
      <c r="O266" s="50"/>
      <c r="P266" s="38"/>
      <c r="Q266" s="41"/>
      <c r="R266" s="43"/>
      <c r="S266" s="43"/>
      <c r="T266" s="41"/>
      <c r="U266" s="43"/>
      <c r="V266" s="43"/>
    </row>
    <row r="267" spans="4:22" ht="15" customHeight="1">
      <c r="D267" s="39"/>
      <c r="E267" s="40"/>
      <c r="K267" s="38"/>
      <c r="L267" s="38"/>
      <c r="M267" s="43"/>
      <c r="N267" s="42"/>
      <c r="O267" s="50"/>
      <c r="P267" s="38"/>
      <c r="Q267" s="41"/>
      <c r="R267" s="43"/>
      <c r="S267" s="43"/>
      <c r="T267" s="41"/>
      <c r="U267" s="43"/>
      <c r="V267" s="43"/>
    </row>
    <row r="268" spans="4:22" ht="15" customHeight="1">
      <c r="D268" s="39"/>
      <c r="E268" s="40"/>
      <c r="K268" s="38"/>
      <c r="L268" s="38"/>
      <c r="M268" s="43"/>
      <c r="N268" s="42"/>
      <c r="O268" s="50"/>
      <c r="P268" s="38"/>
      <c r="Q268" s="41"/>
      <c r="R268" s="43"/>
      <c r="S268" s="43"/>
      <c r="T268" s="41"/>
      <c r="U268" s="43"/>
      <c r="V268" s="43"/>
    </row>
    <row r="269" spans="4:22" ht="15" customHeight="1">
      <c r="D269" s="39"/>
      <c r="E269" s="40"/>
      <c r="K269" s="38"/>
      <c r="L269" s="38"/>
      <c r="M269" s="43"/>
      <c r="N269" s="42"/>
      <c r="O269" s="50"/>
      <c r="P269" s="38"/>
      <c r="Q269" s="41"/>
      <c r="R269" s="43"/>
      <c r="S269" s="43"/>
      <c r="T269" s="41"/>
      <c r="U269" s="43"/>
      <c r="V269" s="43"/>
    </row>
    <row r="270" spans="4:22" ht="15" customHeight="1">
      <c r="D270" s="39"/>
      <c r="E270" s="40"/>
      <c r="K270" s="38"/>
      <c r="L270" s="38"/>
      <c r="M270" s="43"/>
      <c r="N270" s="42"/>
      <c r="O270" s="50"/>
      <c r="P270" s="38"/>
      <c r="Q270" s="41"/>
      <c r="R270" s="43"/>
      <c r="S270" s="43"/>
      <c r="T270" s="41"/>
      <c r="U270" s="43"/>
      <c r="V270" s="43"/>
    </row>
    <row r="271" spans="4:22" ht="15" customHeight="1">
      <c r="D271" s="39"/>
      <c r="E271" s="40"/>
      <c r="K271" s="38"/>
      <c r="L271" s="38"/>
      <c r="M271" s="43"/>
      <c r="N271" s="42"/>
      <c r="O271" s="50"/>
      <c r="P271" s="38"/>
      <c r="Q271" s="41"/>
      <c r="R271" s="43"/>
      <c r="S271" s="43"/>
      <c r="T271" s="41"/>
      <c r="U271" s="43"/>
      <c r="V271" s="43"/>
    </row>
    <row r="272" spans="4:22" ht="15" customHeight="1">
      <c r="D272" s="39"/>
      <c r="E272" s="40"/>
      <c r="K272" s="38"/>
      <c r="L272" s="38"/>
      <c r="M272" s="43"/>
      <c r="N272" s="42"/>
      <c r="O272" s="50"/>
      <c r="P272" s="38"/>
      <c r="Q272" s="41"/>
      <c r="R272" s="43"/>
      <c r="S272" s="43"/>
      <c r="T272" s="41"/>
      <c r="U272" s="43"/>
      <c r="V272" s="43"/>
    </row>
    <row r="273" spans="4:22" ht="15" customHeight="1">
      <c r="D273" s="39"/>
      <c r="E273" s="40"/>
      <c r="K273" s="38"/>
      <c r="L273" s="38"/>
      <c r="M273" s="43"/>
      <c r="N273" s="42"/>
      <c r="O273" s="50"/>
      <c r="P273" s="38"/>
      <c r="Q273" s="41"/>
      <c r="R273" s="43"/>
      <c r="S273" s="43"/>
      <c r="T273" s="41"/>
      <c r="U273" s="43"/>
      <c r="V273" s="43"/>
    </row>
    <row r="274" spans="4:22" ht="15" customHeight="1">
      <c r="D274" s="39"/>
      <c r="E274" s="40"/>
      <c r="K274" s="38"/>
      <c r="L274" s="38"/>
      <c r="M274" s="43"/>
      <c r="N274" s="42"/>
      <c r="O274" s="50"/>
      <c r="P274" s="38"/>
      <c r="Q274" s="41"/>
      <c r="R274" s="43"/>
      <c r="S274" s="43"/>
      <c r="T274" s="41"/>
      <c r="U274" s="43"/>
      <c r="V274" s="43"/>
    </row>
    <row r="275" spans="4:22" ht="15" customHeight="1">
      <c r="D275" s="39"/>
      <c r="E275" s="40"/>
      <c r="K275" s="38"/>
      <c r="L275" s="38"/>
      <c r="M275" s="43"/>
      <c r="N275" s="42"/>
      <c r="O275" s="50"/>
      <c r="P275" s="38"/>
      <c r="Q275" s="41"/>
      <c r="R275" s="43"/>
      <c r="S275" s="43"/>
      <c r="T275" s="41"/>
      <c r="U275" s="43"/>
      <c r="V275" s="43"/>
    </row>
    <row r="276" spans="4:22" ht="15" customHeight="1">
      <c r="D276" s="39"/>
      <c r="E276" s="40"/>
      <c r="K276" s="38"/>
      <c r="L276" s="38"/>
      <c r="M276" s="43"/>
      <c r="N276" s="42"/>
      <c r="O276" s="50"/>
      <c r="P276" s="38"/>
      <c r="Q276" s="41"/>
      <c r="R276" s="43"/>
      <c r="S276" s="43"/>
      <c r="T276" s="41"/>
      <c r="U276" s="43"/>
      <c r="V276" s="43"/>
    </row>
    <row r="277" spans="4:22" ht="15" customHeight="1">
      <c r="D277" s="39"/>
      <c r="E277" s="40"/>
      <c r="K277" s="38"/>
      <c r="L277" s="38"/>
      <c r="M277" s="43"/>
      <c r="N277" s="42"/>
      <c r="O277" s="50"/>
      <c r="P277" s="38"/>
      <c r="Q277" s="41"/>
      <c r="R277" s="43"/>
      <c r="S277" s="43"/>
      <c r="T277" s="41"/>
      <c r="U277" s="43"/>
      <c r="V277" s="43"/>
    </row>
    <row r="278" spans="4:22" ht="15" customHeight="1">
      <c r="D278" s="39"/>
      <c r="E278" s="40"/>
      <c r="K278" s="38"/>
      <c r="L278" s="38"/>
      <c r="M278" s="43"/>
      <c r="N278" s="42"/>
      <c r="O278" s="50"/>
      <c r="P278" s="38"/>
      <c r="Q278" s="41"/>
      <c r="R278" s="43"/>
      <c r="S278" s="43"/>
      <c r="T278" s="41"/>
      <c r="U278" s="43"/>
      <c r="V278" s="43"/>
    </row>
    <row r="279" spans="4:22" ht="15" customHeight="1">
      <c r="D279" s="39"/>
      <c r="E279" s="40"/>
      <c r="K279" s="38"/>
      <c r="L279" s="38"/>
      <c r="M279" s="43"/>
      <c r="N279" s="42"/>
      <c r="O279" s="50"/>
      <c r="P279" s="38"/>
      <c r="Q279" s="41"/>
      <c r="R279" s="43"/>
      <c r="S279" s="43"/>
      <c r="T279" s="41"/>
      <c r="U279" s="43"/>
      <c r="V279" s="43"/>
    </row>
    <row r="280" spans="4:22" ht="15" customHeight="1">
      <c r="D280" s="39"/>
      <c r="E280" s="40"/>
      <c r="K280" s="38"/>
      <c r="L280" s="38"/>
      <c r="M280" s="43"/>
      <c r="N280" s="42"/>
      <c r="O280" s="50"/>
      <c r="P280" s="38"/>
      <c r="Q280" s="41"/>
      <c r="R280" s="43"/>
      <c r="S280" s="43"/>
      <c r="T280" s="41"/>
      <c r="U280" s="43"/>
      <c r="V280" s="43"/>
    </row>
    <row r="281" spans="4:22" ht="15" customHeight="1">
      <c r="D281" s="39"/>
      <c r="E281" s="40"/>
      <c r="K281" s="38"/>
      <c r="L281" s="38"/>
      <c r="M281" s="43"/>
      <c r="N281" s="42"/>
      <c r="O281" s="50"/>
      <c r="P281" s="38"/>
      <c r="Q281" s="41"/>
      <c r="R281" s="43"/>
      <c r="S281" s="43"/>
      <c r="T281" s="41"/>
      <c r="U281" s="43"/>
      <c r="V281" s="43"/>
    </row>
    <row r="282" spans="4:22" ht="15" customHeight="1">
      <c r="D282" s="39"/>
      <c r="E282" s="40"/>
      <c r="K282" s="38"/>
      <c r="L282" s="38"/>
      <c r="M282" s="43"/>
      <c r="N282" s="42"/>
      <c r="O282" s="50"/>
      <c r="P282" s="38"/>
      <c r="Q282" s="41"/>
      <c r="R282" s="43"/>
      <c r="S282" s="43"/>
      <c r="T282" s="41"/>
      <c r="U282" s="43"/>
      <c r="V282" s="43"/>
    </row>
    <row r="283" spans="4:22" ht="15" customHeight="1">
      <c r="D283" s="39"/>
      <c r="E283" s="40"/>
      <c r="K283" s="38"/>
      <c r="L283" s="38"/>
      <c r="M283" s="43"/>
      <c r="N283" s="42"/>
      <c r="O283" s="50"/>
      <c r="P283" s="38"/>
      <c r="Q283" s="41"/>
      <c r="R283" s="43"/>
      <c r="S283" s="43"/>
      <c r="T283" s="41"/>
      <c r="U283" s="43"/>
      <c r="V283" s="43"/>
    </row>
    <row r="284" spans="4:22" ht="15" customHeight="1">
      <c r="D284" s="39"/>
      <c r="E284" s="40"/>
      <c r="K284" s="38"/>
      <c r="L284" s="38"/>
      <c r="M284" s="43"/>
      <c r="N284" s="42"/>
      <c r="O284" s="50"/>
      <c r="P284" s="38"/>
      <c r="Q284" s="41"/>
      <c r="R284" s="43"/>
      <c r="S284" s="43"/>
      <c r="T284" s="41"/>
      <c r="U284" s="43"/>
      <c r="V284" s="43"/>
    </row>
    <row r="285" spans="4:22" ht="15" customHeight="1">
      <c r="D285" s="39"/>
      <c r="E285" s="40"/>
      <c r="K285" s="38"/>
      <c r="L285" s="38"/>
      <c r="M285" s="43"/>
      <c r="N285" s="42"/>
      <c r="O285" s="50"/>
      <c r="P285" s="38"/>
      <c r="Q285" s="41"/>
      <c r="R285" s="43"/>
      <c r="S285" s="43"/>
      <c r="T285" s="41"/>
      <c r="U285" s="43"/>
      <c r="V285" s="43"/>
    </row>
    <row r="286" spans="4:22" ht="15" customHeight="1">
      <c r="D286" s="39"/>
      <c r="E286" s="40"/>
      <c r="K286" s="38"/>
      <c r="L286" s="38"/>
      <c r="M286" s="43"/>
      <c r="N286" s="42"/>
      <c r="O286" s="50"/>
      <c r="P286" s="38"/>
      <c r="Q286" s="41"/>
      <c r="R286" s="43"/>
      <c r="S286" s="43"/>
      <c r="T286" s="41"/>
      <c r="U286" s="43"/>
      <c r="V286" s="43"/>
    </row>
    <row r="287" spans="4:22" ht="15" customHeight="1">
      <c r="D287" s="39"/>
      <c r="E287" s="40"/>
      <c r="K287" s="38"/>
      <c r="L287" s="38"/>
      <c r="M287" s="43"/>
      <c r="N287" s="42"/>
      <c r="O287" s="50"/>
      <c r="P287" s="38"/>
      <c r="Q287" s="41"/>
      <c r="R287" s="43"/>
      <c r="S287" s="43"/>
      <c r="T287" s="41"/>
      <c r="U287" s="43"/>
      <c r="V287" s="43"/>
    </row>
    <row r="288" spans="4:22" ht="15" customHeight="1">
      <c r="D288" s="39"/>
      <c r="E288" s="40"/>
      <c r="K288" s="38"/>
      <c r="L288" s="38"/>
      <c r="M288" s="43"/>
      <c r="N288" s="42"/>
      <c r="O288" s="50"/>
      <c r="P288" s="38"/>
      <c r="Q288" s="41"/>
      <c r="R288" s="43"/>
      <c r="S288" s="43"/>
      <c r="T288" s="41"/>
      <c r="U288" s="43"/>
      <c r="V288" s="43"/>
    </row>
    <row r="289" spans="4:22" ht="15" customHeight="1">
      <c r="D289" s="39"/>
      <c r="E289" s="40"/>
      <c r="K289" s="38"/>
      <c r="L289" s="38"/>
      <c r="M289" s="43"/>
      <c r="N289" s="42"/>
      <c r="O289" s="50"/>
      <c r="P289" s="38"/>
      <c r="Q289" s="41"/>
      <c r="R289" s="43"/>
      <c r="S289" s="43"/>
      <c r="T289" s="41"/>
      <c r="U289" s="43"/>
      <c r="V289" s="43"/>
    </row>
    <row r="290" spans="4:22" ht="15" customHeight="1">
      <c r="D290" s="39"/>
      <c r="E290" s="40"/>
      <c r="K290" s="38"/>
      <c r="L290" s="38"/>
      <c r="M290" s="43"/>
      <c r="N290" s="42"/>
      <c r="O290" s="50"/>
      <c r="P290" s="38"/>
      <c r="Q290" s="41"/>
      <c r="R290" s="43"/>
      <c r="S290" s="43"/>
      <c r="T290" s="41"/>
      <c r="U290" s="43"/>
      <c r="V290" s="43"/>
    </row>
    <row r="291" spans="4:22" ht="15" customHeight="1">
      <c r="D291" s="39"/>
      <c r="E291" s="40"/>
      <c r="K291" s="38"/>
      <c r="L291" s="38"/>
      <c r="M291" s="43"/>
      <c r="N291" s="42"/>
      <c r="O291" s="50"/>
      <c r="P291" s="38"/>
      <c r="Q291" s="41"/>
      <c r="R291" s="43"/>
      <c r="S291" s="43"/>
      <c r="T291" s="41"/>
      <c r="U291" s="43"/>
      <c r="V291" s="43"/>
    </row>
    <row r="292" spans="4:22" ht="15" customHeight="1">
      <c r="D292" s="39"/>
      <c r="E292" s="40"/>
      <c r="K292" s="38"/>
      <c r="L292" s="38"/>
      <c r="M292" s="43"/>
      <c r="N292" s="42"/>
      <c r="O292" s="50"/>
      <c r="P292" s="38"/>
      <c r="Q292" s="41"/>
      <c r="R292" s="43"/>
      <c r="S292" s="43"/>
      <c r="T292" s="41"/>
      <c r="U292" s="43"/>
      <c r="V292" s="43"/>
    </row>
    <row r="293" spans="4:22" ht="15" customHeight="1">
      <c r="D293" s="39"/>
      <c r="E293" s="40"/>
      <c r="K293" s="38"/>
      <c r="L293" s="38"/>
      <c r="M293" s="43"/>
      <c r="N293" s="42"/>
      <c r="O293" s="50"/>
      <c r="P293" s="38"/>
      <c r="Q293" s="41"/>
      <c r="R293" s="43"/>
      <c r="S293" s="43"/>
      <c r="T293" s="41"/>
      <c r="U293" s="43"/>
      <c r="V293" s="43"/>
    </row>
    <row r="294" spans="4:22" ht="15" customHeight="1">
      <c r="D294" s="39"/>
      <c r="E294" s="40"/>
      <c r="K294" s="38"/>
      <c r="L294" s="38"/>
      <c r="M294" s="43"/>
      <c r="N294" s="42"/>
      <c r="O294" s="50"/>
      <c r="P294" s="38"/>
      <c r="Q294" s="41"/>
      <c r="R294" s="43"/>
      <c r="S294" s="43"/>
      <c r="T294" s="41"/>
      <c r="U294" s="43"/>
      <c r="V294" s="43"/>
    </row>
    <row r="295" spans="4:22" ht="15" customHeight="1">
      <c r="D295" s="39"/>
      <c r="E295" s="40"/>
      <c r="K295" s="38"/>
      <c r="L295" s="38"/>
      <c r="M295" s="43"/>
      <c r="N295" s="42"/>
      <c r="O295" s="50"/>
      <c r="P295" s="38"/>
      <c r="Q295" s="41"/>
      <c r="R295" s="43"/>
      <c r="S295" s="43"/>
      <c r="T295" s="41"/>
      <c r="U295" s="43"/>
      <c r="V295" s="43"/>
    </row>
    <row r="296" spans="4:22" ht="15" customHeight="1">
      <c r="D296" s="39"/>
      <c r="E296" s="40"/>
      <c r="K296" s="38"/>
      <c r="L296" s="38"/>
      <c r="M296" s="43"/>
      <c r="N296" s="42"/>
      <c r="O296" s="50"/>
      <c r="P296" s="38"/>
      <c r="Q296" s="41"/>
      <c r="R296" s="43"/>
      <c r="S296" s="43"/>
      <c r="T296" s="41"/>
      <c r="U296" s="43"/>
      <c r="V296" s="43"/>
    </row>
    <row r="297" spans="4:22" ht="15" customHeight="1">
      <c r="D297" s="39"/>
      <c r="E297" s="40"/>
      <c r="K297" s="38"/>
      <c r="L297" s="38"/>
      <c r="M297" s="43"/>
      <c r="N297" s="42"/>
      <c r="O297" s="50"/>
      <c r="P297" s="38"/>
      <c r="Q297" s="41"/>
      <c r="R297" s="43"/>
      <c r="S297" s="43"/>
      <c r="T297" s="41"/>
      <c r="U297" s="43"/>
      <c r="V297" s="43"/>
    </row>
    <row r="298" spans="4:22" ht="15" customHeight="1">
      <c r="D298" s="39"/>
      <c r="E298" s="40"/>
      <c r="K298" s="38"/>
      <c r="L298" s="38"/>
      <c r="M298" s="43"/>
      <c r="N298" s="42"/>
      <c r="O298" s="50"/>
      <c r="P298" s="38"/>
      <c r="Q298" s="41"/>
      <c r="R298" s="43"/>
      <c r="S298" s="43"/>
      <c r="T298" s="41"/>
      <c r="U298" s="43"/>
      <c r="V298" s="43"/>
    </row>
    <row r="299" spans="4:22" ht="15" customHeight="1">
      <c r="D299" s="39"/>
      <c r="E299" s="40"/>
      <c r="K299" s="38"/>
      <c r="L299" s="38"/>
      <c r="M299" s="43"/>
      <c r="N299" s="42"/>
      <c r="O299" s="50"/>
      <c r="P299" s="38"/>
      <c r="Q299" s="41"/>
      <c r="R299" s="43"/>
      <c r="S299" s="43"/>
      <c r="T299" s="41"/>
      <c r="U299" s="43"/>
      <c r="V299" s="43"/>
    </row>
    <row r="300" spans="4:22" ht="15" customHeight="1">
      <c r="D300" s="39"/>
      <c r="E300" s="40"/>
      <c r="K300" s="38"/>
      <c r="L300" s="38"/>
      <c r="M300" s="43"/>
      <c r="N300" s="42"/>
      <c r="O300" s="50"/>
      <c r="P300" s="38"/>
      <c r="Q300" s="41"/>
      <c r="R300" s="43"/>
      <c r="S300" s="43"/>
      <c r="T300" s="41"/>
      <c r="U300" s="43"/>
      <c r="V300" s="43"/>
    </row>
    <row r="301" spans="4:22" ht="15" customHeight="1">
      <c r="D301" s="39"/>
      <c r="E301" s="40"/>
      <c r="K301" s="38"/>
      <c r="L301" s="38"/>
      <c r="M301" s="43"/>
      <c r="N301" s="42"/>
      <c r="O301" s="50"/>
      <c r="P301" s="38"/>
      <c r="Q301" s="41"/>
      <c r="R301" s="43"/>
      <c r="S301" s="43"/>
      <c r="T301" s="41"/>
      <c r="U301" s="43"/>
      <c r="V301" s="43"/>
    </row>
    <row r="302" spans="4:22" ht="15" customHeight="1">
      <c r="D302" s="39"/>
      <c r="E302" s="40"/>
      <c r="K302" s="38"/>
      <c r="L302" s="38"/>
      <c r="M302" s="43"/>
      <c r="N302" s="42"/>
      <c r="O302" s="50"/>
      <c r="P302" s="38"/>
      <c r="Q302" s="41"/>
      <c r="R302" s="43"/>
      <c r="S302" s="43"/>
      <c r="T302" s="41"/>
      <c r="U302" s="43"/>
      <c r="V302" s="43"/>
    </row>
    <row r="303" spans="4:22" ht="15" customHeight="1">
      <c r="D303" s="39"/>
      <c r="E303" s="40"/>
      <c r="K303" s="38"/>
      <c r="L303" s="38"/>
      <c r="M303" s="43"/>
      <c r="N303" s="42"/>
      <c r="O303" s="50"/>
      <c r="P303" s="38"/>
      <c r="Q303" s="41"/>
      <c r="R303" s="43"/>
      <c r="S303" s="43"/>
      <c r="T303" s="41"/>
      <c r="U303" s="43"/>
      <c r="V303" s="43"/>
    </row>
    <row r="304" spans="4:22" ht="15" customHeight="1">
      <c r="D304" s="39"/>
      <c r="E304" s="40"/>
      <c r="K304" s="38"/>
      <c r="L304" s="38"/>
      <c r="M304" s="43"/>
      <c r="N304" s="42"/>
      <c r="O304" s="50"/>
      <c r="P304" s="38"/>
      <c r="Q304" s="41"/>
      <c r="R304" s="43"/>
      <c r="S304" s="43"/>
      <c r="T304" s="41"/>
      <c r="U304" s="43"/>
      <c r="V304" s="43"/>
    </row>
    <row r="305" spans="4:22" ht="15" customHeight="1">
      <c r="D305" s="39"/>
      <c r="E305" s="40"/>
      <c r="K305" s="38"/>
      <c r="L305" s="38"/>
      <c r="M305" s="43"/>
      <c r="N305" s="42"/>
      <c r="O305" s="50"/>
      <c r="P305" s="38"/>
      <c r="Q305" s="41"/>
      <c r="R305" s="43"/>
      <c r="S305" s="43"/>
      <c r="T305" s="41"/>
      <c r="U305" s="43"/>
      <c r="V305" s="43"/>
    </row>
    <row r="306" spans="4:22" ht="15" customHeight="1">
      <c r="D306" s="39"/>
      <c r="E306" s="40"/>
      <c r="K306" s="38"/>
      <c r="L306" s="38"/>
      <c r="M306" s="43"/>
      <c r="N306" s="42"/>
      <c r="O306" s="50"/>
      <c r="P306" s="38"/>
      <c r="Q306" s="41"/>
      <c r="R306" s="43"/>
      <c r="S306" s="43"/>
      <c r="T306" s="41"/>
      <c r="U306" s="43"/>
      <c r="V306" s="43"/>
    </row>
    <row r="307" spans="4:22" ht="15" customHeight="1">
      <c r="D307" s="39"/>
      <c r="E307" s="40"/>
      <c r="K307" s="38"/>
      <c r="L307" s="38"/>
      <c r="M307" s="43"/>
      <c r="N307" s="42"/>
      <c r="O307" s="50"/>
      <c r="P307" s="38"/>
      <c r="Q307" s="41"/>
      <c r="R307" s="43"/>
      <c r="S307" s="43"/>
      <c r="T307" s="41"/>
      <c r="U307" s="43"/>
      <c r="V307" s="43"/>
    </row>
    <row r="308" spans="4:22" ht="15" customHeight="1">
      <c r="D308" s="39"/>
      <c r="E308" s="40"/>
      <c r="K308" s="38"/>
      <c r="L308" s="38"/>
      <c r="M308" s="43"/>
      <c r="N308" s="42"/>
      <c r="O308" s="50"/>
      <c r="P308" s="38"/>
      <c r="Q308" s="41"/>
      <c r="R308" s="43"/>
      <c r="S308" s="43"/>
      <c r="T308" s="41"/>
      <c r="U308" s="43"/>
      <c r="V308" s="43"/>
    </row>
    <row r="309" spans="4:22" ht="15" customHeight="1">
      <c r="D309" s="39"/>
      <c r="E309" s="40"/>
      <c r="K309" s="38"/>
      <c r="L309" s="38"/>
      <c r="M309" s="43"/>
      <c r="N309" s="42"/>
      <c r="O309" s="50"/>
      <c r="P309" s="38"/>
      <c r="Q309" s="41"/>
      <c r="R309" s="43"/>
      <c r="S309" s="43"/>
      <c r="T309" s="41"/>
      <c r="U309" s="43"/>
      <c r="V309" s="43"/>
    </row>
    <row r="310" spans="4:22" ht="15" customHeight="1">
      <c r="D310" s="39"/>
      <c r="E310" s="40"/>
      <c r="K310" s="38"/>
      <c r="L310" s="38"/>
      <c r="M310" s="43"/>
      <c r="N310" s="42"/>
      <c r="O310" s="50"/>
      <c r="P310" s="38"/>
      <c r="Q310" s="41"/>
      <c r="R310" s="43"/>
      <c r="S310" s="43"/>
      <c r="T310" s="41"/>
      <c r="U310" s="43"/>
      <c r="V310" s="43"/>
    </row>
    <row r="311" spans="4:22" ht="15" customHeight="1">
      <c r="D311" s="39"/>
      <c r="E311" s="40"/>
      <c r="K311" s="38"/>
      <c r="L311" s="38"/>
      <c r="M311" s="43"/>
      <c r="N311" s="42"/>
      <c r="O311" s="50"/>
      <c r="P311" s="38"/>
      <c r="Q311" s="41"/>
      <c r="R311" s="43"/>
      <c r="S311" s="43"/>
      <c r="T311" s="41"/>
      <c r="U311" s="43"/>
      <c r="V311" s="43"/>
    </row>
    <row r="312" spans="4:22" ht="15" customHeight="1">
      <c r="D312" s="39"/>
      <c r="E312" s="40"/>
      <c r="K312" s="38"/>
      <c r="L312" s="38"/>
      <c r="M312" s="43"/>
      <c r="N312" s="42"/>
      <c r="O312" s="50"/>
      <c r="P312" s="38"/>
      <c r="Q312" s="41"/>
      <c r="R312" s="43"/>
      <c r="S312" s="43"/>
      <c r="T312" s="41"/>
      <c r="U312" s="43"/>
      <c r="V312" s="43"/>
    </row>
    <row r="313" spans="4:22" ht="15" customHeight="1">
      <c r="D313" s="39"/>
      <c r="E313" s="40"/>
      <c r="K313" s="38"/>
      <c r="L313" s="38"/>
      <c r="M313" s="43"/>
      <c r="N313" s="42"/>
      <c r="O313" s="50"/>
      <c r="P313" s="38"/>
      <c r="Q313" s="41"/>
      <c r="R313" s="43"/>
      <c r="S313" s="43"/>
      <c r="T313" s="41"/>
      <c r="U313" s="43"/>
      <c r="V313" s="43"/>
    </row>
    <row r="314" spans="4:22" ht="15" customHeight="1">
      <c r="D314" s="39"/>
      <c r="E314" s="40"/>
      <c r="K314" s="38"/>
      <c r="L314" s="38"/>
      <c r="M314" s="43"/>
      <c r="N314" s="42"/>
      <c r="O314" s="50"/>
      <c r="P314" s="38"/>
      <c r="Q314" s="41"/>
      <c r="R314" s="43"/>
      <c r="S314" s="43"/>
      <c r="T314" s="41"/>
      <c r="U314" s="43"/>
      <c r="V314" s="43"/>
    </row>
    <row r="315" spans="4:22" ht="15" customHeight="1">
      <c r="D315" s="39"/>
      <c r="E315" s="40"/>
      <c r="K315" s="38"/>
      <c r="L315" s="38"/>
      <c r="M315" s="43"/>
      <c r="N315" s="42"/>
      <c r="O315" s="50"/>
      <c r="P315" s="38"/>
      <c r="Q315" s="41"/>
      <c r="R315" s="43"/>
      <c r="S315" s="43"/>
      <c r="T315" s="41"/>
      <c r="U315" s="43"/>
      <c r="V315" s="43"/>
    </row>
    <row r="316" spans="4:22" ht="15" customHeight="1">
      <c r="D316" s="39"/>
      <c r="E316" s="40"/>
      <c r="K316" s="38"/>
      <c r="L316" s="38"/>
      <c r="M316" s="43"/>
      <c r="N316" s="42"/>
      <c r="O316" s="50"/>
      <c r="P316" s="38"/>
      <c r="Q316" s="41"/>
      <c r="R316" s="43"/>
      <c r="S316" s="43"/>
      <c r="T316" s="41"/>
      <c r="U316" s="43"/>
      <c r="V316" s="43"/>
    </row>
    <row r="317" spans="4:22" ht="15" customHeight="1">
      <c r="D317" s="39"/>
      <c r="E317" s="40"/>
      <c r="K317" s="38"/>
      <c r="L317" s="38"/>
      <c r="M317" s="43"/>
      <c r="N317" s="42"/>
      <c r="O317" s="50"/>
      <c r="P317" s="38"/>
      <c r="Q317" s="41"/>
      <c r="R317" s="43"/>
      <c r="S317" s="43"/>
      <c r="T317" s="41"/>
      <c r="U317" s="43"/>
      <c r="V317" s="43"/>
    </row>
    <row r="318" spans="4:22" ht="15" customHeight="1">
      <c r="D318" s="39"/>
      <c r="E318" s="40"/>
      <c r="K318" s="38"/>
      <c r="L318" s="38"/>
      <c r="M318" s="43"/>
      <c r="N318" s="42"/>
      <c r="O318" s="50"/>
      <c r="P318" s="38"/>
      <c r="Q318" s="41"/>
      <c r="R318" s="43"/>
      <c r="S318" s="43"/>
      <c r="T318" s="41"/>
      <c r="U318" s="43"/>
      <c r="V318" s="43"/>
    </row>
    <row r="319" spans="4:22" ht="15" customHeight="1">
      <c r="D319" s="39"/>
      <c r="E319" s="40"/>
      <c r="K319" s="38"/>
      <c r="L319" s="38"/>
      <c r="M319" s="43"/>
      <c r="N319" s="42"/>
      <c r="O319" s="50"/>
      <c r="P319" s="38"/>
      <c r="Q319" s="41"/>
      <c r="R319" s="43"/>
      <c r="S319" s="43"/>
      <c r="T319" s="41"/>
      <c r="U319" s="43"/>
      <c r="V319" s="43"/>
    </row>
    <row r="320" spans="4:22" ht="15" customHeight="1">
      <c r="D320" s="39"/>
      <c r="E320" s="40"/>
      <c r="K320" s="38"/>
      <c r="L320" s="38"/>
      <c r="M320" s="43"/>
      <c r="N320" s="42"/>
      <c r="O320" s="50"/>
      <c r="P320" s="38"/>
      <c r="Q320" s="41"/>
      <c r="R320" s="43"/>
      <c r="S320" s="43"/>
      <c r="T320" s="41"/>
      <c r="U320" s="43"/>
      <c r="V320" s="43"/>
    </row>
    <row r="321" spans="4:22" ht="15" customHeight="1">
      <c r="D321" s="39"/>
      <c r="E321" s="40"/>
      <c r="K321" s="38"/>
      <c r="L321" s="38"/>
      <c r="M321" s="43"/>
      <c r="N321" s="42"/>
      <c r="O321" s="50"/>
      <c r="P321" s="38"/>
      <c r="Q321" s="41"/>
      <c r="R321" s="43"/>
      <c r="S321" s="43"/>
      <c r="T321" s="41"/>
      <c r="U321" s="43"/>
      <c r="V321" s="43"/>
    </row>
    <row r="322" spans="4:22" ht="15" customHeight="1">
      <c r="D322" s="39"/>
      <c r="E322" s="40"/>
      <c r="K322" s="38"/>
      <c r="L322" s="38"/>
      <c r="M322" s="43"/>
      <c r="N322" s="42"/>
      <c r="O322" s="50"/>
      <c r="P322" s="38"/>
      <c r="Q322" s="41"/>
      <c r="R322" s="43"/>
      <c r="S322" s="43"/>
      <c r="T322" s="41"/>
      <c r="U322" s="43"/>
      <c r="V322" s="43"/>
    </row>
    <row r="323" spans="4:22" ht="15" customHeight="1">
      <c r="D323" s="39"/>
      <c r="E323" s="40"/>
      <c r="K323" s="38"/>
      <c r="L323" s="38"/>
      <c r="M323" s="43"/>
      <c r="N323" s="42"/>
      <c r="O323" s="50"/>
      <c r="P323" s="38"/>
      <c r="Q323" s="41"/>
      <c r="R323" s="43"/>
      <c r="S323" s="43"/>
      <c r="T323" s="41"/>
      <c r="U323" s="43"/>
      <c r="V323" s="43"/>
    </row>
    <row r="324" spans="4:22" ht="15" customHeight="1">
      <c r="D324" s="39"/>
      <c r="E324" s="40"/>
      <c r="K324" s="38"/>
      <c r="L324" s="38"/>
      <c r="M324" s="43"/>
      <c r="N324" s="42"/>
      <c r="O324" s="50"/>
      <c r="P324" s="38"/>
      <c r="Q324" s="41"/>
      <c r="R324" s="43"/>
      <c r="S324" s="43"/>
      <c r="T324" s="41"/>
      <c r="U324" s="43"/>
      <c r="V324" s="43"/>
    </row>
    <row r="325" spans="4:22" ht="15" customHeight="1">
      <c r="D325" s="39"/>
      <c r="E325" s="40"/>
      <c r="K325" s="38"/>
      <c r="L325" s="38"/>
      <c r="M325" s="43"/>
      <c r="N325" s="42"/>
      <c r="O325" s="50"/>
      <c r="P325" s="38"/>
      <c r="Q325" s="41"/>
      <c r="R325" s="43"/>
      <c r="S325" s="43"/>
      <c r="T325" s="41"/>
      <c r="U325" s="43"/>
      <c r="V325" s="43"/>
    </row>
    <row r="326" spans="4:22" ht="15" customHeight="1">
      <c r="D326" s="39"/>
      <c r="E326" s="40"/>
      <c r="K326" s="38"/>
      <c r="L326" s="38"/>
      <c r="M326" s="43"/>
      <c r="N326" s="42"/>
      <c r="O326" s="50"/>
      <c r="P326" s="38"/>
      <c r="Q326" s="41"/>
      <c r="R326" s="43"/>
      <c r="S326" s="43"/>
      <c r="T326" s="41"/>
      <c r="U326" s="43"/>
      <c r="V326" s="43"/>
    </row>
    <row r="327" spans="4:22" ht="15" customHeight="1">
      <c r="D327" s="39"/>
      <c r="E327" s="40"/>
      <c r="K327" s="38"/>
      <c r="L327" s="38"/>
      <c r="M327" s="43"/>
      <c r="N327" s="42"/>
      <c r="O327" s="50"/>
      <c r="P327" s="38"/>
      <c r="Q327" s="41"/>
      <c r="R327" s="43"/>
      <c r="S327" s="43"/>
      <c r="T327" s="41"/>
      <c r="U327" s="43"/>
      <c r="V327" s="43"/>
    </row>
    <row r="328" spans="4:22" ht="15" customHeight="1">
      <c r="D328" s="39"/>
      <c r="E328" s="40"/>
      <c r="K328" s="38"/>
      <c r="L328" s="38"/>
      <c r="M328" s="43"/>
      <c r="N328" s="42"/>
      <c r="O328" s="50"/>
      <c r="P328" s="38"/>
      <c r="Q328" s="41"/>
      <c r="R328" s="43"/>
      <c r="S328" s="43"/>
      <c r="T328" s="41"/>
      <c r="U328" s="43"/>
      <c r="V328" s="43"/>
    </row>
    <row r="329" spans="4:22" ht="15" customHeight="1">
      <c r="D329" s="39"/>
      <c r="E329" s="40"/>
      <c r="K329" s="38"/>
      <c r="L329" s="38"/>
      <c r="M329" s="43"/>
      <c r="N329" s="42"/>
      <c r="O329" s="50"/>
      <c r="P329" s="38"/>
      <c r="Q329" s="41"/>
      <c r="R329" s="43"/>
      <c r="S329" s="43"/>
      <c r="T329" s="41"/>
      <c r="U329" s="43"/>
      <c r="V329" s="43"/>
    </row>
    <row r="330" spans="4:22" ht="15" customHeight="1">
      <c r="D330" s="39"/>
      <c r="E330" s="40"/>
      <c r="K330" s="38"/>
      <c r="L330" s="38"/>
      <c r="M330" s="43"/>
      <c r="N330" s="42"/>
      <c r="O330" s="50"/>
      <c r="P330" s="38"/>
      <c r="Q330" s="41"/>
      <c r="R330" s="43"/>
      <c r="S330" s="43"/>
      <c r="T330" s="41"/>
      <c r="U330" s="43"/>
      <c r="V330" s="43"/>
    </row>
    <row r="331" spans="4:22" ht="15" customHeight="1">
      <c r="D331" s="39"/>
      <c r="E331" s="40"/>
      <c r="K331" s="38"/>
      <c r="L331" s="38"/>
      <c r="M331" s="43"/>
      <c r="N331" s="42"/>
      <c r="O331" s="50"/>
      <c r="P331" s="38"/>
      <c r="Q331" s="41"/>
      <c r="R331" s="43"/>
      <c r="S331" s="43"/>
      <c r="T331" s="41"/>
      <c r="U331" s="43"/>
      <c r="V331" s="43"/>
    </row>
    <row r="332" spans="4:22" ht="15" customHeight="1">
      <c r="D332" s="39"/>
      <c r="E332" s="40"/>
      <c r="K332" s="38"/>
      <c r="L332" s="38"/>
      <c r="M332" s="43"/>
      <c r="N332" s="42"/>
      <c r="O332" s="50"/>
      <c r="P332" s="38"/>
      <c r="Q332" s="41"/>
      <c r="R332" s="43"/>
      <c r="S332" s="43"/>
      <c r="T332" s="41"/>
      <c r="U332" s="43"/>
      <c r="V332" s="43"/>
    </row>
    <row r="333" spans="4:22" ht="15" customHeight="1">
      <c r="D333" s="39"/>
      <c r="E333" s="40"/>
      <c r="K333" s="38"/>
      <c r="L333" s="38"/>
      <c r="M333" s="43"/>
      <c r="N333" s="42"/>
      <c r="O333" s="50"/>
      <c r="P333" s="38"/>
      <c r="Q333" s="41"/>
      <c r="R333" s="43"/>
      <c r="S333" s="43"/>
      <c r="T333" s="41"/>
      <c r="U333" s="43"/>
      <c r="V333" s="43"/>
    </row>
    <row r="334" spans="4:22" ht="15" customHeight="1">
      <c r="D334" s="39"/>
      <c r="E334" s="40"/>
      <c r="K334" s="38"/>
      <c r="L334" s="38"/>
      <c r="M334" s="43"/>
      <c r="N334" s="42"/>
      <c r="O334" s="50"/>
      <c r="P334" s="38"/>
      <c r="Q334" s="41"/>
      <c r="R334" s="43"/>
      <c r="S334" s="43"/>
      <c r="T334" s="41"/>
      <c r="U334" s="43"/>
      <c r="V334" s="43"/>
    </row>
    <row r="335" spans="4:22" ht="15" customHeight="1">
      <c r="D335" s="39"/>
      <c r="E335" s="40"/>
      <c r="K335" s="38"/>
      <c r="L335" s="38"/>
      <c r="M335" s="43"/>
      <c r="N335" s="42"/>
      <c r="O335" s="50"/>
      <c r="P335" s="38"/>
      <c r="Q335" s="41"/>
      <c r="R335" s="43"/>
      <c r="S335" s="43"/>
      <c r="T335" s="41"/>
      <c r="U335" s="43"/>
      <c r="V335" s="43"/>
    </row>
    <row r="336" spans="4:22" ht="15" customHeight="1">
      <c r="D336" s="39"/>
      <c r="E336" s="40"/>
      <c r="K336" s="38"/>
      <c r="L336" s="38"/>
      <c r="M336" s="43"/>
      <c r="N336" s="42"/>
      <c r="O336" s="50"/>
      <c r="P336" s="38"/>
      <c r="Q336" s="41"/>
      <c r="R336" s="43"/>
      <c r="S336" s="43"/>
      <c r="T336" s="41"/>
      <c r="U336" s="43"/>
      <c r="V336" s="43"/>
    </row>
    <row r="337" spans="4:22" ht="15" customHeight="1">
      <c r="D337" s="39"/>
      <c r="E337" s="40"/>
      <c r="K337" s="38"/>
      <c r="L337" s="38"/>
      <c r="M337" s="43"/>
      <c r="N337" s="42"/>
      <c r="O337" s="50"/>
      <c r="P337" s="38"/>
      <c r="Q337" s="41"/>
      <c r="R337" s="43"/>
      <c r="S337" s="43"/>
      <c r="T337" s="41"/>
      <c r="U337" s="43"/>
      <c r="V337" s="43"/>
    </row>
    <row r="338" spans="4:22" ht="15" customHeight="1">
      <c r="D338" s="39"/>
      <c r="E338" s="40"/>
      <c r="K338" s="38"/>
      <c r="L338" s="38"/>
      <c r="M338" s="43"/>
      <c r="N338" s="42"/>
      <c r="O338" s="50"/>
      <c r="P338" s="38"/>
      <c r="Q338" s="41"/>
      <c r="R338" s="43"/>
      <c r="S338" s="43"/>
      <c r="T338" s="41"/>
      <c r="U338" s="43"/>
      <c r="V338" s="43"/>
    </row>
    <row r="339" spans="4:22" ht="15" customHeight="1">
      <c r="D339" s="39"/>
      <c r="E339" s="40"/>
      <c r="K339" s="38"/>
      <c r="L339" s="38"/>
      <c r="M339" s="43"/>
      <c r="N339" s="42"/>
      <c r="O339" s="50"/>
      <c r="P339" s="38"/>
      <c r="Q339" s="41"/>
      <c r="R339" s="43"/>
      <c r="S339" s="43"/>
      <c r="T339" s="41"/>
      <c r="U339" s="43"/>
      <c r="V339" s="43"/>
    </row>
    <row r="340" spans="4:22" ht="15" customHeight="1">
      <c r="D340" s="39"/>
      <c r="E340" s="40"/>
      <c r="K340" s="38"/>
      <c r="L340" s="38"/>
      <c r="M340" s="43"/>
      <c r="N340" s="42"/>
      <c r="O340" s="50"/>
      <c r="P340" s="38"/>
      <c r="Q340" s="41"/>
      <c r="R340" s="43"/>
      <c r="S340" s="43"/>
      <c r="T340" s="41"/>
      <c r="U340" s="43"/>
      <c r="V340" s="43"/>
    </row>
    <row r="341" spans="4:22" ht="15" customHeight="1">
      <c r="D341" s="39"/>
      <c r="E341" s="40"/>
      <c r="K341" s="38"/>
      <c r="L341" s="38"/>
      <c r="M341" s="43"/>
      <c r="N341" s="42"/>
      <c r="O341" s="50"/>
      <c r="P341" s="38"/>
      <c r="Q341" s="41"/>
      <c r="R341" s="43"/>
      <c r="S341" s="43"/>
      <c r="T341" s="41"/>
      <c r="U341" s="43"/>
      <c r="V341" s="43"/>
    </row>
    <row r="342" spans="4:22" ht="15" customHeight="1">
      <c r="D342" s="39"/>
      <c r="E342" s="40"/>
      <c r="K342" s="38"/>
      <c r="L342" s="38"/>
      <c r="M342" s="43"/>
      <c r="N342" s="42"/>
      <c r="O342" s="50"/>
      <c r="P342" s="38"/>
      <c r="Q342" s="41"/>
      <c r="R342" s="43"/>
      <c r="S342" s="43"/>
      <c r="T342" s="41"/>
      <c r="U342" s="43"/>
      <c r="V342" s="43"/>
    </row>
    <row r="343" spans="4:22" ht="15" customHeight="1">
      <c r="D343" s="39"/>
      <c r="E343" s="40"/>
      <c r="K343" s="38"/>
      <c r="L343" s="38"/>
      <c r="M343" s="43"/>
      <c r="N343" s="42"/>
      <c r="O343" s="50"/>
      <c r="P343" s="38"/>
      <c r="Q343" s="41"/>
      <c r="R343" s="43"/>
      <c r="S343" s="43"/>
      <c r="T343" s="41"/>
      <c r="U343" s="43"/>
      <c r="V343" s="43"/>
    </row>
    <row r="344" spans="4:22" ht="15" customHeight="1">
      <c r="D344" s="39"/>
      <c r="E344" s="40"/>
      <c r="K344" s="38"/>
      <c r="L344" s="38"/>
      <c r="M344" s="43"/>
      <c r="N344" s="42"/>
      <c r="O344" s="50"/>
      <c r="P344" s="38"/>
      <c r="Q344" s="41"/>
      <c r="R344" s="43"/>
      <c r="S344" s="43"/>
      <c r="T344" s="41"/>
      <c r="U344" s="43"/>
      <c r="V344" s="43"/>
    </row>
    <row r="345" spans="4:22" ht="15" customHeight="1">
      <c r="D345" s="39"/>
      <c r="E345" s="40"/>
      <c r="K345" s="38"/>
      <c r="L345" s="38"/>
      <c r="M345" s="43"/>
      <c r="N345" s="42"/>
      <c r="O345" s="50"/>
      <c r="P345" s="38"/>
      <c r="Q345" s="41"/>
      <c r="R345" s="43"/>
      <c r="S345" s="43"/>
      <c r="T345" s="41"/>
      <c r="U345" s="43"/>
      <c r="V345" s="43"/>
    </row>
    <row r="346" spans="4:22" ht="15" customHeight="1">
      <c r="D346" s="39"/>
      <c r="E346" s="40"/>
      <c r="K346" s="38"/>
      <c r="L346" s="38"/>
      <c r="M346" s="43"/>
      <c r="N346" s="42"/>
      <c r="O346" s="50"/>
      <c r="P346" s="38"/>
      <c r="Q346" s="41"/>
      <c r="R346" s="43"/>
      <c r="S346" s="43"/>
      <c r="T346" s="41"/>
      <c r="U346" s="43"/>
      <c r="V346" s="43"/>
    </row>
    <row r="347" spans="4:22" ht="15" customHeight="1">
      <c r="D347" s="39"/>
      <c r="E347" s="40"/>
      <c r="K347" s="38"/>
      <c r="L347" s="38"/>
      <c r="M347" s="43"/>
      <c r="N347" s="42"/>
      <c r="O347" s="50"/>
      <c r="P347" s="38"/>
      <c r="Q347" s="41"/>
      <c r="R347" s="43"/>
      <c r="S347" s="43"/>
      <c r="T347" s="41"/>
      <c r="U347" s="43"/>
      <c r="V347" s="43"/>
    </row>
    <row r="348" spans="4:22" ht="15" customHeight="1">
      <c r="D348" s="39"/>
      <c r="E348" s="40"/>
      <c r="K348" s="38"/>
      <c r="L348" s="38"/>
      <c r="M348" s="43"/>
      <c r="N348" s="42"/>
      <c r="O348" s="50"/>
      <c r="P348" s="38"/>
      <c r="Q348" s="41"/>
      <c r="R348" s="43"/>
      <c r="S348" s="43"/>
      <c r="T348" s="41"/>
      <c r="U348" s="43"/>
      <c r="V348" s="43"/>
    </row>
    <row r="349" spans="4:22" ht="15" customHeight="1">
      <c r="D349" s="39"/>
      <c r="E349" s="40"/>
      <c r="K349" s="38"/>
      <c r="L349" s="38"/>
      <c r="M349" s="43"/>
      <c r="N349" s="42"/>
      <c r="O349" s="50"/>
      <c r="P349" s="38"/>
      <c r="Q349" s="41"/>
      <c r="R349" s="43"/>
      <c r="S349" s="43"/>
      <c r="T349" s="41"/>
      <c r="U349" s="43"/>
      <c r="V349" s="43"/>
    </row>
    <row r="350" spans="4:22" ht="15" customHeight="1">
      <c r="D350" s="39"/>
      <c r="E350" s="40"/>
      <c r="K350" s="38"/>
      <c r="L350" s="38"/>
      <c r="M350" s="43"/>
      <c r="N350" s="42"/>
      <c r="O350" s="50"/>
      <c r="P350" s="38"/>
      <c r="Q350" s="41"/>
      <c r="R350" s="43"/>
      <c r="S350" s="43"/>
      <c r="T350" s="41"/>
      <c r="U350" s="43"/>
      <c r="V350" s="43"/>
    </row>
    <row r="351" spans="4:22" ht="15" customHeight="1">
      <c r="D351" s="39"/>
      <c r="E351" s="40"/>
      <c r="K351" s="38"/>
      <c r="L351" s="38"/>
      <c r="M351" s="43"/>
      <c r="N351" s="42"/>
      <c r="O351" s="50"/>
      <c r="P351" s="38"/>
      <c r="Q351" s="41"/>
      <c r="R351" s="43"/>
      <c r="S351" s="43"/>
      <c r="T351" s="41"/>
      <c r="U351" s="43"/>
      <c r="V351" s="43"/>
    </row>
    <row r="352" spans="4:22" ht="15" customHeight="1">
      <c r="D352" s="39"/>
      <c r="E352" s="40"/>
      <c r="K352" s="38"/>
      <c r="L352" s="38"/>
      <c r="M352" s="43"/>
      <c r="N352" s="42"/>
      <c r="O352" s="50"/>
      <c r="P352" s="38"/>
      <c r="Q352" s="41"/>
      <c r="R352" s="43"/>
      <c r="S352" s="43"/>
      <c r="T352" s="41"/>
      <c r="U352" s="43"/>
      <c r="V352" s="43"/>
    </row>
    <row r="353" spans="4:22" ht="15" customHeight="1">
      <c r="D353" s="39"/>
      <c r="E353" s="40"/>
      <c r="K353" s="38"/>
      <c r="L353" s="38"/>
      <c r="M353" s="43"/>
      <c r="N353" s="42"/>
      <c r="O353" s="50"/>
      <c r="P353" s="38"/>
      <c r="Q353" s="41"/>
      <c r="R353" s="43"/>
      <c r="S353" s="43"/>
      <c r="T353" s="41"/>
      <c r="U353" s="43"/>
      <c r="V353" s="43"/>
    </row>
    <row r="354" spans="4:22" ht="15" customHeight="1">
      <c r="D354" s="39"/>
      <c r="E354" s="40"/>
      <c r="K354" s="38"/>
      <c r="L354" s="38"/>
      <c r="M354" s="43"/>
      <c r="N354" s="42"/>
      <c r="O354" s="50"/>
      <c r="P354" s="38"/>
      <c r="Q354" s="41"/>
      <c r="R354" s="43"/>
      <c r="S354" s="43"/>
      <c r="T354" s="41"/>
      <c r="U354" s="43"/>
      <c r="V354" s="43"/>
    </row>
    <row r="355" spans="4:22" ht="15" customHeight="1">
      <c r="D355" s="39"/>
      <c r="E355" s="40"/>
      <c r="K355" s="38"/>
      <c r="L355" s="38"/>
      <c r="M355" s="43"/>
      <c r="N355" s="42"/>
      <c r="O355" s="50"/>
      <c r="P355" s="38"/>
      <c r="Q355" s="41"/>
      <c r="R355" s="43"/>
      <c r="S355" s="43"/>
      <c r="T355" s="41"/>
      <c r="U355" s="43"/>
      <c r="V355" s="43"/>
    </row>
    <row r="356" spans="4:22" ht="15" customHeight="1">
      <c r="D356" s="39"/>
      <c r="E356" s="40"/>
      <c r="K356" s="38"/>
      <c r="L356" s="38"/>
      <c r="M356" s="43"/>
      <c r="N356" s="42"/>
      <c r="O356" s="50"/>
      <c r="P356" s="38"/>
      <c r="Q356" s="41"/>
      <c r="R356" s="43"/>
      <c r="S356" s="43"/>
      <c r="T356" s="41"/>
      <c r="U356" s="43"/>
      <c r="V356" s="43"/>
    </row>
    <row r="357" spans="4:22" ht="15" customHeight="1">
      <c r="D357" s="39"/>
      <c r="E357" s="40"/>
      <c r="K357" s="38"/>
      <c r="L357" s="38"/>
      <c r="M357" s="43"/>
      <c r="N357" s="42"/>
      <c r="O357" s="50"/>
      <c r="P357" s="38"/>
      <c r="Q357" s="41"/>
      <c r="R357" s="43"/>
      <c r="S357" s="43"/>
      <c r="T357" s="41"/>
      <c r="U357" s="43"/>
      <c r="V357" s="43"/>
    </row>
    <row r="358" spans="4:22" ht="15" customHeight="1">
      <c r="D358" s="39"/>
      <c r="E358" s="40"/>
      <c r="K358" s="38"/>
      <c r="L358" s="38"/>
      <c r="M358" s="43"/>
      <c r="N358" s="42"/>
      <c r="O358" s="50"/>
      <c r="P358" s="38"/>
      <c r="Q358" s="41"/>
      <c r="R358" s="43"/>
      <c r="S358" s="43"/>
      <c r="T358" s="41"/>
      <c r="U358" s="43"/>
      <c r="V358" s="43"/>
    </row>
    <row r="359" spans="4:22" ht="15" customHeight="1">
      <c r="D359" s="39"/>
      <c r="E359" s="40"/>
      <c r="K359" s="38"/>
      <c r="L359" s="38"/>
      <c r="M359" s="43"/>
      <c r="N359" s="42"/>
      <c r="O359" s="50"/>
      <c r="P359" s="38"/>
      <c r="Q359" s="41"/>
      <c r="R359" s="43"/>
      <c r="S359" s="43"/>
      <c r="T359" s="41"/>
      <c r="U359" s="43"/>
      <c r="V359" s="43"/>
    </row>
    <row r="360" spans="4:22" ht="15" customHeight="1">
      <c r="D360" s="39"/>
      <c r="E360" s="40"/>
      <c r="K360" s="38"/>
      <c r="L360" s="38"/>
      <c r="M360" s="43"/>
      <c r="N360" s="42"/>
      <c r="O360" s="50"/>
      <c r="P360" s="38"/>
      <c r="Q360" s="41"/>
      <c r="R360" s="43"/>
      <c r="S360" s="43"/>
      <c r="T360" s="41"/>
      <c r="U360" s="43"/>
      <c r="V360" s="43"/>
    </row>
    <row r="361" spans="4:22" ht="15" customHeight="1">
      <c r="D361" s="39"/>
      <c r="E361" s="40"/>
      <c r="K361" s="38"/>
      <c r="L361" s="38"/>
      <c r="M361" s="43"/>
      <c r="N361" s="42"/>
      <c r="O361" s="50"/>
      <c r="P361" s="38"/>
      <c r="Q361" s="41"/>
      <c r="R361" s="43"/>
      <c r="S361" s="43"/>
      <c r="T361" s="41"/>
      <c r="U361" s="43"/>
      <c r="V361" s="43"/>
    </row>
    <row r="362" spans="4:22" ht="15" customHeight="1">
      <c r="D362" s="39"/>
      <c r="E362" s="40"/>
      <c r="K362" s="38"/>
      <c r="L362" s="38"/>
      <c r="M362" s="43"/>
      <c r="N362" s="42"/>
      <c r="O362" s="50"/>
      <c r="P362" s="38"/>
      <c r="Q362" s="41"/>
      <c r="R362" s="43"/>
      <c r="S362" s="43"/>
      <c r="T362" s="41"/>
      <c r="U362" s="43"/>
      <c r="V362" s="43"/>
    </row>
    <row r="363" spans="4:22" ht="15" customHeight="1">
      <c r="D363" s="39"/>
      <c r="E363" s="40"/>
      <c r="K363" s="38"/>
      <c r="L363" s="38"/>
      <c r="M363" s="43"/>
      <c r="N363" s="42"/>
      <c r="O363" s="50"/>
      <c r="P363" s="38"/>
      <c r="Q363" s="41"/>
      <c r="R363" s="43"/>
      <c r="S363" s="43"/>
      <c r="T363" s="41"/>
      <c r="U363" s="43"/>
      <c r="V363" s="43"/>
    </row>
    <row r="364" spans="4:22" ht="15" customHeight="1">
      <c r="D364" s="39"/>
      <c r="E364" s="40"/>
      <c r="K364" s="38"/>
      <c r="L364" s="38"/>
      <c r="M364" s="43"/>
      <c r="N364" s="42"/>
      <c r="O364" s="50"/>
      <c r="P364" s="38"/>
      <c r="Q364" s="41"/>
      <c r="R364" s="43"/>
      <c r="S364" s="43"/>
      <c r="T364" s="41"/>
      <c r="U364" s="43"/>
      <c r="V364" s="43"/>
    </row>
    <row r="365" spans="4:22" ht="15" customHeight="1">
      <c r="D365" s="39"/>
      <c r="E365" s="40"/>
      <c r="K365" s="38"/>
      <c r="L365" s="38"/>
      <c r="M365" s="43"/>
      <c r="N365" s="42"/>
      <c r="O365" s="50"/>
      <c r="P365" s="38"/>
      <c r="Q365" s="41"/>
      <c r="R365" s="43"/>
      <c r="S365" s="43"/>
      <c r="T365" s="41"/>
      <c r="U365" s="43"/>
      <c r="V365" s="43"/>
    </row>
    <row r="366" spans="4:22" ht="15" customHeight="1">
      <c r="D366" s="39"/>
      <c r="E366" s="40"/>
      <c r="K366" s="38"/>
      <c r="L366" s="38"/>
      <c r="M366" s="43"/>
      <c r="N366" s="42"/>
      <c r="O366" s="50"/>
      <c r="P366" s="38"/>
      <c r="Q366" s="41"/>
      <c r="R366" s="43"/>
      <c r="S366" s="43"/>
      <c r="T366" s="41"/>
      <c r="U366" s="43"/>
      <c r="V366" s="43"/>
    </row>
    <row r="367" spans="4:22" ht="15" customHeight="1">
      <c r="D367" s="39"/>
      <c r="E367" s="40"/>
      <c r="K367" s="38"/>
      <c r="L367" s="38"/>
      <c r="M367" s="43"/>
      <c r="N367" s="42"/>
      <c r="O367" s="50"/>
      <c r="P367" s="38"/>
      <c r="Q367" s="41"/>
      <c r="R367" s="43"/>
      <c r="S367" s="43"/>
      <c r="T367" s="41"/>
      <c r="U367" s="43"/>
      <c r="V367" s="43"/>
    </row>
    <row r="368" spans="4:22" ht="15" customHeight="1">
      <c r="D368" s="39"/>
      <c r="E368" s="40"/>
      <c r="K368" s="38"/>
      <c r="L368" s="38"/>
      <c r="M368" s="43"/>
      <c r="N368" s="42"/>
      <c r="O368" s="50"/>
      <c r="P368" s="38"/>
      <c r="Q368" s="41"/>
      <c r="R368" s="43"/>
      <c r="S368" s="43"/>
      <c r="T368" s="41"/>
      <c r="U368" s="43"/>
      <c r="V368" s="43"/>
    </row>
    <row r="369" spans="4:22" ht="15" customHeight="1">
      <c r="D369" s="39"/>
      <c r="E369" s="40"/>
      <c r="K369" s="38"/>
      <c r="L369" s="38"/>
      <c r="M369" s="43"/>
      <c r="N369" s="42"/>
      <c r="O369" s="50"/>
      <c r="P369" s="38"/>
      <c r="Q369" s="41"/>
      <c r="R369" s="43"/>
      <c r="S369" s="43"/>
      <c r="T369" s="41"/>
      <c r="U369" s="43"/>
      <c r="V369" s="43"/>
    </row>
    <row r="370" spans="4:22" ht="15" customHeight="1">
      <c r="D370" s="39"/>
      <c r="E370" s="40"/>
      <c r="K370" s="38"/>
      <c r="L370" s="38"/>
      <c r="M370" s="43"/>
      <c r="N370" s="42"/>
      <c r="O370" s="50"/>
      <c r="P370" s="38"/>
      <c r="Q370" s="41"/>
      <c r="R370" s="43"/>
      <c r="S370" s="43"/>
      <c r="T370" s="41"/>
      <c r="U370" s="43"/>
      <c r="V370" s="43"/>
    </row>
    <row r="371" spans="4:22" ht="15" customHeight="1">
      <c r="D371" s="39"/>
      <c r="E371" s="40"/>
      <c r="K371" s="38"/>
      <c r="L371" s="38"/>
      <c r="M371" s="43"/>
      <c r="N371" s="42"/>
      <c r="O371" s="50"/>
      <c r="P371" s="38"/>
      <c r="Q371" s="41"/>
      <c r="R371" s="43"/>
      <c r="S371" s="43"/>
      <c r="T371" s="41"/>
      <c r="U371" s="43"/>
      <c r="V371" s="43"/>
    </row>
    <row r="372" spans="4:22" ht="15" customHeight="1">
      <c r="D372" s="39"/>
      <c r="E372" s="40"/>
      <c r="K372" s="38"/>
      <c r="L372" s="38"/>
      <c r="M372" s="43"/>
      <c r="N372" s="42"/>
      <c r="O372" s="50"/>
      <c r="P372" s="38"/>
      <c r="Q372" s="41"/>
      <c r="R372" s="43"/>
      <c r="S372" s="43"/>
      <c r="T372" s="41"/>
      <c r="U372" s="43"/>
      <c r="V372" s="43"/>
    </row>
    <row r="373" spans="4:22" ht="15" customHeight="1">
      <c r="D373" s="39"/>
      <c r="E373" s="40"/>
      <c r="K373" s="38"/>
      <c r="L373" s="38"/>
      <c r="M373" s="43"/>
      <c r="N373" s="42"/>
      <c r="O373" s="50"/>
      <c r="P373" s="38"/>
      <c r="Q373" s="41"/>
      <c r="R373" s="43"/>
      <c r="S373" s="43"/>
      <c r="T373" s="41"/>
      <c r="U373" s="43"/>
      <c r="V373" s="43"/>
    </row>
    <row r="374" spans="4:22" ht="15" customHeight="1">
      <c r="D374" s="39"/>
      <c r="E374" s="40"/>
      <c r="K374" s="38"/>
      <c r="L374" s="38"/>
      <c r="M374" s="43"/>
      <c r="N374" s="42"/>
      <c r="O374" s="50"/>
      <c r="P374" s="38"/>
      <c r="Q374" s="41"/>
      <c r="R374" s="43"/>
      <c r="S374" s="43"/>
      <c r="T374" s="41"/>
      <c r="U374" s="43"/>
      <c r="V374" s="43"/>
    </row>
    <row r="375" spans="4:22" ht="15" customHeight="1">
      <c r="D375" s="39"/>
      <c r="E375" s="40"/>
      <c r="K375" s="38"/>
      <c r="L375" s="38"/>
      <c r="M375" s="43"/>
      <c r="N375" s="42"/>
      <c r="O375" s="50"/>
      <c r="P375" s="38"/>
      <c r="Q375" s="41"/>
      <c r="R375" s="43"/>
      <c r="S375" s="43"/>
      <c r="T375" s="41"/>
      <c r="U375" s="43"/>
      <c r="V375" s="43"/>
    </row>
    <row r="376" spans="4:22" ht="15" customHeight="1">
      <c r="D376" s="39"/>
      <c r="E376" s="40"/>
      <c r="K376" s="38"/>
      <c r="L376" s="38"/>
      <c r="M376" s="43"/>
      <c r="N376" s="42"/>
      <c r="O376" s="50"/>
      <c r="P376" s="38"/>
      <c r="Q376" s="41"/>
      <c r="R376" s="43"/>
      <c r="S376" s="43"/>
      <c r="T376" s="41"/>
      <c r="U376" s="43"/>
      <c r="V376" s="43"/>
    </row>
    <row r="377" spans="4:22" ht="15" customHeight="1">
      <c r="D377" s="39"/>
      <c r="E377" s="40"/>
      <c r="K377" s="38"/>
      <c r="L377" s="38"/>
      <c r="M377" s="43"/>
      <c r="N377" s="42"/>
      <c r="O377" s="50"/>
      <c r="P377" s="38"/>
      <c r="Q377" s="41"/>
      <c r="R377" s="43"/>
      <c r="S377" s="43"/>
      <c r="T377" s="41"/>
      <c r="U377" s="43"/>
      <c r="V377" s="43"/>
    </row>
    <row r="378" spans="4:22" ht="15" customHeight="1">
      <c r="D378" s="39"/>
      <c r="E378" s="40"/>
      <c r="K378" s="38"/>
      <c r="L378" s="38"/>
      <c r="M378" s="43"/>
      <c r="N378" s="42"/>
      <c r="O378" s="50"/>
      <c r="P378" s="38"/>
      <c r="Q378" s="41"/>
      <c r="R378" s="43"/>
      <c r="S378" s="43"/>
      <c r="T378" s="41"/>
      <c r="U378" s="43"/>
      <c r="V378" s="43"/>
    </row>
    <row r="379" spans="4:22" ht="15" customHeight="1">
      <c r="D379" s="39"/>
      <c r="E379" s="40"/>
      <c r="K379" s="38"/>
      <c r="L379" s="38"/>
      <c r="M379" s="43"/>
      <c r="N379" s="42"/>
      <c r="O379" s="50"/>
      <c r="P379" s="38"/>
      <c r="Q379" s="41"/>
      <c r="R379" s="43"/>
      <c r="S379" s="43"/>
      <c r="T379" s="41"/>
      <c r="U379" s="43"/>
      <c r="V379" s="43"/>
    </row>
    <row r="380" spans="4:22" ht="15" customHeight="1">
      <c r="D380" s="39"/>
      <c r="E380" s="40"/>
      <c r="K380" s="38"/>
      <c r="L380" s="38"/>
      <c r="M380" s="43"/>
      <c r="N380" s="42"/>
      <c r="O380" s="50"/>
      <c r="P380" s="38"/>
      <c r="Q380" s="41"/>
      <c r="R380" s="43"/>
      <c r="S380" s="43"/>
      <c r="T380" s="41"/>
      <c r="U380" s="43"/>
      <c r="V380" s="43"/>
    </row>
    <row r="381" spans="4:22" ht="15" customHeight="1">
      <c r="D381" s="39"/>
      <c r="E381" s="40"/>
      <c r="K381" s="38"/>
      <c r="L381" s="38"/>
      <c r="M381" s="43"/>
      <c r="N381" s="42"/>
      <c r="O381" s="50"/>
      <c r="P381" s="38"/>
      <c r="Q381" s="41"/>
      <c r="R381" s="43"/>
      <c r="S381" s="43"/>
      <c r="T381" s="41"/>
      <c r="U381" s="43"/>
      <c r="V381" s="43"/>
    </row>
    <row r="382" spans="4:22" ht="15" customHeight="1">
      <c r="D382" s="39"/>
      <c r="E382" s="40"/>
      <c r="K382" s="38"/>
      <c r="L382" s="38"/>
      <c r="M382" s="43"/>
      <c r="N382" s="42"/>
      <c r="O382" s="50"/>
      <c r="P382" s="38"/>
      <c r="Q382" s="41"/>
      <c r="R382" s="43"/>
      <c r="S382" s="43"/>
      <c r="T382" s="41"/>
      <c r="U382" s="43"/>
      <c r="V382" s="43"/>
    </row>
    <row r="383" spans="4:22" ht="15" customHeight="1">
      <c r="D383" s="39"/>
      <c r="E383" s="40"/>
      <c r="K383" s="38"/>
      <c r="L383" s="38"/>
      <c r="M383" s="43"/>
      <c r="N383" s="42"/>
      <c r="O383" s="50"/>
      <c r="P383" s="38"/>
      <c r="Q383" s="41"/>
      <c r="R383" s="43"/>
      <c r="S383" s="43"/>
      <c r="T383" s="41"/>
      <c r="U383" s="43"/>
      <c r="V383" s="43"/>
    </row>
    <row r="384" spans="4:22" ht="15" customHeight="1">
      <c r="D384" s="39"/>
      <c r="E384" s="40"/>
      <c r="K384" s="38"/>
      <c r="L384" s="38"/>
      <c r="M384" s="43"/>
      <c r="N384" s="42"/>
      <c r="O384" s="50"/>
      <c r="P384" s="38"/>
      <c r="Q384" s="41"/>
      <c r="R384" s="43"/>
      <c r="S384" s="43"/>
      <c r="T384" s="41"/>
      <c r="U384" s="43"/>
      <c r="V384" s="43"/>
    </row>
    <row r="385" spans="4:22" ht="15" customHeight="1">
      <c r="D385" s="39"/>
      <c r="E385" s="40"/>
      <c r="K385" s="38"/>
      <c r="L385" s="38"/>
      <c r="M385" s="43"/>
      <c r="N385" s="42"/>
      <c r="O385" s="50"/>
      <c r="P385" s="38"/>
      <c r="Q385" s="41"/>
      <c r="R385" s="43"/>
      <c r="S385" s="43"/>
      <c r="T385" s="41"/>
      <c r="U385" s="43"/>
      <c r="V385" s="43"/>
    </row>
    <row r="386" spans="4:22" ht="15" customHeight="1">
      <c r="D386" s="39"/>
      <c r="E386" s="40"/>
      <c r="K386" s="38"/>
      <c r="L386" s="38"/>
      <c r="M386" s="43"/>
      <c r="N386" s="42"/>
      <c r="O386" s="50"/>
      <c r="P386" s="38"/>
      <c r="Q386" s="41"/>
      <c r="R386" s="43"/>
      <c r="S386" s="43"/>
      <c r="T386" s="41"/>
      <c r="U386" s="43"/>
      <c r="V386" s="43"/>
    </row>
    <row r="387" spans="4:22" ht="15" customHeight="1">
      <c r="D387" s="39"/>
      <c r="E387" s="40"/>
      <c r="K387" s="38"/>
      <c r="L387" s="38"/>
      <c r="M387" s="43"/>
      <c r="N387" s="42"/>
      <c r="O387" s="50"/>
      <c r="P387" s="38"/>
      <c r="Q387" s="41"/>
      <c r="R387" s="43"/>
      <c r="S387" s="43"/>
      <c r="T387" s="41"/>
      <c r="U387" s="43"/>
      <c r="V387" s="43"/>
    </row>
    <row r="388" spans="4:22" ht="15" customHeight="1">
      <c r="D388" s="39"/>
      <c r="E388" s="40"/>
      <c r="K388" s="38"/>
      <c r="L388" s="38"/>
      <c r="M388" s="43"/>
      <c r="N388" s="42"/>
      <c r="O388" s="50"/>
      <c r="P388" s="38"/>
      <c r="Q388" s="41"/>
      <c r="R388" s="43"/>
      <c r="S388" s="43"/>
      <c r="T388" s="41"/>
      <c r="U388" s="43"/>
      <c r="V388" s="43"/>
    </row>
    <row r="389" spans="4:22" ht="15" customHeight="1">
      <c r="D389" s="39"/>
      <c r="E389" s="40"/>
      <c r="K389" s="38"/>
      <c r="L389" s="38"/>
      <c r="M389" s="43"/>
      <c r="N389" s="42"/>
      <c r="O389" s="50"/>
      <c r="P389" s="38"/>
      <c r="Q389" s="41"/>
      <c r="R389" s="43"/>
      <c r="S389" s="43"/>
      <c r="T389" s="41"/>
      <c r="U389" s="43"/>
      <c r="V389" s="43"/>
    </row>
    <row r="390" spans="4:22" ht="15" customHeight="1">
      <c r="D390" s="39"/>
      <c r="E390" s="40"/>
      <c r="K390" s="38"/>
      <c r="L390" s="38"/>
      <c r="M390" s="43"/>
      <c r="N390" s="42"/>
      <c r="O390" s="50"/>
      <c r="P390" s="38"/>
      <c r="Q390" s="41"/>
      <c r="R390" s="43"/>
      <c r="S390" s="43"/>
      <c r="T390" s="41"/>
      <c r="U390" s="43"/>
      <c r="V390" s="43"/>
    </row>
    <row r="391" spans="4:22" ht="15" customHeight="1">
      <c r="D391" s="39"/>
      <c r="E391" s="40"/>
      <c r="K391" s="38"/>
      <c r="L391" s="38"/>
      <c r="M391" s="43"/>
      <c r="N391" s="42"/>
      <c r="O391" s="50"/>
      <c r="P391" s="38"/>
      <c r="Q391" s="41"/>
      <c r="R391" s="43"/>
      <c r="S391" s="43"/>
      <c r="T391" s="41"/>
      <c r="U391" s="43"/>
      <c r="V391" s="43"/>
    </row>
    <row r="392" spans="4:22" ht="15" customHeight="1">
      <c r="D392" s="39"/>
      <c r="E392" s="40"/>
      <c r="K392" s="38"/>
      <c r="L392" s="38"/>
      <c r="M392" s="43"/>
      <c r="N392" s="42"/>
      <c r="O392" s="50"/>
      <c r="P392" s="38"/>
      <c r="Q392" s="41"/>
      <c r="R392" s="43"/>
      <c r="S392" s="43"/>
      <c r="T392" s="41"/>
      <c r="U392" s="43"/>
      <c r="V392" s="43"/>
    </row>
    <row r="393" spans="4:22" ht="15" customHeight="1">
      <c r="D393" s="39"/>
      <c r="E393" s="40"/>
      <c r="K393" s="38"/>
      <c r="L393" s="38"/>
      <c r="M393" s="43"/>
      <c r="N393" s="42"/>
      <c r="O393" s="50"/>
      <c r="P393" s="38"/>
      <c r="Q393" s="41"/>
      <c r="R393" s="43"/>
      <c r="S393" s="43"/>
      <c r="T393" s="41"/>
      <c r="U393" s="43"/>
      <c r="V393" s="43"/>
    </row>
    <row r="394" spans="4:22" ht="15" customHeight="1">
      <c r="D394" s="39"/>
      <c r="E394" s="40"/>
      <c r="K394" s="38"/>
      <c r="L394" s="38"/>
      <c r="M394" s="43"/>
      <c r="N394" s="42"/>
      <c r="O394" s="50"/>
      <c r="P394" s="38"/>
      <c r="Q394" s="41"/>
      <c r="R394" s="43"/>
      <c r="S394" s="43"/>
      <c r="T394" s="41"/>
      <c r="U394" s="43"/>
      <c r="V394" s="43"/>
    </row>
    <row r="395" spans="4:22" ht="15" customHeight="1">
      <c r="D395" s="39"/>
      <c r="E395" s="40"/>
      <c r="K395" s="38"/>
      <c r="L395" s="38"/>
      <c r="M395" s="43"/>
      <c r="N395" s="42"/>
      <c r="O395" s="50"/>
      <c r="P395" s="38"/>
      <c r="Q395" s="41"/>
      <c r="R395" s="43"/>
      <c r="S395" s="43"/>
      <c r="T395" s="41"/>
      <c r="U395" s="43"/>
      <c r="V395" s="43"/>
    </row>
    <row r="396" spans="4:22" ht="15" customHeight="1">
      <c r="D396" s="39"/>
      <c r="E396" s="40"/>
      <c r="K396" s="38"/>
      <c r="L396" s="38"/>
      <c r="M396" s="43"/>
      <c r="N396" s="42"/>
      <c r="O396" s="50"/>
      <c r="P396" s="38"/>
      <c r="Q396" s="41"/>
      <c r="R396" s="43"/>
      <c r="S396" s="43"/>
      <c r="T396" s="41"/>
      <c r="U396" s="43"/>
      <c r="V396" s="43"/>
    </row>
    <row r="397" spans="4:22" ht="15" customHeight="1">
      <c r="D397" s="39"/>
      <c r="E397" s="40"/>
      <c r="K397" s="38"/>
      <c r="L397" s="38"/>
      <c r="M397" s="43"/>
      <c r="N397" s="42"/>
      <c r="O397" s="50"/>
      <c r="P397" s="38"/>
      <c r="Q397" s="41"/>
      <c r="R397" s="43"/>
      <c r="S397" s="43"/>
      <c r="T397" s="41"/>
      <c r="U397" s="43"/>
      <c r="V397" s="43"/>
    </row>
    <row r="398" spans="4:22" ht="15" customHeight="1">
      <c r="D398" s="39"/>
      <c r="E398" s="40"/>
      <c r="K398" s="38"/>
      <c r="L398" s="38"/>
      <c r="M398" s="43"/>
      <c r="N398" s="42"/>
      <c r="O398" s="50"/>
      <c r="P398" s="38"/>
      <c r="Q398" s="41"/>
      <c r="R398" s="43"/>
      <c r="S398" s="43"/>
      <c r="T398" s="41"/>
      <c r="U398" s="43"/>
      <c r="V398" s="43"/>
    </row>
    <row r="399" spans="4:22" ht="15" customHeight="1">
      <c r="D399" s="39"/>
      <c r="E399" s="40"/>
      <c r="K399" s="38"/>
      <c r="L399" s="38"/>
      <c r="M399" s="43"/>
      <c r="N399" s="42"/>
      <c r="O399" s="50"/>
      <c r="P399" s="38"/>
      <c r="Q399" s="41"/>
      <c r="R399" s="43"/>
      <c r="S399" s="43"/>
      <c r="T399" s="41"/>
      <c r="U399" s="43"/>
      <c r="V399" s="43"/>
    </row>
    <row r="400" spans="4:22" ht="15" customHeight="1">
      <c r="D400" s="39"/>
      <c r="E400" s="40"/>
      <c r="K400" s="38"/>
      <c r="L400" s="38"/>
      <c r="M400" s="43"/>
      <c r="N400" s="42"/>
      <c r="O400" s="50"/>
      <c r="P400" s="38"/>
      <c r="Q400" s="41"/>
      <c r="R400" s="43"/>
      <c r="S400" s="43"/>
      <c r="T400" s="41"/>
      <c r="U400" s="43"/>
      <c r="V400" s="43"/>
    </row>
    <row r="401" spans="4:22" ht="15" customHeight="1">
      <c r="D401" s="39"/>
      <c r="E401" s="40"/>
      <c r="K401" s="38"/>
      <c r="L401" s="38"/>
      <c r="M401" s="43"/>
      <c r="N401" s="42"/>
      <c r="O401" s="50"/>
      <c r="P401" s="38"/>
      <c r="Q401" s="41"/>
      <c r="R401" s="43"/>
      <c r="S401" s="43"/>
      <c r="T401" s="41"/>
      <c r="U401" s="43"/>
      <c r="V401" s="43"/>
    </row>
    <row r="402" spans="4:22" ht="15" customHeight="1">
      <c r="D402" s="39"/>
      <c r="E402" s="40"/>
      <c r="K402" s="38"/>
      <c r="L402" s="38"/>
      <c r="M402" s="43"/>
      <c r="N402" s="42"/>
      <c r="O402" s="50"/>
      <c r="P402" s="38"/>
      <c r="Q402" s="41"/>
      <c r="R402" s="43"/>
      <c r="S402" s="43"/>
      <c r="T402" s="41"/>
      <c r="U402" s="43"/>
      <c r="V402" s="43"/>
    </row>
    <row r="403" spans="4:22" ht="15" customHeight="1">
      <c r="D403" s="39"/>
      <c r="E403" s="40"/>
      <c r="K403" s="38"/>
      <c r="L403" s="38"/>
      <c r="M403" s="43"/>
      <c r="N403" s="42"/>
      <c r="O403" s="50"/>
      <c r="P403" s="38"/>
      <c r="Q403" s="41"/>
      <c r="R403" s="43"/>
      <c r="S403" s="43"/>
      <c r="T403" s="41"/>
      <c r="U403" s="43"/>
      <c r="V403" s="43"/>
    </row>
    <row r="404" spans="4:22" ht="15" customHeight="1">
      <c r="D404" s="39"/>
      <c r="E404" s="40"/>
      <c r="K404" s="38"/>
      <c r="L404" s="38"/>
      <c r="M404" s="43"/>
      <c r="N404" s="42"/>
      <c r="O404" s="50"/>
      <c r="P404" s="38"/>
      <c r="Q404" s="41"/>
      <c r="R404" s="43"/>
      <c r="S404" s="43"/>
      <c r="T404" s="41"/>
      <c r="U404" s="43"/>
      <c r="V404" s="43"/>
    </row>
    <row r="405" spans="4:22" ht="15" customHeight="1">
      <c r="D405" s="39"/>
      <c r="E405" s="40"/>
      <c r="K405" s="38"/>
      <c r="L405" s="38"/>
      <c r="M405" s="43"/>
      <c r="N405" s="42"/>
      <c r="O405" s="50"/>
      <c r="P405" s="38"/>
      <c r="Q405" s="41"/>
      <c r="R405" s="43"/>
      <c r="S405" s="43"/>
      <c r="T405" s="41"/>
      <c r="U405" s="43"/>
      <c r="V405" s="43"/>
    </row>
    <row r="406" spans="4:22" ht="15" customHeight="1">
      <c r="D406" s="39"/>
      <c r="E406" s="40"/>
      <c r="K406" s="38"/>
      <c r="L406" s="38"/>
      <c r="M406" s="43"/>
      <c r="N406" s="42"/>
      <c r="O406" s="50"/>
      <c r="P406" s="38"/>
      <c r="Q406" s="41"/>
      <c r="R406" s="43"/>
      <c r="S406" s="43"/>
      <c r="T406" s="41"/>
      <c r="U406" s="43"/>
      <c r="V406" s="43"/>
    </row>
    <row r="407" spans="4:22" ht="15" customHeight="1">
      <c r="D407" s="39"/>
      <c r="E407" s="40"/>
      <c r="K407" s="38"/>
      <c r="L407" s="38"/>
      <c r="M407" s="43"/>
      <c r="N407" s="42"/>
      <c r="O407" s="50"/>
      <c r="P407" s="38"/>
      <c r="Q407" s="41"/>
      <c r="R407" s="43"/>
      <c r="S407" s="43"/>
      <c r="T407" s="41"/>
      <c r="U407" s="43"/>
      <c r="V407" s="43"/>
    </row>
    <row r="408" spans="4:22" ht="15" customHeight="1">
      <c r="D408" s="39"/>
      <c r="E408" s="40"/>
      <c r="K408" s="38"/>
      <c r="L408" s="38"/>
      <c r="M408" s="43"/>
      <c r="N408" s="42"/>
      <c r="O408" s="50"/>
      <c r="P408" s="38"/>
      <c r="Q408" s="41"/>
      <c r="R408" s="43"/>
      <c r="S408" s="43"/>
      <c r="T408" s="41"/>
      <c r="U408" s="43"/>
      <c r="V408" s="43"/>
    </row>
    <row r="409" spans="4:22" ht="15" customHeight="1">
      <c r="D409" s="39"/>
      <c r="E409" s="40"/>
      <c r="K409" s="38"/>
      <c r="L409" s="38"/>
      <c r="M409" s="43"/>
      <c r="N409" s="42"/>
      <c r="O409" s="50"/>
      <c r="P409" s="38"/>
      <c r="Q409" s="41"/>
      <c r="R409" s="43"/>
      <c r="S409" s="43"/>
      <c r="T409" s="41"/>
      <c r="U409" s="43"/>
      <c r="V409" s="43"/>
    </row>
    <row r="410" spans="4:22" ht="15" customHeight="1">
      <c r="D410" s="39"/>
      <c r="E410" s="40"/>
      <c r="K410" s="38"/>
      <c r="L410" s="38"/>
      <c r="M410" s="43"/>
      <c r="N410" s="42"/>
      <c r="O410" s="50"/>
      <c r="P410" s="38"/>
      <c r="Q410" s="41"/>
      <c r="R410" s="43"/>
      <c r="S410" s="43"/>
      <c r="T410" s="41"/>
      <c r="U410" s="43"/>
      <c r="V410" s="43"/>
    </row>
    <row r="411" spans="4:22" ht="15" customHeight="1">
      <c r="D411" s="39"/>
      <c r="E411" s="40"/>
      <c r="K411" s="38"/>
      <c r="L411" s="38"/>
      <c r="M411" s="43"/>
      <c r="N411" s="42"/>
      <c r="O411" s="50"/>
      <c r="P411" s="38"/>
      <c r="Q411" s="41"/>
      <c r="R411" s="43"/>
      <c r="S411" s="43"/>
      <c r="T411" s="41"/>
      <c r="U411" s="43"/>
      <c r="V411" s="43"/>
    </row>
    <row r="412" spans="4:22" ht="15" customHeight="1">
      <c r="D412" s="39"/>
      <c r="E412" s="40"/>
      <c r="K412" s="38"/>
      <c r="L412" s="38"/>
      <c r="M412" s="43"/>
      <c r="N412" s="42"/>
      <c r="O412" s="50"/>
      <c r="P412" s="38"/>
      <c r="Q412" s="41"/>
      <c r="R412" s="43"/>
      <c r="S412" s="43"/>
      <c r="T412" s="41"/>
      <c r="U412" s="43"/>
      <c r="V412" s="43"/>
    </row>
    <row r="413" spans="4:22" ht="15" customHeight="1">
      <c r="D413" s="39"/>
      <c r="E413" s="40"/>
      <c r="K413" s="38"/>
      <c r="L413" s="38"/>
      <c r="M413" s="43"/>
      <c r="N413" s="42"/>
      <c r="O413" s="50"/>
      <c r="P413" s="38"/>
      <c r="Q413" s="41"/>
      <c r="R413" s="43"/>
      <c r="S413" s="43"/>
      <c r="T413" s="41"/>
      <c r="U413" s="43"/>
      <c r="V413" s="43"/>
    </row>
    <row r="414" spans="4:22" ht="15" customHeight="1">
      <c r="D414" s="39"/>
      <c r="E414" s="40"/>
      <c r="K414" s="38"/>
      <c r="L414" s="38"/>
      <c r="M414" s="43"/>
      <c r="N414" s="42"/>
      <c r="O414" s="50"/>
      <c r="P414" s="38"/>
      <c r="Q414" s="41"/>
      <c r="R414" s="43"/>
      <c r="S414" s="43"/>
      <c r="T414" s="41"/>
      <c r="U414" s="43"/>
      <c r="V414" s="43"/>
    </row>
    <row r="415" spans="4:22" ht="15" customHeight="1">
      <c r="D415" s="39"/>
      <c r="E415" s="40"/>
      <c r="K415" s="38"/>
      <c r="L415" s="38"/>
      <c r="M415" s="43"/>
      <c r="N415" s="42"/>
      <c r="O415" s="50"/>
      <c r="P415" s="38"/>
      <c r="Q415" s="41"/>
      <c r="R415" s="43"/>
      <c r="S415" s="43"/>
      <c r="T415" s="41"/>
      <c r="U415" s="43"/>
      <c r="V415" s="43"/>
    </row>
    <row r="416" spans="4:22" ht="15" customHeight="1">
      <c r="D416" s="39"/>
      <c r="E416" s="40"/>
      <c r="K416" s="38"/>
      <c r="L416" s="38"/>
      <c r="M416" s="43"/>
      <c r="N416" s="42"/>
      <c r="O416" s="50"/>
      <c r="P416" s="38"/>
      <c r="Q416" s="41"/>
      <c r="R416" s="43"/>
      <c r="S416" s="43"/>
      <c r="T416" s="41"/>
      <c r="U416" s="43"/>
      <c r="V416" s="43"/>
    </row>
    <row r="417" spans="4:22" ht="15" customHeight="1">
      <c r="D417" s="39"/>
      <c r="E417" s="40"/>
      <c r="K417" s="38"/>
      <c r="L417" s="38"/>
      <c r="M417" s="43"/>
      <c r="N417" s="42"/>
      <c r="O417" s="50"/>
      <c r="P417" s="38"/>
      <c r="Q417" s="41"/>
      <c r="R417" s="43"/>
      <c r="S417" s="43"/>
      <c r="T417" s="41"/>
      <c r="U417" s="43"/>
      <c r="V417" s="43"/>
    </row>
    <row r="418" spans="4:22" ht="15" customHeight="1">
      <c r="D418" s="39"/>
      <c r="E418" s="40"/>
      <c r="K418" s="38"/>
      <c r="L418" s="38"/>
      <c r="M418" s="43"/>
      <c r="N418" s="42"/>
      <c r="O418" s="50"/>
      <c r="P418" s="38"/>
      <c r="Q418" s="41"/>
      <c r="R418" s="43"/>
      <c r="S418" s="43"/>
      <c r="T418" s="41"/>
      <c r="U418" s="43"/>
      <c r="V418" s="43"/>
    </row>
    <row r="419" spans="4:22" ht="15" customHeight="1">
      <c r="D419" s="39"/>
      <c r="E419" s="40"/>
      <c r="K419" s="38"/>
      <c r="L419" s="38"/>
      <c r="M419" s="43"/>
      <c r="N419" s="42"/>
      <c r="O419" s="50"/>
      <c r="P419" s="38"/>
      <c r="Q419" s="41"/>
      <c r="R419" s="43"/>
      <c r="S419" s="43"/>
      <c r="T419" s="41"/>
      <c r="U419" s="43"/>
      <c r="V419" s="43"/>
    </row>
    <row r="420" spans="4:22" ht="15" customHeight="1">
      <c r="D420" s="39"/>
      <c r="E420" s="40"/>
      <c r="K420" s="38"/>
      <c r="L420" s="38"/>
      <c r="M420" s="43"/>
      <c r="N420" s="42"/>
      <c r="O420" s="50"/>
      <c r="P420" s="38"/>
      <c r="Q420" s="41"/>
      <c r="R420" s="43"/>
      <c r="S420" s="43"/>
      <c r="T420" s="41"/>
      <c r="U420" s="43"/>
      <c r="V420" s="43"/>
    </row>
    <row r="421" spans="4:22" ht="15" customHeight="1">
      <c r="D421" s="39"/>
      <c r="E421" s="40"/>
      <c r="K421" s="38"/>
      <c r="L421" s="38"/>
      <c r="M421" s="43"/>
      <c r="N421" s="42"/>
      <c r="O421" s="50"/>
      <c r="P421" s="38"/>
      <c r="Q421" s="41"/>
      <c r="R421" s="43"/>
      <c r="S421" s="43"/>
      <c r="T421" s="41"/>
      <c r="U421" s="43"/>
      <c r="V421" s="43"/>
    </row>
    <row r="422" spans="4:22" ht="15" customHeight="1">
      <c r="D422" s="39"/>
      <c r="E422" s="40"/>
      <c r="K422" s="38"/>
      <c r="L422" s="38"/>
      <c r="M422" s="43"/>
      <c r="N422" s="42"/>
      <c r="O422" s="50"/>
      <c r="P422" s="38"/>
      <c r="Q422" s="41"/>
      <c r="R422" s="43"/>
      <c r="S422" s="43"/>
      <c r="T422" s="41"/>
      <c r="U422" s="43"/>
      <c r="V422" s="43"/>
    </row>
    <row r="423" spans="4:22" ht="15" customHeight="1">
      <c r="D423" s="39"/>
      <c r="E423" s="40"/>
      <c r="K423" s="38"/>
      <c r="L423" s="38"/>
      <c r="M423" s="43"/>
      <c r="N423" s="42"/>
      <c r="O423" s="50"/>
      <c r="P423" s="38"/>
      <c r="Q423" s="41"/>
      <c r="R423" s="43"/>
      <c r="S423" s="43"/>
      <c r="T423" s="41"/>
      <c r="U423" s="43"/>
      <c r="V423" s="43"/>
    </row>
    <row r="424" spans="4:22" ht="15" customHeight="1">
      <c r="D424" s="39"/>
      <c r="E424" s="40"/>
      <c r="K424" s="38"/>
      <c r="L424" s="38"/>
      <c r="M424" s="43"/>
      <c r="N424" s="42"/>
      <c r="O424" s="50"/>
      <c r="P424" s="38"/>
      <c r="Q424" s="41"/>
      <c r="R424" s="43"/>
      <c r="S424" s="43"/>
      <c r="T424" s="41"/>
      <c r="U424" s="43"/>
      <c r="V424" s="43"/>
    </row>
    <row r="425" spans="4:22" ht="15" customHeight="1">
      <c r="D425" s="39"/>
      <c r="E425" s="40"/>
      <c r="K425" s="38"/>
      <c r="L425" s="38"/>
      <c r="M425" s="43"/>
      <c r="N425" s="42"/>
      <c r="O425" s="50"/>
      <c r="P425" s="38"/>
      <c r="Q425" s="41"/>
      <c r="R425" s="43"/>
      <c r="S425" s="43"/>
      <c r="T425" s="41"/>
      <c r="U425" s="43"/>
      <c r="V425" s="43"/>
    </row>
    <row r="426" spans="4:22" ht="15" customHeight="1">
      <c r="D426" s="39"/>
      <c r="E426" s="40"/>
      <c r="K426" s="38"/>
      <c r="L426" s="38"/>
      <c r="M426" s="43"/>
      <c r="N426" s="42"/>
      <c r="O426" s="50"/>
      <c r="P426" s="38"/>
      <c r="Q426" s="41"/>
      <c r="R426" s="43"/>
      <c r="S426" s="43"/>
      <c r="T426" s="41"/>
      <c r="U426" s="43"/>
      <c r="V426" s="43"/>
    </row>
    <row r="427" spans="4:22" ht="15" customHeight="1">
      <c r="D427" s="39"/>
      <c r="E427" s="40"/>
      <c r="K427" s="38"/>
      <c r="L427" s="38"/>
      <c r="M427" s="43"/>
      <c r="N427" s="42"/>
      <c r="O427" s="50"/>
      <c r="P427" s="38"/>
      <c r="Q427" s="41"/>
      <c r="R427" s="43"/>
      <c r="S427" s="43"/>
      <c r="T427" s="41"/>
      <c r="U427" s="43"/>
      <c r="V427" s="43"/>
    </row>
    <row r="428" spans="4:22" ht="15" customHeight="1">
      <c r="D428" s="39"/>
      <c r="E428" s="40"/>
      <c r="K428" s="38"/>
      <c r="L428" s="38"/>
      <c r="M428" s="43"/>
      <c r="N428" s="42"/>
      <c r="O428" s="50"/>
      <c r="P428" s="38"/>
      <c r="Q428" s="41"/>
      <c r="R428" s="43"/>
      <c r="S428" s="43"/>
      <c r="T428" s="41"/>
      <c r="U428" s="43"/>
      <c r="V428" s="43"/>
    </row>
    <row r="429" spans="4:22" ht="15" customHeight="1">
      <c r="D429" s="39"/>
      <c r="E429" s="40"/>
      <c r="K429" s="38"/>
      <c r="L429" s="38"/>
      <c r="M429" s="43"/>
      <c r="N429" s="42"/>
      <c r="O429" s="50"/>
      <c r="P429" s="38"/>
      <c r="Q429" s="41"/>
      <c r="R429" s="43"/>
      <c r="S429" s="43"/>
      <c r="T429" s="41"/>
      <c r="U429" s="43"/>
      <c r="V429" s="43"/>
    </row>
    <row r="430" spans="4:22" ht="15" customHeight="1">
      <c r="D430" s="39"/>
      <c r="E430" s="40"/>
      <c r="K430" s="38"/>
      <c r="L430" s="38"/>
      <c r="M430" s="43"/>
      <c r="N430" s="42"/>
      <c r="O430" s="50"/>
      <c r="P430" s="38"/>
      <c r="Q430" s="41"/>
      <c r="R430" s="43"/>
      <c r="S430" s="43"/>
      <c r="T430" s="41"/>
      <c r="U430" s="43"/>
      <c r="V430" s="43"/>
    </row>
    <row r="431" spans="4:22" ht="15" customHeight="1">
      <c r="D431" s="39"/>
      <c r="E431" s="40"/>
      <c r="K431" s="38"/>
      <c r="L431" s="38"/>
      <c r="M431" s="43"/>
      <c r="N431" s="42"/>
      <c r="O431" s="50"/>
      <c r="P431" s="38"/>
      <c r="Q431" s="41"/>
      <c r="R431" s="43"/>
      <c r="S431" s="43"/>
      <c r="T431" s="41"/>
      <c r="U431" s="43"/>
      <c r="V431" s="43"/>
    </row>
    <row r="432" spans="4:22" ht="15" customHeight="1">
      <c r="D432" s="39"/>
      <c r="E432" s="40"/>
      <c r="K432" s="38"/>
      <c r="L432" s="38"/>
      <c r="M432" s="43"/>
      <c r="N432" s="42"/>
      <c r="O432" s="50"/>
      <c r="P432" s="38"/>
      <c r="Q432" s="41"/>
      <c r="R432" s="43"/>
      <c r="S432" s="43"/>
      <c r="T432" s="41"/>
      <c r="U432" s="43"/>
      <c r="V432" s="43"/>
    </row>
    <row r="433" spans="4:22" ht="15" customHeight="1">
      <c r="D433" s="39"/>
      <c r="E433" s="40"/>
      <c r="K433" s="38"/>
      <c r="L433" s="38"/>
      <c r="M433" s="43"/>
      <c r="N433" s="42"/>
      <c r="O433" s="50"/>
      <c r="P433" s="38"/>
      <c r="Q433" s="41"/>
      <c r="R433" s="43"/>
      <c r="S433" s="43"/>
      <c r="T433" s="41"/>
      <c r="U433" s="43"/>
      <c r="V433" s="43"/>
    </row>
    <row r="434" spans="4:22" ht="15" customHeight="1">
      <c r="D434" s="39"/>
      <c r="E434" s="40"/>
      <c r="K434" s="38"/>
      <c r="L434" s="38"/>
      <c r="M434" s="43"/>
      <c r="N434" s="42"/>
      <c r="O434" s="50"/>
      <c r="P434" s="38"/>
      <c r="Q434" s="41"/>
      <c r="R434" s="43"/>
      <c r="S434" s="43"/>
      <c r="T434" s="41"/>
      <c r="U434" s="43"/>
      <c r="V434" s="43"/>
    </row>
    <row r="435" spans="4:22" ht="15" customHeight="1">
      <c r="D435" s="39"/>
      <c r="E435" s="40"/>
      <c r="K435" s="38"/>
      <c r="L435" s="38"/>
      <c r="M435" s="43"/>
      <c r="N435" s="42"/>
      <c r="O435" s="50"/>
      <c r="P435" s="38"/>
      <c r="Q435" s="41"/>
      <c r="R435" s="43"/>
      <c r="S435" s="43"/>
      <c r="T435" s="41"/>
      <c r="U435" s="43"/>
      <c r="V435" s="43"/>
    </row>
    <row r="436" spans="4:22" ht="15" customHeight="1">
      <c r="D436" s="39"/>
      <c r="E436" s="40"/>
      <c r="K436" s="38"/>
      <c r="L436" s="38"/>
      <c r="M436" s="43"/>
      <c r="N436" s="42"/>
      <c r="O436" s="50"/>
      <c r="P436" s="38"/>
      <c r="Q436" s="41"/>
      <c r="R436" s="43"/>
      <c r="S436" s="43"/>
      <c r="T436" s="41"/>
      <c r="U436" s="43"/>
      <c r="V436" s="43"/>
    </row>
    <row r="437" spans="4:22" ht="15" customHeight="1">
      <c r="D437" s="39"/>
      <c r="E437" s="40"/>
      <c r="K437" s="38"/>
      <c r="L437" s="38"/>
      <c r="M437" s="43"/>
      <c r="N437" s="42"/>
      <c r="O437" s="50"/>
      <c r="P437" s="38"/>
      <c r="Q437" s="41"/>
      <c r="R437" s="43"/>
      <c r="S437" s="43"/>
      <c r="T437" s="41"/>
      <c r="U437" s="43"/>
      <c r="V437" s="43"/>
    </row>
    <row r="438" spans="4:22" ht="15" customHeight="1">
      <c r="D438" s="39"/>
      <c r="E438" s="40"/>
      <c r="K438" s="38"/>
      <c r="L438" s="38"/>
      <c r="M438" s="43"/>
      <c r="N438" s="42"/>
      <c r="O438" s="50"/>
      <c r="P438" s="38"/>
      <c r="Q438" s="41"/>
      <c r="R438" s="43"/>
      <c r="S438" s="43"/>
      <c r="T438" s="41"/>
      <c r="U438" s="43"/>
      <c r="V438" s="43"/>
    </row>
    <row r="439" spans="4:22" ht="15" customHeight="1">
      <c r="D439" s="39"/>
      <c r="E439" s="40"/>
      <c r="K439" s="38"/>
      <c r="L439" s="38"/>
      <c r="M439" s="43"/>
      <c r="N439" s="42"/>
      <c r="O439" s="50"/>
      <c r="P439" s="38"/>
      <c r="Q439" s="41"/>
      <c r="R439" s="43"/>
      <c r="S439" s="43"/>
      <c r="T439" s="41"/>
      <c r="U439" s="43"/>
      <c r="V439" s="43"/>
    </row>
    <row r="440" spans="4:22" ht="15" customHeight="1">
      <c r="D440" s="39"/>
      <c r="E440" s="40"/>
      <c r="K440" s="38"/>
      <c r="L440" s="38"/>
      <c r="M440" s="43"/>
      <c r="N440" s="42"/>
      <c r="O440" s="50"/>
      <c r="P440" s="38"/>
      <c r="Q440" s="41"/>
      <c r="R440" s="43"/>
      <c r="S440" s="43"/>
      <c r="T440" s="41"/>
      <c r="U440" s="43"/>
      <c r="V440" s="43"/>
    </row>
    <row r="441" spans="4:22" ht="15" customHeight="1">
      <c r="D441" s="39"/>
      <c r="E441" s="40"/>
      <c r="K441" s="38"/>
      <c r="L441" s="38"/>
      <c r="M441" s="43"/>
      <c r="N441" s="42"/>
      <c r="O441" s="50"/>
      <c r="P441" s="38"/>
      <c r="Q441" s="41"/>
      <c r="R441" s="43"/>
      <c r="S441" s="43"/>
      <c r="T441" s="41"/>
      <c r="U441" s="43"/>
      <c r="V441" s="43"/>
    </row>
    <row r="442" spans="4:22" ht="15" customHeight="1">
      <c r="D442" s="39"/>
      <c r="E442" s="40"/>
      <c r="K442" s="38"/>
      <c r="L442" s="38"/>
      <c r="M442" s="43"/>
      <c r="N442" s="42"/>
      <c r="O442" s="50"/>
      <c r="P442" s="38"/>
      <c r="Q442" s="41"/>
      <c r="R442" s="43"/>
      <c r="S442" s="43"/>
      <c r="T442" s="41"/>
      <c r="U442" s="43"/>
      <c r="V442" s="43"/>
    </row>
    <row r="443" spans="4:22" ht="15" customHeight="1">
      <c r="D443" s="39"/>
      <c r="E443" s="40"/>
      <c r="K443" s="38"/>
      <c r="L443" s="38"/>
      <c r="M443" s="43"/>
      <c r="N443" s="42"/>
      <c r="O443" s="50"/>
      <c r="P443" s="38"/>
      <c r="Q443" s="41"/>
      <c r="R443" s="43"/>
      <c r="S443" s="43"/>
      <c r="T443" s="41"/>
      <c r="U443" s="43"/>
      <c r="V443" s="43"/>
    </row>
    <row r="444" spans="4:22" ht="15" customHeight="1">
      <c r="D444" s="39"/>
      <c r="E444" s="40"/>
      <c r="K444" s="38"/>
      <c r="L444" s="38"/>
      <c r="M444" s="43"/>
      <c r="N444" s="42"/>
      <c r="O444" s="50"/>
      <c r="P444" s="38"/>
      <c r="Q444" s="41"/>
      <c r="R444" s="43"/>
      <c r="S444" s="43"/>
      <c r="T444" s="41"/>
      <c r="U444" s="43"/>
      <c r="V444" s="43"/>
    </row>
    <row r="445" spans="4:22" ht="15" customHeight="1">
      <c r="D445" s="39"/>
      <c r="E445" s="40"/>
      <c r="K445" s="38"/>
      <c r="L445" s="38"/>
      <c r="M445" s="43"/>
      <c r="N445" s="42"/>
      <c r="O445" s="50"/>
      <c r="P445" s="38"/>
      <c r="Q445" s="41"/>
      <c r="R445" s="43"/>
      <c r="S445" s="43"/>
      <c r="T445" s="41"/>
      <c r="U445" s="43"/>
      <c r="V445" s="43"/>
    </row>
    <row r="446" spans="4:22" ht="15" customHeight="1">
      <c r="D446" s="39"/>
      <c r="E446" s="40"/>
      <c r="K446" s="38"/>
      <c r="L446" s="38"/>
      <c r="M446" s="43"/>
      <c r="N446" s="42"/>
      <c r="O446" s="50"/>
      <c r="P446" s="38"/>
      <c r="Q446" s="41"/>
      <c r="R446" s="43"/>
      <c r="S446" s="43"/>
      <c r="T446" s="41"/>
      <c r="U446" s="43"/>
      <c r="V446" s="43"/>
    </row>
    <row r="447" spans="4:22" ht="15" customHeight="1">
      <c r="D447" s="39"/>
      <c r="E447" s="40"/>
      <c r="K447" s="38"/>
      <c r="L447" s="38"/>
      <c r="M447" s="43"/>
      <c r="N447" s="42"/>
      <c r="O447" s="50"/>
      <c r="P447" s="38"/>
      <c r="Q447" s="41"/>
      <c r="R447" s="43"/>
      <c r="S447" s="43"/>
      <c r="T447" s="41"/>
      <c r="U447" s="43"/>
      <c r="V447" s="43"/>
    </row>
    <row r="448" spans="4:22" ht="15" customHeight="1">
      <c r="D448" s="39"/>
      <c r="E448" s="40"/>
      <c r="K448" s="38"/>
      <c r="L448" s="38"/>
      <c r="M448" s="43"/>
      <c r="N448" s="42"/>
      <c r="O448" s="50"/>
      <c r="P448" s="38"/>
      <c r="Q448" s="41"/>
      <c r="R448" s="43"/>
      <c r="S448" s="43"/>
      <c r="T448" s="41"/>
      <c r="U448" s="43"/>
      <c r="V448" s="43"/>
    </row>
    <row r="449" spans="4:22" ht="15" customHeight="1">
      <c r="D449" s="39"/>
      <c r="E449" s="40"/>
      <c r="K449" s="38"/>
      <c r="L449" s="38"/>
      <c r="M449" s="43"/>
      <c r="N449" s="42"/>
      <c r="O449" s="50"/>
      <c r="P449" s="38"/>
      <c r="Q449" s="41"/>
      <c r="R449" s="43"/>
      <c r="S449" s="43"/>
      <c r="T449" s="41"/>
      <c r="U449" s="43"/>
      <c r="V449" s="43"/>
    </row>
    <row r="450" spans="4:22" ht="15" customHeight="1">
      <c r="D450" s="39"/>
      <c r="E450" s="40"/>
      <c r="K450" s="38"/>
      <c r="L450" s="38"/>
      <c r="M450" s="43"/>
      <c r="N450" s="42"/>
      <c r="O450" s="50"/>
      <c r="P450" s="38"/>
      <c r="Q450" s="41"/>
      <c r="R450" s="43"/>
      <c r="S450" s="43"/>
      <c r="T450" s="41"/>
      <c r="U450" s="43"/>
      <c r="V450" s="43"/>
    </row>
    <row r="451" spans="4:22" ht="15" customHeight="1">
      <c r="D451" s="39"/>
      <c r="E451" s="40"/>
      <c r="K451" s="38"/>
      <c r="L451" s="38"/>
      <c r="M451" s="43"/>
      <c r="N451" s="42"/>
      <c r="O451" s="50"/>
      <c r="P451" s="38"/>
      <c r="Q451" s="41"/>
      <c r="R451" s="43"/>
      <c r="S451" s="43"/>
      <c r="T451" s="41"/>
      <c r="U451" s="43"/>
      <c r="V451" s="43"/>
    </row>
    <row r="452" spans="4:22" ht="15" customHeight="1">
      <c r="D452" s="39"/>
      <c r="E452" s="40"/>
      <c r="K452" s="38"/>
      <c r="L452" s="38"/>
      <c r="M452" s="43"/>
      <c r="N452" s="42"/>
      <c r="O452" s="50"/>
      <c r="P452" s="38"/>
      <c r="Q452" s="41"/>
      <c r="R452" s="43"/>
      <c r="S452" s="43"/>
      <c r="T452" s="41"/>
      <c r="U452" s="43"/>
      <c r="V452" s="43"/>
    </row>
    <row r="453" spans="4:22" ht="15" customHeight="1">
      <c r="D453" s="39"/>
      <c r="E453" s="40"/>
      <c r="K453" s="38"/>
      <c r="L453" s="38"/>
      <c r="M453" s="43"/>
      <c r="N453" s="42"/>
      <c r="O453" s="50"/>
      <c r="P453" s="38"/>
      <c r="Q453" s="41"/>
      <c r="R453" s="43"/>
      <c r="S453" s="43"/>
      <c r="T453" s="41"/>
      <c r="U453" s="43"/>
      <c r="V453" s="43"/>
    </row>
    <row r="454" spans="4:22" ht="15" customHeight="1">
      <c r="D454" s="39"/>
      <c r="E454" s="40"/>
      <c r="K454" s="38"/>
      <c r="L454" s="38"/>
      <c r="M454" s="43"/>
      <c r="N454" s="42"/>
      <c r="O454" s="50"/>
      <c r="P454" s="38"/>
      <c r="Q454" s="41"/>
      <c r="R454" s="43"/>
      <c r="S454" s="43"/>
      <c r="T454" s="41"/>
      <c r="U454" s="43"/>
      <c r="V454" s="43"/>
    </row>
    <row r="455" spans="4:22" ht="15" customHeight="1">
      <c r="D455" s="39"/>
      <c r="E455" s="40"/>
      <c r="K455" s="38"/>
      <c r="L455" s="38"/>
      <c r="M455" s="43"/>
      <c r="N455" s="42"/>
      <c r="O455" s="50"/>
      <c r="P455" s="38"/>
      <c r="Q455" s="41"/>
      <c r="R455" s="43"/>
      <c r="S455" s="43"/>
      <c r="T455" s="41"/>
      <c r="U455" s="43"/>
      <c r="V455" s="43"/>
    </row>
    <row r="456" spans="4:22" ht="15" customHeight="1">
      <c r="D456" s="39"/>
      <c r="E456" s="40"/>
      <c r="K456" s="38"/>
      <c r="L456" s="38"/>
      <c r="M456" s="43"/>
      <c r="N456" s="42"/>
      <c r="O456" s="50"/>
      <c r="P456" s="38"/>
      <c r="Q456" s="41"/>
      <c r="R456" s="43"/>
      <c r="S456" s="43"/>
      <c r="T456" s="41"/>
      <c r="U456" s="43"/>
      <c r="V456" s="43"/>
    </row>
    <row r="457" spans="4:22" ht="15" customHeight="1">
      <c r="D457" s="39"/>
      <c r="E457" s="40"/>
      <c r="K457" s="38"/>
      <c r="L457" s="38"/>
      <c r="M457" s="43"/>
      <c r="N457" s="42"/>
      <c r="O457" s="50"/>
      <c r="P457" s="38"/>
      <c r="Q457" s="41"/>
      <c r="R457" s="43"/>
      <c r="S457" s="43"/>
      <c r="T457" s="41"/>
      <c r="U457" s="43"/>
      <c r="V457" s="43"/>
    </row>
    <row r="458" spans="4:22" ht="15" customHeight="1">
      <c r="D458" s="39"/>
      <c r="E458" s="40"/>
      <c r="K458" s="38"/>
      <c r="L458" s="38"/>
      <c r="M458" s="43"/>
      <c r="N458" s="42"/>
      <c r="O458" s="50"/>
      <c r="P458" s="38"/>
      <c r="Q458" s="41"/>
      <c r="R458" s="43"/>
      <c r="S458" s="43"/>
      <c r="T458" s="41"/>
      <c r="U458" s="43"/>
      <c r="V458" s="43"/>
    </row>
    <row r="459" spans="4:22" ht="15" customHeight="1">
      <c r="D459" s="39"/>
      <c r="E459" s="40"/>
      <c r="K459" s="38"/>
      <c r="L459" s="38"/>
      <c r="M459" s="43"/>
      <c r="N459" s="42"/>
      <c r="O459" s="50"/>
      <c r="P459" s="38"/>
      <c r="Q459" s="41"/>
      <c r="R459" s="43"/>
      <c r="S459" s="43"/>
      <c r="T459" s="41"/>
      <c r="U459" s="43"/>
      <c r="V459" s="43"/>
    </row>
    <row r="460" spans="4:22" ht="15" customHeight="1">
      <c r="D460" s="39"/>
      <c r="E460" s="40"/>
      <c r="K460" s="38"/>
      <c r="L460" s="38"/>
      <c r="M460" s="43"/>
      <c r="N460" s="42"/>
      <c r="O460" s="50"/>
      <c r="P460" s="38"/>
      <c r="Q460" s="41"/>
      <c r="R460" s="43"/>
      <c r="S460" s="43"/>
      <c r="T460" s="41"/>
      <c r="U460" s="43"/>
      <c r="V460" s="43"/>
    </row>
    <row r="461" spans="4:22" ht="15" customHeight="1">
      <c r="D461" s="39"/>
      <c r="E461" s="40"/>
      <c r="K461" s="38"/>
      <c r="L461" s="38"/>
      <c r="M461" s="43"/>
      <c r="N461" s="42"/>
      <c r="O461" s="50"/>
      <c r="P461" s="38"/>
      <c r="Q461" s="41"/>
      <c r="R461" s="43"/>
      <c r="S461" s="43"/>
      <c r="T461" s="41"/>
      <c r="U461" s="43"/>
      <c r="V461" s="43"/>
    </row>
    <row r="462" spans="4:22" ht="15" customHeight="1">
      <c r="D462" s="39"/>
      <c r="E462" s="40"/>
      <c r="K462" s="38"/>
      <c r="L462" s="38"/>
      <c r="M462" s="43"/>
      <c r="N462" s="42"/>
      <c r="O462" s="50"/>
      <c r="P462" s="38"/>
      <c r="Q462" s="41"/>
      <c r="R462" s="43"/>
      <c r="S462" s="43"/>
      <c r="T462" s="41"/>
      <c r="U462" s="43"/>
      <c r="V462" s="43"/>
    </row>
    <row r="463" spans="4:22" ht="15" customHeight="1">
      <c r="D463" s="39"/>
      <c r="E463" s="40"/>
      <c r="K463" s="38"/>
      <c r="L463" s="38"/>
      <c r="M463" s="43"/>
      <c r="N463" s="42"/>
      <c r="O463" s="50"/>
      <c r="P463" s="38"/>
      <c r="Q463" s="41"/>
      <c r="R463" s="43"/>
      <c r="S463" s="43"/>
      <c r="T463" s="41"/>
      <c r="U463" s="43"/>
      <c r="V463" s="43"/>
    </row>
    <row r="464" spans="4:22" ht="15" customHeight="1">
      <c r="D464" s="39"/>
      <c r="E464" s="40"/>
      <c r="K464" s="38"/>
      <c r="L464" s="38"/>
      <c r="M464" s="43"/>
      <c r="N464" s="42"/>
      <c r="O464" s="50"/>
      <c r="P464" s="38"/>
      <c r="Q464" s="41"/>
      <c r="R464" s="43"/>
      <c r="S464" s="43"/>
      <c r="T464" s="41"/>
      <c r="U464" s="43"/>
      <c r="V464" s="43"/>
    </row>
    <row r="465" spans="4:22" ht="15" customHeight="1">
      <c r="D465" s="39"/>
      <c r="E465" s="40"/>
      <c r="K465" s="38"/>
      <c r="L465" s="38"/>
      <c r="M465" s="43"/>
      <c r="N465" s="42"/>
      <c r="O465" s="50"/>
      <c r="P465" s="38"/>
      <c r="Q465" s="41"/>
      <c r="R465" s="43"/>
      <c r="S465" s="43"/>
      <c r="T465" s="41"/>
      <c r="U465" s="43"/>
      <c r="V465" s="43"/>
    </row>
    <row r="466" spans="4:22" ht="15" customHeight="1">
      <c r="D466" s="39"/>
      <c r="E466" s="40"/>
      <c r="K466" s="38"/>
      <c r="L466" s="38"/>
      <c r="M466" s="43"/>
      <c r="N466" s="42"/>
      <c r="O466" s="50"/>
      <c r="P466" s="38"/>
      <c r="Q466" s="41"/>
      <c r="R466" s="43"/>
      <c r="S466" s="43"/>
      <c r="T466" s="41"/>
      <c r="U466" s="43"/>
      <c r="V466" s="43"/>
    </row>
    <row r="467" spans="4:22" ht="15" customHeight="1">
      <c r="D467" s="39"/>
      <c r="E467" s="40"/>
      <c r="K467" s="38"/>
      <c r="L467" s="38"/>
      <c r="M467" s="43"/>
      <c r="N467" s="42"/>
      <c r="O467" s="50"/>
      <c r="P467" s="38"/>
      <c r="Q467" s="41"/>
      <c r="R467" s="43"/>
      <c r="S467" s="43"/>
      <c r="T467" s="41"/>
      <c r="U467" s="43"/>
      <c r="V467" s="43"/>
    </row>
    <row r="468" spans="4:22" ht="15" customHeight="1">
      <c r="D468" s="39"/>
      <c r="E468" s="40"/>
      <c r="K468" s="38"/>
      <c r="L468" s="38"/>
      <c r="M468" s="43"/>
      <c r="N468" s="42"/>
      <c r="O468" s="50"/>
      <c r="P468" s="38"/>
      <c r="Q468" s="41"/>
      <c r="R468" s="43"/>
      <c r="S468" s="43"/>
      <c r="T468" s="41"/>
      <c r="U468" s="43"/>
      <c r="V468" s="43"/>
    </row>
    <row r="469" spans="4:22" ht="15" customHeight="1">
      <c r="D469" s="39"/>
      <c r="E469" s="40"/>
      <c r="K469" s="38"/>
      <c r="L469" s="38"/>
      <c r="M469" s="43"/>
      <c r="N469" s="42"/>
      <c r="O469" s="50"/>
      <c r="P469" s="38"/>
      <c r="Q469" s="41"/>
      <c r="R469" s="43"/>
      <c r="S469" s="43"/>
      <c r="T469" s="41"/>
      <c r="U469" s="43"/>
      <c r="V469" s="43"/>
    </row>
    <row r="470" spans="4:22" ht="15" customHeight="1">
      <c r="D470" s="39"/>
      <c r="E470" s="40"/>
      <c r="K470" s="38"/>
      <c r="L470" s="38"/>
      <c r="M470" s="43"/>
      <c r="N470" s="42"/>
      <c r="O470" s="50"/>
      <c r="P470" s="38"/>
      <c r="Q470" s="41"/>
      <c r="R470" s="43"/>
      <c r="S470" s="43"/>
      <c r="T470" s="41"/>
      <c r="U470" s="43"/>
      <c r="V470" s="43"/>
    </row>
    <row r="471" spans="4:22" ht="15" customHeight="1">
      <c r="D471" s="39"/>
      <c r="E471" s="40"/>
      <c r="K471" s="38"/>
      <c r="L471" s="38"/>
      <c r="M471" s="43"/>
      <c r="N471" s="42"/>
      <c r="O471" s="50"/>
      <c r="P471" s="38"/>
      <c r="Q471" s="41"/>
      <c r="R471" s="43"/>
      <c r="S471" s="43"/>
      <c r="T471" s="41"/>
      <c r="U471" s="43"/>
      <c r="V471" s="43"/>
    </row>
    <row r="472" spans="4:22" ht="15" customHeight="1">
      <c r="D472" s="39"/>
      <c r="E472" s="40"/>
      <c r="K472" s="38"/>
      <c r="L472" s="38"/>
      <c r="M472" s="43"/>
      <c r="N472" s="42"/>
      <c r="O472" s="50"/>
      <c r="P472" s="38"/>
      <c r="Q472" s="41"/>
      <c r="R472" s="43"/>
      <c r="S472" s="43"/>
      <c r="T472" s="41"/>
      <c r="U472" s="43"/>
      <c r="V472" s="43"/>
    </row>
    <row r="473" spans="4:22" ht="15" customHeight="1">
      <c r="D473" s="39"/>
      <c r="E473" s="40"/>
      <c r="K473" s="38"/>
      <c r="L473" s="38"/>
      <c r="M473" s="43"/>
      <c r="N473" s="42"/>
      <c r="O473" s="50"/>
      <c r="P473" s="38"/>
      <c r="Q473" s="41"/>
      <c r="R473" s="43"/>
      <c r="S473" s="43"/>
      <c r="T473" s="41"/>
      <c r="U473" s="43"/>
      <c r="V473" s="43"/>
    </row>
    <row r="474" spans="4:22" ht="15" customHeight="1">
      <c r="D474" s="39"/>
      <c r="E474" s="40"/>
      <c r="K474" s="38"/>
      <c r="L474" s="38"/>
      <c r="M474" s="43"/>
      <c r="N474" s="42"/>
      <c r="O474" s="50"/>
      <c r="P474" s="38"/>
      <c r="Q474" s="41"/>
      <c r="R474" s="43"/>
      <c r="S474" s="43"/>
      <c r="T474" s="41"/>
      <c r="U474" s="43"/>
      <c r="V474" s="43"/>
    </row>
    <row r="475" spans="4:22" ht="15" customHeight="1">
      <c r="D475" s="39"/>
      <c r="E475" s="40"/>
      <c r="K475" s="38"/>
      <c r="L475" s="38"/>
      <c r="M475" s="43"/>
      <c r="N475" s="42"/>
      <c r="O475" s="50"/>
      <c r="P475" s="38"/>
      <c r="Q475" s="41"/>
      <c r="R475" s="43"/>
      <c r="S475" s="43"/>
      <c r="T475" s="41"/>
      <c r="U475" s="43"/>
      <c r="V475" s="43"/>
    </row>
    <row r="476" spans="4:22" ht="15" customHeight="1">
      <c r="D476" s="39"/>
      <c r="E476" s="40"/>
      <c r="K476" s="38"/>
      <c r="L476" s="38"/>
      <c r="M476" s="43"/>
      <c r="N476" s="42"/>
      <c r="O476" s="50"/>
      <c r="P476" s="38"/>
      <c r="Q476" s="41"/>
      <c r="R476" s="43"/>
      <c r="S476" s="43"/>
      <c r="T476" s="41"/>
      <c r="U476" s="43"/>
      <c r="V476" s="43"/>
    </row>
    <row r="477" spans="4:22" ht="15" customHeight="1">
      <c r="D477" s="39"/>
      <c r="E477" s="40"/>
      <c r="K477" s="38"/>
      <c r="L477" s="38"/>
      <c r="M477" s="43"/>
      <c r="N477" s="42"/>
      <c r="O477" s="50"/>
      <c r="P477" s="38"/>
      <c r="Q477" s="41"/>
      <c r="R477" s="43"/>
      <c r="S477" s="43"/>
      <c r="T477" s="41"/>
      <c r="U477" s="43"/>
      <c r="V477" s="43"/>
    </row>
    <row r="478" spans="4:22" ht="15" customHeight="1">
      <c r="D478" s="39"/>
      <c r="E478" s="40"/>
      <c r="K478" s="38"/>
      <c r="L478" s="38"/>
      <c r="M478" s="43"/>
      <c r="N478" s="42"/>
      <c r="O478" s="50"/>
      <c r="P478" s="38"/>
      <c r="Q478" s="41"/>
      <c r="R478" s="43"/>
      <c r="S478" s="43"/>
      <c r="T478" s="41"/>
      <c r="U478" s="43"/>
      <c r="V478" s="43"/>
    </row>
    <row r="479" spans="4:22" ht="15" customHeight="1">
      <c r="D479" s="39"/>
      <c r="E479" s="40"/>
      <c r="K479" s="38"/>
      <c r="L479" s="38"/>
      <c r="M479" s="43"/>
      <c r="N479" s="42"/>
      <c r="O479" s="50"/>
      <c r="P479" s="38"/>
      <c r="Q479" s="41"/>
      <c r="R479" s="43"/>
      <c r="S479" s="43"/>
      <c r="T479" s="41"/>
      <c r="U479" s="43"/>
      <c r="V479" s="43"/>
    </row>
    <row r="480" spans="4:22" ht="15" customHeight="1">
      <c r="D480" s="39"/>
      <c r="E480" s="40"/>
      <c r="K480" s="38"/>
      <c r="L480" s="38"/>
      <c r="M480" s="43"/>
      <c r="N480" s="42"/>
      <c r="O480" s="50"/>
      <c r="P480" s="38"/>
      <c r="Q480" s="41"/>
      <c r="R480" s="43"/>
      <c r="S480" s="43"/>
      <c r="T480" s="41"/>
      <c r="U480" s="43"/>
      <c r="V480" s="43"/>
    </row>
    <row r="481" spans="4:22" ht="15" customHeight="1">
      <c r="D481" s="39"/>
      <c r="E481" s="40"/>
      <c r="K481" s="38"/>
      <c r="L481" s="38"/>
      <c r="M481" s="43"/>
      <c r="N481" s="42"/>
      <c r="O481" s="50"/>
      <c r="P481" s="38"/>
      <c r="Q481" s="41"/>
      <c r="R481" s="43"/>
      <c r="S481" s="43"/>
      <c r="T481" s="41"/>
      <c r="U481" s="43"/>
      <c r="V481" s="43"/>
    </row>
    <row r="482" spans="4:22" ht="15" customHeight="1">
      <c r="D482" s="39"/>
      <c r="E482" s="40"/>
      <c r="K482" s="38"/>
      <c r="L482" s="38"/>
      <c r="M482" s="43"/>
      <c r="N482" s="42"/>
      <c r="O482" s="50"/>
      <c r="P482" s="38"/>
      <c r="Q482" s="41"/>
      <c r="R482" s="43"/>
      <c r="S482" s="43"/>
      <c r="T482" s="41"/>
      <c r="U482" s="43"/>
      <c r="V482" s="43"/>
    </row>
    <row r="483" spans="4:22" ht="15" customHeight="1">
      <c r="D483" s="39"/>
      <c r="E483" s="40"/>
      <c r="K483" s="38"/>
      <c r="L483" s="38"/>
      <c r="M483" s="43"/>
      <c r="N483" s="42"/>
      <c r="O483" s="50"/>
      <c r="P483" s="38"/>
      <c r="Q483" s="41"/>
      <c r="R483" s="43"/>
      <c r="S483" s="43"/>
      <c r="T483" s="41"/>
      <c r="U483" s="43"/>
      <c r="V483" s="43"/>
    </row>
    <row r="484" spans="4:22" ht="15" customHeight="1">
      <c r="D484" s="39"/>
      <c r="E484" s="40"/>
      <c r="K484" s="38"/>
      <c r="L484" s="38"/>
      <c r="M484" s="43"/>
      <c r="N484" s="42"/>
      <c r="O484" s="50"/>
      <c r="P484" s="38"/>
      <c r="Q484" s="41"/>
      <c r="R484" s="43"/>
      <c r="S484" s="43"/>
      <c r="T484" s="41"/>
      <c r="U484" s="43"/>
      <c r="V484" s="43"/>
    </row>
    <row r="485" spans="4:22" ht="15" customHeight="1">
      <c r="D485" s="39"/>
      <c r="E485" s="40"/>
      <c r="K485" s="38"/>
      <c r="L485" s="38"/>
      <c r="M485" s="43"/>
      <c r="N485" s="42"/>
      <c r="O485" s="50"/>
      <c r="P485" s="38"/>
      <c r="Q485" s="41"/>
      <c r="R485" s="43"/>
      <c r="S485" s="43"/>
      <c r="T485" s="41"/>
      <c r="U485" s="43"/>
      <c r="V485" s="43"/>
    </row>
    <row r="486" spans="4:22" ht="15" customHeight="1">
      <c r="D486" s="39"/>
      <c r="E486" s="40"/>
      <c r="K486" s="38"/>
      <c r="L486" s="38"/>
      <c r="M486" s="43"/>
      <c r="N486" s="42"/>
      <c r="O486" s="50"/>
      <c r="P486" s="38"/>
      <c r="Q486" s="41"/>
      <c r="R486" s="43"/>
      <c r="S486" s="43"/>
      <c r="T486" s="41"/>
      <c r="U486" s="43"/>
      <c r="V486" s="43"/>
    </row>
    <row r="487" spans="4:22" ht="15" customHeight="1">
      <c r="D487" s="39"/>
      <c r="E487" s="40"/>
      <c r="K487" s="38"/>
      <c r="L487" s="38"/>
      <c r="M487" s="43"/>
      <c r="N487" s="42"/>
      <c r="O487" s="50"/>
      <c r="P487" s="38"/>
      <c r="Q487" s="41"/>
      <c r="R487" s="43"/>
      <c r="S487" s="43"/>
      <c r="T487" s="41"/>
      <c r="U487" s="43"/>
      <c r="V487" s="43"/>
    </row>
    <row r="488" spans="4:22" ht="15" customHeight="1">
      <c r="D488" s="39"/>
      <c r="E488" s="40"/>
      <c r="K488" s="38"/>
      <c r="L488" s="38"/>
      <c r="M488" s="43"/>
      <c r="N488" s="42"/>
      <c r="O488" s="50"/>
      <c r="P488" s="38"/>
      <c r="Q488" s="41"/>
      <c r="R488" s="43"/>
      <c r="S488" s="43"/>
      <c r="T488" s="41"/>
      <c r="U488" s="43"/>
      <c r="V488" s="43"/>
    </row>
    <row r="489" spans="4:22" ht="15" customHeight="1">
      <c r="D489" s="39"/>
      <c r="E489" s="40"/>
      <c r="K489" s="38"/>
      <c r="L489" s="38"/>
      <c r="M489" s="43"/>
      <c r="N489" s="42"/>
      <c r="O489" s="50"/>
      <c r="P489" s="38"/>
      <c r="Q489" s="41"/>
      <c r="R489" s="43"/>
      <c r="S489" s="43"/>
      <c r="T489" s="41"/>
      <c r="U489" s="43"/>
      <c r="V489" s="43"/>
    </row>
    <row r="490" spans="4:22" ht="15" customHeight="1">
      <c r="D490" s="39"/>
      <c r="E490" s="40"/>
      <c r="K490" s="38"/>
      <c r="L490" s="38"/>
      <c r="M490" s="43"/>
      <c r="N490" s="42"/>
      <c r="O490" s="50"/>
      <c r="P490" s="38"/>
      <c r="Q490" s="41"/>
      <c r="R490" s="43"/>
      <c r="S490" s="43"/>
      <c r="T490" s="41"/>
      <c r="U490" s="43"/>
      <c r="V490" s="43"/>
    </row>
    <row r="491" spans="4:22" ht="15" customHeight="1">
      <c r="D491" s="39"/>
      <c r="E491" s="40"/>
      <c r="K491" s="38"/>
      <c r="L491" s="38"/>
      <c r="M491" s="43"/>
      <c r="N491" s="42"/>
      <c r="O491" s="50"/>
      <c r="P491" s="38"/>
      <c r="Q491" s="41"/>
      <c r="R491" s="43"/>
      <c r="S491" s="43"/>
      <c r="T491" s="41"/>
      <c r="U491" s="43"/>
      <c r="V491" s="43"/>
    </row>
    <row r="492" spans="4:22" ht="15" customHeight="1">
      <c r="D492" s="39"/>
      <c r="E492" s="40"/>
      <c r="K492" s="38"/>
      <c r="L492" s="38"/>
      <c r="M492" s="43"/>
      <c r="N492" s="42"/>
      <c r="O492" s="50"/>
      <c r="P492" s="38"/>
      <c r="Q492" s="41"/>
      <c r="R492" s="43"/>
      <c r="S492" s="43"/>
      <c r="T492" s="41"/>
      <c r="U492" s="43"/>
      <c r="V492" s="43"/>
    </row>
    <row r="493" spans="4:22" ht="15" customHeight="1">
      <c r="D493" s="39"/>
      <c r="E493" s="40"/>
      <c r="K493" s="38"/>
      <c r="L493" s="38"/>
      <c r="M493" s="43"/>
      <c r="N493" s="42"/>
      <c r="O493" s="50"/>
      <c r="P493" s="38"/>
      <c r="Q493" s="41"/>
      <c r="R493" s="43"/>
      <c r="S493" s="43"/>
      <c r="T493" s="41"/>
      <c r="U493" s="43"/>
      <c r="V493" s="43"/>
    </row>
    <row r="494" spans="4:22" ht="15" customHeight="1">
      <c r="D494" s="39"/>
      <c r="E494" s="40"/>
      <c r="K494" s="38"/>
      <c r="L494" s="38"/>
      <c r="M494" s="43"/>
      <c r="N494" s="42"/>
      <c r="O494" s="50"/>
      <c r="P494" s="38"/>
      <c r="Q494" s="41"/>
      <c r="R494" s="43"/>
      <c r="S494" s="43"/>
      <c r="T494" s="41"/>
      <c r="U494" s="43"/>
      <c r="V494" s="43"/>
    </row>
    <row r="495" spans="4:22" ht="15" customHeight="1">
      <c r="D495" s="39"/>
      <c r="E495" s="40"/>
      <c r="K495" s="38"/>
      <c r="L495" s="38"/>
      <c r="M495" s="43"/>
      <c r="N495" s="42"/>
      <c r="O495" s="50"/>
      <c r="P495" s="38"/>
      <c r="Q495" s="41"/>
      <c r="R495" s="43"/>
      <c r="S495" s="43"/>
      <c r="T495" s="41"/>
      <c r="U495" s="43"/>
      <c r="V495" s="43"/>
    </row>
    <row r="496" spans="4:22" ht="15" customHeight="1">
      <c r="D496" s="39"/>
      <c r="E496" s="40"/>
      <c r="K496" s="38"/>
      <c r="L496" s="38"/>
      <c r="M496" s="43"/>
      <c r="N496" s="42"/>
      <c r="O496" s="50"/>
      <c r="P496" s="38"/>
      <c r="Q496" s="41"/>
      <c r="R496" s="43"/>
      <c r="S496" s="43"/>
      <c r="T496" s="41"/>
      <c r="U496" s="43"/>
      <c r="V496" s="43"/>
    </row>
    <row r="497" spans="4:22" ht="15" customHeight="1">
      <c r="D497" s="39"/>
      <c r="E497" s="40"/>
      <c r="K497" s="38"/>
      <c r="L497" s="38"/>
      <c r="M497" s="43"/>
      <c r="N497" s="42"/>
      <c r="O497" s="50"/>
      <c r="P497" s="38"/>
      <c r="Q497" s="41"/>
      <c r="R497" s="43"/>
      <c r="S497" s="43"/>
      <c r="T497" s="41"/>
      <c r="U497" s="43"/>
      <c r="V497" s="43"/>
    </row>
    <row r="498" spans="4:22" ht="15" customHeight="1">
      <c r="D498" s="39"/>
      <c r="E498" s="40"/>
      <c r="K498" s="38"/>
      <c r="L498" s="38"/>
      <c r="M498" s="43"/>
      <c r="N498" s="42"/>
      <c r="O498" s="50"/>
      <c r="P498" s="38"/>
      <c r="Q498" s="41"/>
      <c r="R498" s="43"/>
      <c r="S498" s="43"/>
      <c r="T498" s="41"/>
      <c r="U498" s="43"/>
      <c r="V498" s="43"/>
    </row>
    <row r="499" spans="4:22" ht="15" customHeight="1">
      <c r="D499" s="39"/>
      <c r="E499" s="40"/>
      <c r="K499" s="38"/>
      <c r="L499" s="38"/>
      <c r="M499" s="43"/>
      <c r="N499" s="42"/>
      <c r="O499" s="50"/>
      <c r="P499" s="38"/>
      <c r="Q499" s="41"/>
      <c r="R499" s="43"/>
      <c r="S499" s="43"/>
      <c r="T499" s="41"/>
      <c r="U499" s="43"/>
      <c r="V499" s="43"/>
    </row>
    <row r="500" spans="4:22" ht="15" customHeight="1">
      <c r="D500" s="39"/>
      <c r="E500" s="40"/>
      <c r="K500" s="38"/>
      <c r="L500" s="38"/>
      <c r="M500" s="43"/>
      <c r="N500" s="42"/>
      <c r="O500" s="50"/>
      <c r="P500" s="38"/>
      <c r="Q500" s="41"/>
      <c r="R500" s="43"/>
      <c r="S500" s="43"/>
      <c r="T500" s="41"/>
      <c r="U500" s="43"/>
      <c r="V500" s="43"/>
    </row>
    <row r="501" spans="4:22" ht="15" customHeight="1">
      <c r="D501" s="39"/>
      <c r="E501" s="40"/>
      <c r="K501" s="38"/>
      <c r="L501" s="38"/>
      <c r="M501" s="43"/>
      <c r="N501" s="42"/>
      <c r="O501" s="50"/>
      <c r="P501" s="38"/>
      <c r="Q501" s="41"/>
      <c r="R501" s="43"/>
      <c r="S501" s="43"/>
      <c r="T501" s="41"/>
      <c r="U501" s="43"/>
      <c r="V501" s="43"/>
    </row>
    <row r="502" spans="4:22" ht="15" customHeight="1">
      <c r="D502" s="39"/>
      <c r="E502" s="40"/>
      <c r="K502" s="38"/>
      <c r="L502" s="38"/>
      <c r="M502" s="43"/>
      <c r="N502" s="42"/>
      <c r="O502" s="50"/>
      <c r="P502" s="38"/>
      <c r="Q502" s="41"/>
      <c r="R502" s="43"/>
      <c r="S502" s="43"/>
      <c r="T502" s="41"/>
      <c r="U502" s="43"/>
      <c r="V502" s="43"/>
    </row>
    <row r="503" spans="4:22" ht="15" customHeight="1">
      <c r="D503" s="39"/>
      <c r="E503" s="40"/>
      <c r="K503" s="38"/>
      <c r="L503" s="38"/>
      <c r="M503" s="43"/>
      <c r="N503" s="42"/>
      <c r="O503" s="50"/>
      <c r="P503" s="38"/>
      <c r="Q503" s="41"/>
      <c r="R503" s="43"/>
      <c r="S503" s="43"/>
      <c r="T503" s="41"/>
      <c r="U503" s="43"/>
      <c r="V503" s="43"/>
    </row>
    <row r="504" spans="4:22" ht="15" customHeight="1">
      <c r="D504" s="39"/>
      <c r="E504" s="40"/>
      <c r="K504" s="38"/>
      <c r="L504" s="38"/>
      <c r="M504" s="43"/>
      <c r="N504" s="42"/>
      <c r="O504" s="50"/>
      <c r="P504" s="38"/>
      <c r="Q504" s="41"/>
      <c r="R504" s="43"/>
      <c r="S504" s="43"/>
      <c r="T504" s="41"/>
      <c r="U504" s="43"/>
      <c r="V504" s="43"/>
    </row>
    <row r="505" spans="4:22" ht="15" customHeight="1">
      <c r="D505" s="39"/>
      <c r="E505" s="40"/>
      <c r="K505" s="38"/>
      <c r="L505" s="38"/>
      <c r="M505" s="43"/>
      <c r="N505" s="42"/>
      <c r="O505" s="50"/>
      <c r="P505" s="38"/>
      <c r="Q505" s="41"/>
      <c r="R505" s="43"/>
      <c r="S505" s="43"/>
      <c r="T505" s="41"/>
      <c r="U505" s="43"/>
      <c r="V505" s="43"/>
    </row>
    <row r="506" spans="4:22" ht="15" customHeight="1">
      <c r="D506" s="39"/>
      <c r="E506" s="40"/>
      <c r="K506" s="38"/>
      <c r="L506" s="38"/>
      <c r="M506" s="43"/>
      <c r="N506" s="42"/>
      <c r="O506" s="50"/>
      <c r="P506" s="38"/>
      <c r="Q506" s="41"/>
      <c r="R506" s="43"/>
      <c r="S506" s="43"/>
      <c r="T506" s="41"/>
      <c r="U506" s="43"/>
      <c r="V506" s="43"/>
    </row>
    <row r="507" spans="4:22" ht="15" customHeight="1">
      <c r="D507" s="39"/>
      <c r="E507" s="40"/>
      <c r="K507" s="38"/>
      <c r="L507" s="38"/>
      <c r="M507" s="43"/>
      <c r="N507" s="42"/>
      <c r="O507" s="50"/>
      <c r="P507" s="38"/>
      <c r="Q507" s="41"/>
      <c r="R507" s="43"/>
      <c r="S507" s="43"/>
      <c r="T507" s="41"/>
      <c r="U507" s="43"/>
      <c r="V507" s="43"/>
    </row>
    <row r="508" spans="4:22" ht="15" customHeight="1">
      <c r="D508" s="39"/>
      <c r="E508" s="40"/>
      <c r="K508" s="38"/>
      <c r="L508" s="38"/>
      <c r="M508" s="43"/>
      <c r="N508" s="42"/>
      <c r="O508" s="50"/>
      <c r="P508" s="38"/>
      <c r="Q508" s="41"/>
      <c r="R508" s="43"/>
      <c r="S508" s="43"/>
      <c r="T508" s="41"/>
      <c r="U508" s="43"/>
      <c r="V508" s="43"/>
    </row>
    <row r="509" spans="4:22" ht="15" customHeight="1">
      <c r="D509" s="39"/>
      <c r="E509" s="40"/>
      <c r="K509" s="38"/>
      <c r="L509" s="38"/>
      <c r="M509" s="43"/>
      <c r="N509" s="42"/>
      <c r="O509" s="50"/>
      <c r="P509" s="38"/>
      <c r="Q509" s="41"/>
      <c r="R509" s="43"/>
      <c r="S509" s="43"/>
      <c r="T509" s="41"/>
      <c r="U509" s="43"/>
      <c r="V509" s="43"/>
    </row>
    <row r="510" spans="4:22" ht="15" customHeight="1">
      <c r="D510" s="39"/>
      <c r="E510" s="40"/>
      <c r="K510" s="38"/>
      <c r="L510" s="38"/>
      <c r="M510" s="43"/>
      <c r="N510" s="42"/>
      <c r="O510" s="50"/>
      <c r="P510" s="38"/>
      <c r="Q510" s="41"/>
      <c r="R510" s="43"/>
      <c r="S510" s="43"/>
      <c r="T510" s="41"/>
      <c r="U510" s="43"/>
      <c r="V510" s="43"/>
    </row>
    <row r="511" spans="4:22" ht="15" customHeight="1">
      <c r="D511" s="39"/>
      <c r="E511" s="40"/>
      <c r="K511" s="38"/>
      <c r="L511" s="38"/>
      <c r="M511" s="43"/>
      <c r="N511" s="42"/>
      <c r="O511" s="50"/>
      <c r="P511" s="38"/>
      <c r="Q511" s="41"/>
      <c r="R511" s="43"/>
      <c r="S511" s="43"/>
      <c r="T511" s="41"/>
      <c r="U511" s="43"/>
      <c r="V511" s="43"/>
    </row>
    <row r="512" spans="4:22" ht="15" customHeight="1">
      <c r="D512" s="39"/>
      <c r="E512" s="40"/>
      <c r="K512" s="38"/>
      <c r="L512" s="38"/>
      <c r="M512" s="43"/>
      <c r="N512" s="42"/>
      <c r="O512" s="50"/>
      <c r="P512" s="38"/>
      <c r="Q512" s="41"/>
      <c r="R512" s="43"/>
      <c r="S512" s="43"/>
      <c r="T512" s="41"/>
      <c r="U512" s="43"/>
      <c r="V512" s="43"/>
    </row>
    <row r="513" spans="4:22" ht="15" customHeight="1">
      <c r="D513" s="39"/>
      <c r="E513" s="40"/>
      <c r="K513" s="38"/>
      <c r="L513" s="38"/>
      <c r="M513" s="43"/>
      <c r="N513" s="42"/>
      <c r="O513" s="50"/>
      <c r="P513" s="38"/>
      <c r="Q513" s="41"/>
      <c r="R513" s="43"/>
      <c r="S513" s="43"/>
      <c r="T513" s="41"/>
      <c r="U513" s="43"/>
      <c r="V513" s="43"/>
    </row>
    <row r="514" spans="4:22" ht="15" customHeight="1">
      <c r="D514" s="39"/>
      <c r="E514" s="40"/>
      <c r="K514" s="38"/>
      <c r="L514" s="38"/>
      <c r="M514" s="43"/>
      <c r="N514" s="42"/>
      <c r="O514" s="50"/>
      <c r="P514" s="38"/>
      <c r="Q514" s="41"/>
      <c r="R514" s="43"/>
      <c r="S514" s="43"/>
      <c r="T514" s="41"/>
      <c r="U514" s="43"/>
      <c r="V514" s="43"/>
    </row>
    <row r="515" spans="4:22" ht="15" customHeight="1">
      <c r="D515" s="39"/>
      <c r="E515" s="40"/>
      <c r="K515" s="38"/>
      <c r="L515" s="38"/>
      <c r="M515" s="43"/>
      <c r="N515" s="42"/>
      <c r="O515" s="50"/>
      <c r="P515" s="38"/>
      <c r="Q515" s="41"/>
      <c r="R515" s="43"/>
      <c r="S515" s="43"/>
      <c r="T515" s="41"/>
      <c r="U515" s="43"/>
      <c r="V515" s="43"/>
    </row>
    <row r="516" spans="4:22" ht="15" customHeight="1">
      <c r="D516" s="39"/>
      <c r="E516" s="40"/>
      <c r="K516" s="38"/>
      <c r="L516" s="38"/>
      <c r="M516" s="43"/>
      <c r="N516" s="42"/>
      <c r="O516" s="50"/>
      <c r="P516" s="38"/>
      <c r="Q516" s="41"/>
      <c r="R516" s="43"/>
      <c r="S516" s="43"/>
      <c r="T516" s="41"/>
      <c r="U516" s="43"/>
      <c r="V516" s="43"/>
    </row>
    <row r="517" spans="4:22" ht="15" customHeight="1">
      <c r="D517" s="39"/>
      <c r="E517" s="40"/>
      <c r="K517" s="38"/>
      <c r="L517" s="38"/>
      <c r="M517" s="43"/>
      <c r="N517" s="42"/>
      <c r="O517" s="50"/>
      <c r="P517" s="38"/>
      <c r="Q517" s="41"/>
      <c r="R517" s="43"/>
      <c r="S517" s="43"/>
      <c r="T517" s="41"/>
      <c r="U517" s="43"/>
      <c r="V517" s="43"/>
    </row>
    <row r="518" spans="4:22" ht="15" customHeight="1">
      <c r="D518" s="39"/>
      <c r="E518" s="40"/>
      <c r="K518" s="38"/>
      <c r="L518" s="38"/>
      <c r="M518" s="43"/>
      <c r="N518" s="42"/>
      <c r="O518" s="50"/>
      <c r="P518" s="38"/>
      <c r="Q518" s="41"/>
      <c r="R518" s="43"/>
      <c r="S518" s="43"/>
      <c r="T518" s="41"/>
      <c r="U518" s="43"/>
      <c r="V518" s="43"/>
    </row>
    <row r="519" spans="4:22" ht="15" customHeight="1">
      <c r="D519" s="39"/>
      <c r="E519" s="40"/>
      <c r="K519" s="38"/>
      <c r="L519" s="38"/>
      <c r="M519" s="43"/>
      <c r="N519" s="42"/>
      <c r="O519" s="50"/>
      <c r="P519" s="38"/>
      <c r="Q519" s="41"/>
      <c r="R519" s="43"/>
      <c r="S519" s="43"/>
      <c r="T519" s="41"/>
      <c r="U519" s="43"/>
      <c r="V519" s="43"/>
    </row>
    <row r="520" spans="4:22" ht="15" customHeight="1">
      <c r="D520" s="39"/>
      <c r="E520" s="40"/>
      <c r="K520" s="38"/>
      <c r="L520" s="38"/>
      <c r="M520" s="43"/>
      <c r="N520" s="42"/>
      <c r="O520" s="50"/>
      <c r="P520" s="38"/>
      <c r="Q520" s="41"/>
      <c r="R520" s="43"/>
      <c r="S520" s="43"/>
      <c r="T520" s="41"/>
      <c r="U520" s="43"/>
      <c r="V520" s="43"/>
    </row>
    <row r="521" spans="4:22" ht="15" customHeight="1">
      <c r="D521" s="39"/>
      <c r="E521" s="40"/>
      <c r="K521" s="38"/>
      <c r="L521" s="38"/>
      <c r="M521" s="43"/>
      <c r="N521" s="42"/>
      <c r="O521" s="50"/>
      <c r="P521" s="38"/>
      <c r="Q521" s="41"/>
      <c r="R521" s="43"/>
      <c r="S521" s="43"/>
      <c r="T521" s="41"/>
      <c r="U521" s="43"/>
      <c r="V521" s="43"/>
    </row>
    <row r="522" spans="4:22" ht="15" customHeight="1">
      <c r="D522" s="39"/>
      <c r="E522" s="40"/>
      <c r="K522" s="38"/>
      <c r="L522" s="38"/>
      <c r="M522" s="43"/>
      <c r="N522" s="42"/>
      <c r="O522" s="50"/>
      <c r="P522" s="38"/>
      <c r="Q522" s="41"/>
      <c r="R522" s="43"/>
      <c r="S522" s="43"/>
      <c r="T522" s="41"/>
      <c r="U522" s="43"/>
      <c r="V522" s="43"/>
    </row>
    <row r="523" spans="4:22" ht="15" customHeight="1">
      <c r="D523" s="39"/>
      <c r="E523" s="40"/>
      <c r="K523" s="38"/>
      <c r="L523" s="38"/>
      <c r="M523" s="43"/>
      <c r="N523" s="42"/>
      <c r="O523" s="50"/>
      <c r="P523" s="38"/>
      <c r="Q523" s="41"/>
      <c r="R523" s="43"/>
      <c r="S523" s="43"/>
      <c r="T523" s="41"/>
      <c r="U523" s="43"/>
      <c r="V523" s="43"/>
    </row>
    <row r="524" spans="4:22" ht="15" customHeight="1">
      <c r="D524" s="39"/>
      <c r="E524" s="40"/>
      <c r="K524" s="38"/>
      <c r="L524" s="38"/>
      <c r="M524" s="43"/>
      <c r="N524" s="42"/>
      <c r="O524" s="50"/>
      <c r="P524" s="38"/>
      <c r="Q524" s="41"/>
      <c r="R524" s="43"/>
      <c r="S524" s="43"/>
      <c r="T524" s="41"/>
      <c r="U524" s="43"/>
      <c r="V524" s="43"/>
    </row>
    <row r="525" spans="4:22" ht="15" customHeight="1">
      <c r="D525" s="39"/>
      <c r="E525" s="40"/>
      <c r="K525" s="38"/>
      <c r="L525" s="38"/>
      <c r="M525" s="43"/>
      <c r="N525" s="42"/>
      <c r="O525" s="50"/>
      <c r="P525" s="38"/>
      <c r="Q525" s="41"/>
      <c r="R525" s="43"/>
      <c r="S525" s="43"/>
      <c r="T525" s="41"/>
      <c r="U525" s="43"/>
      <c r="V525" s="43"/>
    </row>
    <row r="526" spans="4:22" ht="15" customHeight="1">
      <c r="D526" s="39"/>
      <c r="E526" s="40"/>
      <c r="K526" s="38"/>
      <c r="L526" s="38"/>
      <c r="M526" s="43"/>
      <c r="N526" s="42"/>
      <c r="O526" s="50"/>
      <c r="P526" s="38"/>
      <c r="Q526" s="41"/>
      <c r="R526" s="43"/>
      <c r="S526" s="43"/>
      <c r="T526" s="41"/>
      <c r="U526" s="43"/>
      <c r="V526" s="43"/>
    </row>
    <row r="527" spans="4:22" ht="15" customHeight="1">
      <c r="D527" s="39"/>
      <c r="E527" s="40"/>
      <c r="K527" s="38"/>
      <c r="L527" s="38"/>
      <c r="M527" s="43"/>
      <c r="N527" s="42"/>
      <c r="O527" s="50"/>
      <c r="P527" s="38"/>
      <c r="Q527" s="41"/>
      <c r="R527" s="43"/>
      <c r="S527" s="43"/>
      <c r="T527" s="41"/>
      <c r="U527" s="43"/>
      <c r="V527" s="43"/>
    </row>
    <row r="528" spans="4:22" ht="15" customHeight="1">
      <c r="D528" s="39"/>
      <c r="E528" s="40"/>
      <c r="K528" s="38"/>
      <c r="L528" s="38"/>
      <c r="M528" s="43"/>
      <c r="N528" s="42"/>
      <c r="O528" s="50"/>
      <c r="P528" s="38"/>
      <c r="Q528" s="41"/>
      <c r="R528" s="43"/>
      <c r="S528" s="43"/>
      <c r="T528" s="41"/>
      <c r="U528" s="43"/>
      <c r="V528" s="43"/>
    </row>
    <row r="529" spans="4:22" ht="15" customHeight="1">
      <c r="D529" s="39"/>
      <c r="E529" s="40"/>
      <c r="K529" s="38"/>
      <c r="L529" s="38"/>
      <c r="M529" s="43"/>
      <c r="N529" s="42"/>
      <c r="O529" s="50"/>
      <c r="P529" s="38"/>
      <c r="Q529" s="41"/>
      <c r="R529" s="43"/>
      <c r="S529" s="43"/>
      <c r="T529" s="41"/>
      <c r="U529" s="43"/>
      <c r="V529" s="43"/>
    </row>
    <row r="530" spans="4:22" ht="15" customHeight="1">
      <c r="D530" s="39"/>
      <c r="E530" s="40"/>
      <c r="K530" s="38"/>
      <c r="L530" s="38"/>
      <c r="M530" s="43"/>
      <c r="N530" s="42"/>
      <c r="O530" s="50"/>
      <c r="P530" s="38"/>
      <c r="Q530" s="41"/>
      <c r="R530" s="43"/>
      <c r="S530" s="43"/>
      <c r="T530" s="41"/>
      <c r="U530" s="43"/>
      <c r="V530" s="43"/>
    </row>
    <row r="531" spans="4:22" ht="15" customHeight="1">
      <c r="D531" s="39"/>
      <c r="E531" s="40"/>
      <c r="K531" s="38"/>
      <c r="L531" s="38"/>
      <c r="M531" s="43"/>
      <c r="N531" s="42"/>
      <c r="O531" s="50"/>
      <c r="P531" s="38"/>
      <c r="Q531" s="41"/>
      <c r="R531" s="43"/>
      <c r="S531" s="43"/>
      <c r="T531" s="41"/>
      <c r="U531" s="43"/>
      <c r="V531" s="43"/>
    </row>
    <row r="532" spans="4:22" ht="15" customHeight="1">
      <c r="D532" s="39"/>
      <c r="E532" s="40"/>
      <c r="K532" s="38"/>
      <c r="L532" s="38"/>
      <c r="M532" s="43"/>
      <c r="N532" s="42"/>
      <c r="O532" s="50"/>
      <c r="P532" s="38"/>
      <c r="Q532" s="41"/>
      <c r="R532" s="43"/>
      <c r="S532" s="43"/>
      <c r="T532" s="41"/>
      <c r="U532" s="43"/>
      <c r="V532" s="43"/>
    </row>
    <row r="533" spans="4:22" ht="15" customHeight="1">
      <c r="D533" s="39"/>
      <c r="E533" s="40"/>
      <c r="K533" s="38"/>
      <c r="L533" s="38"/>
      <c r="M533" s="43"/>
      <c r="N533" s="42"/>
      <c r="O533" s="50"/>
      <c r="P533" s="38"/>
      <c r="Q533" s="41"/>
      <c r="R533" s="43"/>
      <c r="S533" s="43"/>
      <c r="T533" s="41"/>
      <c r="U533" s="43"/>
      <c r="V533" s="43"/>
    </row>
    <row r="534" spans="4:22" ht="15" customHeight="1">
      <c r="D534" s="39"/>
      <c r="E534" s="40"/>
      <c r="K534" s="38"/>
      <c r="L534" s="38"/>
      <c r="M534" s="43"/>
      <c r="N534" s="42"/>
      <c r="O534" s="50"/>
      <c r="P534" s="38"/>
      <c r="Q534" s="41"/>
      <c r="R534" s="43"/>
      <c r="S534" s="43"/>
      <c r="T534" s="41"/>
      <c r="U534" s="43"/>
      <c r="V534" s="43"/>
    </row>
    <row r="535" spans="4:22" ht="15" customHeight="1">
      <c r="D535" s="39"/>
      <c r="E535" s="40"/>
      <c r="K535" s="38"/>
      <c r="L535" s="38"/>
      <c r="M535" s="43"/>
      <c r="N535" s="42"/>
      <c r="O535" s="50"/>
      <c r="P535" s="38"/>
      <c r="Q535" s="41"/>
      <c r="R535" s="43"/>
      <c r="S535" s="43"/>
      <c r="T535" s="41"/>
      <c r="U535" s="43"/>
      <c r="V535" s="43"/>
    </row>
    <row r="536" spans="4:22" ht="15" customHeight="1">
      <c r="D536" s="39"/>
      <c r="E536" s="40"/>
      <c r="K536" s="38"/>
      <c r="L536" s="38"/>
      <c r="M536" s="43"/>
      <c r="N536" s="42"/>
      <c r="O536" s="50"/>
      <c r="P536" s="38"/>
      <c r="Q536" s="41"/>
      <c r="R536" s="43"/>
      <c r="S536" s="43"/>
      <c r="T536" s="41"/>
      <c r="U536" s="43"/>
      <c r="V536" s="43"/>
    </row>
    <row r="537" spans="4:22" ht="15" customHeight="1">
      <c r="D537" s="39"/>
      <c r="E537" s="40"/>
      <c r="K537" s="38"/>
      <c r="L537" s="38"/>
      <c r="M537" s="43"/>
      <c r="N537" s="42"/>
      <c r="O537" s="50"/>
      <c r="P537" s="38"/>
      <c r="Q537" s="41"/>
      <c r="R537" s="43"/>
      <c r="S537" s="43"/>
      <c r="T537" s="41"/>
      <c r="U537" s="43"/>
      <c r="V537" s="43"/>
    </row>
    <row r="538" spans="4:22" ht="15" customHeight="1">
      <c r="D538" s="39"/>
      <c r="E538" s="40"/>
      <c r="K538" s="38"/>
      <c r="L538" s="38"/>
      <c r="M538" s="43"/>
      <c r="N538" s="42"/>
      <c r="O538" s="50"/>
      <c r="P538" s="38"/>
      <c r="Q538" s="41"/>
      <c r="R538" s="43"/>
      <c r="S538" s="43"/>
      <c r="T538" s="41"/>
      <c r="U538" s="43"/>
      <c r="V538" s="43"/>
    </row>
    <row r="539" spans="4:22" ht="15" customHeight="1">
      <c r="D539" s="39"/>
      <c r="E539" s="40"/>
      <c r="K539" s="38"/>
      <c r="L539" s="38"/>
      <c r="M539" s="43"/>
      <c r="N539" s="42"/>
      <c r="O539" s="50"/>
      <c r="P539" s="38"/>
      <c r="Q539" s="41"/>
      <c r="R539" s="43"/>
      <c r="S539" s="43"/>
      <c r="T539" s="41"/>
      <c r="U539" s="43"/>
      <c r="V539" s="43"/>
    </row>
    <row r="540" spans="4:22" ht="15" customHeight="1">
      <c r="D540" s="39"/>
      <c r="E540" s="40"/>
      <c r="K540" s="38"/>
      <c r="L540" s="38"/>
      <c r="M540" s="43"/>
      <c r="N540" s="42"/>
      <c r="O540" s="50"/>
      <c r="P540" s="38"/>
      <c r="Q540" s="41"/>
      <c r="R540" s="43"/>
      <c r="S540" s="43"/>
      <c r="T540" s="41"/>
      <c r="U540" s="43"/>
      <c r="V540" s="43"/>
    </row>
    <row r="541" spans="4:22" ht="15" customHeight="1">
      <c r="D541" s="39"/>
      <c r="E541" s="40"/>
      <c r="K541" s="38"/>
      <c r="L541" s="38"/>
      <c r="M541" s="43"/>
      <c r="N541" s="42"/>
      <c r="O541" s="50"/>
      <c r="P541" s="38"/>
      <c r="Q541" s="41"/>
      <c r="R541" s="43"/>
      <c r="S541" s="43"/>
      <c r="T541" s="41"/>
      <c r="U541" s="43"/>
      <c r="V541" s="43"/>
    </row>
    <row r="542" spans="4:22" ht="15" customHeight="1">
      <c r="D542" s="39"/>
      <c r="E542" s="40"/>
      <c r="K542" s="38"/>
      <c r="L542" s="38"/>
      <c r="M542" s="43"/>
      <c r="N542" s="42"/>
      <c r="O542" s="50"/>
      <c r="P542" s="38"/>
      <c r="Q542" s="41"/>
      <c r="R542" s="43"/>
      <c r="S542" s="43"/>
      <c r="T542" s="41"/>
      <c r="U542" s="43"/>
      <c r="V542" s="43"/>
    </row>
    <row r="543" spans="4:22" ht="15" customHeight="1">
      <c r="D543" s="39"/>
      <c r="E543" s="40"/>
      <c r="K543" s="38"/>
      <c r="L543" s="38"/>
      <c r="M543" s="43"/>
      <c r="N543" s="42"/>
      <c r="O543" s="50"/>
      <c r="P543" s="38"/>
      <c r="Q543" s="41"/>
      <c r="R543" s="43"/>
      <c r="S543" s="43"/>
      <c r="T543" s="41"/>
      <c r="U543" s="43"/>
      <c r="V543" s="43"/>
    </row>
    <row r="544" spans="4:22" ht="15" customHeight="1">
      <c r="D544" s="39"/>
      <c r="E544" s="40"/>
      <c r="K544" s="38"/>
      <c r="L544" s="38"/>
      <c r="M544" s="43"/>
      <c r="N544" s="42"/>
      <c r="O544" s="50"/>
      <c r="P544" s="38"/>
      <c r="Q544" s="41"/>
      <c r="R544" s="43"/>
      <c r="S544" s="43"/>
      <c r="T544" s="41"/>
      <c r="U544" s="43"/>
      <c r="V544" s="43"/>
    </row>
    <row r="545" spans="4:22" ht="15" customHeight="1">
      <c r="D545" s="39"/>
      <c r="E545" s="40"/>
      <c r="K545" s="38"/>
      <c r="L545" s="38"/>
      <c r="M545" s="43"/>
      <c r="N545" s="42"/>
      <c r="O545" s="50"/>
      <c r="P545" s="38"/>
      <c r="Q545" s="41"/>
      <c r="R545" s="43"/>
      <c r="S545" s="43"/>
      <c r="T545" s="41"/>
      <c r="U545" s="43"/>
      <c r="V545" s="43"/>
    </row>
    <row r="546" spans="4:22" ht="15" customHeight="1">
      <c r="D546" s="39"/>
      <c r="E546" s="40"/>
      <c r="K546" s="38"/>
      <c r="L546" s="38"/>
      <c r="M546" s="43"/>
      <c r="N546" s="42"/>
      <c r="O546" s="50"/>
      <c r="P546" s="38"/>
      <c r="Q546" s="41"/>
      <c r="R546" s="43"/>
      <c r="S546" s="43"/>
      <c r="T546" s="41"/>
      <c r="U546" s="43"/>
      <c r="V546" s="43"/>
    </row>
    <row r="547" spans="4:22" ht="15" customHeight="1">
      <c r="D547" s="39"/>
      <c r="E547" s="40"/>
      <c r="K547" s="38"/>
      <c r="L547" s="38"/>
      <c r="M547" s="43"/>
      <c r="N547" s="42"/>
      <c r="O547" s="50"/>
      <c r="P547" s="38"/>
      <c r="Q547" s="41"/>
      <c r="R547" s="43"/>
      <c r="S547" s="43"/>
      <c r="T547" s="41"/>
      <c r="U547" s="43"/>
      <c r="V547" s="43"/>
    </row>
    <row r="548" spans="4:22" ht="15" customHeight="1">
      <c r="D548" s="39"/>
      <c r="E548" s="40"/>
      <c r="K548" s="38"/>
      <c r="L548" s="38"/>
      <c r="M548" s="43"/>
      <c r="N548" s="42"/>
      <c r="O548" s="50"/>
      <c r="P548" s="38"/>
      <c r="Q548" s="41"/>
      <c r="R548" s="43"/>
      <c r="S548" s="43"/>
      <c r="T548" s="41"/>
      <c r="U548" s="43"/>
      <c r="V548" s="43"/>
    </row>
    <row r="549" spans="4:22" ht="15" customHeight="1">
      <c r="D549" s="39"/>
      <c r="E549" s="40"/>
      <c r="K549" s="38"/>
      <c r="L549" s="38"/>
      <c r="M549" s="43"/>
      <c r="N549" s="42"/>
      <c r="O549" s="50"/>
      <c r="P549" s="38"/>
      <c r="Q549" s="41"/>
      <c r="R549" s="43"/>
      <c r="S549" s="43"/>
      <c r="T549" s="41"/>
      <c r="U549" s="43"/>
      <c r="V549" s="43"/>
    </row>
    <row r="550" spans="4:22" ht="15" customHeight="1">
      <c r="D550" s="39"/>
      <c r="E550" s="40"/>
      <c r="K550" s="38"/>
      <c r="L550" s="38"/>
      <c r="M550" s="43"/>
      <c r="N550" s="42"/>
      <c r="O550" s="50"/>
      <c r="P550" s="38"/>
      <c r="Q550" s="41"/>
      <c r="R550" s="43"/>
      <c r="S550" s="43"/>
      <c r="T550" s="41"/>
      <c r="U550" s="43"/>
      <c r="V550" s="43"/>
    </row>
    <row r="551" spans="4:22" ht="15" customHeight="1">
      <c r="D551" s="39"/>
      <c r="E551" s="40"/>
      <c r="K551" s="38"/>
      <c r="L551" s="38"/>
      <c r="M551" s="43"/>
      <c r="N551" s="42"/>
      <c r="O551" s="50"/>
      <c r="P551" s="38"/>
      <c r="Q551" s="41"/>
      <c r="R551" s="43"/>
      <c r="S551" s="43"/>
      <c r="T551" s="41"/>
      <c r="U551" s="43"/>
      <c r="V551" s="43"/>
    </row>
    <row r="552" spans="4:22" ht="15" customHeight="1">
      <c r="D552" s="39"/>
      <c r="E552" s="40"/>
      <c r="K552" s="38"/>
      <c r="L552" s="38"/>
      <c r="M552" s="43"/>
      <c r="N552" s="42"/>
      <c r="O552" s="50"/>
      <c r="P552" s="38"/>
      <c r="Q552" s="41"/>
      <c r="R552" s="43"/>
      <c r="S552" s="43"/>
      <c r="T552" s="41"/>
      <c r="U552" s="43"/>
      <c r="V552" s="43"/>
    </row>
    <row r="553" spans="4:22" ht="15" customHeight="1">
      <c r="D553" s="39"/>
      <c r="E553" s="40"/>
      <c r="K553" s="38"/>
      <c r="L553" s="38"/>
      <c r="M553" s="43"/>
      <c r="N553" s="42"/>
      <c r="O553" s="50"/>
      <c r="P553" s="38"/>
      <c r="Q553" s="41"/>
      <c r="R553" s="43"/>
      <c r="S553" s="43"/>
      <c r="T553" s="41"/>
      <c r="U553" s="43"/>
      <c r="V553" s="43"/>
    </row>
    <row r="554" spans="4:22" ht="15" customHeight="1">
      <c r="D554" s="39"/>
      <c r="E554" s="40"/>
      <c r="K554" s="38"/>
      <c r="L554" s="38"/>
      <c r="M554" s="43"/>
      <c r="N554" s="42"/>
      <c r="O554" s="50"/>
      <c r="P554" s="38"/>
      <c r="Q554" s="41"/>
      <c r="R554" s="43"/>
      <c r="S554" s="43"/>
      <c r="T554" s="41"/>
      <c r="U554" s="43"/>
      <c r="V554" s="43"/>
    </row>
    <row r="555" spans="4:22" ht="15" customHeight="1">
      <c r="D555" s="39"/>
      <c r="E555" s="40"/>
      <c r="K555" s="38"/>
      <c r="L555" s="38"/>
      <c r="M555" s="43"/>
      <c r="N555" s="42"/>
      <c r="O555" s="50"/>
      <c r="P555" s="38"/>
      <c r="Q555" s="41"/>
      <c r="R555" s="43"/>
      <c r="S555" s="43"/>
      <c r="T555" s="41"/>
      <c r="U555" s="43"/>
      <c r="V555" s="43"/>
    </row>
    <row r="556" spans="4:22" ht="15" customHeight="1">
      <c r="D556" s="39"/>
      <c r="E556" s="40"/>
      <c r="K556" s="38"/>
      <c r="L556" s="38"/>
      <c r="M556" s="43"/>
      <c r="N556" s="42"/>
      <c r="O556" s="50"/>
      <c r="P556" s="38"/>
      <c r="Q556" s="41"/>
      <c r="R556" s="43"/>
      <c r="S556" s="43"/>
      <c r="T556" s="41"/>
      <c r="U556" s="43"/>
      <c r="V556" s="43"/>
    </row>
    <row r="557" spans="4:22" ht="15" customHeight="1">
      <c r="D557" s="39"/>
      <c r="E557" s="40"/>
      <c r="K557" s="38"/>
      <c r="L557" s="38"/>
      <c r="M557" s="43"/>
      <c r="N557" s="42"/>
      <c r="O557" s="50"/>
      <c r="P557" s="38"/>
      <c r="Q557" s="41"/>
      <c r="R557" s="43"/>
      <c r="S557" s="43"/>
      <c r="T557" s="41"/>
      <c r="U557" s="43"/>
      <c r="V557" s="43"/>
    </row>
    <row r="558" spans="4:22" ht="15" customHeight="1">
      <c r="D558" s="39"/>
      <c r="E558" s="40"/>
      <c r="K558" s="38"/>
      <c r="L558" s="38"/>
      <c r="M558" s="43"/>
      <c r="N558" s="42"/>
      <c r="O558" s="50"/>
      <c r="P558" s="38"/>
      <c r="Q558" s="41"/>
      <c r="R558" s="43"/>
      <c r="S558" s="43"/>
      <c r="T558" s="41"/>
      <c r="U558" s="43"/>
      <c r="V558" s="43"/>
    </row>
    <row r="559" spans="4:22" ht="15" customHeight="1">
      <c r="D559" s="39"/>
      <c r="E559" s="40"/>
      <c r="K559" s="38"/>
      <c r="L559" s="38"/>
      <c r="M559" s="43"/>
      <c r="N559" s="42"/>
      <c r="O559" s="50"/>
      <c r="P559" s="38"/>
      <c r="Q559" s="41"/>
      <c r="R559" s="43"/>
      <c r="S559" s="43"/>
      <c r="T559" s="41"/>
      <c r="U559" s="43"/>
      <c r="V559" s="43"/>
    </row>
    <row r="560" spans="4:22" ht="15" customHeight="1">
      <c r="D560" s="39"/>
      <c r="E560" s="40"/>
      <c r="K560" s="38"/>
      <c r="L560" s="38"/>
      <c r="M560" s="43"/>
      <c r="N560" s="42"/>
      <c r="O560" s="50"/>
      <c r="P560" s="38"/>
      <c r="Q560" s="41"/>
      <c r="R560" s="43"/>
      <c r="S560" s="43"/>
      <c r="T560" s="41"/>
      <c r="U560" s="43"/>
      <c r="V560" s="43"/>
    </row>
    <row r="561" spans="4:22" ht="15" customHeight="1">
      <c r="D561" s="39"/>
      <c r="E561" s="40"/>
      <c r="K561" s="38"/>
      <c r="L561" s="38"/>
      <c r="M561" s="43"/>
      <c r="N561" s="42"/>
      <c r="O561" s="50"/>
      <c r="P561" s="38"/>
      <c r="Q561" s="41"/>
      <c r="R561" s="43"/>
      <c r="S561" s="43"/>
      <c r="T561" s="41"/>
      <c r="U561" s="43"/>
      <c r="V561" s="43"/>
    </row>
    <row r="562" spans="4:22" ht="15" customHeight="1">
      <c r="D562" s="39"/>
      <c r="E562" s="40"/>
      <c r="K562" s="38"/>
      <c r="L562" s="38"/>
      <c r="M562" s="43"/>
      <c r="N562" s="42"/>
      <c r="O562" s="50"/>
      <c r="P562" s="38"/>
      <c r="Q562" s="41"/>
      <c r="R562" s="43"/>
      <c r="S562" s="43"/>
      <c r="T562" s="41"/>
      <c r="U562" s="43"/>
      <c r="V562" s="43"/>
    </row>
    <row r="563" spans="4:22" ht="15" customHeight="1">
      <c r="D563" s="39"/>
      <c r="E563" s="40"/>
      <c r="K563" s="38"/>
      <c r="L563" s="38"/>
      <c r="M563" s="43"/>
      <c r="N563" s="42"/>
      <c r="O563" s="50"/>
      <c r="P563" s="38"/>
      <c r="Q563" s="41"/>
      <c r="R563" s="43"/>
      <c r="S563" s="43"/>
      <c r="T563" s="41"/>
      <c r="U563" s="43"/>
      <c r="V563" s="43"/>
    </row>
    <row r="564" spans="4:22" ht="15" customHeight="1">
      <c r="D564" s="39"/>
      <c r="E564" s="40"/>
      <c r="K564" s="38"/>
      <c r="L564" s="38"/>
      <c r="M564" s="43"/>
      <c r="N564" s="42"/>
      <c r="O564" s="50"/>
      <c r="P564" s="38"/>
      <c r="Q564" s="41"/>
      <c r="R564" s="43"/>
      <c r="S564" s="43"/>
      <c r="T564" s="41"/>
      <c r="U564" s="43"/>
      <c r="V564" s="43"/>
    </row>
    <row r="565" spans="4:22" ht="15" customHeight="1">
      <c r="D565" s="39"/>
      <c r="E565" s="40"/>
      <c r="K565" s="38"/>
      <c r="L565" s="38"/>
      <c r="M565" s="43"/>
      <c r="N565" s="42"/>
      <c r="O565" s="50"/>
      <c r="P565" s="38"/>
      <c r="Q565" s="41"/>
      <c r="R565" s="43"/>
      <c r="S565" s="43"/>
      <c r="T565" s="41"/>
      <c r="U565" s="43"/>
      <c r="V565" s="43"/>
    </row>
    <row r="566" spans="4:22" ht="15" customHeight="1">
      <c r="D566" s="39"/>
      <c r="E566" s="40"/>
      <c r="K566" s="38"/>
      <c r="L566" s="38"/>
      <c r="M566" s="43"/>
      <c r="N566" s="42"/>
      <c r="O566" s="50"/>
      <c r="P566" s="38"/>
      <c r="Q566" s="41"/>
      <c r="R566" s="43"/>
      <c r="S566" s="43"/>
      <c r="T566" s="41"/>
      <c r="U566" s="43"/>
      <c r="V566" s="43"/>
    </row>
    <row r="567" spans="4:22" ht="15" customHeight="1">
      <c r="D567" s="39"/>
      <c r="E567" s="40"/>
      <c r="K567" s="38"/>
      <c r="L567" s="38"/>
      <c r="M567" s="43"/>
      <c r="N567" s="42"/>
      <c r="O567" s="50"/>
      <c r="P567" s="38"/>
      <c r="Q567" s="41"/>
      <c r="R567" s="43"/>
      <c r="S567" s="43"/>
      <c r="T567" s="41"/>
      <c r="U567" s="43"/>
      <c r="V567" s="43"/>
    </row>
    <row r="568" spans="4:22" ht="15" customHeight="1">
      <c r="D568" s="39"/>
      <c r="E568" s="40"/>
      <c r="K568" s="38"/>
      <c r="L568" s="38"/>
      <c r="M568" s="43"/>
      <c r="N568" s="42"/>
      <c r="O568" s="50"/>
      <c r="P568" s="38"/>
      <c r="Q568" s="41"/>
      <c r="R568" s="43"/>
      <c r="S568" s="43"/>
      <c r="T568" s="41"/>
      <c r="U568" s="43"/>
      <c r="V568" s="43"/>
    </row>
    <row r="569" spans="4:22" ht="15" customHeight="1">
      <c r="D569" s="39"/>
      <c r="E569" s="40"/>
      <c r="K569" s="38"/>
      <c r="L569" s="38"/>
      <c r="M569" s="43"/>
      <c r="N569" s="42"/>
      <c r="O569" s="50"/>
      <c r="P569" s="38"/>
      <c r="Q569" s="41"/>
      <c r="R569" s="43"/>
      <c r="S569" s="43"/>
      <c r="T569" s="41"/>
      <c r="U569" s="43"/>
      <c r="V569" s="43"/>
    </row>
    <row r="570" spans="4:22" ht="15" customHeight="1">
      <c r="D570" s="39"/>
      <c r="E570" s="40"/>
      <c r="K570" s="38"/>
      <c r="L570" s="38"/>
      <c r="M570" s="43"/>
      <c r="N570" s="42"/>
      <c r="O570" s="50"/>
      <c r="P570" s="38"/>
      <c r="Q570" s="41"/>
      <c r="R570" s="43"/>
      <c r="S570" s="43"/>
      <c r="T570" s="41"/>
      <c r="U570" s="43"/>
      <c r="V570" s="43"/>
    </row>
    <row r="571" spans="4:22" ht="15" customHeight="1">
      <c r="D571" s="39"/>
      <c r="E571" s="40"/>
      <c r="K571" s="38"/>
      <c r="L571" s="38"/>
      <c r="M571" s="43"/>
      <c r="N571" s="42"/>
      <c r="O571" s="50"/>
      <c r="P571" s="38"/>
      <c r="Q571" s="41"/>
      <c r="R571" s="43"/>
      <c r="S571" s="43"/>
      <c r="T571" s="41"/>
      <c r="U571" s="43"/>
      <c r="V571" s="43"/>
    </row>
    <row r="572" spans="4:22" ht="15" customHeight="1">
      <c r="D572" s="39"/>
      <c r="E572" s="40"/>
      <c r="K572" s="38"/>
      <c r="L572" s="38"/>
      <c r="M572" s="43"/>
      <c r="N572" s="42"/>
      <c r="O572" s="50"/>
      <c r="P572" s="38"/>
      <c r="Q572" s="41"/>
      <c r="R572" s="43"/>
      <c r="S572" s="43"/>
      <c r="T572" s="41"/>
      <c r="U572" s="43"/>
      <c r="V572" s="43"/>
    </row>
    <row r="573" spans="4:22" ht="15" customHeight="1">
      <c r="D573" s="39"/>
      <c r="E573" s="40"/>
      <c r="K573" s="38"/>
      <c r="L573" s="38"/>
      <c r="M573" s="43"/>
      <c r="N573" s="42"/>
      <c r="O573" s="50"/>
      <c r="P573" s="38"/>
      <c r="Q573" s="41"/>
      <c r="R573" s="43"/>
      <c r="S573" s="43"/>
      <c r="T573" s="41"/>
      <c r="U573" s="43"/>
      <c r="V573" s="43"/>
    </row>
    <row r="574" spans="4:22" ht="15" customHeight="1">
      <c r="D574" s="39"/>
      <c r="E574" s="40"/>
      <c r="K574" s="38"/>
      <c r="L574" s="38"/>
      <c r="M574" s="43"/>
      <c r="N574" s="42"/>
      <c r="O574" s="50"/>
      <c r="P574" s="38"/>
      <c r="Q574" s="41"/>
      <c r="R574" s="43"/>
      <c r="S574" s="43"/>
      <c r="T574" s="41"/>
      <c r="U574" s="43"/>
      <c r="V574" s="43"/>
    </row>
    <row r="575" spans="4:22" ht="15" customHeight="1">
      <c r="D575" s="39"/>
      <c r="E575" s="40"/>
      <c r="K575" s="38"/>
      <c r="L575" s="38"/>
      <c r="M575" s="43"/>
      <c r="N575" s="42"/>
      <c r="O575" s="50"/>
      <c r="P575" s="38"/>
      <c r="Q575" s="41"/>
      <c r="R575" s="43"/>
      <c r="S575" s="43"/>
      <c r="T575" s="41"/>
      <c r="U575" s="43"/>
      <c r="V575" s="43"/>
    </row>
    <row r="576" spans="4:22" ht="15" customHeight="1">
      <c r="D576" s="39"/>
      <c r="E576" s="40"/>
      <c r="K576" s="38"/>
      <c r="L576" s="38"/>
      <c r="M576" s="43"/>
      <c r="N576" s="42"/>
      <c r="O576" s="50"/>
      <c r="P576" s="38"/>
      <c r="Q576" s="41"/>
      <c r="R576" s="43"/>
      <c r="S576" s="43"/>
      <c r="T576" s="41"/>
      <c r="U576" s="43"/>
      <c r="V576" s="43"/>
    </row>
    <row r="577" spans="4:22" ht="15" customHeight="1">
      <c r="D577" s="39"/>
      <c r="E577" s="40"/>
      <c r="K577" s="38"/>
      <c r="L577" s="38"/>
      <c r="M577" s="43"/>
      <c r="N577" s="42"/>
      <c r="O577" s="50"/>
      <c r="P577" s="38"/>
      <c r="Q577" s="41"/>
      <c r="R577" s="43"/>
      <c r="S577" s="43"/>
      <c r="T577" s="41"/>
      <c r="U577" s="43"/>
      <c r="V577" s="43"/>
    </row>
    <row r="578" spans="4:22" ht="15" customHeight="1">
      <c r="D578" s="39"/>
      <c r="E578" s="40"/>
      <c r="K578" s="38"/>
      <c r="L578" s="38"/>
      <c r="M578" s="43"/>
      <c r="N578" s="42"/>
      <c r="O578" s="50"/>
      <c r="P578" s="38"/>
      <c r="Q578" s="41"/>
      <c r="R578" s="43"/>
      <c r="S578" s="43"/>
      <c r="T578" s="41"/>
      <c r="U578" s="43"/>
      <c r="V578" s="43"/>
    </row>
    <row r="579" spans="4:22" ht="15" customHeight="1">
      <c r="D579" s="39"/>
      <c r="E579" s="40"/>
      <c r="K579" s="38"/>
      <c r="L579" s="38"/>
      <c r="M579" s="43"/>
      <c r="N579" s="42"/>
      <c r="O579" s="50"/>
      <c r="P579" s="38"/>
      <c r="Q579" s="41"/>
      <c r="R579" s="43"/>
      <c r="S579" s="43"/>
      <c r="T579" s="41"/>
      <c r="U579" s="43"/>
      <c r="V579" s="43"/>
    </row>
    <row r="580" spans="4:22" ht="15" customHeight="1">
      <c r="D580" s="39"/>
      <c r="E580" s="40"/>
      <c r="K580" s="38"/>
      <c r="L580" s="38"/>
      <c r="M580" s="43"/>
      <c r="N580" s="42"/>
      <c r="O580" s="50"/>
      <c r="P580" s="38"/>
      <c r="Q580" s="41"/>
      <c r="R580" s="43"/>
      <c r="S580" s="43"/>
      <c r="T580" s="41"/>
      <c r="U580" s="43"/>
      <c r="V580" s="43"/>
    </row>
    <row r="581" spans="4:22" ht="15" customHeight="1">
      <c r="D581" s="39"/>
      <c r="E581" s="40"/>
      <c r="K581" s="38"/>
      <c r="L581" s="38"/>
      <c r="M581" s="43"/>
      <c r="N581" s="42"/>
      <c r="O581" s="50"/>
      <c r="P581" s="38"/>
      <c r="Q581" s="41"/>
      <c r="R581" s="43"/>
      <c r="S581" s="43"/>
      <c r="T581" s="41"/>
      <c r="U581" s="43"/>
      <c r="V581" s="43"/>
    </row>
    <row r="582" spans="4:22" ht="15" customHeight="1">
      <c r="D582" s="39"/>
      <c r="E582" s="40"/>
      <c r="K582" s="38"/>
      <c r="L582" s="38"/>
      <c r="M582" s="43"/>
      <c r="N582" s="42"/>
      <c r="O582" s="50"/>
      <c r="P582" s="38"/>
      <c r="Q582" s="41"/>
      <c r="R582" s="43"/>
      <c r="S582" s="43"/>
      <c r="T582" s="41"/>
      <c r="U582" s="43"/>
      <c r="V582" s="43"/>
    </row>
    <row r="583" spans="4:22" ht="15" customHeight="1">
      <c r="D583" s="39"/>
      <c r="E583" s="40"/>
      <c r="K583" s="38"/>
      <c r="L583" s="38"/>
      <c r="M583" s="43"/>
      <c r="N583" s="42"/>
      <c r="O583" s="50"/>
      <c r="P583" s="38"/>
      <c r="Q583" s="41"/>
      <c r="R583" s="43"/>
      <c r="S583" s="43"/>
      <c r="T583" s="41"/>
      <c r="U583" s="43"/>
      <c r="V583" s="43"/>
    </row>
    <row r="584" spans="4:22" ht="15" customHeight="1">
      <c r="D584" s="39"/>
      <c r="E584" s="40"/>
      <c r="K584" s="38"/>
      <c r="L584" s="38"/>
      <c r="M584" s="43"/>
      <c r="N584" s="42"/>
      <c r="O584" s="50"/>
      <c r="P584" s="38"/>
      <c r="Q584" s="41"/>
      <c r="R584" s="43"/>
      <c r="S584" s="43"/>
      <c r="T584" s="41"/>
      <c r="U584" s="43"/>
      <c r="V584" s="43"/>
    </row>
    <row r="585" spans="4:22" ht="15" customHeight="1">
      <c r="D585" s="39"/>
      <c r="E585" s="40"/>
      <c r="K585" s="38"/>
      <c r="L585" s="38"/>
      <c r="M585" s="43"/>
      <c r="N585" s="42"/>
      <c r="O585" s="50"/>
      <c r="P585" s="38"/>
      <c r="Q585" s="41"/>
      <c r="R585" s="43"/>
      <c r="S585" s="43"/>
      <c r="T585" s="41"/>
      <c r="U585" s="43"/>
      <c r="V585" s="43"/>
    </row>
    <row r="586" spans="4:22" ht="15" customHeight="1">
      <c r="D586" s="39"/>
      <c r="E586" s="40"/>
      <c r="K586" s="38"/>
      <c r="L586" s="38"/>
      <c r="M586" s="43"/>
      <c r="N586" s="42"/>
      <c r="O586" s="50"/>
      <c r="P586" s="38"/>
      <c r="Q586" s="41"/>
      <c r="R586" s="43"/>
      <c r="S586" s="43"/>
      <c r="T586" s="41"/>
      <c r="U586" s="43"/>
      <c r="V586" s="43"/>
    </row>
    <row r="587" spans="4:22" ht="15" customHeight="1">
      <c r="D587" s="39"/>
      <c r="E587" s="40"/>
      <c r="K587" s="38"/>
      <c r="L587" s="38"/>
      <c r="M587" s="43"/>
      <c r="N587" s="42"/>
      <c r="O587" s="50"/>
      <c r="P587" s="38"/>
      <c r="Q587" s="41"/>
      <c r="R587" s="43"/>
      <c r="S587" s="43"/>
      <c r="T587" s="41"/>
      <c r="U587" s="43"/>
      <c r="V587" s="43"/>
    </row>
    <row r="588" spans="4:22" ht="15" customHeight="1">
      <c r="D588" s="39"/>
      <c r="E588" s="40"/>
      <c r="K588" s="38"/>
      <c r="L588" s="38"/>
      <c r="M588" s="43"/>
      <c r="N588" s="42"/>
      <c r="O588" s="50"/>
      <c r="P588" s="38"/>
      <c r="Q588" s="41"/>
      <c r="R588" s="43"/>
      <c r="S588" s="43"/>
      <c r="T588" s="41"/>
      <c r="U588" s="43"/>
      <c r="V588" s="43"/>
    </row>
    <row r="589" spans="4:22" ht="15" customHeight="1">
      <c r="D589" s="39"/>
      <c r="E589" s="40"/>
      <c r="K589" s="38"/>
      <c r="L589" s="38"/>
      <c r="M589" s="43"/>
      <c r="N589" s="42"/>
      <c r="O589" s="50"/>
      <c r="P589" s="38"/>
      <c r="Q589" s="41"/>
      <c r="R589" s="43"/>
      <c r="S589" s="43"/>
      <c r="T589" s="41"/>
      <c r="U589" s="43"/>
      <c r="V589" s="43"/>
    </row>
    <row r="590" spans="4:22" ht="15" customHeight="1">
      <c r="D590" s="39"/>
      <c r="E590" s="40"/>
      <c r="K590" s="38"/>
      <c r="L590" s="38"/>
      <c r="M590" s="43"/>
      <c r="N590" s="42"/>
      <c r="O590" s="50"/>
      <c r="P590" s="38"/>
      <c r="Q590" s="41"/>
      <c r="R590" s="43"/>
      <c r="S590" s="43"/>
      <c r="T590" s="41"/>
      <c r="U590" s="43"/>
      <c r="V590" s="43"/>
    </row>
    <row r="591" spans="4:22" ht="15" customHeight="1">
      <c r="D591" s="39"/>
      <c r="E591" s="40"/>
      <c r="K591" s="38"/>
      <c r="L591" s="38"/>
      <c r="M591" s="43"/>
      <c r="N591" s="42"/>
      <c r="O591" s="50"/>
      <c r="P591" s="38"/>
      <c r="Q591" s="41"/>
      <c r="R591" s="43"/>
      <c r="S591" s="43"/>
      <c r="T591" s="41"/>
      <c r="U591" s="43"/>
      <c r="V591" s="43"/>
    </row>
    <row r="592" spans="4:22" ht="15" customHeight="1">
      <c r="D592" s="39"/>
      <c r="E592" s="40"/>
      <c r="K592" s="38"/>
      <c r="L592" s="38"/>
      <c r="M592" s="43"/>
      <c r="N592" s="42"/>
      <c r="O592" s="50"/>
      <c r="P592" s="38"/>
      <c r="Q592" s="41"/>
      <c r="R592" s="43"/>
      <c r="S592" s="43"/>
      <c r="T592" s="41"/>
      <c r="U592" s="43"/>
      <c r="V592" s="43"/>
    </row>
    <row r="593" spans="4:22" ht="15" customHeight="1">
      <c r="D593" s="39"/>
      <c r="E593" s="40"/>
      <c r="K593" s="38"/>
      <c r="L593" s="38"/>
      <c r="M593" s="43"/>
      <c r="N593" s="42"/>
      <c r="O593" s="50"/>
      <c r="P593" s="38"/>
      <c r="Q593" s="41"/>
      <c r="R593" s="43"/>
      <c r="S593" s="43"/>
      <c r="T593" s="41"/>
      <c r="U593" s="43"/>
      <c r="V593" s="43"/>
    </row>
    <row r="594" spans="4:22" ht="15" customHeight="1">
      <c r="D594" s="39"/>
      <c r="E594" s="40"/>
      <c r="K594" s="38"/>
      <c r="L594" s="38"/>
      <c r="M594" s="43"/>
      <c r="N594" s="42"/>
      <c r="O594" s="50"/>
      <c r="P594" s="38"/>
      <c r="Q594" s="41"/>
      <c r="R594" s="43"/>
      <c r="S594" s="43"/>
      <c r="T594" s="41"/>
      <c r="U594" s="43"/>
      <c r="V594" s="43"/>
    </row>
    <row r="595" spans="4:22" ht="15" customHeight="1">
      <c r="D595" s="39"/>
      <c r="E595" s="40"/>
      <c r="K595" s="38"/>
      <c r="L595" s="38"/>
      <c r="M595" s="43"/>
      <c r="N595" s="42"/>
      <c r="O595" s="50"/>
      <c r="P595" s="38"/>
      <c r="Q595" s="41"/>
      <c r="R595" s="43"/>
      <c r="S595" s="43"/>
      <c r="T595" s="41"/>
      <c r="U595" s="43"/>
      <c r="V595" s="43"/>
    </row>
    <row r="596" spans="4:22" ht="15" customHeight="1">
      <c r="D596" s="39"/>
      <c r="E596" s="40"/>
      <c r="K596" s="38"/>
      <c r="L596" s="38"/>
      <c r="M596" s="43"/>
      <c r="N596" s="42"/>
      <c r="O596" s="50"/>
      <c r="P596" s="38"/>
      <c r="Q596" s="41"/>
      <c r="R596" s="43"/>
      <c r="S596" s="43"/>
      <c r="T596" s="41"/>
      <c r="U596" s="43"/>
      <c r="V596" s="43"/>
    </row>
    <row r="597" spans="4:22" ht="15" customHeight="1">
      <c r="D597" s="39"/>
      <c r="E597" s="40"/>
      <c r="K597" s="38"/>
      <c r="L597" s="38"/>
      <c r="M597" s="43"/>
      <c r="N597" s="42"/>
      <c r="O597" s="50"/>
      <c r="P597" s="38"/>
      <c r="Q597" s="41"/>
      <c r="R597" s="43"/>
      <c r="S597" s="43"/>
      <c r="T597" s="41"/>
      <c r="U597" s="43"/>
      <c r="V597" s="43"/>
    </row>
    <row r="598" spans="4:22" ht="15" customHeight="1">
      <c r="D598" s="39"/>
      <c r="E598" s="40"/>
      <c r="K598" s="38"/>
      <c r="L598" s="38"/>
      <c r="M598" s="43"/>
      <c r="N598" s="42"/>
      <c r="O598" s="50"/>
      <c r="P598" s="38"/>
      <c r="Q598" s="41"/>
      <c r="R598" s="43"/>
      <c r="S598" s="43"/>
      <c r="T598" s="41"/>
      <c r="U598" s="43"/>
      <c r="V598" s="43"/>
    </row>
    <row r="599" spans="4:22" ht="15" customHeight="1">
      <c r="D599" s="39"/>
      <c r="E599" s="40"/>
      <c r="K599" s="38"/>
      <c r="L599" s="38"/>
      <c r="M599" s="43"/>
      <c r="N599" s="42"/>
      <c r="O599" s="50"/>
      <c r="P599" s="38"/>
      <c r="Q599" s="41"/>
      <c r="R599" s="43"/>
      <c r="S599" s="43"/>
      <c r="T599" s="41"/>
      <c r="U599" s="43"/>
      <c r="V599" s="43"/>
    </row>
    <row r="600" spans="4:22" ht="15" customHeight="1">
      <c r="D600" s="39"/>
      <c r="E600" s="40"/>
      <c r="K600" s="38"/>
      <c r="L600" s="38"/>
      <c r="M600" s="43"/>
      <c r="N600" s="42"/>
      <c r="O600" s="50"/>
      <c r="P600" s="38"/>
      <c r="Q600" s="41"/>
      <c r="R600" s="43"/>
      <c r="S600" s="43"/>
      <c r="T600" s="41"/>
      <c r="U600" s="43"/>
      <c r="V600" s="43"/>
    </row>
    <row r="601" spans="4:22" ht="15" customHeight="1">
      <c r="D601" s="39"/>
      <c r="E601" s="40"/>
      <c r="K601" s="38"/>
      <c r="L601" s="38"/>
      <c r="M601" s="43"/>
      <c r="N601" s="42"/>
      <c r="O601" s="50"/>
      <c r="P601" s="38"/>
      <c r="Q601" s="41"/>
      <c r="R601" s="43"/>
      <c r="S601" s="43"/>
      <c r="T601" s="41"/>
      <c r="U601" s="43"/>
      <c r="V601" s="43"/>
    </row>
    <row r="602" spans="4:22" ht="15" customHeight="1">
      <c r="D602" s="39"/>
      <c r="E602" s="40"/>
      <c r="K602" s="38"/>
      <c r="L602" s="38"/>
      <c r="M602" s="43"/>
      <c r="N602" s="42"/>
      <c r="O602" s="50"/>
      <c r="P602" s="38"/>
      <c r="Q602" s="41"/>
      <c r="R602" s="43"/>
      <c r="S602" s="43"/>
      <c r="T602" s="41"/>
      <c r="U602" s="43"/>
      <c r="V602" s="43"/>
    </row>
    <row r="603" spans="4:22" ht="15" customHeight="1">
      <c r="D603" s="39"/>
      <c r="E603" s="40"/>
      <c r="K603" s="38"/>
      <c r="L603" s="38"/>
      <c r="M603" s="43"/>
      <c r="N603" s="42"/>
      <c r="O603" s="50"/>
      <c r="P603" s="38"/>
      <c r="Q603" s="41"/>
      <c r="R603" s="43"/>
      <c r="S603" s="43"/>
      <c r="T603" s="41"/>
      <c r="U603" s="43"/>
      <c r="V603" s="43"/>
    </row>
    <row r="604" spans="4:22" ht="15" customHeight="1">
      <c r="D604" s="39"/>
      <c r="E604" s="40"/>
      <c r="K604" s="38"/>
      <c r="L604" s="38"/>
      <c r="M604" s="43"/>
      <c r="N604" s="42"/>
      <c r="O604" s="50"/>
      <c r="P604" s="38"/>
      <c r="Q604" s="41"/>
      <c r="R604" s="43"/>
      <c r="S604" s="43"/>
      <c r="T604" s="41"/>
      <c r="U604" s="43"/>
      <c r="V604" s="43"/>
    </row>
    <row r="605" spans="4:22" ht="15" customHeight="1">
      <c r="D605" s="39"/>
      <c r="E605" s="40"/>
      <c r="K605" s="38"/>
      <c r="L605" s="38"/>
      <c r="M605" s="43"/>
      <c r="N605" s="42"/>
      <c r="O605" s="50"/>
      <c r="P605" s="38"/>
      <c r="Q605" s="41"/>
      <c r="R605" s="43"/>
      <c r="S605" s="43"/>
      <c r="T605" s="41"/>
      <c r="U605" s="43"/>
      <c r="V605" s="43"/>
    </row>
    <row r="606" spans="4:22" ht="15" customHeight="1">
      <c r="D606" s="39"/>
      <c r="E606" s="40"/>
      <c r="K606" s="38"/>
      <c r="L606" s="38"/>
      <c r="M606" s="43"/>
      <c r="N606" s="42"/>
      <c r="O606" s="50"/>
      <c r="P606" s="38"/>
      <c r="Q606" s="41"/>
      <c r="R606" s="43"/>
      <c r="S606" s="43"/>
      <c r="T606" s="41"/>
      <c r="U606" s="43"/>
      <c r="V606" s="43"/>
    </row>
    <row r="607" spans="4:22" ht="15" customHeight="1">
      <c r="D607" s="39"/>
      <c r="E607" s="40"/>
      <c r="K607" s="38"/>
      <c r="L607" s="38"/>
      <c r="M607" s="43"/>
      <c r="N607" s="42"/>
      <c r="O607" s="50"/>
      <c r="P607" s="38"/>
      <c r="Q607" s="41"/>
      <c r="R607" s="43"/>
      <c r="S607" s="43"/>
      <c r="T607" s="41"/>
      <c r="U607" s="43"/>
      <c r="V607" s="43"/>
    </row>
    <row r="608" spans="4:22" ht="15" customHeight="1">
      <c r="D608" s="39"/>
      <c r="E608" s="40"/>
      <c r="K608" s="38"/>
      <c r="L608" s="38"/>
      <c r="M608" s="43"/>
      <c r="N608" s="42"/>
      <c r="O608" s="50"/>
      <c r="P608" s="38"/>
      <c r="Q608" s="41"/>
      <c r="R608" s="43"/>
      <c r="S608" s="43"/>
      <c r="T608" s="41"/>
      <c r="U608" s="43"/>
      <c r="V608" s="43"/>
    </row>
    <row r="609" spans="4:22" ht="15" customHeight="1">
      <c r="D609" s="39"/>
      <c r="E609" s="40"/>
      <c r="K609" s="38"/>
      <c r="L609" s="38"/>
      <c r="M609" s="43"/>
      <c r="N609" s="42"/>
      <c r="O609" s="50"/>
      <c r="P609" s="38"/>
      <c r="Q609" s="41"/>
      <c r="R609" s="43"/>
      <c r="S609" s="43"/>
      <c r="T609" s="41"/>
      <c r="U609" s="43"/>
      <c r="V609" s="43"/>
    </row>
    <row r="610" spans="4:22" ht="15" customHeight="1">
      <c r="D610" s="39"/>
      <c r="E610" s="40"/>
      <c r="K610" s="38"/>
      <c r="L610" s="38"/>
      <c r="M610" s="43"/>
      <c r="N610" s="42"/>
      <c r="O610" s="50"/>
      <c r="P610" s="38"/>
      <c r="Q610" s="41"/>
      <c r="R610" s="43"/>
      <c r="S610" s="43"/>
      <c r="T610" s="41"/>
      <c r="U610" s="43"/>
      <c r="V610" s="43"/>
    </row>
    <row r="611" spans="4:22" ht="15" customHeight="1">
      <c r="D611" s="39"/>
      <c r="E611" s="40"/>
      <c r="K611" s="38"/>
      <c r="L611" s="38"/>
      <c r="M611" s="43"/>
      <c r="N611" s="42"/>
      <c r="O611" s="50"/>
      <c r="P611" s="38"/>
      <c r="Q611" s="41"/>
      <c r="R611" s="43"/>
      <c r="S611" s="43"/>
      <c r="T611" s="41"/>
      <c r="U611" s="43"/>
      <c r="V611" s="43"/>
    </row>
    <row r="612" spans="4:22" ht="15" customHeight="1">
      <c r="D612" s="39"/>
      <c r="E612" s="40"/>
      <c r="K612" s="38"/>
      <c r="L612" s="38"/>
      <c r="M612" s="43"/>
      <c r="N612" s="42"/>
      <c r="O612" s="50"/>
      <c r="P612" s="38"/>
      <c r="Q612" s="41"/>
      <c r="R612" s="43"/>
      <c r="S612" s="43"/>
      <c r="T612" s="41"/>
      <c r="U612" s="43"/>
      <c r="V612" s="43"/>
    </row>
    <row r="613" spans="4:22" ht="15" customHeight="1">
      <c r="D613" s="39"/>
      <c r="E613" s="40"/>
      <c r="K613" s="38"/>
      <c r="L613" s="38"/>
      <c r="M613" s="43"/>
      <c r="N613" s="42"/>
      <c r="O613" s="50"/>
      <c r="P613" s="38"/>
      <c r="Q613" s="41"/>
      <c r="R613" s="43"/>
      <c r="S613" s="43"/>
      <c r="T613" s="41"/>
      <c r="U613" s="43"/>
      <c r="V613" s="43"/>
    </row>
    <row r="614" spans="4:22" ht="15" customHeight="1">
      <c r="D614" s="39"/>
      <c r="E614" s="40"/>
      <c r="K614" s="38"/>
      <c r="L614" s="38"/>
      <c r="M614" s="43"/>
      <c r="N614" s="42"/>
      <c r="O614" s="50"/>
      <c r="P614" s="38"/>
      <c r="Q614" s="41"/>
      <c r="R614" s="43"/>
      <c r="S614" s="43"/>
      <c r="T614" s="41"/>
      <c r="U614" s="43"/>
      <c r="V614" s="43"/>
    </row>
    <row r="615" spans="4:22" ht="15" customHeight="1">
      <c r="D615" s="39"/>
      <c r="E615" s="40"/>
      <c r="K615" s="38"/>
      <c r="L615" s="38"/>
      <c r="M615" s="43"/>
      <c r="N615" s="42"/>
      <c r="O615" s="50"/>
      <c r="P615" s="38"/>
      <c r="Q615" s="41"/>
      <c r="R615" s="43"/>
      <c r="S615" s="43"/>
      <c r="T615" s="41"/>
      <c r="U615" s="43"/>
      <c r="V615" s="43"/>
    </row>
    <row r="616" spans="4:22" ht="15" customHeight="1">
      <c r="D616" s="39"/>
      <c r="E616" s="40"/>
      <c r="K616" s="38"/>
      <c r="L616" s="38"/>
      <c r="M616" s="43"/>
      <c r="N616" s="42"/>
      <c r="O616" s="50"/>
      <c r="P616" s="38"/>
      <c r="Q616" s="41"/>
      <c r="R616" s="43"/>
      <c r="S616" s="43"/>
      <c r="T616" s="41"/>
      <c r="U616" s="43"/>
      <c r="V616" s="43"/>
    </row>
    <row r="617" spans="4:22" ht="15" customHeight="1">
      <c r="D617" s="39"/>
      <c r="E617" s="40"/>
      <c r="K617" s="38"/>
      <c r="L617" s="38"/>
      <c r="M617" s="43"/>
      <c r="N617" s="42"/>
      <c r="O617" s="50"/>
      <c r="P617" s="38"/>
      <c r="Q617" s="41"/>
      <c r="R617" s="43"/>
      <c r="S617" s="43"/>
      <c r="T617" s="41"/>
      <c r="U617" s="43"/>
      <c r="V617" s="43"/>
    </row>
    <row r="618" spans="4:22" ht="15" customHeight="1">
      <c r="D618" s="39"/>
      <c r="E618" s="40"/>
      <c r="K618" s="38"/>
      <c r="L618" s="38"/>
      <c r="M618" s="43"/>
      <c r="N618" s="42"/>
      <c r="O618" s="50"/>
      <c r="P618" s="38"/>
      <c r="Q618" s="41"/>
      <c r="R618" s="43"/>
      <c r="S618" s="43"/>
      <c r="T618" s="41"/>
      <c r="U618" s="43"/>
      <c r="V618" s="43"/>
    </row>
    <row r="619" spans="4:22" ht="15" customHeight="1">
      <c r="D619" s="39"/>
      <c r="E619" s="40"/>
      <c r="K619" s="38"/>
      <c r="L619" s="38"/>
      <c r="M619" s="43"/>
      <c r="N619" s="42"/>
      <c r="O619" s="50"/>
      <c r="P619" s="38"/>
      <c r="Q619" s="41"/>
      <c r="R619" s="43"/>
      <c r="S619" s="43"/>
      <c r="T619" s="41"/>
      <c r="U619" s="43"/>
      <c r="V619" s="43"/>
    </row>
    <row r="620" spans="4:22" ht="15" customHeight="1">
      <c r="D620" s="39"/>
      <c r="E620" s="40"/>
      <c r="K620" s="38"/>
      <c r="L620" s="38"/>
      <c r="M620" s="43"/>
      <c r="N620" s="42"/>
      <c r="O620" s="50"/>
      <c r="P620" s="38"/>
      <c r="Q620" s="41"/>
      <c r="R620" s="43"/>
      <c r="S620" s="43"/>
      <c r="T620" s="41"/>
      <c r="U620" s="43"/>
      <c r="V620" s="43"/>
    </row>
    <row r="621" spans="4:22" ht="15" customHeight="1">
      <c r="D621" s="39"/>
      <c r="E621" s="40"/>
      <c r="K621" s="38"/>
      <c r="L621" s="38"/>
      <c r="M621" s="43"/>
      <c r="N621" s="42"/>
      <c r="O621" s="50"/>
      <c r="P621" s="38"/>
      <c r="Q621" s="41"/>
      <c r="R621" s="43"/>
      <c r="S621" s="43"/>
      <c r="T621" s="41"/>
      <c r="U621" s="43"/>
      <c r="V621" s="43"/>
    </row>
    <row r="622" spans="4:22" ht="15" customHeight="1">
      <c r="D622" s="39"/>
      <c r="E622" s="40"/>
      <c r="K622" s="38"/>
      <c r="L622" s="38"/>
      <c r="M622" s="43"/>
      <c r="N622" s="42"/>
      <c r="O622" s="50"/>
      <c r="P622" s="38"/>
      <c r="Q622" s="41"/>
      <c r="R622" s="43"/>
      <c r="S622" s="43"/>
      <c r="T622" s="41"/>
      <c r="U622" s="43"/>
      <c r="V622" s="43"/>
    </row>
    <row r="623" spans="4:22" ht="15" customHeight="1">
      <c r="D623" s="39"/>
      <c r="E623" s="40"/>
      <c r="K623" s="38"/>
      <c r="L623" s="38"/>
      <c r="M623" s="43"/>
      <c r="N623" s="42"/>
      <c r="O623" s="50"/>
      <c r="P623" s="38"/>
      <c r="Q623" s="41"/>
      <c r="R623" s="43"/>
      <c r="S623" s="43"/>
      <c r="T623" s="41"/>
      <c r="U623" s="43"/>
      <c r="V623" s="43"/>
    </row>
    <row r="624" spans="4:22" ht="15" customHeight="1">
      <c r="D624" s="39"/>
      <c r="E624" s="40"/>
      <c r="K624" s="38"/>
      <c r="L624" s="38"/>
      <c r="M624" s="43"/>
      <c r="N624" s="42"/>
      <c r="O624" s="50"/>
      <c r="P624" s="38"/>
      <c r="Q624" s="41"/>
      <c r="R624" s="43"/>
      <c r="S624" s="43"/>
      <c r="T624" s="41"/>
      <c r="U624" s="43"/>
      <c r="V624" s="43"/>
    </row>
    <row r="625" spans="4:22" ht="15" customHeight="1">
      <c r="D625" s="39"/>
      <c r="E625" s="40"/>
      <c r="K625" s="38"/>
      <c r="L625" s="38"/>
      <c r="M625" s="43"/>
      <c r="N625" s="42"/>
      <c r="O625" s="50"/>
      <c r="P625" s="38"/>
      <c r="Q625" s="41"/>
      <c r="R625" s="43"/>
      <c r="S625" s="43"/>
      <c r="T625" s="41"/>
      <c r="U625" s="43"/>
      <c r="V625" s="43"/>
    </row>
    <row r="626" spans="4:22" ht="15" customHeight="1">
      <c r="D626" s="39"/>
      <c r="E626" s="40"/>
      <c r="K626" s="38"/>
      <c r="L626" s="38"/>
      <c r="M626" s="43"/>
      <c r="N626" s="42"/>
      <c r="O626" s="50"/>
      <c r="P626" s="38"/>
      <c r="Q626" s="41"/>
      <c r="R626" s="43"/>
      <c r="S626" s="43"/>
      <c r="T626" s="41"/>
      <c r="U626" s="43"/>
      <c r="V626" s="43"/>
    </row>
    <row r="627" spans="4:22" ht="15" customHeight="1">
      <c r="D627" s="39"/>
      <c r="E627" s="40"/>
      <c r="K627" s="38"/>
      <c r="L627" s="38"/>
      <c r="M627" s="43"/>
      <c r="N627" s="42"/>
      <c r="O627" s="50"/>
      <c r="P627" s="38"/>
      <c r="Q627" s="41"/>
      <c r="R627" s="43"/>
      <c r="S627" s="43"/>
      <c r="T627" s="41"/>
      <c r="U627" s="43"/>
      <c r="V627" s="43"/>
    </row>
    <row r="628" spans="4:22" ht="15" customHeight="1">
      <c r="D628" s="39"/>
      <c r="E628" s="40"/>
      <c r="K628" s="38"/>
      <c r="L628" s="38"/>
      <c r="M628" s="43"/>
      <c r="N628" s="42"/>
      <c r="O628" s="50"/>
      <c r="P628" s="38"/>
      <c r="Q628" s="41"/>
      <c r="R628" s="43"/>
      <c r="S628" s="43"/>
      <c r="T628" s="41"/>
      <c r="U628" s="43"/>
      <c r="V628" s="43"/>
    </row>
    <row r="629" spans="4:22" ht="15" customHeight="1">
      <c r="D629" s="39"/>
      <c r="E629" s="40"/>
      <c r="K629" s="38"/>
      <c r="L629" s="38"/>
      <c r="M629" s="43"/>
      <c r="N629" s="42"/>
      <c r="O629" s="50"/>
      <c r="P629" s="38"/>
      <c r="Q629" s="41"/>
      <c r="R629" s="43"/>
      <c r="S629" s="43"/>
      <c r="T629" s="41"/>
      <c r="U629" s="43"/>
      <c r="V629" s="43"/>
    </row>
    <row r="630" spans="4:22" ht="15" customHeight="1">
      <c r="D630" s="39"/>
      <c r="E630" s="40"/>
      <c r="K630" s="38"/>
      <c r="L630" s="38"/>
      <c r="M630" s="43"/>
      <c r="N630" s="42"/>
      <c r="O630" s="50"/>
      <c r="P630" s="38"/>
      <c r="Q630" s="41"/>
      <c r="R630" s="43"/>
      <c r="S630" s="43"/>
      <c r="T630" s="41"/>
      <c r="U630" s="43"/>
      <c r="V630" s="43"/>
    </row>
    <row r="631" spans="4:22" ht="15" customHeight="1">
      <c r="D631" s="39"/>
      <c r="E631" s="40"/>
      <c r="K631" s="38"/>
      <c r="L631" s="38"/>
      <c r="M631" s="43"/>
      <c r="N631" s="42"/>
      <c r="O631" s="50"/>
      <c r="P631" s="38"/>
      <c r="Q631" s="41"/>
      <c r="R631" s="43"/>
      <c r="S631" s="43"/>
      <c r="T631" s="41"/>
      <c r="U631" s="43"/>
      <c r="V631" s="43"/>
    </row>
    <row r="632" spans="4:22" ht="15" customHeight="1">
      <c r="D632" s="39"/>
      <c r="E632" s="40"/>
      <c r="K632" s="38"/>
      <c r="L632" s="38"/>
      <c r="M632" s="43"/>
      <c r="N632" s="42"/>
      <c r="O632" s="50"/>
      <c r="P632" s="38"/>
      <c r="Q632" s="41"/>
      <c r="R632" s="43"/>
      <c r="S632" s="43"/>
      <c r="T632" s="41"/>
      <c r="U632" s="43"/>
      <c r="V632" s="43"/>
    </row>
    <row r="633" spans="4:22" ht="15" customHeight="1">
      <c r="D633" s="39"/>
      <c r="E633" s="40"/>
      <c r="K633" s="38"/>
      <c r="L633" s="38"/>
      <c r="M633" s="43"/>
      <c r="N633" s="42"/>
      <c r="O633" s="50"/>
      <c r="P633" s="38"/>
      <c r="Q633" s="41"/>
      <c r="R633" s="43"/>
      <c r="S633" s="43"/>
      <c r="T633" s="41"/>
      <c r="U633" s="43"/>
      <c r="V633" s="43"/>
    </row>
    <row r="634" spans="4:22" ht="15" customHeight="1">
      <c r="D634" s="39"/>
      <c r="E634" s="40"/>
      <c r="K634" s="38"/>
      <c r="L634" s="38"/>
      <c r="M634" s="43"/>
      <c r="N634" s="42"/>
      <c r="O634" s="50"/>
      <c r="P634" s="38"/>
      <c r="Q634" s="41"/>
      <c r="R634" s="43"/>
      <c r="S634" s="43"/>
      <c r="T634" s="41"/>
      <c r="U634" s="43"/>
      <c r="V634" s="43"/>
    </row>
    <row r="635" spans="4:22" ht="15" customHeight="1">
      <c r="D635" s="39"/>
      <c r="E635" s="40"/>
      <c r="K635" s="38"/>
      <c r="L635" s="38"/>
      <c r="M635" s="43"/>
      <c r="N635" s="42"/>
      <c r="O635" s="50"/>
      <c r="P635" s="38"/>
      <c r="Q635" s="41"/>
      <c r="R635" s="43"/>
      <c r="S635" s="43"/>
      <c r="T635" s="41"/>
      <c r="U635" s="43"/>
      <c r="V635" s="43"/>
    </row>
    <row r="636" spans="4:22" ht="15" customHeight="1">
      <c r="D636" s="39"/>
      <c r="E636" s="40"/>
      <c r="K636" s="38"/>
      <c r="L636" s="38"/>
      <c r="M636" s="43"/>
      <c r="N636" s="42"/>
      <c r="O636" s="50"/>
      <c r="P636" s="38"/>
      <c r="Q636" s="41"/>
      <c r="R636" s="43"/>
      <c r="S636" s="43"/>
      <c r="T636" s="41"/>
      <c r="U636" s="43"/>
      <c r="V636" s="43"/>
    </row>
    <row r="637" spans="4:22" ht="15" customHeight="1">
      <c r="D637" s="39"/>
      <c r="E637" s="40"/>
      <c r="K637" s="38"/>
      <c r="L637" s="38"/>
      <c r="M637" s="43"/>
      <c r="N637" s="42"/>
      <c r="O637" s="50"/>
      <c r="P637" s="38"/>
      <c r="Q637" s="41"/>
      <c r="R637" s="43"/>
      <c r="S637" s="43"/>
      <c r="T637" s="41"/>
      <c r="U637" s="43"/>
      <c r="V637" s="43"/>
    </row>
    <row r="638" spans="4:22" ht="15" customHeight="1">
      <c r="D638" s="39"/>
      <c r="E638" s="40"/>
      <c r="K638" s="38"/>
      <c r="L638" s="38"/>
      <c r="M638" s="43"/>
      <c r="N638" s="42"/>
      <c r="O638" s="50"/>
      <c r="P638" s="38"/>
      <c r="Q638" s="41"/>
      <c r="R638" s="43"/>
      <c r="S638" s="43"/>
      <c r="T638" s="41"/>
      <c r="U638" s="43"/>
      <c r="V638" s="43"/>
    </row>
    <row r="639" spans="4:22" ht="15" customHeight="1">
      <c r="D639" s="39"/>
      <c r="E639" s="40"/>
      <c r="K639" s="38"/>
      <c r="L639" s="38"/>
      <c r="M639" s="43"/>
      <c r="N639" s="42"/>
      <c r="O639" s="50"/>
      <c r="P639" s="38"/>
      <c r="Q639" s="41"/>
      <c r="R639" s="43"/>
      <c r="S639" s="43"/>
      <c r="T639" s="41"/>
      <c r="U639" s="43"/>
      <c r="V639" s="43"/>
    </row>
    <row r="640" spans="4:22" ht="15" customHeight="1">
      <c r="D640" s="39"/>
      <c r="E640" s="40"/>
      <c r="K640" s="38"/>
      <c r="L640" s="38"/>
      <c r="M640" s="43"/>
      <c r="N640" s="42"/>
      <c r="O640" s="50"/>
      <c r="P640" s="38"/>
      <c r="Q640" s="41"/>
      <c r="R640" s="43"/>
      <c r="S640" s="43"/>
      <c r="T640" s="41"/>
      <c r="U640" s="43"/>
      <c r="V640" s="43"/>
    </row>
    <row r="641" spans="4:22" ht="15" customHeight="1">
      <c r="D641" s="39"/>
      <c r="E641" s="40"/>
      <c r="K641" s="38"/>
      <c r="L641" s="38"/>
      <c r="M641" s="43"/>
      <c r="N641" s="42"/>
      <c r="O641" s="50"/>
      <c r="P641" s="38"/>
      <c r="Q641" s="41"/>
      <c r="R641" s="43"/>
      <c r="S641" s="43"/>
      <c r="T641" s="41"/>
      <c r="U641" s="43"/>
      <c r="V641" s="43"/>
    </row>
    <row r="642" spans="4:22" ht="15" customHeight="1">
      <c r="D642" s="39"/>
      <c r="E642" s="40"/>
      <c r="K642" s="38"/>
      <c r="L642" s="38"/>
      <c r="M642" s="43"/>
      <c r="N642" s="42"/>
      <c r="O642" s="50"/>
      <c r="P642" s="38"/>
      <c r="Q642" s="41"/>
      <c r="R642" s="43"/>
      <c r="S642" s="43"/>
      <c r="T642" s="41"/>
      <c r="U642" s="43"/>
      <c r="V642" s="43"/>
    </row>
    <row r="643" spans="4:22" ht="15" customHeight="1">
      <c r="D643" s="39"/>
      <c r="E643" s="40"/>
      <c r="K643" s="38"/>
      <c r="L643" s="38"/>
      <c r="M643" s="43"/>
      <c r="N643" s="42"/>
      <c r="O643" s="50"/>
      <c r="P643" s="38"/>
      <c r="Q643" s="41"/>
      <c r="R643" s="43"/>
      <c r="S643" s="43"/>
      <c r="T643" s="41"/>
      <c r="U643" s="43"/>
      <c r="V643" s="43"/>
    </row>
    <row r="644" spans="4:22" ht="15" customHeight="1">
      <c r="D644" s="39"/>
      <c r="E644" s="40"/>
      <c r="K644" s="38"/>
      <c r="L644" s="38"/>
      <c r="M644" s="43"/>
      <c r="N644" s="42"/>
      <c r="O644" s="50"/>
      <c r="P644" s="38"/>
      <c r="Q644" s="41"/>
      <c r="R644" s="43"/>
      <c r="S644" s="43"/>
      <c r="T644" s="41"/>
      <c r="U644" s="43"/>
      <c r="V644" s="43"/>
    </row>
    <row r="645" spans="4:22" ht="15" customHeight="1">
      <c r="D645" s="39"/>
      <c r="E645" s="40"/>
      <c r="K645" s="38"/>
      <c r="L645" s="38"/>
      <c r="M645" s="43"/>
      <c r="N645" s="42"/>
      <c r="O645" s="50"/>
      <c r="P645" s="38"/>
      <c r="Q645" s="41"/>
      <c r="R645" s="43"/>
      <c r="S645" s="43"/>
      <c r="T645" s="41"/>
      <c r="U645" s="43"/>
      <c r="V645" s="43"/>
    </row>
    <row r="646" spans="4:22" ht="15" customHeight="1">
      <c r="D646" s="39"/>
      <c r="E646" s="40"/>
      <c r="K646" s="38"/>
      <c r="L646" s="38"/>
      <c r="M646" s="43"/>
      <c r="N646" s="42"/>
      <c r="O646" s="50"/>
      <c r="P646" s="38"/>
      <c r="Q646" s="41"/>
      <c r="R646" s="43"/>
      <c r="S646" s="43"/>
      <c r="T646" s="41"/>
      <c r="U646" s="43"/>
      <c r="V646" s="43"/>
    </row>
    <row r="647" spans="4:22" ht="15" customHeight="1">
      <c r="D647" s="39"/>
      <c r="E647" s="40"/>
      <c r="K647" s="38"/>
      <c r="L647" s="38"/>
      <c r="M647" s="43"/>
      <c r="N647" s="42"/>
      <c r="O647" s="50"/>
      <c r="P647" s="38"/>
      <c r="Q647" s="41"/>
      <c r="R647" s="43"/>
      <c r="S647" s="43"/>
      <c r="T647" s="41"/>
      <c r="U647" s="43"/>
      <c r="V647" s="43"/>
    </row>
    <row r="648" spans="4:22" ht="15" customHeight="1">
      <c r="D648" s="39"/>
      <c r="E648" s="40"/>
      <c r="K648" s="38"/>
      <c r="L648" s="38"/>
      <c r="M648" s="43"/>
      <c r="N648" s="42"/>
      <c r="O648" s="50"/>
      <c r="P648" s="38"/>
      <c r="Q648" s="41"/>
      <c r="R648" s="43"/>
      <c r="S648" s="43"/>
      <c r="T648" s="41"/>
      <c r="U648" s="43"/>
      <c r="V648" s="43"/>
    </row>
    <row r="649" spans="4:22" ht="15" customHeight="1">
      <c r="D649" s="39"/>
      <c r="E649" s="40"/>
      <c r="K649" s="38"/>
      <c r="L649" s="38"/>
      <c r="M649" s="43"/>
      <c r="N649" s="42"/>
      <c r="O649" s="50"/>
      <c r="P649" s="38"/>
      <c r="Q649" s="41"/>
      <c r="R649" s="43"/>
      <c r="S649" s="43"/>
      <c r="T649" s="41"/>
      <c r="U649" s="43"/>
      <c r="V649" s="43"/>
    </row>
    <row r="650" spans="4:22" ht="15" customHeight="1">
      <c r="D650" s="39"/>
      <c r="E650" s="40"/>
      <c r="K650" s="38"/>
      <c r="L650" s="38"/>
      <c r="M650" s="43"/>
      <c r="N650" s="42"/>
      <c r="O650" s="50"/>
      <c r="P650" s="38"/>
      <c r="Q650" s="41"/>
      <c r="R650" s="43"/>
      <c r="S650" s="43"/>
      <c r="T650" s="41"/>
      <c r="U650" s="43"/>
      <c r="V650" s="43"/>
    </row>
    <row r="651" spans="4:22" ht="15" customHeight="1">
      <c r="D651" s="39"/>
      <c r="E651" s="40"/>
      <c r="K651" s="38"/>
      <c r="L651" s="38"/>
      <c r="M651" s="43"/>
      <c r="N651" s="42"/>
      <c r="O651" s="50"/>
      <c r="P651" s="38"/>
      <c r="Q651" s="41"/>
      <c r="R651" s="43"/>
      <c r="S651" s="43"/>
      <c r="T651" s="41"/>
      <c r="U651" s="43"/>
      <c r="V651" s="43"/>
    </row>
    <row r="652" spans="4:22" ht="15" customHeight="1">
      <c r="D652" s="39"/>
      <c r="E652" s="40"/>
      <c r="K652" s="38"/>
      <c r="L652" s="38"/>
      <c r="M652" s="43"/>
      <c r="N652" s="42"/>
      <c r="O652" s="50"/>
      <c r="P652" s="38"/>
      <c r="Q652" s="41"/>
      <c r="R652" s="43"/>
      <c r="S652" s="43"/>
      <c r="T652" s="41"/>
      <c r="U652" s="43"/>
      <c r="V652" s="43"/>
    </row>
    <row r="653" spans="4:22" ht="15" customHeight="1">
      <c r="D653" s="39"/>
      <c r="E653" s="40"/>
      <c r="K653" s="38"/>
      <c r="L653" s="38"/>
      <c r="M653" s="43"/>
      <c r="N653" s="42"/>
      <c r="O653" s="50"/>
      <c r="P653" s="38"/>
      <c r="Q653" s="41"/>
      <c r="R653" s="43"/>
      <c r="S653" s="43"/>
      <c r="T653" s="41"/>
      <c r="U653" s="43"/>
      <c r="V653" s="43"/>
    </row>
    <row r="654" spans="4:22" ht="15" customHeight="1">
      <c r="D654" s="39"/>
      <c r="E654" s="40"/>
      <c r="K654" s="38"/>
      <c r="L654" s="38"/>
      <c r="M654" s="43"/>
      <c r="N654" s="42"/>
      <c r="O654" s="50"/>
      <c r="P654" s="38"/>
      <c r="Q654" s="41"/>
      <c r="R654" s="43"/>
      <c r="S654" s="43"/>
      <c r="T654" s="41"/>
      <c r="U654" s="43"/>
      <c r="V654" s="43"/>
    </row>
    <row r="655" spans="4:22" ht="15" customHeight="1">
      <c r="D655" s="39"/>
      <c r="E655" s="40"/>
      <c r="K655" s="38"/>
      <c r="L655" s="38"/>
      <c r="M655" s="43"/>
      <c r="N655" s="42"/>
      <c r="O655" s="50"/>
      <c r="P655" s="38"/>
      <c r="Q655" s="41"/>
      <c r="R655" s="43"/>
      <c r="S655" s="43"/>
      <c r="T655" s="41"/>
      <c r="U655" s="43"/>
      <c r="V655" s="43"/>
    </row>
    <row r="656" spans="4:22" ht="15" customHeight="1">
      <c r="D656" s="39"/>
      <c r="E656" s="40"/>
      <c r="K656" s="38"/>
      <c r="L656" s="38"/>
      <c r="M656" s="43"/>
      <c r="N656" s="42"/>
      <c r="O656" s="50"/>
      <c r="P656" s="38"/>
      <c r="Q656" s="41"/>
      <c r="R656" s="43"/>
      <c r="S656" s="43"/>
      <c r="T656" s="41"/>
      <c r="U656" s="43"/>
      <c r="V656" s="43"/>
    </row>
    <row r="657" spans="4:22" ht="15" customHeight="1">
      <c r="D657" s="39"/>
      <c r="E657" s="40"/>
      <c r="K657" s="38"/>
      <c r="L657" s="38"/>
      <c r="M657" s="43"/>
      <c r="N657" s="42"/>
      <c r="O657" s="50"/>
      <c r="P657" s="38"/>
      <c r="Q657" s="41"/>
      <c r="R657" s="43"/>
      <c r="S657" s="43"/>
      <c r="T657" s="41"/>
      <c r="U657" s="43"/>
      <c r="V657" s="43"/>
    </row>
    <row r="658" spans="4:22" ht="15" customHeight="1">
      <c r="D658" s="39"/>
      <c r="E658" s="40"/>
      <c r="K658" s="38"/>
      <c r="L658" s="38"/>
      <c r="M658" s="43"/>
      <c r="N658" s="42"/>
      <c r="O658" s="50"/>
      <c r="P658" s="38"/>
      <c r="Q658" s="41"/>
      <c r="R658" s="43"/>
      <c r="S658" s="43"/>
      <c r="T658" s="41"/>
      <c r="U658" s="43"/>
      <c r="V658" s="43"/>
    </row>
    <row r="659" spans="4:22" ht="15" customHeight="1">
      <c r="D659" s="39"/>
      <c r="E659" s="40"/>
      <c r="K659" s="38"/>
      <c r="L659" s="38"/>
      <c r="M659" s="43"/>
      <c r="N659" s="42"/>
      <c r="O659" s="50"/>
      <c r="P659" s="38"/>
      <c r="Q659" s="41"/>
      <c r="R659" s="43"/>
      <c r="S659" s="43"/>
      <c r="T659" s="41"/>
      <c r="U659" s="43"/>
      <c r="V659" s="43"/>
    </row>
    <row r="660" spans="4:22" ht="15" customHeight="1">
      <c r="D660" s="39"/>
      <c r="E660" s="40"/>
      <c r="K660" s="38"/>
      <c r="L660" s="38"/>
      <c r="M660" s="43"/>
      <c r="N660" s="42"/>
      <c r="O660" s="50"/>
      <c r="P660" s="38"/>
      <c r="Q660" s="41"/>
      <c r="R660" s="43"/>
      <c r="S660" s="43"/>
      <c r="T660" s="41"/>
      <c r="U660" s="43"/>
      <c r="V660" s="43"/>
    </row>
    <row r="661" spans="4:22" ht="15" customHeight="1">
      <c r="D661" s="39"/>
      <c r="E661" s="40"/>
      <c r="K661" s="38"/>
      <c r="L661" s="38"/>
      <c r="M661" s="43"/>
      <c r="N661" s="42"/>
      <c r="O661" s="50"/>
      <c r="P661" s="38"/>
      <c r="Q661" s="41"/>
      <c r="R661" s="43"/>
      <c r="S661" s="43"/>
      <c r="T661" s="41"/>
      <c r="U661" s="43"/>
      <c r="V661" s="43"/>
    </row>
    <row r="662" spans="4:22" ht="15" customHeight="1">
      <c r="D662" s="39"/>
      <c r="E662" s="40"/>
      <c r="K662" s="38"/>
      <c r="L662" s="38"/>
      <c r="M662" s="43"/>
      <c r="N662" s="42"/>
      <c r="O662" s="50"/>
      <c r="P662" s="38"/>
      <c r="Q662" s="41"/>
      <c r="R662" s="43"/>
      <c r="S662" s="43"/>
      <c r="T662" s="41"/>
      <c r="U662" s="43"/>
      <c r="V662" s="43"/>
    </row>
    <row r="663" spans="4:22" ht="15" customHeight="1">
      <c r="D663" s="39"/>
      <c r="E663" s="40"/>
      <c r="K663" s="38"/>
      <c r="L663" s="38"/>
      <c r="M663" s="43"/>
      <c r="N663" s="42"/>
      <c r="O663" s="50"/>
      <c r="P663" s="38"/>
      <c r="Q663" s="41"/>
      <c r="R663" s="43"/>
      <c r="S663" s="43"/>
      <c r="T663" s="41"/>
      <c r="U663" s="43"/>
      <c r="V663" s="43"/>
    </row>
    <row r="664" spans="4:22" ht="15" customHeight="1">
      <c r="D664" s="39"/>
      <c r="E664" s="40"/>
      <c r="K664" s="38"/>
      <c r="L664" s="38"/>
      <c r="M664" s="43"/>
      <c r="N664" s="42"/>
      <c r="O664" s="50"/>
      <c r="P664" s="38"/>
      <c r="Q664" s="41"/>
      <c r="R664" s="43"/>
      <c r="S664" s="43"/>
      <c r="T664" s="41"/>
      <c r="U664" s="43"/>
      <c r="V664" s="43"/>
    </row>
    <row r="665" spans="4:22" ht="15" customHeight="1">
      <c r="D665" s="39"/>
      <c r="E665" s="40"/>
      <c r="K665" s="38"/>
      <c r="L665" s="38"/>
      <c r="M665" s="43"/>
      <c r="N665" s="42"/>
      <c r="O665" s="50"/>
      <c r="P665" s="38"/>
      <c r="Q665" s="41"/>
      <c r="R665" s="43"/>
      <c r="S665" s="43"/>
      <c r="T665" s="41"/>
      <c r="U665" s="43"/>
      <c r="V665" s="43"/>
    </row>
    <row r="666" spans="4:22" ht="15" customHeight="1">
      <c r="D666" s="39"/>
      <c r="E666" s="40"/>
      <c r="K666" s="38"/>
      <c r="L666" s="38"/>
      <c r="M666" s="43"/>
      <c r="N666" s="42"/>
      <c r="O666" s="50"/>
      <c r="P666" s="38"/>
      <c r="Q666" s="41"/>
      <c r="R666" s="43"/>
      <c r="S666" s="43"/>
      <c r="T666" s="41"/>
      <c r="U666" s="43"/>
      <c r="V666" s="43"/>
    </row>
    <row r="667" spans="4:22" ht="15" customHeight="1">
      <c r="D667" s="39"/>
      <c r="E667" s="40"/>
      <c r="K667" s="38"/>
      <c r="L667" s="38"/>
      <c r="M667" s="43"/>
      <c r="N667" s="42"/>
      <c r="O667" s="50"/>
      <c r="P667" s="38"/>
      <c r="Q667" s="41"/>
      <c r="R667" s="43"/>
      <c r="S667" s="43"/>
      <c r="T667" s="41"/>
      <c r="U667" s="43"/>
      <c r="V667" s="43"/>
    </row>
    <row r="668" spans="4:22" ht="15" customHeight="1">
      <c r="D668" s="39"/>
      <c r="E668" s="40"/>
      <c r="K668" s="38"/>
      <c r="L668" s="38"/>
      <c r="M668" s="43"/>
      <c r="N668" s="42"/>
      <c r="O668" s="50"/>
      <c r="P668" s="38"/>
      <c r="Q668" s="41"/>
      <c r="R668" s="43"/>
      <c r="S668" s="43"/>
      <c r="T668" s="41"/>
      <c r="U668" s="43"/>
      <c r="V668" s="43"/>
    </row>
    <row r="669" spans="4:22" ht="15" customHeight="1">
      <c r="D669" s="39"/>
      <c r="E669" s="40"/>
      <c r="K669" s="38"/>
      <c r="L669" s="38"/>
      <c r="M669" s="43"/>
      <c r="N669" s="42"/>
      <c r="O669" s="50"/>
      <c r="P669" s="38"/>
      <c r="Q669" s="41"/>
      <c r="R669" s="43"/>
      <c r="S669" s="43"/>
      <c r="T669" s="41"/>
      <c r="U669" s="43"/>
      <c r="V669" s="43"/>
    </row>
    <row r="670" spans="4:22" ht="15" customHeight="1">
      <c r="D670" s="39"/>
      <c r="E670" s="40"/>
      <c r="K670" s="38"/>
      <c r="L670" s="38"/>
      <c r="M670" s="43"/>
      <c r="N670" s="42"/>
      <c r="O670" s="50"/>
      <c r="P670" s="38"/>
      <c r="Q670" s="41"/>
      <c r="R670" s="43"/>
      <c r="S670" s="43"/>
      <c r="T670" s="41"/>
      <c r="U670" s="43"/>
      <c r="V670" s="43"/>
    </row>
    <row r="671" spans="4:22" ht="15" customHeight="1">
      <c r="D671" s="39"/>
      <c r="E671" s="40"/>
      <c r="K671" s="38"/>
      <c r="L671" s="38"/>
      <c r="M671" s="43"/>
      <c r="N671" s="42"/>
      <c r="O671" s="50"/>
      <c r="P671" s="38"/>
      <c r="Q671" s="41"/>
      <c r="R671" s="43"/>
      <c r="S671" s="43"/>
      <c r="T671" s="41"/>
      <c r="U671" s="43"/>
      <c r="V671" s="43"/>
    </row>
    <row r="672" spans="4:22" ht="15" customHeight="1">
      <c r="D672" s="39"/>
      <c r="E672" s="40"/>
      <c r="K672" s="38"/>
      <c r="L672" s="38"/>
      <c r="M672" s="43"/>
      <c r="N672" s="42"/>
      <c r="O672" s="50"/>
      <c r="P672" s="38"/>
      <c r="Q672" s="41"/>
      <c r="R672" s="43"/>
      <c r="S672" s="43"/>
      <c r="T672" s="41"/>
      <c r="U672" s="43"/>
      <c r="V672" s="43"/>
    </row>
    <row r="673" spans="4:22" ht="15" customHeight="1">
      <c r="D673" s="39"/>
      <c r="E673" s="40"/>
      <c r="K673" s="38"/>
      <c r="L673" s="38"/>
      <c r="M673" s="43"/>
      <c r="N673" s="42"/>
      <c r="O673" s="50"/>
      <c r="P673" s="38"/>
      <c r="Q673" s="41"/>
      <c r="R673" s="43"/>
      <c r="S673" s="43"/>
      <c r="T673" s="41"/>
      <c r="U673" s="43"/>
      <c r="V673" s="43"/>
    </row>
    <row r="674" spans="4:22" ht="15" customHeight="1">
      <c r="D674" s="39"/>
      <c r="E674" s="40"/>
      <c r="K674" s="38"/>
      <c r="L674" s="38"/>
      <c r="M674" s="43"/>
      <c r="N674" s="42"/>
      <c r="O674" s="50"/>
      <c r="P674" s="38"/>
      <c r="Q674" s="41"/>
      <c r="R674" s="43"/>
      <c r="S674" s="43"/>
      <c r="T674" s="41"/>
      <c r="U674" s="43"/>
      <c r="V674" s="43"/>
    </row>
    <row r="675" spans="4:22" ht="15" customHeight="1">
      <c r="D675" s="39"/>
      <c r="E675" s="40"/>
      <c r="K675" s="38"/>
      <c r="L675" s="38"/>
      <c r="M675" s="43"/>
      <c r="N675" s="42"/>
      <c r="O675" s="50"/>
      <c r="P675" s="38"/>
      <c r="Q675" s="41"/>
      <c r="R675" s="43"/>
      <c r="S675" s="43"/>
      <c r="T675" s="41"/>
      <c r="U675" s="43"/>
      <c r="V675" s="43"/>
    </row>
    <row r="676" spans="4:22" ht="15" customHeight="1">
      <c r="D676" s="39"/>
      <c r="E676" s="40"/>
      <c r="K676" s="38"/>
      <c r="L676" s="38"/>
      <c r="M676" s="43"/>
      <c r="N676" s="42"/>
      <c r="O676" s="50"/>
      <c r="P676" s="38"/>
      <c r="Q676" s="41"/>
      <c r="R676" s="43"/>
      <c r="S676" s="43"/>
      <c r="T676" s="41"/>
      <c r="U676" s="43"/>
      <c r="V676" s="43"/>
    </row>
    <row r="677" spans="4:22" ht="15" customHeight="1">
      <c r="D677" s="39"/>
      <c r="E677" s="40"/>
      <c r="K677" s="38"/>
      <c r="L677" s="38"/>
      <c r="M677" s="43"/>
      <c r="N677" s="42"/>
      <c r="O677" s="50"/>
      <c r="P677" s="38"/>
      <c r="Q677" s="41"/>
      <c r="R677" s="43"/>
      <c r="S677" s="43"/>
      <c r="T677" s="41"/>
      <c r="U677" s="43"/>
      <c r="V677" s="43"/>
    </row>
    <row r="678" spans="4:22" ht="15" customHeight="1">
      <c r="D678" s="39"/>
      <c r="E678" s="40"/>
      <c r="K678" s="38"/>
      <c r="L678" s="38"/>
      <c r="M678" s="43"/>
      <c r="N678" s="42"/>
      <c r="O678" s="50"/>
      <c r="P678" s="38"/>
      <c r="Q678" s="41"/>
      <c r="R678" s="43"/>
      <c r="S678" s="43"/>
      <c r="T678" s="41"/>
      <c r="U678" s="43"/>
      <c r="V678" s="43"/>
    </row>
    <row r="679" spans="4:22" ht="15" customHeight="1">
      <c r="D679" s="39"/>
      <c r="E679" s="40"/>
      <c r="K679" s="38"/>
      <c r="L679" s="38"/>
      <c r="M679" s="43"/>
      <c r="N679" s="42"/>
      <c r="O679" s="50"/>
      <c r="P679" s="38"/>
      <c r="Q679" s="41"/>
      <c r="R679" s="43"/>
      <c r="S679" s="43"/>
      <c r="T679" s="41"/>
      <c r="U679" s="43"/>
      <c r="V679" s="43"/>
    </row>
    <row r="680" spans="4:22" ht="15" customHeight="1">
      <c r="D680" s="39"/>
      <c r="E680" s="40"/>
      <c r="K680" s="38"/>
      <c r="L680" s="38"/>
      <c r="M680" s="43"/>
      <c r="N680" s="42"/>
      <c r="O680" s="50"/>
      <c r="P680" s="38"/>
      <c r="Q680" s="41"/>
      <c r="R680" s="43"/>
      <c r="S680" s="43"/>
      <c r="T680" s="41"/>
      <c r="U680" s="43"/>
      <c r="V680" s="43"/>
    </row>
    <row r="681" spans="4:22" ht="15" customHeight="1">
      <c r="D681" s="39"/>
      <c r="E681" s="40"/>
      <c r="K681" s="38"/>
      <c r="L681" s="38"/>
      <c r="M681" s="43"/>
      <c r="N681" s="42"/>
      <c r="O681" s="50"/>
      <c r="P681" s="38"/>
      <c r="Q681" s="41"/>
      <c r="R681" s="43"/>
      <c r="S681" s="43"/>
      <c r="T681" s="41"/>
      <c r="U681" s="43"/>
      <c r="V681" s="43"/>
    </row>
    <row r="682" spans="4:22" ht="15" customHeight="1">
      <c r="D682" s="39"/>
      <c r="E682" s="40"/>
      <c r="K682" s="38"/>
      <c r="L682" s="38"/>
      <c r="M682" s="43"/>
      <c r="N682" s="42"/>
      <c r="O682" s="50"/>
      <c r="P682" s="38"/>
      <c r="Q682" s="41"/>
      <c r="R682" s="43"/>
      <c r="S682" s="43"/>
      <c r="T682" s="41"/>
      <c r="U682" s="43"/>
      <c r="V682" s="43"/>
    </row>
    <row r="683" spans="4:22" ht="15" customHeight="1">
      <c r="D683" s="39"/>
      <c r="E683" s="40"/>
      <c r="K683" s="38"/>
      <c r="L683" s="38"/>
      <c r="M683" s="43"/>
      <c r="N683" s="42"/>
      <c r="O683" s="50"/>
      <c r="P683" s="38"/>
      <c r="Q683" s="41"/>
      <c r="R683" s="43"/>
      <c r="S683" s="43"/>
      <c r="T683" s="41"/>
      <c r="U683" s="43"/>
      <c r="V683" s="43"/>
    </row>
    <row r="684" spans="4:22" ht="15" customHeight="1">
      <c r="D684" s="39"/>
      <c r="E684" s="40"/>
      <c r="K684" s="38"/>
      <c r="L684" s="38"/>
      <c r="M684" s="43"/>
      <c r="N684" s="42"/>
      <c r="O684" s="50"/>
      <c r="P684" s="38"/>
      <c r="Q684" s="41"/>
      <c r="R684" s="43"/>
      <c r="S684" s="43"/>
      <c r="T684" s="41"/>
      <c r="U684" s="43"/>
      <c r="V684" s="43"/>
    </row>
    <row r="685" spans="4:22" ht="15" customHeight="1">
      <c r="D685" s="39"/>
      <c r="E685" s="40"/>
      <c r="K685" s="38"/>
      <c r="L685" s="38"/>
      <c r="M685" s="43"/>
      <c r="N685" s="42"/>
      <c r="O685" s="50"/>
      <c r="P685" s="38"/>
      <c r="Q685" s="41"/>
      <c r="R685" s="43"/>
      <c r="S685" s="43"/>
      <c r="T685" s="41"/>
      <c r="U685" s="43"/>
      <c r="V685" s="43"/>
    </row>
    <row r="686" spans="4:22" ht="15" customHeight="1">
      <c r="D686" s="39"/>
      <c r="E686" s="40"/>
      <c r="K686" s="38"/>
      <c r="L686" s="38"/>
      <c r="M686" s="43"/>
      <c r="N686" s="42"/>
      <c r="O686" s="50"/>
      <c r="P686" s="38"/>
      <c r="Q686" s="41"/>
      <c r="R686" s="43"/>
      <c r="S686" s="43"/>
      <c r="T686" s="41"/>
      <c r="U686" s="43"/>
      <c r="V686" s="43"/>
    </row>
    <row r="687" spans="4:22" ht="15" customHeight="1">
      <c r="D687" s="39"/>
      <c r="E687" s="40"/>
      <c r="K687" s="38"/>
      <c r="L687" s="38"/>
      <c r="M687" s="43"/>
      <c r="N687" s="42"/>
      <c r="O687" s="50"/>
      <c r="P687" s="38"/>
      <c r="Q687" s="41"/>
      <c r="R687" s="43"/>
      <c r="S687" s="43"/>
      <c r="T687" s="41"/>
      <c r="U687" s="43"/>
      <c r="V687" s="43"/>
    </row>
    <row r="688" spans="4:22" ht="15" customHeight="1">
      <c r="D688" s="39"/>
      <c r="E688" s="40"/>
      <c r="K688" s="38"/>
      <c r="L688" s="38"/>
      <c r="M688" s="43"/>
      <c r="N688" s="42"/>
      <c r="O688" s="50"/>
      <c r="P688" s="38"/>
      <c r="Q688" s="41"/>
      <c r="R688" s="43"/>
      <c r="S688" s="43"/>
      <c r="T688" s="41"/>
      <c r="U688" s="43"/>
      <c r="V688" s="43"/>
    </row>
    <row r="689" spans="4:22" ht="15" customHeight="1">
      <c r="D689" s="39"/>
      <c r="E689" s="40"/>
      <c r="K689" s="38"/>
      <c r="L689" s="38"/>
      <c r="M689" s="43"/>
      <c r="N689" s="42"/>
      <c r="O689" s="50"/>
      <c r="P689" s="38"/>
      <c r="Q689" s="41"/>
      <c r="R689" s="43"/>
      <c r="S689" s="43"/>
      <c r="T689" s="41"/>
      <c r="U689" s="43"/>
      <c r="V689" s="43"/>
    </row>
    <row r="690" spans="4:22" ht="15" customHeight="1">
      <c r="D690" s="39"/>
      <c r="E690" s="40"/>
      <c r="K690" s="38"/>
      <c r="L690" s="38"/>
      <c r="M690" s="43"/>
      <c r="N690" s="42"/>
      <c r="O690" s="50"/>
      <c r="P690" s="38"/>
      <c r="Q690" s="41"/>
      <c r="R690" s="43"/>
      <c r="S690" s="43"/>
      <c r="T690" s="41"/>
      <c r="U690" s="43"/>
      <c r="V690" s="43"/>
    </row>
    <row r="691" spans="4:22" ht="15" customHeight="1">
      <c r="D691" s="39"/>
      <c r="E691" s="40"/>
      <c r="K691" s="38"/>
      <c r="L691" s="38"/>
      <c r="M691" s="43"/>
      <c r="N691" s="42"/>
      <c r="O691" s="50"/>
      <c r="P691" s="38"/>
      <c r="Q691" s="41"/>
      <c r="R691" s="43"/>
      <c r="S691" s="43"/>
      <c r="T691" s="41"/>
      <c r="U691" s="43"/>
      <c r="V691" s="43"/>
    </row>
    <row r="692" spans="4:22" ht="15" customHeight="1">
      <c r="D692" s="39"/>
      <c r="E692" s="40"/>
      <c r="K692" s="38"/>
      <c r="L692" s="38"/>
      <c r="M692" s="43"/>
      <c r="N692" s="42"/>
      <c r="O692" s="50"/>
      <c r="P692" s="38"/>
      <c r="Q692" s="41"/>
      <c r="R692" s="43"/>
      <c r="S692" s="43"/>
      <c r="T692" s="41"/>
      <c r="U692" s="43"/>
      <c r="V692" s="43"/>
    </row>
    <row r="693" spans="4:22" ht="15" customHeight="1">
      <c r="D693" s="39"/>
      <c r="E693" s="40"/>
      <c r="K693" s="38"/>
      <c r="L693" s="38"/>
      <c r="M693" s="43"/>
      <c r="N693" s="42"/>
      <c r="O693" s="50"/>
      <c r="P693" s="38"/>
      <c r="Q693" s="41"/>
      <c r="R693" s="43"/>
      <c r="S693" s="43"/>
      <c r="T693" s="41"/>
      <c r="U693" s="43"/>
      <c r="V693" s="43"/>
    </row>
    <row r="694" spans="4:22" ht="15" customHeight="1">
      <c r="D694" s="39"/>
      <c r="E694" s="40"/>
      <c r="K694" s="38"/>
      <c r="L694" s="38"/>
      <c r="M694" s="43"/>
      <c r="N694" s="42"/>
      <c r="O694" s="50"/>
      <c r="P694" s="38"/>
      <c r="Q694" s="41"/>
      <c r="R694" s="43"/>
      <c r="S694" s="43"/>
      <c r="T694" s="41"/>
      <c r="U694" s="43"/>
      <c r="V694" s="43"/>
    </row>
    <row r="695" spans="4:22" ht="15" customHeight="1">
      <c r="D695" s="39"/>
      <c r="E695" s="40"/>
      <c r="K695" s="38"/>
      <c r="L695" s="38"/>
      <c r="M695" s="43"/>
      <c r="N695" s="42"/>
      <c r="O695" s="50"/>
      <c r="P695" s="38"/>
      <c r="Q695" s="41"/>
      <c r="R695" s="43"/>
      <c r="S695" s="43"/>
      <c r="T695" s="41"/>
      <c r="U695" s="43"/>
      <c r="V695" s="43"/>
    </row>
    <row r="696" spans="4:22" ht="15" customHeight="1">
      <c r="D696" s="39"/>
      <c r="E696" s="40"/>
      <c r="K696" s="38"/>
      <c r="L696" s="38"/>
      <c r="M696" s="43"/>
      <c r="N696" s="42"/>
      <c r="O696" s="50"/>
      <c r="P696" s="38"/>
      <c r="Q696" s="41"/>
      <c r="R696" s="43"/>
      <c r="S696" s="43"/>
      <c r="T696" s="41"/>
      <c r="U696" s="43"/>
      <c r="V696" s="43"/>
    </row>
    <row r="697" spans="4:22" ht="15" customHeight="1">
      <c r="D697" s="39"/>
      <c r="E697" s="40"/>
      <c r="K697" s="38"/>
      <c r="L697" s="38"/>
      <c r="M697" s="43"/>
      <c r="N697" s="42"/>
      <c r="O697" s="50"/>
      <c r="P697" s="38"/>
      <c r="Q697" s="41"/>
      <c r="R697" s="43"/>
      <c r="S697" s="43"/>
      <c r="T697" s="41"/>
      <c r="U697" s="43"/>
      <c r="V697" s="43"/>
    </row>
    <row r="698" spans="4:22" ht="15" customHeight="1">
      <c r="D698" s="39"/>
      <c r="E698" s="40"/>
      <c r="K698" s="38"/>
      <c r="L698" s="38"/>
      <c r="M698" s="43"/>
      <c r="N698" s="42"/>
      <c r="O698" s="50"/>
      <c r="P698" s="38"/>
      <c r="Q698" s="41"/>
      <c r="R698" s="43"/>
      <c r="S698" s="43"/>
      <c r="T698" s="41"/>
      <c r="U698" s="43"/>
      <c r="V698" s="43"/>
    </row>
    <row r="699" spans="4:22" ht="15" customHeight="1">
      <c r="D699" s="39"/>
      <c r="E699" s="40"/>
      <c r="K699" s="38"/>
      <c r="L699" s="38"/>
      <c r="M699" s="43"/>
      <c r="N699" s="42"/>
      <c r="O699" s="50"/>
      <c r="P699" s="38"/>
      <c r="Q699" s="41"/>
      <c r="R699" s="43"/>
      <c r="S699" s="43"/>
      <c r="T699" s="41"/>
      <c r="U699" s="43"/>
      <c r="V699" s="43"/>
    </row>
    <row r="700" spans="4:22" ht="15" customHeight="1">
      <c r="D700" s="39"/>
      <c r="E700" s="40"/>
      <c r="K700" s="38"/>
      <c r="L700" s="38"/>
      <c r="M700" s="43"/>
      <c r="N700" s="42"/>
      <c r="O700" s="50"/>
      <c r="P700" s="38"/>
      <c r="Q700" s="41"/>
      <c r="R700" s="43"/>
      <c r="S700" s="43"/>
      <c r="T700" s="41"/>
      <c r="U700" s="43"/>
      <c r="V700" s="43"/>
    </row>
    <row r="701" spans="4:22" ht="15" customHeight="1">
      <c r="D701" s="39"/>
      <c r="E701" s="40"/>
      <c r="K701" s="38"/>
      <c r="L701" s="38"/>
      <c r="M701" s="43"/>
      <c r="N701" s="42"/>
      <c r="O701" s="50"/>
      <c r="P701" s="38"/>
      <c r="Q701" s="41"/>
      <c r="R701" s="43"/>
      <c r="S701" s="43"/>
      <c r="T701" s="41"/>
      <c r="U701" s="43"/>
      <c r="V701" s="43"/>
    </row>
    <row r="702" spans="4:22" ht="15" customHeight="1">
      <c r="D702" s="39"/>
      <c r="E702" s="40"/>
      <c r="K702" s="38"/>
      <c r="L702" s="38"/>
      <c r="M702" s="43"/>
      <c r="N702" s="42"/>
      <c r="O702" s="50"/>
      <c r="P702" s="38"/>
      <c r="Q702" s="41"/>
      <c r="R702" s="43"/>
      <c r="S702" s="43"/>
      <c r="T702" s="41"/>
      <c r="U702" s="43"/>
      <c r="V702" s="43"/>
    </row>
    <row r="703" spans="4:22" ht="15" customHeight="1">
      <c r="D703" s="39"/>
      <c r="E703" s="40"/>
      <c r="K703" s="38"/>
      <c r="L703" s="38"/>
      <c r="M703" s="43"/>
      <c r="N703" s="42"/>
      <c r="O703" s="50"/>
      <c r="P703" s="38"/>
      <c r="Q703" s="41"/>
      <c r="R703" s="43"/>
      <c r="S703" s="43"/>
      <c r="T703" s="41"/>
      <c r="U703" s="43"/>
      <c r="V703" s="43"/>
    </row>
    <row r="704" spans="4:22" ht="15" customHeight="1">
      <c r="D704" s="39"/>
      <c r="E704" s="40"/>
      <c r="K704" s="38"/>
      <c r="L704" s="38"/>
      <c r="M704" s="43"/>
      <c r="N704" s="42"/>
      <c r="O704" s="50"/>
      <c r="P704" s="38"/>
      <c r="Q704" s="41"/>
      <c r="R704" s="43"/>
      <c r="S704" s="43"/>
      <c r="T704" s="41"/>
      <c r="U704" s="43"/>
      <c r="V704" s="43"/>
    </row>
    <row r="705" spans="4:22" ht="15" customHeight="1">
      <c r="D705" s="39"/>
      <c r="E705" s="40"/>
      <c r="K705" s="38"/>
      <c r="L705" s="38"/>
      <c r="M705" s="43"/>
      <c r="N705" s="42"/>
      <c r="O705" s="50"/>
      <c r="P705" s="38"/>
      <c r="Q705" s="41"/>
      <c r="R705" s="43"/>
      <c r="S705" s="43"/>
      <c r="T705" s="41"/>
      <c r="U705" s="43"/>
      <c r="V705" s="43"/>
    </row>
    <row r="706" spans="4:22" ht="15" customHeight="1">
      <c r="D706" s="39"/>
      <c r="E706" s="40"/>
      <c r="K706" s="38"/>
      <c r="L706" s="38"/>
      <c r="M706" s="43"/>
      <c r="N706" s="42"/>
      <c r="O706" s="50"/>
      <c r="P706" s="38"/>
      <c r="Q706" s="41"/>
      <c r="R706" s="43"/>
      <c r="S706" s="43"/>
      <c r="T706" s="41"/>
      <c r="U706" s="43"/>
      <c r="V706" s="43"/>
    </row>
    <row r="707" spans="4:22" ht="15" customHeight="1">
      <c r="D707" s="39"/>
      <c r="E707" s="40"/>
      <c r="K707" s="38"/>
      <c r="L707" s="38"/>
      <c r="M707" s="43"/>
      <c r="N707" s="42"/>
      <c r="O707" s="50"/>
      <c r="P707" s="38"/>
      <c r="Q707" s="41"/>
      <c r="R707" s="43"/>
      <c r="S707" s="43"/>
      <c r="T707" s="41"/>
      <c r="U707" s="43"/>
      <c r="V707" s="43"/>
    </row>
    <row r="708" spans="4:22" ht="15" customHeight="1">
      <c r="D708" s="39"/>
      <c r="E708" s="40"/>
      <c r="K708" s="38"/>
      <c r="L708" s="38"/>
      <c r="M708" s="43"/>
      <c r="N708" s="42"/>
      <c r="O708" s="50"/>
      <c r="P708" s="38"/>
      <c r="Q708" s="41"/>
      <c r="R708" s="43"/>
      <c r="S708" s="43"/>
      <c r="T708" s="41"/>
      <c r="U708" s="43"/>
      <c r="V708" s="43"/>
    </row>
    <row r="709" spans="4:22" ht="15" customHeight="1">
      <c r="D709" s="39"/>
      <c r="E709" s="40"/>
      <c r="K709" s="38"/>
      <c r="L709" s="38"/>
      <c r="M709" s="43"/>
      <c r="N709" s="42"/>
      <c r="O709" s="50"/>
      <c r="P709" s="38"/>
      <c r="Q709" s="41"/>
      <c r="R709" s="43"/>
      <c r="S709" s="43"/>
      <c r="T709" s="41"/>
      <c r="U709" s="43"/>
      <c r="V709" s="43"/>
    </row>
    <row r="710" spans="4:22" ht="15" customHeight="1">
      <c r="D710" s="39"/>
      <c r="E710" s="40"/>
      <c r="K710" s="38"/>
      <c r="L710" s="38"/>
      <c r="M710" s="43"/>
      <c r="N710" s="42"/>
      <c r="O710" s="50"/>
      <c r="P710" s="38"/>
      <c r="Q710" s="41"/>
      <c r="R710" s="43"/>
      <c r="S710" s="43"/>
      <c r="T710" s="41"/>
      <c r="U710" s="43"/>
      <c r="V710" s="43"/>
    </row>
    <row r="711" spans="4:22" ht="15" customHeight="1">
      <c r="D711" s="39"/>
      <c r="E711" s="40"/>
      <c r="K711" s="38"/>
      <c r="L711" s="38"/>
      <c r="M711" s="43"/>
      <c r="N711" s="42"/>
      <c r="O711" s="50"/>
      <c r="P711" s="38"/>
      <c r="Q711" s="41"/>
      <c r="R711" s="43"/>
      <c r="S711" s="43"/>
      <c r="T711" s="41"/>
      <c r="U711" s="43"/>
      <c r="V711" s="43"/>
    </row>
    <row r="712" spans="4:22" ht="15" customHeight="1">
      <c r="D712" s="39"/>
      <c r="E712" s="40"/>
      <c r="K712" s="38"/>
      <c r="L712" s="38"/>
      <c r="M712" s="43"/>
      <c r="N712" s="42"/>
      <c r="O712" s="50"/>
      <c r="P712" s="38"/>
      <c r="Q712" s="41"/>
      <c r="R712" s="43"/>
      <c r="S712" s="43"/>
      <c r="T712" s="41"/>
      <c r="U712" s="43"/>
      <c r="V712" s="43"/>
    </row>
    <row r="713" spans="4:22" ht="15" customHeight="1">
      <c r="D713" s="39"/>
      <c r="E713" s="40"/>
      <c r="K713" s="38"/>
      <c r="L713" s="38"/>
      <c r="M713" s="43"/>
      <c r="N713" s="42"/>
      <c r="O713" s="50"/>
      <c r="P713" s="38"/>
      <c r="Q713" s="41"/>
      <c r="R713" s="43"/>
      <c r="S713" s="43"/>
      <c r="T713" s="41"/>
      <c r="U713" s="43"/>
      <c r="V713" s="43"/>
    </row>
    <row r="714" spans="4:22" ht="15" customHeight="1">
      <c r="D714" s="39"/>
      <c r="E714" s="40"/>
      <c r="K714" s="38"/>
      <c r="L714" s="38"/>
      <c r="M714" s="43"/>
      <c r="N714" s="42"/>
      <c r="O714" s="50"/>
      <c r="P714" s="38"/>
      <c r="Q714" s="41"/>
      <c r="R714" s="43"/>
      <c r="S714" s="43"/>
      <c r="T714" s="41"/>
      <c r="U714" s="43"/>
      <c r="V714" s="43"/>
    </row>
    <row r="715" spans="4:22" ht="15" customHeight="1">
      <c r="D715" s="39"/>
      <c r="E715" s="40"/>
      <c r="K715" s="38"/>
      <c r="L715" s="38"/>
      <c r="M715" s="43"/>
      <c r="N715" s="42"/>
      <c r="O715" s="50"/>
      <c r="P715" s="38"/>
      <c r="Q715" s="41"/>
      <c r="R715" s="43"/>
      <c r="S715" s="43"/>
      <c r="T715" s="41"/>
      <c r="U715" s="43"/>
      <c r="V715" s="43"/>
    </row>
    <row r="716" spans="4:22" ht="15" customHeight="1">
      <c r="D716" s="39"/>
      <c r="E716" s="40"/>
      <c r="K716" s="38"/>
      <c r="L716" s="38"/>
      <c r="M716" s="43"/>
      <c r="N716" s="42"/>
      <c r="O716" s="50"/>
      <c r="P716" s="38"/>
      <c r="Q716" s="41"/>
      <c r="R716" s="43"/>
      <c r="S716" s="43"/>
      <c r="T716" s="41"/>
      <c r="U716" s="43"/>
      <c r="V716" s="43"/>
    </row>
    <row r="717" spans="4:22" ht="15" customHeight="1">
      <c r="D717" s="39"/>
      <c r="E717" s="40"/>
      <c r="K717" s="38"/>
      <c r="L717" s="38"/>
      <c r="M717" s="43"/>
      <c r="N717" s="42"/>
      <c r="O717" s="50"/>
      <c r="P717" s="38"/>
      <c r="Q717" s="41"/>
      <c r="R717" s="43"/>
      <c r="S717" s="43"/>
      <c r="T717" s="41"/>
      <c r="U717" s="43"/>
      <c r="V717" s="43"/>
    </row>
    <row r="718" spans="4:22" ht="15" customHeight="1">
      <c r="D718" s="39"/>
      <c r="E718" s="40"/>
      <c r="K718" s="38"/>
      <c r="L718" s="38"/>
      <c r="M718" s="43"/>
      <c r="N718" s="42"/>
      <c r="O718" s="50"/>
      <c r="P718" s="38"/>
      <c r="Q718" s="41"/>
      <c r="R718" s="43"/>
      <c r="S718" s="43"/>
      <c r="T718" s="41"/>
      <c r="U718" s="43"/>
      <c r="V718" s="43"/>
    </row>
    <row r="719" spans="4:22" ht="15" customHeight="1">
      <c r="D719" s="39"/>
      <c r="E719" s="40"/>
      <c r="K719" s="38"/>
      <c r="L719" s="38"/>
      <c r="M719" s="43"/>
      <c r="N719" s="42"/>
      <c r="O719" s="50"/>
      <c r="P719" s="38"/>
      <c r="Q719" s="41"/>
      <c r="R719" s="43"/>
      <c r="S719" s="43"/>
      <c r="T719" s="41"/>
      <c r="U719" s="43"/>
      <c r="V719" s="43"/>
    </row>
    <row r="720" spans="4:22" ht="15" customHeight="1">
      <c r="D720" s="39"/>
      <c r="E720" s="40"/>
      <c r="K720" s="38"/>
      <c r="L720" s="38"/>
      <c r="M720" s="43"/>
      <c r="N720" s="42"/>
      <c r="O720" s="50"/>
      <c r="P720" s="38"/>
      <c r="Q720" s="41"/>
      <c r="R720" s="43"/>
      <c r="S720" s="43"/>
      <c r="T720" s="41"/>
      <c r="U720" s="43"/>
      <c r="V720" s="43"/>
    </row>
    <row r="721" spans="4:22" ht="15" customHeight="1">
      <c r="D721" s="39"/>
      <c r="E721" s="40"/>
      <c r="K721" s="38"/>
      <c r="L721" s="38"/>
      <c r="M721" s="43"/>
      <c r="N721" s="42"/>
      <c r="O721" s="50"/>
      <c r="P721" s="38"/>
      <c r="Q721" s="41"/>
      <c r="R721" s="43"/>
      <c r="S721" s="43"/>
      <c r="T721" s="41"/>
      <c r="U721" s="43"/>
      <c r="V721" s="43"/>
    </row>
    <row r="722" spans="4:22" ht="15" customHeight="1">
      <c r="D722" s="39"/>
      <c r="E722" s="40"/>
      <c r="K722" s="38"/>
      <c r="L722" s="38"/>
      <c r="M722" s="43"/>
      <c r="N722" s="42"/>
      <c r="O722" s="50"/>
      <c r="P722" s="38"/>
      <c r="Q722" s="41"/>
      <c r="R722" s="43"/>
      <c r="S722" s="43"/>
      <c r="T722" s="41"/>
      <c r="U722" s="43"/>
      <c r="V722" s="43"/>
    </row>
    <row r="723" spans="4:22" ht="15" customHeight="1">
      <c r="D723" s="39"/>
      <c r="E723" s="40"/>
      <c r="K723" s="38"/>
      <c r="L723" s="38"/>
      <c r="M723" s="43"/>
      <c r="N723" s="42"/>
      <c r="O723" s="50"/>
      <c r="P723" s="38"/>
      <c r="Q723" s="41"/>
      <c r="R723" s="43"/>
      <c r="S723" s="43"/>
      <c r="T723" s="41"/>
      <c r="U723" s="43"/>
      <c r="V723" s="43"/>
    </row>
    <row r="724" spans="4:22" ht="15" customHeight="1">
      <c r="D724" s="39"/>
      <c r="E724" s="40"/>
      <c r="K724" s="38"/>
      <c r="L724" s="38"/>
      <c r="M724" s="43"/>
      <c r="N724" s="42"/>
      <c r="O724" s="50"/>
      <c r="P724" s="38"/>
      <c r="Q724" s="41"/>
      <c r="R724" s="43"/>
      <c r="S724" s="43"/>
      <c r="T724" s="41"/>
      <c r="U724" s="43"/>
      <c r="V724" s="43"/>
    </row>
    <row r="725" spans="4:22" ht="15" customHeight="1">
      <c r="D725" s="39"/>
      <c r="E725" s="40"/>
      <c r="K725" s="38"/>
      <c r="L725" s="38"/>
      <c r="M725" s="43"/>
      <c r="N725" s="42"/>
      <c r="O725" s="50"/>
      <c r="P725" s="38"/>
      <c r="Q725" s="41"/>
      <c r="R725" s="43"/>
      <c r="S725" s="43"/>
      <c r="T725" s="41"/>
      <c r="U725" s="43"/>
      <c r="V725" s="43"/>
    </row>
    <row r="726" spans="4:22" ht="15" customHeight="1">
      <c r="D726" s="39"/>
      <c r="E726" s="40"/>
      <c r="K726" s="38"/>
      <c r="L726" s="38"/>
      <c r="M726" s="43"/>
      <c r="N726" s="42"/>
      <c r="O726" s="50"/>
      <c r="P726" s="38"/>
      <c r="Q726" s="41"/>
      <c r="R726" s="43"/>
      <c r="S726" s="43"/>
      <c r="T726" s="41"/>
      <c r="U726" s="43"/>
      <c r="V726" s="43"/>
    </row>
    <row r="727" spans="4:22" ht="15" customHeight="1">
      <c r="D727" s="39"/>
      <c r="E727" s="40"/>
      <c r="K727" s="38"/>
      <c r="L727" s="38"/>
      <c r="M727" s="43"/>
      <c r="N727" s="42"/>
      <c r="O727" s="50"/>
      <c r="P727" s="38"/>
      <c r="Q727" s="41"/>
      <c r="R727" s="43"/>
      <c r="S727" s="43"/>
      <c r="T727" s="41"/>
      <c r="U727" s="43"/>
      <c r="V727" s="43"/>
    </row>
    <row r="728" spans="4:22" ht="15" customHeight="1">
      <c r="D728" s="39"/>
      <c r="E728" s="40"/>
      <c r="K728" s="38"/>
      <c r="L728" s="38"/>
      <c r="M728" s="43"/>
      <c r="N728" s="42"/>
      <c r="O728" s="50"/>
      <c r="P728" s="38"/>
      <c r="Q728" s="41"/>
      <c r="R728" s="43"/>
      <c r="S728" s="43"/>
      <c r="T728" s="41"/>
      <c r="U728" s="43"/>
      <c r="V728" s="43"/>
    </row>
    <row r="729" spans="4:22" ht="15" customHeight="1">
      <c r="D729" s="39"/>
      <c r="E729" s="40"/>
      <c r="K729" s="38"/>
      <c r="L729" s="38"/>
      <c r="M729" s="43"/>
      <c r="N729" s="42"/>
      <c r="O729" s="50"/>
      <c r="P729" s="38"/>
      <c r="Q729" s="41"/>
      <c r="R729" s="43"/>
      <c r="S729" s="43"/>
      <c r="T729" s="41"/>
      <c r="U729" s="43"/>
      <c r="V729" s="43"/>
    </row>
    <row r="730" spans="4:22" ht="15" customHeight="1">
      <c r="D730" s="39"/>
      <c r="E730" s="40"/>
      <c r="K730" s="38"/>
      <c r="L730" s="38"/>
      <c r="M730" s="43"/>
      <c r="N730" s="42"/>
      <c r="O730" s="50"/>
      <c r="P730" s="38"/>
      <c r="Q730" s="41"/>
      <c r="R730" s="43"/>
      <c r="S730" s="43"/>
      <c r="T730" s="41"/>
      <c r="U730" s="43"/>
      <c r="V730" s="43"/>
    </row>
    <row r="731" spans="4:22" ht="15" customHeight="1">
      <c r="D731" s="39"/>
      <c r="E731" s="40"/>
      <c r="K731" s="38"/>
      <c r="L731" s="38"/>
      <c r="M731" s="43"/>
      <c r="N731" s="42"/>
      <c r="O731" s="50"/>
      <c r="P731" s="38"/>
      <c r="Q731" s="41"/>
      <c r="R731" s="43"/>
      <c r="S731" s="43"/>
      <c r="T731" s="41"/>
      <c r="U731" s="43"/>
      <c r="V731" s="43"/>
    </row>
    <row r="732" spans="4:22" ht="15" customHeight="1">
      <c r="D732" s="39"/>
      <c r="E732" s="40"/>
      <c r="K732" s="38"/>
      <c r="L732" s="38"/>
      <c r="M732" s="43"/>
      <c r="N732" s="42"/>
      <c r="O732" s="50"/>
      <c r="P732" s="38"/>
      <c r="Q732" s="41"/>
      <c r="R732" s="43"/>
      <c r="S732" s="43"/>
      <c r="T732" s="41"/>
      <c r="U732" s="43"/>
      <c r="V732" s="43"/>
    </row>
    <row r="733" spans="4:22" ht="15" customHeight="1">
      <c r="D733" s="39"/>
      <c r="E733" s="40"/>
      <c r="K733" s="38"/>
      <c r="L733" s="38"/>
      <c r="M733" s="43"/>
      <c r="N733" s="42"/>
      <c r="O733" s="50"/>
      <c r="P733" s="38"/>
      <c r="Q733" s="41"/>
      <c r="R733" s="43"/>
      <c r="S733" s="43"/>
      <c r="T733" s="41"/>
      <c r="U733" s="43"/>
      <c r="V733" s="43"/>
    </row>
    <row r="734" spans="4:22" ht="15" customHeight="1">
      <c r="D734" s="39"/>
      <c r="E734" s="40"/>
      <c r="K734" s="38"/>
      <c r="L734" s="38"/>
      <c r="M734" s="43"/>
      <c r="N734" s="42"/>
      <c r="O734" s="50"/>
      <c r="P734" s="38"/>
      <c r="Q734" s="41"/>
      <c r="R734" s="43"/>
      <c r="S734" s="43"/>
      <c r="T734" s="41"/>
      <c r="U734" s="43"/>
      <c r="V734" s="43"/>
    </row>
    <row r="735" spans="4:22" ht="15" customHeight="1">
      <c r="D735" s="39"/>
      <c r="E735" s="40"/>
      <c r="K735" s="38"/>
      <c r="L735" s="38"/>
      <c r="M735" s="43"/>
      <c r="N735" s="42"/>
      <c r="O735" s="50"/>
      <c r="P735" s="38"/>
      <c r="Q735" s="41"/>
      <c r="R735" s="43"/>
      <c r="S735" s="43"/>
      <c r="T735" s="41"/>
      <c r="U735" s="43"/>
      <c r="V735" s="43"/>
    </row>
    <row r="736" spans="4:22" ht="15" customHeight="1">
      <c r="D736" s="39"/>
      <c r="E736" s="40"/>
      <c r="K736" s="38"/>
      <c r="L736" s="38"/>
      <c r="M736" s="43"/>
      <c r="N736" s="42"/>
      <c r="O736" s="50"/>
      <c r="P736" s="38"/>
      <c r="Q736" s="41"/>
      <c r="R736" s="43"/>
      <c r="S736" s="43"/>
      <c r="T736" s="41"/>
      <c r="U736" s="43"/>
      <c r="V736" s="43"/>
    </row>
    <row r="737" spans="4:22" ht="15" customHeight="1">
      <c r="D737" s="39"/>
      <c r="E737" s="40"/>
      <c r="K737" s="38"/>
      <c r="L737" s="38"/>
      <c r="M737" s="43"/>
      <c r="N737" s="42"/>
      <c r="O737" s="50"/>
      <c r="P737" s="38"/>
      <c r="Q737" s="41"/>
      <c r="R737" s="43"/>
      <c r="S737" s="43"/>
      <c r="T737" s="41"/>
      <c r="U737" s="43"/>
      <c r="V737" s="43"/>
    </row>
    <row r="738" spans="4:22" ht="15" customHeight="1">
      <c r="D738" s="39"/>
      <c r="E738" s="40"/>
      <c r="K738" s="38"/>
      <c r="L738" s="38"/>
      <c r="M738" s="43"/>
      <c r="N738" s="42"/>
      <c r="O738" s="50"/>
      <c r="P738" s="38"/>
      <c r="Q738" s="41"/>
      <c r="R738" s="43"/>
      <c r="S738" s="43"/>
      <c r="T738" s="41"/>
      <c r="U738" s="43"/>
      <c r="V738" s="43"/>
    </row>
    <row r="739" spans="4:22" ht="15" customHeight="1">
      <c r="D739" s="39"/>
      <c r="E739" s="40"/>
      <c r="K739" s="38"/>
      <c r="L739" s="38"/>
      <c r="M739" s="43"/>
      <c r="N739" s="42"/>
      <c r="O739" s="50"/>
      <c r="P739" s="38"/>
      <c r="Q739" s="41"/>
      <c r="R739" s="43"/>
      <c r="S739" s="43"/>
      <c r="T739" s="41"/>
      <c r="U739" s="43"/>
      <c r="V739" s="43"/>
    </row>
    <row r="740" spans="4:22" ht="15" customHeight="1">
      <c r="D740" s="39"/>
      <c r="E740" s="40"/>
      <c r="K740" s="38"/>
      <c r="L740" s="38"/>
      <c r="M740" s="43"/>
      <c r="N740" s="42"/>
      <c r="O740" s="50"/>
      <c r="P740" s="38"/>
      <c r="Q740" s="41"/>
      <c r="R740" s="43"/>
      <c r="S740" s="43"/>
      <c r="T740" s="41"/>
      <c r="U740" s="43"/>
      <c r="V740" s="43"/>
    </row>
    <row r="741" spans="4:22" ht="15" customHeight="1">
      <c r="D741" s="39"/>
      <c r="E741" s="40"/>
      <c r="K741" s="38"/>
      <c r="L741" s="38"/>
      <c r="M741" s="43"/>
      <c r="N741" s="42"/>
      <c r="O741" s="50"/>
      <c r="P741" s="38"/>
      <c r="Q741" s="41"/>
      <c r="R741" s="43"/>
      <c r="S741" s="43"/>
      <c r="T741" s="41"/>
      <c r="U741" s="43"/>
      <c r="V741" s="43"/>
    </row>
    <row r="742" spans="4:22" ht="15" customHeight="1">
      <c r="D742" s="39"/>
      <c r="E742" s="40"/>
      <c r="K742" s="38"/>
      <c r="L742" s="38"/>
      <c r="M742" s="43"/>
      <c r="N742" s="42"/>
      <c r="O742" s="50"/>
      <c r="P742" s="38"/>
      <c r="Q742" s="41"/>
      <c r="R742" s="43"/>
      <c r="S742" s="43"/>
      <c r="T742" s="41"/>
      <c r="U742" s="43"/>
      <c r="V742" s="43"/>
    </row>
    <row r="743" spans="4:22" ht="15" customHeight="1">
      <c r="D743" s="39"/>
      <c r="E743" s="40"/>
      <c r="K743" s="38"/>
      <c r="L743" s="38"/>
      <c r="M743" s="43"/>
      <c r="N743" s="42"/>
      <c r="O743" s="50"/>
      <c r="P743" s="38"/>
      <c r="Q743" s="41"/>
      <c r="R743" s="43"/>
      <c r="S743" s="43"/>
      <c r="T743" s="41"/>
      <c r="U743" s="43"/>
      <c r="V743" s="43"/>
    </row>
    <row r="744" spans="4:22" ht="15" customHeight="1">
      <c r="D744" s="39"/>
      <c r="E744" s="40"/>
      <c r="K744" s="38"/>
      <c r="L744" s="38"/>
      <c r="M744" s="43"/>
      <c r="N744" s="42"/>
      <c r="O744" s="50"/>
      <c r="P744" s="38"/>
      <c r="Q744" s="41"/>
      <c r="R744" s="43"/>
      <c r="S744" s="43"/>
      <c r="T744" s="41"/>
      <c r="U744" s="43"/>
      <c r="V744" s="43"/>
    </row>
    <row r="745" spans="4:22" ht="15" customHeight="1">
      <c r="D745" s="39"/>
      <c r="E745" s="40"/>
      <c r="K745" s="38"/>
      <c r="L745" s="38"/>
      <c r="M745" s="43"/>
      <c r="N745" s="42"/>
      <c r="O745" s="50"/>
      <c r="P745" s="38"/>
      <c r="Q745" s="41"/>
      <c r="R745" s="43"/>
      <c r="S745" s="43"/>
      <c r="T745" s="41"/>
      <c r="U745" s="43"/>
      <c r="V745" s="43"/>
    </row>
    <row r="746" spans="4:22" ht="15" customHeight="1">
      <c r="D746" s="39"/>
      <c r="E746" s="40"/>
      <c r="K746" s="38"/>
      <c r="L746" s="38"/>
      <c r="M746" s="43"/>
      <c r="N746" s="42"/>
      <c r="O746" s="50"/>
      <c r="P746" s="38"/>
      <c r="Q746" s="41"/>
      <c r="R746" s="43"/>
      <c r="S746" s="43"/>
      <c r="T746" s="41"/>
      <c r="U746" s="43"/>
      <c r="V746" s="43"/>
    </row>
    <row r="747" spans="4:22" ht="15" customHeight="1">
      <c r="D747" s="39"/>
      <c r="E747" s="40"/>
      <c r="K747" s="38"/>
      <c r="L747" s="38"/>
      <c r="M747" s="43"/>
      <c r="N747" s="42"/>
      <c r="O747" s="50"/>
      <c r="P747" s="38"/>
      <c r="Q747" s="41"/>
      <c r="R747" s="43"/>
      <c r="S747" s="43"/>
      <c r="T747" s="41"/>
      <c r="U747" s="43"/>
      <c r="V747" s="43"/>
    </row>
    <row r="748" spans="4:22" ht="15" customHeight="1">
      <c r="D748" s="39"/>
      <c r="E748" s="40"/>
      <c r="K748" s="38"/>
      <c r="L748" s="38"/>
      <c r="M748" s="43"/>
      <c r="N748" s="42"/>
      <c r="O748" s="50"/>
      <c r="P748" s="38"/>
      <c r="Q748" s="41"/>
      <c r="R748" s="43"/>
      <c r="S748" s="43"/>
      <c r="T748" s="41"/>
      <c r="U748" s="43"/>
      <c r="V748" s="43"/>
    </row>
    <row r="749" spans="4:22" ht="15" customHeight="1">
      <c r="D749" s="39"/>
      <c r="E749" s="40"/>
      <c r="K749" s="38"/>
      <c r="L749" s="38"/>
      <c r="M749" s="43"/>
      <c r="N749" s="42"/>
      <c r="O749" s="50"/>
      <c r="P749" s="38"/>
      <c r="Q749" s="41"/>
      <c r="R749" s="43"/>
      <c r="S749" s="43"/>
      <c r="T749" s="41"/>
      <c r="U749" s="43"/>
      <c r="V749" s="43"/>
    </row>
    <row r="750" spans="4:22" ht="15" customHeight="1">
      <c r="D750" s="39"/>
      <c r="E750" s="40"/>
      <c r="K750" s="38"/>
      <c r="L750" s="38"/>
      <c r="M750" s="43"/>
      <c r="N750" s="42"/>
      <c r="O750" s="50"/>
      <c r="P750" s="38"/>
      <c r="Q750" s="41"/>
      <c r="R750" s="43"/>
      <c r="S750" s="43"/>
      <c r="T750" s="41"/>
      <c r="U750" s="43"/>
      <c r="V750" s="43"/>
    </row>
    <row r="751" spans="4:22" ht="15" customHeight="1">
      <c r="D751" s="39"/>
      <c r="E751" s="40"/>
      <c r="K751" s="38"/>
      <c r="L751" s="38"/>
      <c r="M751" s="43"/>
      <c r="N751" s="42"/>
      <c r="O751" s="50"/>
      <c r="P751" s="38"/>
      <c r="Q751" s="41"/>
      <c r="R751" s="43"/>
      <c r="S751" s="43"/>
      <c r="T751" s="41"/>
      <c r="U751" s="43"/>
      <c r="V751" s="43"/>
    </row>
    <row r="752" spans="4:22" ht="15" customHeight="1">
      <c r="D752" s="39"/>
      <c r="E752" s="40"/>
      <c r="K752" s="38"/>
      <c r="L752" s="38"/>
      <c r="M752" s="43"/>
      <c r="N752" s="42"/>
      <c r="O752" s="50"/>
      <c r="P752" s="38"/>
      <c r="Q752" s="41"/>
      <c r="R752" s="43"/>
      <c r="S752" s="43"/>
      <c r="T752" s="41"/>
      <c r="U752" s="43"/>
      <c r="V752" s="43"/>
    </row>
    <row r="753" spans="4:22" ht="15" customHeight="1">
      <c r="D753" s="39"/>
      <c r="E753" s="40"/>
      <c r="K753" s="38"/>
      <c r="L753" s="38"/>
      <c r="M753" s="43"/>
      <c r="N753" s="42"/>
      <c r="O753" s="50"/>
      <c r="P753" s="38"/>
      <c r="Q753" s="41"/>
      <c r="R753" s="43"/>
      <c r="S753" s="43"/>
      <c r="T753" s="41"/>
      <c r="U753" s="43"/>
      <c r="V753" s="43"/>
    </row>
    <row r="754" spans="4:22" ht="15" customHeight="1">
      <c r="D754" s="39"/>
      <c r="E754" s="40"/>
      <c r="K754" s="38"/>
      <c r="L754" s="38"/>
      <c r="M754" s="43"/>
      <c r="N754" s="42"/>
      <c r="O754" s="50"/>
      <c r="P754" s="38"/>
      <c r="Q754" s="41"/>
      <c r="R754" s="43"/>
      <c r="S754" s="43"/>
      <c r="T754" s="41"/>
      <c r="U754" s="43"/>
      <c r="V754" s="43"/>
    </row>
    <row r="755" spans="4:22" ht="15" customHeight="1">
      <c r="D755" s="39"/>
      <c r="E755" s="40"/>
      <c r="K755" s="38"/>
      <c r="L755" s="38"/>
      <c r="M755" s="43"/>
      <c r="N755" s="42"/>
      <c r="O755" s="50"/>
      <c r="P755" s="38"/>
      <c r="Q755" s="41"/>
      <c r="R755" s="43"/>
      <c r="S755" s="43"/>
      <c r="T755" s="41"/>
      <c r="U755" s="43"/>
      <c r="V755" s="43"/>
    </row>
    <row r="756" spans="4:22" ht="15" customHeight="1">
      <c r="D756" s="39"/>
      <c r="E756" s="40"/>
      <c r="K756" s="38"/>
      <c r="L756" s="38"/>
      <c r="M756" s="43"/>
      <c r="N756" s="42"/>
      <c r="O756" s="50"/>
      <c r="P756" s="38"/>
      <c r="Q756" s="41"/>
      <c r="R756" s="43"/>
      <c r="S756" s="43"/>
      <c r="T756" s="41"/>
      <c r="U756" s="43"/>
      <c r="V756" s="43"/>
    </row>
    <row r="757" spans="4:22" ht="15" customHeight="1">
      <c r="D757" s="39"/>
      <c r="E757" s="40"/>
      <c r="K757" s="38"/>
      <c r="L757" s="38"/>
      <c r="M757" s="43"/>
      <c r="N757" s="42"/>
      <c r="O757" s="50"/>
      <c r="P757" s="38"/>
      <c r="Q757" s="41"/>
      <c r="R757" s="43"/>
      <c r="S757" s="43"/>
      <c r="T757" s="41"/>
      <c r="U757" s="43"/>
      <c r="V757" s="43"/>
    </row>
    <row r="758" spans="4:22" ht="15" customHeight="1">
      <c r="D758" s="39"/>
      <c r="E758" s="40"/>
      <c r="K758" s="38"/>
      <c r="L758" s="38"/>
      <c r="M758" s="43"/>
      <c r="N758" s="42"/>
      <c r="O758" s="50"/>
      <c r="P758" s="38"/>
      <c r="Q758" s="41"/>
      <c r="R758" s="43"/>
      <c r="S758" s="43"/>
      <c r="T758" s="41"/>
      <c r="U758" s="43"/>
      <c r="V758" s="43"/>
    </row>
    <row r="759" spans="4:22" ht="15" customHeight="1">
      <c r="D759" s="39"/>
      <c r="E759" s="40"/>
      <c r="K759" s="38"/>
      <c r="L759" s="38"/>
      <c r="M759" s="43"/>
      <c r="N759" s="42"/>
      <c r="O759" s="50"/>
      <c r="P759" s="38"/>
      <c r="Q759" s="41"/>
      <c r="R759" s="43"/>
      <c r="S759" s="43"/>
      <c r="T759" s="41"/>
      <c r="U759" s="43"/>
      <c r="V759" s="43"/>
    </row>
    <row r="760" spans="4:22" ht="15" customHeight="1">
      <c r="D760" s="39"/>
      <c r="E760" s="40"/>
      <c r="K760" s="38"/>
      <c r="L760" s="38"/>
      <c r="M760" s="43"/>
      <c r="N760" s="42"/>
      <c r="O760" s="50"/>
      <c r="P760" s="38"/>
      <c r="Q760" s="41"/>
      <c r="R760" s="43"/>
      <c r="S760" s="43"/>
      <c r="T760" s="41"/>
      <c r="U760" s="43"/>
      <c r="V760" s="43"/>
    </row>
    <row r="761" spans="4:22" ht="15" customHeight="1">
      <c r="D761" s="39"/>
      <c r="E761" s="40"/>
      <c r="K761" s="38"/>
      <c r="L761" s="38"/>
      <c r="M761" s="43"/>
      <c r="N761" s="42"/>
      <c r="O761" s="50"/>
      <c r="P761" s="38"/>
      <c r="Q761" s="41"/>
      <c r="R761" s="43"/>
      <c r="S761" s="43"/>
      <c r="T761" s="41"/>
      <c r="U761" s="43"/>
      <c r="V761" s="43"/>
    </row>
    <row r="762" spans="4:22" ht="15" customHeight="1">
      <c r="D762" s="39"/>
      <c r="E762" s="40"/>
      <c r="K762" s="38"/>
      <c r="L762" s="38"/>
      <c r="M762" s="43"/>
      <c r="N762" s="42"/>
      <c r="O762" s="50"/>
      <c r="P762" s="38"/>
      <c r="Q762" s="41"/>
      <c r="R762" s="43"/>
      <c r="S762" s="43"/>
      <c r="T762" s="41"/>
      <c r="U762" s="43"/>
      <c r="V762" s="43"/>
    </row>
    <row r="763" spans="4:22" ht="15" customHeight="1">
      <c r="D763" s="39"/>
      <c r="E763" s="40"/>
      <c r="K763" s="38"/>
      <c r="L763" s="38"/>
      <c r="M763" s="43"/>
      <c r="N763" s="42"/>
      <c r="O763" s="50"/>
      <c r="P763" s="38"/>
      <c r="Q763" s="41"/>
      <c r="R763" s="43"/>
      <c r="S763" s="43"/>
      <c r="T763" s="41"/>
      <c r="U763" s="43"/>
      <c r="V763" s="43"/>
    </row>
    <row r="764" spans="4:22" ht="15" customHeight="1">
      <c r="D764" s="39"/>
      <c r="E764" s="40"/>
      <c r="K764" s="38"/>
      <c r="L764" s="38"/>
      <c r="M764" s="43"/>
      <c r="N764" s="42"/>
      <c r="O764" s="50"/>
      <c r="P764" s="38"/>
      <c r="Q764" s="41"/>
      <c r="R764" s="43"/>
      <c r="S764" s="43"/>
      <c r="T764" s="41"/>
      <c r="U764" s="43"/>
      <c r="V764" s="43"/>
    </row>
    <row r="765" spans="4:22" ht="15" customHeight="1">
      <c r="D765" s="39"/>
      <c r="E765" s="40"/>
      <c r="K765" s="38"/>
      <c r="L765" s="38"/>
      <c r="M765" s="43"/>
      <c r="N765" s="42"/>
      <c r="O765" s="50"/>
      <c r="P765" s="38"/>
      <c r="Q765" s="41"/>
      <c r="R765" s="43"/>
      <c r="S765" s="43"/>
      <c r="T765" s="41"/>
      <c r="U765" s="43"/>
      <c r="V765" s="43"/>
    </row>
    <row r="766" spans="4:22" ht="15" customHeight="1">
      <c r="D766" s="39"/>
      <c r="E766" s="40"/>
      <c r="K766" s="38"/>
      <c r="L766" s="38"/>
      <c r="M766" s="43"/>
      <c r="N766" s="42"/>
      <c r="O766" s="50"/>
      <c r="P766" s="38"/>
      <c r="Q766" s="41"/>
      <c r="R766" s="43"/>
      <c r="S766" s="43"/>
      <c r="T766" s="41"/>
      <c r="U766" s="43"/>
      <c r="V766" s="43"/>
    </row>
    <row r="767" spans="4:22" ht="15" customHeight="1">
      <c r="D767" s="39"/>
      <c r="E767" s="40"/>
      <c r="K767" s="38"/>
      <c r="L767" s="38"/>
      <c r="M767" s="43"/>
      <c r="N767" s="42"/>
      <c r="O767" s="50"/>
      <c r="P767" s="38"/>
      <c r="Q767" s="41"/>
      <c r="R767" s="43"/>
      <c r="S767" s="43"/>
      <c r="T767" s="41"/>
      <c r="U767" s="43"/>
      <c r="V767" s="43"/>
    </row>
    <row r="768" spans="4:22" ht="15" customHeight="1">
      <c r="D768" s="39"/>
      <c r="E768" s="40"/>
      <c r="K768" s="38"/>
      <c r="L768" s="38"/>
      <c r="M768" s="43"/>
      <c r="N768" s="42"/>
      <c r="O768" s="50"/>
      <c r="P768" s="38"/>
      <c r="Q768" s="41"/>
      <c r="R768" s="43"/>
      <c r="S768" s="43"/>
      <c r="T768" s="41"/>
      <c r="U768" s="43"/>
      <c r="V768" s="43"/>
    </row>
    <row r="769" spans="4:22" ht="15" customHeight="1">
      <c r="D769" s="39"/>
      <c r="E769" s="40"/>
      <c r="K769" s="38"/>
      <c r="L769" s="38"/>
      <c r="M769" s="43"/>
      <c r="N769" s="42"/>
      <c r="O769" s="50"/>
      <c r="P769" s="38"/>
      <c r="Q769" s="41"/>
      <c r="R769" s="43"/>
      <c r="S769" s="43"/>
      <c r="T769" s="41"/>
      <c r="U769" s="43"/>
      <c r="V769" s="43"/>
    </row>
    <row r="770" spans="4:22" ht="15" customHeight="1">
      <c r="D770" s="39"/>
      <c r="E770" s="40"/>
      <c r="K770" s="38"/>
      <c r="L770" s="38"/>
      <c r="M770" s="43"/>
      <c r="N770" s="42"/>
      <c r="O770" s="50"/>
      <c r="P770" s="38"/>
      <c r="Q770" s="41"/>
      <c r="R770" s="43"/>
      <c r="S770" s="43"/>
      <c r="T770" s="41"/>
      <c r="U770" s="43"/>
      <c r="V770" s="43"/>
    </row>
    <row r="771" spans="4:22" ht="15" customHeight="1">
      <c r="D771" s="39"/>
      <c r="E771" s="40"/>
      <c r="K771" s="38"/>
      <c r="L771" s="38"/>
      <c r="M771" s="43"/>
      <c r="N771" s="42"/>
      <c r="O771" s="50"/>
      <c r="P771" s="38"/>
      <c r="Q771" s="41"/>
      <c r="R771" s="43"/>
      <c r="S771" s="43"/>
      <c r="T771" s="41"/>
      <c r="U771" s="43"/>
      <c r="V771" s="43"/>
    </row>
    <row r="772" spans="4:22" ht="15" customHeight="1">
      <c r="D772" s="39"/>
      <c r="E772" s="40"/>
      <c r="K772" s="38"/>
      <c r="L772" s="38"/>
      <c r="M772" s="43"/>
      <c r="N772" s="42"/>
      <c r="O772" s="50"/>
      <c r="P772" s="38"/>
      <c r="Q772" s="41"/>
      <c r="R772" s="43"/>
      <c r="S772" s="43"/>
      <c r="T772" s="41"/>
      <c r="U772" s="43"/>
      <c r="V772" s="43"/>
    </row>
    <row r="773" spans="4:22" ht="15" customHeight="1">
      <c r="D773" s="39"/>
      <c r="E773" s="40"/>
      <c r="K773" s="38"/>
      <c r="L773" s="38"/>
      <c r="M773" s="43"/>
      <c r="N773" s="42"/>
      <c r="O773" s="50"/>
      <c r="P773" s="38"/>
      <c r="Q773" s="41"/>
      <c r="R773" s="43"/>
      <c r="S773" s="43"/>
      <c r="T773" s="41"/>
      <c r="U773" s="43"/>
      <c r="V773" s="43"/>
    </row>
    <row r="774" spans="4:22" ht="15" customHeight="1">
      <c r="D774" s="39"/>
      <c r="E774" s="40"/>
      <c r="K774" s="38"/>
      <c r="L774" s="38"/>
      <c r="M774" s="43"/>
      <c r="N774" s="42"/>
      <c r="O774" s="50"/>
      <c r="P774" s="38"/>
      <c r="Q774" s="41"/>
      <c r="R774" s="43"/>
      <c r="S774" s="43"/>
      <c r="T774" s="41"/>
      <c r="U774" s="43"/>
      <c r="V774" s="43"/>
    </row>
    <row r="775" spans="4:22" ht="15" customHeight="1">
      <c r="D775" s="39"/>
      <c r="E775" s="40"/>
      <c r="K775" s="38"/>
      <c r="L775" s="38"/>
      <c r="M775" s="43"/>
      <c r="N775" s="42"/>
      <c r="O775" s="50"/>
      <c r="P775" s="38"/>
      <c r="Q775" s="41"/>
      <c r="R775" s="43"/>
      <c r="S775" s="43"/>
      <c r="T775" s="41"/>
      <c r="U775" s="43"/>
      <c r="V775" s="43"/>
    </row>
    <row r="776" spans="4:22" ht="15" customHeight="1">
      <c r="D776" s="39"/>
      <c r="E776" s="40"/>
      <c r="K776" s="38"/>
      <c r="L776" s="38"/>
      <c r="M776" s="43"/>
      <c r="N776" s="42"/>
      <c r="O776" s="50"/>
      <c r="P776" s="38"/>
      <c r="Q776" s="41"/>
      <c r="R776" s="43"/>
      <c r="S776" s="43"/>
      <c r="T776" s="41"/>
      <c r="U776" s="43"/>
      <c r="V776" s="43"/>
    </row>
    <row r="777" spans="4:22" ht="15" customHeight="1">
      <c r="D777" s="39"/>
      <c r="E777" s="40"/>
      <c r="K777" s="38"/>
      <c r="L777" s="38"/>
      <c r="M777" s="43"/>
      <c r="N777" s="42"/>
      <c r="O777" s="50"/>
      <c r="P777" s="38"/>
      <c r="Q777" s="41"/>
      <c r="R777" s="43"/>
      <c r="S777" s="43"/>
      <c r="T777" s="41"/>
      <c r="U777" s="43"/>
      <c r="V777" s="43"/>
    </row>
    <row r="778" spans="4:22" ht="15" customHeight="1">
      <c r="D778" s="39"/>
      <c r="E778" s="40"/>
      <c r="K778" s="38"/>
      <c r="L778" s="38"/>
      <c r="M778" s="43"/>
      <c r="N778" s="42"/>
      <c r="O778" s="50"/>
      <c r="P778" s="38"/>
      <c r="Q778" s="41"/>
      <c r="R778" s="43"/>
      <c r="S778" s="43"/>
      <c r="T778" s="41"/>
      <c r="U778" s="43"/>
      <c r="V778" s="43"/>
    </row>
    <row r="779" spans="4:22" ht="15" customHeight="1">
      <c r="D779" s="39"/>
      <c r="E779" s="40"/>
      <c r="K779" s="38"/>
      <c r="L779" s="38"/>
      <c r="M779" s="43"/>
      <c r="N779" s="42"/>
      <c r="O779" s="50"/>
      <c r="P779" s="38"/>
      <c r="Q779" s="41"/>
      <c r="R779" s="43"/>
      <c r="S779" s="43"/>
      <c r="T779" s="41"/>
      <c r="U779" s="43"/>
      <c r="V779" s="43"/>
    </row>
    <row r="780" spans="4:22" ht="15" customHeight="1">
      <c r="D780" s="39"/>
      <c r="E780" s="40"/>
      <c r="K780" s="38"/>
      <c r="L780" s="38"/>
      <c r="M780" s="43"/>
      <c r="N780" s="42"/>
      <c r="O780" s="50"/>
      <c r="P780" s="38"/>
      <c r="Q780" s="41"/>
      <c r="R780" s="43"/>
      <c r="S780" s="43"/>
      <c r="T780" s="41"/>
      <c r="U780" s="43"/>
      <c r="V780" s="43"/>
    </row>
    <row r="781" spans="4:22" ht="15" customHeight="1">
      <c r="D781" s="39"/>
      <c r="E781" s="40"/>
      <c r="K781" s="38"/>
      <c r="L781" s="38"/>
      <c r="M781" s="43"/>
      <c r="N781" s="42"/>
      <c r="O781" s="50"/>
      <c r="P781" s="38"/>
      <c r="Q781" s="41"/>
      <c r="R781" s="43"/>
      <c r="S781" s="43"/>
      <c r="T781" s="41"/>
      <c r="U781" s="43"/>
      <c r="V781" s="43"/>
    </row>
    <row r="782" spans="4:22" ht="15" customHeight="1">
      <c r="D782" s="39"/>
      <c r="E782" s="40"/>
      <c r="K782" s="38"/>
      <c r="L782" s="38"/>
      <c r="M782" s="43"/>
      <c r="N782" s="42"/>
      <c r="O782" s="50"/>
      <c r="P782" s="38"/>
      <c r="Q782" s="41"/>
      <c r="R782" s="43"/>
      <c r="S782" s="43"/>
      <c r="T782" s="41"/>
      <c r="U782" s="43"/>
      <c r="V782" s="43"/>
    </row>
    <row r="783" spans="4:22" ht="15" customHeight="1">
      <c r="D783" s="39"/>
      <c r="E783" s="40"/>
      <c r="K783" s="38"/>
      <c r="L783" s="38"/>
      <c r="M783" s="43"/>
      <c r="N783" s="42"/>
      <c r="O783" s="50"/>
      <c r="P783" s="38"/>
      <c r="Q783" s="41"/>
      <c r="R783" s="43"/>
      <c r="S783" s="43"/>
      <c r="T783" s="41"/>
      <c r="U783" s="43"/>
      <c r="V783" s="43"/>
    </row>
    <row r="784" spans="4:22" ht="15" customHeight="1">
      <c r="D784" s="39"/>
      <c r="E784" s="40"/>
      <c r="K784" s="38"/>
      <c r="L784" s="38"/>
      <c r="M784" s="43"/>
      <c r="N784" s="42"/>
      <c r="O784" s="50"/>
      <c r="P784" s="38"/>
      <c r="Q784" s="41"/>
      <c r="R784" s="43"/>
      <c r="S784" s="43"/>
      <c r="T784" s="41"/>
      <c r="U784" s="43"/>
      <c r="V784" s="43"/>
    </row>
    <row r="785" spans="4:22" ht="15" customHeight="1">
      <c r="D785" s="39"/>
      <c r="E785" s="40"/>
      <c r="K785" s="38"/>
      <c r="L785" s="38"/>
      <c r="M785" s="43"/>
      <c r="N785" s="42"/>
      <c r="O785" s="50"/>
      <c r="P785" s="38"/>
      <c r="Q785" s="41"/>
      <c r="R785" s="43"/>
      <c r="S785" s="43"/>
      <c r="T785" s="41"/>
      <c r="U785" s="43"/>
      <c r="V785" s="43"/>
    </row>
    <row r="786" spans="4:22" ht="15" customHeight="1">
      <c r="D786" s="39"/>
      <c r="E786" s="40"/>
      <c r="K786" s="38"/>
      <c r="L786" s="38"/>
      <c r="M786" s="43"/>
      <c r="N786" s="42"/>
      <c r="O786" s="50"/>
      <c r="P786" s="38"/>
      <c r="Q786" s="41"/>
      <c r="R786" s="43"/>
      <c r="S786" s="43"/>
      <c r="T786" s="41"/>
      <c r="U786" s="43"/>
      <c r="V786" s="43"/>
    </row>
    <row r="787" spans="4:22" ht="15" customHeight="1">
      <c r="D787" s="39"/>
      <c r="E787" s="40"/>
      <c r="K787" s="38"/>
      <c r="L787" s="38"/>
      <c r="M787" s="43"/>
      <c r="N787" s="42"/>
      <c r="O787" s="50"/>
      <c r="P787" s="38"/>
      <c r="Q787" s="41"/>
      <c r="R787" s="43"/>
      <c r="S787" s="43"/>
      <c r="T787" s="41"/>
      <c r="U787" s="43"/>
      <c r="V787" s="43"/>
    </row>
    <row r="788" spans="4:22" ht="15" customHeight="1">
      <c r="D788" s="39"/>
      <c r="E788" s="40"/>
      <c r="K788" s="38"/>
      <c r="L788" s="38"/>
      <c r="M788" s="43"/>
      <c r="N788" s="42"/>
      <c r="O788" s="50"/>
      <c r="P788" s="38"/>
      <c r="Q788" s="41"/>
      <c r="R788" s="43"/>
      <c r="S788" s="43"/>
      <c r="T788" s="41"/>
      <c r="U788" s="43"/>
      <c r="V788" s="43"/>
    </row>
    <row r="789" spans="4:22" ht="15" customHeight="1">
      <c r="D789" s="39"/>
      <c r="E789" s="40"/>
      <c r="K789" s="38"/>
      <c r="L789" s="38"/>
      <c r="M789" s="43"/>
      <c r="N789" s="42"/>
      <c r="O789" s="50"/>
      <c r="P789" s="38"/>
      <c r="Q789" s="41"/>
      <c r="R789" s="43"/>
      <c r="S789" s="43"/>
      <c r="T789" s="41"/>
      <c r="U789" s="43"/>
      <c r="V789" s="43"/>
    </row>
    <row r="790" spans="4:22" ht="15" customHeight="1">
      <c r="D790" s="39"/>
      <c r="E790" s="40"/>
      <c r="K790" s="38"/>
      <c r="L790" s="38"/>
      <c r="M790" s="43"/>
      <c r="N790" s="42"/>
      <c r="O790" s="50"/>
      <c r="P790" s="38"/>
      <c r="Q790" s="41"/>
      <c r="R790" s="43"/>
      <c r="S790" s="43"/>
      <c r="T790" s="41"/>
      <c r="U790" s="43"/>
      <c r="V790" s="43"/>
    </row>
    <row r="791" spans="4:22" ht="15" customHeight="1">
      <c r="D791" s="39"/>
      <c r="E791" s="40"/>
      <c r="K791" s="38"/>
      <c r="L791" s="38"/>
      <c r="M791" s="43"/>
      <c r="N791" s="42"/>
      <c r="O791" s="50"/>
      <c r="P791" s="38"/>
      <c r="Q791" s="41"/>
      <c r="R791" s="43"/>
      <c r="S791" s="43"/>
      <c r="T791" s="41"/>
      <c r="U791" s="43"/>
      <c r="V791" s="43"/>
    </row>
    <row r="792" spans="4:22" ht="15" customHeight="1">
      <c r="D792" s="39"/>
      <c r="E792" s="40"/>
      <c r="K792" s="38"/>
      <c r="L792" s="38"/>
      <c r="M792" s="43"/>
      <c r="N792" s="42"/>
      <c r="O792" s="50"/>
      <c r="P792" s="38"/>
      <c r="Q792" s="41"/>
      <c r="R792" s="43"/>
      <c r="S792" s="43"/>
      <c r="T792" s="41"/>
      <c r="U792" s="43"/>
      <c r="V792" s="43"/>
    </row>
    <row r="793" spans="4:22" ht="15" customHeight="1">
      <c r="D793" s="39"/>
      <c r="E793" s="40"/>
      <c r="K793" s="38"/>
      <c r="L793" s="38"/>
      <c r="M793" s="43"/>
      <c r="N793" s="42"/>
      <c r="O793" s="50"/>
      <c r="P793" s="38"/>
      <c r="Q793" s="41"/>
      <c r="R793" s="43"/>
      <c r="S793" s="43"/>
      <c r="T793" s="41"/>
      <c r="U793" s="43"/>
      <c r="V793" s="43"/>
    </row>
    <row r="794" spans="4:22" ht="15" customHeight="1">
      <c r="D794" s="39"/>
      <c r="E794" s="40"/>
      <c r="K794" s="38"/>
      <c r="L794" s="38"/>
      <c r="M794" s="43"/>
      <c r="N794" s="42"/>
      <c r="O794" s="50"/>
      <c r="P794" s="38"/>
      <c r="Q794" s="41"/>
      <c r="R794" s="43"/>
      <c r="S794" s="43"/>
      <c r="T794" s="41"/>
      <c r="U794" s="43"/>
      <c r="V794" s="43"/>
    </row>
    <row r="795" spans="4:22" ht="15" customHeight="1">
      <c r="D795" s="39"/>
      <c r="E795" s="40"/>
      <c r="K795" s="38"/>
      <c r="L795" s="38"/>
      <c r="M795" s="43"/>
      <c r="N795" s="42"/>
      <c r="O795" s="50"/>
      <c r="P795" s="38"/>
      <c r="Q795" s="41"/>
      <c r="R795" s="43"/>
      <c r="S795" s="43"/>
      <c r="T795" s="41"/>
      <c r="U795" s="43"/>
      <c r="V795" s="43"/>
    </row>
    <row r="796" spans="4:22" ht="15" customHeight="1">
      <c r="D796" s="39"/>
      <c r="E796" s="40"/>
      <c r="K796" s="38"/>
      <c r="L796" s="38"/>
      <c r="M796" s="43"/>
      <c r="N796" s="42"/>
      <c r="O796" s="50"/>
      <c r="P796" s="38"/>
      <c r="Q796" s="41"/>
      <c r="R796" s="43"/>
      <c r="S796" s="43"/>
      <c r="T796" s="41"/>
      <c r="U796" s="43"/>
      <c r="V796" s="43"/>
    </row>
    <row r="797" spans="4:22" ht="15" customHeight="1">
      <c r="D797" s="39"/>
      <c r="E797" s="40"/>
      <c r="K797" s="38"/>
      <c r="L797" s="38"/>
      <c r="M797" s="43"/>
      <c r="N797" s="42"/>
      <c r="O797" s="50"/>
      <c r="P797" s="38"/>
      <c r="Q797" s="41"/>
      <c r="R797" s="43"/>
      <c r="S797" s="43"/>
      <c r="T797" s="41"/>
      <c r="U797" s="43"/>
      <c r="V797" s="43"/>
    </row>
    <row r="798" spans="4:22" ht="15" customHeight="1">
      <c r="D798" s="39"/>
      <c r="E798" s="40"/>
      <c r="K798" s="38"/>
      <c r="L798" s="38"/>
      <c r="M798" s="43"/>
      <c r="N798" s="42"/>
      <c r="O798" s="50"/>
      <c r="P798" s="38"/>
      <c r="Q798" s="41"/>
      <c r="R798" s="43"/>
      <c r="S798" s="43"/>
      <c r="T798" s="41"/>
      <c r="U798" s="43"/>
      <c r="V798" s="43"/>
    </row>
    <row r="799" spans="4:22" ht="15" customHeight="1">
      <c r="D799" s="39"/>
      <c r="E799" s="40"/>
      <c r="K799" s="38"/>
      <c r="L799" s="38"/>
      <c r="M799" s="43"/>
      <c r="N799" s="42"/>
      <c r="O799" s="50"/>
      <c r="P799" s="38"/>
      <c r="Q799" s="41"/>
      <c r="R799" s="43"/>
      <c r="S799" s="43"/>
      <c r="T799" s="41"/>
      <c r="U799" s="43"/>
      <c r="V799" s="43"/>
    </row>
    <row r="800" spans="4:22" ht="15" customHeight="1">
      <c r="D800" s="39"/>
      <c r="E800" s="40"/>
      <c r="K800" s="38"/>
      <c r="L800" s="38"/>
      <c r="M800" s="43"/>
      <c r="N800" s="42"/>
      <c r="O800" s="50"/>
      <c r="P800" s="38"/>
      <c r="Q800" s="41"/>
      <c r="R800" s="43"/>
      <c r="S800" s="43"/>
      <c r="T800" s="41"/>
      <c r="U800" s="43"/>
      <c r="V800" s="43"/>
    </row>
    <row r="801" spans="4:22" ht="15" customHeight="1">
      <c r="D801" s="39"/>
      <c r="E801" s="40"/>
      <c r="K801" s="38"/>
      <c r="L801" s="38"/>
      <c r="M801" s="43"/>
      <c r="N801" s="42"/>
      <c r="O801" s="50"/>
      <c r="P801" s="38"/>
      <c r="Q801" s="41"/>
      <c r="R801" s="43"/>
      <c r="S801" s="43"/>
      <c r="T801" s="41"/>
      <c r="U801" s="43"/>
      <c r="V801" s="43"/>
    </row>
    <row r="802" spans="4:22" ht="15" customHeight="1">
      <c r="D802" s="39"/>
      <c r="E802" s="40"/>
      <c r="K802" s="38"/>
      <c r="L802" s="38"/>
      <c r="M802" s="43"/>
      <c r="N802" s="42"/>
      <c r="O802" s="50"/>
      <c r="P802" s="38"/>
      <c r="Q802" s="41"/>
      <c r="R802" s="43"/>
      <c r="S802" s="43"/>
      <c r="T802" s="41"/>
      <c r="U802" s="43"/>
      <c r="V802" s="43"/>
    </row>
    <row r="803" spans="4:22" ht="15" customHeight="1">
      <c r="D803" s="39"/>
      <c r="E803" s="40"/>
      <c r="K803" s="38"/>
      <c r="L803" s="38"/>
      <c r="M803" s="43"/>
      <c r="N803" s="42"/>
      <c r="O803" s="50"/>
      <c r="P803" s="38"/>
      <c r="Q803" s="41"/>
      <c r="R803" s="43"/>
      <c r="S803" s="43"/>
      <c r="T803" s="41"/>
      <c r="U803" s="43"/>
      <c r="V803" s="43"/>
    </row>
    <row r="804" spans="4:22" ht="15" customHeight="1">
      <c r="D804" s="39"/>
      <c r="E804" s="40"/>
      <c r="K804" s="38"/>
      <c r="L804" s="38"/>
      <c r="M804" s="43"/>
      <c r="N804" s="42"/>
      <c r="O804" s="50"/>
      <c r="P804" s="38"/>
      <c r="Q804" s="41"/>
      <c r="R804" s="43"/>
      <c r="S804" s="43"/>
      <c r="T804" s="41"/>
      <c r="U804" s="43"/>
      <c r="V804" s="43"/>
    </row>
    <row r="805" spans="4:22" ht="15" customHeight="1">
      <c r="D805" s="39"/>
      <c r="E805" s="40"/>
      <c r="K805" s="38"/>
      <c r="L805" s="38"/>
      <c r="M805" s="43"/>
      <c r="N805" s="42"/>
      <c r="O805" s="50"/>
      <c r="P805" s="38"/>
      <c r="Q805" s="41"/>
      <c r="R805" s="43"/>
      <c r="S805" s="43"/>
      <c r="T805" s="41"/>
      <c r="U805" s="43"/>
      <c r="V805" s="43"/>
    </row>
    <row r="806" spans="4:22" ht="15" customHeight="1">
      <c r="D806" s="39"/>
      <c r="E806" s="40"/>
      <c r="K806" s="38"/>
      <c r="L806" s="38"/>
      <c r="M806" s="43"/>
      <c r="N806" s="42"/>
      <c r="O806" s="50"/>
      <c r="P806" s="38"/>
      <c r="Q806" s="41"/>
      <c r="R806" s="43"/>
      <c r="S806" s="43"/>
      <c r="T806" s="41"/>
      <c r="U806" s="43"/>
      <c r="V806" s="43"/>
    </row>
    <row r="807" spans="4:22" ht="15" customHeight="1">
      <c r="D807" s="39"/>
      <c r="E807" s="40"/>
      <c r="K807" s="38"/>
      <c r="L807" s="38"/>
      <c r="M807" s="43"/>
      <c r="N807" s="42"/>
      <c r="O807" s="50"/>
      <c r="P807" s="38"/>
      <c r="Q807" s="41"/>
      <c r="R807" s="43"/>
      <c r="S807" s="43"/>
      <c r="T807" s="41"/>
      <c r="U807" s="43"/>
      <c r="V807" s="43"/>
    </row>
    <row r="808" spans="4:22" ht="15" customHeight="1">
      <c r="D808" s="39"/>
      <c r="E808" s="40"/>
      <c r="K808" s="38"/>
      <c r="L808" s="38"/>
      <c r="M808" s="43"/>
      <c r="N808" s="42"/>
      <c r="O808" s="50"/>
      <c r="P808" s="38"/>
      <c r="Q808" s="41"/>
      <c r="R808" s="43"/>
      <c r="S808" s="43"/>
      <c r="T808" s="41"/>
      <c r="U808" s="43"/>
      <c r="V808" s="43"/>
    </row>
    <row r="809" spans="4:22" ht="15" customHeight="1">
      <c r="D809" s="39"/>
      <c r="E809" s="40"/>
      <c r="K809" s="38"/>
      <c r="L809" s="38"/>
      <c r="M809" s="43"/>
      <c r="N809" s="42"/>
      <c r="O809" s="50"/>
      <c r="P809" s="38"/>
      <c r="Q809" s="41"/>
      <c r="R809" s="43"/>
      <c r="S809" s="43"/>
      <c r="T809" s="41"/>
      <c r="U809" s="43"/>
      <c r="V809" s="43"/>
    </row>
    <row r="810" spans="4:22" ht="15" customHeight="1">
      <c r="D810" s="39"/>
      <c r="E810" s="40"/>
      <c r="K810" s="38"/>
      <c r="L810" s="38"/>
      <c r="M810" s="43"/>
      <c r="N810" s="42"/>
      <c r="O810" s="50"/>
      <c r="P810" s="38"/>
      <c r="Q810" s="41"/>
      <c r="R810" s="43"/>
      <c r="S810" s="43"/>
      <c r="T810" s="41"/>
      <c r="U810" s="43"/>
      <c r="V810" s="43"/>
    </row>
    <row r="811" spans="4:22" ht="15" customHeight="1">
      <c r="D811" s="39"/>
      <c r="E811" s="40"/>
      <c r="K811" s="38"/>
      <c r="L811" s="38"/>
      <c r="M811" s="43"/>
      <c r="N811" s="42"/>
      <c r="O811" s="50"/>
      <c r="P811" s="38"/>
      <c r="Q811" s="41"/>
      <c r="R811" s="43"/>
      <c r="S811" s="43"/>
      <c r="T811" s="41"/>
      <c r="U811" s="43"/>
      <c r="V811" s="43"/>
    </row>
    <row r="812" spans="4:22" ht="15" customHeight="1">
      <c r="D812" s="39"/>
      <c r="E812" s="40"/>
      <c r="K812" s="38"/>
      <c r="L812" s="38"/>
      <c r="M812" s="43"/>
      <c r="N812" s="42"/>
      <c r="O812" s="50"/>
      <c r="P812" s="38"/>
      <c r="Q812" s="41"/>
      <c r="R812" s="43"/>
      <c r="S812" s="43"/>
      <c r="T812" s="41"/>
      <c r="U812" s="43"/>
      <c r="V812" s="43"/>
    </row>
    <row r="813" spans="4:22" ht="15" customHeight="1">
      <c r="D813" s="39"/>
      <c r="E813" s="40"/>
      <c r="K813" s="38"/>
      <c r="L813" s="38"/>
      <c r="M813" s="43"/>
      <c r="N813" s="42"/>
      <c r="O813" s="50"/>
      <c r="P813" s="38"/>
      <c r="Q813" s="41"/>
      <c r="R813" s="43"/>
      <c r="S813" s="43"/>
      <c r="T813" s="41"/>
      <c r="U813" s="43"/>
      <c r="V813" s="43"/>
    </row>
    <row r="814" spans="4:22" ht="15" customHeight="1">
      <c r="D814" s="39"/>
      <c r="E814" s="40"/>
      <c r="K814" s="38"/>
      <c r="L814" s="38"/>
      <c r="M814" s="43"/>
      <c r="N814" s="42"/>
      <c r="O814" s="50"/>
      <c r="P814" s="38"/>
      <c r="Q814" s="41"/>
      <c r="R814" s="43"/>
      <c r="S814" s="43"/>
      <c r="T814" s="41"/>
      <c r="U814" s="43"/>
      <c r="V814" s="43"/>
    </row>
    <row r="815" spans="4:22" ht="15" customHeight="1">
      <c r="D815" s="39"/>
      <c r="E815" s="40"/>
      <c r="K815" s="38"/>
      <c r="L815" s="38"/>
      <c r="M815" s="43"/>
      <c r="N815" s="42"/>
      <c r="O815" s="50"/>
      <c r="P815" s="38"/>
      <c r="Q815" s="41"/>
      <c r="R815" s="43"/>
      <c r="S815" s="43"/>
      <c r="T815" s="41"/>
      <c r="U815" s="43"/>
      <c r="V815" s="43"/>
    </row>
    <row r="816" spans="4:22" ht="15" customHeight="1">
      <c r="D816" s="39"/>
      <c r="E816" s="40"/>
      <c r="K816" s="38"/>
      <c r="L816" s="38"/>
      <c r="M816" s="43"/>
      <c r="N816" s="42"/>
      <c r="O816" s="50"/>
      <c r="P816" s="38"/>
      <c r="Q816" s="41"/>
      <c r="R816" s="43"/>
      <c r="S816" s="43"/>
      <c r="T816" s="41"/>
      <c r="U816" s="43"/>
      <c r="V816" s="43"/>
    </row>
    <row r="817" spans="4:22" ht="15" customHeight="1">
      <c r="D817" s="39"/>
      <c r="E817" s="40"/>
      <c r="K817" s="38"/>
      <c r="L817" s="38"/>
      <c r="M817" s="43"/>
      <c r="N817" s="42"/>
      <c r="O817" s="50"/>
      <c r="P817" s="38"/>
      <c r="Q817" s="41"/>
      <c r="R817" s="43"/>
      <c r="S817" s="43"/>
      <c r="T817" s="41"/>
      <c r="U817" s="43"/>
      <c r="V817" s="43"/>
    </row>
    <row r="818" spans="4:22" ht="15" customHeight="1">
      <c r="D818" s="39"/>
      <c r="E818" s="40"/>
      <c r="K818" s="38"/>
      <c r="L818" s="38"/>
      <c r="M818" s="43"/>
      <c r="N818" s="42"/>
      <c r="O818" s="50"/>
      <c r="P818" s="38"/>
      <c r="Q818" s="41"/>
      <c r="R818" s="43"/>
      <c r="S818" s="43"/>
      <c r="T818" s="41"/>
      <c r="U818" s="43"/>
      <c r="V818" s="43"/>
    </row>
    <row r="819" spans="4:22" ht="15" customHeight="1">
      <c r="D819" s="39"/>
      <c r="E819" s="40"/>
      <c r="K819" s="38"/>
      <c r="L819" s="38"/>
      <c r="M819" s="43"/>
      <c r="N819" s="42"/>
      <c r="O819" s="50"/>
      <c r="P819" s="38"/>
      <c r="Q819" s="41"/>
      <c r="R819" s="43"/>
      <c r="S819" s="43"/>
      <c r="T819" s="41"/>
      <c r="U819" s="43"/>
      <c r="V819" s="43"/>
    </row>
    <row r="820" spans="4:22" ht="15" customHeight="1">
      <c r="D820" s="39"/>
      <c r="E820" s="40"/>
      <c r="K820" s="38"/>
      <c r="L820" s="38"/>
      <c r="M820" s="43"/>
      <c r="N820" s="42"/>
      <c r="O820" s="50"/>
      <c r="P820" s="38"/>
      <c r="Q820" s="41"/>
      <c r="R820" s="43"/>
      <c r="S820" s="43"/>
      <c r="T820" s="41"/>
      <c r="U820" s="43"/>
      <c r="V820" s="43"/>
    </row>
    <row r="821" spans="4:22" ht="15" customHeight="1">
      <c r="D821" s="39"/>
      <c r="E821" s="40"/>
      <c r="K821" s="38"/>
      <c r="L821" s="38"/>
      <c r="M821" s="43"/>
      <c r="N821" s="42"/>
      <c r="O821" s="50"/>
      <c r="P821" s="38"/>
      <c r="Q821" s="41"/>
      <c r="R821" s="43"/>
      <c r="S821" s="43"/>
      <c r="T821" s="41"/>
      <c r="U821" s="43"/>
      <c r="V821" s="43"/>
    </row>
    <row r="822" spans="4:22" ht="15" customHeight="1">
      <c r="D822" s="39"/>
      <c r="E822" s="40"/>
      <c r="K822" s="38"/>
      <c r="L822" s="38"/>
      <c r="M822" s="43"/>
      <c r="N822" s="42"/>
      <c r="O822" s="50"/>
      <c r="P822" s="38"/>
      <c r="Q822" s="41"/>
      <c r="R822" s="43"/>
      <c r="S822" s="43"/>
      <c r="T822" s="41"/>
      <c r="U822" s="43"/>
      <c r="V822" s="43"/>
    </row>
    <row r="823" spans="4:22" ht="15" customHeight="1">
      <c r="D823" s="39"/>
      <c r="E823" s="40"/>
      <c r="K823" s="38"/>
      <c r="L823" s="38"/>
      <c r="M823" s="43"/>
      <c r="N823" s="42"/>
      <c r="O823" s="50"/>
      <c r="P823" s="38"/>
      <c r="Q823" s="41"/>
      <c r="R823" s="43"/>
      <c r="S823" s="43"/>
      <c r="T823" s="41"/>
      <c r="U823" s="43"/>
      <c r="V823" s="43"/>
    </row>
    <row r="824" spans="4:22" ht="15" customHeight="1">
      <c r="D824" s="39"/>
      <c r="E824" s="40"/>
      <c r="K824" s="38"/>
      <c r="L824" s="38"/>
      <c r="M824" s="43"/>
      <c r="N824" s="42"/>
      <c r="O824" s="50"/>
      <c r="P824" s="38"/>
      <c r="Q824" s="41"/>
      <c r="R824" s="43"/>
      <c r="S824" s="43"/>
      <c r="T824" s="41"/>
      <c r="U824" s="43"/>
      <c r="V824" s="43"/>
    </row>
    <row r="825" spans="4:22" ht="15" customHeight="1">
      <c r="D825" s="39"/>
      <c r="E825" s="40"/>
      <c r="K825" s="38"/>
      <c r="L825" s="38"/>
      <c r="M825" s="43"/>
      <c r="N825" s="42"/>
      <c r="O825" s="50"/>
      <c r="P825" s="38"/>
      <c r="Q825" s="41"/>
      <c r="R825" s="43"/>
      <c r="S825" s="43"/>
      <c r="T825" s="41"/>
      <c r="U825" s="43"/>
      <c r="V825" s="43"/>
    </row>
    <row r="826" spans="4:22" ht="15" customHeight="1">
      <c r="D826" s="39"/>
      <c r="E826" s="40"/>
      <c r="K826" s="38"/>
      <c r="L826" s="38"/>
      <c r="M826" s="43"/>
      <c r="N826" s="42"/>
      <c r="O826" s="50"/>
      <c r="P826" s="38"/>
      <c r="Q826" s="41"/>
      <c r="R826" s="43"/>
      <c r="S826" s="43"/>
      <c r="T826" s="41"/>
      <c r="U826" s="43"/>
      <c r="V826" s="43"/>
    </row>
    <row r="827" spans="4:22" ht="15" customHeight="1">
      <c r="D827" s="39"/>
      <c r="E827" s="40"/>
      <c r="K827" s="38"/>
      <c r="L827" s="38"/>
      <c r="M827" s="43"/>
      <c r="N827" s="42"/>
      <c r="O827" s="50"/>
      <c r="P827" s="38"/>
      <c r="Q827" s="41"/>
      <c r="R827" s="43"/>
      <c r="S827" s="43"/>
      <c r="T827" s="41"/>
      <c r="U827" s="43"/>
      <c r="V827" s="43"/>
    </row>
    <row r="828" spans="4:22" ht="15" customHeight="1">
      <c r="D828" s="39"/>
      <c r="E828" s="40"/>
      <c r="K828" s="38"/>
      <c r="L828" s="38"/>
      <c r="M828" s="43"/>
      <c r="N828" s="42"/>
      <c r="O828" s="50"/>
      <c r="P828" s="38"/>
      <c r="Q828" s="41"/>
      <c r="R828" s="43"/>
      <c r="S828" s="43"/>
      <c r="T828" s="41"/>
      <c r="U828" s="43"/>
      <c r="V828" s="43"/>
    </row>
    <row r="829" spans="4:22" ht="15" customHeight="1">
      <c r="D829" s="39"/>
      <c r="E829" s="40"/>
      <c r="K829" s="38"/>
      <c r="L829" s="38"/>
      <c r="M829" s="43"/>
      <c r="N829" s="42"/>
      <c r="O829" s="50"/>
      <c r="P829" s="38"/>
      <c r="Q829" s="41"/>
      <c r="R829" s="43"/>
      <c r="S829" s="43"/>
      <c r="T829" s="41"/>
      <c r="U829" s="43"/>
      <c r="V829" s="43"/>
    </row>
    <row r="830" spans="4:22" ht="15" customHeight="1">
      <c r="D830" s="39"/>
      <c r="E830" s="40"/>
      <c r="K830" s="38"/>
      <c r="L830" s="38"/>
      <c r="M830" s="43"/>
      <c r="N830" s="42"/>
      <c r="O830" s="50"/>
      <c r="P830" s="38"/>
      <c r="Q830" s="41"/>
      <c r="R830" s="43"/>
      <c r="S830" s="43"/>
      <c r="T830" s="41"/>
      <c r="U830" s="43"/>
      <c r="V830" s="43"/>
    </row>
    <row r="831" spans="4:22" ht="15" customHeight="1">
      <c r="D831" s="39"/>
      <c r="E831" s="40"/>
      <c r="K831" s="38"/>
      <c r="L831" s="38"/>
      <c r="M831" s="43"/>
      <c r="N831" s="42"/>
      <c r="O831" s="50"/>
      <c r="P831" s="38"/>
      <c r="Q831" s="41"/>
      <c r="R831" s="43"/>
      <c r="S831" s="43"/>
      <c r="T831" s="41"/>
      <c r="U831" s="43"/>
      <c r="V831" s="43"/>
    </row>
    <row r="832" spans="4:22" ht="15" customHeight="1">
      <c r="D832" s="39"/>
      <c r="E832" s="40"/>
      <c r="K832" s="38"/>
      <c r="L832" s="38"/>
      <c r="M832" s="43"/>
      <c r="N832" s="42"/>
      <c r="O832" s="50"/>
      <c r="P832" s="38"/>
      <c r="Q832" s="41"/>
      <c r="R832" s="43"/>
      <c r="S832" s="43"/>
      <c r="T832" s="41"/>
      <c r="U832" s="43"/>
      <c r="V832" s="43"/>
    </row>
    <row r="833" spans="4:22" ht="15" customHeight="1">
      <c r="D833" s="39"/>
      <c r="E833" s="40"/>
      <c r="K833" s="38"/>
      <c r="L833" s="38"/>
      <c r="M833" s="43"/>
      <c r="N833" s="42"/>
      <c r="O833" s="50"/>
      <c r="P833" s="38"/>
      <c r="Q833" s="41"/>
      <c r="R833" s="43"/>
      <c r="S833" s="43"/>
      <c r="T833" s="41"/>
      <c r="U833" s="43"/>
      <c r="V833" s="43"/>
    </row>
    <row r="834" spans="4:22" ht="15" customHeight="1">
      <c r="D834" s="39"/>
      <c r="E834" s="40"/>
      <c r="K834" s="38"/>
      <c r="L834" s="38"/>
      <c r="M834" s="43"/>
      <c r="N834" s="42"/>
      <c r="O834" s="50"/>
      <c r="P834" s="38"/>
      <c r="Q834" s="41"/>
      <c r="R834" s="43"/>
      <c r="S834" s="43"/>
      <c r="T834" s="41"/>
      <c r="U834" s="43"/>
      <c r="V834" s="43"/>
    </row>
    <row r="835" spans="4:22" ht="15" customHeight="1">
      <c r="D835" s="39"/>
      <c r="E835" s="40"/>
      <c r="K835" s="38"/>
      <c r="L835" s="38"/>
      <c r="M835" s="43"/>
      <c r="N835" s="42"/>
      <c r="O835" s="50"/>
      <c r="P835" s="38"/>
      <c r="Q835" s="41"/>
      <c r="R835" s="43"/>
      <c r="S835" s="43"/>
      <c r="T835" s="41"/>
      <c r="U835" s="43"/>
      <c r="V835" s="43"/>
    </row>
    <row r="836" spans="4:22" ht="15" customHeight="1">
      <c r="D836" s="39"/>
      <c r="E836" s="40"/>
      <c r="K836" s="38"/>
      <c r="L836" s="38"/>
      <c r="M836" s="43"/>
      <c r="N836" s="42"/>
      <c r="O836" s="50"/>
      <c r="P836" s="38"/>
      <c r="Q836" s="41"/>
      <c r="R836" s="43"/>
      <c r="S836" s="43"/>
      <c r="T836" s="41"/>
      <c r="U836" s="43"/>
      <c r="V836" s="43"/>
    </row>
    <row r="837" spans="4:22" ht="15" customHeight="1">
      <c r="D837" s="39"/>
      <c r="E837" s="40"/>
      <c r="K837" s="38"/>
      <c r="L837" s="38"/>
      <c r="M837" s="43"/>
      <c r="N837" s="42"/>
      <c r="O837" s="50"/>
      <c r="P837" s="38"/>
      <c r="Q837" s="41"/>
      <c r="R837" s="43"/>
      <c r="S837" s="43"/>
      <c r="T837" s="41"/>
      <c r="U837" s="43"/>
      <c r="V837" s="43"/>
    </row>
    <row r="838" spans="4:22" ht="15" customHeight="1">
      <c r="D838" s="39"/>
      <c r="E838" s="40"/>
      <c r="K838" s="38"/>
      <c r="L838" s="38"/>
      <c r="M838" s="43"/>
      <c r="N838" s="42"/>
      <c r="O838" s="50"/>
      <c r="P838" s="38"/>
      <c r="Q838" s="41"/>
      <c r="R838" s="43"/>
      <c r="S838" s="43"/>
      <c r="T838" s="41"/>
      <c r="U838" s="43"/>
      <c r="V838" s="43"/>
    </row>
    <row r="839" spans="4:22" ht="15" customHeight="1">
      <c r="D839" s="39"/>
      <c r="E839" s="40"/>
      <c r="K839" s="38"/>
      <c r="L839" s="38"/>
      <c r="M839" s="43"/>
      <c r="N839" s="42"/>
      <c r="O839" s="50"/>
      <c r="P839" s="38"/>
      <c r="Q839" s="41"/>
      <c r="R839" s="43"/>
      <c r="S839" s="43"/>
      <c r="T839" s="41"/>
      <c r="U839" s="43"/>
      <c r="V839" s="43"/>
    </row>
    <row r="840" spans="4:22" ht="15" customHeight="1">
      <c r="D840" s="39"/>
      <c r="E840" s="40"/>
      <c r="K840" s="38"/>
      <c r="L840" s="38"/>
      <c r="M840" s="43"/>
      <c r="N840" s="42"/>
      <c r="O840" s="50"/>
      <c r="P840" s="38"/>
      <c r="Q840" s="41"/>
      <c r="R840" s="43"/>
      <c r="S840" s="43"/>
      <c r="T840" s="41"/>
      <c r="U840" s="43"/>
      <c r="V840" s="43"/>
    </row>
    <row r="841" spans="4:22" ht="15" customHeight="1">
      <c r="D841" s="39"/>
      <c r="E841" s="40"/>
      <c r="K841" s="38"/>
      <c r="L841" s="38"/>
      <c r="M841" s="43"/>
      <c r="N841" s="42"/>
      <c r="O841" s="50"/>
      <c r="P841" s="38"/>
      <c r="Q841" s="41"/>
      <c r="R841" s="43"/>
      <c r="S841" s="43"/>
      <c r="T841" s="41"/>
      <c r="U841" s="43"/>
      <c r="V841" s="43"/>
    </row>
    <row r="842" spans="4:22" ht="15" customHeight="1">
      <c r="D842" s="39"/>
      <c r="E842" s="40"/>
      <c r="K842" s="38"/>
      <c r="L842" s="38"/>
      <c r="M842" s="43"/>
      <c r="N842" s="42"/>
      <c r="O842" s="50"/>
      <c r="P842" s="38"/>
      <c r="Q842" s="41"/>
      <c r="R842" s="43"/>
      <c r="S842" s="43"/>
      <c r="T842" s="41"/>
      <c r="U842" s="43"/>
      <c r="V842" s="43"/>
    </row>
    <row r="843" spans="4:22" ht="15" customHeight="1">
      <c r="D843" s="39"/>
      <c r="E843" s="40"/>
      <c r="K843" s="38"/>
      <c r="L843" s="38"/>
      <c r="M843" s="43"/>
      <c r="N843" s="42"/>
      <c r="O843" s="50"/>
      <c r="P843" s="38"/>
      <c r="Q843" s="41"/>
      <c r="R843" s="43"/>
      <c r="S843" s="43"/>
      <c r="T843" s="41"/>
      <c r="U843" s="43"/>
      <c r="V843" s="43"/>
    </row>
    <row r="844" spans="4:22" ht="15" customHeight="1">
      <c r="D844" s="39"/>
      <c r="E844" s="40"/>
      <c r="K844" s="38"/>
      <c r="L844" s="38"/>
      <c r="M844" s="43"/>
      <c r="N844" s="42"/>
      <c r="O844" s="50"/>
      <c r="P844" s="38"/>
      <c r="Q844" s="41"/>
      <c r="R844" s="43"/>
      <c r="S844" s="43"/>
      <c r="T844" s="41"/>
      <c r="U844" s="43"/>
      <c r="V844" s="43"/>
    </row>
    <row r="845" spans="4:22" ht="15" customHeight="1">
      <c r="D845" s="39"/>
      <c r="E845" s="40"/>
      <c r="K845" s="38"/>
      <c r="L845" s="38"/>
      <c r="M845" s="43"/>
      <c r="N845" s="42"/>
      <c r="O845" s="50"/>
      <c r="P845" s="38"/>
      <c r="Q845" s="41"/>
      <c r="R845" s="43"/>
      <c r="S845" s="43"/>
      <c r="T845" s="41"/>
      <c r="U845" s="43"/>
      <c r="V845" s="43"/>
    </row>
    <row r="846" spans="4:22" ht="15" customHeight="1">
      <c r="D846" s="39"/>
      <c r="E846" s="40"/>
      <c r="K846" s="38"/>
      <c r="L846" s="38"/>
      <c r="M846" s="43"/>
      <c r="N846" s="42"/>
      <c r="O846" s="50"/>
      <c r="P846" s="38"/>
      <c r="Q846" s="41"/>
      <c r="R846" s="43"/>
      <c r="S846" s="43"/>
      <c r="T846" s="41"/>
      <c r="U846" s="43"/>
      <c r="V846" s="43"/>
    </row>
    <row r="847" spans="4:22" ht="15" customHeight="1">
      <c r="D847" s="39"/>
      <c r="E847" s="40"/>
      <c r="K847" s="38"/>
      <c r="L847" s="38"/>
      <c r="M847" s="43"/>
      <c r="N847" s="42"/>
      <c r="O847" s="50"/>
      <c r="P847" s="38"/>
      <c r="Q847" s="41"/>
      <c r="R847" s="43"/>
      <c r="S847" s="43"/>
      <c r="T847" s="41"/>
      <c r="U847" s="43"/>
      <c r="V847" s="43"/>
    </row>
    <row r="848" spans="4:22" ht="15" customHeight="1">
      <c r="D848" s="39"/>
      <c r="E848" s="40"/>
      <c r="K848" s="38"/>
      <c r="L848" s="38"/>
      <c r="M848" s="43"/>
      <c r="N848" s="42"/>
      <c r="O848" s="50"/>
      <c r="P848" s="38"/>
      <c r="Q848" s="41"/>
      <c r="R848" s="43"/>
      <c r="S848" s="43"/>
      <c r="T848" s="41"/>
      <c r="U848" s="43"/>
      <c r="V848" s="43"/>
    </row>
    <row r="849" spans="4:22" ht="15" customHeight="1">
      <c r="D849" s="39"/>
      <c r="E849" s="40"/>
      <c r="K849" s="38"/>
      <c r="L849" s="38"/>
      <c r="M849" s="43"/>
      <c r="N849" s="42"/>
      <c r="O849" s="50"/>
      <c r="P849" s="38"/>
      <c r="Q849" s="41"/>
      <c r="R849" s="43"/>
      <c r="S849" s="43"/>
      <c r="T849" s="41"/>
      <c r="U849" s="43"/>
      <c r="V849" s="43"/>
    </row>
    <row r="850" spans="4:22" ht="15" customHeight="1">
      <c r="D850" s="39"/>
      <c r="E850" s="40"/>
      <c r="K850" s="38"/>
      <c r="L850" s="38"/>
      <c r="M850" s="43"/>
      <c r="N850" s="42"/>
      <c r="O850" s="50"/>
      <c r="P850" s="38"/>
      <c r="Q850" s="41"/>
      <c r="R850" s="43"/>
      <c r="S850" s="43"/>
      <c r="T850" s="41"/>
      <c r="U850" s="43"/>
      <c r="V850" s="43"/>
    </row>
    <row r="851" spans="4:22" ht="15" customHeight="1">
      <c r="D851" s="39"/>
      <c r="E851" s="40"/>
      <c r="K851" s="38"/>
      <c r="L851" s="38"/>
      <c r="M851" s="43"/>
      <c r="N851" s="42"/>
      <c r="O851" s="50"/>
      <c r="P851" s="38"/>
      <c r="Q851" s="41"/>
      <c r="R851" s="43"/>
      <c r="S851" s="43"/>
      <c r="T851" s="41"/>
      <c r="U851" s="43"/>
      <c r="V851" s="43"/>
    </row>
    <row r="852" spans="4:22" ht="15" customHeight="1">
      <c r="D852" s="39"/>
      <c r="E852" s="40"/>
      <c r="K852" s="38"/>
      <c r="L852" s="38"/>
      <c r="M852" s="43"/>
      <c r="N852" s="42"/>
      <c r="O852" s="50"/>
      <c r="P852" s="38"/>
      <c r="Q852" s="41"/>
      <c r="R852" s="43"/>
      <c r="S852" s="43"/>
      <c r="T852" s="41"/>
      <c r="U852" s="43"/>
      <c r="V852" s="43"/>
    </row>
    <row r="853" spans="4:22" ht="15" customHeight="1">
      <c r="D853" s="39"/>
      <c r="E853" s="40"/>
      <c r="K853" s="38"/>
      <c r="L853" s="38"/>
      <c r="M853" s="43"/>
      <c r="N853" s="42"/>
      <c r="O853" s="50"/>
      <c r="P853" s="38"/>
      <c r="Q853" s="41"/>
      <c r="R853" s="43"/>
      <c r="S853" s="43"/>
      <c r="T853" s="41"/>
      <c r="U853" s="43"/>
      <c r="V853" s="43"/>
    </row>
    <row r="854" spans="4:22" ht="15" customHeight="1">
      <c r="D854" s="39"/>
      <c r="E854" s="40"/>
      <c r="K854" s="38"/>
      <c r="L854" s="38"/>
      <c r="M854" s="43"/>
      <c r="N854" s="42"/>
      <c r="O854" s="50"/>
      <c r="P854" s="38"/>
      <c r="Q854" s="41"/>
      <c r="R854" s="43"/>
      <c r="S854" s="43"/>
      <c r="T854" s="41"/>
      <c r="U854" s="43"/>
      <c r="V854" s="43"/>
    </row>
    <row r="855" spans="4:22" ht="15" customHeight="1">
      <c r="D855" s="39"/>
      <c r="E855" s="40"/>
      <c r="K855" s="38"/>
      <c r="L855" s="38"/>
      <c r="M855" s="43"/>
      <c r="N855" s="42"/>
      <c r="O855" s="50"/>
      <c r="P855" s="38"/>
      <c r="Q855" s="41"/>
      <c r="R855" s="43"/>
      <c r="S855" s="43"/>
      <c r="T855" s="41"/>
      <c r="U855" s="43"/>
      <c r="V855" s="43"/>
    </row>
    <row r="856" spans="4:22" ht="15" customHeight="1">
      <c r="D856" s="39"/>
      <c r="E856" s="40"/>
      <c r="K856" s="38"/>
      <c r="L856" s="38"/>
      <c r="M856" s="43"/>
      <c r="N856" s="42"/>
      <c r="O856" s="50"/>
      <c r="P856" s="38"/>
      <c r="Q856" s="41"/>
      <c r="R856" s="43"/>
      <c r="S856" s="43"/>
      <c r="T856" s="41"/>
      <c r="U856" s="43"/>
      <c r="V856" s="43"/>
    </row>
    <row r="857" spans="4:22" ht="15" customHeight="1">
      <c r="D857" s="39"/>
      <c r="E857" s="40"/>
      <c r="K857" s="38"/>
      <c r="L857" s="38"/>
      <c r="M857" s="43"/>
      <c r="N857" s="42"/>
      <c r="O857" s="50"/>
      <c r="P857" s="38"/>
      <c r="Q857" s="41"/>
      <c r="R857" s="43"/>
      <c r="S857" s="43"/>
      <c r="T857" s="41"/>
      <c r="U857" s="43"/>
      <c r="V857" s="43"/>
    </row>
    <row r="858" spans="4:22" ht="15" customHeight="1">
      <c r="D858" s="39"/>
      <c r="E858" s="40"/>
      <c r="K858" s="38"/>
      <c r="L858" s="38"/>
      <c r="M858" s="43"/>
      <c r="N858" s="42"/>
      <c r="O858" s="50"/>
      <c r="P858" s="38"/>
      <c r="Q858" s="41"/>
      <c r="R858" s="43"/>
      <c r="S858" s="43"/>
      <c r="T858" s="41"/>
      <c r="U858" s="43"/>
      <c r="V858" s="43"/>
    </row>
    <row r="859" spans="4:22" ht="15" customHeight="1">
      <c r="D859" s="39"/>
      <c r="E859" s="40"/>
      <c r="K859" s="38"/>
      <c r="L859" s="38"/>
      <c r="M859" s="43"/>
      <c r="N859" s="42"/>
      <c r="O859" s="50"/>
      <c r="P859" s="38"/>
      <c r="Q859" s="41"/>
      <c r="R859" s="43"/>
      <c r="S859" s="43"/>
      <c r="T859" s="41"/>
      <c r="U859" s="43"/>
      <c r="V859" s="43"/>
    </row>
    <row r="860" spans="4:22" ht="15" customHeight="1">
      <c r="D860" s="39"/>
      <c r="E860" s="40"/>
      <c r="K860" s="38"/>
      <c r="L860" s="38"/>
      <c r="M860" s="43"/>
      <c r="N860" s="42"/>
      <c r="O860" s="50"/>
      <c r="P860" s="38"/>
      <c r="Q860" s="41"/>
      <c r="R860" s="43"/>
      <c r="S860" s="43"/>
      <c r="T860" s="41"/>
      <c r="U860" s="43"/>
      <c r="V860" s="43"/>
    </row>
    <row r="861" spans="4:22" ht="15" customHeight="1">
      <c r="D861" s="39"/>
      <c r="E861" s="40"/>
      <c r="K861" s="38"/>
      <c r="L861" s="38"/>
      <c r="M861" s="43"/>
      <c r="N861" s="42"/>
      <c r="O861" s="50"/>
      <c r="P861" s="38"/>
      <c r="Q861" s="41"/>
      <c r="R861" s="43"/>
      <c r="S861" s="43"/>
      <c r="T861" s="41"/>
      <c r="U861" s="43"/>
      <c r="V861" s="43"/>
    </row>
    <row r="862" spans="4:22" ht="15" customHeight="1">
      <c r="D862" s="39"/>
      <c r="E862" s="40"/>
      <c r="K862" s="38"/>
      <c r="L862" s="38"/>
      <c r="M862" s="43"/>
      <c r="N862" s="42"/>
      <c r="O862" s="50"/>
      <c r="P862" s="38"/>
      <c r="Q862" s="41"/>
      <c r="R862" s="43"/>
      <c r="S862" s="43"/>
      <c r="T862" s="41"/>
      <c r="U862" s="43"/>
      <c r="V862" s="43"/>
    </row>
    <row r="863" spans="4:22" ht="15" customHeight="1">
      <c r="D863" s="39"/>
      <c r="E863" s="40"/>
      <c r="K863" s="38"/>
      <c r="L863" s="38"/>
      <c r="M863" s="43"/>
      <c r="N863" s="42"/>
      <c r="O863" s="50"/>
      <c r="P863" s="38"/>
      <c r="Q863" s="41"/>
      <c r="R863" s="43"/>
      <c r="S863" s="43"/>
      <c r="T863" s="41"/>
      <c r="U863" s="43"/>
      <c r="V863" s="43"/>
    </row>
    <row r="864" spans="4:22" ht="15" customHeight="1">
      <c r="D864" s="39"/>
      <c r="E864" s="40"/>
      <c r="K864" s="38"/>
      <c r="L864" s="38"/>
      <c r="M864" s="43"/>
      <c r="N864" s="42"/>
      <c r="O864" s="50"/>
      <c r="P864" s="38"/>
      <c r="Q864" s="41"/>
      <c r="R864" s="43"/>
      <c r="S864" s="43"/>
      <c r="T864" s="41"/>
      <c r="U864" s="43"/>
      <c r="V864" s="43"/>
    </row>
    <row r="865" spans="4:22" ht="15" customHeight="1">
      <c r="D865" s="39"/>
      <c r="E865" s="40"/>
      <c r="K865" s="38"/>
      <c r="L865" s="38"/>
      <c r="M865" s="43"/>
      <c r="N865" s="42"/>
      <c r="O865" s="50"/>
      <c r="P865" s="38"/>
      <c r="Q865" s="41"/>
      <c r="R865" s="43"/>
      <c r="S865" s="43"/>
      <c r="T865" s="41"/>
      <c r="U865" s="43"/>
      <c r="V865" s="43"/>
    </row>
    <row r="866" spans="4:22" ht="15" customHeight="1">
      <c r="D866" s="39"/>
      <c r="E866" s="40"/>
      <c r="K866" s="38"/>
      <c r="L866" s="38"/>
      <c r="M866" s="43"/>
      <c r="N866" s="42"/>
      <c r="O866" s="50"/>
      <c r="P866" s="38"/>
      <c r="Q866" s="41"/>
      <c r="R866" s="43"/>
      <c r="S866" s="43"/>
      <c r="T866" s="41"/>
      <c r="U866" s="43"/>
      <c r="V866" s="43"/>
    </row>
    <row r="867" spans="4:22" ht="15" customHeight="1">
      <c r="D867" s="39"/>
      <c r="E867" s="40"/>
      <c r="K867" s="38"/>
      <c r="L867" s="38"/>
      <c r="M867" s="43"/>
      <c r="N867" s="42"/>
      <c r="O867" s="50"/>
      <c r="P867" s="38"/>
      <c r="Q867" s="41"/>
      <c r="R867" s="43"/>
      <c r="S867" s="43"/>
      <c r="T867" s="41"/>
      <c r="U867" s="43"/>
      <c r="V867" s="43"/>
    </row>
    <row r="868" spans="4:22" ht="15" customHeight="1">
      <c r="D868" s="39"/>
      <c r="E868" s="40"/>
      <c r="K868" s="38"/>
      <c r="L868" s="38"/>
      <c r="M868" s="43"/>
      <c r="N868" s="42"/>
      <c r="O868" s="50"/>
      <c r="P868" s="38"/>
      <c r="Q868" s="41"/>
      <c r="R868" s="43"/>
      <c r="S868" s="43"/>
      <c r="T868" s="41"/>
      <c r="U868" s="43"/>
      <c r="V868" s="43"/>
    </row>
    <row r="869" spans="4:22" ht="15" customHeight="1">
      <c r="D869" s="39"/>
      <c r="E869" s="40"/>
      <c r="K869" s="38"/>
      <c r="L869" s="38"/>
      <c r="M869" s="43"/>
      <c r="N869" s="42"/>
      <c r="O869" s="50"/>
      <c r="P869" s="38"/>
      <c r="Q869" s="41"/>
      <c r="R869" s="43"/>
      <c r="S869" s="43"/>
      <c r="T869" s="41"/>
      <c r="U869" s="43"/>
      <c r="V869" s="43"/>
    </row>
    <row r="870" spans="4:22" ht="15" customHeight="1">
      <c r="D870" s="39"/>
      <c r="E870" s="40"/>
      <c r="K870" s="38"/>
      <c r="L870" s="38"/>
      <c r="M870" s="43"/>
      <c r="N870" s="42"/>
      <c r="O870" s="50"/>
      <c r="P870" s="38"/>
      <c r="Q870" s="41"/>
      <c r="R870" s="43"/>
      <c r="S870" s="43"/>
      <c r="T870" s="41"/>
      <c r="U870" s="43"/>
      <c r="V870" s="43"/>
    </row>
    <row r="871" spans="4:22" ht="15" customHeight="1">
      <c r="D871" s="39"/>
      <c r="E871" s="40"/>
      <c r="K871" s="38"/>
      <c r="L871" s="38"/>
      <c r="M871" s="43"/>
      <c r="N871" s="42"/>
      <c r="O871" s="50"/>
      <c r="P871" s="38"/>
      <c r="Q871" s="41"/>
      <c r="R871" s="43"/>
      <c r="S871" s="43"/>
      <c r="T871" s="41"/>
      <c r="U871" s="43"/>
      <c r="V871" s="43"/>
    </row>
    <row r="872" spans="4:22" ht="15" customHeight="1">
      <c r="D872" s="39"/>
      <c r="E872" s="40"/>
      <c r="K872" s="38"/>
      <c r="L872" s="38"/>
      <c r="M872" s="43"/>
      <c r="N872" s="42"/>
      <c r="O872" s="50"/>
      <c r="P872" s="38"/>
      <c r="Q872" s="41"/>
      <c r="R872" s="43"/>
      <c r="S872" s="43"/>
      <c r="T872" s="41"/>
      <c r="U872" s="43"/>
      <c r="V872" s="43"/>
    </row>
    <row r="873" spans="4:22" ht="15" customHeight="1">
      <c r="D873" s="39"/>
      <c r="E873" s="40"/>
      <c r="K873" s="38"/>
      <c r="L873" s="38"/>
      <c r="M873" s="43"/>
      <c r="N873" s="42"/>
      <c r="O873" s="50"/>
      <c r="P873" s="38"/>
      <c r="Q873" s="41"/>
      <c r="R873" s="43"/>
      <c r="S873" s="43"/>
      <c r="T873" s="41"/>
      <c r="U873" s="43"/>
      <c r="V873" s="43"/>
    </row>
    <row r="874" spans="4:22" ht="15" customHeight="1">
      <c r="D874" s="39"/>
      <c r="E874" s="40"/>
      <c r="K874" s="38"/>
      <c r="L874" s="38"/>
      <c r="M874" s="43"/>
      <c r="N874" s="42"/>
      <c r="O874" s="50"/>
      <c r="P874" s="38"/>
      <c r="Q874" s="41"/>
      <c r="R874" s="43"/>
      <c r="S874" s="43"/>
      <c r="T874" s="41"/>
      <c r="U874" s="43"/>
      <c r="V874" s="43"/>
    </row>
    <row r="875" spans="4:22" ht="15" customHeight="1">
      <c r="D875" s="39"/>
      <c r="E875" s="40"/>
      <c r="K875" s="38"/>
      <c r="L875" s="38"/>
      <c r="M875" s="43"/>
      <c r="N875" s="42"/>
      <c r="O875" s="50"/>
      <c r="P875" s="38"/>
      <c r="Q875" s="41"/>
      <c r="R875" s="43"/>
      <c r="S875" s="43"/>
      <c r="T875" s="41"/>
      <c r="U875" s="43"/>
      <c r="V875" s="43"/>
    </row>
    <row r="876" spans="4:22" ht="15" customHeight="1">
      <c r="D876" s="39"/>
      <c r="E876" s="40"/>
      <c r="K876" s="38"/>
      <c r="L876" s="38"/>
      <c r="M876" s="43"/>
      <c r="N876" s="42"/>
      <c r="O876" s="50"/>
      <c r="P876" s="38"/>
      <c r="Q876" s="41"/>
      <c r="R876" s="43"/>
      <c r="S876" s="43"/>
      <c r="T876" s="41"/>
      <c r="U876" s="43"/>
      <c r="V876" s="43"/>
    </row>
    <row r="877" spans="4:22" ht="15" customHeight="1">
      <c r="D877" s="39"/>
      <c r="E877" s="40"/>
      <c r="K877" s="38"/>
      <c r="L877" s="38"/>
      <c r="M877" s="43"/>
      <c r="N877" s="42"/>
      <c r="O877" s="50"/>
      <c r="P877" s="38"/>
      <c r="Q877" s="41"/>
      <c r="R877" s="43"/>
      <c r="S877" s="43"/>
      <c r="T877" s="41"/>
      <c r="U877" s="43"/>
      <c r="V877" s="43"/>
    </row>
    <row r="878" spans="4:22" ht="15" customHeight="1">
      <c r="D878" s="39"/>
      <c r="E878" s="40"/>
      <c r="K878" s="38"/>
      <c r="L878" s="38"/>
      <c r="M878" s="43"/>
      <c r="N878" s="42"/>
      <c r="O878" s="50"/>
      <c r="P878" s="38"/>
      <c r="Q878" s="41"/>
      <c r="R878" s="43"/>
      <c r="S878" s="43"/>
      <c r="T878" s="41"/>
      <c r="U878" s="43"/>
      <c r="V878" s="43"/>
    </row>
    <row r="879" spans="4:22" ht="15" customHeight="1">
      <c r="D879" s="39"/>
      <c r="E879" s="40"/>
      <c r="K879" s="38"/>
      <c r="L879" s="38"/>
      <c r="M879" s="43"/>
      <c r="N879" s="42"/>
      <c r="O879" s="50"/>
      <c r="P879" s="38"/>
      <c r="Q879" s="41"/>
      <c r="R879" s="43"/>
      <c r="S879" s="43"/>
      <c r="T879" s="41"/>
      <c r="U879" s="43"/>
      <c r="V879" s="43"/>
    </row>
    <row r="880" spans="4:22" ht="15" customHeight="1">
      <c r="D880" s="39"/>
      <c r="E880" s="40"/>
      <c r="K880" s="38"/>
      <c r="L880" s="38"/>
      <c r="M880" s="43"/>
      <c r="N880" s="42"/>
      <c r="O880" s="50"/>
      <c r="P880" s="38"/>
      <c r="Q880" s="41"/>
      <c r="R880" s="43"/>
      <c r="S880" s="43"/>
      <c r="T880" s="41"/>
      <c r="U880" s="43"/>
      <c r="V880" s="43"/>
    </row>
    <row r="881" spans="4:22" ht="15" customHeight="1">
      <c r="D881" s="39"/>
      <c r="E881" s="40"/>
      <c r="K881" s="38"/>
      <c r="L881" s="38"/>
      <c r="M881" s="43"/>
      <c r="N881" s="42"/>
      <c r="O881" s="50"/>
      <c r="P881" s="38"/>
      <c r="Q881" s="41"/>
      <c r="R881" s="43"/>
      <c r="S881" s="43"/>
      <c r="T881" s="41"/>
      <c r="U881" s="43"/>
      <c r="V881" s="43"/>
    </row>
    <row r="882" spans="4:22" ht="15" customHeight="1">
      <c r="D882" s="39"/>
      <c r="E882" s="40"/>
      <c r="K882" s="38"/>
      <c r="L882" s="38"/>
      <c r="M882" s="43"/>
      <c r="N882" s="42"/>
      <c r="O882" s="50"/>
      <c r="P882" s="38"/>
      <c r="Q882" s="41"/>
      <c r="R882" s="43"/>
      <c r="S882" s="43"/>
      <c r="T882" s="41"/>
      <c r="U882" s="43"/>
      <c r="V882" s="43"/>
    </row>
    <row r="883" spans="4:22" ht="15" customHeight="1">
      <c r="D883" s="39"/>
      <c r="E883" s="40"/>
      <c r="K883" s="38"/>
      <c r="L883" s="38"/>
      <c r="M883" s="43"/>
      <c r="N883" s="42"/>
      <c r="O883" s="50"/>
      <c r="P883" s="38"/>
      <c r="Q883" s="41"/>
      <c r="R883" s="43"/>
      <c r="S883" s="43"/>
      <c r="T883" s="41"/>
      <c r="U883" s="43"/>
      <c r="V883" s="43"/>
    </row>
    <row r="884" spans="4:22" ht="15" customHeight="1">
      <c r="D884" s="39"/>
      <c r="E884" s="40"/>
      <c r="K884" s="38"/>
      <c r="L884" s="38"/>
      <c r="M884" s="43"/>
      <c r="N884" s="42"/>
      <c r="O884" s="50"/>
      <c r="P884" s="38"/>
      <c r="Q884" s="41"/>
      <c r="R884" s="43"/>
      <c r="S884" s="43"/>
      <c r="T884" s="41"/>
      <c r="U884" s="43"/>
      <c r="V884" s="43"/>
    </row>
    <row r="885" spans="4:22" ht="15" customHeight="1">
      <c r="D885" s="39"/>
      <c r="E885" s="40"/>
      <c r="K885" s="38"/>
      <c r="L885" s="38"/>
      <c r="M885" s="43"/>
      <c r="N885" s="42"/>
      <c r="O885" s="50"/>
      <c r="P885" s="38"/>
      <c r="Q885" s="41"/>
      <c r="R885" s="43"/>
      <c r="S885" s="43"/>
      <c r="T885" s="41"/>
      <c r="U885" s="43"/>
      <c r="V885" s="43"/>
    </row>
    <row r="886" spans="4:22" ht="15" customHeight="1">
      <c r="D886" s="39"/>
      <c r="E886" s="40"/>
      <c r="K886" s="38"/>
      <c r="L886" s="38"/>
      <c r="M886" s="43"/>
      <c r="N886" s="42"/>
      <c r="O886" s="50"/>
      <c r="P886" s="38"/>
      <c r="Q886" s="41"/>
      <c r="R886" s="43"/>
      <c r="S886" s="43"/>
      <c r="T886" s="41"/>
      <c r="U886" s="43"/>
      <c r="V886" s="43"/>
    </row>
    <row r="887" spans="4:22" ht="15" customHeight="1">
      <c r="D887" s="39"/>
      <c r="E887" s="40"/>
      <c r="K887" s="38"/>
      <c r="L887" s="38"/>
      <c r="M887" s="43"/>
      <c r="N887" s="42"/>
      <c r="O887" s="50"/>
      <c r="P887" s="38"/>
      <c r="Q887" s="41"/>
      <c r="R887" s="43"/>
      <c r="S887" s="43"/>
      <c r="T887" s="41"/>
      <c r="U887" s="43"/>
      <c r="V887" s="43"/>
    </row>
    <row r="888" spans="4:22" ht="15" customHeight="1">
      <c r="D888" s="39"/>
      <c r="E888" s="40"/>
      <c r="K888" s="38"/>
      <c r="L888" s="38"/>
      <c r="M888" s="43"/>
      <c r="N888" s="42"/>
      <c r="O888" s="50"/>
      <c r="P888" s="38"/>
      <c r="Q888" s="41"/>
      <c r="R888" s="43"/>
      <c r="S888" s="43"/>
      <c r="T888" s="41"/>
      <c r="U888" s="43"/>
      <c r="V888" s="43"/>
    </row>
    <row r="889" spans="4:22" ht="15" customHeight="1">
      <c r="D889" s="39"/>
      <c r="E889" s="40"/>
      <c r="K889" s="38"/>
      <c r="L889" s="38"/>
      <c r="M889" s="43"/>
      <c r="N889" s="42"/>
      <c r="O889" s="50"/>
      <c r="P889" s="38"/>
      <c r="Q889" s="41"/>
      <c r="R889" s="43"/>
      <c r="S889" s="43"/>
      <c r="T889" s="41"/>
      <c r="U889" s="43"/>
      <c r="V889" s="43"/>
    </row>
    <row r="890" spans="4:22" ht="15" customHeight="1">
      <c r="D890" s="39"/>
      <c r="E890" s="40"/>
      <c r="K890" s="38"/>
      <c r="L890" s="38"/>
      <c r="M890" s="43"/>
      <c r="N890" s="42"/>
      <c r="O890" s="50"/>
      <c r="P890" s="38"/>
      <c r="Q890" s="41"/>
      <c r="R890" s="43"/>
      <c r="S890" s="43"/>
      <c r="T890" s="41"/>
      <c r="U890" s="43"/>
      <c r="V890" s="43"/>
    </row>
    <row r="891" spans="4:22" ht="15" customHeight="1">
      <c r="D891" s="39"/>
      <c r="E891" s="40"/>
      <c r="K891" s="38"/>
      <c r="L891" s="38"/>
      <c r="M891" s="43"/>
      <c r="N891" s="42"/>
      <c r="O891" s="50"/>
      <c r="P891" s="38"/>
      <c r="Q891" s="41"/>
      <c r="R891" s="43"/>
      <c r="S891" s="43"/>
      <c r="T891" s="41"/>
      <c r="U891" s="43"/>
      <c r="V891" s="43"/>
    </row>
    <row r="892" spans="4:22" ht="15" customHeight="1">
      <c r="D892" s="39"/>
      <c r="E892" s="40"/>
      <c r="K892" s="38"/>
      <c r="L892" s="38"/>
      <c r="M892" s="43"/>
      <c r="N892" s="42"/>
      <c r="O892" s="50"/>
      <c r="P892" s="38"/>
      <c r="Q892" s="41"/>
      <c r="R892" s="43"/>
      <c r="S892" s="43"/>
      <c r="T892" s="41"/>
      <c r="U892" s="43"/>
      <c r="V892" s="43"/>
    </row>
    <row r="893" spans="4:22" ht="15" customHeight="1">
      <c r="D893" s="39"/>
      <c r="E893" s="40"/>
      <c r="K893" s="38"/>
      <c r="L893" s="38"/>
      <c r="M893" s="43"/>
      <c r="N893" s="42"/>
      <c r="O893" s="50"/>
      <c r="P893" s="38"/>
      <c r="Q893" s="41"/>
      <c r="R893" s="43"/>
      <c r="S893" s="43"/>
      <c r="T893" s="41"/>
      <c r="U893" s="43"/>
      <c r="V893" s="43"/>
    </row>
    <row r="894" spans="4:22" ht="15" customHeight="1">
      <c r="D894" s="39"/>
      <c r="E894" s="40"/>
      <c r="K894" s="38"/>
      <c r="L894" s="38"/>
      <c r="M894" s="43"/>
      <c r="N894" s="42"/>
      <c r="O894" s="50"/>
      <c r="P894" s="38"/>
      <c r="Q894" s="41"/>
      <c r="R894" s="43"/>
      <c r="S894" s="43"/>
      <c r="T894" s="41"/>
      <c r="U894" s="43"/>
      <c r="V894" s="43"/>
    </row>
    <row r="895" spans="4:22" ht="15" customHeight="1">
      <c r="D895" s="39"/>
      <c r="E895" s="40"/>
      <c r="K895" s="38"/>
      <c r="L895" s="38"/>
      <c r="M895" s="43"/>
      <c r="N895" s="42"/>
      <c r="O895" s="50"/>
      <c r="P895" s="38"/>
      <c r="Q895" s="41"/>
      <c r="R895" s="43"/>
      <c r="S895" s="43"/>
      <c r="T895" s="41"/>
      <c r="U895" s="43"/>
      <c r="V895" s="43"/>
    </row>
    <row r="896" spans="4:22" ht="15" customHeight="1">
      <c r="D896" s="39"/>
      <c r="E896" s="40"/>
      <c r="K896" s="38"/>
      <c r="L896" s="38"/>
      <c r="M896" s="43"/>
      <c r="N896" s="42"/>
      <c r="O896" s="50"/>
      <c r="P896" s="38"/>
      <c r="Q896" s="41"/>
      <c r="R896" s="43"/>
      <c r="S896" s="43"/>
      <c r="T896" s="41"/>
      <c r="U896" s="43"/>
      <c r="V896" s="43"/>
    </row>
    <row r="897" spans="4:23" ht="15" customHeight="1">
      <c r="D897" s="39"/>
      <c r="E897" s="40"/>
      <c r="K897" s="38"/>
      <c r="L897" s="38"/>
      <c r="M897" s="43"/>
      <c r="N897" s="42"/>
      <c r="O897" s="50"/>
      <c r="P897" s="38"/>
      <c r="Q897" s="41"/>
      <c r="R897" s="43"/>
      <c r="S897" s="43"/>
      <c r="T897" s="41"/>
      <c r="U897" s="43"/>
      <c r="V897" s="43"/>
    </row>
    <row r="898" spans="4:23" ht="15" customHeight="1">
      <c r="D898" s="39"/>
      <c r="E898" s="40"/>
      <c r="K898" s="38"/>
      <c r="L898" s="38"/>
      <c r="M898" s="43"/>
      <c r="N898" s="42"/>
      <c r="O898" s="50"/>
      <c r="P898" s="38"/>
      <c r="Q898" s="41"/>
      <c r="R898" s="43"/>
      <c r="S898" s="43"/>
      <c r="T898" s="41"/>
      <c r="U898" s="43"/>
      <c r="V898" s="43"/>
    </row>
    <row r="899" spans="4:23" ht="15" customHeight="1">
      <c r="D899" s="39"/>
      <c r="E899" s="40"/>
      <c r="K899" s="38"/>
      <c r="L899" s="38"/>
      <c r="M899" s="43"/>
      <c r="N899" s="42"/>
      <c r="O899" s="50"/>
      <c r="P899" s="38"/>
      <c r="Q899" s="41"/>
      <c r="R899" s="43"/>
      <c r="S899" s="43"/>
      <c r="T899" s="41"/>
      <c r="U899" s="43"/>
      <c r="V899" s="43"/>
    </row>
    <row r="900" spans="4:23" ht="15" customHeight="1">
      <c r="D900" s="39"/>
      <c r="E900" s="40"/>
      <c r="K900" s="38"/>
      <c r="L900" s="38"/>
      <c r="M900" s="43"/>
      <c r="N900" s="42"/>
      <c r="O900" s="50"/>
      <c r="P900" s="38"/>
      <c r="Q900" s="41"/>
      <c r="R900" s="43"/>
      <c r="S900" s="43"/>
      <c r="T900" s="41"/>
      <c r="U900" s="43"/>
      <c r="V900" s="43"/>
    </row>
    <row r="901" spans="4:23" ht="15" customHeight="1">
      <c r="D901" s="39"/>
      <c r="E901" s="40"/>
      <c r="K901" s="38"/>
      <c r="L901" s="38"/>
      <c r="M901" s="43"/>
      <c r="N901" s="42"/>
      <c r="O901" s="50"/>
      <c r="P901" s="38"/>
      <c r="Q901" s="41"/>
      <c r="R901" s="43"/>
      <c r="S901" s="43"/>
      <c r="T901" s="41"/>
      <c r="U901" s="43"/>
      <c r="V901" s="43"/>
    </row>
    <row r="902" spans="4:23" ht="15" customHeight="1">
      <c r="D902" s="39"/>
      <c r="E902" s="40"/>
      <c r="K902" s="38"/>
      <c r="L902" s="38"/>
      <c r="M902" s="43"/>
      <c r="N902" s="42"/>
      <c r="O902" s="50"/>
      <c r="P902" s="38"/>
      <c r="Q902" s="41"/>
      <c r="R902" s="43"/>
      <c r="S902" s="43"/>
      <c r="T902" s="41"/>
      <c r="U902" s="43"/>
      <c r="V902" s="43"/>
    </row>
    <row r="903" spans="4:23" ht="15" customHeight="1">
      <c r="D903" s="39"/>
      <c r="E903" s="40"/>
      <c r="K903" s="38"/>
      <c r="L903" s="38"/>
      <c r="M903" s="43"/>
      <c r="N903" s="42"/>
      <c r="O903" s="50"/>
      <c r="P903" s="38"/>
      <c r="Q903" s="41"/>
      <c r="R903" s="43"/>
      <c r="S903" s="43"/>
      <c r="T903" s="41"/>
      <c r="U903" s="43"/>
      <c r="V903" s="43"/>
    </row>
    <row r="904" spans="4:23" ht="15" customHeight="1">
      <c r="D904" s="39"/>
      <c r="E904" s="40"/>
      <c r="K904" s="38"/>
      <c r="L904" s="38"/>
      <c r="M904" s="43"/>
      <c r="N904" s="42"/>
      <c r="O904" s="50"/>
      <c r="P904" s="38"/>
      <c r="Q904" s="41"/>
      <c r="R904" s="43"/>
      <c r="S904" s="43"/>
      <c r="T904" s="41"/>
      <c r="U904" s="43"/>
      <c r="V904" s="43"/>
    </row>
    <row r="905" spans="4:23" ht="15" customHeight="1">
      <c r="D905" s="39"/>
      <c r="E905" s="40"/>
      <c r="K905" s="38"/>
      <c r="L905" s="38"/>
      <c r="M905" s="43"/>
      <c r="N905" s="42"/>
      <c r="O905" s="50"/>
      <c r="P905" s="38"/>
      <c r="Q905" s="41"/>
      <c r="R905" s="43"/>
      <c r="S905" s="43"/>
      <c r="T905" s="41"/>
      <c r="U905" s="43"/>
      <c r="V905" s="43"/>
    </row>
    <row r="906" spans="4:23" ht="15" customHeight="1">
      <c r="D906" s="39"/>
      <c r="E906" s="40"/>
      <c r="K906" s="38"/>
      <c r="L906" s="38"/>
      <c r="M906" s="43"/>
      <c r="N906" s="42"/>
      <c r="O906" s="50"/>
      <c r="P906" s="38"/>
      <c r="Q906" s="41"/>
      <c r="R906" s="43"/>
      <c r="S906" s="43"/>
      <c r="T906" s="41"/>
      <c r="U906" s="43"/>
      <c r="V906" s="43"/>
    </row>
    <row r="907" spans="4:23" ht="15" customHeight="1">
      <c r="D907" s="39"/>
      <c r="E907" s="40"/>
      <c r="K907" s="38"/>
      <c r="L907" s="38"/>
      <c r="M907" s="43"/>
      <c r="N907" s="42"/>
      <c r="O907" s="50"/>
      <c r="P907" s="38"/>
      <c r="Q907" s="41"/>
      <c r="R907" s="43"/>
      <c r="S907" s="43"/>
      <c r="T907" s="41"/>
      <c r="U907" s="43"/>
      <c r="V907" s="43"/>
    </row>
    <row r="908" spans="4:23" ht="15" customHeight="1">
      <c r="D908" s="39"/>
      <c r="E908" s="40"/>
      <c r="K908" s="38"/>
      <c r="L908" s="38"/>
      <c r="M908" s="43"/>
      <c r="N908" s="42"/>
      <c r="O908" s="50"/>
      <c r="P908" s="38"/>
      <c r="Q908" s="41"/>
      <c r="R908" s="43"/>
      <c r="S908" s="43"/>
      <c r="T908" s="41"/>
      <c r="U908" s="43"/>
      <c r="V908" s="43"/>
    </row>
    <row r="909" spans="4:23" ht="15" customHeight="1">
      <c r="D909" s="39"/>
      <c r="E909" s="40"/>
      <c r="K909" s="38"/>
      <c r="L909" s="38"/>
      <c r="M909" s="43"/>
      <c r="N909" s="42"/>
      <c r="O909" s="50"/>
      <c r="P909" s="38"/>
      <c r="Q909" s="41"/>
      <c r="R909" s="43"/>
      <c r="S909" s="43"/>
      <c r="T909" s="41"/>
      <c r="U909" s="43"/>
      <c r="V909" s="43"/>
    </row>
    <row r="910" spans="4:23" ht="15" customHeight="1">
      <c r="D910" s="39"/>
      <c r="E910" s="40"/>
      <c r="K910" s="38"/>
      <c r="L910" s="38"/>
      <c r="M910" s="43"/>
      <c r="N910" s="42"/>
      <c r="O910" s="50"/>
      <c r="P910" s="38"/>
      <c r="Q910" s="41"/>
      <c r="R910" s="43"/>
      <c r="S910" s="43"/>
      <c r="T910" s="41"/>
      <c r="U910" s="41"/>
      <c r="V910" s="41"/>
    </row>
    <row r="911" spans="4:23" ht="15" customHeight="1">
      <c r="D911" s="39"/>
      <c r="E911" s="40"/>
      <c r="K911" s="38"/>
      <c r="L911" s="38"/>
      <c r="M911" s="43"/>
      <c r="N911" s="42"/>
      <c r="O911" s="50"/>
      <c r="P911" s="38"/>
      <c r="Q911" s="41"/>
      <c r="R911" s="43"/>
      <c r="S911" s="43"/>
      <c r="T911" s="41"/>
      <c r="U911" s="41"/>
      <c r="V911" s="41"/>
      <c r="W911" s="41"/>
    </row>
    <row r="912" spans="4:23" ht="15" customHeight="1">
      <c r="D912" s="39"/>
      <c r="E912" s="40"/>
      <c r="K912" s="38"/>
      <c r="L912" s="38"/>
      <c r="M912" s="43"/>
      <c r="N912" s="42"/>
      <c r="O912" s="50"/>
      <c r="P912" s="38"/>
      <c r="Q912" s="41"/>
      <c r="R912" s="43"/>
      <c r="S912" s="43"/>
      <c r="T912" s="41"/>
      <c r="U912" s="41"/>
      <c r="V912" s="41"/>
      <c r="W912" s="41"/>
    </row>
    <row r="913" spans="4:23" ht="15" customHeight="1">
      <c r="D913" s="39"/>
      <c r="E913" s="40"/>
      <c r="K913" s="38"/>
      <c r="L913" s="38"/>
      <c r="M913" s="43"/>
      <c r="N913" s="42"/>
      <c r="O913" s="50"/>
      <c r="P913" s="38"/>
      <c r="Q913" s="41"/>
      <c r="R913" s="43"/>
      <c r="S913" s="43"/>
      <c r="T913" s="41"/>
      <c r="U913" s="41"/>
      <c r="V913" s="41"/>
      <c r="W913" s="41"/>
    </row>
    <row r="914" spans="4:23" ht="15" customHeight="1">
      <c r="D914" s="39"/>
      <c r="E914" s="40"/>
      <c r="K914" s="38"/>
      <c r="L914" s="38"/>
      <c r="M914" s="43"/>
      <c r="N914" s="42"/>
      <c r="O914" s="50"/>
      <c r="P914" s="38"/>
      <c r="Q914" s="41"/>
      <c r="R914" s="43"/>
      <c r="S914" s="43"/>
      <c r="T914" s="41"/>
      <c r="U914" s="41"/>
      <c r="V914" s="41"/>
      <c r="W914" s="41"/>
    </row>
    <row r="915" spans="4:23" ht="15" customHeight="1">
      <c r="D915" s="39"/>
      <c r="E915" s="40"/>
      <c r="K915" s="38"/>
      <c r="L915" s="38"/>
      <c r="M915" s="43"/>
      <c r="N915" s="42"/>
      <c r="O915" s="50"/>
      <c r="P915" s="38"/>
      <c r="Q915" s="41"/>
      <c r="R915" s="43"/>
      <c r="S915" s="43"/>
      <c r="T915" s="41"/>
      <c r="U915" s="41"/>
      <c r="V915" s="41"/>
    </row>
    <row r="916" spans="4:23" ht="15" customHeight="1">
      <c r="D916" s="39"/>
      <c r="E916" s="40"/>
      <c r="K916" s="38"/>
      <c r="L916" s="38"/>
      <c r="M916" s="43"/>
      <c r="N916" s="42"/>
      <c r="O916" s="50"/>
      <c r="P916" s="38"/>
      <c r="Q916" s="41"/>
      <c r="R916" s="43"/>
      <c r="S916" s="43"/>
      <c r="T916" s="41"/>
      <c r="U916" s="41"/>
      <c r="V916" s="41"/>
    </row>
    <row r="917" spans="4:23" ht="15" customHeight="1">
      <c r="D917" s="39"/>
      <c r="E917" s="40"/>
      <c r="K917" s="38"/>
      <c r="L917" s="38"/>
      <c r="M917" s="43"/>
      <c r="N917" s="42"/>
      <c r="O917" s="50"/>
      <c r="P917" s="38"/>
      <c r="Q917" s="41"/>
      <c r="R917" s="43"/>
      <c r="S917" s="43"/>
      <c r="T917" s="41"/>
      <c r="U917" s="41"/>
      <c r="V917" s="41"/>
    </row>
    <row r="918" spans="4:23" ht="15" customHeight="1">
      <c r="D918" s="39"/>
      <c r="E918" s="40"/>
      <c r="K918" s="38"/>
      <c r="L918" s="38"/>
      <c r="M918" s="43"/>
      <c r="N918" s="42"/>
      <c r="O918" s="50"/>
      <c r="P918" s="38"/>
      <c r="Q918" s="41"/>
      <c r="R918" s="43"/>
      <c r="S918" s="43"/>
      <c r="T918" s="41"/>
      <c r="U918" s="41"/>
      <c r="V918" s="41"/>
    </row>
    <row r="919" spans="4:23" ht="15" customHeight="1">
      <c r="D919" s="39"/>
      <c r="E919" s="40"/>
      <c r="K919" s="38"/>
      <c r="L919" s="38"/>
      <c r="M919" s="43"/>
      <c r="N919" s="42"/>
      <c r="O919" s="50"/>
      <c r="P919" s="38"/>
      <c r="Q919" s="41"/>
      <c r="R919" s="43"/>
      <c r="S919" s="43"/>
      <c r="T919" s="41"/>
      <c r="U919" s="41"/>
      <c r="V919" s="41"/>
    </row>
    <row r="920" spans="4:23" ht="15" customHeight="1">
      <c r="D920" s="39"/>
      <c r="E920" s="40"/>
      <c r="K920" s="38"/>
      <c r="L920" s="38"/>
      <c r="M920" s="43"/>
      <c r="N920" s="42"/>
      <c r="O920" s="50"/>
      <c r="P920" s="38"/>
      <c r="Q920" s="41"/>
      <c r="R920" s="43"/>
      <c r="S920" s="43"/>
      <c r="T920" s="41"/>
      <c r="U920" s="41"/>
      <c r="V920" s="41"/>
    </row>
    <row r="921" spans="4:23" ht="15" customHeight="1">
      <c r="D921" s="39"/>
      <c r="E921" s="40"/>
      <c r="K921" s="38"/>
      <c r="L921" s="38"/>
      <c r="M921" s="43"/>
      <c r="N921" s="42"/>
      <c r="O921" s="50"/>
      <c r="P921" s="38"/>
      <c r="Q921" s="41"/>
      <c r="R921" s="43"/>
      <c r="S921" s="43"/>
      <c r="T921" s="41"/>
      <c r="U921" s="41"/>
      <c r="V921" s="41"/>
    </row>
    <row r="922" spans="4:23" ht="15" customHeight="1">
      <c r="D922" s="39"/>
      <c r="E922" s="40"/>
      <c r="K922" s="38"/>
      <c r="L922" s="38"/>
      <c r="M922" s="43"/>
      <c r="N922" s="42"/>
      <c r="O922" s="50"/>
      <c r="P922" s="38"/>
      <c r="Q922" s="41"/>
      <c r="R922" s="43"/>
      <c r="S922" s="43"/>
      <c r="T922" s="41"/>
      <c r="U922" s="41"/>
      <c r="V922" s="41"/>
    </row>
    <row r="923" spans="4:23" ht="15" customHeight="1">
      <c r="D923" s="39"/>
      <c r="E923" s="40"/>
      <c r="K923" s="38"/>
      <c r="L923" s="38"/>
      <c r="M923" s="43"/>
      <c r="N923" s="42"/>
      <c r="O923" s="50"/>
      <c r="P923" s="38"/>
      <c r="Q923" s="41"/>
      <c r="R923" s="43"/>
      <c r="S923" s="43"/>
      <c r="T923" s="41"/>
      <c r="U923" s="41"/>
      <c r="V923" s="41"/>
    </row>
    <row r="924" spans="4:23" ht="15" customHeight="1">
      <c r="D924" s="39"/>
      <c r="E924" s="40"/>
      <c r="K924" s="38"/>
      <c r="L924" s="38"/>
      <c r="M924" s="43"/>
      <c r="N924" s="42"/>
      <c r="O924" s="50"/>
      <c r="P924" s="38"/>
      <c r="Q924" s="41"/>
      <c r="R924" s="43"/>
      <c r="S924" s="43"/>
      <c r="T924" s="41"/>
      <c r="U924" s="41"/>
      <c r="V924" s="41"/>
    </row>
    <row r="925" spans="4:23" ht="15" customHeight="1">
      <c r="D925" s="39"/>
      <c r="E925" s="40"/>
      <c r="K925" s="38"/>
      <c r="L925" s="38"/>
      <c r="M925" s="43"/>
      <c r="N925" s="42"/>
      <c r="O925" s="50"/>
      <c r="P925" s="38"/>
      <c r="Q925" s="41"/>
      <c r="R925" s="43"/>
      <c r="S925" s="43"/>
      <c r="T925" s="41"/>
      <c r="U925" s="41"/>
      <c r="V925" s="41"/>
    </row>
    <row r="926" spans="4:23" ht="15" customHeight="1">
      <c r="D926" s="39"/>
      <c r="E926" s="40"/>
      <c r="K926" s="38"/>
      <c r="L926" s="38"/>
      <c r="M926" s="43"/>
      <c r="N926" s="42"/>
      <c r="O926" s="50"/>
      <c r="P926" s="38"/>
      <c r="Q926" s="41"/>
      <c r="R926" s="43"/>
      <c r="S926" s="43"/>
      <c r="T926" s="41"/>
      <c r="U926" s="41"/>
      <c r="V926" s="41"/>
    </row>
    <row r="927" spans="4:23" ht="15" customHeight="1">
      <c r="D927" s="39"/>
      <c r="E927" s="40"/>
      <c r="K927" s="38"/>
      <c r="L927" s="38"/>
      <c r="M927" s="43"/>
      <c r="N927" s="42"/>
      <c r="O927" s="50"/>
      <c r="P927" s="38"/>
      <c r="Q927" s="41"/>
      <c r="R927" s="43"/>
      <c r="S927" s="43"/>
      <c r="T927" s="41"/>
      <c r="U927" s="41"/>
      <c r="V927" s="41"/>
    </row>
    <row r="928" spans="4:23" ht="15" customHeight="1">
      <c r="D928" s="39"/>
      <c r="E928" s="40"/>
      <c r="K928" s="38"/>
      <c r="L928" s="38"/>
      <c r="M928" s="43"/>
      <c r="N928" s="42"/>
      <c r="O928" s="50"/>
      <c r="P928" s="38"/>
      <c r="Q928" s="41"/>
      <c r="R928" s="43"/>
      <c r="S928" s="43"/>
      <c r="T928" s="41"/>
      <c r="U928" s="41"/>
      <c r="V928" s="41"/>
    </row>
    <row r="929" spans="4:22" ht="15" customHeight="1">
      <c r="D929" s="39"/>
      <c r="E929" s="40"/>
      <c r="K929" s="38"/>
      <c r="L929" s="38"/>
      <c r="M929" s="43"/>
      <c r="N929" s="42"/>
      <c r="O929" s="50"/>
      <c r="P929" s="38"/>
      <c r="Q929" s="41"/>
      <c r="R929" s="43"/>
      <c r="S929" s="43"/>
      <c r="T929" s="41"/>
      <c r="U929" s="41"/>
      <c r="V929" s="41"/>
    </row>
    <row r="930" spans="4:22" ht="15" customHeight="1">
      <c r="D930" s="39"/>
      <c r="E930" s="40"/>
      <c r="K930" s="38"/>
      <c r="L930" s="38"/>
      <c r="M930" s="43"/>
      <c r="N930" s="42"/>
      <c r="O930" s="50"/>
      <c r="P930" s="38"/>
      <c r="Q930" s="41"/>
      <c r="R930" s="43"/>
      <c r="S930" s="43"/>
      <c r="T930" s="41"/>
      <c r="U930" s="41"/>
      <c r="V930" s="41"/>
    </row>
    <row r="931" spans="4:22" ht="15" customHeight="1">
      <c r="D931" s="39"/>
      <c r="E931" s="40"/>
      <c r="K931" s="38"/>
      <c r="L931" s="38"/>
      <c r="M931" s="43"/>
      <c r="N931" s="42"/>
      <c r="O931" s="50"/>
      <c r="P931" s="38"/>
      <c r="Q931" s="41"/>
      <c r="R931" s="43"/>
      <c r="S931" s="43"/>
      <c r="T931" s="41"/>
      <c r="U931" s="41"/>
      <c r="V931" s="41"/>
    </row>
    <row r="932" spans="4:22" ht="15" customHeight="1">
      <c r="D932" s="39"/>
      <c r="E932" s="40"/>
      <c r="K932" s="38"/>
      <c r="L932" s="38"/>
      <c r="M932" s="43"/>
      <c r="N932" s="42"/>
      <c r="O932" s="50"/>
      <c r="P932" s="38"/>
      <c r="Q932" s="41"/>
      <c r="R932" s="43"/>
      <c r="S932" s="43"/>
      <c r="T932" s="41"/>
      <c r="U932" s="41"/>
      <c r="V932" s="41"/>
    </row>
    <row r="933" spans="4:22" ht="15" customHeight="1">
      <c r="D933" s="39"/>
      <c r="E933" s="40"/>
      <c r="K933" s="38"/>
      <c r="L933" s="38"/>
      <c r="M933" s="43"/>
      <c r="N933" s="42"/>
      <c r="O933" s="50"/>
      <c r="P933" s="38"/>
      <c r="Q933" s="41"/>
      <c r="R933" s="43"/>
      <c r="S933" s="43"/>
      <c r="T933" s="41"/>
      <c r="U933" s="41"/>
      <c r="V933" s="41"/>
    </row>
    <row r="934" spans="4:22" ht="15" customHeight="1">
      <c r="D934" s="39"/>
      <c r="E934" s="40"/>
      <c r="K934" s="38"/>
      <c r="L934" s="38"/>
      <c r="M934" s="43"/>
      <c r="N934" s="42"/>
      <c r="O934" s="50"/>
      <c r="P934" s="38"/>
      <c r="Q934" s="41"/>
      <c r="R934" s="43"/>
      <c r="S934" s="43"/>
      <c r="T934" s="41"/>
      <c r="U934" s="41"/>
      <c r="V934" s="41"/>
    </row>
    <row r="935" spans="4:22" ht="15" customHeight="1">
      <c r="D935" s="39"/>
      <c r="E935" s="40"/>
      <c r="K935" s="38"/>
      <c r="L935" s="38"/>
      <c r="M935" s="43"/>
      <c r="N935" s="42"/>
      <c r="O935" s="50"/>
      <c r="P935" s="38"/>
      <c r="Q935" s="41"/>
      <c r="R935" s="43"/>
      <c r="S935" s="43"/>
      <c r="T935" s="41"/>
      <c r="U935" s="41"/>
      <c r="V935" s="41"/>
    </row>
    <row r="936" spans="4:22" ht="15" customHeight="1">
      <c r="D936" s="39"/>
      <c r="E936" s="40"/>
      <c r="K936" s="38"/>
      <c r="L936" s="38"/>
      <c r="M936" s="43"/>
      <c r="N936" s="42"/>
      <c r="O936" s="50"/>
      <c r="P936" s="38"/>
      <c r="Q936" s="41"/>
      <c r="R936" s="43"/>
      <c r="S936" s="43"/>
      <c r="T936" s="41"/>
      <c r="U936" s="41"/>
      <c r="V936" s="41"/>
    </row>
    <row r="937" spans="4:22" ht="15" customHeight="1">
      <c r="D937" s="39"/>
      <c r="E937" s="40"/>
      <c r="K937" s="38"/>
      <c r="L937" s="38"/>
      <c r="M937" s="43"/>
      <c r="N937" s="42"/>
      <c r="O937" s="50"/>
      <c r="P937" s="38"/>
      <c r="Q937" s="41"/>
      <c r="R937" s="43"/>
      <c r="S937" s="43"/>
      <c r="T937" s="41"/>
      <c r="U937" s="41"/>
      <c r="V937" s="41"/>
    </row>
    <row r="938" spans="4:22" ht="15" customHeight="1">
      <c r="D938" s="39"/>
      <c r="E938" s="40"/>
      <c r="K938" s="38"/>
      <c r="L938" s="38"/>
      <c r="M938" s="43"/>
      <c r="N938" s="42"/>
      <c r="O938" s="50"/>
      <c r="P938" s="38"/>
      <c r="Q938" s="41"/>
      <c r="R938" s="43"/>
      <c r="S938" s="43"/>
      <c r="T938" s="41"/>
      <c r="U938" s="41"/>
      <c r="V938" s="41"/>
    </row>
    <row r="939" spans="4:22" ht="15" customHeight="1">
      <c r="D939" s="39"/>
      <c r="E939" s="40"/>
      <c r="K939" s="38"/>
      <c r="L939" s="38"/>
      <c r="M939" s="43"/>
      <c r="N939" s="42"/>
      <c r="O939" s="50"/>
      <c r="P939" s="38"/>
      <c r="Q939" s="41"/>
      <c r="R939" s="43"/>
      <c r="S939" s="43"/>
      <c r="T939" s="41"/>
      <c r="U939" s="41"/>
      <c r="V939" s="41"/>
    </row>
    <row r="940" spans="4:22" ht="15" customHeight="1">
      <c r="D940" s="39"/>
      <c r="E940" s="40"/>
      <c r="K940" s="38"/>
      <c r="L940" s="38"/>
      <c r="M940" s="43"/>
      <c r="N940" s="42"/>
      <c r="O940" s="50"/>
      <c r="P940" s="38"/>
      <c r="Q940" s="41"/>
      <c r="R940" s="43"/>
      <c r="S940" s="43"/>
      <c r="T940" s="41"/>
      <c r="U940" s="41"/>
      <c r="V940" s="41"/>
    </row>
    <row r="941" spans="4:22" ht="15" customHeight="1">
      <c r="D941" s="39"/>
      <c r="E941" s="40"/>
      <c r="K941" s="38"/>
      <c r="L941" s="38"/>
      <c r="M941" s="43"/>
      <c r="N941" s="42"/>
      <c r="O941" s="50"/>
      <c r="P941" s="38"/>
      <c r="Q941" s="41"/>
      <c r="R941" s="43"/>
      <c r="S941" s="43"/>
      <c r="T941" s="41"/>
      <c r="U941" s="41"/>
      <c r="V941" s="41"/>
    </row>
    <row r="942" spans="4:22" ht="15" customHeight="1">
      <c r="D942" s="39"/>
      <c r="E942" s="40"/>
      <c r="K942" s="38"/>
      <c r="L942" s="38"/>
      <c r="M942" s="43"/>
      <c r="N942" s="42"/>
      <c r="O942" s="50"/>
      <c r="P942" s="38"/>
      <c r="Q942" s="41"/>
      <c r="R942" s="43"/>
      <c r="S942" s="43"/>
      <c r="T942" s="41"/>
      <c r="U942" s="41"/>
      <c r="V942" s="41"/>
    </row>
    <row r="943" spans="4:22" ht="15" customHeight="1">
      <c r="D943" s="39"/>
      <c r="E943" s="40"/>
      <c r="K943" s="38"/>
      <c r="L943" s="38"/>
      <c r="M943" s="43"/>
      <c r="N943" s="42"/>
      <c r="O943" s="50"/>
      <c r="P943" s="38"/>
      <c r="Q943" s="41"/>
      <c r="R943" s="43"/>
      <c r="S943" s="43"/>
      <c r="T943" s="41"/>
      <c r="U943" s="41"/>
      <c r="V943" s="41"/>
    </row>
    <row r="944" spans="4:22" ht="15" customHeight="1">
      <c r="D944" s="39"/>
      <c r="E944" s="40"/>
      <c r="K944" s="38"/>
      <c r="L944" s="38"/>
      <c r="M944" s="43"/>
      <c r="N944" s="42"/>
      <c r="O944" s="50"/>
      <c r="P944" s="38"/>
      <c r="Q944" s="41"/>
      <c r="R944" s="43"/>
      <c r="S944" s="43"/>
      <c r="T944" s="41"/>
      <c r="U944" s="41"/>
      <c r="V944" s="41"/>
    </row>
    <row r="945" spans="4:22" ht="15" customHeight="1">
      <c r="D945" s="39"/>
      <c r="E945" s="40"/>
      <c r="K945" s="38"/>
      <c r="L945" s="38"/>
      <c r="M945" s="43"/>
      <c r="N945" s="42"/>
      <c r="O945" s="50"/>
      <c r="P945" s="38"/>
      <c r="Q945" s="41"/>
      <c r="R945" s="43"/>
      <c r="S945" s="43"/>
      <c r="T945" s="41"/>
      <c r="U945" s="41"/>
      <c r="V945" s="41"/>
    </row>
    <row r="946" spans="4:22" ht="15" customHeight="1">
      <c r="D946" s="39"/>
      <c r="E946" s="40"/>
      <c r="K946" s="38"/>
      <c r="L946" s="38"/>
      <c r="M946" s="43"/>
      <c r="N946" s="42"/>
      <c r="O946" s="50"/>
      <c r="P946" s="38"/>
      <c r="Q946" s="41"/>
      <c r="R946" s="43"/>
      <c r="S946" s="43"/>
      <c r="T946" s="41"/>
      <c r="U946" s="41"/>
      <c r="V946" s="41"/>
    </row>
    <row r="947" spans="4:22" ht="15" customHeight="1">
      <c r="D947" s="39"/>
      <c r="E947" s="40"/>
      <c r="K947" s="38"/>
      <c r="L947" s="38"/>
      <c r="M947" s="43"/>
      <c r="N947" s="42"/>
      <c r="O947" s="50"/>
      <c r="P947" s="38"/>
      <c r="Q947" s="41"/>
      <c r="R947" s="43"/>
      <c r="S947" s="43"/>
      <c r="T947" s="41"/>
      <c r="U947" s="41"/>
      <c r="V947" s="41"/>
    </row>
    <row r="948" spans="4:22" ht="15" customHeight="1">
      <c r="D948" s="39"/>
      <c r="E948" s="40"/>
      <c r="K948" s="38"/>
      <c r="L948" s="38"/>
      <c r="M948" s="43"/>
      <c r="N948" s="42"/>
      <c r="O948" s="50"/>
      <c r="P948" s="38"/>
      <c r="Q948" s="41"/>
      <c r="R948" s="43"/>
      <c r="S948" s="43"/>
      <c r="T948" s="41"/>
      <c r="U948" s="41"/>
      <c r="V948" s="41"/>
    </row>
    <row r="949" spans="4:22" ht="15" customHeight="1">
      <c r="D949" s="39"/>
      <c r="E949" s="40"/>
      <c r="K949" s="38"/>
      <c r="L949" s="38"/>
      <c r="M949" s="43"/>
      <c r="N949" s="42"/>
      <c r="O949" s="50"/>
      <c r="P949" s="38"/>
      <c r="Q949" s="41"/>
      <c r="R949" s="43"/>
      <c r="S949" s="43"/>
      <c r="T949" s="41"/>
      <c r="U949" s="41"/>
      <c r="V949" s="41"/>
    </row>
    <row r="950" spans="4:22" ht="15" customHeight="1">
      <c r="D950" s="39"/>
      <c r="E950" s="40"/>
      <c r="K950" s="38"/>
      <c r="L950" s="38"/>
      <c r="M950" s="43"/>
      <c r="N950" s="42"/>
      <c r="O950" s="50"/>
      <c r="P950" s="38"/>
      <c r="Q950" s="41"/>
      <c r="R950" s="43"/>
      <c r="S950" s="43"/>
      <c r="T950" s="41"/>
      <c r="U950" s="41"/>
      <c r="V950" s="41"/>
    </row>
    <row r="951" spans="4:22" ht="15" customHeight="1">
      <c r="D951" s="39"/>
      <c r="E951" s="40"/>
      <c r="K951" s="38"/>
      <c r="L951" s="38"/>
      <c r="M951" s="43"/>
      <c r="N951" s="42"/>
      <c r="O951" s="50"/>
      <c r="P951" s="38"/>
      <c r="Q951" s="41"/>
      <c r="R951" s="43"/>
      <c r="S951" s="43"/>
      <c r="T951" s="41"/>
      <c r="U951" s="41"/>
      <c r="V951" s="41"/>
    </row>
    <row r="952" spans="4:22" ht="15" customHeight="1">
      <c r="D952" s="39"/>
      <c r="E952" s="40"/>
      <c r="K952" s="38"/>
      <c r="L952" s="38"/>
      <c r="M952" s="43"/>
      <c r="N952" s="42"/>
      <c r="O952" s="50"/>
      <c r="P952" s="38"/>
      <c r="Q952" s="41"/>
      <c r="R952" s="43"/>
      <c r="S952" s="43"/>
      <c r="T952" s="41"/>
      <c r="U952" s="41"/>
      <c r="V952" s="41"/>
    </row>
    <row r="953" spans="4:22" ht="15" customHeight="1">
      <c r="D953" s="39"/>
      <c r="E953" s="40"/>
      <c r="K953" s="38"/>
      <c r="L953" s="38"/>
      <c r="M953" s="43"/>
      <c r="N953" s="42"/>
      <c r="O953" s="50"/>
      <c r="P953" s="38"/>
      <c r="Q953" s="41"/>
      <c r="R953" s="43"/>
      <c r="S953" s="43"/>
      <c r="T953" s="41"/>
      <c r="U953" s="41"/>
      <c r="V953" s="41"/>
    </row>
    <row r="954" spans="4:22" ht="15" customHeight="1">
      <c r="D954" s="39"/>
      <c r="E954" s="40"/>
      <c r="K954" s="38"/>
      <c r="L954" s="38"/>
      <c r="M954" s="43"/>
      <c r="N954" s="42"/>
      <c r="O954" s="50"/>
      <c r="P954" s="38"/>
      <c r="Q954" s="41"/>
      <c r="R954" s="43"/>
      <c r="S954" s="43"/>
      <c r="T954" s="41"/>
      <c r="U954" s="41"/>
      <c r="V954" s="41"/>
    </row>
    <row r="955" spans="4:22" ht="15" customHeight="1">
      <c r="D955" s="39"/>
      <c r="E955" s="40"/>
      <c r="K955" s="38"/>
      <c r="L955" s="38"/>
      <c r="M955" s="43"/>
      <c r="N955" s="42"/>
      <c r="O955" s="50"/>
      <c r="P955" s="38"/>
      <c r="Q955" s="41"/>
      <c r="R955" s="43"/>
      <c r="S955" s="43"/>
      <c r="T955" s="41"/>
      <c r="U955" s="41"/>
      <c r="V955" s="41"/>
    </row>
    <row r="956" spans="4:22" ht="15" customHeight="1">
      <c r="D956" s="39"/>
      <c r="E956" s="40"/>
      <c r="K956" s="38"/>
      <c r="L956" s="38"/>
      <c r="M956" s="43"/>
      <c r="N956" s="42"/>
      <c r="O956" s="50"/>
      <c r="P956" s="38"/>
      <c r="Q956" s="41"/>
      <c r="R956" s="43"/>
      <c r="S956" s="43"/>
      <c r="T956" s="41"/>
      <c r="U956" s="41"/>
      <c r="V956" s="41"/>
    </row>
    <row r="957" spans="4:22" ht="15" customHeight="1">
      <c r="D957" s="39"/>
      <c r="E957" s="40"/>
      <c r="K957" s="38"/>
      <c r="L957" s="38"/>
      <c r="M957" s="43"/>
      <c r="N957" s="42"/>
      <c r="O957" s="50"/>
      <c r="P957" s="38"/>
      <c r="Q957" s="41"/>
      <c r="R957" s="43"/>
      <c r="S957" s="43"/>
      <c r="T957" s="41"/>
      <c r="U957" s="41"/>
      <c r="V957" s="41"/>
    </row>
    <row r="958" spans="4:22" ht="15" customHeight="1">
      <c r="D958" s="39"/>
      <c r="E958" s="40"/>
      <c r="K958" s="38"/>
      <c r="L958" s="38"/>
      <c r="M958" s="43"/>
      <c r="N958" s="42"/>
      <c r="O958" s="50"/>
      <c r="P958" s="38"/>
      <c r="Q958" s="41"/>
      <c r="R958" s="43"/>
      <c r="S958" s="43"/>
      <c r="T958" s="41"/>
      <c r="U958" s="41"/>
      <c r="V958" s="41"/>
    </row>
    <row r="959" spans="4:22" ht="15" customHeight="1">
      <c r="D959" s="39"/>
      <c r="E959" s="40"/>
      <c r="K959" s="38"/>
      <c r="L959" s="38"/>
      <c r="M959" s="43"/>
      <c r="N959" s="42"/>
      <c r="O959" s="50"/>
      <c r="P959" s="38"/>
      <c r="Q959" s="41"/>
      <c r="R959" s="43"/>
      <c r="S959" s="43"/>
      <c r="T959" s="41"/>
      <c r="U959" s="41"/>
      <c r="V959" s="41"/>
    </row>
    <row r="960" spans="4:22" ht="15" customHeight="1">
      <c r="D960" s="39"/>
      <c r="E960" s="40"/>
      <c r="K960" s="38"/>
      <c r="L960" s="38"/>
      <c r="M960" s="43"/>
      <c r="N960" s="42"/>
      <c r="O960" s="50"/>
      <c r="P960" s="38"/>
      <c r="Q960" s="41"/>
      <c r="R960" s="43"/>
      <c r="S960" s="43"/>
      <c r="T960" s="41"/>
      <c r="U960" s="41"/>
      <c r="V960" s="41"/>
    </row>
    <row r="961" spans="4:22" ht="15" customHeight="1">
      <c r="D961" s="39"/>
      <c r="E961" s="40"/>
      <c r="K961" s="38"/>
      <c r="L961" s="38"/>
      <c r="M961" s="43"/>
      <c r="N961" s="42"/>
      <c r="O961" s="50"/>
      <c r="P961" s="38"/>
      <c r="Q961" s="41"/>
      <c r="R961" s="43"/>
      <c r="S961" s="43"/>
      <c r="T961" s="41"/>
      <c r="U961" s="41"/>
      <c r="V961" s="41"/>
    </row>
    <row r="962" spans="4:22" ht="15" customHeight="1">
      <c r="D962" s="39"/>
      <c r="E962" s="40"/>
      <c r="K962" s="38"/>
      <c r="L962" s="38"/>
      <c r="M962" s="43"/>
      <c r="N962" s="42"/>
      <c r="O962" s="50"/>
      <c r="P962" s="38"/>
      <c r="Q962" s="41"/>
      <c r="R962" s="43"/>
      <c r="S962" s="43"/>
      <c r="T962" s="41"/>
      <c r="U962" s="41"/>
      <c r="V962" s="41"/>
    </row>
    <row r="963" spans="4:22" ht="15" customHeight="1">
      <c r="D963" s="39"/>
      <c r="E963" s="40"/>
      <c r="K963" s="38"/>
      <c r="L963" s="38"/>
      <c r="M963" s="43"/>
      <c r="N963" s="42"/>
      <c r="O963" s="50"/>
      <c r="P963" s="38"/>
      <c r="Q963" s="41"/>
      <c r="R963" s="43"/>
      <c r="S963" s="43"/>
      <c r="T963" s="41"/>
      <c r="U963" s="41"/>
      <c r="V963" s="41"/>
    </row>
    <row r="964" spans="4:22" ht="15" customHeight="1">
      <c r="D964" s="39"/>
      <c r="E964" s="40"/>
      <c r="K964" s="38"/>
      <c r="L964" s="38"/>
      <c r="M964" s="43"/>
      <c r="N964" s="42"/>
      <c r="O964" s="50"/>
      <c r="P964" s="38"/>
      <c r="Q964" s="41"/>
      <c r="R964" s="43"/>
      <c r="S964" s="43"/>
      <c r="T964" s="41"/>
      <c r="U964" s="41"/>
      <c r="V964" s="41"/>
    </row>
    <row r="965" spans="4:22" ht="15" customHeight="1">
      <c r="D965" s="39"/>
      <c r="E965" s="40"/>
      <c r="K965" s="38"/>
      <c r="L965" s="38"/>
      <c r="M965" s="43"/>
      <c r="N965" s="42"/>
      <c r="O965" s="50"/>
      <c r="P965" s="38"/>
      <c r="Q965" s="41"/>
      <c r="R965" s="43"/>
      <c r="S965" s="43"/>
      <c r="T965" s="41"/>
      <c r="U965" s="41"/>
      <c r="V965" s="41"/>
    </row>
    <row r="966" spans="4:22" ht="15" customHeight="1">
      <c r="D966" s="39"/>
      <c r="E966" s="40"/>
      <c r="K966" s="38"/>
      <c r="L966" s="38"/>
      <c r="M966" s="43"/>
      <c r="N966" s="42"/>
      <c r="O966" s="50"/>
      <c r="P966" s="38"/>
      <c r="Q966" s="41"/>
      <c r="R966" s="43"/>
      <c r="S966" s="43"/>
      <c r="T966" s="41"/>
      <c r="U966" s="41"/>
      <c r="V966" s="41"/>
    </row>
    <row r="967" spans="4:22" ht="15" customHeight="1">
      <c r="D967" s="39"/>
      <c r="E967" s="40"/>
      <c r="K967" s="38"/>
      <c r="L967" s="38"/>
      <c r="M967" s="43"/>
      <c r="N967" s="42"/>
      <c r="O967" s="50"/>
      <c r="P967" s="38"/>
      <c r="Q967" s="41"/>
      <c r="R967" s="43"/>
      <c r="S967" s="43"/>
      <c r="T967" s="41"/>
      <c r="U967" s="41"/>
      <c r="V967" s="41"/>
    </row>
    <row r="968" spans="4:22" ht="15" customHeight="1">
      <c r="D968" s="39"/>
      <c r="E968" s="40"/>
      <c r="K968" s="38"/>
      <c r="L968" s="38"/>
      <c r="M968" s="43"/>
      <c r="N968" s="42"/>
      <c r="O968" s="50"/>
      <c r="P968" s="38"/>
      <c r="Q968" s="41"/>
      <c r="R968" s="43"/>
      <c r="S968" s="43"/>
      <c r="T968" s="41"/>
      <c r="U968" s="41"/>
      <c r="V968" s="41"/>
    </row>
    <row r="969" spans="4:22" ht="15" customHeight="1">
      <c r="D969" s="39"/>
      <c r="E969" s="40"/>
      <c r="K969" s="38"/>
      <c r="L969" s="38"/>
      <c r="M969" s="43"/>
      <c r="N969" s="42"/>
      <c r="O969" s="50"/>
      <c r="P969" s="38"/>
      <c r="Q969" s="41"/>
      <c r="R969" s="43"/>
      <c r="S969" s="43"/>
      <c r="T969" s="41"/>
      <c r="U969" s="41"/>
      <c r="V969" s="41"/>
    </row>
    <row r="970" spans="4:22" ht="15" customHeight="1">
      <c r="D970" s="39"/>
      <c r="E970" s="40"/>
      <c r="K970" s="38"/>
      <c r="L970" s="38"/>
      <c r="M970" s="43"/>
      <c r="N970" s="42"/>
      <c r="O970" s="50"/>
      <c r="P970" s="38"/>
      <c r="Q970" s="41"/>
      <c r="R970" s="43"/>
      <c r="S970" s="43"/>
      <c r="T970" s="41"/>
      <c r="U970" s="41"/>
      <c r="V970" s="41"/>
    </row>
    <row r="971" spans="4:22" ht="15" customHeight="1">
      <c r="D971" s="39"/>
      <c r="E971" s="40"/>
      <c r="K971" s="38"/>
      <c r="L971" s="38"/>
      <c r="M971" s="43"/>
      <c r="N971" s="42"/>
      <c r="O971" s="50"/>
      <c r="P971" s="38"/>
      <c r="Q971" s="41"/>
      <c r="R971" s="43"/>
      <c r="S971" s="43"/>
      <c r="T971" s="41"/>
      <c r="U971" s="41"/>
      <c r="V971" s="41"/>
    </row>
    <row r="972" spans="4:22" ht="15" customHeight="1">
      <c r="D972" s="39"/>
      <c r="E972" s="40"/>
      <c r="K972" s="38"/>
      <c r="L972" s="38"/>
      <c r="M972" s="43"/>
      <c r="N972" s="42"/>
      <c r="O972" s="50"/>
      <c r="P972" s="38"/>
      <c r="Q972" s="41"/>
      <c r="R972" s="43"/>
      <c r="S972" s="43"/>
      <c r="T972" s="41"/>
      <c r="U972" s="41"/>
      <c r="V972" s="41"/>
    </row>
    <row r="973" spans="4:22" ht="15" customHeight="1">
      <c r="D973" s="39"/>
      <c r="E973" s="40"/>
      <c r="K973" s="38"/>
      <c r="L973" s="38"/>
      <c r="M973" s="43"/>
      <c r="N973" s="42"/>
      <c r="O973" s="50"/>
      <c r="P973" s="38"/>
      <c r="Q973" s="41"/>
      <c r="R973" s="43"/>
      <c r="S973" s="43"/>
      <c r="T973" s="41"/>
      <c r="U973" s="41"/>
      <c r="V973" s="41"/>
    </row>
    <row r="974" spans="4:22" ht="15" customHeight="1">
      <c r="D974" s="39"/>
      <c r="E974" s="40"/>
      <c r="K974" s="38"/>
      <c r="L974" s="38"/>
      <c r="M974" s="43"/>
      <c r="N974" s="42"/>
      <c r="O974" s="50"/>
      <c r="P974" s="38"/>
      <c r="Q974" s="41"/>
      <c r="R974" s="43"/>
      <c r="S974" s="43"/>
      <c r="T974" s="41"/>
      <c r="U974" s="41"/>
      <c r="V974" s="41"/>
    </row>
    <row r="975" spans="4:22" ht="15" customHeight="1">
      <c r="D975" s="39"/>
      <c r="E975" s="40"/>
      <c r="K975" s="38"/>
      <c r="L975" s="38"/>
      <c r="M975" s="43"/>
      <c r="N975" s="42"/>
      <c r="O975" s="50"/>
      <c r="P975" s="38"/>
      <c r="Q975" s="41"/>
      <c r="R975" s="43"/>
      <c r="S975" s="43"/>
      <c r="T975" s="41"/>
      <c r="U975" s="41"/>
      <c r="V975" s="41"/>
    </row>
    <row r="976" spans="4:22" ht="15" customHeight="1">
      <c r="D976" s="39"/>
      <c r="E976" s="40"/>
      <c r="K976" s="38"/>
      <c r="L976" s="38"/>
      <c r="M976" s="43"/>
      <c r="N976" s="42"/>
      <c r="O976" s="50"/>
      <c r="P976" s="38"/>
      <c r="Q976" s="41"/>
      <c r="R976" s="43"/>
      <c r="S976" s="43"/>
      <c r="T976" s="41"/>
      <c r="U976" s="41"/>
      <c r="V976" s="41"/>
    </row>
    <row r="977" spans="4:22" ht="15" customHeight="1">
      <c r="D977" s="39"/>
      <c r="E977" s="40"/>
      <c r="K977" s="38"/>
      <c r="L977" s="38"/>
      <c r="M977" s="43"/>
      <c r="N977" s="42"/>
      <c r="O977" s="50"/>
      <c r="P977" s="38"/>
      <c r="Q977" s="41"/>
      <c r="R977" s="43"/>
      <c r="S977" s="43"/>
      <c r="T977" s="41"/>
      <c r="U977" s="41"/>
      <c r="V977" s="41"/>
    </row>
    <row r="978" spans="4:22" ht="15" customHeight="1">
      <c r="D978" s="39"/>
      <c r="E978" s="40"/>
      <c r="K978" s="38"/>
      <c r="L978" s="38"/>
      <c r="M978" s="43"/>
      <c r="N978" s="42"/>
      <c r="O978" s="50"/>
      <c r="P978" s="38"/>
      <c r="Q978" s="41"/>
      <c r="R978" s="43"/>
      <c r="S978" s="43"/>
      <c r="T978" s="41"/>
      <c r="U978" s="41"/>
      <c r="V978" s="41"/>
    </row>
    <row r="979" spans="4:22" ht="15" customHeight="1">
      <c r="D979" s="39"/>
      <c r="E979" s="40"/>
      <c r="K979" s="38"/>
      <c r="L979" s="38"/>
      <c r="M979" s="43"/>
      <c r="N979" s="42"/>
      <c r="O979" s="50"/>
      <c r="P979" s="38"/>
      <c r="Q979" s="41"/>
      <c r="R979" s="43"/>
      <c r="S979" s="43"/>
      <c r="T979" s="41"/>
      <c r="U979" s="41"/>
      <c r="V979" s="41"/>
    </row>
    <row r="980" spans="4:22" ht="15" customHeight="1">
      <c r="D980" s="39"/>
      <c r="E980" s="40"/>
      <c r="K980" s="38"/>
      <c r="L980" s="38"/>
      <c r="M980" s="43"/>
      <c r="N980" s="42"/>
      <c r="O980" s="50"/>
      <c r="P980" s="38"/>
      <c r="Q980" s="41"/>
      <c r="R980" s="43"/>
      <c r="S980" s="43"/>
      <c r="T980" s="41"/>
      <c r="U980" s="41"/>
      <c r="V980" s="41"/>
    </row>
    <row r="981" spans="4:22" ht="15" customHeight="1">
      <c r="D981" s="39"/>
      <c r="E981" s="40"/>
      <c r="K981" s="38"/>
      <c r="L981" s="38"/>
      <c r="M981" s="43"/>
      <c r="N981" s="42"/>
      <c r="O981" s="50"/>
      <c r="P981" s="38"/>
      <c r="Q981" s="41"/>
      <c r="R981" s="43"/>
      <c r="S981" s="43"/>
      <c r="T981" s="41"/>
      <c r="U981" s="41"/>
      <c r="V981" s="41"/>
    </row>
    <row r="982" spans="4:22" ht="15" customHeight="1">
      <c r="D982" s="39"/>
      <c r="E982" s="40"/>
      <c r="K982" s="38"/>
      <c r="L982" s="38"/>
      <c r="M982" s="43"/>
      <c r="N982" s="42"/>
      <c r="O982" s="50"/>
      <c r="P982" s="38"/>
      <c r="Q982" s="41"/>
      <c r="R982" s="43"/>
      <c r="S982" s="43"/>
      <c r="T982" s="41"/>
      <c r="U982" s="41"/>
      <c r="V982" s="41"/>
    </row>
    <row r="983" spans="4:22" ht="15" customHeight="1">
      <c r="D983" s="39"/>
      <c r="E983" s="40"/>
      <c r="K983" s="38"/>
      <c r="L983" s="38"/>
      <c r="M983" s="43"/>
      <c r="N983" s="42"/>
      <c r="O983" s="50"/>
      <c r="P983" s="38"/>
      <c r="Q983" s="41"/>
      <c r="R983" s="43"/>
      <c r="S983" s="43"/>
      <c r="T983" s="41"/>
      <c r="U983" s="41"/>
      <c r="V983" s="41"/>
    </row>
    <row r="984" spans="4:22" ht="15" customHeight="1">
      <c r="D984" s="39"/>
      <c r="E984" s="40"/>
      <c r="K984" s="38"/>
      <c r="L984" s="38"/>
      <c r="M984" s="43"/>
      <c r="N984" s="42"/>
      <c r="O984" s="50"/>
      <c r="P984" s="38"/>
      <c r="Q984" s="41"/>
      <c r="R984" s="43"/>
      <c r="S984" s="43"/>
      <c r="T984" s="41"/>
      <c r="U984" s="41"/>
      <c r="V984" s="41"/>
    </row>
    <row r="985" spans="4:22" ht="15" customHeight="1">
      <c r="D985" s="39"/>
      <c r="E985" s="40"/>
      <c r="K985" s="38"/>
      <c r="L985" s="38"/>
      <c r="M985" s="43"/>
      <c r="N985" s="42"/>
      <c r="O985" s="50"/>
      <c r="P985" s="38"/>
      <c r="Q985" s="41"/>
      <c r="R985" s="43"/>
      <c r="S985" s="43"/>
      <c r="T985" s="41"/>
      <c r="U985" s="41"/>
      <c r="V985" s="41"/>
    </row>
    <row r="986" spans="4:22" ht="15" customHeight="1">
      <c r="D986" s="39"/>
      <c r="E986" s="40"/>
      <c r="K986" s="38"/>
      <c r="L986" s="38"/>
      <c r="M986" s="43"/>
      <c r="N986" s="42"/>
      <c r="O986" s="50"/>
      <c r="P986" s="38"/>
      <c r="Q986" s="41"/>
      <c r="R986" s="43"/>
      <c r="S986" s="43"/>
      <c r="T986" s="41"/>
      <c r="U986" s="41"/>
      <c r="V986" s="41"/>
    </row>
    <row r="987" spans="4:22" ht="15" customHeight="1">
      <c r="D987" s="39"/>
      <c r="E987" s="40"/>
      <c r="K987" s="38"/>
      <c r="L987" s="38"/>
      <c r="M987" s="43"/>
      <c r="N987" s="42"/>
      <c r="O987" s="50"/>
      <c r="P987" s="38"/>
      <c r="Q987" s="41"/>
      <c r="R987" s="43"/>
      <c r="S987" s="43"/>
      <c r="T987" s="41"/>
      <c r="U987" s="41"/>
      <c r="V987" s="41"/>
    </row>
    <row r="988" spans="4:22" ht="15" customHeight="1">
      <c r="D988" s="39"/>
      <c r="E988" s="40"/>
      <c r="K988" s="38"/>
      <c r="L988" s="38"/>
      <c r="M988" s="43"/>
      <c r="N988" s="42"/>
      <c r="O988" s="50"/>
      <c r="P988" s="38"/>
      <c r="Q988" s="41"/>
      <c r="R988" s="43"/>
      <c r="S988" s="43"/>
      <c r="T988" s="41"/>
      <c r="U988" s="41"/>
      <c r="V988" s="41"/>
    </row>
    <row r="989" spans="4:22" ht="15" customHeight="1">
      <c r="D989" s="39"/>
      <c r="E989" s="40"/>
      <c r="K989" s="38"/>
      <c r="L989" s="38"/>
      <c r="M989" s="43"/>
      <c r="N989" s="42"/>
      <c r="O989" s="50"/>
      <c r="P989" s="38"/>
      <c r="Q989" s="41"/>
      <c r="R989" s="43"/>
      <c r="S989" s="43"/>
      <c r="T989" s="41"/>
      <c r="U989" s="41"/>
      <c r="V989" s="41"/>
    </row>
    <row r="990" spans="4:22" ht="15" customHeight="1">
      <c r="D990" s="39"/>
      <c r="E990" s="40"/>
      <c r="K990" s="38"/>
      <c r="L990" s="38"/>
      <c r="M990" s="43"/>
      <c r="N990" s="42"/>
      <c r="O990" s="50"/>
      <c r="P990" s="38"/>
      <c r="Q990" s="41"/>
      <c r="R990" s="43"/>
      <c r="S990" s="43"/>
      <c r="T990" s="41"/>
      <c r="U990" s="41"/>
      <c r="V990" s="41"/>
    </row>
    <row r="991" spans="4:22" ht="15" customHeight="1">
      <c r="D991" s="39"/>
      <c r="E991" s="40"/>
      <c r="K991" s="38"/>
      <c r="L991" s="38"/>
      <c r="M991" s="43"/>
      <c r="N991" s="42"/>
      <c r="O991" s="50"/>
      <c r="P991" s="38"/>
      <c r="Q991" s="41"/>
      <c r="R991" s="43"/>
      <c r="S991" s="43"/>
      <c r="T991" s="41"/>
      <c r="U991" s="41"/>
      <c r="V991" s="41"/>
    </row>
    <row r="992" spans="4:22" ht="15" customHeight="1">
      <c r="D992" s="39"/>
      <c r="E992" s="40"/>
      <c r="K992" s="38"/>
      <c r="L992" s="38"/>
      <c r="M992" s="43"/>
      <c r="N992" s="42"/>
      <c r="O992" s="50"/>
      <c r="P992" s="38"/>
      <c r="Q992" s="41"/>
      <c r="R992" s="43"/>
      <c r="S992" s="43"/>
      <c r="T992" s="41"/>
      <c r="U992" s="41"/>
      <c r="V992" s="41"/>
    </row>
    <row r="993" spans="4:22" ht="15" customHeight="1">
      <c r="D993" s="39"/>
      <c r="E993" s="40"/>
      <c r="K993" s="38"/>
      <c r="L993" s="38"/>
      <c r="M993" s="43"/>
      <c r="N993" s="42"/>
      <c r="O993" s="50"/>
      <c r="P993" s="38"/>
      <c r="Q993" s="41"/>
      <c r="R993" s="43"/>
      <c r="S993" s="43"/>
      <c r="T993" s="41"/>
      <c r="U993" s="41"/>
      <c r="V993" s="41"/>
    </row>
    <row r="994" spans="4:22" ht="15" customHeight="1">
      <c r="D994" s="39"/>
      <c r="E994" s="40"/>
      <c r="K994" s="38"/>
      <c r="L994" s="38"/>
      <c r="M994" s="43"/>
      <c r="N994" s="42"/>
      <c r="O994" s="50"/>
      <c r="P994" s="38"/>
      <c r="Q994" s="41"/>
      <c r="R994" s="43"/>
      <c r="S994" s="43"/>
      <c r="T994" s="41"/>
      <c r="U994" s="41"/>
      <c r="V994" s="41"/>
    </row>
    <row r="995" spans="4:22" ht="15" customHeight="1">
      <c r="D995" s="39"/>
      <c r="E995" s="40"/>
      <c r="K995" s="38"/>
      <c r="L995" s="38"/>
      <c r="M995" s="43"/>
      <c r="N995" s="42"/>
      <c r="O995" s="50"/>
      <c r="P995" s="38"/>
      <c r="Q995" s="41"/>
      <c r="R995" s="43"/>
      <c r="S995" s="43"/>
      <c r="T995" s="41"/>
      <c r="U995" s="41"/>
      <c r="V995" s="41"/>
    </row>
    <row r="996" spans="4:22" ht="15" customHeight="1">
      <c r="D996" s="39"/>
      <c r="E996" s="40"/>
      <c r="K996" s="38"/>
      <c r="L996" s="38"/>
      <c r="M996" s="43"/>
      <c r="N996" s="42"/>
      <c r="O996" s="50"/>
      <c r="P996" s="38"/>
      <c r="Q996" s="41"/>
      <c r="R996" s="43"/>
      <c r="S996" s="43"/>
      <c r="T996" s="41"/>
      <c r="U996" s="41"/>
      <c r="V996" s="41"/>
    </row>
    <row r="997" spans="4:22" ht="15" customHeight="1">
      <c r="D997" s="39"/>
      <c r="E997" s="40"/>
      <c r="K997" s="38"/>
      <c r="L997" s="38"/>
      <c r="M997" s="43"/>
      <c r="N997" s="42"/>
      <c r="O997" s="50"/>
      <c r="P997" s="38"/>
      <c r="Q997" s="41"/>
      <c r="R997" s="43"/>
      <c r="S997" s="43"/>
      <c r="T997" s="41"/>
      <c r="U997" s="41"/>
      <c r="V997" s="41"/>
    </row>
    <row r="998" spans="4:22" ht="15" customHeight="1">
      <c r="D998" s="39"/>
      <c r="E998" s="40"/>
      <c r="K998" s="38"/>
      <c r="L998" s="38"/>
      <c r="M998" s="43"/>
      <c r="N998" s="42"/>
      <c r="O998" s="50"/>
      <c r="P998" s="38"/>
      <c r="Q998" s="41"/>
      <c r="R998" s="43"/>
      <c r="S998" s="43"/>
      <c r="T998" s="41"/>
      <c r="U998" s="41"/>
      <c r="V998" s="41"/>
    </row>
    <row r="999" spans="4:22" ht="15" customHeight="1">
      <c r="D999" s="39"/>
      <c r="E999" s="40"/>
      <c r="K999" s="38"/>
      <c r="L999" s="38"/>
      <c r="M999" s="43"/>
      <c r="N999" s="42"/>
      <c r="O999" s="50"/>
      <c r="P999" s="38"/>
      <c r="Q999" s="41"/>
      <c r="R999" s="43"/>
      <c r="S999" s="43"/>
      <c r="T999" s="41"/>
      <c r="U999" s="41"/>
      <c r="V999" s="41"/>
    </row>
    <row r="1000" spans="4:22" ht="15" customHeight="1">
      <c r="D1000" s="39"/>
      <c r="E1000" s="40"/>
      <c r="K1000" s="38"/>
      <c r="L1000" s="38"/>
      <c r="M1000" s="43"/>
      <c r="N1000" s="42"/>
      <c r="O1000" s="50"/>
      <c r="P1000" s="38"/>
      <c r="Q1000" s="41"/>
      <c r="R1000" s="43"/>
      <c r="S1000" s="43"/>
      <c r="T1000" s="41"/>
      <c r="U1000" s="41"/>
      <c r="V1000" s="41"/>
    </row>
    <row r="1001" spans="4:22" ht="15" customHeight="1">
      <c r="D1001" s="39"/>
      <c r="E1001" s="40"/>
      <c r="K1001" s="38"/>
      <c r="L1001" s="38"/>
      <c r="M1001" s="43"/>
      <c r="N1001" s="42"/>
      <c r="O1001" s="50"/>
      <c r="P1001" s="38"/>
      <c r="Q1001" s="41"/>
      <c r="R1001" s="43"/>
      <c r="S1001" s="43"/>
      <c r="T1001" s="41"/>
      <c r="U1001" s="41"/>
      <c r="V1001" s="41"/>
    </row>
    <row r="1002" spans="4:22" ht="15" customHeight="1">
      <c r="D1002" s="39"/>
      <c r="E1002" s="40"/>
      <c r="K1002" s="38"/>
      <c r="L1002" s="38"/>
      <c r="M1002" s="43"/>
      <c r="N1002" s="42"/>
      <c r="O1002" s="50"/>
      <c r="P1002" s="38"/>
      <c r="Q1002" s="41"/>
      <c r="R1002" s="43"/>
      <c r="S1002" s="43"/>
      <c r="T1002" s="41"/>
      <c r="U1002" s="41"/>
      <c r="V1002" s="41"/>
    </row>
    <row r="1003" spans="4:22" ht="15" customHeight="1">
      <c r="D1003" s="39"/>
      <c r="E1003" s="40"/>
      <c r="K1003" s="38"/>
      <c r="L1003" s="38"/>
      <c r="M1003" s="43"/>
      <c r="N1003" s="42"/>
      <c r="O1003" s="50"/>
      <c r="P1003" s="38"/>
      <c r="Q1003" s="41"/>
      <c r="R1003" s="43"/>
      <c r="S1003" s="43"/>
      <c r="T1003" s="41"/>
      <c r="U1003" s="41"/>
      <c r="V1003" s="41"/>
    </row>
    <row r="1004" spans="4:22" ht="15" customHeight="1">
      <c r="D1004" s="39"/>
      <c r="E1004" s="40"/>
      <c r="K1004" s="38"/>
      <c r="L1004" s="38"/>
      <c r="M1004" s="43"/>
      <c r="N1004" s="42"/>
      <c r="O1004" s="50"/>
      <c r="P1004" s="38"/>
      <c r="Q1004" s="41"/>
      <c r="R1004" s="43"/>
      <c r="S1004" s="43"/>
      <c r="T1004" s="41"/>
      <c r="U1004" s="41"/>
      <c r="V1004" s="41"/>
    </row>
    <row r="1005" spans="4:22" ht="15" customHeight="1">
      <c r="D1005" s="39"/>
      <c r="E1005" s="40"/>
      <c r="K1005" s="38"/>
      <c r="L1005" s="38"/>
      <c r="M1005" s="43"/>
      <c r="N1005" s="42"/>
      <c r="O1005" s="50"/>
      <c r="P1005" s="38"/>
      <c r="Q1005" s="41"/>
      <c r="R1005" s="43"/>
      <c r="S1005" s="43"/>
      <c r="T1005" s="41"/>
      <c r="U1005" s="41"/>
      <c r="V1005" s="41"/>
    </row>
    <row r="1006" spans="4:22" ht="15" customHeight="1">
      <c r="D1006" s="39"/>
      <c r="E1006" s="40"/>
      <c r="K1006" s="38"/>
      <c r="L1006" s="38"/>
      <c r="M1006" s="43"/>
      <c r="N1006" s="42"/>
      <c r="O1006" s="50"/>
      <c r="P1006" s="38"/>
      <c r="Q1006" s="41"/>
      <c r="R1006" s="43"/>
      <c r="S1006" s="43"/>
      <c r="T1006" s="41"/>
      <c r="U1006" s="41"/>
      <c r="V1006" s="41"/>
    </row>
    <row r="1007" spans="4:22" ht="15" customHeight="1">
      <c r="D1007" s="39"/>
      <c r="E1007" s="40"/>
      <c r="K1007" s="38"/>
      <c r="L1007" s="38"/>
      <c r="M1007" s="43"/>
      <c r="N1007" s="42"/>
      <c r="O1007" s="50"/>
      <c r="P1007" s="38"/>
      <c r="Q1007" s="41"/>
      <c r="R1007" s="43"/>
      <c r="S1007" s="43"/>
      <c r="T1007" s="41"/>
      <c r="U1007" s="41"/>
      <c r="V1007" s="41"/>
    </row>
    <row r="1008" spans="4:22" ht="15" customHeight="1">
      <c r="D1008" s="39"/>
      <c r="E1008" s="40"/>
      <c r="K1008" s="38"/>
      <c r="L1008" s="38"/>
      <c r="M1008" s="43"/>
      <c r="N1008" s="42"/>
      <c r="O1008" s="50"/>
      <c r="P1008" s="38"/>
      <c r="Q1008" s="41"/>
      <c r="R1008" s="43"/>
      <c r="S1008" s="43"/>
      <c r="T1008" s="41"/>
      <c r="U1008" s="41"/>
      <c r="V1008" s="41"/>
    </row>
    <row r="1009" spans="4:22" ht="15" customHeight="1">
      <c r="D1009" s="39"/>
      <c r="E1009" s="40"/>
      <c r="K1009" s="38"/>
      <c r="L1009" s="38"/>
      <c r="M1009" s="43"/>
      <c r="N1009" s="42"/>
      <c r="O1009" s="50"/>
      <c r="P1009" s="38"/>
      <c r="Q1009" s="41"/>
      <c r="R1009" s="43"/>
      <c r="S1009" s="43"/>
      <c r="T1009" s="41"/>
      <c r="U1009" s="41"/>
      <c r="V1009" s="41"/>
    </row>
    <row r="1010" spans="4:22" ht="15" customHeight="1">
      <c r="D1010" s="39"/>
      <c r="E1010" s="40"/>
      <c r="K1010" s="38"/>
      <c r="L1010" s="38"/>
      <c r="M1010" s="43"/>
      <c r="N1010" s="42"/>
      <c r="O1010" s="50"/>
      <c r="P1010" s="38"/>
      <c r="Q1010" s="41"/>
      <c r="R1010" s="43"/>
      <c r="S1010" s="43"/>
      <c r="T1010" s="41"/>
      <c r="U1010" s="41"/>
      <c r="V1010" s="41"/>
    </row>
    <row r="1011" spans="4:22" ht="15" customHeight="1">
      <c r="D1011" s="39"/>
      <c r="E1011" s="40"/>
      <c r="K1011" s="38"/>
      <c r="L1011" s="38"/>
      <c r="M1011" s="43"/>
      <c r="N1011" s="42"/>
      <c r="O1011" s="50"/>
      <c r="P1011" s="38"/>
      <c r="Q1011" s="41"/>
      <c r="R1011" s="43"/>
      <c r="S1011" s="43"/>
      <c r="T1011" s="41"/>
      <c r="U1011" s="41"/>
      <c r="V1011" s="41"/>
    </row>
    <row r="1012" spans="4:22" ht="15" customHeight="1">
      <c r="D1012" s="39"/>
      <c r="E1012" s="40"/>
      <c r="K1012" s="38"/>
      <c r="L1012" s="38"/>
      <c r="M1012" s="43"/>
      <c r="N1012" s="42"/>
      <c r="O1012" s="50"/>
      <c r="P1012" s="38"/>
      <c r="Q1012" s="41"/>
      <c r="R1012" s="43"/>
      <c r="S1012" s="43"/>
      <c r="T1012" s="41"/>
      <c r="U1012" s="41"/>
      <c r="V1012" s="41"/>
    </row>
    <row r="1013" spans="4:22" ht="15" customHeight="1">
      <c r="D1013" s="39"/>
      <c r="E1013" s="40"/>
      <c r="K1013" s="38"/>
      <c r="L1013" s="38"/>
      <c r="M1013" s="43"/>
      <c r="N1013" s="42"/>
      <c r="O1013" s="50"/>
      <c r="P1013" s="38"/>
      <c r="Q1013" s="41"/>
      <c r="R1013" s="43"/>
      <c r="S1013" s="43"/>
      <c r="T1013" s="41"/>
      <c r="U1013" s="41"/>
      <c r="V1013" s="41"/>
    </row>
    <row r="1014" spans="4:22" ht="15" customHeight="1">
      <c r="D1014" s="39"/>
      <c r="E1014" s="40"/>
      <c r="K1014" s="38"/>
      <c r="L1014" s="38"/>
      <c r="M1014" s="43"/>
      <c r="N1014" s="42"/>
      <c r="O1014" s="50"/>
      <c r="P1014" s="38"/>
      <c r="Q1014" s="41"/>
      <c r="R1014" s="43"/>
      <c r="S1014" s="43"/>
      <c r="T1014" s="41"/>
      <c r="U1014" s="41"/>
      <c r="V1014" s="41"/>
    </row>
    <row r="1015" spans="4:22" ht="15" customHeight="1">
      <c r="D1015" s="39"/>
      <c r="E1015" s="40"/>
      <c r="K1015" s="38"/>
      <c r="L1015" s="38"/>
      <c r="M1015" s="43"/>
      <c r="N1015" s="42"/>
      <c r="O1015" s="50"/>
      <c r="P1015" s="38"/>
      <c r="Q1015" s="41"/>
      <c r="R1015" s="43"/>
      <c r="S1015" s="43"/>
      <c r="T1015" s="41"/>
      <c r="U1015" s="41"/>
      <c r="V1015" s="41"/>
    </row>
    <row r="1016" spans="4:22" ht="15" customHeight="1">
      <c r="D1016" s="39"/>
      <c r="E1016" s="40"/>
      <c r="K1016" s="38"/>
      <c r="L1016" s="38"/>
      <c r="M1016" s="43"/>
      <c r="N1016" s="42"/>
      <c r="O1016" s="50"/>
      <c r="P1016" s="38"/>
      <c r="Q1016" s="41"/>
      <c r="R1016" s="43"/>
      <c r="S1016" s="43"/>
      <c r="T1016" s="41"/>
      <c r="U1016" s="41"/>
      <c r="V1016" s="41"/>
    </row>
    <row r="1017" spans="4:22" ht="15" customHeight="1">
      <c r="D1017" s="39"/>
      <c r="E1017" s="40"/>
      <c r="K1017" s="38"/>
      <c r="L1017" s="38"/>
      <c r="M1017" s="43"/>
      <c r="N1017" s="42"/>
      <c r="O1017" s="50"/>
      <c r="P1017" s="38"/>
      <c r="Q1017" s="41"/>
      <c r="R1017" s="43"/>
      <c r="S1017" s="43"/>
      <c r="T1017" s="41"/>
      <c r="U1017" s="41"/>
      <c r="V1017" s="41"/>
    </row>
    <row r="1018" spans="4:22" ht="15" customHeight="1">
      <c r="D1018" s="39"/>
      <c r="E1018" s="40"/>
      <c r="K1018" s="38"/>
      <c r="L1018" s="38"/>
      <c r="M1018" s="43"/>
      <c r="N1018" s="42"/>
      <c r="O1018" s="50"/>
      <c r="P1018" s="38"/>
      <c r="Q1018" s="41"/>
      <c r="R1018" s="43"/>
      <c r="S1018" s="43"/>
      <c r="T1018" s="41"/>
      <c r="U1018" s="41"/>
      <c r="V1018" s="41"/>
    </row>
    <row r="1019" spans="4:22" ht="15" customHeight="1">
      <c r="D1019" s="39"/>
      <c r="E1019" s="40"/>
      <c r="K1019" s="38"/>
      <c r="L1019" s="38"/>
      <c r="M1019" s="43"/>
      <c r="N1019" s="42"/>
      <c r="O1019" s="50"/>
      <c r="P1019" s="38"/>
      <c r="Q1019" s="41"/>
      <c r="R1019" s="43"/>
      <c r="S1019" s="43"/>
      <c r="T1019" s="41"/>
      <c r="U1019" s="41"/>
      <c r="V1019" s="41"/>
    </row>
    <row r="1020" spans="4:22" ht="15" customHeight="1">
      <c r="D1020" s="39"/>
      <c r="E1020" s="40"/>
      <c r="K1020" s="38"/>
      <c r="L1020" s="38"/>
      <c r="M1020" s="43"/>
      <c r="N1020" s="42"/>
      <c r="O1020" s="50"/>
      <c r="P1020" s="38"/>
      <c r="Q1020" s="41"/>
      <c r="R1020" s="43"/>
      <c r="S1020" s="43"/>
      <c r="T1020" s="41"/>
      <c r="U1020" s="41"/>
      <c r="V1020" s="41"/>
    </row>
    <row r="1021" spans="4:22" ht="15" customHeight="1">
      <c r="D1021" s="39"/>
      <c r="E1021" s="40"/>
      <c r="K1021" s="38"/>
      <c r="L1021" s="38"/>
      <c r="M1021" s="43"/>
      <c r="N1021" s="42"/>
      <c r="O1021" s="50"/>
      <c r="P1021" s="38"/>
      <c r="Q1021" s="41"/>
      <c r="R1021" s="43"/>
      <c r="S1021" s="43"/>
      <c r="T1021" s="41"/>
      <c r="U1021" s="41"/>
      <c r="V1021" s="41"/>
    </row>
    <row r="1022" spans="4:22" ht="15" customHeight="1">
      <c r="D1022" s="39"/>
      <c r="E1022" s="40"/>
      <c r="K1022" s="38"/>
      <c r="L1022" s="38"/>
      <c r="M1022" s="43"/>
      <c r="N1022" s="42"/>
      <c r="O1022" s="50"/>
      <c r="P1022" s="38"/>
      <c r="Q1022" s="41"/>
      <c r="R1022" s="43"/>
      <c r="S1022" s="43"/>
      <c r="T1022" s="41"/>
      <c r="U1022" s="41"/>
      <c r="V1022" s="41"/>
    </row>
    <row r="1023" spans="4:22" ht="15" customHeight="1">
      <c r="D1023" s="39"/>
      <c r="E1023" s="40"/>
      <c r="K1023" s="38"/>
      <c r="L1023" s="38"/>
      <c r="M1023" s="43"/>
      <c r="N1023" s="42"/>
      <c r="O1023" s="50"/>
      <c r="P1023" s="38"/>
      <c r="Q1023" s="41"/>
      <c r="R1023" s="43"/>
      <c r="S1023" s="43"/>
      <c r="T1023" s="41"/>
      <c r="U1023" s="41"/>
      <c r="V1023" s="41"/>
    </row>
    <row r="1024" spans="4:22" ht="15" customHeight="1">
      <c r="D1024" s="39"/>
      <c r="E1024" s="40"/>
      <c r="K1024" s="38"/>
      <c r="L1024" s="38"/>
      <c r="M1024" s="43"/>
      <c r="N1024" s="42"/>
      <c r="O1024" s="50"/>
      <c r="P1024" s="38"/>
      <c r="Q1024" s="41"/>
      <c r="R1024" s="43"/>
      <c r="S1024" s="43"/>
      <c r="T1024" s="41"/>
      <c r="U1024" s="41"/>
      <c r="V1024" s="41"/>
    </row>
    <row r="1025" spans="4:26" ht="15" customHeight="1">
      <c r="D1025" s="39"/>
      <c r="E1025" s="40"/>
      <c r="K1025" s="38"/>
      <c r="L1025" s="38"/>
      <c r="M1025" s="43"/>
      <c r="N1025" s="42"/>
      <c r="O1025" s="50"/>
      <c r="P1025" s="38"/>
      <c r="Q1025" s="41"/>
      <c r="R1025" s="43"/>
      <c r="S1025" s="43"/>
      <c r="T1025" s="41"/>
      <c r="U1025" s="41"/>
      <c r="V1025" s="41"/>
    </row>
    <row r="1026" spans="4:26" ht="15" customHeight="1">
      <c r="D1026" s="39"/>
      <c r="E1026" s="40"/>
      <c r="K1026" s="38"/>
      <c r="L1026" s="38"/>
      <c r="M1026" s="43"/>
      <c r="N1026" s="42"/>
      <c r="O1026" s="50"/>
      <c r="P1026" s="38"/>
      <c r="Q1026" s="41"/>
      <c r="R1026" s="43"/>
      <c r="S1026" s="43"/>
      <c r="T1026" s="41"/>
      <c r="U1026" s="41"/>
      <c r="V1026" s="41"/>
      <c r="Y1026" s="41"/>
    </row>
    <row r="1027" spans="4:26" ht="15" customHeight="1">
      <c r="D1027" s="39"/>
      <c r="E1027" s="40"/>
      <c r="K1027" s="38"/>
      <c r="L1027" s="38"/>
      <c r="M1027" s="43"/>
      <c r="N1027" s="42"/>
      <c r="O1027" s="50"/>
      <c r="P1027" s="38"/>
      <c r="Q1027" s="41"/>
      <c r="R1027" s="43"/>
      <c r="S1027" s="43"/>
      <c r="T1027" s="41"/>
      <c r="U1027" s="41"/>
      <c r="V1027" s="41"/>
      <c r="Y1027" s="41"/>
    </row>
    <row r="1028" spans="4:26" ht="15" customHeight="1">
      <c r="D1028" s="39"/>
      <c r="E1028" s="40"/>
      <c r="K1028" s="38"/>
      <c r="L1028" s="38"/>
      <c r="M1028" s="43"/>
      <c r="N1028" s="42"/>
      <c r="O1028" s="50"/>
      <c r="P1028" s="38"/>
      <c r="Q1028" s="41"/>
      <c r="R1028" s="43"/>
      <c r="S1028" s="43"/>
      <c r="T1028" s="41"/>
      <c r="U1028" s="41"/>
      <c r="V1028" s="41"/>
      <c r="Y1028" s="41"/>
    </row>
    <row r="1029" spans="4:26" ht="15" customHeight="1">
      <c r="D1029" s="39"/>
      <c r="E1029" s="40"/>
      <c r="K1029" s="38"/>
      <c r="L1029" s="38"/>
      <c r="M1029" s="43"/>
      <c r="N1029" s="42"/>
      <c r="O1029" s="50"/>
      <c r="P1029" s="38"/>
      <c r="Q1029" s="41"/>
      <c r="R1029" s="43"/>
      <c r="S1029" s="43"/>
      <c r="T1029" s="41"/>
      <c r="U1029" s="41"/>
      <c r="V1029" s="41"/>
      <c r="Y1029" s="41"/>
    </row>
    <row r="1030" spans="4:26" ht="15" customHeight="1">
      <c r="D1030" s="39"/>
      <c r="E1030" s="40"/>
      <c r="K1030" s="38"/>
      <c r="L1030" s="38"/>
      <c r="M1030" s="43"/>
      <c r="N1030" s="42"/>
      <c r="O1030" s="50"/>
      <c r="P1030" s="38"/>
      <c r="Q1030" s="41"/>
      <c r="R1030" s="43"/>
      <c r="S1030" s="43"/>
      <c r="T1030" s="41"/>
      <c r="U1030" s="41"/>
      <c r="V1030" s="41"/>
      <c r="Y1030" s="41"/>
    </row>
    <row r="1031" spans="4:26" ht="15" customHeight="1">
      <c r="D1031" s="39"/>
      <c r="E1031" s="40"/>
      <c r="K1031" s="38"/>
      <c r="L1031" s="38"/>
      <c r="M1031" s="43"/>
      <c r="N1031" s="42"/>
      <c r="O1031" s="50"/>
      <c r="P1031" s="38"/>
      <c r="Q1031" s="41"/>
      <c r="R1031" s="43"/>
      <c r="S1031" s="43"/>
      <c r="T1031" s="41"/>
      <c r="U1031" s="41"/>
      <c r="V1031" s="41"/>
      <c r="Z1031" s="41"/>
    </row>
    <row r="1032" spans="4:26" ht="15" customHeight="1">
      <c r="D1032" s="39"/>
      <c r="E1032" s="40"/>
      <c r="K1032" s="38"/>
      <c r="L1032" s="38"/>
      <c r="M1032" s="43"/>
      <c r="N1032" s="42"/>
      <c r="O1032" s="50"/>
      <c r="P1032" s="38"/>
      <c r="Q1032" s="41"/>
      <c r="R1032" s="43"/>
      <c r="S1032" s="43"/>
      <c r="T1032" s="41"/>
      <c r="U1032" s="41"/>
      <c r="V1032" s="41"/>
      <c r="Z1032" s="41"/>
    </row>
    <row r="1033" spans="4:26" ht="15" customHeight="1">
      <c r="D1033" s="39"/>
      <c r="E1033" s="40"/>
      <c r="K1033" s="38"/>
      <c r="L1033" s="38"/>
      <c r="M1033" s="43"/>
      <c r="N1033" s="42"/>
      <c r="O1033" s="50"/>
      <c r="P1033" s="38"/>
      <c r="Q1033" s="41"/>
      <c r="R1033" s="43"/>
      <c r="S1033" s="43"/>
      <c r="T1033" s="41"/>
      <c r="U1033" s="41"/>
      <c r="V1033" s="41"/>
      <c r="Z1033" s="41"/>
    </row>
    <row r="1034" spans="4:26" ht="15" customHeight="1">
      <c r="D1034" s="39"/>
      <c r="E1034" s="40"/>
      <c r="K1034" s="38"/>
      <c r="L1034" s="38"/>
      <c r="M1034" s="43"/>
      <c r="N1034" s="42"/>
      <c r="O1034" s="50"/>
      <c r="P1034" s="38"/>
      <c r="Q1034" s="41"/>
      <c r="R1034" s="43"/>
      <c r="S1034" s="43"/>
      <c r="T1034" s="41"/>
      <c r="U1034" s="41"/>
      <c r="V1034" s="41"/>
      <c r="Z1034" s="41"/>
    </row>
    <row r="1035" spans="4:26" ht="15" customHeight="1">
      <c r="D1035" s="39"/>
      <c r="E1035" s="40"/>
      <c r="K1035" s="38"/>
      <c r="L1035" s="38"/>
      <c r="M1035" s="43"/>
      <c r="N1035" s="42"/>
      <c r="O1035" s="50"/>
      <c r="P1035" s="38"/>
      <c r="Q1035" s="41"/>
      <c r="R1035" s="43"/>
      <c r="S1035" s="43"/>
      <c r="T1035" s="41"/>
      <c r="U1035" s="41"/>
      <c r="V1035" s="41"/>
      <c r="Z1035" s="41"/>
    </row>
    <row r="1036" spans="4:26" ht="15" customHeight="1">
      <c r="D1036" s="39"/>
      <c r="E1036" s="40"/>
      <c r="K1036" s="38"/>
      <c r="L1036" s="38"/>
      <c r="M1036" s="43"/>
      <c r="N1036" s="42"/>
      <c r="O1036" s="50"/>
      <c r="P1036" s="38"/>
      <c r="Q1036" s="41"/>
      <c r="R1036" s="43"/>
      <c r="S1036" s="43"/>
      <c r="T1036" s="41"/>
      <c r="U1036" s="41"/>
      <c r="V1036" s="41"/>
      <c r="Z1036" s="41"/>
    </row>
    <row r="1037" spans="4:26" ht="15" customHeight="1">
      <c r="D1037" s="39"/>
      <c r="E1037" s="40"/>
      <c r="K1037" s="38"/>
      <c r="L1037" s="38"/>
      <c r="M1037" s="43"/>
      <c r="N1037" s="42"/>
      <c r="O1037" s="50"/>
      <c r="P1037" s="38"/>
      <c r="Q1037" s="41"/>
      <c r="R1037" s="43"/>
      <c r="S1037" s="43"/>
      <c r="T1037" s="41"/>
      <c r="U1037" s="41"/>
      <c r="V1037" s="41"/>
      <c r="Z1037" s="41"/>
    </row>
    <row r="1038" spans="4:26" ht="15" customHeight="1">
      <c r="D1038" s="39"/>
      <c r="E1038" s="40"/>
      <c r="K1038" s="38"/>
      <c r="L1038" s="38"/>
      <c r="M1038" s="43"/>
      <c r="N1038" s="42"/>
      <c r="O1038" s="50"/>
      <c r="P1038" s="38"/>
      <c r="Q1038" s="41"/>
      <c r="R1038" s="43"/>
      <c r="S1038" s="43"/>
      <c r="T1038" s="41"/>
      <c r="U1038" s="41"/>
      <c r="V1038" s="41"/>
      <c r="Z1038" s="41"/>
    </row>
    <row r="1039" spans="4:26" ht="15" customHeight="1">
      <c r="D1039" s="39"/>
      <c r="E1039" s="40"/>
      <c r="K1039" s="38"/>
      <c r="L1039" s="38"/>
      <c r="M1039" s="43"/>
      <c r="N1039" s="42"/>
      <c r="O1039" s="50"/>
      <c r="P1039" s="38"/>
      <c r="Q1039" s="41"/>
      <c r="R1039" s="43"/>
      <c r="S1039" s="43"/>
      <c r="T1039" s="41"/>
      <c r="U1039" s="41"/>
      <c r="V1039" s="41"/>
      <c r="Z1039" s="41"/>
    </row>
    <row r="1040" spans="4:26" ht="15" customHeight="1">
      <c r="D1040" s="39"/>
      <c r="E1040" s="40"/>
      <c r="K1040" s="38"/>
      <c r="L1040" s="38"/>
      <c r="M1040" s="43"/>
      <c r="N1040" s="42"/>
      <c r="O1040" s="50"/>
      <c r="P1040" s="38"/>
      <c r="Q1040" s="41"/>
      <c r="R1040" s="43"/>
      <c r="S1040" s="43"/>
      <c r="T1040" s="41"/>
      <c r="U1040" s="41"/>
      <c r="V1040" s="41"/>
      <c r="Z1040" s="41"/>
    </row>
    <row r="1041" spans="4:26" ht="15" customHeight="1">
      <c r="D1041" s="39"/>
      <c r="E1041" s="40"/>
      <c r="K1041" s="38"/>
      <c r="L1041" s="38"/>
      <c r="M1041" s="43"/>
      <c r="N1041" s="42"/>
      <c r="O1041" s="50"/>
      <c r="P1041" s="38"/>
      <c r="Q1041" s="41"/>
      <c r="R1041" s="43"/>
      <c r="S1041" s="43"/>
      <c r="T1041" s="41"/>
      <c r="U1041" s="41"/>
      <c r="V1041" s="41"/>
      <c r="Z1041" s="41"/>
    </row>
    <row r="1042" spans="4:26" ht="15" customHeight="1">
      <c r="D1042" s="39"/>
      <c r="E1042" s="40"/>
      <c r="K1042" s="38"/>
      <c r="L1042" s="38"/>
      <c r="M1042" s="43"/>
      <c r="N1042" s="42"/>
      <c r="O1042" s="50"/>
      <c r="P1042" s="38"/>
      <c r="Q1042" s="41"/>
      <c r="R1042" s="43"/>
      <c r="S1042" s="43"/>
      <c r="T1042" s="41"/>
      <c r="U1042" s="41"/>
      <c r="V1042" s="41"/>
      <c r="Z1042" s="41"/>
    </row>
    <row r="1043" spans="4:26" ht="15" customHeight="1">
      <c r="D1043" s="39"/>
      <c r="E1043" s="40"/>
      <c r="K1043" s="38"/>
      <c r="L1043" s="38"/>
      <c r="M1043" s="43"/>
      <c r="N1043" s="42"/>
      <c r="O1043" s="50"/>
      <c r="P1043" s="38"/>
      <c r="Q1043" s="41"/>
      <c r="R1043" s="43"/>
      <c r="S1043" s="43"/>
      <c r="T1043" s="41"/>
      <c r="U1043" s="41"/>
      <c r="V1043" s="41"/>
      <c r="Z1043" s="41"/>
    </row>
    <row r="1044" spans="4:26" ht="15" customHeight="1">
      <c r="D1044" s="39"/>
      <c r="E1044" s="40"/>
      <c r="K1044" s="38"/>
      <c r="L1044" s="38"/>
      <c r="M1044" s="43"/>
      <c r="N1044" s="42"/>
      <c r="O1044" s="50"/>
      <c r="P1044" s="38"/>
      <c r="Q1044" s="41"/>
      <c r="R1044" s="43"/>
      <c r="S1044" s="43"/>
      <c r="T1044" s="41"/>
      <c r="U1044" s="41"/>
      <c r="V1044" s="41"/>
      <c r="Z1044" s="41"/>
    </row>
    <row r="1045" spans="4:26" ht="15" customHeight="1">
      <c r="D1045" s="39"/>
      <c r="E1045" s="40"/>
      <c r="K1045" s="38"/>
      <c r="L1045" s="38"/>
      <c r="M1045" s="43"/>
      <c r="N1045" s="42"/>
      <c r="O1045" s="50"/>
      <c r="P1045" s="38"/>
      <c r="Q1045" s="41"/>
      <c r="R1045" s="43"/>
      <c r="S1045" s="43"/>
      <c r="T1045" s="41"/>
      <c r="U1045" s="41"/>
      <c r="V1045" s="41"/>
      <c r="Z1045" s="41"/>
    </row>
    <row r="1046" spans="4:26" ht="15" customHeight="1">
      <c r="D1046" s="39"/>
      <c r="E1046" s="40"/>
      <c r="K1046" s="38"/>
      <c r="L1046" s="38"/>
      <c r="M1046" s="43"/>
      <c r="N1046" s="42"/>
      <c r="O1046" s="50"/>
      <c r="P1046" s="38"/>
      <c r="Q1046" s="41"/>
      <c r="R1046" s="43"/>
      <c r="S1046" s="43"/>
      <c r="T1046" s="41"/>
      <c r="U1046" s="41"/>
      <c r="V1046" s="41"/>
      <c r="Z1046" s="41"/>
    </row>
    <row r="1047" spans="4:26" ht="15" customHeight="1">
      <c r="D1047" s="39"/>
      <c r="E1047" s="40"/>
      <c r="K1047" s="38"/>
      <c r="L1047" s="38"/>
      <c r="M1047" s="43"/>
      <c r="N1047" s="42"/>
      <c r="O1047" s="50"/>
      <c r="P1047" s="38"/>
      <c r="Q1047" s="41"/>
      <c r="R1047" s="43"/>
      <c r="S1047" s="43"/>
      <c r="T1047" s="41"/>
      <c r="U1047" s="41"/>
      <c r="V1047" s="41"/>
      <c r="Z1047" s="41"/>
    </row>
    <row r="1048" spans="4:26" ht="15" customHeight="1">
      <c r="D1048" s="39"/>
      <c r="E1048" s="40"/>
      <c r="K1048" s="38"/>
      <c r="L1048" s="38"/>
      <c r="M1048" s="43"/>
      <c r="N1048" s="42"/>
      <c r="O1048" s="50"/>
      <c r="P1048" s="38"/>
      <c r="Q1048" s="41"/>
      <c r="R1048" s="43"/>
      <c r="S1048" s="43"/>
      <c r="T1048" s="41"/>
      <c r="U1048" s="41"/>
      <c r="V1048" s="41"/>
      <c r="Z1048" s="41"/>
    </row>
    <row r="1049" spans="4:26" ht="15" customHeight="1">
      <c r="D1049" s="39"/>
      <c r="E1049" s="40"/>
      <c r="K1049" s="38"/>
      <c r="L1049" s="38"/>
      <c r="M1049" s="43"/>
      <c r="N1049" s="42"/>
      <c r="O1049" s="50"/>
      <c r="P1049" s="38"/>
      <c r="Q1049" s="41"/>
      <c r="R1049" s="43"/>
      <c r="S1049" s="43"/>
      <c r="T1049" s="41"/>
      <c r="U1049" s="41"/>
      <c r="V1049" s="41"/>
      <c r="Z1049" s="41"/>
    </row>
    <row r="1050" spans="4:26" ht="15" customHeight="1">
      <c r="D1050" s="39"/>
      <c r="E1050" s="40"/>
      <c r="K1050" s="38"/>
      <c r="L1050" s="38"/>
      <c r="M1050" s="43"/>
      <c r="N1050" s="42"/>
      <c r="O1050" s="50"/>
      <c r="P1050" s="38"/>
      <c r="Q1050" s="41"/>
      <c r="R1050" s="43"/>
      <c r="S1050" s="43"/>
      <c r="T1050" s="41"/>
      <c r="U1050" s="41"/>
      <c r="V1050" s="41"/>
      <c r="Z1050" s="41"/>
    </row>
    <row r="1051" spans="4:26" ht="15" customHeight="1">
      <c r="D1051" s="39"/>
      <c r="E1051" s="40"/>
      <c r="K1051" s="38"/>
      <c r="L1051" s="38"/>
      <c r="M1051" s="43"/>
      <c r="N1051" s="42"/>
      <c r="O1051" s="50"/>
      <c r="P1051" s="38"/>
      <c r="Q1051" s="41"/>
      <c r="R1051" s="43"/>
      <c r="S1051" s="43"/>
      <c r="T1051" s="41"/>
      <c r="U1051" s="41"/>
      <c r="V1051" s="41"/>
      <c r="Z1051" s="41"/>
    </row>
    <row r="1052" spans="4:26" ht="15" customHeight="1">
      <c r="D1052" s="39"/>
      <c r="E1052" s="40"/>
      <c r="K1052" s="38"/>
      <c r="L1052" s="38"/>
      <c r="M1052" s="43"/>
      <c r="N1052" s="42"/>
      <c r="O1052" s="50"/>
      <c r="P1052" s="38"/>
      <c r="Q1052" s="41"/>
      <c r="R1052" s="43"/>
      <c r="S1052" s="43"/>
      <c r="T1052" s="41"/>
      <c r="U1052" s="41"/>
      <c r="V1052" s="41"/>
      <c r="Z1052" s="41"/>
    </row>
    <row r="1053" spans="4:26" ht="15" customHeight="1">
      <c r="D1053" s="39"/>
      <c r="E1053" s="40"/>
      <c r="K1053" s="38"/>
      <c r="L1053" s="38"/>
      <c r="M1053" s="43"/>
      <c r="N1053" s="42"/>
      <c r="O1053" s="50"/>
      <c r="P1053" s="38"/>
      <c r="Q1053" s="41"/>
      <c r="R1053" s="43"/>
      <c r="S1053" s="43"/>
      <c r="T1053" s="41"/>
      <c r="U1053" s="41"/>
      <c r="V1053" s="41"/>
      <c r="Z1053" s="41"/>
    </row>
    <row r="1054" spans="4:26" ht="15" customHeight="1">
      <c r="D1054" s="39"/>
      <c r="E1054" s="40"/>
      <c r="K1054" s="38"/>
      <c r="L1054" s="38"/>
      <c r="M1054" s="43"/>
      <c r="N1054" s="42"/>
      <c r="O1054" s="50"/>
      <c r="P1054" s="38"/>
      <c r="Q1054" s="41"/>
      <c r="R1054" s="43"/>
      <c r="S1054" s="43"/>
      <c r="T1054" s="41"/>
      <c r="U1054" s="41"/>
      <c r="V1054" s="41"/>
      <c r="Z1054" s="41"/>
    </row>
    <row r="1055" spans="4:26" ht="15" customHeight="1">
      <c r="D1055" s="39"/>
      <c r="E1055" s="40"/>
      <c r="K1055" s="38"/>
      <c r="L1055" s="38"/>
      <c r="M1055" s="43"/>
      <c r="N1055" s="42"/>
      <c r="O1055" s="50"/>
      <c r="P1055" s="38"/>
      <c r="Q1055" s="41"/>
      <c r="R1055" s="43"/>
      <c r="S1055" s="43"/>
      <c r="T1055" s="41"/>
      <c r="U1055" s="41"/>
      <c r="V1055" s="41"/>
      <c r="Z1055" s="41"/>
    </row>
    <row r="1056" spans="4:26" ht="15" customHeight="1">
      <c r="D1056" s="39"/>
      <c r="E1056" s="40"/>
      <c r="K1056" s="38"/>
      <c r="L1056" s="38"/>
      <c r="M1056" s="43"/>
      <c r="N1056" s="42"/>
      <c r="O1056" s="50"/>
      <c r="P1056" s="38"/>
      <c r="Q1056" s="41"/>
      <c r="R1056" s="43"/>
      <c r="S1056" s="43"/>
      <c r="T1056" s="41"/>
      <c r="U1056" s="41"/>
      <c r="V1056" s="41"/>
      <c r="Z1056" s="41"/>
    </row>
    <row r="1057" spans="4:26" ht="15" customHeight="1">
      <c r="D1057" s="39"/>
      <c r="E1057" s="40"/>
      <c r="K1057" s="38"/>
      <c r="L1057" s="38"/>
      <c r="M1057" s="43"/>
      <c r="N1057" s="42"/>
      <c r="O1057" s="50"/>
      <c r="P1057" s="38"/>
      <c r="Q1057" s="41"/>
      <c r="R1057" s="43"/>
      <c r="S1057" s="43"/>
      <c r="T1057" s="41"/>
      <c r="U1057" s="41"/>
      <c r="V1057" s="41"/>
      <c r="Z1057" s="41"/>
    </row>
    <row r="1058" spans="4:26" ht="15" customHeight="1">
      <c r="D1058" s="39"/>
      <c r="E1058" s="40"/>
      <c r="K1058" s="38"/>
      <c r="L1058" s="38"/>
      <c r="M1058" s="43"/>
      <c r="N1058" s="42"/>
      <c r="O1058" s="50"/>
      <c r="P1058" s="38"/>
      <c r="Q1058" s="41"/>
      <c r="R1058" s="43"/>
      <c r="S1058" s="43"/>
      <c r="T1058" s="41"/>
      <c r="U1058" s="41"/>
      <c r="V1058" s="41"/>
      <c r="Z1058" s="41"/>
    </row>
    <row r="1059" spans="4:26" ht="15" customHeight="1">
      <c r="D1059" s="39"/>
      <c r="E1059" s="40"/>
      <c r="K1059" s="38"/>
      <c r="L1059" s="38"/>
      <c r="M1059" s="43"/>
      <c r="N1059" s="42"/>
      <c r="O1059" s="50"/>
      <c r="P1059" s="38"/>
      <c r="Q1059" s="41"/>
      <c r="R1059" s="43"/>
      <c r="S1059" s="43"/>
      <c r="T1059" s="41"/>
      <c r="U1059" s="41"/>
      <c r="V1059" s="41"/>
      <c r="Z1059" s="41"/>
    </row>
    <row r="1060" spans="4:26" ht="15" customHeight="1">
      <c r="D1060" s="39"/>
      <c r="E1060" s="40"/>
      <c r="K1060" s="38"/>
      <c r="L1060" s="38"/>
      <c r="M1060" s="43"/>
      <c r="N1060" s="42"/>
      <c r="O1060" s="50"/>
      <c r="P1060" s="38"/>
      <c r="Q1060" s="41"/>
      <c r="R1060" s="43"/>
      <c r="S1060" s="43"/>
      <c r="T1060" s="41"/>
      <c r="U1060" s="41"/>
      <c r="V1060" s="41"/>
      <c r="Z1060" s="41"/>
    </row>
    <row r="1061" spans="4:26" ht="15" customHeight="1">
      <c r="D1061" s="39"/>
      <c r="E1061" s="40"/>
      <c r="K1061" s="38"/>
      <c r="L1061" s="38"/>
      <c r="M1061" s="43"/>
      <c r="N1061" s="42"/>
      <c r="O1061" s="50"/>
      <c r="P1061" s="38"/>
      <c r="Q1061" s="41"/>
      <c r="R1061" s="43"/>
      <c r="S1061" s="43"/>
      <c r="T1061" s="41"/>
      <c r="U1061" s="41"/>
      <c r="V1061" s="41"/>
      <c r="Z1061" s="41"/>
    </row>
    <row r="1062" spans="4:26" ht="15" customHeight="1">
      <c r="D1062" s="39"/>
      <c r="E1062" s="40"/>
      <c r="K1062" s="38"/>
      <c r="L1062" s="38"/>
      <c r="M1062" s="43"/>
      <c r="N1062" s="42"/>
      <c r="O1062" s="50"/>
      <c r="P1062" s="38"/>
      <c r="Q1062" s="41"/>
      <c r="R1062" s="43"/>
      <c r="S1062" s="43"/>
      <c r="T1062" s="41"/>
      <c r="U1062" s="41"/>
      <c r="V1062" s="41"/>
      <c r="Z1062" s="41"/>
    </row>
    <row r="1063" spans="4:26" ht="15" customHeight="1">
      <c r="D1063" s="39"/>
      <c r="E1063" s="40"/>
      <c r="K1063" s="38"/>
      <c r="L1063" s="38"/>
      <c r="M1063" s="43"/>
      <c r="N1063" s="42"/>
      <c r="O1063" s="50"/>
      <c r="P1063" s="38"/>
      <c r="Q1063" s="41"/>
      <c r="R1063" s="43"/>
      <c r="S1063" s="43"/>
      <c r="T1063" s="41"/>
      <c r="U1063" s="41"/>
      <c r="V1063" s="41"/>
      <c r="Z1063" s="41"/>
    </row>
    <row r="1064" spans="4:26" ht="15" customHeight="1">
      <c r="D1064" s="39"/>
      <c r="E1064" s="40"/>
      <c r="K1064" s="38"/>
      <c r="L1064" s="38"/>
      <c r="M1064" s="43"/>
      <c r="N1064" s="42"/>
      <c r="O1064" s="50"/>
      <c r="P1064" s="38"/>
      <c r="Q1064" s="41"/>
      <c r="R1064" s="43"/>
      <c r="S1064" s="43"/>
      <c r="T1064" s="41"/>
      <c r="U1064" s="41"/>
      <c r="V1064" s="41"/>
      <c r="Z1064" s="41"/>
    </row>
    <row r="1065" spans="4:26" ht="15" customHeight="1">
      <c r="D1065" s="39"/>
      <c r="E1065" s="40"/>
      <c r="K1065" s="38"/>
      <c r="L1065" s="38"/>
      <c r="M1065" s="43"/>
      <c r="N1065" s="42"/>
      <c r="O1065" s="50"/>
      <c r="P1065" s="38"/>
      <c r="Q1065" s="41"/>
      <c r="R1065" s="43"/>
      <c r="S1065" s="43"/>
      <c r="T1065" s="41"/>
      <c r="U1065" s="41"/>
      <c r="V1065" s="41"/>
      <c r="Z1065" s="41"/>
    </row>
    <row r="1066" spans="4:26" ht="15" customHeight="1">
      <c r="D1066" s="39"/>
      <c r="E1066" s="40"/>
      <c r="K1066" s="38"/>
      <c r="L1066" s="38"/>
      <c r="M1066" s="43"/>
      <c r="N1066" s="42"/>
      <c r="O1066" s="50"/>
      <c r="P1066" s="38"/>
      <c r="Q1066" s="41"/>
      <c r="R1066" s="43"/>
      <c r="S1066" s="43"/>
      <c r="T1066" s="41"/>
      <c r="U1066" s="41"/>
      <c r="V1066" s="41"/>
      <c r="Z1066" s="41"/>
    </row>
    <row r="1067" spans="4:26" ht="15" customHeight="1">
      <c r="D1067" s="39"/>
      <c r="E1067" s="40"/>
      <c r="K1067" s="38"/>
      <c r="L1067" s="38"/>
      <c r="M1067" s="43"/>
      <c r="N1067" s="42"/>
      <c r="O1067" s="50"/>
      <c r="P1067" s="38"/>
      <c r="Q1067" s="41"/>
      <c r="R1067" s="43"/>
      <c r="S1067" s="43"/>
      <c r="T1067" s="41"/>
      <c r="U1067" s="41"/>
      <c r="V1067" s="41"/>
      <c r="Z1067" s="41"/>
    </row>
    <row r="1068" spans="4:26" ht="15" customHeight="1">
      <c r="D1068" s="39"/>
      <c r="E1068" s="40"/>
      <c r="K1068" s="38"/>
      <c r="L1068" s="38"/>
      <c r="M1068" s="43"/>
      <c r="N1068" s="42"/>
      <c r="O1068" s="50"/>
      <c r="P1068" s="38"/>
      <c r="Q1068" s="41"/>
      <c r="R1068" s="43"/>
      <c r="S1068" s="43"/>
      <c r="T1068" s="41"/>
      <c r="U1068" s="41"/>
      <c r="V1068" s="41"/>
      <c r="Z1068" s="41"/>
    </row>
    <row r="1069" spans="4:26" ht="15" customHeight="1">
      <c r="D1069" s="39"/>
      <c r="E1069" s="40"/>
      <c r="K1069" s="38"/>
      <c r="L1069" s="38"/>
      <c r="M1069" s="43"/>
      <c r="N1069" s="42"/>
      <c r="O1069" s="50"/>
      <c r="P1069" s="38"/>
      <c r="Q1069" s="41"/>
      <c r="R1069" s="43"/>
      <c r="S1069" s="43"/>
      <c r="T1069" s="41"/>
      <c r="U1069" s="41"/>
      <c r="V1069" s="41"/>
      <c r="Z1069" s="41"/>
    </row>
    <row r="1070" spans="4:26" ht="15" customHeight="1">
      <c r="D1070" s="39"/>
      <c r="E1070" s="40"/>
      <c r="K1070" s="38"/>
      <c r="L1070" s="38"/>
      <c r="M1070" s="43"/>
      <c r="N1070" s="42"/>
      <c r="O1070" s="50"/>
      <c r="P1070" s="38"/>
      <c r="Q1070" s="41"/>
      <c r="R1070" s="43"/>
      <c r="S1070" s="43"/>
      <c r="T1070" s="41"/>
      <c r="U1070" s="41"/>
      <c r="V1070" s="41"/>
      <c r="Z1070" s="41"/>
    </row>
    <row r="1071" spans="4:26" ht="15" customHeight="1">
      <c r="D1071" s="39"/>
      <c r="E1071" s="40"/>
      <c r="K1071" s="38"/>
      <c r="L1071" s="38"/>
      <c r="M1071" s="43"/>
      <c r="N1071" s="42"/>
      <c r="O1071" s="50"/>
      <c r="P1071" s="38"/>
      <c r="Q1071" s="41"/>
      <c r="R1071" s="43"/>
      <c r="S1071" s="43"/>
      <c r="T1071" s="41"/>
      <c r="U1071" s="41"/>
      <c r="V1071" s="41"/>
      <c r="Z1071" s="41"/>
    </row>
    <row r="1072" spans="4:26" ht="15" customHeight="1">
      <c r="D1072" s="39"/>
      <c r="E1072" s="40"/>
      <c r="K1072" s="38"/>
      <c r="L1072" s="38"/>
      <c r="M1072" s="43"/>
      <c r="N1072" s="42"/>
      <c r="O1072" s="50"/>
      <c r="P1072" s="38"/>
      <c r="Q1072" s="41"/>
      <c r="R1072" s="43"/>
      <c r="S1072" s="43"/>
      <c r="T1072" s="41"/>
      <c r="U1072" s="41"/>
      <c r="V1072" s="41"/>
      <c r="Z1072" s="41"/>
    </row>
    <row r="1073" spans="4:26" ht="15" customHeight="1">
      <c r="D1073" s="39"/>
      <c r="E1073" s="40"/>
      <c r="K1073" s="38"/>
      <c r="L1073" s="38"/>
      <c r="M1073" s="43"/>
      <c r="N1073" s="42"/>
      <c r="O1073" s="50"/>
      <c r="P1073" s="38"/>
      <c r="Q1073" s="41"/>
      <c r="R1073" s="43"/>
      <c r="S1073" s="43"/>
      <c r="T1073" s="41"/>
      <c r="U1073" s="41"/>
      <c r="V1073" s="41"/>
      <c r="Z1073" s="41"/>
    </row>
    <row r="1074" spans="4:26" ht="15" customHeight="1">
      <c r="D1074" s="39"/>
      <c r="E1074" s="40"/>
      <c r="K1074" s="38"/>
      <c r="L1074" s="38"/>
      <c r="M1074" s="43"/>
      <c r="N1074" s="42"/>
      <c r="O1074" s="50"/>
      <c r="P1074" s="38"/>
      <c r="Q1074" s="41"/>
      <c r="R1074" s="43"/>
      <c r="S1074" s="43"/>
      <c r="T1074" s="41"/>
      <c r="U1074" s="41"/>
      <c r="V1074" s="41"/>
      <c r="Z1074" s="41"/>
    </row>
    <row r="1075" spans="4:26" ht="15" customHeight="1">
      <c r="D1075" s="39"/>
      <c r="E1075" s="40"/>
      <c r="K1075" s="38"/>
      <c r="L1075" s="38"/>
      <c r="M1075" s="43"/>
      <c r="N1075" s="42"/>
      <c r="O1075" s="50"/>
      <c r="P1075" s="38"/>
      <c r="Q1075" s="41"/>
      <c r="R1075" s="43"/>
      <c r="S1075" s="43"/>
      <c r="T1075" s="41"/>
      <c r="U1075" s="41"/>
      <c r="V1075" s="41"/>
      <c r="Z1075" s="41"/>
    </row>
    <row r="1076" spans="4:26" ht="15" customHeight="1">
      <c r="D1076" s="39"/>
      <c r="E1076" s="40"/>
      <c r="K1076" s="38"/>
      <c r="L1076" s="38"/>
      <c r="M1076" s="43"/>
      <c r="N1076" s="42"/>
      <c r="O1076" s="50"/>
      <c r="P1076" s="38"/>
      <c r="Q1076" s="41"/>
      <c r="R1076" s="43"/>
      <c r="S1076" s="43"/>
      <c r="T1076" s="41"/>
      <c r="U1076" s="41"/>
      <c r="V1076" s="41"/>
      <c r="Z1076" s="41"/>
    </row>
    <row r="1077" spans="4:26" ht="15" customHeight="1">
      <c r="D1077" s="39"/>
      <c r="E1077" s="40"/>
      <c r="K1077" s="38"/>
      <c r="L1077" s="38"/>
      <c r="M1077" s="43"/>
      <c r="N1077" s="42"/>
      <c r="O1077" s="50"/>
      <c r="P1077" s="38"/>
      <c r="Q1077" s="41"/>
      <c r="R1077" s="43"/>
      <c r="S1077" s="43"/>
      <c r="T1077" s="41"/>
      <c r="U1077" s="41"/>
      <c r="V1077" s="41"/>
      <c r="Z1077" s="41"/>
    </row>
    <row r="1078" spans="4:26" ht="15" customHeight="1">
      <c r="D1078" s="39"/>
      <c r="E1078" s="40"/>
      <c r="K1078" s="38"/>
      <c r="L1078" s="38"/>
      <c r="M1078" s="43"/>
      <c r="N1078" s="42"/>
      <c r="O1078" s="50"/>
      <c r="P1078" s="38"/>
      <c r="Q1078" s="41"/>
      <c r="R1078" s="43"/>
      <c r="S1078" s="43"/>
      <c r="T1078" s="41"/>
      <c r="U1078" s="41"/>
      <c r="V1078" s="41"/>
      <c r="Z1078" s="41"/>
    </row>
    <row r="1079" spans="4:26" ht="15" customHeight="1">
      <c r="D1079" s="39"/>
      <c r="E1079" s="40"/>
      <c r="K1079" s="38"/>
      <c r="L1079" s="38"/>
      <c r="M1079" s="43"/>
      <c r="N1079" s="42"/>
      <c r="O1079" s="50"/>
      <c r="P1079" s="38"/>
      <c r="Q1079" s="41"/>
      <c r="R1079" s="43"/>
      <c r="S1079" s="43"/>
      <c r="T1079" s="41"/>
      <c r="U1079" s="41"/>
      <c r="V1079" s="41"/>
      <c r="Z1079" s="41"/>
    </row>
    <row r="1080" spans="4:26" ht="15" customHeight="1">
      <c r="D1080" s="39"/>
      <c r="E1080" s="40"/>
      <c r="K1080" s="38"/>
      <c r="L1080" s="38"/>
      <c r="M1080" s="43"/>
      <c r="N1080" s="42"/>
      <c r="O1080" s="50"/>
      <c r="P1080" s="38"/>
      <c r="Q1080" s="41"/>
      <c r="R1080" s="43"/>
      <c r="S1080" s="43"/>
      <c r="T1080" s="41"/>
      <c r="U1080" s="41"/>
      <c r="V1080" s="41"/>
      <c r="Z1080" s="41"/>
    </row>
    <row r="1081" spans="4:26" ht="15" customHeight="1">
      <c r="D1081" s="39"/>
      <c r="E1081" s="40"/>
      <c r="K1081" s="38"/>
      <c r="L1081" s="38"/>
      <c r="M1081" s="43"/>
      <c r="N1081" s="42"/>
      <c r="O1081" s="50"/>
      <c r="P1081" s="38"/>
      <c r="Q1081" s="41"/>
      <c r="R1081" s="43"/>
      <c r="S1081" s="43"/>
      <c r="T1081" s="41"/>
      <c r="U1081" s="41"/>
      <c r="V1081" s="41"/>
      <c r="Z1081" s="41"/>
    </row>
    <row r="1082" spans="4:26" ht="15" customHeight="1">
      <c r="D1082" s="39"/>
      <c r="E1082" s="40"/>
      <c r="K1082" s="38"/>
      <c r="L1082" s="38"/>
      <c r="M1082" s="43"/>
      <c r="N1082" s="42"/>
      <c r="O1082" s="50"/>
      <c r="P1082" s="38"/>
      <c r="Q1082" s="41"/>
      <c r="R1082" s="43"/>
      <c r="S1082" s="43"/>
      <c r="T1082" s="41"/>
      <c r="U1082" s="41"/>
      <c r="V1082" s="41"/>
      <c r="Z1082" s="41"/>
    </row>
    <row r="1083" spans="4:26" ht="15" customHeight="1">
      <c r="D1083" s="39"/>
      <c r="E1083" s="40"/>
      <c r="K1083" s="38"/>
      <c r="L1083" s="38"/>
      <c r="M1083" s="43"/>
      <c r="N1083" s="42"/>
      <c r="O1083" s="50"/>
      <c r="P1083" s="38"/>
      <c r="Q1083" s="41"/>
      <c r="R1083" s="43"/>
      <c r="S1083" s="43"/>
      <c r="T1083" s="41"/>
      <c r="U1083" s="41"/>
      <c r="V1083" s="41"/>
      <c r="Z1083" s="41"/>
    </row>
    <row r="1084" spans="4:26" ht="15" customHeight="1">
      <c r="D1084" s="39"/>
      <c r="E1084" s="40"/>
      <c r="K1084" s="38"/>
      <c r="L1084" s="38"/>
      <c r="M1084" s="43"/>
      <c r="N1084" s="42"/>
      <c r="O1084" s="50"/>
      <c r="P1084" s="38"/>
      <c r="Q1084" s="41"/>
      <c r="R1084" s="43"/>
      <c r="S1084" s="43"/>
      <c r="T1084" s="41"/>
      <c r="U1084" s="41"/>
      <c r="V1084" s="41"/>
      <c r="Z1084" s="41"/>
    </row>
    <row r="1085" spans="4:26" ht="15" customHeight="1">
      <c r="D1085" s="39"/>
      <c r="E1085" s="40"/>
      <c r="K1085" s="38"/>
      <c r="L1085" s="38"/>
      <c r="M1085" s="43"/>
      <c r="N1085" s="42"/>
      <c r="O1085" s="50"/>
      <c r="P1085" s="38"/>
      <c r="Q1085" s="41"/>
      <c r="R1085" s="43"/>
      <c r="S1085" s="43"/>
      <c r="T1085" s="41"/>
      <c r="U1085" s="41"/>
      <c r="V1085" s="41"/>
      <c r="Z1085" s="41"/>
    </row>
    <row r="1086" spans="4:26" ht="15" customHeight="1">
      <c r="D1086" s="39"/>
      <c r="E1086" s="40"/>
      <c r="K1086" s="38"/>
      <c r="L1086" s="38"/>
      <c r="M1086" s="43"/>
      <c r="N1086" s="42"/>
      <c r="O1086" s="50"/>
      <c r="P1086" s="38"/>
      <c r="Q1086" s="41"/>
      <c r="R1086" s="43"/>
      <c r="S1086" s="43"/>
      <c r="T1086" s="41"/>
      <c r="U1086" s="41"/>
      <c r="V1086" s="41"/>
      <c r="Z1086" s="41"/>
    </row>
    <row r="1087" spans="4:26" ht="15" customHeight="1">
      <c r="D1087" s="39"/>
      <c r="E1087" s="40"/>
      <c r="K1087" s="38"/>
      <c r="L1087" s="38"/>
      <c r="M1087" s="43"/>
      <c r="N1087" s="42"/>
      <c r="O1087" s="50"/>
      <c r="P1087" s="38"/>
      <c r="Q1087" s="41"/>
      <c r="R1087" s="43"/>
      <c r="S1087" s="43"/>
      <c r="T1087" s="41"/>
      <c r="U1087" s="41"/>
      <c r="V1087" s="41"/>
      <c r="Z1087" s="41"/>
    </row>
    <row r="1088" spans="4:26" ht="15" customHeight="1">
      <c r="D1088" s="39"/>
      <c r="E1088" s="40"/>
      <c r="K1088" s="38"/>
      <c r="L1088" s="38"/>
      <c r="M1088" s="43"/>
      <c r="N1088" s="42"/>
      <c r="O1088" s="50"/>
      <c r="P1088" s="38"/>
      <c r="Q1088" s="41"/>
      <c r="R1088" s="43"/>
      <c r="S1088" s="43"/>
      <c r="T1088" s="41"/>
      <c r="U1088" s="41"/>
      <c r="V1088" s="41"/>
      <c r="Z1088" s="41"/>
    </row>
    <row r="1089" spans="4:26" ht="15" customHeight="1">
      <c r="D1089" s="39"/>
      <c r="E1089" s="40"/>
      <c r="K1089" s="38"/>
      <c r="L1089" s="38"/>
      <c r="M1089" s="43"/>
      <c r="N1089" s="42"/>
      <c r="O1089" s="50"/>
      <c r="P1089" s="38"/>
      <c r="Q1089" s="41"/>
      <c r="R1089" s="43"/>
      <c r="S1089" s="43"/>
      <c r="T1089" s="41"/>
      <c r="U1089" s="41"/>
      <c r="V1089" s="41"/>
      <c r="Z1089" s="41"/>
    </row>
    <row r="1090" spans="4:26" ht="15" customHeight="1">
      <c r="D1090" s="39"/>
      <c r="E1090" s="40"/>
      <c r="K1090" s="38"/>
      <c r="L1090" s="38"/>
      <c r="M1090" s="43"/>
      <c r="N1090" s="42"/>
      <c r="O1090" s="50"/>
      <c r="P1090" s="38"/>
      <c r="Q1090" s="41"/>
      <c r="R1090" s="43"/>
      <c r="S1090" s="43"/>
      <c r="T1090" s="41"/>
      <c r="U1090" s="41"/>
      <c r="V1090" s="41"/>
      <c r="Z1090" s="41"/>
    </row>
    <row r="1091" spans="4:26" ht="15" customHeight="1">
      <c r="D1091" s="39"/>
      <c r="E1091" s="40"/>
      <c r="K1091" s="38"/>
      <c r="L1091" s="38"/>
      <c r="M1091" s="43"/>
      <c r="N1091" s="42"/>
      <c r="O1091" s="50"/>
      <c r="P1091" s="38"/>
      <c r="Q1091" s="41"/>
      <c r="R1091" s="43"/>
      <c r="S1091" s="43"/>
      <c r="T1091" s="41"/>
      <c r="U1091" s="41"/>
      <c r="V1091" s="41"/>
      <c r="Z1091" s="41"/>
    </row>
    <row r="1092" spans="4:26" ht="15" customHeight="1">
      <c r="D1092" s="39"/>
      <c r="E1092" s="40"/>
      <c r="K1092" s="38"/>
      <c r="L1092" s="38"/>
      <c r="M1092" s="43"/>
      <c r="N1092" s="42"/>
      <c r="O1092" s="50"/>
      <c r="P1092" s="38"/>
      <c r="Q1092" s="41"/>
      <c r="R1092" s="43"/>
      <c r="S1092" s="43"/>
      <c r="T1092" s="41"/>
      <c r="U1092" s="41"/>
      <c r="V1092" s="41"/>
      <c r="Z1092" s="41"/>
    </row>
    <row r="1093" spans="4:26" ht="15" customHeight="1">
      <c r="D1093" s="39"/>
      <c r="E1093" s="40"/>
      <c r="K1093" s="38"/>
      <c r="L1093" s="38"/>
      <c r="M1093" s="43"/>
      <c r="N1093" s="42"/>
      <c r="O1093" s="50"/>
      <c r="P1093" s="38"/>
      <c r="Q1093" s="41"/>
      <c r="R1093" s="43"/>
      <c r="S1093" s="43"/>
      <c r="T1093" s="41"/>
      <c r="U1093" s="41"/>
      <c r="V1093" s="41"/>
      <c r="Z1093" s="41"/>
    </row>
    <row r="1094" spans="4:26" ht="15" customHeight="1">
      <c r="D1094" s="39"/>
      <c r="E1094" s="40"/>
      <c r="K1094" s="38"/>
      <c r="L1094" s="38"/>
      <c r="M1094" s="43"/>
      <c r="N1094" s="42"/>
      <c r="O1094" s="50"/>
      <c r="P1094" s="38"/>
      <c r="Q1094" s="41"/>
      <c r="R1094" s="43"/>
      <c r="S1094" s="43"/>
      <c r="T1094" s="41"/>
      <c r="U1094" s="41"/>
      <c r="V1094" s="41"/>
      <c r="Z1094" s="41"/>
    </row>
    <row r="1095" spans="4:26" ht="15" customHeight="1">
      <c r="D1095" s="39"/>
      <c r="E1095" s="40"/>
      <c r="K1095" s="38"/>
      <c r="L1095" s="38"/>
      <c r="M1095" s="43"/>
      <c r="N1095" s="42"/>
      <c r="O1095" s="50"/>
      <c r="P1095" s="38"/>
      <c r="Q1095" s="41"/>
      <c r="R1095" s="43"/>
      <c r="S1095" s="43"/>
      <c r="T1095" s="41"/>
      <c r="U1095" s="41"/>
      <c r="V1095" s="41"/>
      <c r="Z1095" s="41"/>
    </row>
    <row r="1096" spans="4:26" ht="15" customHeight="1">
      <c r="D1096" s="39"/>
      <c r="E1096" s="40"/>
      <c r="K1096" s="38"/>
      <c r="L1096" s="38"/>
      <c r="M1096" s="43"/>
      <c r="N1096" s="42"/>
      <c r="O1096" s="50"/>
      <c r="P1096" s="38"/>
      <c r="Q1096" s="41"/>
      <c r="R1096" s="43"/>
      <c r="S1096" s="43"/>
      <c r="T1096" s="41"/>
      <c r="U1096" s="41"/>
      <c r="V1096" s="41"/>
    </row>
    <row r="1097" spans="4:26" ht="15" customHeight="1">
      <c r="D1097" s="39"/>
      <c r="E1097" s="40"/>
      <c r="K1097" s="38"/>
      <c r="L1097" s="38"/>
      <c r="M1097" s="43"/>
      <c r="N1097" s="42"/>
      <c r="O1097" s="50"/>
      <c r="P1097" s="38"/>
      <c r="Q1097" s="41"/>
      <c r="R1097" s="43"/>
      <c r="S1097" s="43"/>
      <c r="T1097" s="41"/>
      <c r="U1097" s="41"/>
      <c r="V1097" s="41"/>
    </row>
    <row r="1098" spans="4:26" ht="15" customHeight="1">
      <c r="D1098" s="39"/>
      <c r="E1098" s="40"/>
      <c r="K1098" s="38"/>
      <c r="L1098" s="38"/>
      <c r="M1098" s="43"/>
      <c r="N1098" s="42"/>
      <c r="O1098" s="50"/>
      <c r="P1098" s="38"/>
      <c r="Q1098" s="41"/>
      <c r="R1098" s="43"/>
      <c r="S1098" s="43"/>
      <c r="T1098" s="41"/>
      <c r="U1098" s="41"/>
      <c r="V1098" s="41"/>
    </row>
    <row r="1099" spans="4:26" ht="15" customHeight="1">
      <c r="D1099" s="39"/>
      <c r="E1099" s="40"/>
      <c r="K1099" s="38"/>
      <c r="L1099" s="38"/>
      <c r="M1099" s="43"/>
      <c r="N1099" s="42"/>
      <c r="O1099" s="50"/>
      <c r="P1099" s="38"/>
      <c r="Q1099" s="41"/>
      <c r="R1099" s="43"/>
      <c r="S1099" s="43"/>
      <c r="T1099" s="41"/>
      <c r="U1099" s="41"/>
      <c r="V1099" s="41"/>
    </row>
    <row r="1100" spans="4:26" ht="15" customHeight="1">
      <c r="D1100" s="39"/>
      <c r="E1100" s="40"/>
      <c r="K1100" s="38"/>
      <c r="L1100" s="38"/>
      <c r="M1100" s="43"/>
      <c r="N1100" s="42"/>
      <c r="O1100" s="50"/>
      <c r="P1100" s="38"/>
      <c r="Q1100" s="41"/>
      <c r="R1100" s="43"/>
      <c r="S1100" s="43"/>
      <c r="T1100" s="41"/>
      <c r="U1100" s="41"/>
      <c r="V1100" s="41"/>
    </row>
    <row r="1101" spans="4:26" ht="15" customHeight="1">
      <c r="D1101" s="39"/>
      <c r="E1101" s="40"/>
      <c r="K1101" s="38"/>
      <c r="L1101" s="38"/>
      <c r="M1101" s="43"/>
      <c r="N1101" s="42"/>
      <c r="O1101" s="50"/>
      <c r="P1101" s="38"/>
      <c r="Q1101" s="41"/>
      <c r="R1101" s="43"/>
      <c r="S1101" s="43"/>
      <c r="T1101" s="41"/>
      <c r="U1101" s="41"/>
      <c r="V1101" s="41"/>
    </row>
    <row r="1102" spans="4:26" ht="15" customHeight="1">
      <c r="D1102" s="39"/>
      <c r="E1102" s="40"/>
      <c r="K1102" s="38"/>
      <c r="L1102" s="38"/>
      <c r="M1102" s="43"/>
      <c r="N1102" s="42"/>
      <c r="O1102" s="50"/>
      <c r="P1102" s="38"/>
      <c r="Q1102" s="41"/>
      <c r="R1102" s="43"/>
      <c r="S1102" s="43"/>
      <c r="T1102" s="41"/>
      <c r="U1102" s="41"/>
      <c r="V1102" s="41"/>
    </row>
    <row r="1103" spans="4:26" ht="15" customHeight="1">
      <c r="D1103" s="39"/>
      <c r="E1103" s="40"/>
      <c r="K1103" s="38"/>
      <c r="L1103" s="38"/>
      <c r="M1103" s="43"/>
      <c r="N1103" s="42"/>
      <c r="O1103" s="50"/>
      <c r="P1103" s="38"/>
      <c r="Q1103" s="41"/>
      <c r="R1103" s="43"/>
      <c r="S1103" s="43"/>
      <c r="T1103" s="41"/>
      <c r="U1103" s="41"/>
      <c r="V1103" s="41"/>
    </row>
    <row r="1104" spans="4:26" ht="15" customHeight="1">
      <c r="D1104" s="39"/>
      <c r="E1104" s="40"/>
      <c r="K1104" s="38"/>
      <c r="L1104" s="38"/>
      <c r="M1104" s="43"/>
      <c r="N1104" s="42"/>
      <c r="O1104" s="50"/>
      <c r="P1104" s="38"/>
      <c r="Q1104" s="41"/>
      <c r="R1104" s="43"/>
      <c r="S1104" s="43"/>
      <c r="T1104" s="41"/>
      <c r="U1104" s="41"/>
      <c r="V1104" s="41"/>
    </row>
    <row r="1105" spans="4:22" ht="15" customHeight="1">
      <c r="D1105" s="39"/>
      <c r="E1105" s="40"/>
      <c r="K1105" s="38"/>
      <c r="L1105" s="38"/>
      <c r="M1105" s="43"/>
      <c r="N1105" s="42"/>
      <c r="O1105" s="50"/>
      <c r="P1105" s="38"/>
      <c r="Q1105" s="41"/>
      <c r="R1105" s="43"/>
      <c r="S1105" s="43"/>
      <c r="T1105" s="41"/>
      <c r="U1105" s="41"/>
      <c r="V1105" s="41"/>
    </row>
    <row r="1106" spans="4:22" ht="15" customHeight="1">
      <c r="D1106" s="39"/>
      <c r="E1106" s="40"/>
      <c r="K1106" s="38"/>
      <c r="L1106" s="38"/>
      <c r="M1106" s="43"/>
      <c r="N1106" s="42"/>
      <c r="O1106" s="50"/>
      <c r="P1106" s="38"/>
      <c r="Q1106" s="41"/>
      <c r="R1106" s="43"/>
      <c r="S1106" s="43"/>
      <c r="T1106" s="41"/>
      <c r="U1106" s="41"/>
      <c r="V1106" s="41"/>
    </row>
    <row r="1107" spans="4:22" ht="15" customHeight="1">
      <c r="D1107" s="39"/>
      <c r="E1107" s="40"/>
      <c r="K1107" s="38"/>
      <c r="L1107" s="38"/>
      <c r="M1107" s="43"/>
      <c r="N1107" s="42"/>
      <c r="O1107" s="50"/>
      <c r="P1107" s="38"/>
      <c r="Q1107" s="41"/>
      <c r="R1107" s="43"/>
      <c r="S1107" s="43"/>
      <c r="T1107" s="41"/>
      <c r="U1107" s="41"/>
      <c r="V1107" s="41"/>
    </row>
    <row r="1108" spans="4:22" ht="15" customHeight="1">
      <c r="D1108" s="39"/>
      <c r="E1108" s="40"/>
      <c r="K1108" s="38"/>
      <c r="L1108" s="38"/>
      <c r="M1108" s="43"/>
      <c r="N1108" s="42"/>
      <c r="O1108" s="50"/>
      <c r="P1108" s="38"/>
      <c r="Q1108" s="41"/>
      <c r="R1108" s="43"/>
      <c r="S1108" s="43"/>
      <c r="T1108" s="41"/>
      <c r="U1108" s="41"/>
      <c r="V1108" s="41"/>
    </row>
    <row r="1109" spans="4:22" ht="15" customHeight="1">
      <c r="D1109" s="39"/>
      <c r="E1109" s="40"/>
      <c r="K1109" s="38"/>
      <c r="L1109" s="38"/>
      <c r="M1109" s="43"/>
      <c r="N1109" s="42"/>
      <c r="O1109" s="50"/>
      <c r="P1109" s="38"/>
      <c r="Q1109" s="41"/>
      <c r="R1109" s="43"/>
      <c r="S1109" s="43"/>
      <c r="T1109" s="41"/>
      <c r="U1109" s="41"/>
      <c r="V1109" s="41"/>
    </row>
    <row r="1110" spans="4:22" ht="15" customHeight="1">
      <c r="D1110" s="39"/>
      <c r="E1110" s="40"/>
      <c r="K1110" s="38"/>
      <c r="L1110" s="38"/>
      <c r="M1110" s="43"/>
      <c r="N1110" s="42"/>
      <c r="O1110" s="50"/>
      <c r="P1110" s="38"/>
      <c r="Q1110" s="41"/>
      <c r="R1110" s="43"/>
      <c r="S1110" s="43"/>
      <c r="T1110" s="41"/>
      <c r="U1110" s="41"/>
      <c r="V1110" s="41"/>
    </row>
    <row r="1111" spans="4:22" ht="15" customHeight="1">
      <c r="D1111" s="39"/>
      <c r="E1111" s="40"/>
      <c r="K1111" s="38"/>
      <c r="L1111" s="38"/>
      <c r="M1111" s="43"/>
      <c r="N1111" s="42"/>
      <c r="O1111" s="50"/>
      <c r="P1111" s="38"/>
      <c r="Q1111" s="41"/>
      <c r="R1111" s="43"/>
      <c r="S1111" s="43"/>
      <c r="T1111" s="41"/>
      <c r="U1111" s="41"/>
      <c r="V1111" s="41"/>
    </row>
    <row r="1112" spans="4:22" ht="15" customHeight="1">
      <c r="D1112" s="39"/>
      <c r="E1112" s="40"/>
      <c r="K1112" s="38"/>
      <c r="L1112" s="38"/>
      <c r="M1112" s="43"/>
      <c r="N1112" s="42"/>
      <c r="O1112" s="50"/>
      <c r="P1112" s="38"/>
      <c r="Q1112" s="41"/>
      <c r="R1112" s="43"/>
      <c r="S1112" s="43"/>
      <c r="T1112" s="41"/>
      <c r="U1112" s="41"/>
      <c r="V1112" s="41"/>
    </row>
    <row r="1113" spans="4:22" ht="15" customHeight="1">
      <c r="D1113" s="39"/>
      <c r="E1113" s="40"/>
      <c r="K1113" s="38"/>
      <c r="L1113" s="38"/>
      <c r="M1113" s="43"/>
      <c r="N1113" s="42"/>
      <c r="O1113" s="50"/>
      <c r="P1113" s="38"/>
      <c r="Q1113" s="41"/>
      <c r="R1113" s="43"/>
      <c r="S1113" s="43"/>
      <c r="T1113" s="41"/>
      <c r="U1113" s="41"/>
      <c r="V1113" s="41"/>
    </row>
    <row r="1114" spans="4:22" ht="15" customHeight="1">
      <c r="D1114" s="39"/>
      <c r="E1114" s="40"/>
      <c r="K1114" s="38"/>
      <c r="L1114" s="38"/>
      <c r="M1114" s="43"/>
      <c r="N1114" s="42"/>
      <c r="O1114" s="50"/>
      <c r="P1114" s="38"/>
      <c r="Q1114" s="41"/>
      <c r="R1114" s="43"/>
      <c r="S1114" s="43"/>
      <c r="T1114" s="41"/>
      <c r="U1114" s="41"/>
      <c r="V1114" s="41"/>
    </row>
    <row r="1115" spans="4:22" ht="15" customHeight="1">
      <c r="D1115" s="39"/>
      <c r="E1115" s="40"/>
      <c r="K1115" s="38"/>
      <c r="L1115" s="38"/>
      <c r="M1115" s="43"/>
      <c r="N1115" s="42"/>
      <c r="O1115" s="50"/>
      <c r="P1115" s="38"/>
      <c r="Q1115" s="41"/>
      <c r="R1115" s="43"/>
      <c r="S1115" s="43"/>
      <c r="T1115" s="41"/>
      <c r="U1115" s="41"/>
      <c r="V1115" s="41"/>
    </row>
    <row r="1116" spans="4:22" ht="15" customHeight="1">
      <c r="D1116" s="39"/>
      <c r="E1116" s="40"/>
      <c r="K1116" s="38"/>
      <c r="L1116" s="38"/>
      <c r="M1116" s="43"/>
      <c r="N1116" s="42"/>
      <c r="O1116" s="50"/>
      <c r="P1116" s="38"/>
      <c r="Q1116" s="41"/>
      <c r="R1116" s="43"/>
      <c r="S1116" s="43"/>
      <c r="T1116" s="41"/>
      <c r="U1116" s="41"/>
      <c r="V1116" s="41"/>
    </row>
    <row r="1117" spans="4:22" ht="15" customHeight="1">
      <c r="D1117" s="39"/>
      <c r="E1117" s="40"/>
      <c r="K1117" s="38"/>
      <c r="L1117" s="38"/>
      <c r="M1117" s="43"/>
      <c r="N1117" s="42"/>
      <c r="O1117" s="50"/>
      <c r="P1117" s="38"/>
      <c r="Q1117" s="41"/>
      <c r="R1117" s="43"/>
      <c r="S1117" s="43"/>
      <c r="T1117" s="41"/>
      <c r="U1117" s="41"/>
      <c r="V1117" s="41"/>
    </row>
    <row r="1118" spans="4:22" ht="15" customHeight="1">
      <c r="D1118" s="39"/>
      <c r="E1118" s="40"/>
      <c r="K1118" s="38"/>
      <c r="L1118" s="38"/>
      <c r="M1118" s="43"/>
      <c r="N1118" s="42"/>
      <c r="O1118" s="50"/>
      <c r="P1118" s="38"/>
      <c r="Q1118" s="41"/>
      <c r="R1118" s="43"/>
      <c r="S1118" s="43"/>
      <c r="T1118" s="41"/>
      <c r="U1118" s="41"/>
      <c r="V1118" s="41"/>
    </row>
    <row r="1119" spans="4:22" ht="15" customHeight="1">
      <c r="D1119" s="39"/>
      <c r="E1119" s="40"/>
      <c r="K1119" s="38"/>
      <c r="L1119" s="38"/>
      <c r="M1119" s="43"/>
      <c r="N1119" s="42"/>
      <c r="O1119" s="50"/>
      <c r="P1119" s="38"/>
      <c r="Q1119" s="41"/>
      <c r="R1119" s="43"/>
      <c r="S1119" s="43"/>
      <c r="T1119" s="41"/>
      <c r="U1119" s="41"/>
      <c r="V1119" s="41"/>
    </row>
    <row r="1120" spans="4:22" ht="15" customHeight="1">
      <c r="D1120" s="39"/>
      <c r="E1120" s="40"/>
      <c r="K1120" s="38"/>
      <c r="L1120" s="38"/>
      <c r="M1120" s="43"/>
      <c r="N1120" s="42"/>
      <c r="O1120" s="50"/>
      <c r="P1120" s="38"/>
      <c r="Q1120" s="41"/>
      <c r="R1120" s="43"/>
      <c r="S1120" s="43"/>
      <c r="T1120" s="41"/>
      <c r="U1120" s="41"/>
      <c r="V1120" s="41"/>
    </row>
    <row r="1121" spans="4:22" ht="15" customHeight="1">
      <c r="D1121" s="39"/>
      <c r="E1121" s="40"/>
      <c r="K1121" s="38"/>
      <c r="L1121" s="38"/>
      <c r="M1121" s="43"/>
      <c r="N1121" s="42"/>
      <c r="O1121" s="50"/>
      <c r="P1121" s="38"/>
      <c r="Q1121" s="41"/>
      <c r="R1121" s="43"/>
      <c r="S1121" s="43"/>
      <c r="T1121" s="41"/>
      <c r="U1121" s="41"/>
      <c r="V1121" s="41"/>
    </row>
    <row r="1122" spans="4:22" ht="15" customHeight="1">
      <c r="D1122" s="39"/>
      <c r="E1122" s="40"/>
      <c r="K1122" s="38"/>
      <c r="L1122" s="38"/>
      <c r="M1122" s="43"/>
      <c r="N1122" s="42"/>
      <c r="O1122" s="50"/>
      <c r="P1122" s="38"/>
      <c r="Q1122" s="41"/>
      <c r="R1122" s="43"/>
      <c r="S1122" s="43"/>
      <c r="T1122" s="41"/>
      <c r="U1122" s="41"/>
      <c r="V1122" s="41"/>
    </row>
    <row r="1123" spans="4:22" ht="15" customHeight="1">
      <c r="D1123" s="39"/>
      <c r="E1123" s="40"/>
      <c r="K1123" s="38"/>
      <c r="L1123" s="38"/>
      <c r="M1123" s="43"/>
      <c r="N1123" s="42"/>
      <c r="O1123" s="50"/>
      <c r="P1123" s="38"/>
      <c r="Q1123" s="41"/>
      <c r="R1123" s="43"/>
      <c r="S1123" s="43"/>
      <c r="T1123" s="41"/>
      <c r="U1123" s="41"/>
      <c r="V1123" s="41"/>
    </row>
    <row r="1124" spans="4:22" ht="15" customHeight="1">
      <c r="D1124" s="39"/>
      <c r="E1124" s="40"/>
      <c r="K1124" s="38"/>
      <c r="L1124" s="38"/>
      <c r="M1124" s="43"/>
      <c r="N1124" s="42"/>
      <c r="O1124" s="50"/>
      <c r="P1124" s="38"/>
      <c r="Q1124" s="41"/>
      <c r="R1124" s="43"/>
      <c r="S1124" s="43"/>
      <c r="T1124" s="41"/>
      <c r="U1124" s="41"/>
      <c r="V1124" s="41"/>
    </row>
    <row r="1125" spans="4:22" ht="15" customHeight="1">
      <c r="D1125" s="39"/>
      <c r="E1125" s="40"/>
      <c r="K1125" s="38"/>
      <c r="L1125" s="38"/>
      <c r="M1125" s="43"/>
      <c r="N1125" s="42"/>
      <c r="O1125" s="50"/>
      <c r="P1125" s="38"/>
      <c r="Q1125" s="41"/>
      <c r="R1125" s="43"/>
      <c r="S1125" s="43"/>
      <c r="T1125" s="41"/>
      <c r="U1125" s="41"/>
      <c r="V1125" s="41"/>
    </row>
    <row r="1126" spans="4:22" ht="15" customHeight="1">
      <c r="D1126" s="39"/>
      <c r="E1126" s="40"/>
      <c r="K1126" s="38"/>
      <c r="L1126" s="38"/>
      <c r="M1126" s="43"/>
      <c r="N1126" s="42"/>
      <c r="O1126" s="50"/>
      <c r="P1126" s="38"/>
      <c r="Q1126" s="41"/>
      <c r="R1126" s="43"/>
      <c r="S1126" s="43"/>
      <c r="T1126" s="41"/>
      <c r="U1126" s="41"/>
      <c r="V1126" s="41"/>
    </row>
    <row r="1127" spans="4:22" ht="15" customHeight="1">
      <c r="D1127" s="39"/>
      <c r="E1127" s="40"/>
      <c r="K1127" s="38"/>
      <c r="L1127" s="38"/>
      <c r="M1127" s="43"/>
      <c r="N1127" s="42"/>
      <c r="O1127" s="50"/>
      <c r="P1127" s="38"/>
      <c r="Q1127" s="41"/>
      <c r="R1127" s="43"/>
      <c r="S1127" s="43"/>
      <c r="T1127" s="41"/>
      <c r="U1127" s="41"/>
      <c r="V1127" s="41"/>
    </row>
    <row r="1128" spans="4:22" ht="15" customHeight="1">
      <c r="D1128" s="39"/>
      <c r="E1128" s="40"/>
      <c r="K1128" s="38"/>
      <c r="L1128" s="38"/>
      <c r="M1128" s="43"/>
      <c r="N1128" s="42"/>
      <c r="O1128" s="50"/>
      <c r="P1128" s="38"/>
      <c r="Q1128" s="41"/>
      <c r="R1128" s="43"/>
      <c r="S1128" s="43"/>
      <c r="T1128" s="41"/>
      <c r="U1128" s="41"/>
      <c r="V1128" s="41"/>
    </row>
    <row r="1129" spans="4:22" ht="15" customHeight="1">
      <c r="D1129" s="39"/>
      <c r="E1129" s="40"/>
      <c r="K1129" s="38"/>
      <c r="L1129" s="38"/>
      <c r="M1129" s="43"/>
      <c r="N1129" s="42"/>
      <c r="O1129" s="50"/>
      <c r="P1129" s="38"/>
      <c r="Q1129" s="41"/>
      <c r="R1129" s="43"/>
      <c r="S1129" s="43"/>
      <c r="T1129" s="41"/>
      <c r="U1129" s="41"/>
      <c r="V1129" s="41"/>
    </row>
    <row r="1130" spans="4:22" ht="15" customHeight="1">
      <c r="D1130" s="39"/>
      <c r="E1130" s="40"/>
      <c r="K1130" s="38"/>
      <c r="L1130" s="38"/>
      <c r="M1130" s="43"/>
      <c r="N1130" s="42"/>
      <c r="O1130" s="50"/>
      <c r="P1130" s="38"/>
      <c r="Q1130" s="41"/>
      <c r="R1130" s="43"/>
      <c r="S1130" s="43"/>
      <c r="T1130" s="41"/>
      <c r="U1130" s="41"/>
      <c r="V1130" s="41"/>
    </row>
    <row r="1131" spans="4:22" ht="15" customHeight="1">
      <c r="D1131" s="39"/>
      <c r="E1131" s="40"/>
      <c r="K1131" s="38"/>
      <c r="L1131" s="38"/>
      <c r="M1131" s="43"/>
      <c r="N1131" s="42"/>
      <c r="O1131" s="50"/>
      <c r="P1131" s="38"/>
      <c r="Q1131" s="41"/>
      <c r="R1131" s="43"/>
      <c r="S1131" s="43"/>
      <c r="T1131" s="41"/>
      <c r="U1131" s="41"/>
      <c r="V1131" s="41"/>
    </row>
    <row r="1132" spans="4:22" ht="15" customHeight="1">
      <c r="D1132" s="39"/>
      <c r="E1132" s="40"/>
      <c r="K1132" s="38"/>
      <c r="L1132" s="38"/>
      <c r="M1132" s="43"/>
      <c r="N1132" s="42"/>
      <c r="O1132" s="50"/>
      <c r="P1132" s="38"/>
      <c r="Q1132" s="41"/>
      <c r="R1132" s="43"/>
      <c r="S1132" s="43"/>
      <c r="T1132" s="41"/>
      <c r="U1132" s="41"/>
      <c r="V1132" s="41"/>
    </row>
    <row r="1133" spans="4:22" ht="15" customHeight="1">
      <c r="D1133" s="39"/>
      <c r="E1133" s="40"/>
      <c r="K1133" s="38"/>
      <c r="L1133" s="38"/>
      <c r="M1133" s="43"/>
      <c r="N1133" s="42"/>
      <c r="O1133" s="50"/>
      <c r="P1133" s="38"/>
      <c r="Q1133" s="41"/>
      <c r="R1133" s="43"/>
      <c r="S1133" s="43"/>
      <c r="T1133" s="41"/>
      <c r="U1133" s="41"/>
      <c r="V1133" s="41"/>
    </row>
    <row r="1134" spans="4:22" ht="15" customHeight="1">
      <c r="D1134" s="39"/>
      <c r="E1134" s="40"/>
      <c r="K1134" s="38"/>
      <c r="L1134" s="38"/>
      <c r="M1134" s="43"/>
      <c r="N1134" s="42"/>
      <c r="O1134" s="50"/>
      <c r="P1134" s="38"/>
      <c r="Q1134" s="41"/>
      <c r="R1134" s="43"/>
      <c r="S1134" s="43"/>
      <c r="T1134" s="41"/>
      <c r="U1134" s="41"/>
      <c r="V1134" s="41"/>
    </row>
    <row r="1135" spans="4:22" ht="15" customHeight="1">
      <c r="D1135" s="39"/>
      <c r="E1135" s="40"/>
      <c r="K1135" s="38"/>
      <c r="L1135" s="38"/>
      <c r="M1135" s="43"/>
      <c r="N1135" s="42"/>
      <c r="O1135" s="50"/>
      <c r="P1135" s="38"/>
      <c r="Q1135" s="41"/>
      <c r="R1135" s="43"/>
      <c r="S1135" s="43"/>
      <c r="T1135" s="41"/>
      <c r="U1135" s="41"/>
      <c r="V1135" s="41"/>
    </row>
    <row r="1136" spans="4:22" ht="15" customHeight="1">
      <c r="D1136" s="39"/>
      <c r="E1136" s="40"/>
      <c r="K1136" s="38"/>
      <c r="L1136" s="38"/>
      <c r="M1136" s="43"/>
      <c r="N1136" s="42"/>
      <c r="O1136" s="50"/>
      <c r="P1136" s="38"/>
      <c r="Q1136" s="41"/>
      <c r="R1136" s="43"/>
      <c r="S1136" s="43"/>
      <c r="T1136" s="41"/>
      <c r="U1136" s="41"/>
      <c r="V1136" s="41"/>
    </row>
    <row r="1137" spans="4:22" ht="15" customHeight="1">
      <c r="D1137" s="39"/>
      <c r="E1137" s="40"/>
      <c r="K1137" s="38"/>
      <c r="L1137" s="38"/>
      <c r="M1137" s="43"/>
      <c r="N1137" s="42"/>
      <c r="O1137" s="50"/>
      <c r="P1137" s="38"/>
      <c r="Q1137" s="41"/>
      <c r="R1137" s="43"/>
      <c r="S1137" s="43"/>
      <c r="T1137" s="41"/>
      <c r="U1137" s="41"/>
      <c r="V1137" s="41"/>
    </row>
    <row r="1138" spans="4:22" ht="15" customHeight="1">
      <c r="D1138" s="39"/>
      <c r="E1138" s="40"/>
      <c r="K1138" s="38"/>
      <c r="L1138" s="38"/>
      <c r="M1138" s="43"/>
      <c r="N1138" s="42"/>
      <c r="O1138" s="50"/>
      <c r="P1138" s="38"/>
      <c r="Q1138" s="41"/>
      <c r="R1138" s="43"/>
      <c r="S1138" s="43"/>
      <c r="T1138" s="41"/>
      <c r="U1138" s="41"/>
      <c r="V1138" s="41"/>
    </row>
    <row r="1139" spans="4:22" ht="15" customHeight="1">
      <c r="D1139" s="39"/>
      <c r="E1139" s="40"/>
      <c r="K1139" s="38"/>
      <c r="L1139" s="38"/>
      <c r="M1139" s="43"/>
      <c r="N1139" s="42"/>
      <c r="O1139" s="50"/>
      <c r="P1139" s="38"/>
      <c r="Q1139" s="41"/>
      <c r="R1139" s="43"/>
      <c r="S1139" s="43"/>
      <c r="T1139" s="41"/>
      <c r="U1139" s="41"/>
      <c r="V1139" s="41"/>
    </row>
    <row r="1140" spans="4:22" ht="15" customHeight="1">
      <c r="D1140" s="39"/>
      <c r="E1140" s="40"/>
      <c r="K1140" s="38"/>
      <c r="L1140" s="38"/>
      <c r="M1140" s="43"/>
      <c r="N1140" s="42"/>
      <c r="O1140" s="50"/>
      <c r="P1140" s="38"/>
      <c r="Q1140" s="41"/>
      <c r="R1140" s="43"/>
      <c r="S1140" s="43"/>
      <c r="T1140" s="41"/>
      <c r="U1140" s="41"/>
      <c r="V1140" s="41"/>
    </row>
    <row r="1141" spans="4:22" ht="15" customHeight="1">
      <c r="D1141" s="39"/>
      <c r="E1141" s="40"/>
      <c r="K1141" s="38"/>
      <c r="L1141" s="38"/>
      <c r="M1141" s="43"/>
      <c r="N1141" s="42"/>
      <c r="O1141" s="50"/>
      <c r="P1141" s="38"/>
      <c r="Q1141" s="41"/>
      <c r="R1141" s="43"/>
      <c r="S1141" s="43"/>
      <c r="T1141" s="41"/>
      <c r="U1141" s="41"/>
      <c r="V1141" s="41"/>
    </row>
    <row r="1142" spans="4:22" ht="15" customHeight="1">
      <c r="D1142" s="39"/>
      <c r="E1142" s="40"/>
      <c r="K1142" s="38"/>
      <c r="L1142" s="38"/>
      <c r="M1142" s="43"/>
      <c r="N1142" s="42"/>
      <c r="O1142" s="50"/>
      <c r="P1142" s="38"/>
      <c r="Q1142" s="41"/>
      <c r="R1142" s="43"/>
      <c r="S1142" s="43"/>
      <c r="T1142" s="41"/>
      <c r="U1142" s="41"/>
      <c r="V1142" s="41"/>
    </row>
    <row r="1143" spans="4:22" ht="15" customHeight="1">
      <c r="D1143" s="39"/>
      <c r="E1143" s="40"/>
      <c r="K1143" s="38"/>
      <c r="L1143" s="38"/>
      <c r="M1143" s="43"/>
      <c r="N1143" s="42"/>
      <c r="O1143" s="50"/>
      <c r="P1143" s="38"/>
      <c r="Q1143" s="41"/>
      <c r="R1143" s="43"/>
      <c r="S1143" s="43"/>
      <c r="T1143" s="41"/>
      <c r="U1143" s="41"/>
      <c r="V1143" s="41"/>
    </row>
    <row r="1144" spans="4:22" ht="15" customHeight="1">
      <c r="D1144" s="39"/>
      <c r="E1144" s="40"/>
      <c r="K1144" s="38"/>
      <c r="L1144" s="38"/>
      <c r="M1144" s="43"/>
      <c r="N1144" s="42"/>
      <c r="O1144" s="50"/>
      <c r="P1144" s="38"/>
      <c r="Q1144" s="41"/>
      <c r="R1144" s="43"/>
      <c r="S1144" s="43"/>
      <c r="T1144" s="41"/>
      <c r="U1144" s="41"/>
      <c r="V1144" s="41"/>
    </row>
    <row r="1145" spans="4:22" ht="15" customHeight="1">
      <c r="D1145" s="39"/>
      <c r="E1145" s="40"/>
      <c r="K1145" s="38"/>
      <c r="L1145" s="38"/>
      <c r="M1145" s="43"/>
      <c r="N1145" s="42"/>
      <c r="O1145" s="50"/>
      <c r="P1145" s="38"/>
      <c r="Q1145" s="41"/>
      <c r="R1145" s="43"/>
      <c r="S1145" s="43"/>
      <c r="T1145" s="41"/>
      <c r="U1145" s="41"/>
      <c r="V1145" s="41"/>
    </row>
    <row r="1146" spans="4:22" ht="15" customHeight="1">
      <c r="D1146" s="39"/>
      <c r="E1146" s="40"/>
      <c r="K1146" s="38"/>
      <c r="L1146" s="38"/>
      <c r="M1146" s="43"/>
      <c r="N1146" s="42"/>
      <c r="O1146" s="50"/>
      <c r="P1146" s="38"/>
      <c r="Q1146" s="41"/>
      <c r="R1146" s="43"/>
      <c r="S1146" s="43"/>
      <c r="T1146" s="41"/>
      <c r="U1146" s="41"/>
      <c r="V1146" s="41"/>
    </row>
    <row r="1147" spans="4:22" ht="15" customHeight="1">
      <c r="D1147" s="39"/>
      <c r="E1147" s="40"/>
      <c r="K1147" s="38"/>
      <c r="L1147" s="38"/>
      <c r="M1147" s="43"/>
      <c r="N1147" s="42"/>
      <c r="O1147" s="50"/>
      <c r="P1147" s="38"/>
      <c r="Q1147" s="41"/>
      <c r="R1147" s="43"/>
      <c r="S1147" s="43"/>
      <c r="T1147" s="41"/>
      <c r="U1147" s="41"/>
      <c r="V1147" s="41"/>
    </row>
    <row r="1148" spans="4:22" ht="15" customHeight="1">
      <c r="D1148" s="39"/>
      <c r="E1148" s="40"/>
      <c r="K1148" s="38"/>
      <c r="L1148" s="38"/>
      <c r="M1148" s="43"/>
      <c r="N1148" s="42"/>
      <c r="O1148" s="50"/>
      <c r="P1148" s="38"/>
      <c r="Q1148" s="41"/>
      <c r="R1148" s="43"/>
      <c r="S1148" s="43"/>
      <c r="T1148" s="41"/>
      <c r="U1148" s="41"/>
      <c r="V1148" s="41"/>
    </row>
    <row r="1149" spans="4:22" ht="15" customHeight="1">
      <c r="D1149" s="39"/>
      <c r="E1149" s="40"/>
      <c r="K1149" s="38"/>
      <c r="L1149" s="38"/>
      <c r="M1149" s="43"/>
      <c r="N1149" s="42"/>
      <c r="O1149" s="50"/>
      <c r="P1149" s="38"/>
      <c r="Q1149" s="41"/>
      <c r="R1149" s="43"/>
      <c r="S1149" s="43"/>
      <c r="T1149" s="41"/>
      <c r="U1149" s="41"/>
      <c r="V1149" s="41"/>
    </row>
    <row r="1150" spans="4:22" ht="15" customHeight="1">
      <c r="D1150" s="39"/>
      <c r="E1150" s="40"/>
      <c r="K1150" s="38"/>
      <c r="L1150" s="38"/>
      <c r="M1150" s="43"/>
      <c r="N1150" s="42"/>
      <c r="O1150" s="50"/>
      <c r="P1150" s="38"/>
      <c r="Q1150" s="41"/>
      <c r="R1150" s="43"/>
      <c r="S1150" s="43"/>
      <c r="T1150" s="41"/>
      <c r="U1150" s="41"/>
      <c r="V1150" s="41"/>
    </row>
    <row r="1151" spans="4:22" ht="15" customHeight="1">
      <c r="D1151" s="39"/>
      <c r="E1151" s="40"/>
      <c r="K1151" s="38"/>
      <c r="L1151" s="38"/>
      <c r="M1151" s="43"/>
      <c r="N1151" s="42"/>
      <c r="O1151" s="50"/>
      <c r="P1151" s="38"/>
      <c r="Q1151" s="41"/>
      <c r="R1151" s="43"/>
      <c r="S1151" s="43"/>
      <c r="T1151" s="41"/>
      <c r="U1151" s="41"/>
      <c r="V1151" s="41"/>
    </row>
    <row r="1152" spans="4:22" ht="15" customHeight="1">
      <c r="D1152" s="39"/>
      <c r="E1152" s="40"/>
      <c r="K1152" s="38"/>
      <c r="L1152" s="38"/>
      <c r="M1152" s="43"/>
      <c r="N1152" s="42"/>
      <c r="O1152" s="50"/>
      <c r="P1152" s="38"/>
      <c r="Q1152" s="41"/>
      <c r="R1152" s="43"/>
      <c r="S1152" s="43"/>
      <c r="T1152" s="41"/>
      <c r="U1152" s="41"/>
      <c r="V1152" s="41"/>
    </row>
    <row r="1153" spans="4:22" ht="15" customHeight="1">
      <c r="D1153" s="39"/>
      <c r="E1153" s="40"/>
      <c r="K1153" s="38"/>
      <c r="L1153" s="38"/>
      <c r="M1153" s="43"/>
      <c r="N1153" s="42"/>
      <c r="O1153" s="50"/>
      <c r="P1153" s="38"/>
      <c r="Q1153" s="41"/>
      <c r="R1153" s="43"/>
      <c r="S1153" s="43"/>
      <c r="T1153" s="41"/>
      <c r="U1153" s="41"/>
      <c r="V1153" s="41"/>
    </row>
    <row r="1154" spans="4:22" ht="15" customHeight="1">
      <c r="D1154" s="39"/>
      <c r="E1154" s="40"/>
      <c r="K1154" s="38"/>
      <c r="L1154" s="38"/>
      <c r="M1154" s="43"/>
      <c r="N1154" s="42"/>
      <c r="O1154" s="50"/>
      <c r="P1154" s="38"/>
      <c r="Q1154" s="41"/>
      <c r="R1154" s="43"/>
      <c r="S1154" s="43"/>
      <c r="T1154" s="41"/>
      <c r="U1154" s="41"/>
      <c r="V1154" s="41"/>
    </row>
    <row r="1155" spans="4:22" ht="15" customHeight="1">
      <c r="D1155" s="39"/>
      <c r="E1155" s="40"/>
      <c r="K1155" s="38"/>
      <c r="L1155" s="38"/>
      <c r="M1155" s="43"/>
      <c r="N1155" s="42"/>
      <c r="O1155" s="50"/>
      <c r="P1155" s="38"/>
      <c r="Q1155" s="41"/>
      <c r="R1155" s="43"/>
      <c r="S1155" s="43"/>
      <c r="T1155" s="41"/>
      <c r="U1155" s="41"/>
      <c r="V1155" s="41"/>
    </row>
    <row r="1156" spans="4:22" ht="15" customHeight="1">
      <c r="D1156" s="39"/>
      <c r="E1156" s="40"/>
      <c r="K1156" s="38"/>
      <c r="L1156" s="38"/>
      <c r="M1156" s="43"/>
      <c r="N1156" s="42"/>
      <c r="O1156" s="50"/>
      <c r="P1156" s="38"/>
      <c r="Q1156" s="41"/>
      <c r="R1156" s="43"/>
      <c r="S1156" s="43"/>
      <c r="T1156" s="41"/>
      <c r="U1156" s="41"/>
      <c r="V1156" s="41"/>
    </row>
    <row r="1157" spans="4:22" ht="15" customHeight="1">
      <c r="D1157" s="39"/>
      <c r="E1157" s="40"/>
      <c r="K1157" s="38"/>
      <c r="L1157" s="38"/>
      <c r="M1157" s="43"/>
      <c r="N1157" s="42"/>
      <c r="O1157" s="50"/>
      <c r="P1157" s="38"/>
      <c r="Q1157" s="41"/>
      <c r="R1157" s="43"/>
      <c r="S1157" s="43"/>
      <c r="T1157" s="41"/>
      <c r="U1157" s="41"/>
      <c r="V1157" s="41"/>
    </row>
    <row r="1158" spans="4:22" ht="15" customHeight="1">
      <c r="D1158" s="39"/>
      <c r="E1158" s="40"/>
      <c r="K1158" s="38"/>
      <c r="L1158" s="38"/>
      <c r="M1158" s="43"/>
      <c r="N1158" s="42"/>
      <c r="O1158" s="50"/>
      <c r="P1158" s="38"/>
      <c r="Q1158" s="41"/>
      <c r="R1158" s="43"/>
      <c r="S1158" s="43"/>
      <c r="T1158" s="41"/>
      <c r="U1158" s="41"/>
      <c r="V1158" s="41"/>
    </row>
    <row r="1159" spans="4:22" ht="15" customHeight="1">
      <c r="D1159" s="39"/>
      <c r="E1159" s="40"/>
      <c r="K1159" s="38"/>
      <c r="L1159" s="38"/>
      <c r="M1159" s="43"/>
      <c r="N1159" s="42"/>
      <c r="O1159" s="50"/>
      <c r="P1159" s="38"/>
      <c r="Q1159" s="41"/>
      <c r="R1159" s="43"/>
      <c r="S1159" s="43"/>
      <c r="T1159" s="41"/>
      <c r="U1159" s="41"/>
      <c r="V1159" s="41"/>
    </row>
    <row r="1160" spans="4:22" ht="15" customHeight="1">
      <c r="D1160" s="39"/>
      <c r="E1160" s="40"/>
      <c r="K1160" s="38"/>
      <c r="L1160" s="38"/>
      <c r="M1160" s="43"/>
      <c r="N1160" s="42"/>
      <c r="O1160" s="50"/>
      <c r="P1160" s="38"/>
      <c r="Q1160" s="41"/>
      <c r="R1160" s="43"/>
      <c r="S1160" s="43"/>
      <c r="T1160" s="41"/>
      <c r="U1160" s="41"/>
      <c r="V1160" s="41"/>
    </row>
    <row r="1161" spans="4:22" ht="15" customHeight="1">
      <c r="D1161" s="39"/>
      <c r="E1161" s="40"/>
      <c r="K1161" s="38"/>
      <c r="L1161" s="38"/>
      <c r="M1161" s="43"/>
      <c r="N1161" s="42"/>
      <c r="O1161" s="50"/>
      <c r="P1161" s="38"/>
      <c r="Q1161" s="41"/>
      <c r="R1161" s="43"/>
      <c r="S1161" s="43"/>
      <c r="T1161" s="41"/>
      <c r="U1161" s="41"/>
      <c r="V1161" s="41"/>
    </row>
    <row r="1162" spans="4:22" ht="15" customHeight="1">
      <c r="D1162" s="39"/>
      <c r="E1162" s="40"/>
      <c r="K1162" s="38"/>
      <c r="L1162" s="38"/>
      <c r="M1162" s="43"/>
      <c r="N1162" s="42"/>
      <c r="O1162" s="50"/>
      <c r="P1162" s="38"/>
      <c r="Q1162" s="41"/>
      <c r="R1162" s="43"/>
      <c r="S1162" s="43"/>
      <c r="T1162" s="41"/>
      <c r="U1162" s="41"/>
      <c r="V1162" s="41"/>
    </row>
    <row r="1163" spans="4:22" ht="15" customHeight="1">
      <c r="D1163" s="39"/>
      <c r="E1163" s="40"/>
      <c r="K1163" s="38"/>
      <c r="L1163" s="38"/>
      <c r="M1163" s="43"/>
      <c r="N1163" s="42"/>
      <c r="O1163" s="50"/>
      <c r="P1163" s="38"/>
      <c r="Q1163" s="41"/>
      <c r="R1163" s="43"/>
      <c r="S1163" s="43"/>
      <c r="T1163" s="41"/>
      <c r="U1163" s="41"/>
      <c r="V1163" s="41"/>
    </row>
    <row r="1164" spans="4:22" ht="15" customHeight="1">
      <c r="D1164" s="39"/>
      <c r="E1164" s="40"/>
      <c r="K1164" s="38"/>
      <c r="L1164" s="38"/>
      <c r="M1164" s="43"/>
      <c r="N1164" s="42"/>
      <c r="O1164" s="50"/>
      <c r="P1164" s="38"/>
      <c r="Q1164" s="41"/>
      <c r="R1164" s="43"/>
      <c r="S1164" s="43"/>
      <c r="T1164" s="41"/>
      <c r="U1164" s="41"/>
      <c r="V1164" s="41"/>
    </row>
    <row r="1165" spans="4:22" ht="15" customHeight="1">
      <c r="D1165" s="39"/>
      <c r="E1165" s="40"/>
      <c r="K1165" s="38"/>
      <c r="L1165" s="38"/>
      <c r="M1165" s="43"/>
      <c r="N1165" s="42"/>
      <c r="O1165" s="50"/>
      <c r="P1165" s="38"/>
      <c r="Q1165" s="41"/>
      <c r="R1165" s="43"/>
      <c r="S1165" s="43"/>
      <c r="T1165" s="41"/>
      <c r="U1165" s="41"/>
      <c r="V1165" s="41"/>
    </row>
    <row r="1166" spans="4:22" ht="15" customHeight="1">
      <c r="D1166" s="39"/>
      <c r="E1166" s="40"/>
      <c r="K1166" s="38"/>
      <c r="L1166" s="38"/>
      <c r="M1166" s="43"/>
      <c r="N1166" s="42"/>
      <c r="O1166" s="50"/>
      <c r="P1166" s="38"/>
      <c r="Q1166" s="41"/>
      <c r="R1166" s="43"/>
      <c r="S1166" s="43"/>
      <c r="T1166" s="41"/>
      <c r="U1166" s="41"/>
      <c r="V1166" s="41"/>
    </row>
    <row r="1167" spans="4:22" ht="15" customHeight="1">
      <c r="D1167" s="39"/>
      <c r="E1167" s="40"/>
      <c r="K1167" s="38"/>
      <c r="L1167" s="38"/>
      <c r="M1167" s="43"/>
      <c r="N1167" s="42"/>
      <c r="O1167" s="50"/>
      <c r="P1167" s="38"/>
      <c r="Q1167" s="41"/>
      <c r="R1167" s="43"/>
      <c r="S1167" s="43"/>
      <c r="T1167" s="41"/>
      <c r="U1167" s="41"/>
      <c r="V1167" s="41"/>
    </row>
    <row r="1168" spans="4:22" ht="15" customHeight="1">
      <c r="D1168" s="39"/>
      <c r="E1168" s="40"/>
      <c r="K1168" s="38"/>
      <c r="L1168" s="38"/>
      <c r="M1168" s="43"/>
      <c r="N1168" s="42"/>
      <c r="O1168" s="50"/>
      <c r="P1168" s="38"/>
      <c r="Q1168" s="41"/>
      <c r="R1168" s="43"/>
      <c r="S1168" s="43"/>
      <c r="T1168" s="41"/>
      <c r="U1168" s="41"/>
      <c r="V1168" s="41"/>
    </row>
    <row r="1169" spans="4:22" ht="15" customHeight="1">
      <c r="D1169" s="39"/>
      <c r="E1169" s="40"/>
      <c r="K1169" s="38"/>
      <c r="L1169" s="38"/>
      <c r="M1169" s="43"/>
      <c r="N1169" s="42"/>
      <c r="O1169" s="50"/>
      <c r="P1169" s="38"/>
      <c r="Q1169" s="41"/>
      <c r="R1169" s="43"/>
      <c r="S1169" s="43"/>
      <c r="T1169" s="41"/>
      <c r="U1169" s="41"/>
      <c r="V1169" s="41"/>
    </row>
    <row r="1170" spans="4:22" ht="15" customHeight="1">
      <c r="D1170" s="39"/>
      <c r="E1170" s="40"/>
      <c r="K1170" s="38"/>
      <c r="L1170" s="38"/>
      <c r="M1170" s="43"/>
      <c r="N1170" s="42"/>
      <c r="O1170" s="50"/>
      <c r="P1170" s="38"/>
      <c r="Q1170" s="41"/>
      <c r="R1170" s="43"/>
      <c r="S1170" s="43"/>
      <c r="T1170" s="41"/>
      <c r="U1170" s="41"/>
      <c r="V1170" s="41"/>
    </row>
    <row r="1171" spans="4:22" ht="15" customHeight="1">
      <c r="D1171" s="39"/>
      <c r="E1171" s="40"/>
      <c r="K1171" s="38"/>
      <c r="L1171" s="38"/>
      <c r="M1171" s="43"/>
      <c r="N1171" s="42"/>
      <c r="O1171" s="50"/>
      <c r="P1171" s="38"/>
      <c r="Q1171" s="41"/>
      <c r="R1171" s="43"/>
      <c r="S1171" s="43"/>
      <c r="T1171" s="41"/>
      <c r="U1171" s="41"/>
      <c r="V1171" s="41"/>
    </row>
    <row r="1172" spans="4:22" ht="15" customHeight="1">
      <c r="D1172" s="39"/>
      <c r="E1172" s="40"/>
      <c r="K1172" s="38"/>
      <c r="L1172" s="38"/>
      <c r="M1172" s="43"/>
      <c r="N1172" s="42"/>
      <c r="O1172" s="50"/>
      <c r="P1172" s="38"/>
      <c r="Q1172" s="41"/>
      <c r="R1172" s="43"/>
      <c r="S1172" s="43"/>
      <c r="T1172" s="41"/>
      <c r="U1172" s="41"/>
      <c r="V1172" s="41"/>
    </row>
    <row r="1173" spans="4:22" ht="15" customHeight="1">
      <c r="D1173" s="39"/>
      <c r="E1173" s="40"/>
      <c r="K1173" s="38"/>
      <c r="L1173" s="38"/>
      <c r="M1173" s="43"/>
      <c r="N1173" s="42"/>
      <c r="O1173" s="50"/>
      <c r="P1173" s="38"/>
      <c r="Q1173" s="41"/>
      <c r="R1173" s="43"/>
      <c r="S1173" s="43"/>
      <c r="T1173" s="41"/>
      <c r="U1173" s="41"/>
      <c r="V1173" s="41"/>
    </row>
    <row r="1174" spans="4:22" ht="15" customHeight="1">
      <c r="D1174" s="39"/>
      <c r="E1174" s="40"/>
      <c r="K1174" s="38"/>
      <c r="L1174" s="38"/>
      <c r="M1174" s="43"/>
      <c r="N1174" s="42"/>
      <c r="O1174" s="50"/>
      <c r="P1174" s="38"/>
      <c r="Q1174" s="41"/>
      <c r="R1174" s="43"/>
      <c r="S1174" s="43"/>
      <c r="T1174" s="41"/>
      <c r="U1174" s="41"/>
      <c r="V1174" s="41"/>
    </row>
    <row r="1175" spans="4:22" ht="15" customHeight="1">
      <c r="D1175" s="39"/>
      <c r="E1175" s="40"/>
      <c r="K1175" s="38"/>
      <c r="L1175" s="38"/>
      <c r="M1175" s="43"/>
      <c r="N1175" s="42"/>
      <c r="O1175" s="50"/>
      <c r="P1175" s="38"/>
      <c r="Q1175" s="41"/>
      <c r="R1175" s="43"/>
      <c r="S1175" s="43"/>
      <c r="T1175" s="41"/>
      <c r="U1175" s="41"/>
      <c r="V1175" s="41"/>
    </row>
    <row r="1176" spans="4:22" ht="15" customHeight="1">
      <c r="D1176" s="39"/>
      <c r="E1176" s="40"/>
      <c r="K1176" s="38"/>
      <c r="L1176" s="38"/>
      <c r="M1176" s="43"/>
      <c r="N1176" s="42"/>
      <c r="O1176" s="50"/>
      <c r="P1176" s="38"/>
      <c r="Q1176" s="41"/>
      <c r="R1176" s="43"/>
      <c r="S1176" s="43"/>
      <c r="T1176" s="41"/>
      <c r="U1176" s="41"/>
      <c r="V1176" s="41"/>
    </row>
    <row r="1177" spans="4:22" ht="15" customHeight="1">
      <c r="D1177" s="39"/>
      <c r="E1177" s="40"/>
      <c r="K1177" s="38"/>
      <c r="L1177" s="38"/>
      <c r="M1177" s="43"/>
      <c r="N1177" s="42"/>
      <c r="O1177" s="50"/>
      <c r="P1177" s="38"/>
      <c r="Q1177" s="41"/>
      <c r="R1177" s="43"/>
      <c r="S1177" s="43"/>
      <c r="T1177" s="41"/>
      <c r="U1177" s="41"/>
      <c r="V1177" s="41"/>
    </row>
    <row r="1178" spans="4:22" ht="15" customHeight="1">
      <c r="D1178" s="39"/>
      <c r="E1178" s="40"/>
      <c r="K1178" s="38"/>
      <c r="L1178" s="38"/>
      <c r="M1178" s="43"/>
      <c r="N1178" s="42"/>
      <c r="O1178" s="50"/>
      <c r="P1178" s="38"/>
      <c r="Q1178" s="41"/>
      <c r="R1178" s="43"/>
      <c r="S1178" s="43"/>
      <c r="T1178" s="41"/>
      <c r="U1178" s="41"/>
      <c r="V1178" s="41"/>
    </row>
    <row r="1179" spans="4:22" ht="15" customHeight="1">
      <c r="D1179" s="39"/>
      <c r="E1179" s="40"/>
      <c r="K1179" s="38"/>
      <c r="L1179" s="38"/>
      <c r="M1179" s="43"/>
      <c r="N1179" s="42"/>
      <c r="O1179" s="50"/>
      <c r="P1179" s="38"/>
      <c r="Q1179" s="41"/>
      <c r="R1179" s="43"/>
      <c r="S1179" s="43"/>
      <c r="T1179" s="41"/>
      <c r="U1179" s="41"/>
      <c r="V1179" s="41"/>
    </row>
    <row r="1180" spans="4:22" ht="15" customHeight="1">
      <c r="D1180" s="39"/>
      <c r="E1180" s="40"/>
      <c r="K1180" s="38"/>
      <c r="L1180" s="38"/>
      <c r="M1180" s="43"/>
      <c r="N1180" s="42"/>
      <c r="O1180" s="50"/>
      <c r="P1180" s="38"/>
      <c r="Q1180" s="41"/>
      <c r="R1180" s="43"/>
      <c r="S1180" s="43"/>
      <c r="T1180" s="41"/>
      <c r="U1180" s="41"/>
      <c r="V1180" s="41"/>
    </row>
    <row r="1181" spans="4:22" ht="15" customHeight="1">
      <c r="D1181" s="39"/>
      <c r="E1181" s="40"/>
      <c r="K1181" s="38"/>
      <c r="L1181" s="38"/>
      <c r="M1181" s="43"/>
      <c r="N1181" s="42"/>
      <c r="O1181" s="50"/>
      <c r="P1181" s="38"/>
      <c r="Q1181" s="41"/>
      <c r="R1181" s="43"/>
      <c r="S1181" s="43"/>
      <c r="T1181" s="41"/>
      <c r="U1181" s="41"/>
      <c r="V1181" s="41"/>
    </row>
    <row r="1182" spans="4:22" ht="15" customHeight="1">
      <c r="D1182" s="39"/>
      <c r="E1182" s="40"/>
      <c r="K1182" s="38"/>
      <c r="L1182" s="38"/>
      <c r="M1182" s="43"/>
      <c r="N1182" s="42"/>
      <c r="O1182" s="50"/>
      <c r="P1182" s="38"/>
      <c r="Q1182" s="41"/>
      <c r="R1182" s="43"/>
      <c r="S1182" s="43"/>
      <c r="T1182" s="41"/>
      <c r="U1182" s="41"/>
      <c r="V1182" s="41"/>
    </row>
    <row r="1183" spans="4:22" ht="15" customHeight="1">
      <c r="D1183" s="39"/>
      <c r="E1183" s="40"/>
      <c r="K1183" s="38"/>
      <c r="L1183" s="38"/>
      <c r="M1183" s="43"/>
      <c r="N1183" s="42"/>
      <c r="O1183" s="50"/>
      <c r="P1183" s="38"/>
      <c r="Q1183" s="41"/>
      <c r="R1183" s="43"/>
      <c r="S1183" s="43"/>
      <c r="T1183" s="41"/>
      <c r="U1183" s="41"/>
      <c r="V1183" s="41"/>
    </row>
    <row r="1184" spans="4:22" ht="15" customHeight="1">
      <c r="D1184" s="39"/>
      <c r="E1184" s="40"/>
      <c r="K1184" s="38"/>
      <c r="L1184" s="38"/>
      <c r="M1184" s="43"/>
      <c r="N1184" s="42"/>
      <c r="O1184" s="50"/>
      <c r="P1184" s="38"/>
      <c r="Q1184" s="41"/>
      <c r="R1184" s="43"/>
      <c r="S1184" s="43"/>
      <c r="T1184" s="41"/>
      <c r="U1184" s="41"/>
      <c r="V1184" s="41"/>
    </row>
    <row r="1185" spans="4:22" ht="15" customHeight="1">
      <c r="D1185" s="39"/>
      <c r="E1185" s="40"/>
      <c r="K1185" s="38"/>
      <c r="L1185" s="38"/>
      <c r="M1185" s="43"/>
      <c r="N1185" s="42"/>
      <c r="O1185" s="50"/>
      <c r="P1185" s="38"/>
      <c r="Q1185" s="41"/>
      <c r="R1185" s="43"/>
      <c r="S1185" s="43"/>
      <c r="T1185" s="41"/>
      <c r="U1185" s="41"/>
      <c r="V1185" s="41"/>
    </row>
    <row r="1186" spans="4:22" ht="15" customHeight="1">
      <c r="D1186" s="39"/>
      <c r="E1186" s="40"/>
      <c r="K1186" s="38"/>
      <c r="L1186" s="38"/>
      <c r="M1186" s="43"/>
      <c r="N1186" s="42"/>
      <c r="O1186" s="50"/>
      <c r="P1186" s="38"/>
      <c r="Q1186" s="41"/>
      <c r="R1186" s="43"/>
      <c r="S1186" s="43"/>
      <c r="T1186" s="41"/>
      <c r="U1186" s="41"/>
      <c r="V1186" s="41"/>
    </row>
    <row r="1187" spans="4:22" ht="15" customHeight="1">
      <c r="D1187" s="39"/>
      <c r="E1187" s="40"/>
      <c r="K1187" s="38"/>
      <c r="L1187" s="38"/>
      <c r="M1187" s="43"/>
      <c r="N1187" s="42"/>
      <c r="O1187" s="50"/>
      <c r="P1187" s="38"/>
      <c r="Q1187" s="41"/>
      <c r="R1187" s="43"/>
      <c r="S1187" s="43"/>
      <c r="T1187" s="41"/>
      <c r="U1187" s="41"/>
      <c r="V1187" s="41"/>
    </row>
    <row r="1188" spans="4:22" ht="15" customHeight="1">
      <c r="D1188" s="39"/>
      <c r="E1188" s="40"/>
      <c r="K1188" s="38"/>
      <c r="L1188" s="38"/>
      <c r="M1188" s="43"/>
      <c r="N1188" s="42"/>
      <c r="O1188" s="50"/>
      <c r="P1188" s="38"/>
      <c r="Q1188" s="41"/>
      <c r="R1188" s="43"/>
      <c r="S1188" s="43"/>
      <c r="T1188" s="41"/>
      <c r="U1188" s="41"/>
      <c r="V1188" s="41"/>
    </row>
    <row r="1189" spans="4:22" ht="15" customHeight="1">
      <c r="D1189" s="39"/>
      <c r="E1189" s="40"/>
      <c r="K1189" s="38"/>
      <c r="L1189" s="38"/>
      <c r="M1189" s="43"/>
      <c r="N1189" s="42"/>
      <c r="O1189" s="50"/>
      <c r="P1189" s="38"/>
      <c r="Q1189" s="41"/>
      <c r="R1189" s="43"/>
      <c r="S1189" s="43"/>
      <c r="T1189" s="41"/>
      <c r="U1189" s="41"/>
      <c r="V1189" s="41"/>
    </row>
    <row r="1190" spans="4:22" ht="15" customHeight="1">
      <c r="D1190" s="39"/>
      <c r="E1190" s="40"/>
      <c r="K1190" s="38"/>
      <c r="L1190" s="38"/>
      <c r="M1190" s="43"/>
      <c r="N1190" s="42"/>
      <c r="O1190" s="50"/>
      <c r="P1190" s="38"/>
      <c r="Q1190" s="41"/>
      <c r="R1190" s="43"/>
      <c r="S1190" s="43"/>
      <c r="T1190" s="41"/>
      <c r="U1190" s="41"/>
      <c r="V1190" s="41"/>
    </row>
    <row r="1191" spans="4:22" ht="15" customHeight="1">
      <c r="D1191" s="39"/>
      <c r="E1191" s="40"/>
      <c r="K1191" s="38"/>
      <c r="L1191" s="38"/>
      <c r="M1191" s="43"/>
      <c r="N1191" s="42"/>
      <c r="O1191" s="50"/>
      <c r="P1191" s="38"/>
      <c r="Q1191" s="41"/>
      <c r="R1191" s="43"/>
      <c r="S1191" s="43"/>
      <c r="T1191" s="41"/>
      <c r="U1191" s="41"/>
      <c r="V1191" s="41"/>
    </row>
    <row r="1192" spans="4:22" ht="15" customHeight="1">
      <c r="D1192" s="39"/>
      <c r="E1192" s="40"/>
      <c r="K1192" s="38"/>
      <c r="L1192" s="38"/>
      <c r="M1192" s="43"/>
      <c r="N1192" s="42"/>
      <c r="O1192" s="50"/>
      <c r="P1192" s="38"/>
      <c r="Q1192" s="41"/>
      <c r="R1192" s="43"/>
      <c r="S1192" s="43"/>
      <c r="T1192" s="41"/>
      <c r="U1192" s="41"/>
      <c r="V1192" s="41"/>
    </row>
    <row r="1193" spans="4:22" ht="15" customHeight="1">
      <c r="D1193" s="39"/>
      <c r="E1193" s="40"/>
      <c r="K1193" s="38"/>
      <c r="L1193" s="38"/>
      <c r="M1193" s="43"/>
      <c r="N1193" s="42"/>
      <c r="O1193" s="50"/>
      <c r="P1193" s="38"/>
      <c r="Q1193" s="41"/>
      <c r="R1193" s="43"/>
      <c r="S1193" s="43"/>
      <c r="T1193" s="41"/>
      <c r="U1193" s="41"/>
      <c r="V1193" s="41"/>
    </row>
    <row r="1194" spans="4:22" ht="15" customHeight="1">
      <c r="D1194" s="39"/>
      <c r="E1194" s="40"/>
      <c r="K1194" s="38"/>
      <c r="L1194" s="38"/>
      <c r="M1194" s="43"/>
      <c r="N1194" s="42"/>
      <c r="O1194" s="50"/>
      <c r="P1194" s="38"/>
      <c r="Q1194" s="41"/>
      <c r="R1194" s="43"/>
      <c r="S1194" s="43"/>
      <c r="T1194" s="41"/>
      <c r="U1194" s="41"/>
      <c r="V1194" s="41"/>
    </row>
    <row r="1195" spans="4:22" ht="15" customHeight="1">
      <c r="D1195" s="39"/>
      <c r="E1195" s="40"/>
      <c r="K1195" s="38"/>
      <c r="L1195" s="38"/>
      <c r="M1195" s="43"/>
      <c r="N1195" s="42"/>
      <c r="O1195" s="50"/>
      <c r="P1195" s="38"/>
      <c r="Q1195" s="41"/>
      <c r="R1195" s="43"/>
      <c r="S1195" s="43"/>
      <c r="T1195" s="41"/>
      <c r="U1195" s="41"/>
      <c r="V1195" s="41"/>
    </row>
    <row r="1196" spans="4:22" ht="15" customHeight="1">
      <c r="D1196" s="39"/>
      <c r="E1196" s="40"/>
      <c r="K1196" s="38"/>
      <c r="L1196" s="38"/>
      <c r="M1196" s="43"/>
      <c r="N1196" s="42"/>
      <c r="O1196" s="50"/>
      <c r="P1196" s="38"/>
      <c r="Q1196" s="41"/>
      <c r="R1196" s="43"/>
      <c r="S1196" s="43"/>
      <c r="T1196" s="41"/>
      <c r="U1196" s="41"/>
      <c r="V1196" s="41"/>
    </row>
    <row r="1197" spans="4:22" ht="15" customHeight="1">
      <c r="D1197" s="39"/>
      <c r="E1197" s="40"/>
      <c r="K1197" s="38"/>
      <c r="L1197" s="38"/>
      <c r="M1197" s="43"/>
      <c r="N1197" s="42"/>
      <c r="O1197" s="50"/>
      <c r="P1197" s="38"/>
      <c r="Q1197" s="41"/>
      <c r="R1197" s="43"/>
      <c r="S1197" s="43"/>
      <c r="T1197" s="41"/>
      <c r="U1197" s="41"/>
      <c r="V1197" s="41"/>
    </row>
    <row r="1198" spans="4:22" ht="15" customHeight="1">
      <c r="D1198" s="39"/>
      <c r="E1198" s="40"/>
      <c r="K1198" s="38"/>
      <c r="L1198" s="38"/>
      <c r="M1198" s="43"/>
      <c r="N1198" s="42"/>
      <c r="O1198" s="50"/>
      <c r="P1198" s="38"/>
      <c r="Q1198" s="41"/>
      <c r="R1198" s="43"/>
      <c r="S1198" s="43"/>
      <c r="T1198" s="41"/>
      <c r="U1198" s="41"/>
      <c r="V1198" s="41"/>
    </row>
    <row r="1199" spans="4:22" ht="15" customHeight="1">
      <c r="D1199" s="39"/>
      <c r="E1199" s="40"/>
      <c r="K1199" s="38"/>
      <c r="L1199" s="38"/>
      <c r="M1199" s="43"/>
      <c r="N1199" s="42"/>
      <c r="O1199" s="50"/>
      <c r="P1199" s="38"/>
      <c r="Q1199" s="41"/>
      <c r="R1199" s="43"/>
      <c r="S1199" s="43"/>
      <c r="T1199" s="41"/>
      <c r="U1199" s="41"/>
      <c r="V1199" s="41"/>
    </row>
    <row r="1200" spans="4:22" ht="15" customHeight="1">
      <c r="D1200" s="39"/>
      <c r="E1200" s="40"/>
      <c r="K1200" s="38"/>
      <c r="L1200" s="38"/>
      <c r="M1200" s="43"/>
      <c r="N1200" s="42"/>
      <c r="O1200" s="50"/>
      <c r="P1200" s="38"/>
      <c r="Q1200" s="41"/>
      <c r="R1200" s="43"/>
      <c r="S1200" s="43"/>
      <c r="T1200" s="41"/>
      <c r="U1200" s="41"/>
      <c r="V1200" s="41"/>
    </row>
    <row r="1201" spans="4:22" ht="15" customHeight="1">
      <c r="D1201" s="39"/>
      <c r="E1201" s="40"/>
      <c r="K1201" s="38"/>
      <c r="L1201" s="38"/>
      <c r="M1201" s="43"/>
      <c r="N1201" s="42"/>
      <c r="O1201" s="50"/>
      <c r="P1201" s="38"/>
      <c r="Q1201" s="41"/>
      <c r="R1201" s="43"/>
      <c r="S1201" s="43"/>
      <c r="T1201" s="41"/>
      <c r="U1201" s="41"/>
      <c r="V1201" s="41"/>
    </row>
    <row r="1202" spans="4:22" ht="15" customHeight="1">
      <c r="D1202" s="39"/>
      <c r="E1202" s="40"/>
      <c r="K1202" s="38"/>
      <c r="L1202" s="38"/>
      <c r="M1202" s="43"/>
      <c r="N1202" s="42"/>
      <c r="O1202" s="50"/>
      <c r="P1202" s="38"/>
      <c r="Q1202" s="41"/>
      <c r="R1202" s="43"/>
      <c r="S1202" s="43"/>
      <c r="T1202" s="41"/>
      <c r="U1202" s="41"/>
      <c r="V1202" s="41"/>
    </row>
    <row r="1203" spans="4:22" ht="15" customHeight="1">
      <c r="D1203" s="39"/>
      <c r="E1203" s="40"/>
      <c r="K1203" s="38"/>
      <c r="L1203" s="38"/>
      <c r="M1203" s="43"/>
      <c r="N1203" s="42"/>
      <c r="O1203" s="50"/>
      <c r="P1203" s="38"/>
      <c r="Q1203" s="41"/>
      <c r="R1203" s="43"/>
      <c r="S1203" s="43"/>
      <c r="T1203" s="41"/>
      <c r="U1203" s="41"/>
      <c r="V1203" s="41"/>
    </row>
    <row r="1204" spans="4:22" ht="15" customHeight="1">
      <c r="D1204" s="39"/>
      <c r="E1204" s="40"/>
      <c r="K1204" s="38"/>
      <c r="L1204" s="38"/>
      <c r="M1204" s="43"/>
      <c r="N1204" s="42"/>
      <c r="O1204" s="50"/>
      <c r="P1204" s="38"/>
      <c r="Q1204" s="41"/>
      <c r="R1204" s="43"/>
      <c r="S1204" s="43"/>
      <c r="T1204" s="41"/>
      <c r="U1204" s="41"/>
      <c r="V1204" s="41"/>
    </row>
    <row r="1205" spans="4:22" ht="15" customHeight="1">
      <c r="D1205" s="39"/>
      <c r="E1205" s="40"/>
      <c r="K1205" s="38"/>
      <c r="L1205" s="38"/>
      <c r="M1205" s="43"/>
      <c r="N1205" s="42"/>
      <c r="O1205" s="50"/>
      <c r="P1205" s="38"/>
      <c r="Q1205" s="41"/>
      <c r="R1205" s="43"/>
      <c r="S1205" s="43"/>
      <c r="T1205" s="41"/>
      <c r="U1205" s="41"/>
      <c r="V1205" s="41"/>
    </row>
    <row r="1206" spans="4:22" ht="15" customHeight="1">
      <c r="D1206" s="39"/>
      <c r="E1206" s="40"/>
      <c r="K1206" s="38"/>
      <c r="L1206" s="38"/>
      <c r="M1206" s="43"/>
      <c r="N1206" s="42"/>
      <c r="O1206" s="50"/>
      <c r="P1206" s="38"/>
      <c r="Q1206" s="41"/>
      <c r="R1206" s="43"/>
      <c r="S1206" s="43"/>
      <c r="T1206" s="41"/>
      <c r="U1206" s="41"/>
      <c r="V1206" s="41"/>
    </row>
    <row r="1207" spans="4:22" ht="15" customHeight="1">
      <c r="D1207" s="39"/>
      <c r="E1207" s="40"/>
      <c r="K1207" s="38"/>
      <c r="L1207" s="38"/>
      <c r="M1207" s="43"/>
      <c r="N1207" s="42"/>
      <c r="O1207" s="50"/>
      <c r="P1207" s="38"/>
      <c r="Q1207" s="41"/>
      <c r="R1207" s="43"/>
      <c r="S1207" s="43"/>
      <c r="T1207" s="41"/>
      <c r="U1207" s="41"/>
      <c r="V1207" s="41"/>
    </row>
    <row r="1208" spans="4:22" ht="15" customHeight="1">
      <c r="D1208" s="39"/>
      <c r="E1208" s="40"/>
      <c r="K1208" s="38"/>
      <c r="L1208" s="38"/>
      <c r="M1208" s="43"/>
      <c r="N1208" s="42"/>
      <c r="O1208" s="50"/>
      <c r="P1208" s="38"/>
      <c r="Q1208" s="41"/>
      <c r="R1208" s="43"/>
      <c r="S1208" s="43"/>
      <c r="T1208" s="41"/>
      <c r="U1208" s="41"/>
      <c r="V1208" s="41"/>
    </row>
    <row r="1209" spans="4:22" ht="15" customHeight="1">
      <c r="D1209" s="39"/>
      <c r="E1209" s="40"/>
      <c r="K1209" s="38"/>
      <c r="L1209" s="38"/>
      <c r="M1209" s="43"/>
      <c r="N1209" s="42"/>
      <c r="O1209" s="50"/>
      <c r="P1209" s="38"/>
      <c r="Q1209" s="41"/>
      <c r="R1209" s="43"/>
      <c r="S1209" s="43"/>
      <c r="T1209" s="41"/>
      <c r="U1209" s="41"/>
      <c r="V1209" s="41"/>
    </row>
    <row r="1210" spans="4:22" ht="15" customHeight="1">
      <c r="D1210" s="39"/>
      <c r="E1210" s="40"/>
      <c r="K1210" s="38"/>
      <c r="L1210" s="38"/>
      <c r="M1210" s="43"/>
      <c r="N1210" s="42"/>
      <c r="O1210" s="50"/>
      <c r="P1210" s="38"/>
      <c r="Q1210" s="41"/>
      <c r="R1210" s="43"/>
      <c r="S1210" s="43"/>
      <c r="T1210" s="41"/>
      <c r="U1210" s="41"/>
      <c r="V1210" s="41"/>
    </row>
    <row r="1211" spans="4:22" ht="15" customHeight="1">
      <c r="D1211" s="39"/>
      <c r="E1211" s="40"/>
      <c r="K1211" s="38"/>
      <c r="L1211" s="38"/>
      <c r="M1211" s="43"/>
      <c r="N1211" s="42"/>
      <c r="O1211" s="50"/>
      <c r="P1211" s="38"/>
      <c r="Q1211" s="41"/>
      <c r="R1211" s="43"/>
      <c r="S1211" s="43"/>
      <c r="T1211" s="41"/>
      <c r="U1211" s="41"/>
      <c r="V1211" s="41"/>
    </row>
    <row r="1212" spans="4:22" ht="15" customHeight="1">
      <c r="D1212" s="39"/>
      <c r="E1212" s="40"/>
      <c r="K1212" s="38"/>
      <c r="L1212" s="38"/>
      <c r="M1212" s="43"/>
      <c r="N1212" s="42"/>
      <c r="O1212" s="50"/>
      <c r="P1212" s="38"/>
      <c r="Q1212" s="41"/>
      <c r="R1212" s="43"/>
      <c r="S1212" s="43"/>
      <c r="T1212" s="41"/>
      <c r="U1212" s="41"/>
      <c r="V1212" s="41"/>
    </row>
    <row r="1213" spans="4:22" ht="15" customHeight="1">
      <c r="D1213" s="39"/>
      <c r="E1213" s="40"/>
      <c r="K1213" s="38"/>
      <c r="L1213" s="38"/>
      <c r="M1213" s="43"/>
      <c r="N1213" s="42"/>
      <c r="O1213" s="50"/>
      <c r="P1213" s="38"/>
      <c r="Q1213" s="41"/>
      <c r="R1213" s="43"/>
      <c r="S1213" s="43"/>
      <c r="T1213" s="41"/>
      <c r="U1213" s="41"/>
      <c r="V1213" s="41"/>
    </row>
    <row r="1214" spans="4:22" ht="15" customHeight="1">
      <c r="D1214" s="39"/>
      <c r="E1214" s="40"/>
      <c r="K1214" s="38"/>
      <c r="L1214" s="38"/>
      <c r="M1214" s="43"/>
      <c r="N1214" s="42"/>
      <c r="O1214" s="50"/>
      <c r="P1214" s="38"/>
      <c r="Q1214" s="41"/>
      <c r="R1214" s="43"/>
      <c r="S1214" s="43"/>
      <c r="T1214" s="41"/>
      <c r="U1214" s="41"/>
      <c r="V1214" s="41"/>
    </row>
    <row r="1215" spans="4:22" ht="15" customHeight="1">
      <c r="D1215" s="39"/>
      <c r="E1215" s="40"/>
      <c r="K1215" s="38"/>
      <c r="L1215" s="38"/>
      <c r="M1215" s="43"/>
      <c r="N1215" s="42"/>
      <c r="O1215" s="50"/>
      <c r="P1215" s="38"/>
      <c r="Q1215" s="41"/>
      <c r="R1215" s="43"/>
      <c r="S1215" s="43"/>
      <c r="T1215" s="41"/>
      <c r="U1215" s="41"/>
      <c r="V1215" s="41"/>
    </row>
    <row r="1216" spans="4:22" ht="15" customHeight="1">
      <c r="D1216" s="39"/>
      <c r="E1216" s="40"/>
      <c r="K1216" s="38"/>
      <c r="L1216" s="38"/>
      <c r="M1216" s="43"/>
      <c r="N1216" s="42"/>
      <c r="O1216" s="50"/>
      <c r="P1216" s="38"/>
      <c r="Q1216" s="41"/>
      <c r="R1216" s="43"/>
      <c r="S1216" s="43"/>
      <c r="T1216" s="41"/>
      <c r="U1216" s="41"/>
      <c r="V1216" s="41"/>
    </row>
    <row r="1217" spans="4:22" ht="15" customHeight="1">
      <c r="D1217" s="39"/>
      <c r="E1217" s="40"/>
      <c r="K1217" s="38"/>
      <c r="L1217" s="38"/>
      <c r="M1217" s="43"/>
      <c r="N1217" s="42"/>
      <c r="O1217" s="50"/>
      <c r="P1217" s="38"/>
      <c r="Q1217" s="41"/>
      <c r="R1217" s="43"/>
      <c r="S1217" s="43"/>
      <c r="T1217" s="41"/>
      <c r="U1217" s="41"/>
      <c r="V1217" s="41"/>
    </row>
    <row r="1218" spans="4:22" ht="15" customHeight="1">
      <c r="D1218" s="39"/>
      <c r="E1218" s="40"/>
      <c r="K1218" s="38"/>
      <c r="L1218" s="38"/>
      <c r="M1218" s="43"/>
      <c r="N1218" s="42"/>
      <c r="O1218" s="50"/>
      <c r="P1218" s="38"/>
      <c r="Q1218" s="41"/>
      <c r="R1218" s="43"/>
      <c r="S1218" s="43"/>
      <c r="T1218" s="41"/>
      <c r="U1218" s="41"/>
      <c r="V1218" s="41"/>
    </row>
    <row r="1219" spans="4:22" ht="15" customHeight="1">
      <c r="D1219" s="39"/>
      <c r="E1219" s="40"/>
      <c r="K1219" s="38"/>
      <c r="L1219" s="38"/>
      <c r="M1219" s="43"/>
      <c r="N1219" s="42"/>
      <c r="O1219" s="50"/>
      <c r="P1219" s="38"/>
      <c r="Q1219" s="41"/>
      <c r="R1219" s="43"/>
      <c r="S1219" s="43"/>
      <c r="T1219" s="41"/>
      <c r="U1219" s="41"/>
      <c r="V1219" s="41"/>
    </row>
    <row r="1220" spans="4:22" ht="15" customHeight="1">
      <c r="D1220" s="39"/>
      <c r="E1220" s="40"/>
      <c r="F1220" s="53"/>
      <c r="K1220" s="56"/>
      <c r="L1220" s="56"/>
      <c r="M1220" s="43"/>
      <c r="N1220" s="42"/>
      <c r="O1220" s="50"/>
      <c r="P1220" s="38"/>
      <c r="Q1220" s="41"/>
      <c r="R1220" s="43"/>
      <c r="S1220" s="43"/>
      <c r="T1220" s="41"/>
      <c r="U1220" s="41"/>
      <c r="V1220" s="41"/>
    </row>
    <row r="1221" spans="4:22" ht="15" customHeight="1">
      <c r="D1221" s="39"/>
      <c r="E1221" s="40"/>
      <c r="F1221" s="54"/>
      <c r="K1221" s="56"/>
      <c r="L1221" s="56"/>
      <c r="M1221" s="43"/>
      <c r="N1221" s="42"/>
      <c r="O1221" s="50"/>
      <c r="P1221" s="38"/>
      <c r="Q1221" s="41"/>
      <c r="R1221" s="43"/>
      <c r="S1221" s="43"/>
      <c r="T1221" s="41"/>
      <c r="U1221" s="41"/>
      <c r="V1221" s="41"/>
    </row>
    <row r="1222" spans="4:22" ht="15" customHeight="1">
      <c r="D1222" s="39"/>
      <c r="E1222" s="40"/>
      <c r="F1222" s="53"/>
      <c r="K1222" s="56"/>
      <c r="L1222" s="56"/>
      <c r="M1222" s="43"/>
      <c r="N1222" s="42"/>
      <c r="O1222" s="50"/>
      <c r="P1222" s="38"/>
      <c r="Q1222" s="41"/>
      <c r="R1222" s="43"/>
      <c r="S1222" s="43"/>
      <c r="T1222" s="41"/>
      <c r="U1222" s="41"/>
      <c r="V1222" s="41"/>
    </row>
    <row r="1223" spans="4:22" ht="15" customHeight="1">
      <c r="D1223" s="39"/>
      <c r="E1223" s="40"/>
      <c r="F1223" s="53"/>
      <c r="K1223" s="57"/>
      <c r="L1223" s="57"/>
      <c r="M1223" s="43"/>
      <c r="N1223" s="42"/>
      <c r="O1223" s="50"/>
      <c r="P1223" s="38"/>
      <c r="Q1223" s="41"/>
      <c r="R1223" s="43"/>
      <c r="S1223" s="43"/>
      <c r="T1223" s="41"/>
      <c r="U1223" s="41"/>
      <c r="V1223" s="41"/>
    </row>
    <row r="1224" spans="4:22" ht="15" customHeight="1">
      <c r="D1224" s="39"/>
      <c r="E1224" s="40"/>
      <c r="F1224" s="54"/>
      <c r="K1224" s="57"/>
      <c r="L1224" s="57"/>
      <c r="M1224" s="43"/>
      <c r="N1224" s="42"/>
      <c r="O1224" s="50"/>
      <c r="P1224" s="38"/>
      <c r="Q1224" s="41"/>
      <c r="R1224" s="43"/>
      <c r="S1224" s="43"/>
      <c r="T1224" s="41"/>
      <c r="U1224" s="41"/>
      <c r="V1224" s="41"/>
    </row>
    <row r="1225" spans="4:22" ht="15" customHeight="1">
      <c r="D1225" s="39"/>
      <c r="E1225" s="40"/>
      <c r="F1225" s="54"/>
      <c r="K1225" s="58"/>
      <c r="L1225" s="58"/>
      <c r="M1225" s="43"/>
      <c r="N1225" s="42"/>
      <c r="O1225" s="50"/>
      <c r="P1225" s="38"/>
      <c r="Q1225" s="41"/>
      <c r="R1225" s="43"/>
      <c r="S1225" s="43"/>
      <c r="T1225" s="41"/>
      <c r="U1225" s="41"/>
      <c r="V1225" s="41"/>
    </row>
    <row r="1226" spans="4:22" ht="15" customHeight="1">
      <c r="D1226" s="39"/>
      <c r="E1226" s="40"/>
      <c r="F1226" s="54"/>
      <c r="K1226" s="56"/>
      <c r="L1226" s="56"/>
      <c r="M1226" s="43"/>
      <c r="N1226" s="42"/>
      <c r="O1226" s="50"/>
      <c r="P1226" s="38"/>
      <c r="Q1226" s="41"/>
      <c r="R1226" s="43"/>
      <c r="S1226" s="43"/>
      <c r="T1226" s="41"/>
      <c r="U1226" s="41"/>
      <c r="V1226" s="41"/>
    </row>
    <row r="1227" spans="4:22" ht="15" customHeight="1">
      <c r="D1227" s="39"/>
      <c r="E1227" s="40"/>
      <c r="F1227" s="53"/>
      <c r="K1227" s="56"/>
      <c r="L1227" s="56"/>
      <c r="M1227" s="43"/>
      <c r="N1227" s="42"/>
      <c r="O1227" s="50"/>
      <c r="P1227" s="38"/>
      <c r="Q1227" s="41"/>
      <c r="R1227" s="43"/>
      <c r="S1227" s="43"/>
      <c r="T1227" s="41"/>
      <c r="U1227" s="41"/>
      <c r="V1227" s="41"/>
    </row>
    <row r="1228" spans="4:22" ht="15" customHeight="1">
      <c r="D1228" s="39"/>
      <c r="E1228" s="40"/>
      <c r="F1228" s="54"/>
      <c r="K1228" s="56"/>
      <c r="L1228" s="56"/>
      <c r="M1228" s="43"/>
      <c r="N1228" s="42"/>
      <c r="O1228" s="50"/>
      <c r="P1228" s="38"/>
      <c r="Q1228" s="41"/>
      <c r="R1228" s="43"/>
      <c r="S1228" s="43"/>
      <c r="T1228" s="41"/>
      <c r="U1228" s="41"/>
      <c r="V1228" s="41"/>
    </row>
    <row r="1229" spans="4:22" ht="15" customHeight="1">
      <c r="D1229" s="39"/>
      <c r="E1229" s="40"/>
      <c r="F1229" s="54"/>
      <c r="K1229" s="56"/>
      <c r="L1229" s="56"/>
      <c r="M1229" s="43"/>
      <c r="N1229" s="42"/>
      <c r="O1229" s="50"/>
      <c r="P1229" s="38"/>
      <c r="Q1229" s="41"/>
      <c r="R1229" s="43"/>
      <c r="S1229" s="43"/>
      <c r="T1229" s="41"/>
      <c r="U1229" s="41"/>
      <c r="V1229" s="41"/>
    </row>
    <row r="1230" spans="4:22" ht="15" customHeight="1">
      <c r="D1230" s="39"/>
      <c r="E1230" s="40"/>
      <c r="F1230" s="53"/>
      <c r="K1230" s="56"/>
      <c r="L1230" s="56"/>
      <c r="M1230" s="43"/>
      <c r="N1230" s="42"/>
      <c r="O1230" s="50"/>
      <c r="P1230" s="38"/>
      <c r="Q1230" s="41"/>
      <c r="R1230" s="43"/>
      <c r="S1230" s="43"/>
      <c r="T1230" s="41"/>
      <c r="U1230" s="41"/>
      <c r="V1230" s="41"/>
    </row>
    <row r="1231" spans="4:22" ht="15" customHeight="1">
      <c r="D1231" s="39"/>
      <c r="E1231" s="40"/>
      <c r="F1231" s="54"/>
      <c r="K1231" s="56"/>
      <c r="L1231" s="56"/>
      <c r="M1231" s="43"/>
      <c r="N1231" s="42"/>
      <c r="O1231" s="50"/>
      <c r="P1231" s="38"/>
      <c r="Q1231" s="41"/>
      <c r="R1231" s="43"/>
      <c r="S1231" s="43"/>
      <c r="T1231" s="41"/>
      <c r="U1231" s="41"/>
      <c r="V1231" s="41"/>
    </row>
    <row r="1232" spans="4:22" ht="15" customHeight="1">
      <c r="D1232" s="39"/>
      <c r="E1232" s="40"/>
      <c r="F1232" s="54"/>
      <c r="K1232" s="59"/>
      <c r="L1232" s="59"/>
      <c r="M1232" s="43"/>
      <c r="N1232" s="42"/>
      <c r="O1232" s="50"/>
      <c r="P1232" s="38"/>
      <c r="Q1232" s="41"/>
      <c r="R1232" s="43"/>
      <c r="S1232" s="43"/>
      <c r="T1232" s="41"/>
      <c r="U1232" s="41"/>
      <c r="V1232" s="41"/>
    </row>
    <row r="1233" spans="4:22" ht="15" customHeight="1">
      <c r="D1233" s="39"/>
      <c r="E1233" s="40"/>
      <c r="F1233" s="53"/>
      <c r="K1233" s="56"/>
      <c r="L1233" s="56"/>
      <c r="M1233" s="43"/>
      <c r="N1233" s="42"/>
      <c r="O1233" s="50"/>
      <c r="P1233" s="38"/>
      <c r="Q1233" s="41"/>
      <c r="R1233" s="43"/>
      <c r="S1233" s="43"/>
      <c r="T1233" s="41"/>
      <c r="U1233" s="41"/>
      <c r="V1233" s="41"/>
    </row>
    <row r="1234" spans="4:22" ht="15" customHeight="1">
      <c r="D1234" s="39"/>
      <c r="E1234" s="40"/>
      <c r="F1234" s="54"/>
      <c r="K1234" s="56"/>
      <c r="L1234" s="56"/>
      <c r="M1234" s="43"/>
      <c r="N1234" s="42"/>
      <c r="O1234" s="50"/>
      <c r="P1234" s="38"/>
      <c r="Q1234" s="41"/>
      <c r="R1234" s="43"/>
      <c r="S1234" s="43"/>
      <c r="T1234" s="41"/>
      <c r="U1234" s="41"/>
      <c r="V1234" s="41"/>
    </row>
    <row r="1235" spans="4:22" ht="15" customHeight="1">
      <c r="D1235" s="39"/>
      <c r="E1235" s="40"/>
      <c r="F1235" s="53"/>
      <c r="K1235" s="4"/>
      <c r="L1235" s="4"/>
      <c r="M1235" s="43"/>
      <c r="N1235" s="42"/>
      <c r="O1235" s="50"/>
      <c r="P1235" s="38"/>
      <c r="Q1235" s="41"/>
      <c r="R1235" s="43"/>
      <c r="S1235" s="43"/>
      <c r="T1235" s="41"/>
      <c r="U1235" s="41"/>
      <c r="V1235" s="41"/>
    </row>
    <row r="1236" spans="4:22" ht="15" customHeight="1">
      <c r="D1236" s="39"/>
      <c r="E1236" s="40"/>
      <c r="F1236" s="53"/>
      <c r="K1236" s="56"/>
      <c r="L1236" s="56"/>
      <c r="M1236" s="43"/>
      <c r="N1236" s="42"/>
      <c r="O1236" s="50"/>
      <c r="P1236" s="38"/>
      <c r="Q1236" s="41"/>
      <c r="R1236" s="43"/>
      <c r="S1236" s="43"/>
      <c r="T1236" s="41"/>
      <c r="U1236" s="41"/>
      <c r="V1236" s="41"/>
    </row>
    <row r="1237" spans="4:22" ht="15" customHeight="1">
      <c r="D1237" s="39"/>
      <c r="E1237" s="40"/>
      <c r="F1237" s="54"/>
      <c r="K1237" s="4"/>
      <c r="L1237" s="4"/>
      <c r="M1237" s="43"/>
      <c r="N1237" s="42"/>
      <c r="O1237" s="50"/>
      <c r="P1237" s="38"/>
      <c r="Q1237" s="41"/>
      <c r="R1237" s="43"/>
      <c r="S1237" s="43"/>
      <c r="T1237" s="41"/>
      <c r="U1237" s="41"/>
      <c r="V1237" s="41"/>
    </row>
    <row r="1238" spans="4:22" ht="15" customHeight="1">
      <c r="D1238" s="39"/>
      <c r="E1238" s="40"/>
      <c r="F1238" s="54"/>
      <c r="K1238" s="4"/>
      <c r="L1238" s="4"/>
      <c r="M1238" s="43"/>
      <c r="N1238" s="42"/>
      <c r="O1238" s="50"/>
      <c r="P1238" s="38"/>
      <c r="Q1238" s="41"/>
      <c r="R1238" s="43"/>
      <c r="S1238" s="43"/>
      <c r="T1238" s="41"/>
      <c r="U1238" s="41"/>
      <c r="V1238" s="41"/>
    </row>
    <row r="1239" spans="4:22" ht="15" customHeight="1">
      <c r="D1239" s="39"/>
      <c r="E1239" s="40"/>
      <c r="F1239" s="53"/>
      <c r="K1239" s="57"/>
      <c r="L1239" s="57"/>
      <c r="M1239" s="43"/>
      <c r="N1239" s="42"/>
      <c r="O1239" s="50"/>
      <c r="P1239" s="38"/>
      <c r="Q1239" s="41"/>
      <c r="R1239" s="43"/>
      <c r="S1239" s="43"/>
      <c r="T1239" s="41"/>
      <c r="U1239" s="41"/>
      <c r="V1239" s="41"/>
    </row>
    <row r="1240" spans="4:22" ht="15" customHeight="1">
      <c r="D1240" s="39"/>
      <c r="E1240" s="40"/>
      <c r="F1240" s="54"/>
      <c r="K1240" s="4"/>
      <c r="L1240" s="4"/>
      <c r="M1240" s="43"/>
      <c r="N1240" s="42"/>
      <c r="O1240" s="50"/>
      <c r="P1240" s="38"/>
      <c r="Q1240" s="41"/>
      <c r="R1240" s="43"/>
      <c r="S1240" s="43"/>
      <c r="T1240" s="41"/>
      <c r="U1240" s="41"/>
      <c r="V1240" s="41"/>
    </row>
    <row r="1241" spans="4:22" ht="15" customHeight="1">
      <c r="D1241" s="39"/>
      <c r="E1241" s="40"/>
      <c r="F1241" s="53"/>
      <c r="K1241" s="4"/>
      <c r="L1241" s="4"/>
      <c r="M1241" s="43"/>
      <c r="N1241" s="42"/>
      <c r="O1241" s="50"/>
      <c r="P1241" s="38"/>
      <c r="Q1241" s="41"/>
      <c r="R1241" s="43"/>
      <c r="S1241" s="43"/>
      <c r="T1241" s="41"/>
      <c r="U1241" s="41"/>
      <c r="V1241" s="41"/>
    </row>
    <row r="1242" spans="4:22" ht="15" customHeight="1">
      <c r="D1242" s="39"/>
      <c r="E1242" s="40"/>
      <c r="F1242" s="54"/>
      <c r="K1242" s="4"/>
      <c r="L1242" s="4"/>
      <c r="M1242" s="43"/>
      <c r="N1242" s="42"/>
      <c r="O1242" s="50"/>
      <c r="P1242" s="38"/>
      <c r="Q1242" s="41"/>
      <c r="R1242" s="43"/>
      <c r="S1242" s="43"/>
      <c r="T1242" s="41"/>
      <c r="U1242" s="41"/>
      <c r="V1242" s="41"/>
    </row>
    <row r="1243" spans="4:22" ht="15" customHeight="1">
      <c r="D1243" s="39"/>
      <c r="E1243" s="40"/>
      <c r="F1243" s="53"/>
      <c r="K1243" s="60"/>
      <c r="L1243" s="60"/>
      <c r="M1243" s="43"/>
      <c r="N1243" s="42"/>
      <c r="O1243" s="50"/>
      <c r="P1243" s="38"/>
      <c r="Q1243" s="41"/>
      <c r="R1243" s="43"/>
      <c r="S1243" s="43"/>
      <c r="T1243" s="41"/>
      <c r="U1243" s="41"/>
      <c r="V1243" s="41"/>
    </row>
    <row r="1244" spans="4:22" ht="15" customHeight="1">
      <c r="D1244" s="39"/>
      <c r="E1244" s="40"/>
      <c r="F1244" s="54"/>
      <c r="K1244" s="60"/>
      <c r="L1244" s="60"/>
      <c r="M1244" s="43"/>
      <c r="N1244" s="42"/>
      <c r="O1244" s="50"/>
      <c r="P1244" s="38"/>
      <c r="Q1244" s="41"/>
      <c r="R1244" s="43"/>
      <c r="S1244" s="43"/>
      <c r="T1244" s="41"/>
      <c r="U1244" s="41"/>
      <c r="V1244" s="41"/>
    </row>
    <row r="1245" spans="4:22" ht="15" customHeight="1">
      <c r="D1245" s="39"/>
      <c r="E1245" s="40"/>
      <c r="F1245" s="54"/>
      <c r="K1245" s="4"/>
      <c r="L1245" s="4"/>
      <c r="M1245" s="43"/>
      <c r="N1245" s="42"/>
      <c r="O1245" s="50"/>
      <c r="P1245" s="38"/>
      <c r="Q1245" s="41"/>
      <c r="R1245" s="43"/>
      <c r="S1245" s="43"/>
      <c r="T1245" s="41"/>
      <c r="U1245" s="41"/>
      <c r="V1245" s="41"/>
    </row>
    <row r="1246" spans="4:22" ht="15" customHeight="1">
      <c r="D1246" s="39"/>
      <c r="E1246" s="40"/>
      <c r="F1246" s="54"/>
      <c r="K1246" s="4"/>
      <c r="L1246" s="4"/>
      <c r="M1246" s="43"/>
      <c r="N1246" s="42"/>
      <c r="O1246" s="50"/>
      <c r="P1246" s="38"/>
      <c r="Q1246" s="41"/>
      <c r="R1246" s="43"/>
      <c r="S1246" s="43"/>
      <c r="T1246" s="41"/>
      <c r="U1246" s="41"/>
      <c r="V1246" s="41"/>
    </row>
    <row r="1247" spans="4:22" ht="15" customHeight="1">
      <c r="D1247" s="39"/>
      <c r="E1247" s="40"/>
      <c r="F1247" s="53"/>
      <c r="K1247" s="4"/>
      <c r="L1247" s="4"/>
      <c r="M1247" s="43"/>
      <c r="N1247" s="42"/>
      <c r="O1247" s="50"/>
      <c r="P1247" s="38"/>
      <c r="Q1247" s="41"/>
      <c r="R1247" s="43"/>
      <c r="S1247" s="43"/>
      <c r="T1247" s="41"/>
      <c r="U1247" s="41"/>
      <c r="V1247" s="41"/>
    </row>
    <row r="1248" spans="4:22" ht="15" customHeight="1">
      <c r="D1248" s="39"/>
      <c r="E1248" s="40"/>
      <c r="F1248" s="53"/>
      <c r="K1248" s="56"/>
      <c r="L1248" s="56"/>
      <c r="M1248" s="43"/>
      <c r="N1248" s="42"/>
      <c r="O1248" s="50"/>
      <c r="P1248" s="38"/>
      <c r="Q1248" s="41"/>
      <c r="R1248" s="43"/>
      <c r="S1248" s="43"/>
      <c r="T1248" s="41"/>
      <c r="U1248" s="41"/>
      <c r="V1248" s="41"/>
    </row>
    <row r="1249" spans="4:24" ht="15" customHeight="1">
      <c r="D1249" s="39"/>
      <c r="E1249" s="40"/>
      <c r="F1249" s="54"/>
      <c r="K1249" s="56"/>
      <c r="L1249" s="56"/>
      <c r="M1249" s="43"/>
      <c r="N1249" s="42"/>
      <c r="O1249" s="50"/>
      <c r="P1249" s="38"/>
      <c r="Q1249" s="41"/>
      <c r="R1249" s="43"/>
      <c r="S1249" s="43"/>
      <c r="T1249" s="41"/>
      <c r="U1249" s="41"/>
      <c r="V1249" s="41"/>
    </row>
    <row r="1250" spans="4:24" ht="15" customHeight="1">
      <c r="D1250" s="39"/>
      <c r="E1250" s="40"/>
      <c r="F1250" s="53"/>
      <c r="K1250" s="56"/>
      <c r="L1250" s="56"/>
      <c r="M1250" s="43"/>
      <c r="N1250" s="42"/>
      <c r="O1250" s="50"/>
      <c r="P1250" s="38"/>
      <c r="Q1250" s="41"/>
      <c r="R1250" s="43"/>
      <c r="S1250" s="43"/>
      <c r="T1250" s="41"/>
      <c r="U1250" s="41"/>
      <c r="V1250" s="41"/>
    </row>
    <row r="1251" spans="4:24" ht="15" customHeight="1">
      <c r="D1251" s="39"/>
      <c r="E1251" s="40"/>
      <c r="F1251" s="53"/>
      <c r="K1251" s="56"/>
      <c r="L1251" s="56"/>
      <c r="M1251" s="43"/>
      <c r="N1251" s="42"/>
      <c r="O1251" s="50"/>
      <c r="P1251" s="38"/>
      <c r="Q1251" s="41"/>
      <c r="R1251" s="43"/>
      <c r="S1251" s="43"/>
      <c r="T1251" s="41"/>
      <c r="U1251" s="41"/>
      <c r="V1251" s="41"/>
    </row>
    <row r="1252" spans="4:24" ht="15" customHeight="1">
      <c r="D1252" s="39"/>
      <c r="E1252" s="40"/>
      <c r="F1252" s="54"/>
      <c r="K1252" s="56"/>
      <c r="L1252" s="56"/>
      <c r="M1252" s="43"/>
      <c r="N1252" s="42"/>
      <c r="O1252" s="50"/>
      <c r="P1252" s="38"/>
      <c r="Q1252" s="41"/>
      <c r="R1252" s="43"/>
      <c r="S1252" s="43"/>
      <c r="T1252" s="41"/>
      <c r="U1252" s="41"/>
      <c r="V1252" s="41"/>
    </row>
    <row r="1253" spans="4:24" ht="15" customHeight="1">
      <c r="D1253" s="39"/>
      <c r="E1253" s="40"/>
      <c r="F1253" s="53"/>
      <c r="K1253" s="56"/>
      <c r="L1253" s="56"/>
      <c r="M1253" s="43"/>
      <c r="N1253" s="42"/>
      <c r="O1253" s="50"/>
      <c r="P1253" s="38"/>
      <c r="Q1253" s="41"/>
      <c r="R1253" s="43"/>
      <c r="S1253" s="43"/>
      <c r="T1253" s="41"/>
      <c r="U1253" s="41"/>
      <c r="V1253" s="41"/>
    </row>
    <row r="1254" spans="4:24" ht="15" customHeight="1">
      <c r="D1254" s="39"/>
      <c r="E1254" s="40"/>
      <c r="F1254" s="54"/>
      <c r="K1254" s="56"/>
      <c r="L1254" s="56"/>
      <c r="M1254" s="43"/>
      <c r="N1254" s="42"/>
      <c r="O1254" s="50"/>
      <c r="P1254" s="38"/>
      <c r="Q1254" s="41"/>
      <c r="R1254" s="43"/>
      <c r="S1254" s="43"/>
      <c r="T1254" s="41"/>
      <c r="U1254" s="41"/>
      <c r="V1254" s="41"/>
    </row>
    <row r="1255" spans="4:24" ht="15" customHeight="1">
      <c r="D1255" s="39"/>
      <c r="E1255" s="40"/>
      <c r="F1255" s="53"/>
      <c r="K1255" s="56"/>
      <c r="L1255" s="56"/>
      <c r="M1255" s="43"/>
      <c r="N1255" s="42"/>
      <c r="O1255" s="50"/>
      <c r="P1255" s="38"/>
      <c r="Q1255" s="41"/>
      <c r="R1255" s="43"/>
      <c r="S1255" s="43"/>
      <c r="T1255" s="41"/>
      <c r="U1255" s="41"/>
      <c r="V1255" s="41"/>
    </row>
    <row r="1256" spans="4:24" ht="15" customHeight="1">
      <c r="D1256" s="39"/>
      <c r="E1256" s="40"/>
      <c r="F1256" s="53"/>
      <c r="K1256" s="56"/>
      <c r="L1256" s="56"/>
      <c r="M1256" s="43"/>
      <c r="N1256" s="42"/>
      <c r="O1256" s="50"/>
      <c r="P1256" s="38"/>
      <c r="Q1256" s="41"/>
      <c r="R1256" s="43"/>
      <c r="S1256" s="43"/>
      <c r="T1256" s="41"/>
      <c r="U1256" s="41"/>
      <c r="V1256" s="41"/>
    </row>
    <row r="1257" spans="4:24" ht="15" customHeight="1">
      <c r="D1257" s="39"/>
      <c r="E1257" s="40"/>
      <c r="F1257" s="53"/>
      <c r="K1257" s="56"/>
      <c r="L1257" s="56"/>
      <c r="M1257" s="43"/>
      <c r="N1257" s="42"/>
      <c r="O1257" s="50"/>
      <c r="P1257" s="38"/>
      <c r="Q1257" s="41"/>
      <c r="R1257" s="43"/>
      <c r="S1257" s="43"/>
      <c r="T1257" s="41"/>
      <c r="U1257" s="41"/>
      <c r="V1257" s="41"/>
    </row>
    <row r="1258" spans="4:24" ht="15" customHeight="1">
      <c r="D1258" s="39"/>
      <c r="E1258" s="40"/>
      <c r="F1258" s="54"/>
      <c r="K1258" s="56"/>
      <c r="L1258" s="56"/>
      <c r="M1258" s="43"/>
      <c r="N1258" s="42"/>
      <c r="O1258" s="50"/>
      <c r="P1258" s="38"/>
      <c r="Q1258" s="41"/>
      <c r="R1258" s="43"/>
      <c r="S1258" s="43"/>
      <c r="T1258" s="41"/>
      <c r="U1258" s="41"/>
      <c r="V1258" s="41"/>
    </row>
    <row r="1259" spans="4:24" ht="15" customHeight="1">
      <c r="D1259" s="39"/>
      <c r="E1259" s="40"/>
      <c r="F1259" s="53"/>
      <c r="K1259" s="56"/>
      <c r="L1259" s="56"/>
      <c r="M1259" s="43"/>
      <c r="N1259" s="42"/>
      <c r="O1259" s="50"/>
      <c r="P1259" s="38"/>
      <c r="Q1259" s="41"/>
      <c r="R1259" s="43"/>
      <c r="S1259" s="43"/>
      <c r="T1259" s="41"/>
      <c r="U1259" s="41"/>
      <c r="V1259" s="41"/>
    </row>
    <row r="1260" spans="4:24" ht="15" customHeight="1">
      <c r="D1260" s="39"/>
      <c r="E1260" s="40"/>
      <c r="F1260" s="53"/>
      <c r="K1260" s="56"/>
      <c r="L1260" s="56"/>
      <c r="M1260" s="43"/>
      <c r="N1260" s="42"/>
      <c r="O1260" s="50"/>
      <c r="P1260" s="38"/>
      <c r="Q1260" s="41"/>
      <c r="R1260" s="43"/>
      <c r="S1260" s="43"/>
      <c r="T1260" s="41"/>
      <c r="U1260" s="41"/>
      <c r="V1260" s="41"/>
      <c r="X1260" s="41"/>
    </row>
    <row r="1261" spans="4:24" ht="15" customHeight="1">
      <c r="D1261" s="39"/>
      <c r="E1261" s="40"/>
      <c r="F1261" s="54"/>
      <c r="K1261" s="61"/>
      <c r="L1261" s="61"/>
      <c r="M1261" s="43"/>
      <c r="N1261" s="42"/>
      <c r="O1261" s="50"/>
      <c r="P1261" s="38"/>
      <c r="Q1261" s="41"/>
      <c r="R1261" s="43"/>
      <c r="S1261" s="43"/>
      <c r="T1261" s="41"/>
      <c r="U1261" s="41"/>
      <c r="V1261" s="41"/>
      <c r="X1261" s="41"/>
    </row>
    <row r="1262" spans="4:24" ht="15" customHeight="1">
      <c r="D1262" s="39"/>
      <c r="E1262" s="40"/>
      <c r="F1262" s="53"/>
      <c r="K1262" s="61"/>
      <c r="L1262" s="61"/>
      <c r="M1262" s="43"/>
      <c r="N1262" s="42"/>
      <c r="O1262" s="50"/>
      <c r="P1262" s="38"/>
      <c r="Q1262" s="41"/>
      <c r="R1262" s="43"/>
      <c r="S1262" s="43"/>
      <c r="T1262" s="41"/>
      <c r="U1262" s="41"/>
      <c r="V1262" s="41"/>
      <c r="X1262" s="41"/>
    </row>
    <row r="1263" spans="4:24" ht="15" customHeight="1">
      <c r="D1263" s="39"/>
      <c r="E1263" s="40"/>
      <c r="F1263" s="55"/>
      <c r="K1263" s="61"/>
      <c r="L1263" s="61"/>
      <c r="M1263" s="43"/>
      <c r="N1263" s="42"/>
      <c r="O1263" s="50"/>
      <c r="P1263" s="38"/>
      <c r="Q1263" s="41"/>
      <c r="R1263" s="43"/>
      <c r="S1263" s="43"/>
      <c r="T1263" s="41"/>
      <c r="U1263" s="41"/>
      <c r="V1263" s="41"/>
      <c r="X1263" s="41"/>
    </row>
    <row r="1264" spans="4:24" ht="15" customHeight="1">
      <c r="D1264" s="39"/>
      <c r="E1264" s="40"/>
      <c r="K1264" s="38"/>
      <c r="L1264" s="38"/>
      <c r="M1264" s="43"/>
      <c r="N1264" s="42"/>
      <c r="O1264" s="50"/>
      <c r="P1264" s="38"/>
      <c r="Q1264" s="41"/>
      <c r="R1264" s="43"/>
      <c r="S1264" s="43"/>
      <c r="T1264" s="41"/>
      <c r="U1264" s="41"/>
      <c r="V1264" s="41"/>
      <c r="X1264" s="41"/>
    </row>
    <row r="1265" spans="4:22" ht="15" customHeight="1">
      <c r="D1265" s="39"/>
      <c r="E1265" s="40"/>
      <c r="K1265" s="38"/>
      <c r="L1265" s="38"/>
      <c r="M1265" s="43"/>
      <c r="N1265" s="42"/>
      <c r="O1265" s="50"/>
      <c r="P1265" s="38"/>
      <c r="Q1265" s="41"/>
      <c r="R1265" s="43"/>
      <c r="S1265" s="43"/>
      <c r="T1265" s="41"/>
      <c r="U1265" s="41"/>
      <c r="V1265" s="41"/>
    </row>
    <row r="1266" spans="4:22" ht="15" customHeight="1">
      <c r="D1266" s="39"/>
      <c r="E1266" s="40"/>
      <c r="K1266" s="38"/>
      <c r="L1266" s="38"/>
      <c r="M1266" s="43"/>
      <c r="N1266" s="42"/>
      <c r="O1266" s="50"/>
      <c r="P1266" s="38"/>
      <c r="Q1266" s="41"/>
      <c r="R1266" s="43"/>
      <c r="S1266" s="43"/>
      <c r="T1266" s="41"/>
      <c r="U1266" s="41"/>
      <c r="V1266" s="41"/>
    </row>
    <row r="1267" spans="4:22" ht="15" customHeight="1">
      <c r="D1267" s="39"/>
      <c r="E1267" s="40"/>
      <c r="K1267" s="38"/>
      <c r="L1267" s="38"/>
      <c r="M1267" s="43"/>
      <c r="N1267" s="42"/>
      <c r="O1267" s="50"/>
      <c r="P1267" s="38"/>
      <c r="Q1267" s="41"/>
      <c r="R1267" s="43"/>
      <c r="S1267" s="43"/>
      <c r="T1267" s="41"/>
      <c r="U1267" s="41"/>
      <c r="V1267" s="41"/>
    </row>
    <row r="1268" spans="4:22" ht="15" customHeight="1">
      <c r="D1268" s="39"/>
      <c r="E1268" s="40"/>
      <c r="K1268" s="38"/>
      <c r="L1268" s="38"/>
      <c r="M1268" s="43"/>
      <c r="N1268" s="42"/>
      <c r="O1268" s="50"/>
      <c r="P1268" s="38"/>
      <c r="Q1268" s="41"/>
      <c r="R1268" s="43"/>
      <c r="S1268" s="43"/>
      <c r="T1268" s="41"/>
      <c r="U1268" s="41"/>
      <c r="V1268" s="41"/>
    </row>
    <row r="1269" spans="4:22" ht="15" customHeight="1">
      <c r="D1269" s="39"/>
      <c r="E1269" s="40"/>
      <c r="F1269" s="54"/>
      <c r="K1269" s="38"/>
      <c r="L1269" s="38"/>
      <c r="M1269" s="43"/>
      <c r="N1269" s="42"/>
      <c r="O1269" s="50"/>
      <c r="P1269" s="38"/>
      <c r="Q1269" s="41"/>
      <c r="R1269" s="43"/>
      <c r="S1269" s="43"/>
      <c r="T1269" s="41"/>
      <c r="U1269" s="41"/>
      <c r="V1269" s="41"/>
    </row>
    <row r="1270" spans="4:22" ht="15" customHeight="1">
      <c r="D1270" s="39"/>
      <c r="E1270" s="40"/>
      <c r="F1270" s="54"/>
      <c r="K1270" s="38"/>
      <c r="L1270" s="38"/>
      <c r="M1270" s="43"/>
      <c r="N1270" s="42"/>
      <c r="O1270" s="50"/>
      <c r="P1270" s="38"/>
      <c r="Q1270" s="41"/>
      <c r="R1270" s="43"/>
      <c r="S1270" s="43"/>
      <c r="T1270" s="41"/>
      <c r="U1270" s="41"/>
      <c r="V1270" s="41"/>
    </row>
    <row r="1271" spans="4:22" ht="15" customHeight="1">
      <c r="D1271" s="39"/>
      <c r="E1271" s="40"/>
      <c r="F1271" s="53"/>
      <c r="K1271" s="38"/>
      <c r="L1271" s="38"/>
      <c r="M1271" s="43"/>
      <c r="N1271" s="42"/>
      <c r="O1271" s="50"/>
      <c r="P1271" s="38"/>
      <c r="Q1271" s="41"/>
      <c r="R1271" s="43"/>
      <c r="S1271" s="43"/>
      <c r="T1271" s="41"/>
      <c r="U1271" s="41"/>
      <c r="V1271" s="41"/>
    </row>
    <row r="1272" spans="4:22" ht="15" customHeight="1">
      <c r="D1272" s="39"/>
      <c r="E1272" s="40"/>
      <c r="F1272" s="53"/>
      <c r="K1272" s="38"/>
      <c r="L1272" s="38"/>
      <c r="M1272" s="43"/>
      <c r="N1272" s="42"/>
      <c r="O1272" s="50"/>
      <c r="P1272" s="38"/>
      <c r="Q1272" s="41"/>
      <c r="R1272" s="43"/>
      <c r="S1272" s="43"/>
      <c r="T1272" s="41"/>
      <c r="U1272" s="41"/>
      <c r="V1272" s="41"/>
    </row>
    <row r="1273" spans="4:22" ht="15" customHeight="1">
      <c r="D1273" s="39"/>
      <c r="E1273" s="40"/>
      <c r="F1273" s="53"/>
      <c r="K1273" s="38"/>
      <c r="L1273" s="38"/>
      <c r="M1273" s="43"/>
      <c r="N1273" s="42"/>
      <c r="O1273" s="50"/>
      <c r="P1273" s="38"/>
      <c r="Q1273" s="41"/>
      <c r="R1273" s="43"/>
      <c r="S1273" s="43"/>
      <c r="T1273" s="41"/>
      <c r="U1273" s="41"/>
      <c r="V1273" s="41"/>
    </row>
    <row r="1274" spans="4:22" ht="15" customHeight="1">
      <c r="D1274" s="39"/>
      <c r="E1274" s="40"/>
      <c r="F1274" s="53"/>
      <c r="K1274" s="38"/>
      <c r="L1274" s="38"/>
      <c r="M1274" s="43"/>
      <c r="N1274" s="42"/>
      <c r="O1274" s="50"/>
      <c r="P1274" s="38"/>
      <c r="Q1274" s="41"/>
      <c r="R1274" s="43"/>
      <c r="S1274" s="43"/>
      <c r="T1274" s="41"/>
      <c r="U1274" s="41"/>
      <c r="V1274" s="41"/>
    </row>
    <row r="1275" spans="4:22" ht="15" customHeight="1">
      <c r="D1275" s="39"/>
      <c r="E1275" s="40"/>
      <c r="F1275" s="53"/>
      <c r="K1275" s="38"/>
      <c r="L1275" s="38"/>
      <c r="M1275" s="43"/>
      <c r="N1275" s="42"/>
      <c r="O1275" s="50"/>
      <c r="P1275" s="38"/>
      <c r="Q1275" s="41"/>
      <c r="R1275" s="43"/>
      <c r="S1275" s="43"/>
      <c r="T1275" s="41"/>
      <c r="U1275" s="41"/>
      <c r="V1275" s="41"/>
    </row>
    <row r="1276" spans="4:22" ht="15" customHeight="1">
      <c r="D1276" s="39"/>
      <c r="E1276" s="40"/>
      <c r="F1276" s="54"/>
      <c r="K1276" s="38"/>
      <c r="L1276" s="38"/>
      <c r="M1276" s="43"/>
      <c r="N1276" s="42"/>
      <c r="O1276" s="50"/>
      <c r="P1276" s="38"/>
      <c r="Q1276" s="41"/>
      <c r="R1276" s="43"/>
      <c r="S1276" s="43"/>
      <c r="T1276" s="41"/>
      <c r="U1276" s="41"/>
      <c r="V1276" s="41"/>
    </row>
    <row r="1277" spans="4:22" ht="15" customHeight="1">
      <c r="D1277" s="39"/>
      <c r="E1277" s="40"/>
      <c r="F1277" s="53"/>
      <c r="K1277" s="38"/>
      <c r="L1277" s="38"/>
      <c r="M1277" s="43"/>
      <c r="N1277" s="42"/>
      <c r="O1277" s="50"/>
      <c r="P1277" s="38"/>
      <c r="Q1277" s="41"/>
      <c r="R1277" s="43"/>
      <c r="S1277" s="43"/>
      <c r="T1277" s="41"/>
      <c r="U1277" s="41"/>
      <c r="V1277" s="41"/>
    </row>
    <row r="1278" spans="4:22" ht="15" customHeight="1">
      <c r="D1278" s="39"/>
      <c r="E1278" s="40"/>
      <c r="F1278" s="54"/>
      <c r="K1278" s="38"/>
      <c r="L1278" s="38"/>
      <c r="M1278" s="43"/>
      <c r="N1278" s="42"/>
      <c r="O1278" s="50"/>
      <c r="P1278" s="38"/>
      <c r="Q1278" s="41"/>
      <c r="R1278" s="43"/>
      <c r="S1278" s="43"/>
      <c r="T1278" s="41"/>
      <c r="U1278" s="41"/>
      <c r="V1278" s="41"/>
    </row>
    <row r="1279" spans="4:22" ht="15" customHeight="1">
      <c r="D1279" s="39"/>
      <c r="E1279" s="40"/>
      <c r="F1279" s="53"/>
      <c r="K1279" s="38"/>
      <c r="L1279" s="38"/>
      <c r="M1279" s="43"/>
      <c r="N1279" s="42"/>
      <c r="O1279" s="50"/>
      <c r="P1279" s="38"/>
      <c r="Q1279" s="41"/>
      <c r="R1279" s="43"/>
      <c r="S1279" s="43"/>
      <c r="T1279" s="41"/>
      <c r="U1279" s="41"/>
      <c r="V1279" s="41"/>
    </row>
    <row r="1280" spans="4:22" ht="15" customHeight="1">
      <c r="D1280" s="39"/>
      <c r="E1280" s="40"/>
      <c r="F1280" s="54"/>
      <c r="K1280" s="38"/>
      <c r="L1280" s="38"/>
      <c r="M1280" s="43"/>
      <c r="N1280" s="42"/>
      <c r="O1280" s="50"/>
      <c r="P1280" s="38"/>
      <c r="Q1280" s="41"/>
      <c r="R1280" s="43"/>
      <c r="S1280" s="43"/>
      <c r="T1280" s="41"/>
      <c r="U1280" s="41"/>
      <c r="V1280" s="41"/>
    </row>
    <row r="1281" spans="4:22" ht="15" customHeight="1">
      <c r="D1281" s="39"/>
      <c r="E1281" s="40"/>
      <c r="F1281" s="54"/>
      <c r="K1281" s="38"/>
      <c r="L1281" s="38"/>
      <c r="M1281" s="43"/>
      <c r="N1281" s="42"/>
      <c r="O1281" s="50"/>
      <c r="P1281" s="38"/>
      <c r="Q1281" s="41"/>
      <c r="R1281" s="43"/>
      <c r="S1281" s="43"/>
      <c r="T1281" s="41"/>
      <c r="U1281" s="41"/>
      <c r="V1281" s="41"/>
    </row>
    <row r="1282" spans="4:22" ht="15" customHeight="1">
      <c r="D1282" s="39"/>
      <c r="E1282" s="40"/>
      <c r="F1282" s="53"/>
      <c r="K1282" s="38"/>
      <c r="L1282" s="38"/>
      <c r="M1282" s="43"/>
      <c r="N1282" s="42"/>
      <c r="O1282" s="50"/>
      <c r="P1282" s="38"/>
      <c r="Q1282" s="41"/>
      <c r="R1282" s="43"/>
      <c r="S1282" s="43"/>
      <c r="T1282" s="41"/>
      <c r="U1282" s="41"/>
      <c r="V1282" s="41"/>
    </row>
    <row r="1283" spans="4:22" ht="15" customHeight="1">
      <c r="D1283" s="39"/>
      <c r="E1283" s="40"/>
      <c r="F1283" s="53"/>
      <c r="K1283" s="38"/>
      <c r="L1283" s="38"/>
      <c r="M1283" s="43"/>
      <c r="N1283" s="42"/>
      <c r="O1283" s="50"/>
      <c r="P1283" s="38"/>
      <c r="Q1283" s="41"/>
      <c r="R1283" s="43"/>
      <c r="S1283" s="43"/>
      <c r="T1283" s="41"/>
      <c r="U1283" s="41"/>
      <c r="V1283" s="41"/>
    </row>
    <row r="1284" spans="4:22" ht="15" customHeight="1">
      <c r="D1284" s="39"/>
      <c r="E1284" s="40"/>
      <c r="F1284" s="54"/>
      <c r="K1284" s="38"/>
      <c r="L1284" s="38"/>
      <c r="M1284" s="43"/>
      <c r="N1284" s="42"/>
      <c r="O1284" s="50"/>
      <c r="P1284" s="38"/>
      <c r="Q1284" s="41"/>
      <c r="R1284" s="43"/>
      <c r="S1284" s="43"/>
      <c r="T1284" s="41"/>
      <c r="U1284" s="41"/>
      <c r="V1284" s="41"/>
    </row>
    <row r="1285" spans="4:22" ht="15" customHeight="1">
      <c r="D1285" s="39"/>
      <c r="E1285" s="40"/>
      <c r="F1285" s="53"/>
      <c r="K1285" s="38"/>
      <c r="L1285" s="38"/>
      <c r="M1285" s="43"/>
      <c r="N1285" s="42"/>
      <c r="O1285" s="50"/>
      <c r="P1285" s="38"/>
      <c r="Q1285" s="41"/>
      <c r="R1285" s="43"/>
      <c r="S1285" s="43"/>
      <c r="T1285" s="41"/>
      <c r="U1285" s="41"/>
      <c r="V1285" s="41"/>
    </row>
    <row r="1286" spans="4:22" ht="15" customHeight="1">
      <c r="D1286" s="39"/>
      <c r="E1286" s="40"/>
      <c r="F1286" s="54"/>
      <c r="K1286" s="38"/>
      <c r="L1286" s="38"/>
      <c r="M1286" s="43"/>
      <c r="N1286" s="42"/>
      <c r="O1286" s="50"/>
      <c r="P1286" s="38"/>
      <c r="Q1286" s="41"/>
      <c r="R1286" s="43"/>
      <c r="S1286" s="43"/>
      <c r="T1286" s="41"/>
      <c r="U1286" s="41"/>
      <c r="V1286" s="41"/>
    </row>
    <row r="1287" spans="4:22" ht="15" customHeight="1">
      <c r="D1287" s="39"/>
      <c r="E1287" s="40"/>
      <c r="F1287" s="53"/>
      <c r="K1287" s="38"/>
      <c r="L1287" s="38"/>
      <c r="M1287" s="43"/>
      <c r="N1287" s="42"/>
      <c r="O1287" s="50"/>
      <c r="P1287" s="38"/>
      <c r="Q1287" s="41"/>
      <c r="R1287" s="43"/>
      <c r="S1287" s="43"/>
      <c r="T1287" s="41"/>
      <c r="U1287" s="41"/>
      <c r="V1287" s="41"/>
    </row>
    <row r="1288" spans="4:22" ht="15" customHeight="1">
      <c r="D1288" s="39"/>
      <c r="E1288" s="40"/>
      <c r="F1288" s="53"/>
      <c r="K1288" s="38"/>
      <c r="L1288" s="38"/>
      <c r="M1288" s="43"/>
      <c r="N1288" s="42"/>
      <c r="O1288" s="50"/>
      <c r="P1288" s="38"/>
      <c r="Q1288" s="41"/>
      <c r="R1288" s="43"/>
      <c r="S1288" s="43"/>
      <c r="T1288" s="41"/>
      <c r="U1288" s="41"/>
      <c r="V1288" s="41"/>
    </row>
    <row r="1289" spans="4:22" ht="15" customHeight="1">
      <c r="D1289" s="39"/>
      <c r="E1289" s="40"/>
      <c r="F1289" s="54"/>
      <c r="K1289" s="38"/>
      <c r="L1289" s="38"/>
      <c r="M1289" s="43"/>
      <c r="N1289" s="42"/>
      <c r="O1289" s="50"/>
      <c r="P1289" s="38"/>
      <c r="Q1289" s="41"/>
      <c r="R1289" s="43"/>
      <c r="S1289" s="43"/>
      <c r="T1289" s="41"/>
      <c r="U1289" s="41"/>
      <c r="V1289" s="41"/>
    </row>
    <row r="1290" spans="4:22" ht="15" customHeight="1">
      <c r="D1290" s="39"/>
      <c r="E1290" s="40"/>
      <c r="F1290" s="53"/>
      <c r="K1290" s="38"/>
      <c r="L1290" s="38"/>
      <c r="M1290" s="43"/>
      <c r="N1290" s="42"/>
      <c r="O1290" s="50"/>
      <c r="P1290" s="38"/>
      <c r="Q1290" s="41"/>
      <c r="R1290" s="43"/>
      <c r="S1290" s="43"/>
      <c r="T1290" s="41"/>
      <c r="U1290" s="41"/>
      <c r="V1290" s="41"/>
    </row>
    <row r="1291" spans="4:22" ht="15" customHeight="1">
      <c r="D1291" s="39"/>
      <c r="E1291" s="40"/>
      <c r="F1291" s="53"/>
      <c r="K1291" s="38"/>
      <c r="L1291" s="38"/>
      <c r="M1291" s="43"/>
      <c r="N1291" s="42"/>
      <c r="O1291" s="50"/>
      <c r="P1291" s="38"/>
      <c r="Q1291" s="41"/>
      <c r="R1291" s="43"/>
      <c r="S1291" s="43"/>
      <c r="T1291" s="41"/>
      <c r="U1291" s="41"/>
      <c r="V1291" s="41"/>
    </row>
    <row r="1292" spans="4:22" ht="15" customHeight="1">
      <c r="D1292" s="39"/>
      <c r="E1292" s="40"/>
      <c r="F1292" s="54"/>
      <c r="K1292" s="38"/>
      <c r="L1292" s="38"/>
      <c r="M1292" s="43"/>
      <c r="N1292" s="42"/>
      <c r="O1292" s="50"/>
      <c r="P1292" s="38"/>
      <c r="Q1292" s="41"/>
      <c r="R1292" s="43"/>
      <c r="S1292" s="43"/>
      <c r="T1292" s="41"/>
      <c r="U1292" s="41"/>
      <c r="V1292" s="41"/>
    </row>
    <row r="1293" spans="4:22" ht="15" customHeight="1">
      <c r="D1293" s="39"/>
      <c r="E1293" s="40"/>
      <c r="F1293" s="54"/>
      <c r="K1293" s="38"/>
      <c r="L1293" s="38"/>
      <c r="M1293" s="43"/>
      <c r="N1293" s="42"/>
      <c r="O1293" s="50"/>
      <c r="P1293" s="38"/>
      <c r="Q1293" s="41"/>
      <c r="R1293" s="43"/>
      <c r="S1293" s="43"/>
      <c r="T1293" s="41"/>
      <c r="U1293" s="41"/>
      <c r="V1293" s="41"/>
    </row>
    <row r="1294" spans="4:22" ht="15" customHeight="1">
      <c r="D1294" s="39"/>
      <c r="E1294" s="40"/>
      <c r="F1294" s="54"/>
      <c r="K1294" s="38"/>
      <c r="L1294" s="38"/>
      <c r="M1294" s="43"/>
      <c r="N1294" s="42"/>
      <c r="O1294" s="50"/>
      <c r="P1294" s="38"/>
      <c r="Q1294" s="41"/>
      <c r="R1294" s="43"/>
      <c r="S1294" s="43"/>
      <c r="T1294" s="41"/>
      <c r="U1294" s="41"/>
      <c r="V1294" s="41"/>
    </row>
    <row r="1295" spans="4:22" ht="15" customHeight="1">
      <c r="D1295" s="39"/>
      <c r="E1295" s="40"/>
      <c r="F1295" s="54"/>
      <c r="K1295" s="38"/>
      <c r="L1295" s="38"/>
      <c r="M1295" s="43"/>
      <c r="N1295" s="42"/>
      <c r="O1295" s="50"/>
      <c r="P1295" s="38"/>
      <c r="Q1295" s="41"/>
      <c r="R1295" s="43"/>
      <c r="S1295" s="43"/>
      <c r="T1295" s="41"/>
      <c r="U1295" s="41"/>
      <c r="V1295" s="41"/>
    </row>
    <row r="1296" spans="4:22" ht="15" customHeight="1">
      <c r="D1296" s="39"/>
      <c r="E1296" s="40"/>
      <c r="F1296" s="53"/>
      <c r="K1296" s="38"/>
      <c r="L1296" s="38"/>
      <c r="M1296" s="43"/>
      <c r="N1296" s="42"/>
      <c r="O1296" s="50"/>
      <c r="P1296" s="38"/>
      <c r="Q1296" s="41"/>
      <c r="R1296" s="43"/>
      <c r="S1296" s="43"/>
      <c r="T1296" s="41"/>
      <c r="U1296" s="41"/>
      <c r="V1296" s="41"/>
    </row>
    <row r="1297" spans="4:22" ht="15" customHeight="1">
      <c r="D1297" s="39"/>
      <c r="E1297" s="40"/>
      <c r="F1297" s="53"/>
      <c r="K1297" s="38"/>
      <c r="L1297" s="38"/>
      <c r="M1297" s="43"/>
      <c r="N1297" s="42"/>
      <c r="O1297" s="50"/>
      <c r="P1297" s="38"/>
      <c r="Q1297" s="41"/>
      <c r="R1297" s="43"/>
      <c r="S1297" s="43"/>
      <c r="T1297" s="41"/>
      <c r="U1297" s="41"/>
      <c r="V1297" s="41"/>
    </row>
    <row r="1298" spans="4:22" ht="15" customHeight="1">
      <c r="D1298" s="39"/>
      <c r="E1298" s="40"/>
      <c r="F1298" s="54"/>
      <c r="K1298" s="38"/>
      <c r="L1298" s="38"/>
      <c r="M1298" s="43"/>
      <c r="N1298" s="42"/>
      <c r="O1298" s="50"/>
      <c r="P1298" s="38"/>
      <c r="Q1298" s="41"/>
      <c r="R1298" s="43"/>
      <c r="S1298" s="43"/>
      <c r="T1298" s="41"/>
      <c r="U1298" s="41"/>
      <c r="V1298" s="41"/>
    </row>
    <row r="1299" spans="4:22" ht="15" customHeight="1">
      <c r="D1299" s="39"/>
      <c r="E1299" s="40"/>
      <c r="F1299" s="54"/>
      <c r="K1299" s="38"/>
      <c r="L1299" s="38"/>
      <c r="M1299" s="43"/>
      <c r="N1299" s="42"/>
      <c r="O1299" s="50"/>
      <c r="P1299" s="38"/>
      <c r="Q1299" s="41"/>
      <c r="R1299" s="43"/>
      <c r="S1299" s="43"/>
      <c r="T1299" s="41"/>
      <c r="U1299" s="41"/>
      <c r="V1299" s="41"/>
    </row>
    <row r="1300" spans="4:22" ht="15" customHeight="1">
      <c r="D1300" s="39"/>
      <c r="E1300" s="40"/>
      <c r="F1300" s="53"/>
      <c r="K1300" s="38"/>
      <c r="L1300" s="38"/>
      <c r="M1300" s="43"/>
      <c r="N1300" s="42"/>
      <c r="O1300" s="50"/>
      <c r="P1300" s="38"/>
      <c r="Q1300" s="41"/>
      <c r="R1300" s="43"/>
      <c r="S1300" s="43"/>
      <c r="T1300" s="41"/>
      <c r="U1300" s="41"/>
      <c r="V1300" s="41"/>
    </row>
    <row r="1301" spans="4:22" ht="15" customHeight="1">
      <c r="D1301" s="39"/>
      <c r="E1301" s="40"/>
      <c r="F1301" s="53"/>
      <c r="K1301" s="38"/>
      <c r="L1301" s="38"/>
      <c r="M1301" s="43"/>
      <c r="N1301" s="42"/>
      <c r="O1301" s="50"/>
      <c r="P1301" s="38"/>
      <c r="Q1301" s="41"/>
      <c r="R1301" s="43"/>
      <c r="S1301" s="43"/>
      <c r="T1301" s="41"/>
      <c r="U1301" s="41"/>
      <c r="V1301" s="41"/>
    </row>
    <row r="1302" spans="4:22" ht="15" customHeight="1">
      <c r="D1302" s="39"/>
      <c r="E1302" s="40"/>
      <c r="F1302" s="54"/>
      <c r="K1302" s="38"/>
      <c r="L1302" s="38"/>
      <c r="M1302" s="43"/>
      <c r="N1302" s="42"/>
      <c r="O1302" s="50"/>
      <c r="P1302" s="38"/>
      <c r="Q1302" s="41"/>
      <c r="R1302" s="43"/>
      <c r="S1302" s="43"/>
      <c r="T1302" s="41"/>
      <c r="U1302" s="41"/>
      <c r="V1302" s="41"/>
    </row>
    <row r="1303" spans="4:22" ht="15" customHeight="1">
      <c r="D1303" s="39"/>
      <c r="E1303" s="40"/>
      <c r="F1303" s="53"/>
      <c r="K1303" s="38"/>
      <c r="L1303" s="38"/>
      <c r="M1303" s="43"/>
      <c r="N1303" s="42"/>
      <c r="O1303" s="50"/>
      <c r="P1303" s="38"/>
      <c r="Q1303" s="41"/>
      <c r="R1303" s="43"/>
      <c r="S1303" s="43"/>
      <c r="T1303" s="41"/>
      <c r="U1303" s="41"/>
      <c r="V1303" s="41"/>
    </row>
    <row r="1304" spans="4:22" ht="15" customHeight="1">
      <c r="D1304" s="39"/>
      <c r="E1304" s="40"/>
      <c r="F1304" s="54"/>
      <c r="K1304" s="38"/>
      <c r="L1304" s="38"/>
      <c r="M1304" s="43"/>
      <c r="N1304" s="42"/>
      <c r="O1304" s="50"/>
      <c r="P1304" s="38"/>
      <c r="Q1304" s="41"/>
      <c r="R1304" s="43"/>
      <c r="S1304" s="43"/>
      <c r="T1304" s="41"/>
      <c r="U1304" s="41"/>
      <c r="V1304" s="41"/>
    </row>
    <row r="1305" spans="4:22" ht="15" customHeight="1">
      <c r="D1305" s="39"/>
      <c r="E1305" s="40"/>
      <c r="F1305" s="53"/>
      <c r="K1305" s="38"/>
      <c r="L1305" s="38"/>
      <c r="M1305" s="43"/>
      <c r="N1305" s="42"/>
      <c r="O1305" s="50"/>
      <c r="P1305" s="38"/>
      <c r="Q1305" s="41"/>
      <c r="R1305" s="43"/>
      <c r="S1305" s="43"/>
      <c r="T1305" s="41"/>
      <c r="U1305" s="41"/>
      <c r="V1305" s="41"/>
    </row>
    <row r="1306" spans="4:22" ht="15" customHeight="1">
      <c r="D1306" s="39"/>
      <c r="E1306" s="40"/>
      <c r="F1306" s="54"/>
      <c r="K1306" s="38"/>
      <c r="L1306" s="38"/>
      <c r="M1306" s="43"/>
      <c r="N1306" s="42"/>
      <c r="O1306" s="50"/>
      <c r="P1306" s="38"/>
      <c r="Q1306" s="41"/>
      <c r="R1306" s="43"/>
      <c r="S1306" s="43"/>
      <c r="T1306" s="41"/>
      <c r="U1306" s="41"/>
      <c r="V1306" s="41"/>
    </row>
    <row r="1307" spans="4:22" ht="15" customHeight="1">
      <c r="D1307" s="39"/>
      <c r="E1307" s="40"/>
      <c r="F1307" s="53"/>
      <c r="K1307" s="38"/>
      <c r="L1307" s="38"/>
      <c r="M1307" s="43"/>
      <c r="N1307" s="42"/>
      <c r="O1307" s="50"/>
      <c r="P1307" s="38"/>
      <c r="Q1307" s="41"/>
      <c r="R1307" s="43"/>
      <c r="S1307" s="43"/>
      <c r="T1307" s="41"/>
      <c r="U1307" s="41"/>
      <c r="V1307" s="41"/>
    </row>
    <row r="1308" spans="4:22" ht="15" customHeight="1">
      <c r="D1308" s="39"/>
      <c r="E1308" s="40"/>
      <c r="F1308" s="54"/>
      <c r="K1308" s="38"/>
      <c r="L1308" s="38"/>
      <c r="M1308" s="43"/>
      <c r="N1308" s="42"/>
      <c r="O1308" s="50"/>
      <c r="P1308" s="38"/>
      <c r="Q1308" s="41"/>
      <c r="R1308" s="43"/>
      <c r="S1308" s="43"/>
      <c r="T1308" s="41"/>
      <c r="U1308" s="41"/>
      <c r="V1308" s="41"/>
    </row>
    <row r="1309" spans="4:22" ht="15" customHeight="1">
      <c r="D1309" s="39"/>
      <c r="E1309" s="40"/>
      <c r="F1309" s="53"/>
      <c r="K1309" s="38"/>
      <c r="L1309" s="38"/>
      <c r="M1309" s="43"/>
      <c r="N1309" s="42"/>
      <c r="O1309" s="50"/>
      <c r="P1309" s="38"/>
      <c r="Q1309" s="41"/>
      <c r="R1309" s="43"/>
      <c r="S1309" s="43"/>
      <c r="T1309" s="41"/>
      <c r="U1309" s="41"/>
      <c r="V1309" s="41"/>
    </row>
    <row r="1310" spans="4:22" ht="15" customHeight="1">
      <c r="D1310" s="39"/>
      <c r="E1310" s="40"/>
      <c r="F1310" s="53"/>
      <c r="K1310" s="38"/>
      <c r="L1310" s="38"/>
      <c r="M1310" s="43"/>
      <c r="N1310" s="42"/>
      <c r="O1310" s="50"/>
      <c r="P1310" s="38"/>
      <c r="Q1310" s="41"/>
      <c r="R1310" s="43"/>
      <c r="S1310" s="43"/>
      <c r="T1310" s="41"/>
      <c r="U1310" s="41"/>
      <c r="V1310" s="41"/>
    </row>
    <row r="1311" spans="4:22" ht="15" customHeight="1">
      <c r="D1311" s="39"/>
      <c r="E1311" s="40"/>
      <c r="F1311" s="54"/>
      <c r="K1311" s="38"/>
      <c r="L1311" s="38"/>
      <c r="M1311" s="43"/>
      <c r="N1311" s="42"/>
      <c r="O1311" s="50"/>
      <c r="P1311" s="38"/>
      <c r="Q1311" s="41"/>
      <c r="R1311" s="43"/>
      <c r="S1311" s="43"/>
      <c r="T1311" s="41"/>
      <c r="U1311" s="41"/>
      <c r="V1311" s="41"/>
    </row>
    <row r="1312" spans="4:22" ht="15" customHeight="1">
      <c r="D1312" s="39"/>
      <c r="E1312" s="40"/>
      <c r="F1312" s="54"/>
      <c r="K1312" s="38"/>
      <c r="L1312" s="38"/>
      <c r="M1312" s="43"/>
      <c r="N1312" s="42"/>
      <c r="O1312" s="50"/>
      <c r="P1312" s="38"/>
      <c r="Q1312" s="41"/>
      <c r="R1312" s="43"/>
      <c r="S1312" s="43"/>
      <c r="T1312" s="41"/>
      <c r="U1312" s="41"/>
      <c r="V1312" s="41"/>
    </row>
    <row r="1313" spans="4:24" ht="15" customHeight="1">
      <c r="D1313" s="39"/>
      <c r="E1313" s="40"/>
      <c r="F1313" s="54"/>
      <c r="K1313" s="38"/>
      <c r="L1313" s="38"/>
      <c r="M1313" s="43"/>
      <c r="N1313" s="42"/>
      <c r="O1313" s="50"/>
      <c r="P1313" s="38"/>
      <c r="Q1313" s="41"/>
      <c r="R1313" s="43"/>
      <c r="S1313" s="43"/>
      <c r="T1313" s="41"/>
      <c r="U1313" s="41"/>
      <c r="V1313" s="41"/>
    </row>
    <row r="1314" spans="4:24" ht="15" customHeight="1">
      <c r="D1314" s="39"/>
      <c r="E1314" s="40"/>
      <c r="F1314" s="53"/>
      <c r="K1314" s="38"/>
      <c r="L1314" s="38"/>
      <c r="M1314" s="43"/>
      <c r="N1314" s="42"/>
      <c r="O1314" s="50"/>
      <c r="P1314" s="38"/>
      <c r="Q1314" s="41"/>
      <c r="R1314" s="43"/>
      <c r="S1314" s="43"/>
      <c r="T1314" s="41"/>
      <c r="U1314" s="41"/>
      <c r="V1314" s="41"/>
    </row>
    <row r="1315" spans="4:24" ht="15" customHeight="1">
      <c r="D1315" s="39"/>
      <c r="E1315" s="40"/>
      <c r="F1315" s="53"/>
      <c r="K1315" s="38"/>
      <c r="L1315" s="38"/>
      <c r="M1315" s="43"/>
      <c r="N1315" s="42"/>
      <c r="O1315" s="50"/>
      <c r="P1315" s="38"/>
      <c r="Q1315" s="41"/>
      <c r="R1315" s="43"/>
      <c r="S1315" s="43"/>
      <c r="T1315" s="41"/>
      <c r="U1315" s="41"/>
      <c r="V1315" s="41"/>
    </row>
    <row r="1316" spans="4:24" ht="15" customHeight="1">
      <c r="D1316" s="39"/>
      <c r="E1316" s="40"/>
      <c r="F1316" s="54"/>
      <c r="K1316" s="38"/>
      <c r="L1316" s="38"/>
      <c r="M1316" s="43"/>
      <c r="N1316" s="42"/>
      <c r="O1316" s="50"/>
      <c r="P1316" s="38"/>
      <c r="Q1316" s="41"/>
      <c r="R1316" s="43"/>
      <c r="S1316" s="43"/>
      <c r="T1316" s="41"/>
      <c r="U1316" s="41"/>
      <c r="V1316" s="41"/>
    </row>
    <row r="1317" spans="4:24" ht="15" customHeight="1">
      <c r="D1317" s="39"/>
      <c r="E1317" s="40"/>
      <c r="F1317" s="53"/>
      <c r="K1317" s="38"/>
      <c r="L1317" s="38"/>
      <c r="M1317" s="43"/>
      <c r="N1317" s="42"/>
      <c r="O1317" s="50"/>
      <c r="P1317" s="38"/>
      <c r="Q1317" s="41"/>
      <c r="R1317" s="43"/>
      <c r="S1317" s="43"/>
      <c r="T1317" s="41"/>
      <c r="U1317" s="41"/>
      <c r="V1317" s="41"/>
    </row>
    <row r="1318" spans="4:24" ht="15" customHeight="1">
      <c r="D1318" s="39"/>
      <c r="E1318" s="40"/>
      <c r="F1318" s="53"/>
      <c r="K1318" s="38"/>
      <c r="L1318" s="38"/>
      <c r="M1318" s="43"/>
      <c r="N1318" s="42"/>
      <c r="O1318" s="50"/>
      <c r="P1318" s="38"/>
      <c r="Q1318" s="41"/>
      <c r="R1318" s="43"/>
      <c r="S1318" s="43"/>
      <c r="T1318" s="41"/>
      <c r="U1318" s="41"/>
      <c r="V1318" s="41"/>
    </row>
    <row r="1319" spans="4:24" ht="15" customHeight="1">
      <c r="D1319" s="39"/>
      <c r="E1319" s="40"/>
      <c r="F1319" s="54"/>
      <c r="K1319" s="38"/>
      <c r="L1319" s="38"/>
      <c r="M1319" s="43"/>
      <c r="N1319" s="42"/>
      <c r="O1319" s="50"/>
      <c r="P1319" s="38"/>
      <c r="Q1319" s="41"/>
      <c r="R1319" s="43"/>
      <c r="S1319" s="43"/>
      <c r="T1319" s="41"/>
      <c r="U1319" s="41"/>
      <c r="V1319" s="41"/>
    </row>
    <row r="1320" spans="4:24" ht="15" customHeight="1">
      <c r="D1320" s="39"/>
      <c r="E1320" s="40"/>
      <c r="F1320" s="53"/>
      <c r="K1320" s="38"/>
      <c r="L1320" s="38"/>
      <c r="M1320" s="43"/>
      <c r="N1320" s="42"/>
      <c r="O1320" s="50"/>
      <c r="P1320" s="38"/>
      <c r="Q1320" s="41"/>
      <c r="R1320" s="43"/>
      <c r="S1320" s="43"/>
      <c r="T1320" s="41"/>
      <c r="U1320" s="41"/>
      <c r="V1320" s="41"/>
    </row>
    <row r="1321" spans="4:24" ht="15" customHeight="1">
      <c r="D1321" s="39"/>
      <c r="E1321" s="40"/>
      <c r="F1321" s="53"/>
      <c r="K1321" s="38"/>
      <c r="L1321" s="38"/>
      <c r="M1321" s="43"/>
      <c r="N1321" s="42"/>
      <c r="O1321" s="50"/>
      <c r="P1321" s="38"/>
      <c r="Q1321" s="41"/>
      <c r="R1321" s="43"/>
      <c r="S1321" s="43"/>
      <c r="T1321" s="41"/>
      <c r="U1321" s="41"/>
      <c r="V1321" s="41"/>
    </row>
    <row r="1322" spans="4:24" ht="15" customHeight="1">
      <c r="D1322" s="39"/>
      <c r="E1322" s="40"/>
      <c r="F1322" s="54"/>
      <c r="K1322" s="38"/>
      <c r="L1322" s="38"/>
      <c r="M1322" s="43"/>
      <c r="N1322" s="42"/>
      <c r="O1322" s="50"/>
      <c r="P1322" s="38"/>
      <c r="Q1322" s="41"/>
      <c r="R1322" s="43"/>
      <c r="S1322" s="43"/>
      <c r="T1322" s="41"/>
      <c r="U1322" s="41"/>
      <c r="V1322" s="41"/>
    </row>
    <row r="1323" spans="4:24" ht="15" customHeight="1">
      <c r="D1323" s="39"/>
      <c r="E1323" s="40"/>
      <c r="F1323" s="53"/>
      <c r="K1323" s="38"/>
      <c r="L1323" s="38"/>
      <c r="M1323" s="43"/>
      <c r="N1323" s="42"/>
      <c r="O1323" s="50"/>
      <c r="P1323" s="38"/>
      <c r="Q1323" s="41"/>
      <c r="R1323" s="43"/>
      <c r="S1323" s="43"/>
      <c r="T1323" s="41"/>
      <c r="U1323" s="41"/>
      <c r="V1323" s="41"/>
    </row>
    <row r="1324" spans="4:24" ht="15" customHeight="1">
      <c r="D1324" s="39"/>
      <c r="E1324" s="40"/>
      <c r="F1324" s="54"/>
      <c r="K1324" s="38"/>
      <c r="L1324" s="38"/>
      <c r="M1324" s="43"/>
      <c r="N1324" s="42"/>
      <c r="O1324" s="50"/>
      <c r="P1324" s="38"/>
      <c r="Q1324" s="41"/>
      <c r="R1324" s="43"/>
      <c r="S1324" s="43"/>
      <c r="T1324" s="41"/>
      <c r="U1324" s="41"/>
      <c r="V1324" s="41"/>
      <c r="X1324" s="62"/>
    </row>
    <row r="1325" spans="4:24" ht="15" customHeight="1">
      <c r="D1325" s="39"/>
      <c r="E1325" s="40"/>
      <c r="F1325" s="53"/>
      <c r="K1325" s="38"/>
      <c r="L1325" s="38"/>
      <c r="M1325" s="43"/>
      <c r="N1325" s="42"/>
      <c r="O1325" s="50"/>
      <c r="P1325" s="38"/>
      <c r="Q1325" s="41"/>
      <c r="R1325" s="43"/>
      <c r="S1325" s="43"/>
      <c r="T1325" s="41"/>
      <c r="U1325" s="41"/>
      <c r="V1325" s="41"/>
      <c r="X1325" s="62"/>
    </row>
    <row r="1326" spans="4:24" ht="15" customHeight="1">
      <c r="D1326" s="39"/>
      <c r="E1326" s="40"/>
      <c r="F1326" s="54"/>
      <c r="K1326" s="38"/>
      <c r="L1326" s="38"/>
      <c r="M1326" s="43"/>
      <c r="N1326" s="42"/>
      <c r="O1326" s="50"/>
      <c r="P1326" s="38"/>
      <c r="Q1326" s="41"/>
      <c r="R1326" s="43"/>
      <c r="S1326" s="43"/>
      <c r="T1326" s="41"/>
      <c r="U1326" s="41"/>
      <c r="V1326" s="41"/>
      <c r="X1326" s="62"/>
    </row>
    <row r="1327" spans="4:24" ht="15" customHeight="1">
      <c r="D1327" s="39"/>
      <c r="E1327" s="40"/>
      <c r="F1327" s="54"/>
      <c r="K1327" s="38"/>
      <c r="L1327" s="38"/>
      <c r="M1327" s="43"/>
      <c r="N1327" s="42"/>
      <c r="O1327" s="50"/>
      <c r="P1327" s="38"/>
      <c r="Q1327" s="41"/>
      <c r="R1327" s="43"/>
      <c r="S1327" s="43"/>
      <c r="T1327" s="41"/>
      <c r="U1327" s="41"/>
      <c r="V1327" s="41"/>
      <c r="X1327" s="62"/>
    </row>
    <row r="1328" spans="4:24" ht="15" customHeight="1">
      <c r="D1328" s="39"/>
      <c r="E1328" s="40"/>
      <c r="K1328" s="38"/>
      <c r="L1328" s="38"/>
      <c r="M1328" s="43"/>
      <c r="N1328" s="42"/>
      <c r="O1328" s="50"/>
      <c r="P1328" s="38"/>
      <c r="Q1328" s="41"/>
      <c r="R1328" s="43"/>
      <c r="S1328" s="43"/>
      <c r="T1328" s="41"/>
      <c r="U1328" s="41"/>
      <c r="V1328" s="41"/>
      <c r="X1328" s="62"/>
    </row>
    <row r="1329" spans="4:24" ht="15" customHeight="1">
      <c r="D1329" s="39"/>
      <c r="E1329" s="40"/>
      <c r="K1329" s="38"/>
      <c r="L1329" s="38"/>
      <c r="M1329" s="43"/>
      <c r="N1329" s="42"/>
      <c r="O1329" s="50"/>
      <c r="P1329" s="38"/>
      <c r="Q1329" s="41"/>
      <c r="R1329" s="43"/>
      <c r="S1329" s="43"/>
      <c r="T1329" s="41"/>
      <c r="U1329" s="41"/>
      <c r="V1329" s="41"/>
      <c r="X1329" s="62"/>
    </row>
    <row r="1330" spans="4:24" ht="15" customHeight="1">
      <c r="D1330" s="39"/>
      <c r="E1330" s="40"/>
      <c r="K1330" s="38"/>
      <c r="L1330" s="38"/>
      <c r="M1330" s="43"/>
      <c r="N1330" s="42"/>
      <c r="O1330" s="50"/>
      <c r="P1330" s="38"/>
      <c r="Q1330" s="41"/>
      <c r="R1330" s="43"/>
      <c r="S1330" s="43"/>
      <c r="T1330" s="41"/>
      <c r="U1330" s="41"/>
      <c r="V1330" s="41"/>
      <c r="X1330" s="62"/>
    </row>
    <row r="1331" spans="4:24" ht="15" customHeight="1">
      <c r="D1331" s="39"/>
      <c r="E1331" s="40"/>
      <c r="K1331" s="38"/>
      <c r="L1331" s="38"/>
      <c r="M1331" s="43"/>
      <c r="N1331" s="42"/>
      <c r="O1331" s="50"/>
      <c r="P1331" s="38"/>
      <c r="Q1331" s="41"/>
      <c r="R1331" s="43"/>
      <c r="S1331" s="43"/>
      <c r="T1331" s="41"/>
      <c r="U1331" s="41"/>
      <c r="V1331" s="41"/>
      <c r="X1331" s="62"/>
    </row>
    <row r="1332" spans="4:24" ht="15" customHeight="1">
      <c r="D1332" s="39"/>
      <c r="E1332" s="40"/>
      <c r="K1332" s="38"/>
      <c r="L1332" s="38"/>
      <c r="M1332" s="43"/>
      <c r="N1332" s="42"/>
      <c r="O1332" s="50"/>
      <c r="P1332" s="38"/>
      <c r="Q1332" s="41"/>
      <c r="R1332" s="43"/>
      <c r="S1332" s="43"/>
      <c r="T1332" s="41"/>
      <c r="U1332" s="41"/>
      <c r="V1332" s="41"/>
      <c r="X1332" s="62"/>
    </row>
    <row r="1333" spans="4:24" ht="15" customHeight="1">
      <c r="D1333" s="39"/>
      <c r="E1333" s="40"/>
      <c r="K1333" s="38"/>
      <c r="L1333" s="38"/>
      <c r="M1333" s="43"/>
      <c r="N1333" s="42"/>
      <c r="O1333" s="50"/>
      <c r="P1333" s="38"/>
      <c r="Q1333" s="41"/>
      <c r="R1333" s="43"/>
      <c r="S1333" s="43"/>
      <c r="T1333" s="41"/>
      <c r="U1333" s="41"/>
      <c r="V1333" s="41"/>
      <c r="X1333" s="62"/>
    </row>
    <row r="1334" spans="4:24" ht="15" customHeight="1">
      <c r="D1334" s="39"/>
      <c r="E1334" s="40"/>
      <c r="K1334" s="38"/>
      <c r="L1334" s="38"/>
      <c r="M1334" s="43"/>
      <c r="N1334" s="42"/>
      <c r="O1334" s="50"/>
      <c r="P1334" s="38"/>
      <c r="Q1334" s="41"/>
      <c r="R1334" s="43"/>
      <c r="S1334" s="43"/>
      <c r="T1334" s="41"/>
      <c r="U1334" s="41"/>
      <c r="V1334" s="41"/>
      <c r="X1334" s="62"/>
    </row>
    <row r="1335" spans="4:24" ht="15" customHeight="1">
      <c r="D1335" s="39"/>
      <c r="E1335" s="40"/>
      <c r="K1335" s="38"/>
      <c r="L1335" s="38"/>
      <c r="M1335" s="43"/>
      <c r="N1335" s="42"/>
      <c r="O1335" s="50"/>
      <c r="P1335" s="38"/>
      <c r="Q1335" s="41"/>
      <c r="R1335" s="43"/>
      <c r="S1335" s="43"/>
      <c r="T1335" s="41"/>
      <c r="U1335" s="41"/>
      <c r="V1335" s="41"/>
      <c r="X1335" s="62"/>
    </row>
    <row r="1336" spans="4:24" ht="15" customHeight="1">
      <c r="D1336" s="39"/>
      <c r="E1336" s="40"/>
      <c r="K1336" s="38"/>
      <c r="L1336" s="38"/>
      <c r="M1336" s="43"/>
      <c r="N1336" s="42"/>
      <c r="O1336" s="50"/>
      <c r="P1336" s="38"/>
      <c r="Q1336" s="41"/>
      <c r="R1336" s="43"/>
      <c r="S1336" s="43"/>
      <c r="T1336" s="41"/>
      <c r="U1336" s="41"/>
      <c r="V1336" s="41"/>
      <c r="X1336" s="62"/>
    </row>
    <row r="1337" spans="4:24" ht="15" customHeight="1">
      <c r="D1337" s="39"/>
      <c r="E1337" s="40"/>
      <c r="K1337" s="38"/>
      <c r="L1337" s="38"/>
      <c r="M1337" s="43"/>
      <c r="N1337" s="42"/>
      <c r="O1337" s="50"/>
      <c r="P1337" s="38"/>
      <c r="Q1337" s="41"/>
      <c r="R1337" s="43"/>
      <c r="S1337" s="43"/>
      <c r="T1337" s="41"/>
      <c r="U1337" s="41"/>
      <c r="V1337" s="41"/>
      <c r="X1337" s="62"/>
    </row>
    <row r="1338" spans="4:24" ht="15" customHeight="1">
      <c r="D1338" s="39"/>
      <c r="E1338" s="40"/>
      <c r="K1338" s="38"/>
      <c r="L1338" s="38"/>
      <c r="M1338" s="43"/>
      <c r="N1338" s="42"/>
      <c r="O1338" s="50"/>
      <c r="P1338" s="38"/>
      <c r="Q1338" s="41"/>
      <c r="R1338" s="43"/>
      <c r="S1338" s="43"/>
      <c r="T1338" s="41"/>
      <c r="U1338" s="41"/>
      <c r="V1338" s="41"/>
      <c r="X1338" s="62"/>
    </row>
    <row r="1339" spans="4:24" ht="15" customHeight="1">
      <c r="D1339" s="39"/>
      <c r="E1339" s="40"/>
      <c r="K1339" s="38"/>
      <c r="L1339" s="38"/>
      <c r="M1339" s="43"/>
      <c r="N1339" s="42"/>
      <c r="O1339" s="50"/>
      <c r="P1339" s="38"/>
      <c r="Q1339" s="41"/>
      <c r="R1339" s="43"/>
      <c r="S1339" s="43"/>
      <c r="T1339" s="41"/>
      <c r="U1339" s="41"/>
      <c r="V1339" s="41"/>
      <c r="X1339" s="62"/>
    </row>
    <row r="1340" spans="4:24" ht="15" customHeight="1">
      <c r="D1340" s="39"/>
      <c r="E1340" s="40"/>
      <c r="K1340" s="38"/>
      <c r="L1340" s="38"/>
      <c r="M1340" s="43"/>
      <c r="N1340" s="42"/>
      <c r="O1340" s="50"/>
      <c r="P1340" s="38"/>
      <c r="Q1340" s="41"/>
      <c r="R1340" s="43"/>
      <c r="S1340" s="43"/>
      <c r="T1340" s="41"/>
      <c r="U1340" s="41"/>
      <c r="V1340" s="41"/>
      <c r="X1340" s="62"/>
    </row>
    <row r="1341" spans="4:24" ht="15" customHeight="1">
      <c r="D1341" s="39"/>
      <c r="E1341" s="40"/>
      <c r="K1341" s="38"/>
      <c r="L1341" s="38"/>
      <c r="M1341" s="43"/>
      <c r="N1341" s="42"/>
      <c r="O1341" s="50"/>
      <c r="P1341" s="38"/>
      <c r="Q1341" s="41"/>
      <c r="R1341" s="43"/>
      <c r="S1341" s="43"/>
      <c r="T1341" s="41"/>
      <c r="U1341" s="41"/>
      <c r="V1341" s="41"/>
      <c r="X1341" s="62"/>
    </row>
    <row r="1342" spans="4:24" ht="15" customHeight="1">
      <c r="D1342" s="39"/>
      <c r="E1342" s="40"/>
      <c r="K1342" s="38"/>
      <c r="L1342" s="38"/>
      <c r="M1342" s="43"/>
      <c r="N1342" s="42"/>
      <c r="O1342" s="50"/>
      <c r="P1342" s="38"/>
      <c r="Q1342" s="41"/>
      <c r="R1342" s="43"/>
      <c r="S1342" s="43"/>
      <c r="T1342" s="41"/>
      <c r="U1342" s="41"/>
      <c r="V1342" s="41"/>
      <c r="X1342" s="62"/>
    </row>
    <row r="1343" spans="4:24" ht="15" customHeight="1">
      <c r="D1343" s="39"/>
      <c r="E1343" s="40"/>
      <c r="K1343" s="38"/>
      <c r="L1343" s="38"/>
      <c r="M1343" s="43"/>
      <c r="N1343" s="42"/>
      <c r="O1343" s="50"/>
      <c r="P1343" s="38"/>
      <c r="Q1343" s="41"/>
      <c r="R1343" s="43"/>
      <c r="S1343" s="43"/>
      <c r="T1343" s="41"/>
      <c r="U1343" s="41"/>
      <c r="V1343" s="41"/>
      <c r="X1343" s="62"/>
    </row>
    <row r="1344" spans="4:24" ht="15" customHeight="1">
      <c r="D1344" s="39"/>
      <c r="E1344" s="40"/>
      <c r="K1344" s="38"/>
      <c r="L1344" s="38"/>
      <c r="M1344" s="43"/>
      <c r="N1344" s="42"/>
      <c r="O1344" s="50"/>
      <c r="P1344" s="38"/>
      <c r="Q1344" s="41"/>
      <c r="R1344" s="43"/>
      <c r="S1344" s="43"/>
      <c r="T1344" s="41"/>
      <c r="U1344" s="41"/>
      <c r="V1344" s="41"/>
      <c r="X1344" s="62"/>
    </row>
    <row r="1345" spans="4:24" ht="15" customHeight="1">
      <c r="D1345" s="39"/>
      <c r="E1345" s="40"/>
      <c r="K1345" s="38"/>
      <c r="L1345" s="38"/>
      <c r="M1345" s="43"/>
      <c r="N1345" s="42"/>
      <c r="O1345" s="50"/>
      <c r="P1345" s="38"/>
      <c r="Q1345" s="41"/>
      <c r="R1345" s="43"/>
      <c r="S1345" s="43"/>
      <c r="T1345" s="41"/>
      <c r="U1345" s="41"/>
      <c r="V1345" s="41"/>
      <c r="X1345" s="62"/>
    </row>
    <row r="1346" spans="4:24" ht="15" customHeight="1">
      <c r="D1346" s="39"/>
      <c r="E1346" s="40"/>
      <c r="K1346" s="38"/>
      <c r="L1346" s="38"/>
      <c r="M1346" s="43"/>
      <c r="N1346" s="42"/>
      <c r="O1346" s="50"/>
      <c r="P1346" s="38"/>
      <c r="Q1346" s="41"/>
      <c r="R1346" s="43"/>
      <c r="S1346" s="43"/>
      <c r="T1346" s="41"/>
      <c r="U1346" s="41"/>
      <c r="V1346" s="41"/>
      <c r="X1346" s="62"/>
    </row>
    <row r="1347" spans="4:24" ht="15" customHeight="1">
      <c r="D1347" s="39"/>
      <c r="E1347" s="40"/>
      <c r="K1347" s="38"/>
      <c r="L1347" s="38"/>
      <c r="M1347" s="43"/>
      <c r="N1347" s="42"/>
      <c r="O1347" s="50"/>
      <c r="P1347" s="38"/>
      <c r="Q1347" s="41"/>
      <c r="R1347" s="43"/>
      <c r="S1347" s="43"/>
      <c r="T1347" s="41"/>
      <c r="U1347" s="41"/>
      <c r="V1347" s="41"/>
      <c r="X1347" s="62"/>
    </row>
    <row r="1348" spans="4:24" ht="15" customHeight="1">
      <c r="D1348" s="39"/>
      <c r="E1348" s="40"/>
      <c r="K1348" s="38"/>
      <c r="L1348" s="38"/>
      <c r="M1348" s="43"/>
      <c r="N1348" s="42"/>
      <c r="O1348" s="50"/>
      <c r="P1348" s="38"/>
      <c r="Q1348" s="41"/>
      <c r="R1348" s="43"/>
      <c r="S1348" s="43"/>
      <c r="T1348" s="41"/>
      <c r="U1348" s="41"/>
      <c r="V1348" s="41"/>
      <c r="X1348" s="62"/>
    </row>
    <row r="1349" spans="4:24" ht="15" customHeight="1">
      <c r="D1349" s="39"/>
      <c r="E1349" s="40"/>
      <c r="K1349" s="38"/>
      <c r="L1349" s="38"/>
      <c r="M1349" s="43"/>
      <c r="N1349" s="42"/>
      <c r="O1349" s="50"/>
      <c r="P1349" s="38"/>
      <c r="Q1349" s="41"/>
      <c r="R1349" s="43"/>
      <c r="S1349" s="43"/>
      <c r="T1349" s="41"/>
      <c r="U1349" s="41"/>
      <c r="V1349" s="41"/>
      <c r="X1349" s="62"/>
    </row>
    <row r="1350" spans="4:24" ht="15" customHeight="1">
      <c r="D1350" s="39"/>
      <c r="E1350" s="40"/>
      <c r="K1350" s="38"/>
      <c r="L1350" s="38"/>
      <c r="M1350" s="43"/>
      <c r="N1350" s="42"/>
      <c r="O1350" s="50"/>
      <c r="P1350" s="38"/>
      <c r="Q1350" s="41"/>
      <c r="R1350" s="43"/>
      <c r="S1350" s="43"/>
      <c r="T1350" s="41"/>
      <c r="U1350" s="41"/>
      <c r="V1350" s="41"/>
      <c r="X1350" s="62"/>
    </row>
    <row r="1351" spans="4:24" ht="15" customHeight="1">
      <c r="D1351" s="39"/>
      <c r="E1351" s="40"/>
      <c r="K1351" s="38"/>
      <c r="L1351" s="38"/>
      <c r="M1351" s="43"/>
      <c r="N1351" s="42"/>
      <c r="O1351" s="50"/>
      <c r="P1351" s="38"/>
      <c r="Q1351" s="41"/>
      <c r="R1351" s="43"/>
      <c r="S1351" s="43"/>
      <c r="T1351" s="41"/>
      <c r="U1351" s="41"/>
      <c r="V1351" s="41"/>
      <c r="X1351" s="62"/>
    </row>
    <row r="1352" spans="4:24" ht="15" customHeight="1">
      <c r="D1352" s="39"/>
      <c r="E1352" s="40"/>
      <c r="K1352" s="38"/>
      <c r="L1352" s="38"/>
      <c r="M1352" s="43"/>
      <c r="N1352" s="42"/>
      <c r="O1352" s="50"/>
      <c r="P1352" s="38"/>
      <c r="Q1352" s="41"/>
      <c r="R1352" s="43"/>
      <c r="S1352" s="43"/>
      <c r="T1352" s="41"/>
      <c r="U1352" s="41"/>
      <c r="V1352" s="41"/>
      <c r="X1352" s="62"/>
    </row>
    <row r="1353" spans="4:24" ht="15" customHeight="1">
      <c r="D1353" s="39"/>
      <c r="E1353" s="40"/>
      <c r="K1353" s="38"/>
      <c r="L1353" s="38"/>
      <c r="M1353" s="43"/>
      <c r="N1353" s="42"/>
      <c r="O1353" s="50"/>
      <c r="P1353" s="38"/>
      <c r="Q1353" s="41"/>
      <c r="R1353" s="43"/>
      <c r="S1353" s="43"/>
      <c r="T1353" s="41"/>
      <c r="U1353" s="41"/>
      <c r="V1353" s="41"/>
      <c r="X1353" s="62"/>
    </row>
    <row r="1354" spans="4:24" ht="15" customHeight="1">
      <c r="D1354" s="39"/>
      <c r="E1354" s="40"/>
      <c r="K1354" s="38"/>
      <c r="L1354" s="38"/>
      <c r="M1354" s="43"/>
      <c r="N1354" s="42"/>
      <c r="O1354" s="50"/>
      <c r="P1354" s="38"/>
      <c r="Q1354" s="41"/>
      <c r="R1354" s="43"/>
      <c r="S1354" s="43"/>
      <c r="T1354" s="41"/>
      <c r="U1354" s="41"/>
      <c r="V1354" s="41"/>
      <c r="X1354" s="62"/>
    </row>
    <row r="1355" spans="4:24" ht="15" customHeight="1">
      <c r="D1355" s="39"/>
      <c r="E1355" s="40"/>
      <c r="K1355" s="38"/>
      <c r="L1355" s="38"/>
      <c r="M1355" s="43"/>
      <c r="N1355" s="42"/>
      <c r="O1355" s="50"/>
      <c r="P1355" s="38"/>
      <c r="Q1355" s="41"/>
      <c r="R1355" s="43"/>
      <c r="S1355" s="43"/>
      <c r="T1355" s="41"/>
      <c r="U1355" s="41"/>
      <c r="V1355" s="41"/>
      <c r="X1355" s="62"/>
    </row>
    <row r="1356" spans="4:24" ht="15" customHeight="1">
      <c r="D1356" s="39"/>
      <c r="E1356" s="40"/>
      <c r="K1356" s="38"/>
      <c r="L1356" s="38"/>
      <c r="M1356" s="43"/>
      <c r="N1356" s="42"/>
      <c r="O1356" s="50"/>
      <c r="P1356" s="38"/>
      <c r="Q1356" s="41"/>
      <c r="R1356" s="43"/>
      <c r="S1356" s="43"/>
      <c r="T1356" s="41"/>
      <c r="U1356" s="41"/>
      <c r="V1356" s="41"/>
      <c r="X1356" s="62"/>
    </row>
    <row r="1357" spans="4:24" ht="15" customHeight="1">
      <c r="D1357" s="39"/>
      <c r="E1357" s="40"/>
      <c r="K1357" s="38"/>
      <c r="L1357" s="38"/>
      <c r="M1357" s="43"/>
      <c r="N1357" s="42"/>
      <c r="O1357" s="50"/>
      <c r="P1357" s="38"/>
      <c r="Q1357" s="41"/>
      <c r="R1357" s="43"/>
      <c r="S1357" s="43"/>
      <c r="T1357" s="41"/>
      <c r="U1357" s="41"/>
      <c r="V1357" s="41"/>
      <c r="X1357" s="62"/>
    </row>
    <row r="1358" spans="4:24" ht="15" customHeight="1">
      <c r="D1358" s="39"/>
      <c r="E1358" s="40"/>
      <c r="K1358" s="38"/>
      <c r="L1358" s="38"/>
      <c r="M1358" s="43"/>
      <c r="N1358" s="42"/>
      <c r="O1358" s="50"/>
      <c r="P1358" s="38"/>
      <c r="Q1358" s="41"/>
      <c r="R1358" s="43"/>
      <c r="S1358" s="43"/>
      <c r="T1358" s="41"/>
      <c r="U1358" s="41"/>
      <c r="V1358" s="41"/>
      <c r="X1358" s="62"/>
    </row>
    <row r="1359" spans="4:24" ht="15" customHeight="1">
      <c r="D1359" s="39"/>
      <c r="E1359" s="40"/>
      <c r="K1359" s="38"/>
      <c r="L1359" s="38"/>
      <c r="M1359" s="43"/>
      <c r="N1359" s="42"/>
      <c r="O1359" s="50"/>
      <c r="P1359" s="38"/>
      <c r="Q1359" s="41"/>
      <c r="R1359" s="43"/>
      <c r="S1359" s="43"/>
      <c r="T1359" s="41"/>
      <c r="U1359" s="41"/>
      <c r="V1359" s="41"/>
      <c r="X1359" s="62"/>
    </row>
    <row r="1360" spans="4:24" ht="15" customHeight="1">
      <c r="D1360" s="39"/>
      <c r="E1360" s="40"/>
      <c r="K1360" s="38"/>
      <c r="L1360" s="38"/>
      <c r="M1360" s="43"/>
      <c r="N1360" s="42"/>
      <c r="O1360" s="50"/>
      <c r="P1360" s="38"/>
      <c r="Q1360" s="41"/>
      <c r="R1360" s="43"/>
      <c r="S1360" s="43"/>
      <c r="T1360" s="41"/>
      <c r="U1360" s="41"/>
      <c r="V1360" s="41"/>
      <c r="X1360" s="62"/>
    </row>
    <row r="1361" spans="4:25" ht="15" customHeight="1">
      <c r="D1361" s="39"/>
      <c r="E1361" s="40"/>
      <c r="K1361" s="38"/>
      <c r="L1361" s="38"/>
      <c r="M1361" s="43"/>
      <c r="N1361" s="42"/>
      <c r="O1361" s="50"/>
      <c r="P1361" s="38"/>
      <c r="Q1361" s="41"/>
      <c r="R1361" s="43"/>
      <c r="S1361" s="43"/>
      <c r="T1361" s="41"/>
      <c r="U1361" s="41"/>
      <c r="V1361" s="41"/>
      <c r="X1361" s="62"/>
    </row>
    <row r="1362" spans="4:25" ht="15" customHeight="1">
      <c r="D1362" s="39"/>
      <c r="E1362" s="40"/>
      <c r="K1362" s="38"/>
      <c r="L1362" s="38"/>
      <c r="M1362" s="43"/>
      <c r="N1362" s="42"/>
      <c r="O1362" s="50"/>
      <c r="P1362" s="38"/>
      <c r="Q1362" s="41"/>
      <c r="R1362" s="43"/>
      <c r="S1362" s="43"/>
      <c r="T1362" s="41"/>
      <c r="U1362" s="41"/>
      <c r="V1362" s="41"/>
      <c r="X1362" s="62"/>
    </row>
    <row r="1363" spans="4:25" ht="15" customHeight="1">
      <c r="D1363" s="39"/>
      <c r="E1363" s="40"/>
      <c r="K1363" s="38"/>
      <c r="L1363" s="38"/>
      <c r="M1363" s="43"/>
      <c r="N1363" s="42"/>
      <c r="O1363" s="50"/>
      <c r="P1363" s="38"/>
      <c r="Q1363" s="41"/>
      <c r="R1363" s="43"/>
      <c r="S1363" s="43"/>
      <c r="T1363" s="41"/>
      <c r="U1363" s="41"/>
      <c r="V1363" s="41"/>
      <c r="X1363" s="62"/>
    </row>
    <row r="1364" spans="4:25" ht="15" customHeight="1">
      <c r="D1364" s="39"/>
      <c r="E1364" s="40"/>
      <c r="K1364" s="38"/>
      <c r="L1364" s="38"/>
      <c r="M1364" s="43"/>
      <c r="N1364" s="42"/>
      <c r="O1364" s="50"/>
      <c r="P1364" s="38"/>
      <c r="Q1364" s="41"/>
      <c r="R1364" s="43"/>
      <c r="S1364" s="43"/>
      <c r="T1364" s="41"/>
      <c r="U1364" s="41"/>
      <c r="V1364" s="41"/>
      <c r="X1364" s="70"/>
    </row>
    <row r="1365" spans="4:25" ht="15" customHeight="1">
      <c r="D1365" s="39"/>
      <c r="E1365" s="40"/>
      <c r="K1365" s="38"/>
      <c r="L1365" s="38"/>
      <c r="M1365" s="43"/>
      <c r="N1365" s="42"/>
      <c r="O1365" s="50"/>
      <c r="P1365" s="38"/>
      <c r="Q1365" s="41"/>
      <c r="R1365" s="43"/>
      <c r="S1365" s="43"/>
      <c r="T1365" s="41"/>
      <c r="U1365" s="41"/>
      <c r="V1365" s="41"/>
      <c r="X1365" s="41"/>
    </row>
    <row r="1366" spans="4:25" ht="15" customHeight="1">
      <c r="D1366" s="39"/>
      <c r="E1366" s="40"/>
      <c r="K1366" s="38"/>
      <c r="L1366" s="38"/>
      <c r="M1366" s="43"/>
      <c r="N1366" s="42"/>
      <c r="O1366" s="50"/>
      <c r="P1366" s="38"/>
      <c r="Q1366" s="41"/>
      <c r="R1366" s="43"/>
      <c r="S1366" s="43"/>
      <c r="T1366" s="41"/>
      <c r="U1366" s="41"/>
      <c r="V1366" s="41"/>
      <c r="X1366" s="41"/>
    </row>
    <row r="1367" spans="4:25" ht="15" customHeight="1">
      <c r="D1367" s="39"/>
      <c r="E1367" s="40"/>
      <c r="K1367" s="38"/>
      <c r="L1367" s="38"/>
      <c r="M1367" s="43"/>
      <c r="N1367" s="42"/>
      <c r="O1367" s="50"/>
      <c r="P1367" s="38"/>
      <c r="Q1367" s="41"/>
      <c r="R1367" s="43"/>
      <c r="S1367" s="43"/>
      <c r="T1367" s="41"/>
      <c r="U1367" s="41"/>
      <c r="V1367" s="41"/>
      <c r="X1367" s="41"/>
    </row>
    <row r="1368" spans="4:25" ht="15" customHeight="1">
      <c r="D1368" s="39"/>
      <c r="E1368" s="40"/>
      <c r="K1368" s="38"/>
      <c r="L1368" s="38"/>
      <c r="M1368" s="43"/>
      <c r="N1368" s="42"/>
      <c r="O1368" s="50"/>
      <c r="P1368" s="38"/>
      <c r="Q1368" s="41"/>
      <c r="R1368" s="43"/>
      <c r="S1368" s="43"/>
      <c r="T1368" s="41"/>
      <c r="U1368" s="41"/>
      <c r="V1368" s="41"/>
      <c r="X1368" s="41"/>
    </row>
    <row r="1369" spans="4:25" ht="15" customHeight="1">
      <c r="D1369" s="39"/>
      <c r="E1369" s="40"/>
      <c r="K1369" s="38"/>
      <c r="L1369" s="38"/>
      <c r="M1369" s="43"/>
      <c r="N1369" s="42"/>
      <c r="O1369" s="50"/>
      <c r="P1369" s="38"/>
      <c r="Q1369" s="41"/>
      <c r="R1369" s="43"/>
      <c r="S1369" s="43"/>
      <c r="T1369" s="41"/>
      <c r="U1369" s="41"/>
      <c r="V1369" s="41"/>
      <c r="X1369" s="41"/>
    </row>
    <row r="1370" spans="4:25" ht="15" customHeight="1">
      <c r="D1370" s="39"/>
      <c r="E1370" s="40"/>
      <c r="K1370" s="38"/>
      <c r="L1370" s="38"/>
      <c r="M1370" s="43"/>
      <c r="N1370" s="42"/>
      <c r="O1370" s="50"/>
      <c r="P1370" s="38"/>
      <c r="Q1370" s="41"/>
      <c r="R1370" s="43"/>
      <c r="S1370" s="43"/>
      <c r="T1370" s="41"/>
      <c r="U1370" s="41"/>
      <c r="V1370" s="41"/>
      <c r="X1370" s="41"/>
    </row>
    <row r="1371" spans="4:25" ht="15" customHeight="1">
      <c r="D1371" s="39"/>
      <c r="E1371" s="40"/>
      <c r="K1371" s="38"/>
      <c r="L1371" s="38"/>
      <c r="M1371" s="43"/>
      <c r="N1371" s="42"/>
      <c r="O1371" s="50"/>
      <c r="P1371" s="38"/>
      <c r="Q1371" s="41"/>
      <c r="R1371" s="43"/>
      <c r="S1371" s="43"/>
      <c r="T1371" s="41"/>
      <c r="U1371" s="41"/>
      <c r="V1371" s="41"/>
      <c r="X1371" s="41"/>
    </row>
    <row r="1372" spans="4:25" ht="15" customHeight="1">
      <c r="D1372" s="39"/>
      <c r="E1372" s="40"/>
      <c r="K1372" s="38"/>
      <c r="L1372" s="38"/>
      <c r="M1372" s="43"/>
      <c r="N1372" s="42"/>
      <c r="O1372" s="50"/>
      <c r="P1372" s="38"/>
      <c r="Q1372" s="41"/>
      <c r="R1372" s="43"/>
      <c r="S1372" s="43"/>
      <c r="T1372" s="41"/>
      <c r="U1372" s="41"/>
      <c r="V1372" s="41"/>
      <c r="X1372" s="41"/>
    </row>
    <row r="1373" spans="4:25" ht="15" customHeight="1">
      <c r="D1373" s="39"/>
      <c r="E1373" s="40"/>
      <c r="K1373" s="38"/>
      <c r="L1373" s="38"/>
      <c r="M1373" s="43"/>
      <c r="N1373" s="42"/>
      <c r="O1373" s="50"/>
      <c r="P1373" s="38"/>
      <c r="Q1373" s="41"/>
      <c r="R1373" s="43"/>
      <c r="S1373" s="43"/>
      <c r="T1373" s="41"/>
      <c r="U1373" s="41"/>
      <c r="V1373" s="41"/>
      <c r="X1373" s="41"/>
      <c r="Y1373" s="41"/>
    </row>
    <row r="1374" spans="4:25" ht="15" customHeight="1">
      <c r="D1374" s="39"/>
      <c r="E1374" s="40"/>
      <c r="K1374" s="38"/>
      <c r="L1374" s="38"/>
      <c r="M1374" s="43"/>
      <c r="N1374" s="42"/>
      <c r="O1374" s="50"/>
      <c r="P1374" s="38"/>
      <c r="Q1374" s="41"/>
      <c r="R1374" s="43"/>
      <c r="S1374" s="43"/>
      <c r="T1374" s="41"/>
      <c r="U1374" s="41"/>
      <c r="V1374" s="41"/>
      <c r="X1374" s="41"/>
      <c r="Y1374" s="41"/>
    </row>
    <row r="1375" spans="4:25" ht="15" customHeight="1">
      <c r="D1375" s="39"/>
      <c r="E1375" s="40"/>
      <c r="K1375" s="38"/>
      <c r="L1375" s="38"/>
      <c r="M1375" s="43"/>
      <c r="N1375" s="42"/>
      <c r="O1375" s="50"/>
      <c r="P1375" s="38"/>
      <c r="Q1375" s="41"/>
      <c r="R1375" s="43"/>
      <c r="S1375" s="43"/>
      <c r="T1375" s="41"/>
      <c r="U1375" s="41"/>
      <c r="V1375" s="41"/>
      <c r="X1375" s="41"/>
      <c r="Y1375" s="41"/>
    </row>
    <row r="1376" spans="4:25" ht="15" customHeight="1">
      <c r="D1376" s="39"/>
      <c r="E1376" s="40"/>
      <c r="K1376" s="38"/>
      <c r="L1376" s="38"/>
      <c r="M1376" s="43"/>
      <c r="N1376" s="42"/>
      <c r="O1376" s="50"/>
      <c r="P1376" s="38"/>
      <c r="Q1376" s="41"/>
      <c r="R1376" s="43"/>
      <c r="S1376" s="43"/>
      <c r="T1376" s="41"/>
      <c r="U1376" s="41"/>
      <c r="V1376" s="41"/>
      <c r="X1376" s="41"/>
      <c r="Y1376" s="41"/>
    </row>
    <row r="1377" spans="4:24" ht="15" customHeight="1">
      <c r="D1377" s="39"/>
      <c r="E1377" s="40"/>
      <c r="K1377" s="38"/>
      <c r="L1377" s="38"/>
      <c r="M1377" s="43"/>
      <c r="N1377" s="42"/>
      <c r="O1377" s="50"/>
      <c r="P1377" s="38"/>
      <c r="Q1377" s="41"/>
      <c r="R1377" s="43"/>
      <c r="S1377" s="43"/>
      <c r="T1377" s="41"/>
      <c r="U1377" s="41"/>
      <c r="V1377" s="41"/>
    </row>
    <row r="1378" spans="4:24" ht="15" customHeight="1">
      <c r="D1378" s="39"/>
      <c r="E1378" s="40"/>
      <c r="K1378" s="38"/>
      <c r="L1378" s="38"/>
      <c r="M1378" s="43"/>
      <c r="N1378" s="42"/>
      <c r="O1378" s="50"/>
      <c r="P1378" s="38"/>
      <c r="Q1378" s="41"/>
      <c r="R1378" s="43"/>
      <c r="S1378" s="43"/>
      <c r="T1378" s="41"/>
      <c r="U1378" s="41"/>
      <c r="V1378" s="41"/>
      <c r="X1378" s="41"/>
    </row>
    <row r="1379" spans="4:24" ht="15" customHeight="1">
      <c r="D1379" s="39"/>
      <c r="E1379" s="40"/>
      <c r="K1379" s="38"/>
      <c r="L1379" s="38"/>
      <c r="M1379" s="43"/>
      <c r="N1379" s="42"/>
      <c r="O1379" s="50"/>
      <c r="P1379" s="38"/>
      <c r="Q1379" s="41"/>
      <c r="R1379" s="43"/>
      <c r="S1379" s="43"/>
      <c r="T1379" s="41"/>
      <c r="U1379" s="41"/>
      <c r="V1379" s="41"/>
      <c r="X1379" s="41"/>
    </row>
    <row r="1380" spans="4:24" ht="15" customHeight="1">
      <c r="D1380" s="39"/>
      <c r="E1380" s="40"/>
      <c r="K1380" s="38"/>
      <c r="L1380" s="38"/>
      <c r="M1380" s="43"/>
      <c r="N1380" s="42"/>
      <c r="O1380" s="50"/>
      <c r="P1380" s="38"/>
      <c r="Q1380" s="41"/>
      <c r="R1380" s="43"/>
      <c r="S1380" s="43"/>
      <c r="T1380" s="41"/>
      <c r="U1380" s="41"/>
      <c r="V1380" s="41"/>
      <c r="X1380" s="41"/>
    </row>
    <row r="1381" spans="4:24" ht="15" customHeight="1">
      <c r="D1381" s="39"/>
      <c r="E1381" s="40"/>
      <c r="K1381" s="38"/>
      <c r="L1381" s="38"/>
      <c r="M1381" s="43"/>
      <c r="N1381" s="42"/>
      <c r="O1381" s="50"/>
      <c r="P1381" s="38"/>
      <c r="Q1381" s="41"/>
      <c r="R1381" s="43"/>
      <c r="S1381" s="43"/>
      <c r="T1381" s="41"/>
      <c r="U1381" s="41"/>
      <c r="V1381" s="41"/>
      <c r="X1381" s="41"/>
    </row>
    <row r="1382" spans="4:24" ht="15" customHeight="1">
      <c r="D1382" s="39"/>
      <c r="E1382" s="40"/>
      <c r="K1382" s="38"/>
      <c r="L1382" s="38"/>
      <c r="M1382" s="43"/>
      <c r="N1382" s="42"/>
      <c r="O1382" s="50"/>
      <c r="P1382" s="38"/>
      <c r="Q1382" s="41"/>
      <c r="R1382" s="43"/>
      <c r="S1382" s="43"/>
      <c r="T1382" s="41"/>
      <c r="U1382" s="41"/>
      <c r="V1382" s="41"/>
      <c r="X1382" s="41"/>
    </row>
    <row r="1383" spans="4:24" ht="15" customHeight="1">
      <c r="D1383" s="39"/>
      <c r="E1383" s="40"/>
      <c r="K1383" s="38"/>
      <c r="L1383" s="38"/>
      <c r="M1383" s="43"/>
      <c r="N1383" s="42"/>
      <c r="O1383" s="50"/>
      <c r="P1383" s="38"/>
      <c r="Q1383" s="41"/>
      <c r="R1383" s="43"/>
      <c r="S1383" s="43"/>
      <c r="T1383" s="41"/>
      <c r="U1383" s="41"/>
      <c r="V1383" s="41"/>
      <c r="X1383" s="41"/>
    </row>
    <row r="1384" spans="4:24" ht="15" customHeight="1">
      <c r="D1384" s="39"/>
      <c r="E1384" s="40"/>
      <c r="K1384" s="38"/>
      <c r="L1384" s="38"/>
      <c r="M1384" s="43"/>
      <c r="N1384" s="42"/>
      <c r="O1384" s="50"/>
      <c r="P1384" s="38"/>
      <c r="Q1384" s="41"/>
      <c r="R1384" s="43"/>
      <c r="S1384" s="43"/>
      <c r="T1384" s="41"/>
      <c r="U1384" s="41"/>
      <c r="V1384" s="41"/>
      <c r="X1384" s="41"/>
    </row>
    <row r="1385" spans="4:24" ht="15" customHeight="1">
      <c r="D1385" s="39"/>
      <c r="E1385" s="40"/>
      <c r="K1385" s="38"/>
      <c r="L1385" s="38"/>
      <c r="M1385" s="43"/>
      <c r="N1385" s="42"/>
      <c r="O1385" s="50"/>
      <c r="P1385" s="38"/>
      <c r="Q1385" s="41"/>
      <c r="R1385" s="43"/>
      <c r="S1385" s="43"/>
      <c r="T1385" s="41"/>
      <c r="U1385" s="41"/>
      <c r="V1385" s="41"/>
      <c r="X1385" s="41"/>
    </row>
    <row r="1386" spans="4:24" ht="15" customHeight="1">
      <c r="D1386" s="39"/>
      <c r="E1386" s="40"/>
      <c r="K1386" s="38"/>
      <c r="L1386" s="38"/>
      <c r="M1386" s="43"/>
      <c r="N1386" s="42"/>
      <c r="O1386" s="50"/>
      <c r="P1386" s="38"/>
      <c r="Q1386" s="41"/>
      <c r="R1386" s="43"/>
      <c r="S1386" s="43"/>
      <c r="T1386" s="41"/>
      <c r="U1386" s="41"/>
      <c r="V1386" s="41"/>
      <c r="X1386" s="41"/>
    </row>
    <row r="1387" spans="4:24" ht="15" customHeight="1">
      <c r="D1387" s="39"/>
      <c r="E1387" s="40"/>
      <c r="K1387" s="38"/>
      <c r="L1387" s="38"/>
      <c r="M1387" s="43"/>
      <c r="N1387" s="42"/>
      <c r="O1387" s="50"/>
      <c r="P1387" s="38"/>
      <c r="Q1387" s="41"/>
      <c r="R1387" s="43"/>
      <c r="S1387" s="43"/>
      <c r="T1387" s="41"/>
      <c r="U1387" s="41"/>
      <c r="V1387" s="41"/>
      <c r="X1387" s="41"/>
    </row>
    <row r="1388" spans="4:24" ht="15" customHeight="1">
      <c r="D1388" s="39"/>
      <c r="E1388" s="40"/>
      <c r="K1388" s="38"/>
      <c r="L1388" s="38"/>
      <c r="M1388" s="43"/>
      <c r="N1388" s="42"/>
      <c r="O1388" s="50"/>
      <c r="P1388" s="38"/>
      <c r="Q1388" s="41"/>
      <c r="R1388" s="43"/>
      <c r="S1388" s="43"/>
      <c r="T1388" s="41"/>
      <c r="U1388" s="41"/>
      <c r="V1388" s="41"/>
      <c r="X1388" s="41"/>
    </row>
    <row r="1389" spans="4:24" ht="15" customHeight="1">
      <c r="D1389" s="39"/>
      <c r="E1389" s="40"/>
      <c r="K1389" s="38"/>
      <c r="L1389" s="38"/>
      <c r="M1389" s="43"/>
      <c r="N1389" s="42"/>
      <c r="O1389" s="50"/>
      <c r="P1389" s="38"/>
      <c r="Q1389" s="41"/>
      <c r="R1389" s="43"/>
      <c r="S1389" s="43"/>
      <c r="T1389" s="41"/>
      <c r="U1389" s="41"/>
      <c r="V1389" s="41"/>
      <c r="X1389" s="41"/>
    </row>
    <row r="1390" spans="4:24" ht="15" customHeight="1">
      <c r="D1390" s="39"/>
      <c r="E1390" s="40"/>
      <c r="K1390" s="38"/>
      <c r="L1390" s="38"/>
      <c r="M1390" s="43"/>
      <c r="N1390" s="42"/>
      <c r="O1390" s="50"/>
      <c r="P1390" s="38"/>
      <c r="Q1390" s="41"/>
      <c r="R1390" s="43"/>
      <c r="S1390" s="43"/>
      <c r="T1390" s="41"/>
      <c r="U1390" s="41"/>
      <c r="V1390" s="41"/>
      <c r="X1390" s="41"/>
    </row>
    <row r="1391" spans="4:24" ht="15" customHeight="1">
      <c r="D1391" s="39"/>
      <c r="E1391" s="40"/>
      <c r="K1391" s="38"/>
      <c r="L1391" s="38"/>
      <c r="M1391" s="43"/>
      <c r="N1391" s="42"/>
      <c r="O1391" s="50"/>
      <c r="P1391" s="38"/>
      <c r="Q1391" s="41"/>
      <c r="R1391" s="43"/>
      <c r="S1391" s="43"/>
      <c r="T1391" s="41"/>
      <c r="U1391" s="41"/>
      <c r="V1391" s="41"/>
      <c r="X1391" s="41"/>
    </row>
    <row r="1392" spans="4:24" ht="15" customHeight="1">
      <c r="D1392" s="39"/>
      <c r="E1392" s="40"/>
      <c r="K1392" s="38"/>
      <c r="L1392" s="38"/>
      <c r="M1392" s="43"/>
      <c r="N1392" s="42"/>
      <c r="O1392" s="50"/>
      <c r="P1392" s="38"/>
      <c r="Q1392" s="41"/>
      <c r="R1392" s="43"/>
      <c r="S1392" s="43"/>
      <c r="T1392" s="41"/>
      <c r="U1392" s="41"/>
      <c r="V1392" s="41"/>
      <c r="X1392" s="41"/>
    </row>
    <row r="1393" spans="4:24" ht="15" customHeight="1">
      <c r="D1393" s="39"/>
      <c r="E1393" s="40"/>
      <c r="K1393" s="38"/>
      <c r="L1393" s="38"/>
      <c r="M1393" s="43"/>
      <c r="N1393" s="42"/>
      <c r="O1393" s="50"/>
      <c r="P1393" s="38"/>
      <c r="Q1393" s="41"/>
      <c r="R1393" s="43"/>
      <c r="S1393" s="43"/>
      <c r="T1393" s="41"/>
      <c r="U1393" s="41"/>
      <c r="V1393" s="41"/>
      <c r="X1393" s="41"/>
    </row>
    <row r="1394" spans="4:24" ht="15" customHeight="1">
      <c r="D1394" s="39"/>
      <c r="E1394" s="40"/>
      <c r="K1394" s="38"/>
      <c r="L1394" s="38"/>
      <c r="M1394" s="43"/>
      <c r="N1394" s="42"/>
      <c r="O1394" s="50"/>
      <c r="P1394" s="38"/>
      <c r="Q1394" s="41"/>
      <c r="R1394" s="43"/>
      <c r="S1394" s="43"/>
      <c r="T1394" s="41"/>
      <c r="U1394" s="41"/>
      <c r="V1394" s="41"/>
      <c r="X1394" s="41"/>
    </row>
    <row r="1395" spans="4:24" ht="15" customHeight="1">
      <c r="D1395" s="39"/>
      <c r="E1395" s="40"/>
      <c r="K1395" s="38"/>
      <c r="L1395" s="38"/>
      <c r="M1395" s="43"/>
      <c r="N1395" s="42"/>
      <c r="O1395" s="50"/>
      <c r="P1395" s="38"/>
      <c r="Q1395" s="41"/>
      <c r="R1395" s="43"/>
      <c r="S1395" s="43"/>
      <c r="T1395" s="41"/>
      <c r="U1395" s="41"/>
      <c r="V1395" s="41"/>
      <c r="X1395" s="41"/>
    </row>
    <row r="1396" spans="4:24" ht="15" customHeight="1">
      <c r="D1396" s="39"/>
      <c r="E1396" s="40"/>
      <c r="K1396" s="38"/>
      <c r="L1396" s="38"/>
      <c r="M1396" s="43"/>
      <c r="N1396" s="42"/>
      <c r="O1396" s="50"/>
      <c r="P1396" s="38"/>
      <c r="Q1396" s="41"/>
      <c r="R1396" s="43"/>
      <c r="S1396" s="43"/>
      <c r="T1396" s="41"/>
      <c r="U1396" s="41"/>
      <c r="V1396" s="41"/>
      <c r="X1396" s="41"/>
    </row>
    <row r="1397" spans="4:24" ht="15" customHeight="1">
      <c r="D1397" s="39"/>
      <c r="E1397" s="40"/>
      <c r="K1397" s="38"/>
      <c r="L1397" s="38"/>
      <c r="M1397" s="43"/>
      <c r="N1397" s="42"/>
      <c r="O1397" s="50"/>
      <c r="P1397" s="38"/>
      <c r="Q1397" s="41"/>
      <c r="R1397" s="43"/>
      <c r="S1397" s="43"/>
      <c r="T1397" s="41"/>
      <c r="U1397" s="41"/>
      <c r="V1397" s="41"/>
      <c r="X1397" s="41"/>
    </row>
    <row r="1398" spans="4:24" ht="15" customHeight="1">
      <c r="D1398" s="39"/>
      <c r="E1398" s="40"/>
      <c r="K1398" s="38"/>
      <c r="L1398" s="38"/>
      <c r="M1398" s="43"/>
      <c r="N1398" s="42"/>
      <c r="O1398" s="50"/>
      <c r="P1398" s="38"/>
      <c r="Q1398" s="41"/>
      <c r="R1398" s="43"/>
      <c r="S1398" s="43"/>
      <c r="T1398" s="41"/>
      <c r="U1398" s="41"/>
      <c r="V1398" s="41"/>
      <c r="X1398" s="41"/>
    </row>
    <row r="1399" spans="4:24" ht="15" customHeight="1">
      <c r="D1399" s="39"/>
      <c r="E1399" s="40"/>
      <c r="K1399" s="38"/>
      <c r="L1399" s="38"/>
      <c r="M1399" s="43"/>
      <c r="N1399" s="42"/>
      <c r="O1399" s="50"/>
      <c r="P1399" s="38"/>
      <c r="Q1399" s="41"/>
      <c r="R1399" s="43"/>
      <c r="S1399" s="43"/>
      <c r="T1399" s="41"/>
      <c r="U1399" s="41"/>
      <c r="V1399" s="41"/>
      <c r="X1399" s="41"/>
    </row>
    <row r="1400" spans="4:24" ht="15" customHeight="1">
      <c r="D1400" s="39"/>
      <c r="E1400" s="40"/>
      <c r="K1400" s="38"/>
      <c r="L1400" s="38"/>
      <c r="M1400" s="43"/>
      <c r="N1400" s="42"/>
      <c r="O1400" s="50"/>
      <c r="P1400" s="38"/>
      <c r="Q1400" s="41"/>
      <c r="R1400" s="43"/>
      <c r="S1400" s="43"/>
      <c r="T1400" s="41"/>
      <c r="U1400" s="41"/>
      <c r="V1400" s="41"/>
      <c r="X1400" s="41"/>
    </row>
    <row r="1401" spans="4:24" ht="15" customHeight="1">
      <c r="D1401" s="39"/>
      <c r="E1401" s="40"/>
      <c r="K1401" s="38"/>
      <c r="L1401" s="38"/>
      <c r="M1401" s="43"/>
      <c r="N1401" s="42"/>
      <c r="O1401" s="50"/>
      <c r="P1401" s="38"/>
      <c r="Q1401" s="41"/>
      <c r="R1401" s="43"/>
      <c r="S1401" s="43"/>
      <c r="T1401" s="41"/>
      <c r="U1401" s="41"/>
      <c r="V1401" s="41"/>
      <c r="X1401" s="41"/>
    </row>
    <row r="1402" spans="4:24" ht="15" customHeight="1">
      <c r="D1402" s="39"/>
      <c r="E1402" s="40"/>
      <c r="K1402" s="38"/>
      <c r="L1402" s="38"/>
      <c r="M1402" s="43"/>
      <c r="N1402" s="42"/>
      <c r="O1402" s="50"/>
      <c r="P1402" s="38"/>
      <c r="Q1402" s="41"/>
      <c r="R1402" s="43"/>
      <c r="S1402" s="43"/>
      <c r="T1402" s="41"/>
      <c r="U1402" s="41"/>
      <c r="V1402" s="41"/>
      <c r="X1402" s="41"/>
    </row>
    <row r="1403" spans="4:24" ht="15" customHeight="1">
      <c r="D1403" s="39"/>
      <c r="E1403" s="40"/>
      <c r="K1403" s="38"/>
      <c r="L1403" s="38"/>
      <c r="M1403" s="43"/>
      <c r="N1403" s="42"/>
      <c r="O1403" s="50"/>
      <c r="P1403" s="38"/>
      <c r="Q1403" s="41"/>
      <c r="R1403" s="43"/>
      <c r="S1403" s="43"/>
      <c r="T1403" s="41"/>
      <c r="U1403" s="41"/>
      <c r="V1403" s="41"/>
      <c r="X1403" s="41"/>
    </row>
    <row r="1404" spans="4:24" ht="15" customHeight="1">
      <c r="D1404" s="39"/>
      <c r="E1404" s="40"/>
      <c r="K1404" s="38"/>
      <c r="L1404" s="38"/>
      <c r="M1404" s="43"/>
      <c r="N1404" s="42"/>
      <c r="O1404" s="50"/>
      <c r="P1404" s="38"/>
      <c r="Q1404" s="41"/>
      <c r="R1404" s="43"/>
      <c r="S1404" s="43"/>
      <c r="T1404" s="41"/>
      <c r="U1404" s="41"/>
      <c r="V1404" s="41"/>
      <c r="X1404" s="41"/>
    </row>
    <row r="1405" spans="4:24" ht="15" customHeight="1">
      <c r="D1405" s="39"/>
      <c r="E1405" s="40"/>
      <c r="K1405" s="38"/>
      <c r="L1405" s="38"/>
      <c r="M1405" s="43"/>
      <c r="N1405" s="42"/>
      <c r="O1405" s="50"/>
      <c r="P1405" s="38"/>
      <c r="Q1405" s="41"/>
      <c r="R1405" s="43"/>
      <c r="S1405" s="43"/>
      <c r="T1405" s="41"/>
      <c r="U1405" s="41"/>
      <c r="V1405" s="41"/>
      <c r="X1405" s="41"/>
    </row>
    <row r="1406" spans="4:24" ht="15" customHeight="1">
      <c r="D1406" s="39"/>
      <c r="E1406" s="40"/>
      <c r="K1406" s="38"/>
      <c r="L1406" s="38"/>
      <c r="M1406" s="43"/>
      <c r="N1406" s="42"/>
      <c r="O1406" s="50"/>
      <c r="P1406" s="38"/>
      <c r="Q1406" s="41"/>
      <c r="R1406" s="43"/>
      <c r="S1406" s="43"/>
      <c r="T1406" s="41"/>
      <c r="U1406" s="41"/>
      <c r="V1406" s="41"/>
      <c r="X1406" s="41"/>
    </row>
    <row r="1407" spans="4:24" ht="15" customHeight="1">
      <c r="D1407" s="39"/>
      <c r="E1407" s="40"/>
      <c r="K1407" s="38"/>
      <c r="L1407" s="38"/>
      <c r="M1407" s="43"/>
      <c r="N1407" s="42"/>
      <c r="O1407" s="50"/>
      <c r="P1407" s="38"/>
      <c r="Q1407" s="41"/>
      <c r="R1407" s="43"/>
      <c r="S1407" s="43"/>
      <c r="T1407" s="41"/>
      <c r="U1407" s="41"/>
      <c r="V1407" s="41"/>
      <c r="X1407" s="41"/>
    </row>
    <row r="1408" spans="4:24" ht="15" customHeight="1">
      <c r="D1408" s="39"/>
      <c r="E1408" s="40"/>
      <c r="K1408" s="38"/>
      <c r="L1408" s="38"/>
      <c r="M1408" s="43"/>
      <c r="N1408" s="42"/>
      <c r="O1408" s="50"/>
      <c r="P1408" s="38"/>
      <c r="Q1408" s="41"/>
      <c r="R1408" s="43"/>
      <c r="S1408" s="43"/>
      <c r="T1408" s="41"/>
      <c r="U1408" s="41"/>
      <c r="V1408" s="41"/>
      <c r="X1408" s="41"/>
    </row>
    <row r="1409" spans="4:24" ht="15" customHeight="1">
      <c r="D1409" s="39"/>
      <c r="E1409" s="40"/>
      <c r="K1409" s="38"/>
      <c r="L1409" s="38"/>
      <c r="M1409" s="43"/>
      <c r="N1409" s="42"/>
      <c r="O1409" s="50"/>
      <c r="P1409" s="38"/>
      <c r="Q1409" s="41"/>
      <c r="R1409" s="43"/>
      <c r="S1409" s="43"/>
      <c r="T1409" s="41"/>
      <c r="U1409" s="41"/>
      <c r="V1409" s="41"/>
      <c r="X1409" s="41"/>
    </row>
    <row r="1410" spans="4:24" ht="15" customHeight="1">
      <c r="D1410" s="39"/>
      <c r="E1410" s="40"/>
      <c r="K1410" s="38"/>
      <c r="L1410" s="38"/>
      <c r="M1410" s="43"/>
      <c r="N1410" s="42"/>
      <c r="O1410" s="50"/>
      <c r="P1410" s="38"/>
      <c r="Q1410" s="41"/>
      <c r="R1410" s="43"/>
      <c r="S1410" s="43"/>
      <c r="T1410" s="41"/>
      <c r="U1410" s="41"/>
      <c r="V1410" s="41"/>
      <c r="X1410" s="41"/>
    </row>
    <row r="1411" spans="4:24" ht="15" customHeight="1">
      <c r="D1411" s="39"/>
      <c r="E1411" s="40"/>
      <c r="K1411" s="38"/>
      <c r="L1411" s="38"/>
      <c r="M1411" s="43"/>
      <c r="N1411" s="42"/>
      <c r="O1411" s="50"/>
      <c r="P1411" s="38"/>
      <c r="Q1411" s="41"/>
      <c r="R1411" s="43"/>
      <c r="S1411" s="43"/>
      <c r="T1411" s="41"/>
      <c r="U1411" s="41"/>
      <c r="V1411" s="41"/>
      <c r="X1411" s="41"/>
    </row>
    <row r="1412" spans="4:24" ht="15" customHeight="1">
      <c r="D1412" s="39"/>
      <c r="E1412" s="40"/>
      <c r="K1412" s="38"/>
      <c r="L1412" s="38"/>
      <c r="M1412" s="43"/>
      <c r="N1412" s="42"/>
      <c r="O1412" s="50"/>
      <c r="P1412" s="38"/>
      <c r="Q1412" s="41"/>
      <c r="R1412" s="43"/>
      <c r="S1412" s="43"/>
      <c r="T1412" s="41"/>
      <c r="U1412" s="41"/>
      <c r="V1412" s="41"/>
      <c r="X1412" s="41"/>
    </row>
    <row r="1413" spans="4:24" ht="15" customHeight="1">
      <c r="D1413" s="39"/>
      <c r="E1413" s="40"/>
      <c r="K1413" s="38"/>
      <c r="L1413" s="38"/>
      <c r="M1413" s="43"/>
      <c r="N1413" s="42"/>
      <c r="O1413" s="50"/>
      <c r="P1413" s="38"/>
      <c r="Q1413" s="41"/>
      <c r="R1413" s="43"/>
      <c r="S1413" s="43"/>
      <c r="T1413" s="41"/>
      <c r="U1413" s="41"/>
      <c r="V1413" s="41"/>
      <c r="X1413" s="41"/>
    </row>
    <row r="1414" spans="4:24" ht="15" customHeight="1">
      <c r="D1414" s="39"/>
      <c r="E1414" s="40"/>
      <c r="K1414" s="38"/>
      <c r="L1414" s="38"/>
      <c r="M1414" s="43"/>
      <c r="N1414" s="42"/>
      <c r="O1414" s="50"/>
      <c r="P1414" s="38"/>
      <c r="Q1414" s="41"/>
      <c r="R1414" s="43"/>
      <c r="S1414" s="43"/>
      <c r="T1414" s="41"/>
      <c r="U1414" s="41"/>
      <c r="V1414" s="41"/>
      <c r="X1414" s="41"/>
    </row>
    <row r="1415" spans="4:24" ht="15" customHeight="1">
      <c r="D1415" s="39"/>
      <c r="E1415" s="40"/>
      <c r="K1415" s="38"/>
      <c r="L1415" s="38"/>
      <c r="M1415" s="43"/>
      <c r="N1415" s="42"/>
      <c r="O1415" s="50"/>
      <c r="P1415" s="38"/>
      <c r="Q1415" s="41"/>
      <c r="R1415" s="43"/>
      <c r="S1415" s="43"/>
      <c r="T1415" s="41"/>
      <c r="U1415" s="41"/>
      <c r="V1415" s="41"/>
      <c r="X1415" s="41"/>
    </row>
    <row r="1416" spans="4:24" ht="15" customHeight="1">
      <c r="D1416" s="39"/>
      <c r="E1416" s="40"/>
      <c r="K1416" s="38"/>
      <c r="L1416" s="38"/>
      <c r="M1416" s="43"/>
      <c r="N1416" s="42"/>
      <c r="O1416" s="50"/>
      <c r="P1416" s="38"/>
      <c r="Q1416" s="41"/>
      <c r="R1416" s="43"/>
      <c r="S1416" s="43"/>
      <c r="T1416" s="41"/>
      <c r="U1416" s="41"/>
      <c r="V1416" s="41"/>
      <c r="X1416" s="41"/>
    </row>
    <row r="1417" spans="4:24" ht="15" customHeight="1">
      <c r="D1417" s="39"/>
      <c r="E1417" s="40"/>
      <c r="K1417" s="38"/>
      <c r="L1417" s="38"/>
      <c r="M1417" s="43"/>
      <c r="N1417" s="42"/>
      <c r="O1417" s="50"/>
      <c r="P1417" s="38"/>
      <c r="Q1417" s="41"/>
      <c r="R1417" s="43"/>
      <c r="S1417" s="43"/>
      <c r="T1417" s="41"/>
      <c r="U1417" s="41"/>
      <c r="V1417" s="41"/>
      <c r="X1417" s="41"/>
    </row>
    <row r="1418" spans="4:24" ht="15" customHeight="1">
      <c r="D1418" s="39"/>
      <c r="E1418" s="40"/>
      <c r="K1418" s="38"/>
      <c r="L1418" s="38"/>
      <c r="M1418" s="43"/>
      <c r="N1418" s="42"/>
      <c r="O1418" s="50"/>
      <c r="P1418" s="38"/>
      <c r="Q1418" s="41"/>
      <c r="R1418" s="43"/>
      <c r="S1418" s="43"/>
      <c r="T1418" s="41"/>
      <c r="U1418" s="41"/>
      <c r="V1418" s="41"/>
      <c r="X1418" s="41"/>
    </row>
    <row r="1419" spans="4:24" ht="15" customHeight="1">
      <c r="D1419" s="39"/>
      <c r="E1419" s="40"/>
      <c r="K1419" s="38"/>
      <c r="L1419" s="38"/>
      <c r="M1419" s="43"/>
      <c r="N1419" s="42"/>
      <c r="O1419" s="50"/>
      <c r="P1419" s="38"/>
      <c r="Q1419" s="41"/>
      <c r="R1419" s="43"/>
      <c r="S1419" s="43"/>
      <c r="T1419" s="41"/>
      <c r="U1419" s="41"/>
      <c r="V1419" s="41"/>
      <c r="X1419" s="41"/>
    </row>
    <row r="1420" spans="4:24" ht="15" customHeight="1">
      <c r="D1420" s="39"/>
      <c r="E1420" s="40"/>
      <c r="K1420" s="38"/>
      <c r="L1420" s="38"/>
      <c r="M1420" s="43"/>
      <c r="N1420" s="42"/>
      <c r="O1420" s="50"/>
      <c r="P1420" s="38"/>
      <c r="Q1420" s="41"/>
      <c r="R1420" s="43"/>
      <c r="S1420" s="43"/>
      <c r="T1420" s="41"/>
      <c r="U1420" s="41"/>
      <c r="V1420" s="41"/>
      <c r="X1420" s="41"/>
    </row>
    <row r="1421" spans="4:24" ht="15" customHeight="1">
      <c r="D1421" s="39"/>
      <c r="E1421" s="40"/>
      <c r="K1421" s="38"/>
      <c r="L1421" s="38"/>
      <c r="M1421" s="43"/>
      <c r="N1421" s="42"/>
      <c r="O1421" s="50"/>
      <c r="P1421" s="38"/>
      <c r="Q1421" s="41"/>
      <c r="R1421" s="43"/>
      <c r="S1421" s="43"/>
      <c r="T1421" s="41"/>
      <c r="U1421" s="41"/>
      <c r="V1421" s="41"/>
      <c r="X1421" s="41"/>
    </row>
    <row r="1422" spans="4:24" ht="15" customHeight="1">
      <c r="D1422" s="39"/>
      <c r="E1422" s="40"/>
      <c r="K1422" s="38"/>
      <c r="L1422" s="38"/>
      <c r="M1422" s="43"/>
      <c r="N1422" s="42"/>
      <c r="O1422" s="50"/>
      <c r="P1422" s="38"/>
      <c r="Q1422" s="41"/>
      <c r="R1422" s="43"/>
      <c r="S1422" s="43"/>
      <c r="T1422" s="41"/>
      <c r="U1422" s="41"/>
      <c r="V1422" s="41"/>
      <c r="X1422" s="41"/>
    </row>
    <row r="1423" spans="4:24" ht="15" customHeight="1">
      <c r="D1423" s="39"/>
      <c r="E1423" s="40"/>
      <c r="K1423" s="38"/>
      <c r="L1423" s="38"/>
      <c r="M1423" s="43"/>
      <c r="N1423" s="42"/>
      <c r="O1423" s="50"/>
      <c r="P1423" s="38"/>
      <c r="Q1423" s="41"/>
      <c r="R1423" s="43"/>
      <c r="S1423" s="43"/>
      <c r="T1423" s="41"/>
      <c r="U1423" s="41"/>
      <c r="V1423" s="41"/>
      <c r="X1423" s="41"/>
    </row>
    <row r="1424" spans="4:24" ht="15" customHeight="1">
      <c r="D1424" s="39"/>
      <c r="E1424" s="40"/>
      <c r="K1424" s="38"/>
      <c r="L1424" s="38"/>
      <c r="M1424" s="43"/>
      <c r="N1424" s="42"/>
      <c r="O1424" s="50"/>
      <c r="P1424" s="38"/>
      <c r="Q1424" s="41"/>
      <c r="R1424" s="43"/>
      <c r="S1424" s="43"/>
      <c r="T1424" s="41"/>
      <c r="U1424" s="41"/>
      <c r="V1424" s="41"/>
      <c r="X1424" s="41"/>
    </row>
    <row r="1425" spans="4:24" ht="15" customHeight="1">
      <c r="D1425" s="39"/>
      <c r="E1425" s="40"/>
      <c r="K1425" s="38"/>
      <c r="L1425" s="38"/>
      <c r="M1425" s="43"/>
      <c r="N1425" s="42"/>
      <c r="O1425" s="50"/>
      <c r="P1425" s="38"/>
      <c r="Q1425" s="41"/>
      <c r="R1425" s="43"/>
      <c r="S1425" s="43"/>
      <c r="T1425" s="41"/>
      <c r="U1425" s="41"/>
      <c r="V1425" s="41"/>
      <c r="X1425" s="41"/>
    </row>
    <row r="1426" spans="4:24" ht="15" customHeight="1">
      <c r="D1426" s="39"/>
      <c r="E1426" s="40"/>
      <c r="K1426" s="38"/>
      <c r="L1426" s="38"/>
      <c r="M1426" s="43"/>
      <c r="N1426" s="42"/>
      <c r="O1426" s="50"/>
      <c r="P1426" s="38"/>
      <c r="Q1426" s="41"/>
      <c r="R1426" s="43"/>
      <c r="S1426" s="43"/>
      <c r="T1426" s="41"/>
      <c r="U1426" s="41"/>
      <c r="V1426" s="41"/>
      <c r="X1426" s="41"/>
    </row>
    <row r="1427" spans="4:24" ht="15" customHeight="1">
      <c r="D1427" s="39"/>
      <c r="E1427" s="40"/>
      <c r="K1427" s="38"/>
      <c r="L1427" s="38"/>
      <c r="M1427" s="43"/>
      <c r="N1427" s="42"/>
      <c r="O1427" s="50"/>
      <c r="P1427" s="38"/>
      <c r="Q1427" s="41"/>
      <c r="R1427" s="43"/>
      <c r="S1427" s="43"/>
      <c r="T1427" s="41"/>
      <c r="U1427" s="41"/>
      <c r="V1427" s="41"/>
      <c r="X1427" s="41"/>
    </row>
    <row r="1428" spans="4:24" ht="15" customHeight="1">
      <c r="D1428" s="39"/>
      <c r="E1428" s="40"/>
      <c r="K1428" s="38"/>
      <c r="L1428" s="38"/>
      <c r="M1428" s="43"/>
      <c r="N1428" s="42"/>
      <c r="O1428" s="50"/>
      <c r="P1428" s="38"/>
      <c r="Q1428" s="41"/>
      <c r="R1428" s="43"/>
      <c r="S1428" s="43"/>
      <c r="T1428" s="41"/>
      <c r="U1428" s="41"/>
      <c r="V1428" s="41"/>
      <c r="X1428" s="41"/>
    </row>
    <row r="1429" spans="4:24" ht="15" customHeight="1">
      <c r="D1429" s="39"/>
      <c r="E1429" s="40"/>
      <c r="K1429" s="38"/>
      <c r="L1429" s="38"/>
      <c r="M1429" s="43"/>
      <c r="N1429" s="42"/>
      <c r="O1429" s="50"/>
      <c r="P1429" s="38"/>
      <c r="Q1429" s="41"/>
      <c r="R1429" s="43"/>
      <c r="S1429" s="43"/>
      <c r="T1429" s="41"/>
      <c r="U1429" s="41"/>
      <c r="V1429" s="41"/>
      <c r="X1429" s="41"/>
    </row>
    <row r="1430" spans="4:24" ht="15" customHeight="1">
      <c r="D1430" s="39"/>
      <c r="E1430" s="40"/>
      <c r="K1430" s="38"/>
      <c r="L1430" s="38"/>
      <c r="M1430" s="43"/>
      <c r="N1430" s="42"/>
      <c r="O1430" s="50"/>
      <c r="P1430" s="38"/>
      <c r="Q1430" s="41"/>
      <c r="R1430" s="43"/>
      <c r="S1430" s="43"/>
      <c r="T1430" s="41"/>
      <c r="U1430" s="41"/>
      <c r="V1430" s="41"/>
      <c r="X1430" s="41"/>
    </row>
    <row r="1431" spans="4:24" ht="15" customHeight="1">
      <c r="D1431" s="39"/>
      <c r="E1431" s="40"/>
      <c r="K1431" s="38"/>
      <c r="L1431" s="38"/>
      <c r="M1431" s="43"/>
      <c r="N1431" s="42"/>
      <c r="O1431" s="50"/>
      <c r="P1431" s="38"/>
      <c r="Q1431" s="41"/>
      <c r="R1431" s="43"/>
      <c r="S1431" s="43"/>
      <c r="T1431" s="41"/>
      <c r="U1431" s="41"/>
      <c r="V1431" s="41"/>
      <c r="X1431" s="41"/>
    </row>
    <row r="1432" spans="4:24" ht="15" customHeight="1">
      <c r="D1432" s="39"/>
      <c r="E1432" s="40"/>
      <c r="K1432" s="38"/>
      <c r="L1432" s="38"/>
      <c r="M1432" s="43"/>
      <c r="N1432" s="42"/>
      <c r="O1432" s="50"/>
      <c r="P1432" s="38"/>
      <c r="Q1432" s="41"/>
      <c r="R1432" s="43"/>
      <c r="S1432" s="43"/>
      <c r="T1432" s="41"/>
      <c r="U1432" s="41"/>
      <c r="V1432" s="41"/>
      <c r="X1432" s="41"/>
    </row>
    <row r="1433" spans="4:24" ht="15" customHeight="1">
      <c r="D1433" s="39"/>
      <c r="E1433" s="40"/>
      <c r="K1433" s="38"/>
      <c r="L1433" s="38"/>
      <c r="M1433" s="43"/>
      <c r="N1433" s="42"/>
      <c r="O1433" s="50"/>
      <c r="P1433" s="38"/>
      <c r="Q1433" s="41"/>
      <c r="R1433" s="43"/>
      <c r="S1433" s="43"/>
      <c r="T1433" s="41"/>
      <c r="U1433" s="41"/>
      <c r="V1433" s="41"/>
      <c r="X1433" s="41"/>
    </row>
    <row r="1434" spans="4:24" ht="15" customHeight="1">
      <c r="D1434" s="39"/>
      <c r="E1434" s="40"/>
      <c r="K1434" s="38"/>
      <c r="L1434" s="38"/>
      <c r="M1434" s="43"/>
      <c r="N1434" s="42"/>
      <c r="O1434" s="50"/>
      <c r="P1434" s="38"/>
      <c r="Q1434" s="41"/>
      <c r="R1434" s="43"/>
      <c r="S1434" s="43"/>
      <c r="T1434" s="41"/>
      <c r="U1434" s="41"/>
      <c r="V1434" s="41"/>
      <c r="X1434" s="41"/>
    </row>
    <row r="1435" spans="4:24" ht="15" customHeight="1">
      <c r="D1435" s="39"/>
      <c r="E1435" s="40"/>
      <c r="K1435" s="38"/>
      <c r="L1435" s="38"/>
      <c r="M1435" s="43"/>
      <c r="N1435" s="42"/>
      <c r="O1435" s="50"/>
      <c r="P1435" s="38"/>
      <c r="Q1435" s="41"/>
      <c r="R1435" s="43"/>
      <c r="S1435" s="43"/>
      <c r="T1435" s="41"/>
      <c r="U1435" s="41"/>
      <c r="V1435" s="41"/>
      <c r="X1435" s="41"/>
    </row>
    <row r="1436" spans="4:24" ht="15" customHeight="1">
      <c r="D1436" s="39"/>
      <c r="E1436" s="40"/>
      <c r="K1436" s="38"/>
      <c r="L1436" s="38"/>
      <c r="M1436" s="43"/>
      <c r="N1436" s="42"/>
      <c r="O1436" s="50"/>
      <c r="P1436" s="38"/>
      <c r="Q1436" s="41"/>
      <c r="R1436" s="43"/>
      <c r="S1436" s="43"/>
      <c r="T1436" s="41"/>
      <c r="U1436" s="41"/>
      <c r="V1436" s="41"/>
      <c r="X1436" s="41"/>
    </row>
    <row r="1437" spans="4:24" ht="15" customHeight="1">
      <c r="D1437" s="39"/>
      <c r="E1437" s="40"/>
      <c r="K1437" s="38"/>
      <c r="L1437" s="38"/>
      <c r="M1437" s="43"/>
      <c r="N1437" s="42"/>
      <c r="O1437" s="50"/>
      <c r="P1437" s="38"/>
      <c r="Q1437" s="41"/>
      <c r="R1437" s="43"/>
      <c r="S1437" s="43"/>
      <c r="T1437" s="41"/>
      <c r="U1437" s="41"/>
      <c r="V1437" s="41"/>
    </row>
    <row r="1438" spans="4:24" ht="15" customHeight="1">
      <c r="D1438" s="39"/>
      <c r="E1438" s="40"/>
      <c r="K1438" s="38"/>
      <c r="L1438" s="38"/>
      <c r="M1438" s="43"/>
      <c r="N1438" s="42"/>
      <c r="O1438" s="50"/>
      <c r="P1438" s="38"/>
      <c r="Q1438" s="41"/>
      <c r="R1438" s="43"/>
      <c r="S1438" s="43"/>
      <c r="T1438" s="41"/>
      <c r="U1438" s="41"/>
      <c r="V1438" s="41"/>
    </row>
    <row r="1439" spans="4:24" ht="15" customHeight="1">
      <c r="D1439" s="39"/>
      <c r="E1439" s="40"/>
      <c r="K1439" s="38"/>
      <c r="L1439" s="38"/>
      <c r="M1439" s="43"/>
      <c r="N1439" s="42"/>
      <c r="O1439" s="50"/>
      <c r="P1439" s="38"/>
      <c r="Q1439" s="41"/>
      <c r="R1439" s="43"/>
      <c r="S1439" s="43"/>
      <c r="T1439" s="41"/>
      <c r="U1439" s="41"/>
      <c r="V1439" s="41"/>
    </row>
    <row r="1440" spans="4:24" ht="15" customHeight="1">
      <c r="D1440" s="39"/>
      <c r="E1440" s="40"/>
      <c r="K1440" s="38"/>
      <c r="L1440" s="38"/>
      <c r="M1440" s="43"/>
      <c r="N1440" s="42"/>
      <c r="O1440" s="50"/>
      <c r="P1440" s="38"/>
      <c r="Q1440" s="41"/>
      <c r="R1440" s="43"/>
      <c r="S1440" s="43"/>
      <c r="T1440" s="41"/>
      <c r="U1440" s="41"/>
      <c r="V1440" s="41"/>
    </row>
    <row r="1441" spans="4:22" ht="15" customHeight="1">
      <c r="D1441" s="39"/>
      <c r="E1441" s="40"/>
      <c r="K1441" s="38"/>
      <c r="L1441" s="38"/>
      <c r="M1441" s="43"/>
      <c r="N1441" s="42"/>
      <c r="O1441" s="50"/>
      <c r="P1441" s="38"/>
      <c r="Q1441" s="41"/>
      <c r="R1441" s="43"/>
      <c r="S1441" s="43"/>
      <c r="T1441" s="41"/>
      <c r="U1441" s="41"/>
      <c r="V1441" s="41"/>
    </row>
    <row r="1442" spans="4:22" ht="15" customHeight="1">
      <c r="D1442" s="39"/>
      <c r="E1442" s="40"/>
      <c r="K1442" s="38"/>
      <c r="L1442" s="38"/>
      <c r="M1442" s="43"/>
      <c r="N1442" s="42"/>
      <c r="O1442" s="50"/>
      <c r="P1442" s="38"/>
      <c r="Q1442" s="41"/>
      <c r="R1442" s="43"/>
      <c r="S1442" s="43"/>
      <c r="T1442" s="41"/>
      <c r="U1442" s="41"/>
      <c r="V1442" s="41"/>
    </row>
    <row r="1443" spans="4:22" ht="15" customHeight="1">
      <c r="D1443" s="39"/>
      <c r="E1443" s="40"/>
      <c r="K1443" s="38"/>
      <c r="L1443" s="38"/>
      <c r="M1443" s="43"/>
      <c r="N1443" s="42"/>
      <c r="O1443" s="50"/>
      <c r="P1443" s="38"/>
      <c r="Q1443" s="41"/>
      <c r="R1443" s="43"/>
      <c r="S1443" s="43"/>
      <c r="T1443" s="41"/>
      <c r="U1443" s="41"/>
      <c r="V1443" s="41"/>
    </row>
    <row r="1444" spans="4:22" ht="15" customHeight="1">
      <c r="D1444" s="39"/>
      <c r="E1444" s="40"/>
      <c r="K1444" s="38"/>
      <c r="L1444" s="38"/>
      <c r="M1444" s="43"/>
      <c r="N1444" s="42"/>
      <c r="O1444" s="50"/>
      <c r="P1444" s="38"/>
      <c r="Q1444" s="41"/>
      <c r="R1444" s="43"/>
      <c r="S1444" s="43"/>
      <c r="T1444" s="41"/>
      <c r="U1444" s="41"/>
      <c r="V1444" s="41"/>
    </row>
    <row r="1445" spans="4:22" ht="15" customHeight="1">
      <c r="D1445" s="39"/>
      <c r="E1445" s="40"/>
      <c r="K1445" s="38"/>
      <c r="L1445" s="38"/>
      <c r="M1445" s="43"/>
      <c r="N1445" s="42"/>
      <c r="O1445" s="50"/>
      <c r="P1445" s="38"/>
      <c r="Q1445" s="41"/>
      <c r="R1445" s="43"/>
      <c r="S1445" s="43"/>
      <c r="T1445" s="41"/>
      <c r="U1445" s="41"/>
      <c r="V1445" s="41"/>
    </row>
    <row r="1446" spans="4:22" ht="15" customHeight="1">
      <c r="D1446" s="39"/>
      <c r="E1446" s="40"/>
      <c r="K1446" s="38"/>
      <c r="L1446" s="38"/>
      <c r="M1446" s="43"/>
      <c r="N1446" s="42"/>
      <c r="O1446" s="50"/>
      <c r="P1446" s="38"/>
      <c r="Q1446" s="41"/>
      <c r="R1446" s="43"/>
      <c r="S1446" s="43"/>
      <c r="T1446" s="41"/>
      <c r="U1446" s="41"/>
      <c r="V1446" s="41"/>
    </row>
    <row r="1447" spans="4:22" ht="15" customHeight="1">
      <c r="D1447" s="39"/>
      <c r="E1447" s="40"/>
      <c r="K1447" s="38"/>
      <c r="L1447" s="38"/>
      <c r="M1447" s="43"/>
      <c r="N1447" s="42"/>
      <c r="O1447" s="50"/>
      <c r="P1447" s="38"/>
      <c r="Q1447" s="41"/>
      <c r="R1447" s="43"/>
      <c r="S1447" s="43"/>
      <c r="T1447" s="41"/>
      <c r="U1447" s="41"/>
      <c r="V1447" s="41"/>
    </row>
    <row r="1448" spans="4:22" ht="15" customHeight="1">
      <c r="D1448" s="39"/>
      <c r="E1448" s="40"/>
      <c r="K1448" s="38"/>
      <c r="L1448" s="38"/>
      <c r="M1448" s="43"/>
      <c r="N1448" s="42"/>
      <c r="O1448" s="50"/>
      <c r="P1448" s="38"/>
      <c r="Q1448" s="41"/>
      <c r="R1448" s="43"/>
      <c r="S1448" s="43"/>
      <c r="T1448" s="41"/>
      <c r="U1448" s="41"/>
      <c r="V1448" s="41"/>
    </row>
    <row r="1449" spans="4:22" ht="15" customHeight="1">
      <c r="D1449" s="39"/>
      <c r="E1449" s="40"/>
      <c r="K1449" s="38"/>
      <c r="L1449" s="38"/>
      <c r="M1449" s="43"/>
      <c r="N1449" s="42"/>
      <c r="O1449" s="50"/>
      <c r="P1449" s="38"/>
      <c r="Q1449" s="41"/>
      <c r="R1449" s="43"/>
      <c r="S1449" s="43"/>
      <c r="T1449" s="41"/>
      <c r="U1449" s="41"/>
      <c r="V1449" s="41"/>
    </row>
    <row r="1450" spans="4:22" ht="15" customHeight="1">
      <c r="D1450" s="39"/>
      <c r="E1450" s="40"/>
      <c r="K1450" s="38"/>
      <c r="L1450" s="38"/>
      <c r="M1450" s="43"/>
      <c r="N1450" s="42"/>
      <c r="O1450" s="50"/>
      <c r="P1450" s="38"/>
      <c r="Q1450" s="41"/>
      <c r="R1450" s="43"/>
      <c r="S1450" s="43"/>
      <c r="T1450" s="41"/>
      <c r="U1450" s="41"/>
      <c r="V1450" s="41"/>
    </row>
    <row r="1451" spans="4:22" ht="15" customHeight="1">
      <c r="D1451" s="39"/>
      <c r="E1451" s="40"/>
      <c r="K1451" s="38"/>
      <c r="L1451" s="38"/>
      <c r="M1451" s="43"/>
      <c r="N1451" s="42"/>
      <c r="O1451" s="50"/>
      <c r="P1451" s="38"/>
      <c r="Q1451" s="41"/>
      <c r="R1451" s="43"/>
      <c r="S1451" s="43"/>
      <c r="T1451" s="41"/>
      <c r="U1451" s="41"/>
      <c r="V1451" s="41"/>
    </row>
    <row r="1452" spans="4:22" ht="15" customHeight="1">
      <c r="D1452" s="39"/>
      <c r="E1452" s="40"/>
      <c r="K1452" s="38"/>
      <c r="L1452" s="38"/>
      <c r="M1452" s="43"/>
      <c r="N1452" s="42"/>
      <c r="O1452" s="50"/>
      <c r="P1452" s="38"/>
      <c r="Q1452" s="41"/>
      <c r="R1452" s="43"/>
      <c r="S1452" s="43"/>
      <c r="T1452" s="41"/>
      <c r="U1452" s="41"/>
      <c r="V1452" s="41"/>
    </row>
    <row r="1453" spans="4:22" ht="15" customHeight="1">
      <c r="D1453" s="39"/>
      <c r="E1453" s="40"/>
      <c r="K1453" s="38"/>
      <c r="L1453" s="38"/>
      <c r="M1453" s="43"/>
      <c r="N1453" s="42"/>
      <c r="O1453" s="50"/>
      <c r="P1453" s="38"/>
      <c r="Q1453" s="41"/>
      <c r="R1453" s="43"/>
      <c r="S1453" s="43"/>
      <c r="T1453" s="41"/>
      <c r="U1453" s="41"/>
      <c r="V1453" s="41"/>
    </row>
    <row r="1454" spans="4:22" ht="15" customHeight="1">
      <c r="D1454" s="39"/>
      <c r="E1454" s="40"/>
      <c r="K1454" s="38"/>
      <c r="L1454" s="38"/>
      <c r="M1454" s="43"/>
      <c r="N1454" s="42"/>
      <c r="O1454" s="50"/>
      <c r="P1454" s="38"/>
      <c r="Q1454" s="41"/>
      <c r="R1454" s="43"/>
      <c r="S1454" s="43"/>
      <c r="T1454" s="41"/>
      <c r="U1454" s="41"/>
      <c r="V1454" s="41"/>
    </row>
    <row r="1455" spans="4:22" ht="15" customHeight="1">
      <c r="D1455" s="39"/>
      <c r="E1455" s="40"/>
      <c r="K1455" s="38"/>
      <c r="L1455" s="38"/>
      <c r="M1455" s="43"/>
      <c r="N1455" s="42"/>
      <c r="O1455" s="50"/>
      <c r="P1455" s="38"/>
      <c r="Q1455" s="41"/>
      <c r="R1455" s="43"/>
      <c r="S1455" s="43"/>
      <c r="T1455" s="41"/>
      <c r="U1455" s="41"/>
      <c r="V1455" s="41"/>
    </row>
    <row r="1456" spans="4:22" ht="15" customHeight="1">
      <c r="D1456" s="39"/>
      <c r="E1456" s="40"/>
      <c r="K1456" s="38"/>
      <c r="L1456" s="38"/>
      <c r="M1456" s="43"/>
      <c r="N1456" s="42"/>
      <c r="O1456" s="50"/>
      <c r="P1456" s="38"/>
      <c r="Q1456" s="41"/>
      <c r="R1456" s="43"/>
      <c r="S1456" s="43"/>
      <c r="T1456" s="41"/>
      <c r="U1456" s="41"/>
      <c r="V1456" s="41"/>
    </row>
    <row r="1457" spans="4:22" ht="15" customHeight="1">
      <c r="D1457" s="39"/>
      <c r="E1457" s="40"/>
      <c r="K1457" s="38"/>
      <c r="L1457" s="38"/>
      <c r="M1457" s="43"/>
      <c r="N1457" s="42"/>
      <c r="O1457" s="50"/>
      <c r="P1457" s="38"/>
      <c r="Q1457" s="41"/>
      <c r="R1457" s="43"/>
      <c r="S1457" s="43"/>
      <c r="T1457" s="41"/>
      <c r="U1457" s="41"/>
      <c r="V1457" s="41"/>
    </row>
    <row r="1458" spans="4:22" ht="15" customHeight="1">
      <c r="D1458" s="39"/>
      <c r="E1458" s="40"/>
      <c r="K1458" s="38"/>
      <c r="L1458" s="38"/>
      <c r="M1458" s="43"/>
      <c r="N1458" s="42"/>
      <c r="O1458" s="50"/>
      <c r="P1458" s="38"/>
      <c r="Q1458" s="41"/>
      <c r="R1458" s="43"/>
      <c r="S1458" s="43"/>
      <c r="T1458" s="41"/>
      <c r="U1458" s="41"/>
      <c r="V1458" s="41"/>
    </row>
    <row r="1459" spans="4:22" ht="15" customHeight="1">
      <c r="D1459" s="39"/>
      <c r="E1459" s="40"/>
      <c r="K1459" s="38"/>
      <c r="L1459" s="38"/>
      <c r="M1459" s="43"/>
      <c r="N1459" s="42"/>
      <c r="O1459" s="50"/>
      <c r="P1459" s="38"/>
      <c r="Q1459" s="41"/>
      <c r="R1459" s="43"/>
      <c r="S1459" s="43"/>
      <c r="T1459" s="41"/>
      <c r="U1459" s="41"/>
      <c r="V1459" s="41"/>
    </row>
    <row r="1460" spans="4:22" ht="15" customHeight="1">
      <c r="D1460" s="39"/>
      <c r="E1460" s="40"/>
      <c r="K1460" s="38"/>
      <c r="L1460" s="38"/>
      <c r="M1460" s="43"/>
      <c r="N1460" s="42"/>
      <c r="O1460" s="50"/>
      <c r="P1460" s="38"/>
      <c r="Q1460" s="41"/>
      <c r="R1460" s="43"/>
      <c r="S1460" s="43"/>
      <c r="T1460" s="41"/>
      <c r="U1460" s="41"/>
      <c r="V1460" s="41"/>
    </row>
    <row r="1461" spans="4:22" ht="15" customHeight="1">
      <c r="D1461" s="39"/>
      <c r="E1461" s="40"/>
      <c r="K1461" s="38"/>
      <c r="L1461" s="38"/>
      <c r="M1461" s="43"/>
      <c r="N1461" s="42"/>
      <c r="O1461" s="50"/>
      <c r="P1461" s="38"/>
      <c r="Q1461" s="41"/>
      <c r="R1461" s="43"/>
      <c r="S1461" s="43"/>
      <c r="T1461" s="41"/>
      <c r="U1461" s="41"/>
      <c r="V1461" s="41"/>
    </row>
    <row r="1462" spans="4:22" ht="15" customHeight="1">
      <c r="D1462" s="39"/>
      <c r="E1462" s="40"/>
      <c r="K1462" s="38"/>
      <c r="L1462" s="38"/>
      <c r="M1462" s="43"/>
      <c r="N1462" s="42"/>
      <c r="O1462" s="50"/>
      <c r="P1462" s="38"/>
      <c r="Q1462" s="41"/>
      <c r="R1462" s="43"/>
      <c r="S1462" s="43"/>
      <c r="T1462" s="41"/>
      <c r="U1462" s="41"/>
      <c r="V1462" s="41"/>
    </row>
    <row r="1463" spans="4:22" ht="15" customHeight="1">
      <c r="D1463" s="39"/>
      <c r="E1463" s="40"/>
      <c r="K1463" s="38"/>
      <c r="L1463" s="38"/>
      <c r="M1463" s="43"/>
      <c r="N1463" s="42"/>
      <c r="O1463" s="50"/>
      <c r="P1463" s="38"/>
      <c r="Q1463" s="41"/>
      <c r="R1463" s="43"/>
      <c r="S1463" s="43"/>
      <c r="T1463" s="41"/>
      <c r="U1463" s="41"/>
      <c r="V1463" s="41"/>
    </row>
    <row r="1464" spans="4:22" ht="15" customHeight="1">
      <c r="D1464" s="39"/>
      <c r="E1464" s="40"/>
      <c r="K1464" s="38"/>
      <c r="L1464" s="38"/>
      <c r="M1464" s="43"/>
      <c r="N1464" s="42"/>
      <c r="O1464" s="50"/>
      <c r="P1464" s="38"/>
      <c r="Q1464" s="41"/>
      <c r="R1464" s="43"/>
      <c r="S1464" s="43"/>
      <c r="T1464" s="41"/>
      <c r="U1464" s="41"/>
      <c r="V1464" s="41"/>
    </row>
    <row r="1465" spans="4:22" ht="15" customHeight="1">
      <c r="D1465" s="39"/>
      <c r="E1465" s="40"/>
      <c r="K1465" s="38"/>
      <c r="L1465" s="38"/>
      <c r="M1465" s="43"/>
      <c r="N1465" s="42"/>
      <c r="O1465" s="50"/>
      <c r="P1465" s="38"/>
      <c r="Q1465" s="41"/>
      <c r="R1465" s="43"/>
      <c r="S1465" s="43"/>
      <c r="T1465" s="41"/>
      <c r="U1465" s="41"/>
      <c r="V1465" s="41"/>
    </row>
    <row r="1466" spans="4:22" ht="15" customHeight="1">
      <c r="D1466" s="39"/>
      <c r="E1466" s="40"/>
      <c r="K1466" s="38"/>
      <c r="L1466" s="38"/>
      <c r="M1466" s="43"/>
      <c r="N1466" s="42"/>
      <c r="O1466" s="50"/>
      <c r="P1466" s="38"/>
      <c r="Q1466" s="41"/>
      <c r="R1466" s="43"/>
      <c r="S1466" s="43"/>
      <c r="T1466" s="41"/>
      <c r="U1466" s="41"/>
      <c r="V1466" s="41"/>
    </row>
    <row r="1467" spans="4:22" ht="15" customHeight="1">
      <c r="D1467" s="39"/>
      <c r="E1467" s="40"/>
      <c r="K1467" s="38"/>
      <c r="L1467" s="38"/>
      <c r="M1467" s="43"/>
      <c r="N1467" s="42"/>
      <c r="O1467" s="50"/>
      <c r="P1467" s="38"/>
      <c r="Q1467" s="41"/>
      <c r="R1467" s="43"/>
      <c r="S1467" s="43"/>
      <c r="T1467" s="41"/>
      <c r="U1467" s="41"/>
      <c r="V1467" s="41"/>
    </row>
    <row r="1468" spans="4:22" ht="15" customHeight="1">
      <c r="D1468" s="39"/>
      <c r="E1468" s="40"/>
      <c r="K1468" s="38"/>
      <c r="L1468" s="38"/>
      <c r="M1468" s="43"/>
      <c r="N1468" s="42"/>
      <c r="O1468" s="50"/>
      <c r="P1468" s="38"/>
      <c r="Q1468" s="41"/>
      <c r="R1468" s="43"/>
      <c r="S1468" s="43"/>
      <c r="T1468" s="41"/>
      <c r="U1468" s="41"/>
      <c r="V1468" s="41"/>
    </row>
    <row r="1469" spans="4:22" ht="15" customHeight="1">
      <c r="D1469" s="39"/>
      <c r="E1469" s="40"/>
      <c r="K1469" s="38"/>
      <c r="L1469" s="38"/>
      <c r="M1469" s="43"/>
      <c r="N1469" s="42"/>
      <c r="O1469" s="50"/>
      <c r="P1469" s="38"/>
      <c r="Q1469" s="41"/>
      <c r="R1469" s="43"/>
      <c r="S1469" s="43"/>
      <c r="T1469" s="41"/>
      <c r="U1469" s="41"/>
      <c r="V1469" s="41"/>
    </row>
    <row r="1470" spans="4:22" ht="15" customHeight="1">
      <c r="D1470" s="39"/>
      <c r="E1470" s="40"/>
      <c r="K1470" s="38"/>
      <c r="L1470" s="38"/>
      <c r="M1470" s="43"/>
      <c r="N1470" s="42"/>
      <c r="O1470" s="50"/>
      <c r="P1470" s="38"/>
      <c r="Q1470" s="41"/>
      <c r="R1470" s="43"/>
      <c r="S1470" s="43"/>
      <c r="T1470" s="41"/>
      <c r="U1470" s="41"/>
      <c r="V1470" s="41"/>
    </row>
    <row r="1471" spans="4:22" ht="15" customHeight="1">
      <c r="D1471" s="39"/>
      <c r="E1471" s="40"/>
      <c r="K1471" s="38"/>
      <c r="L1471" s="38"/>
      <c r="M1471" s="43"/>
      <c r="N1471" s="42"/>
      <c r="O1471" s="50"/>
      <c r="P1471" s="38"/>
      <c r="Q1471" s="41"/>
      <c r="R1471" s="43"/>
      <c r="S1471" s="43"/>
      <c r="T1471" s="41"/>
      <c r="U1471" s="41"/>
      <c r="V1471" s="41"/>
    </row>
    <row r="1472" spans="4:22" ht="15" customHeight="1">
      <c r="D1472" s="39"/>
      <c r="E1472" s="40"/>
      <c r="K1472" s="38"/>
      <c r="L1472" s="38"/>
      <c r="M1472" s="43"/>
      <c r="N1472" s="42"/>
      <c r="O1472" s="50"/>
      <c r="P1472" s="38"/>
      <c r="Q1472" s="41"/>
      <c r="R1472" s="43"/>
      <c r="S1472" s="43"/>
      <c r="T1472" s="41"/>
      <c r="U1472" s="41"/>
      <c r="V1472" s="41"/>
    </row>
    <row r="1473" spans="4:22" ht="15" customHeight="1">
      <c r="D1473" s="39"/>
      <c r="E1473" s="40"/>
      <c r="K1473" s="38"/>
      <c r="L1473" s="38"/>
      <c r="M1473" s="43"/>
      <c r="N1473" s="42"/>
      <c r="O1473" s="50"/>
      <c r="P1473" s="38"/>
      <c r="Q1473" s="41"/>
      <c r="R1473" s="43"/>
      <c r="S1473" s="43"/>
      <c r="T1473" s="41"/>
      <c r="U1473" s="41"/>
      <c r="V1473" s="41"/>
    </row>
    <row r="1474" spans="4:22" ht="15" customHeight="1">
      <c r="D1474" s="39"/>
      <c r="E1474" s="40"/>
      <c r="K1474" s="38"/>
      <c r="L1474" s="38"/>
      <c r="M1474" s="43"/>
      <c r="N1474" s="42"/>
      <c r="O1474" s="50"/>
      <c r="P1474" s="38"/>
      <c r="Q1474" s="41"/>
      <c r="R1474" s="43"/>
      <c r="S1474" s="43"/>
      <c r="T1474" s="41"/>
      <c r="U1474" s="41"/>
      <c r="V1474" s="41"/>
    </row>
    <row r="1475" spans="4:22" ht="15" customHeight="1">
      <c r="D1475" s="39"/>
      <c r="E1475" s="40"/>
      <c r="K1475" s="38"/>
      <c r="L1475" s="38"/>
      <c r="M1475" s="43"/>
      <c r="N1475" s="42"/>
      <c r="O1475" s="50"/>
      <c r="P1475" s="38"/>
      <c r="Q1475" s="41"/>
      <c r="R1475" s="43"/>
      <c r="S1475" s="43"/>
      <c r="T1475" s="41"/>
      <c r="U1475" s="41"/>
      <c r="V1475" s="41"/>
    </row>
    <row r="1476" spans="4:22" ht="15" customHeight="1">
      <c r="D1476" s="39"/>
      <c r="E1476" s="40"/>
      <c r="K1476" s="38"/>
      <c r="L1476" s="38"/>
      <c r="M1476" s="43"/>
      <c r="N1476" s="42"/>
      <c r="O1476" s="50"/>
      <c r="P1476" s="38"/>
      <c r="Q1476" s="41"/>
      <c r="R1476" s="43"/>
      <c r="S1476" s="43"/>
      <c r="T1476" s="41"/>
      <c r="U1476" s="41"/>
      <c r="V1476" s="41"/>
    </row>
    <row r="1477" spans="4:22" ht="15" customHeight="1">
      <c r="D1477" s="39"/>
      <c r="E1477" s="40"/>
      <c r="K1477" s="38"/>
      <c r="L1477" s="38"/>
      <c r="M1477" s="43"/>
      <c r="N1477" s="42"/>
      <c r="O1477" s="50"/>
      <c r="P1477" s="38"/>
      <c r="Q1477" s="41"/>
      <c r="R1477" s="43"/>
      <c r="S1477" s="43"/>
      <c r="T1477" s="41"/>
      <c r="U1477" s="41"/>
      <c r="V1477" s="41"/>
    </row>
    <row r="1478" spans="4:22" ht="15" customHeight="1">
      <c r="D1478" s="39"/>
      <c r="E1478" s="40"/>
      <c r="K1478" s="38"/>
      <c r="L1478" s="38"/>
      <c r="M1478" s="43"/>
      <c r="N1478" s="42"/>
      <c r="O1478" s="50"/>
      <c r="P1478" s="38"/>
      <c r="Q1478" s="41"/>
      <c r="R1478" s="43"/>
      <c r="S1478" s="43"/>
      <c r="T1478" s="41"/>
      <c r="U1478" s="41"/>
      <c r="V1478" s="41"/>
    </row>
    <row r="1479" spans="4:22" ht="15" customHeight="1">
      <c r="D1479" s="39"/>
      <c r="E1479" s="40"/>
      <c r="K1479" s="38"/>
      <c r="L1479" s="38"/>
      <c r="M1479" s="43"/>
      <c r="N1479" s="42"/>
      <c r="O1479" s="50"/>
      <c r="P1479" s="38"/>
      <c r="Q1479" s="41"/>
      <c r="R1479" s="43"/>
      <c r="S1479" s="43"/>
      <c r="T1479" s="41"/>
      <c r="U1479" s="41"/>
      <c r="V1479" s="41"/>
    </row>
    <row r="1480" spans="4:22" ht="15" customHeight="1">
      <c r="D1480" s="39"/>
      <c r="E1480" s="40"/>
      <c r="K1480" s="38"/>
      <c r="L1480" s="38"/>
      <c r="M1480" s="43"/>
      <c r="N1480" s="42"/>
      <c r="O1480" s="50"/>
      <c r="P1480" s="38"/>
      <c r="Q1480" s="41"/>
      <c r="R1480" s="43"/>
      <c r="S1480" s="43"/>
      <c r="T1480" s="41"/>
      <c r="U1480" s="41"/>
      <c r="V1480" s="41"/>
    </row>
    <row r="1481" spans="4:22" ht="15" customHeight="1">
      <c r="D1481" s="39"/>
      <c r="E1481" s="40"/>
      <c r="K1481" s="38"/>
      <c r="L1481" s="38"/>
      <c r="M1481" s="43"/>
      <c r="N1481" s="42"/>
      <c r="O1481" s="50"/>
      <c r="P1481" s="38"/>
      <c r="Q1481" s="41"/>
      <c r="R1481" s="43"/>
      <c r="S1481" s="43"/>
      <c r="T1481" s="41"/>
      <c r="U1481" s="41"/>
      <c r="V1481" s="41"/>
    </row>
    <row r="1482" spans="4:22" ht="15" customHeight="1">
      <c r="D1482" s="39"/>
      <c r="E1482" s="40"/>
      <c r="K1482" s="38"/>
      <c r="L1482" s="38"/>
      <c r="M1482" s="43"/>
      <c r="N1482" s="42"/>
      <c r="O1482" s="50"/>
      <c r="P1482" s="38"/>
      <c r="Q1482" s="41"/>
      <c r="R1482" s="43"/>
      <c r="S1482" s="43"/>
      <c r="T1482" s="41"/>
      <c r="U1482" s="41"/>
      <c r="V1482" s="41"/>
    </row>
    <row r="1483" spans="4:22" ht="15" customHeight="1">
      <c r="D1483" s="39"/>
      <c r="E1483" s="40"/>
      <c r="K1483" s="38"/>
      <c r="L1483" s="38"/>
      <c r="M1483" s="43"/>
      <c r="N1483" s="42"/>
      <c r="O1483" s="50"/>
      <c r="P1483" s="38"/>
      <c r="Q1483" s="41"/>
      <c r="R1483" s="43"/>
      <c r="S1483" s="43"/>
      <c r="T1483" s="41"/>
      <c r="U1483" s="41"/>
      <c r="V1483" s="41"/>
    </row>
    <row r="1484" spans="4:22" ht="15" customHeight="1">
      <c r="D1484" s="39"/>
      <c r="E1484" s="40"/>
      <c r="K1484" s="38"/>
      <c r="L1484" s="38"/>
      <c r="M1484" s="43"/>
      <c r="N1484" s="42"/>
      <c r="O1484" s="50"/>
      <c r="P1484" s="38"/>
      <c r="Q1484" s="41"/>
      <c r="R1484" s="43"/>
      <c r="S1484" s="43"/>
      <c r="T1484" s="41"/>
      <c r="U1484" s="41"/>
      <c r="V1484" s="41"/>
    </row>
    <row r="1485" spans="4:22" ht="15" customHeight="1">
      <c r="D1485" s="39"/>
      <c r="E1485" s="40"/>
      <c r="K1485" s="38"/>
      <c r="L1485" s="38"/>
      <c r="M1485" s="43"/>
      <c r="N1485" s="42"/>
      <c r="O1485" s="50"/>
      <c r="P1485" s="38"/>
      <c r="Q1485" s="41"/>
      <c r="R1485" s="43"/>
      <c r="S1485" s="43"/>
      <c r="T1485" s="41"/>
      <c r="U1485" s="41"/>
      <c r="V1485" s="41"/>
    </row>
    <row r="1486" spans="4:22" ht="15" customHeight="1">
      <c r="D1486" s="39"/>
      <c r="E1486" s="40"/>
      <c r="K1486" s="38"/>
      <c r="L1486" s="38"/>
      <c r="M1486" s="43"/>
      <c r="N1486" s="42"/>
      <c r="O1486" s="50"/>
      <c r="P1486" s="38"/>
      <c r="Q1486" s="41"/>
      <c r="R1486" s="43"/>
      <c r="S1486" s="43"/>
      <c r="T1486" s="41"/>
      <c r="U1486" s="41"/>
      <c r="V1486" s="41"/>
    </row>
    <row r="1487" spans="4:22" ht="15" customHeight="1">
      <c r="D1487" s="39"/>
      <c r="E1487" s="40"/>
      <c r="K1487" s="38"/>
      <c r="L1487" s="38"/>
      <c r="M1487" s="43"/>
      <c r="N1487" s="42"/>
      <c r="O1487" s="50"/>
      <c r="P1487" s="38"/>
      <c r="Q1487" s="41"/>
      <c r="R1487" s="43"/>
      <c r="S1487" s="43"/>
      <c r="T1487" s="41"/>
      <c r="U1487" s="41"/>
      <c r="V1487" s="4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8847E3-7007-44E4-BA96-0844A65E5036}">
          <x14:formula1>
            <xm:f>LS!$Z$3</xm:f>
          </x14:formula1>
          <xm:sqref>L3:L1048576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6B61-FF5F-4626-8090-98398E47129E}">
  <sheetPr>
    <pageSetUpPr fitToPage="1"/>
  </sheetPr>
  <dimension ref="A1:XCY273"/>
  <sheetViews>
    <sheetView zoomScaleNormal="100" workbookViewId="0">
      <pane ySplit="1" topLeftCell="A245" activePane="bottomLeft" state="frozen"/>
      <selection activeCell="G954" sqref="G954"/>
      <selection pane="bottomLeft" activeCell="F273" sqref="F273"/>
    </sheetView>
  </sheetViews>
  <sheetFormatPr defaultColWidth="9.140625" defaultRowHeight="15"/>
  <cols>
    <col min="1" max="1" width="6.42578125" style="196" customWidth="1"/>
    <col min="2" max="2" width="7.7109375" style="196" customWidth="1"/>
    <col min="3" max="3" width="5.28515625" style="196" customWidth="1"/>
    <col min="4" max="4" width="16.140625" style="196" hidden="1" customWidth="1"/>
    <col min="5" max="6" width="12" style="196" customWidth="1"/>
    <col min="7" max="7" width="9.7109375" style="196" customWidth="1"/>
    <col min="8" max="8" width="48.42578125" style="196" customWidth="1"/>
    <col min="9" max="9" width="21.85546875" style="196" hidden="1" customWidth="1"/>
    <col min="10" max="10" width="13.7109375" style="196" customWidth="1"/>
    <col min="11" max="11" width="10.140625" style="196" customWidth="1"/>
    <col min="12" max="12" width="14.140625" style="196" customWidth="1"/>
    <col min="13" max="13" width="14" style="196" customWidth="1"/>
    <col min="14" max="14" width="15.140625" style="196" customWidth="1"/>
    <col min="15" max="15" width="17.42578125" style="196" customWidth="1"/>
    <col min="16" max="16" width="14.28515625" style="196" customWidth="1"/>
    <col min="17" max="17" width="13.140625" style="196" bestFit="1" customWidth="1"/>
    <col min="18" max="18" width="11.42578125" style="196" customWidth="1"/>
    <col min="19" max="19" width="9.140625" style="196"/>
    <col min="20" max="21" width="9.140625" style="196" hidden="1" customWidth="1"/>
    <col min="22" max="23" width="9.140625" style="196"/>
    <col min="24" max="24" width="21.85546875" style="196" bestFit="1" customWidth="1"/>
    <col min="25" max="25" width="16.5703125" style="196" customWidth="1"/>
    <col min="26" max="16384" width="9.140625" style="196"/>
  </cols>
  <sheetData>
    <row r="1" spans="1:25 16324:16327" s="185" customFormat="1" ht="63.75" customHeight="1">
      <c r="A1" s="183" t="s">
        <v>285</v>
      </c>
      <c r="B1" s="183" t="s">
        <v>286</v>
      </c>
      <c r="C1" s="183" t="s">
        <v>287</v>
      </c>
      <c r="D1" s="184" t="s">
        <v>288</v>
      </c>
      <c r="E1" s="183" t="s">
        <v>1131</v>
      </c>
      <c r="F1" s="183" t="s">
        <v>1564</v>
      </c>
      <c r="G1" s="183" t="s">
        <v>289</v>
      </c>
      <c r="H1" s="184" t="s">
        <v>0</v>
      </c>
      <c r="I1" s="184" t="s">
        <v>1132</v>
      </c>
      <c r="J1" s="183" t="s">
        <v>983</v>
      </c>
      <c r="K1" s="184" t="s">
        <v>984</v>
      </c>
      <c r="L1" s="184" t="s">
        <v>985</v>
      </c>
      <c r="M1" s="184" t="s">
        <v>986</v>
      </c>
      <c r="N1" s="184" t="s">
        <v>1133</v>
      </c>
      <c r="O1" s="184" t="s">
        <v>988</v>
      </c>
      <c r="P1" s="184" t="s">
        <v>989</v>
      </c>
      <c r="Q1" s="183" t="s">
        <v>1134</v>
      </c>
      <c r="R1" s="183" t="s">
        <v>990</v>
      </c>
      <c r="S1" s="184" t="s">
        <v>1135</v>
      </c>
      <c r="T1" s="184" t="s">
        <v>1136</v>
      </c>
      <c r="U1" s="184" t="s">
        <v>1137</v>
      </c>
      <c r="V1" s="184" t="s">
        <v>1204</v>
      </c>
      <c r="X1" s="186" t="s">
        <v>1138</v>
      </c>
      <c r="Y1" s="187" t="s">
        <v>987</v>
      </c>
    </row>
    <row r="2" spans="1:25 16324:16327">
      <c r="A2" s="188">
        <v>2024</v>
      </c>
      <c r="B2" s="188">
        <v>1</v>
      </c>
      <c r="C2" s="188">
        <v>1</v>
      </c>
      <c r="D2" s="189">
        <f t="shared" ref="D2:D33" si="0">IFERROR(DATE(A2,B2,C2)," ")</f>
        <v>45292</v>
      </c>
      <c r="E2" s="188">
        <v>2023</v>
      </c>
      <c r="F2" s="247">
        <v>45365</v>
      </c>
      <c r="G2" s="188" t="s">
        <v>1</v>
      </c>
      <c r="H2" s="190" t="str">
        <f>_xlfn.XLOOKUP(DivAndTax[[#This Row],[Investor ID]],INVESTORS_LIST[INVESTOR CODE],INVESTORS_LIST[INVESTOR NAME])</f>
        <v>HARI PADA SAHA</v>
      </c>
      <c r="I2" s="8" t="str">
        <f>_xlfn.XLOOKUP(DivAndTax[[#This Row],[Investor ID]],INVESTORS_LIST[INVESTOR CODE],INVESTORS_LIST[TYPE OF INVESTOR])</f>
        <v>Individual</v>
      </c>
      <c r="J2" s="191">
        <v>68001</v>
      </c>
      <c r="K2" s="192">
        <v>0.25</v>
      </c>
      <c r="L2" s="192">
        <f>DivAndTax[[#This Row],[Total Units]]*DivAndTax[[#This Row],[Dividend Per Unit]]</f>
        <v>17000.25</v>
      </c>
      <c r="M2" s="192">
        <f>DivAndTax[[#This Row],[Gross Dividend]]</f>
        <v>17000.25</v>
      </c>
      <c r="N2" s="193" cm="1">
        <f t="array" ref="N2">IF(DivAndTax[[#This Row],[MOD]]="YES",0,IF(DivAndTax[[#This Row],[Taxable Dividend]]=0,0,IF(AND(I2="INDIVIDUAL",COUNTBLANK(Q2)=1),15%,IF(AND(I2="Providend Fund",COUNTBLANK(Q2)=1),15%,IF(AND(I2="Gratuity Fund",COUNTBLANK(Q2)=1),15%,INDEX(Table9[Tax Rate],MATCH(I2,Table9[Type],0),))))))</f>
        <v>0.15</v>
      </c>
      <c r="O2" s="192">
        <f>ROUND(IF((DivAndTax[[#This Row],[Taxable Dividend]]*DivAndTax[[#This Row],[Tax Rate
(If Applicable)]])&gt;0,DivAndTax[[#This Row],[Taxable Dividend]]*DivAndTax[[#This Row],[Tax Rate
(If Applicable)]],0),2)</f>
        <v>2550.04</v>
      </c>
      <c r="P2" s="192">
        <f t="shared" ref="P2:P33" si="1">L2-O2</f>
        <v>14450.21</v>
      </c>
      <c r="Q2" s="194"/>
      <c r="R2" s="192" t="s">
        <v>1139</v>
      </c>
      <c r="S2" s="192"/>
      <c r="T2" s="192" t="str">
        <f>DivAndTax[[#This Row],[Investor ID]]&amp;"-"&amp;(RIGHT(DivAndTax[[#This Row],[Accounting Year]],2))</f>
        <v>A00002-23</v>
      </c>
      <c r="U2" s="195" t="str">
        <f>IF(DivAndTax[[#This Row],[Dividend Option]]="CIP","11",IF(DivAndTax[[#This Row],[Dividend Option]]="CASH","22"))</f>
        <v>11</v>
      </c>
      <c r="V2" s="200"/>
      <c r="X2" s="197" t="s">
        <v>2</v>
      </c>
      <c r="Y2" s="198">
        <v>0.1</v>
      </c>
      <c r="XCV2" s="196" t="s">
        <v>1139</v>
      </c>
      <c r="XCX2" t="s">
        <v>2</v>
      </c>
      <c r="XCY2" s="199">
        <v>0.1</v>
      </c>
    </row>
    <row r="3" spans="1:25 16324:16327">
      <c r="A3" s="188">
        <v>2024</v>
      </c>
      <c r="B3" s="188">
        <v>1</v>
      </c>
      <c r="C3" s="188">
        <v>1</v>
      </c>
      <c r="D3" s="189">
        <f t="shared" si="0"/>
        <v>45292</v>
      </c>
      <c r="E3" s="188">
        <v>2023</v>
      </c>
      <c r="F3" s="247">
        <v>45365</v>
      </c>
      <c r="G3" s="188" t="s">
        <v>4</v>
      </c>
      <c r="H3" s="190" t="str">
        <f>_xlfn.XLOOKUP(DivAndTax[[#This Row],[Investor ID]],INVESTORS_LIST[INVESTOR CODE],INVESTORS_LIST[INVESTOR NAME])</f>
        <v>EKUSH WEALTH MANAGEMENT LIMITED</v>
      </c>
      <c r="I3" s="8" t="str">
        <f>_xlfn.XLOOKUP(DivAndTax[[#This Row],[Investor ID]],INVESTORS_LIST[INVESTOR CODE],INVESTORS_LIST[TYPE OF INVESTOR])</f>
        <v>Company/Organization</v>
      </c>
      <c r="J3" s="282">
        <v>1010028</v>
      </c>
      <c r="K3" s="283">
        <v>0.25</v>
      </c>
      <c r="L3" s="283">
        <f>DivAndTax[[#This Row],[Total Units]]*DivAndTax[[#This Row],[Dividend Per Unit]]</f>
        <v>252507</v>
      </c>
      <c r="M3" s="283">
        <f>DivAndTax[[#This Row],[Gross Dividend]]</f>
        <v>252507</v>
      </c>
      <c r="N3" s="193" cm="1">
        <f t="array" ref="N3">IF(DivAndTax[[#This Row],[MOD]]="YES",0,IF(DivAndTax[[#This Row],[Taxable Dividend]]=0,0,IF(AND(I3="INDIVIDUAL",COUNTBLANK(Q3)=1),15%,IF(AND(I3="Providend Fund",COUNTBLANK(Q3)=1),15%,IF(AND(I3="Gratuity Fund",COUNTBLANK(Q3)=1),15%,INDEX(Table9[Tax Rate],MATCH(I3,Table9[Type],0),))))))</f>
        <v>0.2</v>
      </c>
      <c r="O3" s="284">
        <f>ROUND(IF((DivAndTax[[#This Row],[Taxable Dividend]]*DivAndTax[[#This Row],[Tax Rate
(If Applicable)]])&gt;0,DivAndTax[[#This Row],[Taxable Dividend]]*DivAndTax[[#This Row],[Tax Rate
(If Applicable)]],0),2)</f>
        <v>50501.4</v>
      </c>
      <c r="P3" s="284">
        <f t="shared" si="1"/>
        <v>202005.6</v>
      </c>
      <c r="Q3" s="194" t="s">
        <v>1140</v>
      </c>
      <c r="R3" s="283" t="s">
        <v>1139</v>
      </c>
      <c r="S3" s="283"/>
      <c r="T3" s="283" t="str">
        <f>DivAndTax[[#This Row],[Investor ID]]&amp;"-"&amp;(RIGHT(DivAndTax[[#This Row],[Accounting Year]],2))</f>
        <v>A00003-23</v>
      </c>
      <c r="U3" s="284" t="str">
        <f>IF(DivAndTax[[#This Row],[Dividend Option]]="CIP","11",IF(DivAndTax[[#This Row],[Dividend Option]]="CASH","22"))</f>
        <v>11</v>
      </c>
      <c r="V3" s="285"/>
      <c r="X3" s="197" t="s">
        <v>5</v>
      </c>
      <c r="Y3" s="286">
        <v>0.2</v>
      </c>
      <c r="XCV3" s="196" t="s">
        <v>1141</v>
      </c>
      <c r="XCX3" t="s">
        <v>5</v>
      </c>
      <c r="XCY3" s="287">
        <v>0.2</v>
      </c>
    </row>
    <row r="4" spans="1:25 16324:16327">
      <c r="A4" s="188">
        <v>2024</v>
      </c>
      <c r="B4" s="188">
        <v>1</v>
      </c>
      <c r="C4" s="188">
        <v>1</v>
      </c>
      <c r="D4" s="189">
        <f t="shared" si="0"/>
        <v>45292</v>
      </c>
      <c r="E4" s="188">
        <v>2023</v>
      </c>
      <c r="F4" s="247">
        <v>45365</v>
      </c>
      <c r="G4" s="188" t="s">
        <v>22</v>
      </c>
      <c r="H4" s="190" t="str">
        <f>_xlfn.XLOOKUP(DivAndTax[[#This Row],[Investor ID]],INVESTORS_LIST[INVESTOR CODE],INVESTORS_LIST[INVESTOR NAME])</f>
        <v>ABDUL HAI BHUYAN</v>
      </c>
      <c r="I4" s="8" t="str">
        <f>_xlfn.XLOOKUP(DivAndTax[[#This Row],[Investor ID]],INVESTORS_LIST[INVESTOR CODE],INVESTORS_LIST[TYPE OF INVESTOR])</f>
        <v>Individual</v>
      </c>
      <c r="J4" s="282">
        <v>20000</v>
      </c>
      <c r="K4" s="283">
        <v>0.25</v>
      </c>
      <c r="L4" s="283">
        <f>DivAndTax[[#This Row],[Total Units]]*DivAndTax[[#This Row],[Dividend Per Unit]]</f>
        <v>5000</v>
      </c>
      <c r="M4" s="283">
        <f>DivAndTax[[#This Row],[Gross Dividend]]</f>
        <v>5000</v>
      </c>
      <c r="N4" s="193" cm="1">
        <f t="array" ref="N4">IF(DivAndTax[[#This Row],[MOD]]="YES",0,IF(DivAndTax[[#This Row],[Taxable Dividend]]=0,0,IF(AND(I4="INDIVIDUAL",COUNTBLANK(Q4)=1),15%,IF(AND(I4="Providend Fund",COUNTBLANK(Q4)=1),15%,IF(AND(I4="Gratuity Fund",COUNTBLANK(Q4)=1),15%,INDEX(Table9[Tax Rate],MATCH(I4,Table9[Type],0),))))))</f>
        <v>0.1</v>
      </c>
      <c r="O4" s="284">
        <f>ROUND(IF((DivAndTax[[#This Row],[Taxable Dividend]]*DivAndTax[[#This Row],[Tax Rate
(If Applicable)]])&gt;0,DivAndTax[[#This Row],[Taxable Dividend]]*DivAndTax[[#This Row],[Tax Rate
(If Applicable)]],0),2)</f>
        <v>500</v>
      </c>
      <c r="P4" s="284">
        <f t="shared" si="1"/>
        <v>4500</v>
      </c>
      <c r="Q4" s="194" t="s">
        <v>1142</v>
      </c>
      <c r="R4" s="283" t="s">
        <v>1139</v>
      </c>
      <c r="S4" s="283"/>
      <c r="T4" s="283" t="str">
        <f>DivAndTax[[#This Row],[Investor ID]]&amp;"-"&amp;(RIGHT(DivAndTax[[#This Row],[Accounting Year]],2))</f>
        <v>A00015-23</v>
      </c>
      <c r="U4" s="284" t="str">
        <f>IF(DivAndTax[[#This Row],[Dividend Option]]="CIP","11",IF(DivAndTax[[#This Row],[Dividend Option]]="CASH","22"))</f>
        <v>11</v>
      </c>
      <c r="V4" s="285"/>
      <c r="X4" s="197" t="s">
        <v>8</v>
      </c>
      <c r="Y4" s="286">
        <v>0</v>
      </c>
      <c r="XCX4" s="196" t="s">
        <v>8</v>
      </c>
      <c r="XCY4" s="287">
        <v>0</v>
      </c>
    </row>
    <row r="5" spans="1:25 16324:16327">
      <c r="A5" s="188">
        <v>2024</v>
      </c>
      <c r="B5" s="188">
        <v>1</v>
      </c>
      <c r="C5" s="188">
        <v>1</v>
      </c>
      <c r="D5" s="189">
        <f t="shared" si="0"/>
        <v>45292</v>
      </c>
      <c r="E5" s="188">
        <v>2023</v>
      </c>
      <c r="F5" s="247">
        <v>45365</v>
      </c>
      <c r="G5" s="188" t="s">
        <v>26</v>
      </c>
      <c r="H5" s="190" t="str">
        <f>_xlfn.XLOOKUP(DivAndTax[[#This Row],[Investor ID]],INVESTORS_LIST[INVESTOR CODE],INVESTORS_LIST[INVESTOR NAME])</f>
        <v>TANIZA MAZED</v>
      </c>
      <c r="I5" s="8" t="str">
        <f>_xlfn.XLOOKUP(DivAndTax[[#This Row],[Investor ID]],INVESTORS_LIST[INVESTOR CODE],INVESTORS_LIST[TYPE OF INVESTOR])</f>
        <v>Individual</v>
      </c>
      <c r="J5" s="282">
        <v>100000</v>
      </c>
      <c r="K5" s="283">
        <v>0.25</v>
      </c>
      <c r="L5" s="283">
        <f>DivAndTax[[#This Row],[Total Units]]*DivAndTax[[#This Row],[Dividend Per Unit]]</f>
        <v>25000</v>
      </c>
      <c r="M5" s="283">
        <f>DivAndTax[[#This Row],[Gross Dividend]]</f>
        <v>25000</v>
      </c>
      <c r="N5" s="193" cm="1">
        <f t="array" ref="N5">IF(DivAndTax[[#This Row],[MOD]]="YES",0,IF(DivAndTax[[#This Row],[Taxable Dividend]]=0,0,IF(AND(I5="INDIVIDUAL",COUNTBLANK(Q5)=1),15%,IF(AND(I5="Providend Fund",COUNTBLANK(Q5)=1),15%,IF(AND(I5="Gratuity Fund",COUNTBLANK(Q5)=1),15%,INDEX(Table9[Tax Rate],MATCH(I5,Table9[Type],0),))))))</f>
        <v>0.1</v>
      </c>
      <c r="O5" s="284">
        <f>ROUND(IF((DivAndTax[[#This Row],[Taxable Dividend]]*DivAndTax[[#This Row],[Tax Rate
(If Applicable)]])&gt;0,DivAndTax[[#This Row],[Taxable Dividend]]*DivAndTax[[#This Row],[Tax Rate
(If Applicable)]],0),2)</f>
        <v>2500</v>
      </c>
      <c r="P5" s="284">
        <f t="shared" si="1"/>
        <v>22500</v>
      </c>
      <c r="Q5" s="194" t="s">
        <v>1143</v>
      </c>
      <c r="R5" s="283" t="s">
        <v>1139</v>
      </c>
      <c r="S5" s="283"/>
      <c r="T5" s="283" t="str">
        <f>DivAndTax[[#This Row],[Investor ID]]&amp;"-"&amp;(RIGHT(DivAndTax[[#This Row],[Accounting Year]],2))</f>
        <v>A00019-23</v>
      </c>
      <c r="U5" s="284" t="str">
        <f>IF(DivAndTax[[#This Row],[Dividend Option]]="CIP","11",IF(DivAndTax[[#This Row],[Dividend Option]]="CASH","22"))</f>
        <v>11</v>
      </c>
      <c r="V5" s="285"/>
      <c r="X5" s="288" t="s">
        <v>11</v>
      </c>
      <c r="Y5" s="289">
        <v>0.1</v>
      </c>
      <c r="XCX5" s="196" t="s">
        <v>11</v>
      </c>
      <c r="XCY5" s="287">
        <v>0.05</v>
      </c>
    </row>
    <row r="6" spans="1:25 16324:16327">
      <c r="A6" s="188">
        <v>2024</v>
      </c>
      <c r="B6" s="188">
        <v>1</v>
      </c>
      <c r="C6" s="188">
        <v>1</v>
      </c>
      <c r="D6" s="189">
        <f t="shared" si="0"/>
        <v>45292</v>
      </c>
      <c r="E6" s="188">
        <v>2023</v>
      </c>
      <c r="F6" s="247">
        <v>45365</v>
      </c>
      <c r="G6" s="188" t="s">
        <v>27</v>
      </c>
      <c r="H6" s="190" t="str">
        <f>_xlfn.XLOOKUP(DivAndTax[[#This Row],[Investor ID]],INVESTORS_LIST[INVESTOR CODE],INVESTORS_LIST[INVESTOR NAME])</f>
        <v>MRIDUL KUMAR DEY</v>
      </c>
      <c r="I6" s="8" t="str">
        <f>_xlfn.XLOOKUP(DivAndTax[[#This Row],[Investor ID]],INVESTORS_LIST[INVESTOR CODE],INVESTORS_LIST[TYPE OF INVESTOR])</f>
        <v>Individual</v>
      </c>
      <c r="J6" s="282">
        <v>10417</v>
      </c>
      <c r="K6" s="283">
        <v>0.25</v>
      </c>
      <c r="L6" s="283">
        <f>DivAndTax[[#This Row],[Total Units]]*DivAndTax[[#This Row],[Dividend Per Unit]]</f>
        <v>2604.25</v>
      </c>
      <c r="M6" s="283">
        <f>DivAndTax[[#This Row],[Gross Dividend]]</f>
        <v>2604.25</v>
      </c>
      <c r="N6" s="193" cm="1">
        <f t="array" ref="N6">IF(DivAndTax[[#This Row],[MOD]]="YES",0,IF(DivAndTax[[#This Row],[Taxable Dividend]]=0,0,IF(AND(I6="INDIVIDUAL",COUNTBLANK(Q6)=1),15%,IF(AND(I6="Providend Fund",COUNTBLANK(Q6)=1),15%,IF(AND(I6="Gratuity Fund",COUNTBLANK(Q6)=1),15%,INDEX(Table9[Tax Rate],MATCH(I6,Table9[Type],0),))))))</f>
        <v>0.1</v>
      </c>
      <c r="O6" s="284">
        <f>ROUND(IF((DivAndTax[[#This Row],[Taxable Dividend]]*DivAndTax[[#This Row],[Tax Rate
(If Applicable)]])&gt;0,DivAndTax[[#This Row],[Taxable Dividend]]*DivAndTax[[#This Row],[Tax Rate
(If Applicable)]],0),2)</f>
        <v>260.43</v>
      </c>
      <c r="P6" s="284">
        <f t="shared" si="1"/>
        <v>2343.8200000000002</v>
      </c>
      <c r="Q6" s="194" t="s">
        <v>1144</v>
      </c>
      <c r="R6" s="283" t="s">
        <v>1139</v>
      </c>
      <c r="S6" s="283"/>
      <c r="T6" s="283" t="str">
        <f>DivAndTax[[#This Row],[Investor ID]]&amp;"-"&amp;(RIGHT(DivAndTax[[#This Row],[Accounting Year]],2))</f>
        <v>A00020-23</v>
      </c>
      <c r="U6" s="284" t="str">
        <f>IF(DivAndTax[[#This Row],[Dividend Option]]="CIP","11",IF(DivAndTax[[#This Row],[Dividend Option]]="CASH","22"))</f>
        <v>11</v>
      </c>
      <c r="V6" s="285"/>
      <c r="X6" s="197" t="s">
        <v>13</v>
      </c>
      <c r="Y6" s="286">
        <v>0.1</v>
      </c>
      <c r="XCX6" s="196" t="s">
        <v>13</v>
      </c>
      <c r="XCY6" s="287">
        <v>0.05</v>
      </c>
    </row>
    <row r="7" spans="1:25 16324:16327">
      <c r="A7" s="188">
        <v>2024</v>
      </c>
      <c r="B7" s="188">
        <v>1</v>
      </c>
      <c r="C7" s="188">
        <v>1</v>
      </c>
      <c r="D7" s="189">
        <f t="shared" si="0"/>
        <v>45292</v>
      </c>
      <c r="E7" s="188">
        <v>2023</v>
      </c>
      <c r="F7" s="247">
        <v>45365</v>
      </c>
      <c r="G7" s="188" t="s">
        <v>33</v>
      </c>
      <c r="H7" s="190" t="str">
        <f>_xlfn.XLOOKUP(DivAndTax[[#This Row],[Investor ID]],INVESTORS_LIST[INVESTOR CODE],INVESTORS_LIST[INVESTOR NAME])</f>
        <v>FAHMIDA HAQUE</v>
      </c>
      <c r="I7" s="8" t="str">
        <f>_xlfn.XLOOKUP(DivAndTax[[#This Row],[Investor ID]],INVESTORS_LIST[INVESTOR CODE],INVESTORS_LIST[TYPE OF INVESTOR])</f>
        <v>Individual</v>
      </c>
      <c r="J7" s="282">
        <v>50505</v>
      </c>
      <c r="K7" s="283">
        <v>0.25</v>
      </c>
      <c r="L7" s="283">
        <f>DivAndTax[[#This Row],[Total Units]]*DivAndTax[[#This Row],[Dividend Per Unit]]</f>
        <v>12626.25</v>
      </c>
      <c r="M7" s="283">
        <f>DivAndTax[[#This Row],[Gross Dividend]]</f>
        <v>12626.25</v>
      </c>
      <c r="N7" s="193" cm="1">
        <f t="array" ref="N7">IF(DivAndTax[[#This Row],[MOD]]="YES",0,IF(DivAndTax[[#This Row],[Taxable Dividend]]=0,0,IF(AND(I7="INDIVIDUAL",COUNTBLANK(Q7)=1),15%,IF(AND(I7="Providend Fund",COUNTBLANK(Q7)=1),15%,IF(AND(I7="Gratuity Fund",COUNTBLANK(Q7)=1),15%,INDEX(Table9[Tax Rate],MATCH(I7,Table9[Type],0),))))))</f>
        <v>0.1</v>
      </c>
      <c r="O7" s="284">
        <f>ROUND(IF((DivAndTax[[#This Row],[Taxable Dividend]]*DivAndTax[[#This Row],[Tax Rate
(If Applicable)]])&gt;0,DivAndTax[[#This Row],[Taxable Dividend]]*DivAndTax[[#This Row],[Tax Rate
(If Applicable)]],0),2)</f>
        <v>1262.6300000000001</v>
      </c>
      <c r="P7" s="284">
        <f t="shared" si="1"/>
        <v>11363.619999999999</v>
      </c>
      <c r="Q7" s="194" t="s">
        <v>1145</v>
      </c>
      <c r="R7" s="283" t="s">
        <v>1139</v>
      </c>
      <c r="S7" s="283"/>
      <c r="T7" s="283" t="str">
        <f>DivAndTax[[#This Row],[Investor ID]]&amp;"-"&amp;(RIGHT(DivAndTax[[#This Row],[Accounting Year]],2))</f>
        <v>A00026-23</v>
      </c>
      <c r="U7" s="284" t="str">
        <f>IF(DivAndTax[[#This Row],[Dividend Option]]="CIP","11",IF(DivAndTax[[#This Row],[Dividend Option]]="CASH","22"))</f>
        <v>11</v>
      </c>
      <c r="V7" s="285"/>
      <c r="XCX7"/>
      <c r="XCY7" s="287"/>
    </row>
    <row r="8" spans="1:25 16324:16327">
      <c r="A8" s="188">
        <v>2024</v>
      </c>
      <c r="B8" s="188">
        <v>1</v>
      </c>
      <c r="C8" s="188">
        <v>1</v>
      </c>
      <c r="D8" s="189">
        <f t="shared" si="0"/>
        <v>45292</v>
      </c>
      <c r="E8" s="188">
        <v>2023</v>
      </c>
      <c r="F8" s="247">
        <v>45365</v>
      </c>
      <c r="G8" s="188" t="s">
        <v>39</v>
      </c>
      <c r="H8" s="190" t="str">
        <f>_xlfn.XLOOKUP(DivAndTax[[#This Row],[Investor ID]],INVESTORS_LIST[INVESTOR CODE],INVESTORS_LIST[INVESTOR NAME])</f>
        <v>TANVIR AHMED SIDDIQUI</v>
      </c>
      <c r="I8" s="8" t="str">
        <f>_xlfn.XLOOKUP(DivAndTax[[#This Row],[Investor ID]],INVESTORS_LIST[INVESTOR CODE],INVESTORS_LIST[TYPE OF INVESTOR])</f>
        <v>Individual</v>
      </c>
      <c r="J8" s="282">
        <v>14884</v>
      </c>
      <c r="K8" s="283">
        <v>0.25</v>
      </c>
      <c r="L8" s="283">
        <f>DivAndTax[[#This Row],[Total Units]]*DivAndTax[[#This Row],[Dividend Per Unit]]</f>
        <v>3721</v>
      </c>
      <c r="M8" s="283">
        <f>DivAndTax[[#This Row],[Gross Dividend]]</f>
        <v>3721</v>
      </c>
      <c r="N8" s="193" cm="1">
        <f t="array" ref="N8">IF(DivAndTax[[#This Row],[MOD]]="YES",0,IF(DivAndTax[[#This Row],[Taxable Dividend]]=0,0,IF(AND(I8="INDIVIDUAL",COUNTBLANK(Q8)=1),15%,IF(AND(I8="Providend Fund",COUNTBLANK(Q8)=1),15%,IF(AND(I8="Gratuity Fund",COUNTBLANK(Q8)=1),15%,INDEX(Table9[Tax Rate],MATCH(I8,Table9[Type],0),))))))</f>
        <v>0.15</v>
      </c>
      <c r="O8" s="284">
        <f>ROUND(IF((DivAndTax[[#This Row],[Taxable Dividend]]*DivAndTax[[#This Row],[Tax Rate
(If Applicable)]])&gt;0,DivAndTax[[#This Row],[Taxable Dividend]]*DivAndTax[[#This Row],[Tax Rate
(If Applicable)]],0),2)</f>
        <v>558.15</v>
      </c>
      <c r="P8" s="284">
        <f t="shared" si="1"/>
        <v>3162.85</v>
      </c>
      <c r="Q8" s="194" t="s">
        <v>1146</v>
      </c>
      <c r="R8" s="283" t="s">
        <v>1139</v>
      </c>
      <c r="S8" s="283"/>
      <c r="T8" s="283" t="str">
        <f>DivAndTax[[#This Row],[Investor ID]]&amp;"-"&amp;(RIGHT(DivAndTax[[#This Row],[Accounting Year]],2))</f>
        <v>A00032-23</v>
      </c>
      <c r="U8" s="284" t="str">
        <f>IF(DivAndTax[[#This Row],[Dividend Option]]="CIP","11",IF(DivAndTax[[#This Row],[Dividend Option]]="CASH","22"))</f>
        <v>11</v>
      </c>
      <c r="V8" s="285"/>
      <c r="XCX8"/>
      <c r="XCY8" s="287"/>
    </row>
    <row r="9" spans="1:25 16324:16327">
      <c r="A9" s="188">
        <v>2024</v>
      </c>
      <c r="B9" s="188">
        <v>1</v>
      </c>
      <c r="C9" s="188">
        <v>1</v>
      </c>
      <c r="D9" s="189">
        <f t="shared" si="0"/>
        <v>45292</v>
      </c>
      <c r="E9" s="188">
        <v>2023</v>
      </c>
      <c r="F9" s="247">
        <v>45365</v>
      </c>
      <c r="G9" s="188" t="s">
        <v>48</v>
      </c>
      <c r="H9" s="190" t="str">
        <f>_xlfn.XLOOKUP(DivAndTax[[#This Row],[Investor ID]],INVESTORS_LIST[INVESTOR CODE],INVESTORS_LIST[INVESTOR NAME])</f>
        <v>RAJIB ROY</v>
      </c>
      <c r="I9" s="8" t="str">
        <f>_xlfn.XLOOKUP(DivAndTax[[#This Row],[Investor ID]],INVESTORS_LIST[INVESTOR CODE],INVESTORS_LIST[TYPE OF INVESTOR])</f>
        <v>Individual</v>
      </c>
      <c r="J9" s="282">
        <v>15000</v>
      </c>
      <c r="K9" s="283">
        <v>0.25</v>
      </c>
      <c r="L9" s="283">
        <f>DivAndTax[[#This Row],[Total Units]]*DivAndTax[[#This Row],[Dividend Per Unit]]</f>
        <v>3750</v>
      </c>
      <c r="M9" s="283">
        <f>DivAndTax[[#This Row],[Gross Dividend]]</f>
        <v>3750</v>
      </c>
      <c r="N9" s="193" cm="1">
        <f t="array" ref="N9">IF(DivAndTax[[#This Row],[MOD]]="YES",0,IF(DivAndTax[[#This Row],[Taxable Dividend]]=0,0,IF(AND(I9="INDIVIDUAL",COUNTBLANK(Q9)=1),15%,IF(AND(I9="Providend Fund",COUNTBLANK(Q9)=1),15%,IF(AND(I9="Gratuity Fund",COUNTBLANK(Q9)=1),15%,INDEX(Table9[Tax Rate],MATCH(I9,Table9[Type],0),))))))</f>
        <v>0.1</v>
      </c>
      <c r="O9" s="284">
        <f>ROUND(IF((DivAndTax[[#This Row],[Taxable Dividend]]*DivAndTax[[#This Row],[Tax Rate
(If Applicable)]])&gt;0,DivAndTax[[#This Row],[Taxable Dividend]]*DivAndTax[[#This Row],[Tax Rate
(If Applicable)]],0),2)</f>
        <v>375</v>
      </c>
      <c r="P9" s="284">
        <f t="shared" si="1"/>
        <v>3375</v>
      </c>
      <c r="Q9" s="194" t="s">
        <v>1147</v>
      </c>
      <c r="R9" s="283" t="s">
        <v>1141</v>
      </c>
      <c r="S9" s="283"/>
      <c r="T9" s="283" t="str">
        <f>DivAndTax[[#This Row],[Investor ID]]&amp;"-"&amp;(RIGHT(DivAndTax[[#This Row],[Accounting Year]],2))</f>
        <v>A00041-23</v>
      </c>
      <c r="U9" s="284" t="str">
        <f>IF(DivAndTax[[#This Row],[Dividend Option]]="CIP","11",IF(DivAndTax[[#This Row],[Dividend Option]]="CASH","22"))</f>
        <v>22</v>
      </c>
      <c r="V9" s="285"/>
      <c r="XCX9"/>
      <c r="XCY9" s="287"/>
    </row>
    <row r="10" spans="1:25 16324:16327">
      <c r="A10" s="188">
        <v>2024</v>
      </c>
      <c r="B10" s="188">
        <v>1</v>
      </c>
      <c r="C10" s="188">
        <v>1</v>
      </c>
      <c r="D10" s="189">
        <f t="shared" si="0"/>
        <v>45292</v>
      </c>
      <c r="E10" s="188">
        <v>2023</v>
      </c>
      <c r="F10" s="247">
        <v>45365</v>
      </c>
      <c r="G10" s="188" t="s">
        <v>50</v>
      </c>
      <c r="H10" s="190" t="str">
        <f>_xlfn.XLOOKUP(DivAndTax[[#This Row],[Investor ID]],INVESTORS_LIST[INVESTOR CODE],INVESTORS_LIST[INVESTOR NAME])</f>
        <v>UCB STOCK BROKERAGE LIMITED</v>
      </c>
      <c r="I10" s="8" t="str">
        <f>_xlfn.XLOOKUP(DivAndTax[[#This Row],[Investor ID]],INVESTORS_LIST[INVESTOR CODE],INVESTORS_LIST[TYPE OF INVESTOR])</f>
        <v>Company/Organization</v>
      </c>
      <c r="J10" s="282">
        <v>250000</v>
      </c>
      <c r="K10" s="283">
        <v>0.25</v>
      </c>
      <c r="L10" s="283">
        <f>DivAndTax[[#This Row],[Total Units]]*DivAndTax[[#This Row],[Dividend Per Unit]]</f>
        <v>62500</v>
      </c>
      <c r="M10" s="283">
        <f>DivAndTax[[#This Row],[Gross Dividend]]</f>
        <v>62500</v>
      </c>
      <c r="N10" s="193" cm="1">
        <f t="array" ref="N10">IF(DivAndTax[[#This Row],[MOD]]="YES",0,IF(DivAndTax[[#This Row],[Taxable Dividend]]=0,0,IF(AND(I10="INDIVIDUAL",COUNTBLANK(Q10)=1),15%,IF(AND(I10="Providend Fund",COUNTBLANK(Q10)=1),15%,IF(AND(I10="Gratuity Fund",COUNTBLANK(Q10)=1),15%,INDEX(Table9[Tax Rate],MATCH(I10,Table9[Type],0),))))))</f>
        <v>0.2</v>
      </c>
      <c r="O10" s="284">
        <f>ROUND(IF((DivAndTax[[#This Row],[Taxable Dividend]]*DivAndTax[[#This Row],[Tax Rate
(If Applicable)]])&gt;0,DivAndTax[[#This Row],[Taxable Dividend]]*DivAndTax[[#This Row],[Tax Rate
(If Applicable)]],0),2)</f>
        <v>12500</v>
      </c>
      <c r="P10" s="284">
        <f t="shared" si="1"/>
        <v>50000</v>
      </c>
      <c r="Q10" s="194" t="s">
        <v>1148</v>
      </c>
      <c r="R10" s="283" t="s">
        <v>1139</v>
      </c>
      <c r="S10" s="283"/>
      <c r="T10" s="283" t="str">
        <f>DivAndTax[[#This Row],[Investor ID]]&amp;"-"&amp;(RIGHT(DivAndTax[[#This Row],[Accounting Year]],2))</f>
        <v>A00043-23</v>
      </c>
      <c r="U10" s="284" t="str">
        <f>IF(DivAndTax[[#This Row],[Dividend Option]]="CIP","11",IF(DivAndTax[[#This Row],[Dividend Option]]="CASH","22"))</f>
        <v>11</v>
      </c>
      <c r="V10" s="285"/>
      <c r="XCX10"/>
      <c r="XCY10" s="287"/>
    </row>
    <row r="11" spans="1:25 16324:16327">
      <c r="A11" s="188">
        <v>2024</v>
      </c>
      <c r="B11" s="188">
        <v>1</v>
      </c>
      <c r="C11" s="188">
        <v>1</v>
      </c>
      <c r="D11" s="189">
        <f t="shared" si="0"/>
        <v>45292</v>
      </c>
      <c r="E11" s="188">
        <v>2023</v>
      </c>
      <c r="F11" s="247">
        <v>45365</v>
      </c>
      <c r="G11" s="188" t="s">
        <v>54</v>
      </c>
      <c r="H11" s="190" t="str">
        <f>_xlfn.XLOOKUP(DivAndTax[[#This Row],[Investor ID]],INVESTORS_LIST[INVESTOR CODE],INVESTORS_LIST[INVESTOR NAME])</f>
        <v>NATIONAL BANK LTD</v>
      </c>
      <c r="I11" s="8" t="str">
        <f>_xlfn.XLOOKUP(DivAndTax[[#This Row],[Investor ID]],INVESTORS_LIST[INVESTOR CODE],INVESTORS_LIST[TYPE OF INVESTOR])</f>
        <v>Company/Organization</v>
      </c>
      <c r="J11" s="282">
        <v>250000</v>
      </c>
      <c r="K11" s="283">
        <v>0.25</v>
      </c>
      <c r="L11" s="283">
        <f>DivAndTax[[#This Row],[Total Units]]*DivAndTax[[#This Row],[Dividend Per Unit]]</f>
        <v>62500</v>
      </c>
      <c r="M11" s="283">
        <f>DivAndTax[[#This Row],[Gross Dividend]]</f>
        <v>62500</v>
      </c>
      <c r="N11" s="193" cm="1">
        <f t="array" ref="N11">IF(DivAndTax[[#This Row],[MOD]]="YES",0,IF(DivAndTax[[#This Row],[Taxable Dividend]]=0,0,IF(AND(I11="INDIVIDUAL",COUNTBLANK(Q11)=1),15%,IF(AND(I11="Providend Fund",COUNTBLANK(Q11)=1),15%,IF(AND(I11="Gratuity Fund",COUNTBLANK(Q11)=1),15%,INDEX(Table9[Tax Rate],MATCH(I11,Table9[Type],0),))))))</f>
        <v>0.2</v>
      </c>
      <c r="O11" s="284">
        <f>ROUND(IF((DivAndTax[[#This Row],[Taxable Dividend]]*DivAndTax[[#This Row],[Tax Rate
(If Applicable)]])&gt;0,DivAndTax[[#This Row],[Taxable Dividend]]*DivAndTax[[#This Row],[Tax Rate
(If Applicable)]],0),2)</f>
        <v>12500</v>
      </c>
      <c r="P11" s="284">
        <f t="shared" si="1"/>
        <v>50000</v>
      </c>
      <c r="Q11" s="194" t="s">
        <v>1146</v>
      </c>
      <c r="R11" s="283" t="s">
        <v>1141</v>
      </c>
      <c r="S11" s="283"/>
      <c r="T11" s="283" t="str">
        <f>DivAndTax[[#This Row],[Investor ID]]&amp;"-"&amp;(RIGHT(DivAndTax[[#This Row],[Accounting Year]],2))</f>
        <v>A00047-23</v>
      </c>
      <c r="U11" s="284" t="str">
        <f>IF(DivAndTax[[#This Row],[Dividend Option]]="CIP","11",IF(DivAndTax[[#This Row],[Dividend Option]]="CASH","22"))</f>
        <v>22</v>
      </c>
      <c r="V11" s="285"/>
      <c r="XCX11"/>
      <c r="XCY11" s="287"/>
    </row>
    <row r="12" spans="1:25 16324:16327">
      <c r="A12" s="188">
        <v>2024</v>
      </c>
      <c r="B12" s="188">
        <v>1</v>
      </c>
      <c r="C12" s="188">
        <v>1</v>
      </c>
      <c r="D12" s="189">
        <f t="shared" si="0"/>
        <v>45292</v>
      </c>
      <c r="E12" s="188">
        <v>2023</v>
      </c>
      <c r="F12" s="247">
        <v>45365</v>
      </c>
      <c r="G12" s="188" t="s">
        <v>56</v>
      </c>
      <c r="H12" s="190" t="str">
        <f>_xlfn.XLOOKUP(DivAndTax[[#This Row],[Investor ID]],INVESTORS_LIST[INVESTOR CODE],INVESTORS_LIST[INVESTOR NAME])</f>
        <v>PHOENIX INSURANCE CO. LTD. EMPL. P.F.</v>
      </c>
      <c r="I12" s="8" t="str">
        <f>_xlfn.XLOOKUP(DivAndTax[[#This Row],[Investor ID]],INVESTORS_LIST[INVESTOR CODE],INVESTORS_LIST[TYPE OF INVESTOR])</f>
        <v>Providend Fund</v>
      </c>
      <c r="J12" s="282">
        <v>100000</v>
      </c>
      <c r="K12" s="283">
        <v>0.25</v>
      </c>
      <c r="L12" s="283">
        <f>DivAndTax[[#This Row],[Total Units]]*DivAndTax[[#This Row],[Dividend Per Unit]]</f>
        <v>25000</v>
      </c>
      <c r="M12" s="283">
        <f>DivAndTax[[#This Row],[Gross Dividend]]</f>
        <v>25000</v>
      </c>
      <c r="N12" s="193" cm="1">
        <f t="array" ref="N12">IF(DivAndTax[[#This Row],[MOD]]="YES",0,IF(DivAndTax[[#This Row],[Taxable Dividend]]=0,0,IF(AND(I12="INDIVIDUAL",COUNTBLANK(Q12)=1),15%,IF(AND(I12="Providend Fund",COUNTBLANK(Q12)=1),15%,IF(AND(I12="Gratuity Fund",COUNTBLANK(Q12)=1),15%,INDEX(Table9[Tax Rate],MATCH(I12,Table9[Type],0),))))))</f>
        <v>0.15</v>
      </c>
      <c r="O12" s="284">
        <f>ROUND(IF((DivAndTax[[#This Row],[Taxable Dividend]]*DivAndTax[[#This Row],[Tax Rate
(If Applicable)]])&gt;0,DivAndTax[[#This Row],[Taxable Dividend]]*DivAndTax[[#This Row],[Tax Rate
(If Applicable)]],0),2)</f>
        <v>3750</v>
      </c>
      <c r="P12" s="284">
        <f t="shared" si="1"/>
        <v>21250</v>
      </c>
      <c r="Q12" s="194" t="s">
        <v>1146</v>
      </c>
      <c r="R12" s="283" t="s">
        <v>1139</v>
      </c>
      <c r="S12" s="283"/>
      <c r="T12" s="283" t="str">
        <f>DivAndTax[[#This Row],[Investor ID]]&amp;"-"&amp;(RIGHT(DivAndTax[[#This Row],[Accounting Year]],2))</f>
        <v>A00049-23</v>
      </c>
      <c r="U12" s="284" t="str">
        <f>IF(DivAndTax[[#This Row],[Dividend Option]]="CIP","11",IF(DivAndTax[[#This Row],[Dividend Option]]="CASH","22"))</f>
        <v>11</v>
      </c>
      <c r="V12" s="285"/>
      <c r="XCX12"/>
      <c r="XCY12" s="287"/>
    </row>
    <row r="13" spans="1:25 16324:16327">
      <c r="A13" s="188">
        <v>2024</v>
      </c>
      <c r="B13" s="188">
        <v>1</v>
      </c>
      <c r="C13" s="188">
        <v>1</v>
      </c>
      <c r="D13" s="189">
        <f t="shared" si="0"/>
        <v>45292</v>
      </c>
      <c r="E13" s="188">
        <v>2023</v>
      </c>
      <c r="F13" s="247">
        <v>45365</v>
      </c>
      <c r="G13" s="188" t="s">
        <v>58</v>
      </c>
      <c r="H13" s="190" t="str">
        <f>_xlfn.XLOOKUP(DivAndTax[[#This Row],[Investor ID]],INVESTORS_LIST[INVESTOR CODE],INVESTORS_LIST[INVESTOR NAME])</f>
        <v>SATCOM IT LTD. PROVIDENT FUND</v>
      </c>
      <c r="I13" s="8" t="str">
        <f>_xlfn.XLOOKUP(DivAndTax[[#This Row],[Investor ID]],INVESTORS_LIST[INVESTOR CODE],INVESTORS_LIST[TYPE OF INVESTOR])</f>
        <v>Providend Fund</v>
      </c>
      <c r="J13" s="282">
        <v>100000</v>
      </c>
      <c r="K13" s="283">
        <v>0.25</v>
      </c>
      <c r="L13" s="283">
        <f>DivAndTax[[#This Row],[Total Units]]*DivAndTax[[#This Row],[Dividend Per Unit]]</f>
        <v>25000</v>
      </c>
      <c r="M13" s="283">
        <f>DivAndTax[[#This Row],[Gross Dividend]]</f>
        <v>25000</v>
      </c>
      <c r="N13" s="193" cm="1">
        <f t="array" ref="N13">IF(DivAndTax[[#This Row],[MOD]]="YES",0,IF(DivAndTax[[#This Row],[Taxable Dividend]]=0,0,IF(AND(I13="INDIVIDUAL",COUNTBLANK(Q13)=1),15%,IF(AND(I13="Providend Fund",COUNTBLANK(Q13)=1),15%,IF(AND(I13="Gratuity Fund",COUNTBLANK(Q13)=1),15%,INDEX(Table9[Tax Rate],MATCH(I13,Table9[Type],0),))))))</f>
        <v>0.15</v>
      </c>
      <c r="O13" s="284">
        <f>ROUND(IF((DivAndTax[[#This Row],[Taxable Dividend]]*DivAndTax[[#This Row],[Tax Rate
(If Applicable)]])&gt;0,DivAndTax[[#This Row],[Taxable Dividend]]*DivAndTax[[#This Row],[Tax Rate
(If Applicable)]],0),2)</f>
        <v>3750</v>
      </c>
      <c r="P13" s="284">
        <f t="shared" si="1"/>
        <v>21250</v>
      </c>
      <c r="Q13" s="194" t="s">
        <v>1146</v>
      </c>
      <c r="R13" s="283" t="s">
        <v>1139</v>
      </c>
      <c r="S13" s="283"/>
      <c r="T13" s="283" t="str">
        <f>DivAndTax[[#This Row],[Investor ID]]&amp;"-"&amp;(RIGHT(DivAndTax[[#This Row],[Accounting Year]],2))</f>
        <v>A00051-23</v>
      </c>
      <c r="U13" s="284" t="str">
        <f>IF(DivAndTax[[#This Row],[Dividend Option]]="CIP","11",IF(DivAndTax[[#This Row],[Dividend Option]]="CASH","22"))</f>
        <v>11</v>
      </c>
      <c r="V13" s="285"/>
      <c r="XCX13"/>
      <c r="XCY13" s="287"/>
    </row>
    <row r="14" spans="1:25 16324:16327">
      <c r="A14" s="188">
        <v>2024</v>
      </c>
      <c r="B14" s="188">
        <v>1</v>
      </c>
      <c r="C14" s="188">
        <v>1</v>
      </c>
      <c r="D14" s="189">
        <f t="shared" si="0"/>
        <v>45292</v>
      </c>
      <c r="E14" s="188">
        <v>2023</v>
      </c>
      <c r="F14" s="247">
        <v>45365</v>
      </c>
      <c r="G14" s="188" t="s">
        <v>60</v>
      </c>
      <c r="H14" s="190" t="str">
        <f>_xlfn.XLOOKUP(DivAndTax[[#This Row],[Investor ID]],INVESTORS_LIST[INVESTOR CODE],INVESTORS_LIST[INVESTOR NAME])</f>
        <v>SHUVA SAHA</v>
      </c>
      <c r="I14" s="8" t="str">
        <f>_xlfn.XLOOKUP(DivAndTax[[#This Row],[Investor ID]],INVESTORS_LIST[INVESTOR CODE],INVESTORS_LIST[TYPE OF INVESTOR])</f>
        <v>Individual</v>
      </c>
      <c r="J14" s="282">
        <v>196068</v>
      </c>
      <c r="K14" s="283">
        <v>0.25</v>
      </c>
      <c r="L14" s="283">
        <f>DivAndTax[[#This Row],[Total Units]]*DivAndTax[[#This Row],[Dividend Per Unit]]</f>
        <v>49017</v>
      </c>
      <c r="M14" s="283">
        <f>DivAndTax[[#This Row],[Gross Dividend]]</f>
        <v>49017</v>
      </c>
      <c r="N14" s="193" cm="1">
        <f t="array" ref="N14">IF(DivAndTax[[#This Row],[MOD]]="YES",0,IF(DivAndTax[[#This Row],[Taxable Dividend]]=0,0,IF(AND(I14="INDIVIDUAL",COUNTBLANK(Q14)=1),15%,IF(AND(I14="Providend Fund",COUNTBLANK(Q14)=1),15%,IF(AND(I14="Gratuity Fund",COUNTBLANK(Q14)=1),15%,INDEX(Table9[Tax Rate],MATCH(I14,Table9[Type],0),))))))</f>
        <v>0.1</v>
      </c>
      <c r="O14" s="284">
        <f>ROUND(IF((DivAndTax[[#This Row],[Taxable Dividend]]*DivAndTax[[#This Row],[Tax Rate
(If Applicable)]])&gt;0,DivAndTax[[#This Row],[Taxable Dividend]]*DivAndTax[[#This Row],[Tax Rate
(If Applicable)]],0),2)</f>
        <v>4901.7</v>
      </c>
      <c r="P14" s="284">
        <f t="shared" si="1"/>
        <v>44115.3</v>
      </c>
      <c r="Q14" s="194" t="s">
        <v>1149</v>
      </c>
      <c r="R14" s="283" t="s">
        <v>1139</v>
      </c>
      <c r="S14" s="283"/>
      <c r="T14" s="283" t="str">
        <f>DivAndTax[[#This Row],[Investor ID]]&amp;"-"&amp;(RIGHT(DivAndTax[[#This Row],[Accounting Year]],2))</f>
        <v>A00053-23</v>
      </c>
      <c r="U14" s="284" t="str">
        <f>IF(DivAndTax[[#This Row],[Dividend Option]]="CIP","11",IF(DivAndTax[[#This Row],[Dividend Option]]="CASH","22"))</f>
        <v>11</v>
      </c>
      <c r="V14" s="285"/>
      <c r="XCX14"/>
      <c r="XCY14" s="287"/>
    </row>
    <row r="15" spans="1:25 16324:16327">
      <c r="A15" s="188">
        <v>2024</v>
      </c>
      <c r="B15" s="188">
        <v>1</v>
      </c>
      <c r="C15" s="188">
        <v>1</v>
      </c>
      <c r="D15" s="189">
        <f t="shared" si="0"/>
        <v>45292</v>
      </c>
      <c r="E15" s="188">
        <v>2023</v>
      </c>
      <c r="F15" s="247">
        <v>45365</v>
      </c>
      <c r="G15" s="188" t="s">
        <v>62</v>
      </c>
      <c r="H15" s="190" t="str">
        <f>_xlfn.XLOOKUP(DivAndTax[[#This Row],[Investor ID]],INVESTORS_LIST[INVESTOR CODE],INVESTORS_LIST[INVESTOR NAME])</f>
        <v>KAZI AHSAN MARUF</v>
      </c>
      <c r="I15" s="8" t="str">
        <f>_xlfn.XLOOKUP(DivAndTax[[#This Row],[Investor ID]],INVESTORS_LIST[INVESTOR CODE],INVESTORS_LIST[TYPE OF INVESTOR])</f>
        <v>Individual</v>
      </c>
      <c r="J15" s="282">
        <v>108851</v>
      </c>
      <c r="K15" s="283">
        <v>0.25</v>
      </c>
      <c r="L15" s="283">
        <f>DivAndTax[[#This Row],[Total Units]]*DivAndTax[[#This Row],[Dividend Per Unit]]</f>
        <v>27212.75</v>
      </c>
      <c r="M15" s="283">
        <f>DivAndTax[[#This Row],[Gross Dividend]]</f>
        <v>27212.75</v>
      </c>
      <c r="N15" s="193" cm="1">
        <f t="array" ref="N15">IF(DivAndTax[[#This Row],[MOD]]="YES",0,IF(DivAndTax[[#This Row],[Taxable Dividend]]=0,0,IF(AND(I15="INDIVIDUAL",COUNTBLANK(Q15)=1),15%,IF(AND(I15="Providend Fund",COUNTBLANK(Q15)=1),15%,IF(AND(I15="Gratuity Fund",COUNTBLANK(Q15)=1),15%,INDEX(Table9[Tax Rate],MATCH(I15,Table9[Type],0),))))))</f>
        <v>0.1</v>
      </c>
      <c r="O15" s="284">
        <f>ROUND(IF((DivAndTax[[#This Row],[Taxable Dividend]]*DivAndTax[[#This Row],[Tax Rate
(If Applicable)]])&gt;0,DivAndTax[[#This Row],[Taxable Dividend]]*DivAndTax[[#This Row],[Tax Rate
(If Applicable)]],0),2)</f>
        <v>2721.28</v>
      </c>
      <c r="P15" s="284">
        <f t="shared" si="1"/>
        <v>24491.47</v>
      </c>
      <c r="Q15" s="194" t="s">
        <v>1150</v>
      </c>
      <c r="R15" s="283" t="s">
        <v>1139</v>
      </c>
      <c r="S15" s="283"/>
      <c r="T15" s="283" t="str">
        <f>DivAndTax[[#This Row],[Investor ID]]&amp;"-"&amp;(RIGHT(DivAndTax[[#This Row],[Accounting Year]],2))</f>
        <v>A00055-23</v>
      </c>
      <c r="U15" s="284" t="str">
        <f>IF(DivAndTax[[#This Row],[Dividend Option]]="CIP","11",IF(DivAndTax[[#This Row],[Dividend Option]]="CASH","22"))</f>
        <v>11</v>
      </c>
      <c r="V15" s="285"/>
      <c r="XCX15"/>
      <c r="XCY15" s="287"/>
    </row>
    <row r="16" spans="1:25 16324:16327">
      <c r="A16" s="188">
        <v>2024</v>
      </c>
      <c r="B16" s="188">
        <v>1</v>
      </c>
      <c r="C16" s="188">
        <v>1</v>
      </c>
      <c r="D16" s="189">
        <f t="shared" si="0"/>
        <v>45292</v>
      </c>
      <c r="E16" s="188">
        <v>2023</v>
      </c>
      <c r="F16" s="247">
        <v>45365</v>
      </c>
      <c r="G16" s="188" t="s">
        <v>67</v>
      </c>
      <c r="H16" s="190" t="str">
        <f>_xlfn.XLOOKUP(DivAndTax[[#This Row],[Investor ID]],INVESTORS_LIST[INVESTOR CODE],INVESTORS_LIST[INVESTOR NAME])</f>
        <v>KANKA SAHA</v>
      </c>
      <c r="I16" s="8" t="str">
        <f>_xlfn.XLOOKUP(DivAndTax[[#This Row],[Investor ID]],INVESTORS_LIST[INVESTOR CODE],INVESTORS_LIST[TYPE OF INVESTOR])</f>
        <v>Individual</v>
      </c>
      <c r="J16" s="282">
        <v>50348</v>
      </c>
      <c r="K16" s="283">
        <v>0.25</v>
      </c>
      <c r="L16" s="283">
        <f>DivAndTax[[#This Row],[Total Units]]*DivAndTax[[#This Row],[Dividend Per Unit]]</f>
        <v>12587</v>
      </c>
      <c r="M16" s="283">
        <f>DivAndTax[[#This Row],[Gross Dividend]]</f>
        <v>12587</v>
      </c>
      <c r="N16" s="193" cm="1">
        <f t="array" ref="N16">IF(DivAndTax[[#This Row],[MOD]]="YES",0,IF(DivAndTax[[#This Row],[Taxable Dividend]]=0,0,IF(AND(I16="INDIVIDUAL",COUNTBLANK(Q16)=1),15%,IF(AND(I16="Providend Fund",COUNTBLANK(Q16)=1),15%,IF(AND(I16="Gratuity Fund",COUNTBLANK(Q16)=1),15%,INDEX(Table9[Tax Rate],MATCH(I16,Table9[Type],0),))))))</f>
        <v>0.15</v>
      </c>
      <c r="O16" s="284">
        <f>ROUND(IF((DivAndTax[[#This Row],[Taxable Dividend]]*DivAndTax[[#This Row],[Tax Rate
(If Applicable)]])&gt;0,DivAndTax[[#This Row],[Taxable Dividend]]*DivAndTax[[#This Row],[Tax Rate
(If Applicable)]],0),2)</f>
        <v>1888.05</v>
      </c>
      <c r="P16" s="284">
        <f t="shared" si="1"/>
        <v>10698.95</v>
      </c>
      <c r="Q16" s="194" t="s">
        <v>1146</v>
      </c>
      <c r="R16" s="283" t="s">
        <v>1139</v>
      </c>
      <c r="S16" s="283"/>
      <c r="T16" s="283" t="str">
        <f>DivAndTax[[#This Row],[Investor ID]]&amp;"-"&amp;(RIGHT(DivAndTax[[#This Row],[Accounting Year]],2))</f>
        <v>A00060-23</v>
      </c>
      <c r="U16" s="284" t="str">
        <f>IF(DivAndTax[[#This Row],[Dividend Option]]="CIP","11",IF(DivAndTax[[#This Row],[Dividend Option]]="CASH","22"))</f>
        <v>11</v>
      </c>
      <c r="V16" s="285"/>
      <c r="XCX16"/>
      <c r="XCY16" s="287"/>
    </row>
    <row r="17" spans="1:22 16326:16327">
      <c r="A17" s="188">
        <v>2024</v>
      </c>
      <c r="B17" s="188">
        <v>1</v>
      </c>
      <c r="C17" s="188">
        <v>1</v>
      </c>
      <c r="D17" s="189">
        <f t="shared" si="0"/>
        <v>45292</v>
      </c>
      <c r="E17" s="188">
        <v>2023</v>
      </c>
      <c r="F17" s="247">
        <v>45365</v>
      </c>
      <c r="G17" s="188" t="s">
        <v>73</v>
      </c>
      <c r="H17" s="190" t="str">
        <f>_xlfn.XLOOKUP(DivAndTax[[#This Row],[Investor ID]],INVESTORS_LIST[INVESTOR CODE],INVESTORS_LIST[INVESTOR NAME])</f>
        <v>REAZ UDDIN AHMED</v>
      </c>
      <c r="I17" s="8" t="str">
        <f>_xlfn.XLOOKUP(DivAndTax[[#This Row],[Investor ID]],INVESTORS_LIST[INVESTOR CODE],INVESTORS_LIST[TYPE OF INVESTOR])</f>
        <v>Individual</v>
      </c>
      <c r="J17" s="282">
        <v>1000</v>
      </c>
      <c r="K17" s="283">
        <v>0.25</v>
      </c>
      <c r="L17" s="283">
        <f>DivAndTax[[#This Row],[Total Units]]*DivAndTax[[#This Row],[Dividend Per Unit]]</f>
        <v>250</v>
      </c>
      <c r="M17" s="283">
        <f>DivAndTax[[#This Row],[Gross Dividend]]</f>
        <v>250</v>
      </c>
      <c r="N17" s="193" cm="1">
        <f t="array" ref="N17">IF(DivAndTax[[#This Row],[MOD]]="YES",0,IF(DivAndTax[[#This Row],[Taxable Dividend]]=0,0,IF(AND(I17="INDIVIDUAL",COUNTBLANK(Q17)=1),15%,IF(AND(I17="Providend Fund",COUNTBLANK(Q17)=1),15%,IF(AND(I17="Gratuity Fund",COUNTBLANK(Q17)=1),15%,INDEX(Table9[Tax Rate],MATCH(I17,Table9[Type],0),))))))</f>
        <v>0.1</v>
      </c>
      <c r="O17" s="284">
        <f>ROUND(IF((DivAndTax[[#This Row],[Taxable Dividend]]*DivAndTax[[#This Row],[Tax Rate
(If Applicable)]])&gt;0,DivAndTax[[#This Row],[Taxable Dividend]]*DivAndTax[[#This Row],[Tax Rate
(If Applicable)]],0),2)</f>
        <v>25</v>
      </c>
      <c r="P17" s="284">
        <f t="shared" si="1"/>
        <v>225</v>
      </c>
      <c r="Q17" s="194" t="s">
        <v>1151</v>
      </c>
      <c r="R17" s="283" t="s">
        <v>1141</v>
      </c>
      <c r="S17" s="283"/>
      <c r="T17" s="283" t="str">
        <f>DivAndTax[[#This Row],[Investor ID]]&amp;"-"&amp;(RIGHT(DivAndTax[[#This Row],[Accounting Year]],2))</f>
        <v>A00065-23</v>
      </c>
      <c r="U17" s="284" t="str">
        <f>IF(DivAndTax[[#This Row],[Dividend Option]]="CIP","11",IF(DivAndTax[[#This Row],[Dividend Option]]="CASH","22"))</f>
        <v>22</v>
      </c>
      <c r="V17" s="285"/>
      <c r="XCX17"/>
      <c r="XCY17" s="287"/>
    </row>
    <row r="18" spans="1:22 16326:16327">
      <c r="A18" s="188">
        <v>2024</v>
      </c>
      <c r="B18" s="188">
        <v>1</v>
      </c>
      <c r="C18" s="188">
        <v>1</v>
      </c>
      <c r="D18" s="189">
        <f t="shared" si="0"/>
        <v>45292</v>
      </c>
      <c r="E18" s="188">
        <v>2023</v>
      </c>
      <c r="F18" s="247">
        <v>45365</v>
      </c>
      <c r="G18" s="188" t="s">
        <v>74</v>
      </c>
      <c r="H18" s="190" t="str">
        <f>_xlfn.XLOOKUP(DivAndTax[[#This Row],[Investor ID]],INVESTORS_LIST[INVESTOR CODE],INVESTORS_LIST[INVESTOR NAME])</f>
        <v>SUJAN BARUA</v>
      </c>
      <c r="I18" s="8" t="str">
        <f>_xlfn.XLOOKUP(DivAndTax[[#This Row],[Investor ID]],INVESTORS_LIST[INVESTOR CODE],INVESTORS_LIST[TYPE OF INVESTOR])</f>
        <v>Individual</v>
      </c>
      <c r="J18" s="282">
        <v>10000</v>
      </c>
      <c r="K18" s="283">
        <v>0.25</v>
      </c>
      <c r="L18" s="283">
        <f>DivAndTax[[#This Row],[Total Units]]*DivAndTax[[#This Row],[Dividend Per Unit]]</f>
        <v>2500</v>
      </c>
      <c r="M18" s="283">
        <f>DivAndTax[[#This Row],[Gross Dividend]]</f>
        <v>2500</v>
      </c>
      <c r="N18" s="193" cm="1">
        <f t="array" ref="N18">IF(DivAndTax[[#This Row],[MOD]]="YES",0,IF(DivAndTax[[#This Row],[Taxable Dividend]]=0,0,IF(AND(I18="INDIVIDUAL",COUNTBLANK(Q18)=1),15%,IF(AND(I18="Providend Fund",COUNTBLANK(Q18)=1),15%,IF(AND(I18="Gratuity Fund",COUNTBLANK(Q18)=1),15%,INDEX(Table9[Tax Rate],MATCH(I18,Table9[Type],0),))))))</f>
        <v>0.1</v>
      </c>
      <c r="O18" s="284">
        <f>ROUND(IF((DivAndTax[[#This Row],[Taxable Dividend]]*DivAndTax[[#This Row],[Tax Rate
(If Applicable)]])&gt;0,DivAndTax[[#This Row],[Taxable Dividend]]*DivAndTax[[#This Row],[Tax Rate
(If Applicable)]],0),2)</f>
        <v>250</v>
      </c>
      <c r="P18" s="284">
        <f t="shared" si="1"/>
        <v>2250</v>
      </c>
      <c r="Q18" s="194" t="s">
        <v>1152</v>
      </c>
      <c r="R18" s="283" t="s">
        <v>1141</v>
      </c>
      <c r="S18" s="283"/>
      <c r="T18" s="283" t="str">
        <f>DivAndTax[[#This Row],[Investor ID]]&amp;"-"&amp;(RIGHT(DivAndTax[[#This Row],[Accounting Year]],2))</f>
        <v>A00066-23</v>
      </c>
      <c r="U18" s="284" t="str">
        <f>IF(DivAndTax[[#This Row],[Dividend Option]]="CIP","11",IF(DivAndTax[[#This Row],[Dividend Option]]="CASH","22"))</f>
        <v>22</v>
      </c>
      <c r="V18" s="285"/>
      <c r="XCX18"/>
      <c r="XCY18" s="287"/>
    </row>
    <row r="19" spans="1:22 16326:16327">
      <c r="A19" s="188">
        <v>2024</v>
      </c>
      <c r="B19" s="188">
        <v>1</v>
      </c>
      <c r="C19" s="188">
        <v>1</v>
      </c>
      <c r="D19" s="189">
        <f t="shared" si="0"/>
        <v>45292</v>
      </c>
      <c r="E19" s="188">
        <v>2023</v>
      </c>
      <c r="F19" s="247">
        <v>45365</v>
      </c>
      <c r="G19" s="188" t="s">
        <v>76</v>
      </c>
      <c r="H19" s="190" t="str">
        <f>_xlfn.XLOOKUP(DivAndTax[[#This Row],[Investor ID]],INVESTORS_LIST[INVESTOR CODE],INVESTORS_LIST[INVESTOR NAME])</f>
        <v>PHOENIX INSURANCE CO. LTD.</v>
      </c>
      <c r="I19" s="8" t="str">
        <f>_xlfn.XLOOKUP(DivAndTax[[#This Row],[Investor ID]],INVESTORS_LIST[INVESTOR CODE],INVESTORS_LIST[TYPE OF INVESTOR])</f>
        <v>Company/Organization</v>
      </c>
      <c r="J19" s="282">
        <v>200000</v>
      </c>
      <c r="K19" s="283">
        <v>0.25</v>
      </c>
      <c r="L19" s="283">
        <f>DivAndTax[[#This Row],[Total Units]]*DivAndTax[[#This Row],[Dividend Per Unit]]</f>
        <v>50000</v>
      </c>
      <c r="M19" s="283">
        <f>DivAndTax[[#This Row],[Gross Dividend]]</f>
        <v>50000</v>
      </c>
      <c r="N19" s="193" cm="1">
        <f t="array" ref="N19">IF(DivAndTax[[#This Row],[MOD]]="YES",0,IF(DivAndTax[[#This Row],[Taxable Dividend]]=0,0,IF(AND(I19="INDIVIDUAL",COUNTBLANK(Q19)=1),15%,IF(AND(I19="Providend Fund",COUNTBLANK(Q19)=1),15%,IF(AND(I19="Gratuity Fund",COUNTBLANK(Q19)=1),15%,INDEX(Table9[Tax Rate],MATCH(I19,Table9[Type],0),))))))</f>
        <v>0.2</v>
      </c>
      <c r="O19" s="284">
        <f>ROUND(IF((DivAndTax[[#This Row],[Taxable Dividend]]*DivAndTax[[#This Row],[Tax Rate
(If Applicable)]])&gt;0,DivAndTax[[#This Row],[Taxable Dividend]]*DivAndTax[[#This Row],[Tax Rate
(If Applicable)]],0),2)</f>
        <v>10000</v>
      </c>
      <c r="P19" s="284">
        <f t="shared" si="1"/>
        <v>40000</v>
      </c>
      <c r="Q19" s="194" t="s">
        <v>1146</v>
      </c>
      <c r="R19" s="283" t="s">
        <v>1139</v>
      </c>
      <c r="S19" s="283"/>
      <c r="T19" s="283" t="str">
        <f>DivAndTax[[#This Row],[Investor ID]]&amp;"-"&amp;(RIGHT(DivAndTax[[#This Row],[Accounting Year]],2))</f>
        <v>A00068-23</v>
      </c>
      <c r="U19" s="284" t="str">
        <f>IF(DivAndTax[[#This Row],[Dividend Option]]="CIP","11",IF(DivAndTax[[#This Row],[Dividend Option]]="CASH","22"))</f>
        <v>11</v>
      </c>
      <c r="V19" s="285"/>
      <c r="XCX19"/>
      <c r="XCY19" s="287"/>
    </row>
    <row r="20" spans="1:22 16326:16327">
      <c r="A20" s="188">
        <v>2024</v>
      </c>
      <c r="B20" s="188">
        <v>1</v>
      </c>
      <c r="C20" s="188">
        <v>1</v>
      </c>
      <c r="D20" s="189">
        <f t="shared" si="0"/>
        <v>45292</v>
      </c>
      <c r="E20" s="188">
        <v>2023</v>
      </c>
      <c r="F20" s="247">
        <v>45365</v>
      </c>
      <c r="G20" s="188" t="s">
        <v>77</v>
      </c>
      <c r="H20" s="190" t="str">
        <f>_xlfn.XLOOKUP(DivAndTax[[#This Row],[Investor ID]],INVESTORS_LIST[INVESTOR CODE],INVESTORS_LIST[INVESTOR NAME])</f>
        <v>UNICAP INVESTMENTS LIMITED</v>
      </c>
      <c r="I20" s="8" t="str">
        <f>_xlfn.XLOOKUP(DivAndTax[[#This Row],[Investor ID]],INVESTORS_LIST[INVESTOR CODE],INVESTORS_LIST[TYPE OF INVESTOR])</f>
        <v>Company/Organization</v>
      </c>
      <c r="J20" s="282">
        <v>100000</v>
      </c>
      <c r="K20" s="283">
        <v>0.25</v>
      </c>
      <c r="L20" s="283">
        <f>DivAndTax[[#This Row],[Total Units]]*DivAndTax[[#This Row],[Dividend Per Unit]]</f>
        <v>25000</v>
      </c>
      <c r="M20" s="283">
        <f>DivAndTax[[#This Row],[Gross Dividend]]</f>
        <v>25000</v>
      </c>
      <c r="N20" s="193" cm="1">
        <f t="array" ref="N20">IF(DivAndTax[[#This Row],[MOD]]="YES",0,IF(DivAndTax[[#This Row],[Taxable Dividend]]=0,0,IF(AND(I20="INDIVIDUAL",COUNTBLANK(Q20)=1),15%,IF(AND(I20="Providend Fund",COUNTBLANK(Q20)=1),15%,IF(AND(I20="Gratuity Fund",COUNTBLANK(Q20)=1),15%,INDEX(Table9[Tax Rate],MATCH(I20,Table9[Type],0),))))))</f>
        <v>0.2</v>
      </c>
      <c r="O20" s="284">
        <f>ROUND(IF((DivAndTax[[#This Row],[Taxable Dividend]]*DivAndTax[[#This Row],[Tax Rate
(If Applicable)]])&gt;0,DivAndTax[[#This Row],[Taxable Dividend]]*DivAndTax[[#This Row],[Tax Rate
(If Applicable)]],0),2)</f>
        <v>5000</v>
      </c>
      <c r="P20" s="284">
        <f t="shared" si="1"/>
        <v>20000</v>
      </c>
      <c r="Q20" s="194" t="s">
        <v>1146</v>
      </c>
      <c r="R20" s="283" t="s">
        <v>1139</v>
      </c>
      <c r="S20" s="283"/>
      <c r="T20" s="283" t="str">
        <f>DivAndTax[[#This Row],[Investor ID]]&amp;"-"&amp;(RIGHT(DivAndTax[[#This Row],[Accounting Year]],2))</f>
        <v>A00069-23</v>
      </c>
      <c r="U20" s="284" t="str">
        <f>IF(DivAndTax[[#This Row],[Dividend Option]]="CIP","11",IF(DivAndTax[[#This Row],[Dividend Option]]="CASH","22"))</f>
        <v>11</v>
      </c>
      <c r="V20" s="285"/>
      <c r="XCX20"/>
      <c r="XCY20" s="287"/>
    </row>
    <row r="21" spans="1:22 16326:16327">
      <c r="A21" s="188">
        <v>2024</v>
      </c>
      <c r="B21" s="188">
        <v>1</v>
      </c>
      <c r="C21" s="188">
        <v>1</v>
      </c>
      <c r="D21" s="189">
        <f t="shared" si="0"/>
        <v>45292</v>
      </c>
      <c r="E21" s="188">
        <v>2023</v>
      </c>
      <c r="F21" s="247">
        <v>45365</v>
      </c>
      <c r="G21" s="188" t="s">
        <v>78</v>
      </c>
      <c r="H21" s="190" t="str">
        <f>_xlfn.XLOOKUP(DivAndTax[[#This Row],[Investor ID]],INVESTORS_LIST[INVESTOR CODE],INVESTORS_LIST[INVESTOR NAME])</f>
        <v>BABITA RANI BARMAN</v>
      </c>
      <c r="I21" s="8" t="str">
        <f>_xlfn.XLOOKUP(DivAndTax[[#This Row],[Investor ID]],INVESTORS_LIST[INVESTOR CODE],INVESTORS_LIST[TYPE OF INVESTOR])</f>
        <v>Individual</v>
      </c>
      <c r="J21" s="282">
        <v>5000</v>
      </c>
      <c r="K21" s="283">
        <v>0.25</v>
      </c>
      <c r="L21" s="283">
        <f>DivAndTax[[#This Row],[Total Units]]*DivAndTax[[#This Row],[Dividend Per Unit]]</f>
        <v>1250</v>
      </c>
      <c r="M21" s="283">
        <f>DivAndTax[[#This Row],[Gross Dividend]]</f>
        <v>1250</v>
      </c>
      <c r="N21" s="193" cm="1">
        <f t="array" ref="N21">IF(DivAndTax[[#This Row],[MOD]]="YES",0,IF(DivAndTax[[#This Row],[Taxable Dividend]]=0,0,IF(AND(I21="INDIVIDUAL",COUNTBLANK(Q21)=1),15%,IF(AND(I21="Providend Fund",COUNTBLANK(Q21)=1),15%,IF(AND(I21="Gratuity Fund",COUNTBLANK(Q21)=1),15%,INDEX(Table9[Tax Rate],MATCH(I21,Table9[Type],0),))))))</f>
        <v>0.15</v>
      </c>
      <c r="O21" s="284">
        <f>ROUND(IF((DivAndTax[[#This Row],[Taxable Dividend]]*DivAndTax[[#This Row],[Tax Rate
(If Applicable)]])&gt;0,DivAndTax[[#This Row],[Taxable Dividend]]*DivAndTax[[#This Row],[Tax Rate
(If Applicable)]],0),2)</f>
        <v>187.5</v>
      </c>
      <c r="P21" s="284">
        <f t="shared" si="1"/>
        <v>1062.5</v>
      </c>
      <c r="Q21" s="194" t="s">
        <v>1146</v>
      </c>
      <c r="R21" s="283" t="s">
        <v>1139</v>
      </c>
      <c r="S21" s="283"/>
      <c r="T21" s="283" t="str">
        <f>DivAndTax[[#This Row],[Investor ID]]&amp;"-"&amp;(RIGHT(DivAndTax[[#This Row],[Accounting Year]],2))</f>
        <v>A00070-23</v>
      </c>
      <c r="U21" s="284" t="str">
        <f>IF(DivAndTax[[#This Row],[Dividend Option]]="CIP","11",IF(DivAndTax[[#This Row],[Dividend Option]]="CASH","22"))</f>
        <v>11</v>
      </c>
      <c r="V21" s="285"/>
      <c r="XCX21"/>
    </row>
    <row r="22" spans="1:22 16326:16327">
      <c r="A22" s="188">
        <v>2024</v>
      </c>
      <c r="B22" s="188">
        <v>1</v>
      </c>
      <c r="C22" s="188">
        <v>1</v>
      </c>
      <c r="D22" s="189">
        <f t="shared" si="0"/>
        <v>45292</v>
      </c>
      <c r="E22" s="188">
        <v>2023</v>
      </c>
      <c r="F22" s="247">
        <v>45365</v>
      </c>
      <c r="G22" s="188" t="s">
        <v>83</v>
      </c>
      <c r="H22" s="190" t="str">
        <f>_xlfn.XLOOKUP(DivAndTax[[#This Row],[Investor ID]],INVESTORS_LIST[INVESTOR CODE],INVESTORS_LIST[INVESTOR NAME])</f>
        <v>RELIANCE INSURANCE lIMITED</v>
      </c>
      <c r="I22" s="8" t="str">
        <f>_xlfn.XLOOKUP(DivAndTax[[#This Row],[Investor ID]],INVESTORS_LIST[INVESTOR CODE],INVESTORS_LIST[TYPE OF INVESTOR])</f>
        <v>Company/Organization</v>
      </c>
      <c r="J22" s="282">
        <v>250000</v>
      </c>
      <c r="K22" s="283">
        <v>0.25</v>
      </c>
      <c r="L22" s="283">
        <f>DivAndTax[[#This Row],[Total Units]]*DivAndTax[[#This Row],[Dividend Per Unit]]</f>
        <v>62500</v>
      </c>
      <c r="M22" s="283">
        <f>DivAndTax[[#This Row],[Gross Dividend]]</f>
        <v>62500</v>
      </c>
      <c r="N22" s="193" cm="1">
        <f t="array" ref="N22">IF(DivAndTax[[#This Row],[MOD]]="YES",0,IF(DivAndTax[[#This Row],[Taxable Dividend]]=0,0,IF(AND(I22="INDIVIDUAL",COUNTBLANK(Q22)=1),15%,IF(AND(I22="Providend Fund",COUNTBLANK(Q22)=1),15%,IF(AND(I22="Gratuity Fund",COUNTBLANK(Q22)=1),15%,INDEX(Table9[Tax Rate],MATCH(I22,Table9[Type],0),))))))</f>
        <v>0.2</v>
      </c>
      <c r="O22" s="284">
        <f>ROUND(IF((DivAndTax[[#This Row],[Taxable Dividend]]*DivAndTax[[#This Row],[Tax Rate
(If Applicable)]])&gt;0,DivAndTax[[#This Row],[Taxable Dividend]]*DivAndTax[[#This Row],[Tax Rate
(If Applicable)]],0),2)</f>
        <v>12500</v>
      </c>
      <c r="P22" s="284">
        <f t="shared" si="1"/>
        <v>50000</v>
      </c>
      <c r="Q22" s="194" t="s">
        <v>1153</v>
      </c>
      <c r="R22" s="283" t="s">
        <v>1141</v>
      </c>
      <c r="S22" s="283"/>
      <c r="T22" s="283" t="str">
        <f>DivAndTax[[#This Row],[Investor ID]]&amp;"-"&amp;(RIGHT(DivAndTax[[#This Row],[Accounting Year]],2))</f>
        <v>A00075-23</v>
      </c>
      <c r="U22" s="284" t="str">
        <f>IF(DivAndTax[[#This Row],[Dividend Option]]="CIP","11",IF(DivAndTax[[#This Row],[Dividend Option]]="CASH","22"))</f>
        <v>22</v>
      </c>
      <c r="V22" s="285"/>
      <c r="XCX22"/>
    </row>
    <row r="23" spans="1:22 16326:16327">
      <c r="A23" s="188">
        <v>2024</v>
      </c>
      <c r="B23" s="188">
        <v>1</v>
      </c>
      <c r="C23" s="188">
        <v>1</v>
      </c>
      <c r="D23" s="189">
        <f t="shared" si="0"/>
        <v>45292</v>
      </c>
      <c r="E23" s="188">
        <v>2023</v>
      </c>
      <c r="F23" s="247">
        <v>45365</v>
      </c>
      <c r="G23" s="188" t="s">
        <v>84</v>
      </c>
      <c r="H23" s="190" t="str">
        <f>_xlfn.XLOOKUP(DivAndTax[[#This Row],[Investor ID]],INVESTORS_LIST[INVESTOR CODE],INVESTORS_LIST[INVESTOR NAME])</f>
        <v>MOHAMMAD SAYDUZZAMAN</v>
      </c>
      <c r="I23" s="8" t="str">
        <f>_xlfn.XLOOKUP(DivAndTax[[#This Row],[Investor ID]],INVESTORS_LIST[INVESTOR CODE],INVESTORS_LIST[TYPE OF INVESTOR])</f>
        <v>Individual</v>
      </c>
      <c r="J23" s="282">
        <v>30000</v>
      </c>
      <c r="K23" s="283">
        <v>0.25</v>
      </c>
      <c r="L23" s="283">
        <f>DivAndTax[[#This Row],[Total Units]]*DivAndTax[[#This Row],[Dividend Per Unit]]</f>
        <v>7500</v>
      </c>
      <c r="M23" s="283">
        <f>DivAndTax[[#This Row],[Gross Dividend]]</f>
        <v>7500</v>
      </c>
      <c r="N23" s="193" cm="1">
        <f t="array" ref="N23">IF(DivAndTax[[#This Row],[MOD]]="YES",0,IF(DivAndTax[[#This Row],[Taxable Dividend]]=0,0,IF(AND(I23="INDIVIDUAL",COUNTBLANK(Q23)=1),15%,IF(AND(I23="Providend Fund",COUNTBLANK(Q23)=1),15%,IF(AND(I23="Gratuity Fund",COUNTBLANK(Q23)=1),15%,INDEX(Table9[Tax Rate],MATCH(I23,Table9[Type],0),))))))</f>
        <v>0.1</v>
      </c>
      <c r="O23" s="284">
        <f>ROUND(IF((DivAndTax[[#This Row],[Taxable Dividend]]*DivAndTax[[#This Row],[Tax Rate
(If Applicable)]])&gt;0,DivAndTax[[#This Row],[Taxable Dividend]]*DivAndTax[[#This Row],[Tax Rate
(If Applicable)]],0),2)</f>
        <v>750</v>
      </c>
      <c r="P23" s="284">
        <f t="shared" si="1"/>
        <v>6750</v>
      </c>
      <c r="Q23" s="194" t="s">
        <v>1154</v>
      </c>
      <c r="R23" s="283" t="s">
        <v>1139</v>
      </c>
      <c r="S23" s="283"/>
      <c r="T23" s="283" t="str">
        <f>DivAndTax[[#This Row],[Investor ID]]&amp;"-"&amp;(RIGHT(DivAndTax[[#This Row],[Accounting Year]],2))</f>
        <v>A00076-23</v>
      </c>
      <c r="U23" s="284" t="str">
        <f>IF(DivAndTax[[#This Row],[Dividend Option]]="CIP","11",IF(DivAndTax[[#This Row],[Dividend Option]]="CASH","22"))</f>
        <v>11</v>
      </c>
      <c r="V23" s="285"/>
      <c r="XCX23"/>
    </row>
    <row r="24" spans="1:22 16326:16327">
      <c r="A24" s="188">
        <v>2024</v>
      </c>
      <c r="B24" s="188">
        <v>1</v>
      </c>
      <c r="C24" s="188">
        <v>1</v>
      </c>
      <c r="D24" s="189">
        <f t="shared" si="0"/>
        <v>45292</v>
      </c>
      <c r="E24" s="188">
        <v>2023</v>
      </c>
      <c r="F24" s="247">
        <v>45365</v>
      </c>
      <c r="G24" s="188" t="s">
        <v>85</v>
      </c>
      <c r="H24" s="190" t="str">
        <f>_xlfn.XLOOKUP(DivAndTax[[#This Row],[Investor ID]],INVESTORS_LIST[INVESTOR CODE],INVESTORS_LIST[INVESTOR NAME])</f>
        <v>JHARNA RANI SAHA</v>
      </c>
      <c r="I24" s="8" t="str">
        <f>_xlfn.XLOOKUP(DivAndTax[[#This Row],[Investor ID]],INVESTORS_LIST[INVESTOR CODE],INVESTORS_LIST[TYPE OF INVESTOR])</f>
        <v>Individual</v>
      </c>
      <c r="J24" s="282">
        <v>15000</v>
      </c>
      <c r="K24" s="283">
        <v>0.25</v>
      </c>
      <c r="L24" s="283">
        <f>DivAndTax[[#This Row],[Total Units]]*DivAndTax[[#This Row],[Dividend Per Unit]]</f>
        <v>3750</v>
      </c>
      <c r="M24" s="283">
        <f>DivAndTax[[#This Row],[Gross Dividend]]</f>
        <v>3750</v>
      </c>
      <c r="N24" s="193" cm="1">
        <f t="array" ref="N24">IF(DivAndTax[[#This Row],[MOD]]="YES",0,IF(DivAndTax[[#This Row],[Taxable Dividend]]=0,0,IF(AND(I24="INDIVIDUAL",COUNTBLANK(Q24)=1),15%,IF(AND(I24="Providend Fund",COUNTBLANK(Q24)=1),15%,IF(AND(I24="Gratuity Fund",COUNTBLANK(Q24)=1),15%,INDEX(Table9[Tax Rate],MATCH(I24,Table9[Type],0),))))))</f>
        <v>0.1</v>
      </c>
      <c r="O24" s="284">
        <f>ROUND(IF((DivAndTax[[#This Row],[Taxable Dividend]]*DivAndTax[[#This Row],[Tax Rate
(If Applicable)]])&gt;0,DivAndTax[[#This Row],[Taxable Dividend]]*DivAndTax[[#This Row],[Tax Rate
(If Applicable)]],0),2)</f>
        <v>375</v>
      </c>
      <c r="P24" s="284">
        <f t="shared" si="1"/>
        <v>3375</v>
      </c>
      <c r="Q24" s="194" t="s">
        <v>1155</v>
      </c>
      <c r="R24" s="283" t="s">
        <v>1139</v>
      </c>
      <c r="S24" s="283"/>
      <c r="T24" s="283" t="str">
        <f>DivAndTax[[#This Row],[Investor ID]]&amp;"-"&amp;(RIGHT(DivAndTax[[#This Row],[Accounting Year]],2))</f>
        <v>A00077-23</v>
      </c>
      <c r="U24" s="284" t="str">
        <f>IF(DivAndTax[[#This Row],[Dividend Option]]="CIP","11",IF(DivAndTax[[#This Row],[Dividend Option]]="CASH","22"))</f>
        <v>11</v>
      </c>
      <c r="V24" s="285"/>
      <c r="XCX24"/>
    </row>
    <row r="25" spans="1:22 16326:16327">
      <c r="A25" s="188">
        <v>2024</v>
      </c>
      <c r="B25" s="188">
        <v>1</v>
      </c>
      <c r="C25" s="188">
        <v>1</v>
      </c>
      <c r="D25" s="189">
        <f t="shared" si="0"/>
        <v>45292</v>
      </c>
      <c r="E25" s="188">
        <v>2023</v>
      </c>
      <c r="F25" s="247">
        <v>45365</v>
      </c>
      <c r="G25" s="188" t="s">
        <v>89</v>
      </c>
      <c r="H25" s="190" t="str">
        <f>_xlfn.XLOOKUP(DivAndTax[[#This Row],[Investor ID]],INVESTORS_LIST[INVESTOR CODE],INVESTORS_LIST[INVESTOR NAME])</f>
        <v>COMMUNITY BANK BANGLADESH LIMITED</v>
      </c>
      <c r="I25" s="8" t="str">
        <f>_xlfn.XLOOKUP(DivAndTax[[#This Row],[Investor ID]],INVESTORS_LIST[INVESTOR CODE],INVESTORS_LIST[TYPE OF INVESTOR])</f>
        <v>Company/Organization</v>
      </c>
      <c r="J25" s="282">
        <v>500000</v>
      </c>
      <c r="K25" s="283">
        <v>0.25</v>
      </c>
      <c r="L25" s="283">
        <f>DivAndTax[[#This Row],[Total Units]]*DivAndTax[[#This Row],[Dividend Per Unit]]</f>
        <v>125000</v>
      </c>
      <c r="M25" s="283">
        <f>DivAndTax[[#This Row],[Gross Dividend]]</f>
        <v>125000</v>
      </c>
      <c r="N25" s="193" cm="1">
        <f t="array" ref="N25">IF(DivAndTax[[#This Row],[MOD]]="YES",0,IF(DivAndTax[[#This Row],[Taxable Dividend]]=0,0,IF(AND(I25="INDIVIDUAL",COUNTBLANK(Q25)=1),15%,IF(AND(I25="Providend Fund",COUNTBLANK(Q25)=1),15%,IF(AND(I25="Gratuity Fund",COUNTBLANK(Q25)=1),15%,INDEX(Table9[Tax Rate],MATCH(I25,Table9[Type],0),))))))</f>
        <v>0.2</v>
      </c>
      <c r="O25" s="284">
        <f>ROUND(IF((DivAndTax[[#This Row],[Taxable Dividend]]*DivAndTax[[#This Row],[Tax Rate
(If Applicable)]])&gt;0,DivAndTax[[#This Row],[Taxable Dividend]]*DivAndTax[[#This Row],[Tax Rate
(If Applicable)]],0),2)</f>
        <v>25000</v>
      </c>
      <c r="P25" s="284">
        <f t="shared" si="1"/>
        <v>100000</v>
      </c>
      <c r="Q25" s="194" t="s">
        <v>1146</v>
      </c>
      <c r="R25" s="283" t="s">
        <v>1141</v>
      </c>
      <c r="S25" s="283"/>
      <c r="T25" s="283" t="str">
        <f>DivAndTax[[#This Row],[Investor ID]]&amp;"-"&amp;(RIGHT(DivAndTax[[#This Row],[Accounting Year]],2))</f>
        <v>A00081-23</v>
      </c>
      <c r="U25" s="284" t="str">
        <f>IF(DivAndTax[[#This Row],[Dividend Option]]="CIP","11",IF(DivAndTax[[#This Row],[Dividend Option]]="CASH","22"))</f>
        <v>22</v>
      </c>
      <c r="V25" s="285"/>
      <c r="XCX25"/>
    </row>
    <row r="26" spans="1:22 16326:16327">
      <c r="A26" s="188">
        <v>2024</v>
      </c>
      <c r="B26" s="188">
        <v>1</v>
      </c>
      <c r="C26" s="188">
        <v>1</v>
      </c>
      <c r="D26" s="189">
        <f t="shared" si="0"/>
        <v>45292</v>
      </c>
      <c r="E26" s="188">
        <v>2023</v>
      </c>
      <c r="F26" s="247">
        <v>45365</v>
      </c>
      <c r="G26" s="188" t="s">
        <v>95</v>
      </c>
      <c r="H26" s="190" t="str">
        <f>_xlfn.XLOOKUP(DivAndTax[[#This Row],[Investor ID]],INVESTORS_LIST[INVESTOR CODE],INVESTORS_LIST[INVESTOR NAME])</f>
        <v>MD. ARIFUL ISLAM</v>
      </c>
      <c r="I26" s="8" t="str">
        <f>_xlfn.XLOOKUP(DivAndTax[[#This Row],[Investor ID]],INVESTORS_LIST[INVESTOR CODE],INVESTORS_LIST[TYPE OF INVESTOR])</f>
        <v>Individual</v>
      </c>
      <c r="J26" s="282">
        <v>472542</v>
      </c>
      <c r="K26" s="283">
        <v>0.25</v>
      </c>
      <c r="L26" s="283">
        <f>DivAndTax[[#This Row],[Total Units]]*DivAndTax[[#This Row],[Dividend Per Unit]]</f>
        <v>118135.5</v>
      </c>
      <c r="M26" s="283">
        <f>DivAndTax[[#This Row],[Gross Dividend]]</f>
        <v>118135.5</v>
      </c>
      <c r="N26" s="193" cm="1">
        <f t="array" ref="N26">IF(DivAndTax[[#This Row],[MOD]]="YES",0,IF(DivAndTax[[#This Row],[Taxable Dividend]]=0,0,IF(AND(I26="INDIVIDUAL",COUNTBLANK(Q26)=1),15%,IF(AND(I26="Providend Fund",COUNTBLANK(Q26)=1),15%,IF(AND(I26="Gratuity Fund",COUNTBLANK(Q26)=1),15%,INDEX(Table9[Tax Rate],MATCH(I26,Table9[Type],0),))))))</f>
        <v>0.1</v>
      </c>
      <c r="O26" s="284">
        <f>ROUND(IF((DivAndTax[[#This Row],[Taxable Dividend]]*DivAndTax[[#This Row],[Tax Rate
(If Applicable)]])&gt;0,DivAndTax[[#This Row],[Taxable Dividend]]*DivAndTax[[#This Row],[Tax Rate
(If Applicable)]],0),2)</f>
        <v>11813.55</v>
      </c>
      <c r="P26" s="284">
        <f t="shared" si="1"/>
        <v>106321.95</v>
      </c>
      <c r="Q26" s="194" t="s">
        <v>1156</v>
      </c>
      <c r="R26" s="283" t="s">
        <v>1139</v>
      </c>
      <c r="S26" s="283"/>
      <c r="T26" s="283" t="str">
        <f>DivAndTax[[#This Row],[Investor ID]]&amp;"-"&amp;(RIGHT(DivAndTax[[#This Row],[Accounting Year]],2))</f>
        <v>A00087-23</v>
      </c>
      <c r="U26" s="284" t="str">
        <f>IF(DivAndTax[[#This Row],[Dividend Option]]="CIP","11",IF(DivAndTax[[#This Row],[Dividend Option]]="CASH","22"))</f>
        <v>11</v>
      </c>
      <c r="V26" s="285"/>
      <c r="XCX26"/>
    </row>
    <row r="27" spans="1:22 16326:16327">
      <c r="A27" s="188">
        <v>2024</v>
      </c>
      <c r="B27" s="188">
        <v>1</v>
      </c>
      <c r="C27" s="188">
        <v>1</v>
      </c>
      <c r="D27" s="189">
        <f t="shared" si="0"/>
        <v>45292</v>
      </c>
      <c r="E27" s="188">
        <v>2023</v>
      </c>
      <c r="F27" s="247">
        <v>45365</v>
      </c>
      <c r="G27" s="188" t="s">
        <v>96</v>
      </c>
      <c r="H27" s="190" t="str">
        <f>_xlfn.XLOOKUP(DivAndTax[[#This Row],[Investor ID]],INVESTORS_LIST[INVESTOR CODE],INVESTORS_LIST[INVESTOR NAME])</f>
        <v>MAYA RANI SAHA</v>
      </c>
      <c r="I27" s="8" t="str">
        <f>_xlfn.XLOOKUP(DivAndTax[[#This Row],[Investor ID]],INVESTORS_LIST[INVESTOR CODE],INVESTORS_LIST[TYPE OF INVESTOR])</f>
        <v>Individual</v>
      </c>
      <c r="J27" s="282">
        <v>97910</v>
      </c>
      <c r="K27" s="283">
        <v>0.25</v>
      </c>
      <c r="L27" s="283">
        <f>DivAndTax[[#This Row],[Total Units]]*DivAndTax[[#This Row],[Dividend Per Unit]]</f>
        <v>24477.5</v>
      </c>
      <c r="M27" s="283">
        <f>DivAndTax[[#This Row],[Gross Dividend]]</f>
        <v>24477.5</v>
      </c>
      <c r="N27" s="193" cm="1">
        <f t="array" ref="N27">IF(DivAndTax[[#This Row],[MOD]]="YES",0,IF(DivAndTax[[#This Row],[Taxable Dividend]]=0,0,IF(AND(I27="INDIVIDUAL",COUNTBLANK(Q27)=1),15%,IF(AND(I27="Providend Fund",COUNTBLANK(Q27)=1),15%,IF(AND(I27="Gratuity Fund",COUNTBLANK(Q27)=1),15%,INDEX(Table9[Tax Rate],MATCH(I27,Table9[Type],0),))))))</f>
        <v>0.1</v>
      </c>
      <c r="O27" s="284">
        <f>ROUND(IF((DivAndTax[[#This Row],[Taxable Dividend]]*DivAndTax[[#This Row],[Tax Rate
(If Applicable)]])&gt;0,DivAndTax[[#This Row],[Taxable Dividend]]*DivAndTax[[#This Row],[Tax Rate
(If Applicable)]],0),2)</f>
        <v>2447.75</v>
      </c>
      <c r="P27" s="284">
        <f t="shared" si="1"/>
        <v>22029.75</v>
      </c>
      <c r="Q27" s="194" t="s">
        <v>1157</v>
      </c>
      <c r="R27" s="283" t="s">
        <v>1139</v>
      </c>
      <c r="S27" s="283"/>
      <c r="T27" s="283" t="str">
        <f>DivAndTax[[#This Row],[Investor ID]]&amp;"-"&amp;(RIGHT(DivAndTax[[#This Row],[Accounting Year]],2))</f>
        <v>A00088-23</v>
      </c>
      <c r="U27" s="284" t="str">
        <f>IF(DivAndTax[[#This Row],[Dividend Option]]="CIP","11",IF(DivAndTax[[#This Row],[Dividend Option]]="CASH","22"))</f>
        <v>11</v>
      </c>
      <c r="V27" s="285"/>
      <c r="XCX27"/>
    </row>
    <row r="28" spans="1:22 16326:16327">
      <c r="A28" s="188">
        <v>2024</v>
      </c>
      <c r="B28" s="188">
        <v>1</v>
      </c>
      <c r="C28" s="188">
        <v>1</v>
      </c>
      <c r="D28" s="189">
        <f t="shared" si="0"/>
        <v>45292</v>
      </c>
      <c r="E28" s="188">
        <v>2023</v>
      </c>
      <c r="F28" s="247">
        <v>45365</v>
      </c>
      <c r="G28" s="188" t="s">
        <v>106</v>
      </c>
      <c r="H28" s="190" t="str">
        <f>_xlfn.XLOOKUP(DivAndTax[[#This Row],[Investor ID]],INVESTORS_LIST[INVESTOR CODE],INVESTORS_LIST[INVESTOR NAME])</f>
        <v>SYED ADNAN HUDA</v>
      </c>
      <c r="I28" s="8" t="str">
        <f>_xlfn.XLOOKUP(DivAndTax[[#This Row],[Investor ID]],INVESTORS_LIST[INVESTOR CODE],INVESTORS_LIST[TYPE OF INVESTOR])</f>
        <v>Individual</v>
      </c>
      <c r="J28" s="282">
        <v>300000</v>
      </c>
      <c r="K28" s="283">
        <v>0.25</v>
      </c>
      <c r="L28" s="283">
        <f>DivAndTax[[#This Row],[Total Units]]*DivAndTax[[#This Row],[Dividend Per Unit]]</f>
        <v>75000</v>
      </c>
      <c r="M28" s="283">
        <f>DivAndTax[[#This Row],[Gross Dividend]]</f>
        <v>75000</v>
      </c>
      <c r="N28" s="193" cm="1">
        <f t="array" ref="N28">IF(DivAndTax[[#This Row],[MOD]]="YES",0,IF(DivAndTax[[#This Row],[Taxable Dividend]]=0,0,IF(AND(I28="INDIVIDUAL",COUNTBLANK(Q28)=1),15%,IF(AND(I28="Providend Fund",COUNTBLANK(Q28)=1),15%,IF(AND(I28="Gratuity Fund",COUNTBLANK(Q28)=1),15%,INDEX(Table9[Tax Rate],MATCH(I28,Table9[Type],0),))))))</f>
        <v>0.1</v>
      </c>
      <c r="O28" s="284">
        <f>ROUND(IF((DivAndTax[[#This Row],[Taxable Dividend]]*DivAndTax[[#This Row],[Tax Rate
(If Applicable)]])&gt;0,DivAndTax[[#This Row],[Taxable Dividend]]*DivAndTax[[#This Row],[Tax Rate
(If Applicable)]],0),2)</f>
        <v>7500</v>
      </c>
      <c r="P28" s="284">
        <f t="shared" si="1"/>
        <v>67500</v>
      </c>
      <c r="Q28" s="194" t="s">
        <v>1158</v>
      </c>
      <c r="R28" s="283" t="s">
        <v>1139</v>
      </c>
      <c r="S28" s="283"/>
      <c r="T28" s="283" t="str">
        <f>DivAndTax[[#This Row],[Investor ID]]&amp;"-"&amp;(RIGHT(DivAndTax[[#This Row],[Accounting Year]],2))</f>
        <v>A00094-23</v>
      </c>
      <c r="U28" s="284" t="str">
        <f>IF(DivAndTax[[#This Row],[Dividend Option]]="CIP","11",IF(DivAndTax[[#This Row],[Dividend Option]]="CASH","22"))</f>
        <v>11</v>
      </c>
      <c r="V28" s="285"/>
      <c r="XCX28"/>
    </row>
    <row r="29" spans="1:22 16326:16327">
      <c r="A29" s="188">
        <v>2024</v>
      </c>
      <c r="B29" s="188">
        <v>1</v>
      </c>
      <c r="C29" s="188">
        <v>1</v>
      </c>
      <c r="D29" s="189">
        <f t="shared" si="0"/>
        <v>45292</v>
      </c>
      <c r="E29" s="188">
        <v>2023</v>
      </c>
      <c r="F29" s="247">
        <v>45365</v>
      </c>
      <c r="G29" s="188" t="s">
        <v>111</v>
      </c>
      <c r="H29" s="190" t="str">
        <f>_xlfn.XLOOKUP(DivAndTax[[#This Row],[Investor ID]],INVESTORS_LIST[INVESTOR CODE],INVESTORS_LIST[INVESTOR NAME])</f>
        <v>NANDINI SAHA</v>
      </c>
      <c r="I29" s="8" t="str">
        <f>_xlfn.XLOOKUP(DivAndTax[[#This Row],[Investor ID]],INVESTORS_LIST[INVESTOR CODE],INVESTORS_LIST[TYPE OF INVESTOR])</f>
        <v>Individual</v>
      </c>
      <c r="J29" s="282">
        <v>100705</v>
      </c>
      <c r="K29" s="283">
        <v>0.25</v>
      </c>
      <c r="L29" s="283">
        <f>DivAndTax[[#This Row],[Total Units]]*DivAndTax[[#This Row],[Dividend Per Unit]]</f>
        <v>25176.25</v>
      </c>
      <c r="M29" s="283">
        <f>DivAndTax[[#This Row],[Gross Dividend]]</f>
        <v>25176.25</v>
      </c>
      <c r="N29" s="193" cm="1">
        <f t="array" ref="N29">IF(DivAndTax[[#This Row],[MOD]]="YES",0,IF(DivAndTax[[#This Row],[Taxable Dividend]]=0,0,IF(AND(I29="INDIVIDUAL",COUNTBLANK(Q29)=1),15%,IF(AND(I29="Providend Fund",COUNTBLANK(Q29)=1),15%,IF(AND(I29="Gratuity Fund",COUNTBLANK(Q29)=1),15%,INDEX(Table9[Tax Rate],MATCH(I29,Table9[Type],0),))))))</f>
        <v>0.15</v>
      </c>
      <c r="O29" s="284">
        <f>ROUND(IF((DivAndTax[[#This Row],[Taxable Dividend]]*DivAndTax[[#This Row],[Tax Rate
(If Applicable)]])&gt;0,DivAndTax[[#This Row],[Taxable Dividend]]*DivAndTax[[#This Row],[Tax Rate
(If Applicable)]],0),2)</f>
        <v>3776.44</v>
      </c>
      <c r="P29" s="284">
        <f t="shared" si="1"/>
        <v>21399.81</v>
      </c>
      <c r="Q29" s="194" t="s">
        <v>1146</v>
      </c>
      <c r="R29" s="283" t="s">
        <v>1139</v>
      </c>
      <c r="S29" s="283"/>
      <c r="T29" s="283" t="str">
        <f>DivAndTax[[#This Row],[Investor ID]]&amp;"-"&amp;(RIGHT(DivAndTax[[#This Row],[Accounting Year]],2))</f>
        <v>A00097-23</v>
      </c>
      <c r="U29" s="284" t="str">
        <f>IF(DivAndTax[[#This Row],[Dividend Option]]="CIP","11",IF(DivAndTax[[#This Row],[Dividend Option]]="CASH","22"))</f>
        <v>11</v>
      </c>
      <c r="V29" s="285"/>
      <c r="XCX29"/>
    </row>
    <row r="30" spans="1:22 16326:16327">
      <c r="A30" s="188">
        <v>2024</v>
      </c>
      <c r="B30" s="188">
        <v>1</v>
      </c>
      <c r="C30" s="188">
        <v>1</v>
      </c>
      <c r="D30" s="189">
        <f t="shared" si="0"/>
        <v>45292</v>
      </c>
      <c r="E30" s="188">
        <v>2023</v>
      </c>
      <c r="F30" s="247">
        <v>45365</v>
      </c>
      <c r="G30" s="188" t="s">
        <v>142</v>
      </c>
      <c r="H30" s="190" t="str">
        <f>_xlfn.XLOOKUP(DivAndTax[[#This Row],[Investor ID]],INVESTORS_LIST[INVESTOR CODE],INVESTORS_LIST[INVESTOR NAME])</f>
        <v>MD. MONIRUZZAMAN</v>
      </c>
      <c r="I30" s="8" t="str">
        <f>_xlfn.XLOOKUP(DivAndTax[[#This Row],[Investor ID]],INVESTORS_LIST[INVESTOR CODE],INVESTORS_LIST[TYPE OF INVESTOR])</f>
        <v>Individual</v>
      </c>
      <c r="J30" s="282">
        <v>20000</v>
      </c>
      <c r="K30" s="283">
        <v>0.25</v>
      </c>
      <c r="L30" s="283">
        <f>DivAndTax[[#This Row],[Total Units]]*DivAndTax[[#This Row],[Dividend Per Unit]]</f>
        <v>5000</v>
      </c>
      <c r="M30" s="283">
        <f>DivAndTax[[#This Row],[Gross Dividend]]</f>
        <v>5000</v>
      </c>
      <c r="N30" s="193" cm="1">
        <f t="array" ref="N30">IF(DivAndTax[[#This Row],[MOD]]="YES",0,IF(DivAndTax[[#This Row],[Taxable Dividend]]=0,0,IF(AND(I30="INDIVIDUAL",COUNTBLANK(Q30)=1),15%,IF(AND(I30="Providend Fund",COUNTBLANK(Q30)=1),15%,IF(AND(I30="Gratuity Fund",COUNTBLANK(Q30)=1),15%,INDEX(Table9[Tax Rate],MATCH(I30,Table9[Type],0),))))))</f>
        <v>0.15</v>
      </c>
      <c r="O30" s="284">
        <f>ROUND(IF((DivAndTax[[#This Row],[Taxable Dividend]]*DivAndTax[[#This Row],[Tax Rate
(If Applicable)]])&gt;0,DivAndTax[[#This Row],[Taxable Dividend]]*DivAndTax[[#This Row],[Tax Rate
(If Applicable)]],0),2)</f>
        <v>750</v>
      </c>
      <c r="P30" s="284">
        <f t="shared" si="1"/>
        <v>4250</v>
      </c>
      <c r="Q30" s="194" t="s">
        <v>1146</v>
      </c>
      <c r="R30" s="283" t="s">
        <v>1139</v>
      </c>
      <c r="S30" s="283"/>
      <c r="T30" s="283" t="str">
        <f>DivAndTax[[#This Row],[Investor ID]]&amp;"-"&amp;(RIGHT(DivAndTax[[#This Row],[Accounting Year]],2))</f>
        <v>A00113-23</v>
      </c>
      <c r="U30" s="284" t="str">
        <f>IF(DivAndTax[[#This Row],[Dividend Option]]="CIP","11",IF(DivAndTax[[#This Row],[Dividend Option]]="CASH","22"))</f>
        <v>11</v>
      </c>
      <c r="V30" s="285"/>
      <c r="XCX30"/>
    </row>
    <row r="31" spans="1:22 16326:16327">
      <c r="A31" s="188">
        <v>2024</v>
      </c>
      <c r="B31" s="188">
        <v>1</v>
      </c>
      <c r="C31" s="188">
        <v>1</v>
      </c>
      <c r="D31" s="189">
        <f t="shared" si="0"/>
        <v>45292</v>
      </c>
      <c r="E31" s="188">
        <v>2023</v>
      </c>
      <c r="F31" s="247">
        <v>45365</v>
      </c>
      <c r="G31" s="188" t="s">
        <v>145</v>
      </c>
      <c r="H31" s="190" t="str">
        <f>_xlfn.XLOOKUP(DivAndTax[[#This Row],[Investor ID]],INVESTORS_LIST[INVESTOR CODE],INVESTORS_LIST[INVESTOR NAME])</f>
        <v>ARIFUR RAHMAN</v>
      </c>
      <c r="I31" s="8" t="str">
        <f>_xlfn.XLOOKUP(DivAndTax[[#This Row],[Investor ID]],INVESTORS_LIST[INVESTOR CODE],INVESTORS_LIST[TYPE OF INVESTOR])</f>
        <v>Individual</v>
      </c>
      <c r="J31" s="282">
        <v>10030</v>
      </c>
      <c r="K31" s="283">
        <v>0.25</v>
      </c>
      <c r="L31" s="283">
        <f>DivAndTax[[#This Row],[Total Units]]*DivAndTax[[#This Row],[Dividend Per Unit]]</f>
        <v>2507.5</v>
      </c>
      <c r="M31" s="283">
        <f>DivAndTax[[#This Row],[Gross Dividend]]</f>
        <v>2507.5</v>
      </c>
      <c r="N31" s="193" cm="1">
        <f t="array" ref="N31">IF(DivAndTax[[#This Row],[MOD]]="YES",0,IF(DivAndTax[[#This Row],[Taxable Dividend]]=0,0,IF(AND(I31="INDIVIDUAL",COUNTBLANK(Q31)=1),15%,IF(AND(I31="Providend Fund",COUNTBLANK(Q31)=1),15%,IF(AND(I31="Gratuity Fund",COUNTBLANK(Q31)=1),15%,INDEX(Table9[Tax Rate],MATCH(I31,Table9[Type],0),))))))</f>
        <v>0.1</v>
      </c>
      <c r="O31" s="284">
        <f>ROUND(IF((DivAndTax[[#This Row],[Taxable Dividend]]*DivAndTax[[#This Row],[Tax Rate
(If Applicable)]])&gt;0,DivAndTax[[#This Row],[Taxable Dividend]]*DivAndTax[[#This Row],[Tax Rate
(If Applicable)]],0),2)</f>
        <v>250.75</v>
      </c>
      <c r="P31" s="284">
        <f t="shared" si="1"/>
        <v>2256.75</v>
      </c>
      <c r="Q31" s="194" t="s">
        <v>1159</v>
      </c>
      <c r="R31" s="283" t="s">
        <v>1139</v>
      </c>
      <c r="S31" s="283"/>
      <c r="T31" s="283" t="str">
        <f>DivAndTax[[#This Row],[Investor ID]]&amp;"-"&amp;(RIGHT(DivAndTax[[#This Row],[Accounting Year]],2))</f>
        <v>A00115-23</v>
      </c>
      <c r="U31" s="284" t="str">
        <f>IF(DivAndTax[[#This Row],[Dividend Option]]="CIP","11",IF(DivAndTax[[#This Row],[Dividend Option]]="CASH","22"))</f>
        <v>11</v>
      </c>
      <c r="V31" s="285"/>
      <c r="XCX31"/>
    </row>
    <row r="32" spans="1:22 16326:16327">
      <c r="A32" s="188">
        <v>2024</v>
      </c>
      <c r="B32" s="188">
        <v>1</v>
      </c>
      <c r="C32" s="188">
        <v>1</v>
      </c>
      <c r="D32" s="189">
        <f t="shared" si="0"/>
        <v>45292</v>
      </c>
      <c r="E32" s="188">
        <v>2023</v>
      </c>
      <c r="F32" s="247">
        <v>45365</v>
      </c>
      <c r="G32" s="188" t="s">
        <v>158</v>
      </c>
      <c r="H32" s="190" t="str">
        <f>_xlfn.XLOOKUP(DivAndTax[[#This Row],[Investor ID]],INVESTORS_LIST[INVESTOR CODE],INVESTORS_LIST[INVESTOR NAME])</f>
        <v>SHAHRIAR MAHMOOD</v>
      </c>
      <c r="I32" s="8" t="str">
        <f>_xlfn.XLOOKUP(DivAndTax[[#This Row],[Investor ID]],INVESTORS_LIST[INVESTOR CODE],INVESTORS_LIST[TYPE OF INVESTOR])</f>
        <v>Individual</v>
      </c>
      <c r="J32" s="282">
        <v>15000</v>
      </c>
      <c r="K32" s="283">
        <v>0.25</v>
      </c>
      <c r="L32" s="283">
        <f>DivAndTax[[#This Row],[Total Units]]*DivAndTax[[#This Row],[Dividend Per Unit]]</f>
        <v>3750</v>
      </c>
      <c r="M32" s="283">
        <f>DivAndTax[[#This Row],[Gross Dividend]]</f>
        <v>3750</v>
      </c>
      <c r="N32" s="193" cm="1">
        <f t="array" ref="N32">IF(DivAndTax[[#This Row],[MOD]]="YES",0,IF(DivAndTax[[#This Row],[Taxable Dividend]]=0,0,IF(AND(I32="INDIVIDUAL",COUNTBLANK(Q32)=1),15%,IF(AND(I32="Providend Fund",COUNTBLANK(Q32)=1),15%,IF(AND(I32="Gratuity Fund",COUNTBLANK(Q32)=1),15%,INDEX(Table9[Tax Rate],MATCH(I32,Table9[Type],0),))))))</f>
        <v>0.1</v>
      </c>
      <c r="O32" s="284">
        <f>ROUND(IF((DivAndTax[[#This Row],[Taxable Dividend]]*DivAndTax[[#This Row],[Tax Rate
(If Applicable)]])&gt;0,DivAndTax[[#This Row],[Taxable Dividend]]*DivAndTax[[#This Row],[Tax Rate
(If Applicable)]],0),2)</f>
        <v>375</v>
      </c>
      <c r="P32" s="284">
        <f t="shared" si="1"/>
        <v>3375</v>
      </c>
      <c r="Q32" s="194" t="s">
        <v>1160</v>
      </c>
      <c r="R32" s="283" t="s">
        <v>1139</v>
      </c>
      <c r="S32" s="283"/>
      <c r="T32" s="283" t="str">
        <f>DivAndTax[[#This Row],[Investor ID]]&amp;"-"&amp;(RIGHT(DivAndTax[[#This Row],[Accounting Year]],2))</f>
        <v>A00125-23</v>
      </c>
      <c r="U32" s="284" t="str">
        <f>IF(DivAndTax[[#This Row],[Dividend Option]]="CIP","11",IF(DivAndTax[[#This Row],[Dividend Option]]="CASH","22"))</f>
        <v>11</v>
      </c>
      <c r="V32" s="285"/>
      <c r="XCX32"/>
    </row>
    <row r="33" spans="1:22 16326:16326">
      <c r="A33" s="188">
        <v>2024</v>
      </c>
      <c r="B33" s="188">
        <v>1</v>
      </c>
      <c r="C33" s="188">
        <v>1</v>
      </c>
      <c r="D33" s="189">
        <f t="shared" si="0"/>
        <v>45292</v>
      </c>
      <c r="E33" s="188">
        <v>2023</v>
      </c>
      <c r="F33" s="247">
        <v>45365</v>
      </c>
      <c r="G33" s="188" t="s">
        <v>175</v>
      </c>
      <c r="H33" s="190" t="str">
        <f>_xlfn.XLOOKUP(DivAndTax[[#This Row],[Investor ID]],INVESTORS_LIST[INVESTOR CODE],INVESTORS_LIST[INVESTOR NAME])</f>
        <v>MOHAMMAD NASIR HOSSAIN</v>
      </c>
      <c r="I33" s="8" t="str">
        <f>_xlfn.XLOOKUP(DivAndTax[[#This Row],[Investor ID]],INVESTORS_LIST[INVESTOR CODE],INVESTORS_LIST[TYPE OF INVESTOR])</f>
        <v>Individual</v>
      </c>
      <c r="J33" s="282">
        <v>502</v>
      </c>
      <c r="K33" s="283">
        <v>0.25</v>
      </c>
      <c r="L33" s="283">
        <f>DivAndTax[[#This Row],[Total Units]]*DivAndTax[[#This Row],[Dividend Per Unit]]</f>
        <v>125.5</v>
      </c>
      <c r="M33" s="283">
        <f>DivAndTax[[#This Row],[Gross Dividend]]</f>
        <v>125.5</v>
      </c>
      <c r="N33" s="193" cm="1">
        <f t="array" ref="N33">IF(DivAndTax[[#This Row],[MOD]]="YES",0,IF(DivAndTax[[#This Row],[Taxable Dividend]]=0,0,IF(AND(I33="INDIVIDUAL",COUNTBLANK(Q33)=1),15%,IF(AND(I33="Providend Fund",COUNTBLANK(Q33)=1),15%,IF(AND(I33="Gratuity Fund",COUNTBLANK(Q33)=1),15%,INDEX(Table9[Tax Rate],MATCH(I33,Table9[Type],0),))))))</f>
        <v>0.15</v>
      </c>
      <c r="O33" s="284">
        <f>ROUND(IF((DivAndTax[[#This Row],[Taxable Dividend]]*DivAndTax[[#This Row],[Tax Rate
(If Applicable)]])&gt;0,DivAndTax[[#This Row],[Taxable Dividend]]*DivAndTax[[#This Row],[Tax Rate
(If Applicable)]],0),2)</f>
        <v>18.829999999999998</v>
      </c>
      <c r="P33" s="284">
        <f t="shared" si="1"/>
        <v>106.67</v>
      </c>
      <c r="Q33" s="194" t="s">
        <v>1146</v>
      </c>
      <c r="R33" s="284" t="s">
        <v>1141</v>
      </c>
      <c r="S33" s="283"/>
      <c r="T33" s="283" t="str">
        <f>DivAndTax[[#This Row],[Investor ID]]&amp;"-"&amp;(RIGHT(DivAndTax[[#This Row],[Accounting Year]],2))</f>
        <v>A00142-23</v>
      </c>
      <c r="U33" s="284" t="str">
        <f>IF(DivAndTax[[#This Row],[Dividend Option]]="CIP","11",IF(DivAndTax[[#This Row],[Dividend Option]]="CASH","22"))</f>
        <v>22</v>
      </c>
      <c r="V33" s="285"/>
      <c r="XCX33"/>
    </row>
    <row r="34" spans="1:22 16326:16326">
      <c r="A34" s="188">
        <v>2024</v>
      </c>
      <c r="B34" s="188">
        <v>1</v>
      </c>
      <c r="C34" s="188">
        <v>1</v>
      </c>
      <c r="D34" s="189">
        <f t="shared" ref="D34:D65" si="2">IFERROR(DATE(A34,B34,C34)," ")</f>
        <v>45292</v>
      </c>
      <c r="E34" s="188">
        <v>2023</v>
      </c>
      <c r="F34" s="247">
        <v>45365</v>
      </c>
      <c r="G34" s="188" t="s">
        <v>177</v>
      </c>
      <c r="H34" s="190" t="str">
        <f>_xlfn.XLOOKUP(DivAndTax[[#This Row],[Investor ID]],INVESTORS_LIST[INVESTOR CODE],INVESTORS_LIST[INVESTOR NAME])</f>
        <v>MD MIZANUR RAHMAN</v>
      </c>
      <c r="I34" s="8" t="str">
        <f>_xlfn.XLOOKUP(DivAndTax[[#This Row],[Investor ID]],INVESTORS_LIST[INVESTOR CODE],INVESTORS_LIST[TYPE OF INVESTOR])</f>
        <v>Individual</v>
      </c>
      <c r="J34" s="282">
        <v>4254</v>
      </c>
      <c r="K34" s="283">
        <v>0.25</v>
      </c>
      <c r="L34" s="283">
        <f>DivAndTax[[#This Row],[Total Units]]*DivAndTax[[#This Row],[Dividend Per Unit]]</f>
        <v>1063.5</v>
      </c>
      <c r="M34" s="283">
        <f>DivAndTax[[#This Row],[Gross Dividend]]</f>
        <v>1063.5</v>
      </c>
      <c r="N34" s="193" cm="1">
        <f t="array" ref="N34">IF(DivAndTax[[#This Row],[MOD]]="YES",0,IF(DivAndTax[[#This Row],[Taxable Dividend]]=0,0,IF(AND(I34="INDIVIDUAL",COUNTBLANK(Q34)=1),15%,IF(AND(I34="Providend Fund",COUNTBLANK(Q34)=1),15%,IF(AND(I34="Gratuity Fund",COUNTBLANK(Q34)=1),15%,INDEX(Table9[Tax Rate],MATCH(I34,Table9[Type],0),))))))</f>
        <v>0.1</v>
      </c>
      <c r="O34" s="284">
        <f>ROUND(IF((DivAndTax[[#This Row],[Taxable Dividend]]*DivAndTax[[#This Row],[Tax Rate
(If Applicable)]])&gt;0,DivAndTax[[#This Row],[Taxable Dividend]]*DivAndTax[[#This Row],[Tax Rate
(If Applicable)]],0),2)</f>
        <v>106.35</v>
      </c>
      <c r="P34" s="284">
        <f t="shared" ref="P34:P65" si="3">L34-O34</f>
        <v>957.15</v>
      </c>
      <c r="Q34" s="194" t="s">
        <v>1161</v>
      </c>
      <c r="R34" s="284" t="s">
        <v>1141</v>
      </c>
      <c r="S34" s="283"/>
      <c r="T34" s="283" t="str">
        <f>DivAndTax[[#This Row],[Investor ID]]&amp;"-"&amp;(RIGHT(DivAndTax[[#This Row],[Accounting Year]],2))</f>
        <v>A00144-23</v>
      </c>
      <c r="U34" s="284" t="str">
        <f>IF(DivAndTax[[#This Row],[Dividend Option]]="CIP","11",IF(DivAndTax[[#This Row],[Dividend Option]]="CASH","22"))</f>
        <v>22</v>
      </c>
      <c r="V34" s="285"/>
      <c r="XCX34"/>
    </row>
    <row r="35" spans="1:22 16326:16326">
      <c r="A35" s="188">
        <v>2024</v>
      </c>
      <c r="B35" s="188">
        <v>1</v>
      </c>
      <c r="C35" s="188">
        <v>1</v>
      </c>
      <c r="D35" s="189">
        <f t="shared" si="2"/>
        <v>45292</v>
      </c>
      <c r="E35" s="188">
        <v>2023</v>
      </c>
      <c r="F35" s="247">
        <v>45365</v>
      </c>
      <c r="G35" s="188" t="s">
        <v>178</v>
      </c>
      <c r="H35" s="190" t="str">
        <f>_xlfn.XLOOKUP(DivAndTax[[#This Row],[Investor ID]],INVESTORS_LIST[INVESTOR CODE],INVESTORS_LIST[INVESTOR NAME])</f>
        <v>ASHUTOSH TALUKDER</v>
      </c>
      <c r="I35" s="8" t="str">
        <f>_xlfn.XLOOKUP(DivAndTax[[#This Row],[Investor ID]],INVESTORS_LIST[INVESTOR CODE],INVESTORS_LIST[TYPE OF INVESTOR])</f>
        <v>Individual</v>
      </c>
      <c r="J35" s="282">
        <v>10443</v>
      </c>
      <c r="K35" s="283">
        <v>0.25</v>
      </c>
      <c r="L35" s="283">
        <f>DivAndTax[[#This Row],[Total Units]]*DivAndTax[[#This Row],[Dividend Per Unit]]</f>
        <v>2610.75</v>
      </c>
      <c r="M35" s="283">
        <f>DivAndTax[[#This Row],[Gross Dividend]]</f>
        <v>2610.75</v>
      </c>
      <c r="N35" s="193" cm="1">
        <f t="array" ref="N35">IF(DivAndTax[[#This Row],[MOD]]="YES",0,IF(DivAndTax[[#This Row],[Taxable Dividend]]=0,0,IF(AND(I35="INDIVIDUAL",COUNTBLANK(Q35)=1),15%,IF(AND(I35="Providend Fund",COUNTBLANK(Q35)=1),15%,IF(AND(I35="Gratuity Fund",COUNTBLANK(Q35)=1),15%,INDEX(Table9[Tax Rate],MATCH(I35,Table9[Type],0),))))))</f>
        <v>0.1</v>
      </c>
      <c r="O35" s="284">
        <f>ROUND(IF((DivAndTax[[#This Row],[Taxable Dividend]]*DivAndTax[[#This Row],[Tax Rate
(If Applicable)]])&gt;0,DivAndTax[[#This Row],[Taxable Dividend]]*DivAndTax[[#This Row],[Tax Rate
(If Applicable)]],0),2)</f>
        <v>261.08</v>
      </c>
      <c r="P35" s="284">
        <f t="shared" si="3"/>
        <v>2349.67</v>
      </c>
      <c r="Q35" s="194" t="s">
        <v>1162</v>
      </c>
      <c r="R35" s="284" t="s">
        <v>1141</v>
      </c>
      <c r="S35" s="283"/>
      <c r="T35" s="283" t="str">
        <f>DivAndTax[[#This Row],[Investor ID]]&amp;"-"&amp;(RIGHT(DivAndTax[[#This Row],[Accounting Year]],2))</f>
        <v>A00145-23</v>
      </c>
      <c r="U35" s="284" t="str">
        <f>IF(DivAndTax[[#This Row],[Dividend Option]]="CIP","11",IF(DivAndTax[[#This Row],[Dividend Option]]="CASH","22"))</f>
        <v>22</v>
      </c>
      <c r="V35" s="285"/>
      <c r="XCX35"/>
    </row>
    <row r="36" spans="1:22 16326:16326">
      <c r="A36" s="188">
        <v>2024</v>
      </c>
      <c r="B36" s="188">
        <v>1</v>
      </c>
      <c r="C36" s="188">
        <v>1</v>
      </c>
      <c r="D36" s="189">
        <f t="shared" si="2"/>
        <v>45292</v>
      </c>
      <c r="E36" s="188">
        <v>2023</v>
      </c>
      <c r="F36" s="247">
        <v>45365</v>
      </c>
      <c r="G36" s="188" t="s">
        <v>193</v>
      </c>
      <c r="H36" s="190" t="str">
        <f>_xlfn.XLOOKUP(DivAndTax[[#This Row],[Investor ID]],INVESTORS_LIST[INVESTOR CODE],INVESTORS_LIST[INVESTOR NAME])</f>
        <v>FAIYEAD AHMEDUL HYE</v>
      </c>
      <c r="I36" s="8" t="str">
        <f>_xlfn.XLOOKUP(DivAndTax[[#This Row],[Investor ID]],INVESTORS_LIST[INVESTOR CODE],INVESTORS_LIST[TYPE OF INVESTOR])</f>
        <v>Individual</v>
      </c>
      <c r="J36" s="282">
        <v>10000</v>
      </c>
      <c r="K36" s="283">
        <v>0.25</v>
      </c>
      <c r="L36" s="283">
        <f>DivAndTax[[#This Row],[Total Units]]*DivAndTax[[#This Row],[Dividend Per Unit]]</f>
        <v>2500</v>
      </c>
      <c r="M36" s="283">
        <f>DivAndTax[[#This Row],[Gross Dividend]]</f>
        <v>2500</v>
      </c>
      <c r="N36" s="193" cm="1">
        <f t="array" ref="N36">IF(DivAndTax[[#This Row],[MOD]]="YES",0,IF(DivAndTax[[#This Row],[Taxable Dividend]]=0,0,IF(AND(I36="INDIVIDUAL",COUNTBLANK(Q36)=1),15%,IF(AND(I36="Providend Fund",COUNTBLANK(Q36)=1),15%,IF(AND(I36="Gratuity Fund",COUNTBLANK(Q36)=1),15%,INDEX(Table9[Tax Rate],MATCH(I36,Table9[Type],0),))))))</f>
        <v>0.1</v>
      </c>
      <c r="O36" s="284">
        <f>ROUND(IF((DivAndTax[[#This Row],[Taxable Dividend]]*DivAndTax[[#This Row],[Tax Rate
(If Applicable)]])&gt;0,DivAndTax[[#This Row],[Taxable Dividend]]*DivAndTax[[#This Row],[Tax Rate
(If Applicable)]],0),2)</f>
        <v>250</v>
      </c>
      <c r="P36" s="284">
        <f t="shared" si="3"/>
        <v>2250</v>
      </c>
      <c r="Q36" s="194" t="s">
        <v>1163</v>
      </c>
      <c r="R36" s="284" t="s">
        <v>1141</v>
      </c>
      <c r="S36" s="283"/>
      <c r="T36" s="283" t="str">
        <f>DivAndTax[[#This Row],[Investor ID]]&amp;"-"&amp;(RIGHT(DivAndTax[[#This Row],[Accounting Year]],2))</f>
        <v>A00160-23</v>
      </c>
      <c r="U36" s="284" t="str">
        <f>IF(DivAndTax[[#This Row],[Dividend Option]]="CIP","11",IF(DivAndTax[[#This Row],[Dividend Option]]="CASH","22"))</f>
        <v>22</v>
      </c>
      <c r="V36" s="285"/>
      <c r="XCX36"/>
    </row>
    <row r="37" spans="1:22 16326:16326">
      <c r="A37" s="188">
        <v>2024</v>
      </c>
      <c r="B37" s="188">
        <v>1</v>
      </c>
      <c r="C37" s="188">
        <v>1</v>
      </c>
      <c r="D37" s="189">
        <f t="shared" si="2"/>
        <v>45292</v>
      </c>
      <c r="E37" s="188">
        <v>2023</v>
      </c>
      <c r="F37" s="247">
        <v>45365</v>
      </c>
      <c r="G37" s="188" t="s">
        <v>205</v>
      </c>
      <c r="H37" s="190" t="str">
        <f>_xlfn.XLOOKUP(DivAndTax[[#This Row],[Investor ID]],INVESTORS_LIST[INVESTOR CODE],INVESTORS_LIST[INVESTOR NAME])</f>
        <v>PHOENIX FINANCE &amp; INVESTMENTS LTD</v>
      </c>
      <c r="I37" s="8" t="str">
        <f>_xlfn.XLOOKUP(DivAndTax[[#This Row],[Investor ID]],INVESTORS_LIST[INVESTOR CODE],INVESTORS_LIST[TYPE OF INVESTOR])</f>
        <v>Company/Organization</v>
      </c>
      <c r="J37" s="282">
        <v>1000000</v>
      </c>
      <c r="K37" s="283">
        <v>0.25</v>
      </c>
      <c r="L37" s="283">
        <f>DivAndTax[[#This Row],[Total Units]]*DivAndTax[[#This Row],[Dividend Per Unit]]</f>
        <v>250000</v>
      </c>
      <c r="M37" s="283">
        <f>DivAndTax[[#This Row],[Gross Dividend]]</f>
        <v>250000</v>
      </c>
      <c r="N37" s="193" cm="1">
        <f t="array" ref="N37">IF(DivAndTax[[#This Row],[MOD]]="YES",0,IF(DivAndTax[[#This Row],[Taxable Dividend]]=0,0,IF(AND(I37="INDIVIDUAL",COUNTBLANK(Q37)=1),15%,IF(AND(I37="Providend Fund",COUNTBLANK(Q37)=1),15%,IF(AND(I37="Gratuity Fund",COUNTBLANK(Q37)=1),15%,INDEX(Table9[Tax Rate],MATCH(I37,Table9[Type],0),))))))</f>
        <v>0.2</v>
      </c>
      <c r="O37" s="284">
        <f>ROUND(IF((DivAndTax[[#This Row],[Taxable Dividend]]*DivAndTax[[#This Row],[Tax Rate
(If Applicable)]])&gt;0,DivAndTax[[#This Row],[Taxable Dividend]]*DivAndTax[[#This Row],[Tax Rate
(If Applicable)]],0),2)</f>
        <v>50000</v>
      </c>
      <c r="P37" s="284">
        <f t="shared" si="3"/>
        <v>200000</v>
      </c>
      <c r="Q37" s="194" t="s">
        <v>1164</v>
      </c>
      <c r="R37" s="283" t="s">
        <v>1139</v>
      </c>
      <c r="S37" s="283"/>
      <c r="T37" s="283" t="str">
        <f>DivAndTax[[#This Row],[Investor ID]]&amp;"-"&amp;(RIGHT(DivAndTax[[#This Row],[Accounting Year]],2))</f>
        <v>A00172-23</v>
      </c>
      <c r="U37" s="284" t="str">
        <f>IF(DivAndTax[[#This Row],[Dividend Option]]="CIP","11",IF(DivAndTax[[#This Row],[Dividend Option]]="CASH","22"))</f>
        <v>11</v>
      </c>
      <c r="V37" s="285"/>
      <c r="XCX37"/>
    </row>
    <row r="38" spans="1:22 16326:16326">
      <c r="A38" s="188">
        <v>2024</v>
      </c>
      <c r="B38" s="188">
        <v>1</v>
      </c>
      <c r="C38" s="188">
        <v>1</v>
      </c>
      <c r="D38" s="189">
        <f t="shared" si="2"/>
        <v>45292</v>
      </c>
      <c r="E38" s="188">
        <v>2023</v>
      </c>
      <c r="F38" s="247">
        <v>45365</v>
      </c>
      <c r="G38" s="188" t="s">
        <v>216</v>
      </c>
      <c r="H38" s="190" t="str">
        <f>_xlfn.XLOOKUP(DivAndTax[[#This Row],[Investor ID]],INVESTORS_LIST[INVESTOR CODE],INVESTORS_LIST[INVESTOR NAME])</f>
        <v>RAIHAN RASHID MAJUMDAR</v>
      </c>
      <c r="I38" s="8" t="str">
        <f>_xlfn.XLOOKUP(DivAndTax[[#This Row],[Investor ID]],INVESTORS_LIST[INVESTOR CODE],INVESTORS_LIST[TYPE OF INVESTOR])</f>
        <v>Individual</v>
      </c>
      <c r="J38" s="282">
        <v>205106</v>
      </c>
      <c r="K38" s="283">
        <v>0.25</v>
      </c>
      <c r="L38" s="283">
        <f>DivAndTax[[#This Row],[Total Units]]*DivAndTax[[#This Row],[Dividend Per Unit]]</f>
        <v>51276.5</v>
      </c>
      <c r="M38" s="283">
        <f>DivAndTax[[#This Row],[Gross Dividend]]</f>
        <v>51276.5</v>
      </c>
      <c r="N38" s="193" cm="1">
        <f t="array" ref="N38">IF(DivAndTax[[#This Row],[MOD]]="YES",0,IF(DivAndTax[[#This Row],[Taxable Dividend]]=0,0,IF(AND(I38="INDIVIDUAL",COUNTBLANK(Q38)=1),15%,IF(AND(I38="Providend Fund",COUNTBLANK(Q38)=1),15%,IF(AND(I38="Gratuity Fund",COUNTBLANK(Q38)=1),15%,INDEX(Table9[Tax Rate],MATCH(I38,Table9[Type],0),))))))</f>
        <v>0.15</v>
      </c>
      <c r="O38" s="284">
        <f>ROUND(IF((DivAndTax[[#This Row],[Taxable Dividend]]*DivAndTax[[#This Row],[Tax Rate
(If Applicable)]])&gt;0,DivAndTax[[#This Row],[Taxable Dividend]]*DivAndTax[[#This Row],[Tax Rate
(If Applicable)]],0),2)</f>
        <v>7691.48</v>
      </c>
      <c r="P38" s="284">
        <f t="shared" si="3"/>
        <v>43585.020000000004</v>
      </c>
      <c r="Q38" s="194" t="s">
        <v>1146</v>
      </c>
      <c r="R38" s="283" t="s">
        <v>1139</v>
      </c>
      <c r="S38" s="283"/>
      <c r="T38" s="283" t="str">
        <f>DivAndTax[[#This Row],[Investor ID]]&amp;"-"&amp;(RIGHT(DivAndTax[[#This Row],[Accounting Year]],2))</f>
        <v>A00183-23</v>
      </c>
      <c r="U38" s="284" t="str">
        <f>IF(DivAndTax[[#This Row],[Dividend Option]]="CIP","11",IF(DivAndTax[[#This Row],[Dividend Option]]="CASH","22"))</f>
        <v>11</v>
      </c>
      <c r="V38" s="285"/>
      <c r="XCX38"/>
    </row>
    <row r="39" spans="1:22 16326:16326">
      <c r="A39" s="188">
        <v>2024</v>
      </c>
      <c r="B39" s="188">
        <v>1</v>
      </c>
      <c r="C39" s="188">
        <v>1</v>
      </c>
      <c r="D39" s="189">
        <f t="shared" si="2"/>
        <v>45292</v>
      </c>
      <c r="E39" s="188">
        <v>2023</v>
      </c>
      <c r="F39" s="247">
        <v>45365</v>
      </c>
      <c r="G39" s="188" t="s">
        <v>221</v>
      </c>
      <c r="H39" s="190" t="str">
        <f>_xlfn.XLOOKUP(DivAndTax[[#This Row],[Investor ID]],INVESTORS_LIST[INVESTOR CODE],INVESTORS_LIST[INVESTOR NAME])</f>
        <v>MD KAMRUL ISLAM</v>
      </c>
      <c r="I39" s="8" t="str">
        <f>_xlfn.XLOOKUP(DivAndTax[[#This Row],[Investor ID]],INVESTORS_LIST[INVESTOR CODE],INVESTORS_LIST[TYPE OF INVESTOR])</f>
        <v>Individual</v>
      </c>
      <c r="J39" s="282">
        <v>100000</v>
      </c>
      <c r="K39" s="283">
        <v>0.25</v>
      </c>
      <c r="L39" s="283">
        <f>DivAndTax[[#This Row],[Total Units]]*DivAndTax[[#This Row],[Dividend Per Unit]]</f>
        <v>25000</v>
      </c>
      <c r="M39" s="283">
        <f>DivAndTax[[#This Row],[Gross Dividend]]</f>
        <v>25000</v>
      </c>
      <c r="N39" s="193" cm="1">
        <f t="array" ref="N39">IF(DivAndTax[[#This Row],[MOD]]="YES",0,IF(DivAndTax[[#This Row],[Taxable Dividend]]=0,0,IF(AND(I39="INDIVIDUAL",COUNTBLANK(Q39)=1),15%,IF(AND(I39="Providend Fund",COUNTBLANK(Q39)=1),15%,IF(AND(I39="Gratuity Fund",COUNTBLANK(Q39)=1),15%,INDEX(Table9[Tax Rate],MATCH(I39,Table9[Type],0),))))))</f>
        <v>0.1</v>
      </c>
      <c r="O39" s="284">
        <f>ROUND(IF((DivAndTax[[#This Row],[Taxable Dividend]]*DivAndTax[[#This Row],[Tax Rate
(If Applicable)]])&gt;0,DivAndTax[[#This Row],[Taxable Dividend]]*DivAndTax[[#This Row],[Tax Rate
(If Applicable)]],0),2)</f>
        <v>2500</v>
      </c>
      <c r="P39" s="284">
        <f t="shared" si="3"/>
        <v>22500</v>
      </c>
      <c r="Q39" s="194" t="s">
        <v>1165</v>
      </c>
      <c r="R39" s="284" t="s">
        <v>1141</v>
      </c>
      <c r="S39" s="283"/>
      <c r="T39" s="283" t="str">
        <f>DivAndTax[[#This Row],[Investor ID]]&amp;"-"&amp;(RIGHT(DivAndTax[[#This Row],[Accounting Year]],2))</f>
        <v>A00189-23</v>
      </c>
      <c r="U39" s="284" t="str">
        <f>IF(DivAndTax[[#This Row],[Dividend Option]]="CIP","11",IF(DivAndTax[[#This Row],[Dividend Option]]="CASH","22"))</f>
        <v>22</v>
      </c>
      <c r="V39" s="285"/>
      <c r="XCX39"/>
    </row>
    <row r="40" spans="1:22 16326:16326">
      <c r="A40" s="188">
        <v>2024</v>
      </c>
      <c r="B40" s="188">
        <v>1</v>
      </c>
      <c r="C40" s="188">
        <v>1</v>
      </c>
      <c r="D40" s="189">
        <f t="shared" si="2"/>
        <v>45292</v>
      </c>
      <c r="E40" s="188">
        <v>2023</v>
      </c>
      <c r="F40" s="247">
        <v>45365</v>
      </c>
      <c r="G40" s="188" t="s">
        <v>230</v>
      </c>
      <c r="H40" s="190" t="str">
        <f>_xlfn.XLOOKUP(DivAndTax[[#This Row],[Investor ID]],INVESTORS_LIST[INVESTOR CODE],INVESTORS_LIST[INVESTOR NAME])</f>
        <v>HASIB MUSTABSIR</v>
      </c>
      <c r="I40" s="8" t="str">
        <f>_xlfn.XLOOKUP(DivAndTax[[#This Row],[Investor ID]],INVESTORS_LIST[INVESTOR CODE],INVESTORS_LIST[TYPE OF INVESTOR])</f>
        <v>Individual</v>
      </c>
      <c r="J40" s="282">
        <v>199598</v>
      </c>
      <c r="K40" s="283">
        <v>0.25</v>
      </c>
      <c r="L40" s="283">
        <f>DivAndTax[[#This Row],[Total Units]]*DivAndTax[[#This Row],[Dividend Per Unit]]</f>
        <v>49899.5</v>
      </c>
      <c r="M40" s="283">
        <f>DivAndTax[[#This Row],[Gross Dividend]]</f>
        <v>49899.5</v>
      </c>
      <c r="N40" s="193" cm="1">
        <f t="array" ref="N40">IF(DivAndTax[[#This Row],[MOD]]="YES",0,IF(DivAndTax[[#This Row],[Taxable Dividend]]=0,0,IF(AND(I40="INDIVIDUAL",COUNTBLANK(Q40)=1),15%,IF(AND(I40="Providend Fund",COUNTBLANK(Q40)=1),15%,IF(AND(I40="Gratuity Fund",COUNTBLANK(Q40)=1),15%,INDEX(Table9[Tax Rate],MATCH(I40,Table9[Type],0),))))))</f>
        <v>0.15</v>
      </c>
      <c r="O40" s="284">
        <f>ROUND(IF((DivAndTax[[#This Row],[Taxable Dividend]]*DivAndTax[[#This Row],[Tax Rate
(If Applicable)]])&gt;0,DivAndTax[[#This Row],[Taxable Dividend]]*DivAndTax[[#This Row],[Tax Rate
(If Applicable)]],0),2)</f>
        <v>7484.93</v>
      </c>
      <c r="P40" s="284">
        <f t="shared" si="3"/>
        <v>42414.57</v>
      </c>
      <c r="Q40" s="194" t="s">
        <v>1146</v>
      </c>
      <c r="R40" s="284" t="s">
        <v>1139</v>
      </c>
      <c r="S40" s="283"/>
      <c r="T40" s="283" t="str">
        <f>DivAndTax[[#This Row],[Investor ID]]&amp;"-"&amp;(RIGHT(DivAndTax[[#This Row],[Accounting Year]],2))</f>
        <v>A00194-23</v>
      </c>
      <c r="U40" s="284" t="str">
        <f>IF(DivAndTax[[#This Row],[Dividend Option]]="CIP","11",IF(DivAndTax[[#This Row],[Dividend Option]]="CASH","22"))</f>
        <v>11</v>
      </c>
      <c r="V40" s="285"/>
      <c r="XCX40"/>
    </row>
    <row r="41" spans="1:22 16326:16326">
      <c r="A41" s="188">
        <v>2024</v>
      </c>
      <c r="B41" s="188">
        <v>1</v>
      </c>
      <c r="C41" s="188">
        <v>1</v>
      </c>
      <c r="D41" s="189">
        <f t="shared" si="2"/>
        <v>45292</v>
      </c>
      <c r="E41" s="188">
        <v>2023</v>
      </c>
      <c r="F41" s="247">
        <v>45365</v>
      </c>
      <c r="G41" s="188" t="s">
        <v>236</v>
      </c>
      <c r="H41" s="190" t="str">
        <f>_xlfn.XLOOKUP(DivAndTax[[#This Row],[Investor ID]],INVESTORS_LIST[INVESTOR CODE],INVESTORS_LIST[INVESTOR NAME])</f>
        <v>MD. WALI ULLAH</v>
      </c>
      <c r="I41" s="8" t="str">
        <f>_xlfn.XLOOKUP(DivAndTax[[#This Row],[Investor ID]],INVESTORS_LIST[INVESTOR CODE],INVESTORS_LIST[TYPE OF INVESTOR])</f>
        <v>Individual</v>
      </c>
      <c r="J41" s="282">
        <v>10000</v>
      </c>
      <c r="K41" s="283">
        <v>0.25</v>
      </c>
      <c r="L41" s="283">
        <f>DivAndTax[[#This Row],[Total Units]]*DivAndTax[[#This Row],[Dividend Per Unit]]</f>
        <v>2500</v>
      </c>
      <c r="M41" s="283">
        <f>DivAndTax[[#This Row],[Gross Dividend]]</f>
        <v>2500</v>
      </c>
      <c r="N41" s="193" cm="1">
        <f t="array" ref="N41">IF(DivAndTax[[#This Row],[MOD]]="YES",0,IF(DivAndTax[[#This Row],[Taxable Dividend]]=0,0,IF(AND(I41="INDIVIDUAL",COUNTBLANK(Q41)=1),15%,IF(AND(I41="Providend Fund",COUNTBLANK(Q41)=1),15%,IF(AND(I41="Gratuity Fund",COUNTBLANK(Q41)=1),15%,INDEX(Table9[Tax Rate],MATCH(I41,Table9[Type],0),))))))</f>
        <v>0.15</v>
      </c>
      <c r="O41" s="284">
        <f>ROUND(IF((DivAndTax[[#This Row],[Taxable Dividend]]*DivAndTax[[#This Row],[Tax Rate
(If Applicable)]])&gt;0,DivAndTax[[#This Row],[Taxable Dividend]]*DivAndTax[[#This Row],[Tax Rate
(If Applicable)]],0),2)</f>
        <v>375</v>
      </c>
      <c r="P41" s="284">
        <f t="shared" si="3"/>
        <v>2125</v>
      </c>
      <c r="Q41" s="194" t="s">
        <v>1146</v>
      </c>
      <c r="R41" s="284" t="s">
        <v>1139</v>
      </c>
      <c r="S41" s="283"/>
      <c r="T41" s="283" t="str">
        <f>DivAndTax[[#This Row],[Investor ID]]&amp;"-"&amp;(RIGHT(DivAndTax[[#This Row],[Accounting Year]],2))</f>
        <v>A00197-23</v>
      </c>
      <c r="U41" s="284" t="str">
        <f>IF(DivAndTax[[#This Row],[Dividend Option]]="CIP","11",IF(DivAndTax[[#This Row],[Dividend Option]]="CASH","22"))</f>
        <v>11</v>
      </c>
      <c r="V41" s="285"/>
      <c r="XCX41"/>
    </row>
    <row r="42" spans="1:22 16326:16326">
      <c r="A42" s="188">
        <v>2024</v>
      </c>
      <c r="B42" s="188">
        <v>1</v>
      </c>
      <c r="C42" s="188">
        <v>1</v>
      </c>
      <c r="D42" s="189">
        <f t="shared" si="2"/>
        <v>45292</v>
      </c>
      <c r="E42" s="188">
        <v>2023</v>
      </c>
      <c r="F42" s="247">
        <v>45365</v>
      </c>
      <c r="G42" s="188" t="s">
        <v>238</v>
      </c>
      <c r="H42" s="190" t="str">
        <f>_xlfn.XLOOKUP(DivAndTax[[#This Row],[Investor ID]],INVESTORS_LIST[INVESTOR CODE],INVESTORS_LIST[INVESTOR NAME])</f>
        <v>MD. NIAZ MURSHED</v>
      </c>
      <c r="I42" s="8" t="str">
        <f>_xlfn.XLOOKUP(DivAndTax[[#This Row],[Investor ID]],INVESTORS_LIST[INVESTOR CODE],INVESTORS_LIST[TYPE OF INVESTOR])</f>
        <v>Individual</v>
      </c>
      <c r="J42" s="282">
        <v>41558</v>
      </c>
      <c r="K42" s="283">
        <v>0.25</v>
      </c>
      <c r="L42" s="283">
        <f>DivAndTax[[#This Row],[Total Units]]*DivAndTax[[#This Row],[Dividend Per Unit]]</f>
        <v>10389.5</v>
      </c>
      <c r="M42" s="283">
        <f>DivAndTax[[#This Row],[Gross Dividend]]</f>
        <v>10389.5</v>
      </c>
      <c r="N42" s="193" cm="1">
        <f t="array" ref="N42">IF(DivAndTax[[#This Row],[MOD]]="YES",0,IF(DivAndTax[[#This Row],[Taxable Dividend]]=0,0,IF(AND(I42="INDIVIDUAL",COUNTBLANK(Q42)=1),15%,IF(AND(I42="Providend Fund",COUNTBLANK(Q42)=1),15%,IF(AND(I42="Gratuity Fund",COUNTBLANK(Q42)=1),15%,INDEX(Table9[Tax Rate],MATCH(I42,Table9[Type],0),))))))</f>
        <v>0.1</v>
      </c>
      <c r="O42" s="284">
        <f>ROUND(IF((DivAndTax[[#This Row],[Taxable Dividend]]*DivAndTax[[#This Row],[Tax Rate
(If Applicable)]])&gt;0,DivAndTax[[#This Row],[Taxable Dividend]]*DivAndTax[[#This Row],[Tax Rate
(If Applicable)]],0),2)</f>
        <v>1038.95</v>
      </c>
      <c r="P42" s="284">
        <f t="shared" si="3"/>
        <v>9350.5499999999993</v>
      </c>
      <c r="Q42" s="194" t="s">
        <v>1166</v>
      </c>
      <c r="R42" s="284" t="s">
        <v>1139</v>
      </c>
      <c r="S42" s="283"/>
      <c r="T42" s="283" t="str">
        <f>DivAndTax[[#This Row],[Investor ID]]&amp;"-"&amp;(RIGHT(DivAndTax[[#This Row],[Accounting Year]],2))</f>
        <v>A00198-23</v>
      </c>
      <c r="U42" s="284" t="str">
        <f>IF(DivAndTax[[#This Row],[Dividend Option]]="CIP","11",IF(DivAndTax[[#This Row],[Dividend Option]]="CASH","22"))</f>
        <v>11</v>
      </c>
      <c r="V42" s="285"/>
      <c r="XCX42"/>
    </row>
    <row r="43" spans="1:22 16326:16326">
      <c r="A43" s="188">
        <v>2024</v>
      </c>
      <c r="B43" s="188">
        <v>1</v>
      </c>
      <c r="C43" s="188">
        <v>1</v>
      </c>
      <c r="D43" s="189">
        <f t="shared" si="2"/>
        <v>45292</v>
      </c>
      <c r="E43" s="188">
        <v>2023</v>
      </c>
      <c r="F43" s="247">
        <v>45365</v>
      </c>
      <c r="G43" s="188" t="s">
        <v>247</v>
      </c>
      <c r="H43" s="190" t="str">
        <f>_xlfn.XLOOKUP(DivAndTax[[#This Row],[Investor ID]],INVESTORS_LIST[INVESTOR CODE],INVESTORS_LIST[INVESTOR NAME])</f>
        <v>REZIA RAHMAT</v>
      </c>
      <c r="I43" s="8" t="str">
        <f>_xlfn.XLOOKUP(DivAndTax[[#This Row],[Investor ID]],INVESTORS_LIST[INVESTOR CODE],INVESTORS_LIST[TYPE OF INVESTOR])</f>
        <v>Individual</v>
      </c>
      <c r="J43" s="282">
        <v>162767</v>
      </c>
      <c r="K43" s="283">
        <v>0.25</v>
      </c>
      <c r="L43" s="283">
        <f>DivAndTax[[#This Row],[Total Units]]*DivAndTax[[#This Row],[Dividend Per Unit]]</f>
        <v>40691.75</v>
      </c>
      <c r="M43" s="283">
        <f>DivAndTax[[#This Row],[Gross Dividend]]</f>
        <v>40691.75</v>
      </c>
      <c r="N43" s="193" cm="1">
        <f t="array" ref="N43">IF(DivAndTax[[#This Row],[MOD]]="YES",0,IF(DivAndTax[[#This Row],[Taxable Dividend]]=0,0,IF(AND(I43="INDIVIDUAL",COUNTBLANK(Q43)=1),15%,IF(AND(I43="Providend Fund",COUNTBLANK(Q43)=1),15%,IF(AND(I43="Gratuity Fund",COUNTBLANK(Q43)=1),15%,INDEX(Table9[Tax Rate],MATCH(I43,Table9[Type],0),))))))</f>
        <v>0.15</v>
      </c>
      <c r="O43" s="284">
        <f>ROUND(IF((DivAndTax[[#This Row],[Taxable Dividend]]*DivAndTax[[#This Row],[Tax Rate
(If Applicable)]])&gt;0,DivAndTax[[#This Row],[Taxable Dividend]]*DivAndTax[[#This Row],[Tax Rate
(If Applicable)]],0),2)</f>
        <v>6103.76</v>
      </c>
      <c r="P43" s="284">
        <f t="shared" si="3"/>
        <v>34587.99</v>
      </c>
      <c r="Q43" s="194" t="s">
        <v>1146</v>
      </c>
      <c r="R43" s="284" t="s">
        <v>1139</v>
      </c>
      <c r="S43" s="283"/>
      <c r="T43" s="283" t="str">
        <f>DivAndTax[[#This Row],[Investor ID]]&amp;"-"&amp;(RIGHT(DivAndTax[[#This Row],[Accounting Year]],2))</f>
        <v>A00203-23</v>
      </c>
      <c r="U43" s="284" t="str">
        <f>IF(DivAndTax[[#This Row],[Dividend Option]]="CIP","11",IF(DivAndTax[[#This Row],[Dividend Option]]="CASH","22"))</f>
        <v>11</v>
      </c>
      <c r="V43" s="285"/>
      <c r="XCX43"/>
    </row>
    <row r="44" spans="1:22 16326:16326">
      <c r="A44" s="188">
        <v>2024</v>
      </c>
      <c r="B44" s="188">
        <v>1</v>
      </c>
      <c r="C44" s="188">
        <v>1</v>
      </c>
      <c r="D44" s="189">
        <f t="shared" si="2"/>
        <v>45292</v>
      </c>
      <c r="E44" s="188">
        <v>2023</v>
      </c>
      <c r="F44" s="247">
        <v>45365</v>
      </c>
      <c r="G44" s="188" t="s">
        <v>252</v>
      </c>
      <c r="H44" s="190" t="str">
        <f>_xlfn.XLOOKUP(DivAndTax[[#This Row],[Investor ID]],INVESTORS_LIST[INVESTOR CODE],INVESTORS_LIST[INVESTOR NAME])</f>
        <v>SAJJAD CHOWDHURY</v>
      </c>
      <c r="I44" s="8" t="str">
        <f>_xlfn.XLOOKUP(DivAndTax[[#This Row],[Investor ID]],INVESTORS_LIST[INVESTOR CODE],INVESTORS_LIST[TYPE OF INVESTOR])</f>
        <v>Individual</v>
      </c>
      <c r="J44" s="282">
        <v>5092</v>
      </c>
      <c r="K44" s="283">
        <v>0.25</v>
      </c>
      <c r="L44" s="283">
        <f>DivAndTax[[#This Row],[Total Units]]*DivAndTax[[#This Row],[Dividend Per Unit]]</f>
        <v>1273</v>
      </c>
      <c r="M44" s="283">
        <f>DivAndTax[[#This Row],[Gross Dividend]]</f>
        <v>1273</v>
      </c>
      <c r="N44" s="193" cm="1">
        <f t="array" ref="N44">IF(DivAndTax[[#This Row],[MOD]]="YES",0,IF(DivAndTax[[#This Row],[Taxable Dividend]]=0,0,IF(AND(I44="INDIVIDUAL",COUNTBLANK(Q44)=1),15%,IF(AND(I44="Providend Fund",COUNTBLANK(Q44)=1),15%,IF(AND(I44="Gratuity Fund",COUNTBLANK(Q44)=1),15%,INDEX(Table9[Tax Rate],MATCH(I44,Table9[Type],0),))))))</f>
        <v>0.15</v>
      </c>
      <c r="O44" s="284">
        <f>ROUND(IF((DivAndTax[[#This Row],[Taxable Dividend]]*DivAndTax[[#This Row],[Tax Rate
(If Applicable)]])&gt;0,DivAndTax[[#This Row],[Taxable Dividend]]*DivAndTax[[#This Row],[Tax Rate
(If Applicable)]],0),2)</f>
        <v>190.95</v>
      </c>
      <c r="P44" s="284">
        <f t="shared" si="3"/>
        <v>1082.05</v>
      </c>
      <c r="Q44" s="194" t="s">
        <v>1146</v>
      </c>
      <c r="R44" s="284" t="s">
        <v>1139</v>
      </c>
      <c r="S44" s="283"/>
      <c r="T44" s="283" t="str">
        <f>DivAndTax[[#This Row],[Investor ID]]&amp;"-"&amp;(RIGHT(DivAndTax[[#This Row],[Accounting Year]],2))</f>
        <v>A00206-23</v>
      </c>
      <c r="U44" s="284" t="str">
        <f>IF(DivAndTax[[#This Row],[Dividend Option]]="CIP","11",IF(DivAndTax[[#This Row],[Dividend Option]]="CASH","22"))</f>
        <v>11</v>
      </c>
      <c r="V44" s="285"/>
      <c r="XCX44"/>
    </row>
    <row r="45" spans="1:22 16326:16326">
      <c r="A45" s="188">
        <v>2024</v>
      </c>
      <c r="B45" s="188">
        <v>1</v>
      </c>
      <c r="C45" s="188">
        <v>1</v>
      </c>
      <c r="D45" s="189">
        <f t="shared" si="2"/>
        <v>45292</v>
      </c>
      <c r="E45" s="188">
        <v>2023</v>
      </c>
      <c r="F45" s="247">
        <v>45365</v>
      </c>
      <c r="G45" s="188" t="s">
        <v>260</v>
      </c>
      <c r="H45" s="190" t="str">
        <f>_xlfn.XLOOKUP(DivAndTax[[#This Row],[Investor ID]],INVESTORS_LIST[INVESTOR CODE],INVESTORS_LIST[INVESTOR NAME])</f>
        <v>FARUQUE AHMED &amp; ZAHEDA BEGUM HENA</v>
      </c>
      <c r="I45" s="8" t="str">
        <f>_xlfn.XLOOKUP(DivAndTax[[#This Row],[Investor ID]],INVESTORS_LIST[INVESTOR CODE],INVESTORS_LIST[TYPE OF INVESTOR])</f>
        <v>Individual</v>
      </c>
      <c r="J45" s="282">
        <v>100931</v>
      </c>
      <c r="K45" s="283">
        <v>0.25</v>
      </c>
      <c r="L45" s="283">
        <f>DivAndTax[[#This Row],[Total Units]]*DivAndTax[[#This Row],[Dividend Per Unit]]</f>
        <v>25232.75</v>
      </c>
      <c r="M45" s="283">
        <f>DivAndTax[[#This Row],[Gross Dividend]]</f>
        <v>25232.75</v>
      </c>
      <c r="N45" s="193" cm="1">
        <f t="array" ref="N45">IF(DivAndTax[[#This Row],[MOD]]="YES",0,IF(DivAndTax[[#This Row],[Taxable Dividend]]=0,0,IF(AND(I45="INDIVIDUAL",COUNTBLANK(Q45)=1),15%,IF(AND(I45="Providend Fund",COUNTBLANK(Q45)=1),15%,IF(AND(I45="Gratuity Fund",COUNTBLANK(Q45)=1),15%,INDEX(Table9[Tax Rate],MATCH(I45,Table9[Type],0),))))))</f>
        <v>0.1</v>
      </c>
      <c r="O45" s="284">
        <f>ROUND(IF((DivAndTax[[#This Row],[Taxable Dividend]]*DivAndTax[[#This Row],[Tax Rate
(If Applicable)]])&gt;0,DivAndTax[[#This Row],[Taxable Dividend]]*DivAndTax[[#This Row],[Tax Rate
(If Applicable)]],0),2)</f>
        <v>2523.2800000000002</v>
      </c>
      <c r="P45" s="284">
        <f t="shared" si="3"/>
        <v>22709.47</v>
      </c>
      <c r="Q45" s="194" t="s">
        <v>1167</v>
      </c>
      <c r="R45" s="284" t="s">
        <v>1141</v>
      </c>
      <c r="S45" s="283"/>
      <c r="T45" s="283" t="str">
        <f>DivAndTax[[#This Row],[Investor ID]]&amp;"-"&amp;(RIGHT(DivAndTax[[#This Row],[Accounting Year]],2))</f>
        <v>A00210-23</v>
      </c>
      <c r="U45" s="284" t="str">
        <f>IF(DivAndTax[[#This Row],[Dividend Option]]="CIP","11",IF(DivAndTax[[#This Row],[Dividend Option]]="CASH","22"))</f>
        <v>22</v>
      </c>
      <c r="V45" s="285"/>
      <c r="XCX45"/>
    </row>
    <row r="46" spans="1:22 16326:16326">
      <c r="A46" s="188">
        <v>2024</v>
      </c>
      <c r="B46" s="188">
        <v>1</v>
      </c>
      <c r="C46" s="188">
        <v>1</v>
      </c>
      <c r="D46" s="189">
        <f t="shared" si="2"/>
        <v>45292</v>
      </c>
      <c r="E46" s="188">
        <v>2023</v>
      </c>
      <c r="F46" s="247">
        <v>45365</v>
      </c>
      <c r="G46" s="188" t="s">
        <v>282</v>
      </c>
      <c r="H46" s="190" t="str">
        <f>_xlfn.XLOOKUP(DivAndTax[[#This Row],[Investor ID]],INVESTORS_LIST[INVESTOR CODE],INVESTORS_LIST[INVESTOR NAME])</f>
        <v>MIDLAND BANK LIMITED</v>
      </c>
      <c r="I46" s="8" t="str">
        <f>_xlfn.XLOOKUP(DivAndTax[[#This Row],[Investor ID]],INVESTORS_LIST[INVESTOR CODE],INVESTORS_LIST[TYPE OF INVESTOR])</f>
        <v>Company/Organization</v>
      </c>
      <c r="J46" s="282">
        <v>2000000</v>
      </c>
      <c r="K46" s="283">
        <v>0.25</v>
      </c>
      <c r="L46" s="283">
        <f>DivAndTax[[#This Row],[Total Units]]*DivAndTax[[#This Row],[Dividend Per Unit]]</f>
        <v>500000</v>
      </c>
      <c r="M46" s="283">
        <f>DivAndTax[[#This Row],[Gross Dividend]]</f>
        <v>500000</v>
      </c>
      <c r="N46" s="193" cm="1">
        <f t="array" ref="N46">IF(DivAndTax[[#This Row],[MOD]]="YES",0,IF(DivAndTax[[#This Row],[Taxable Dividend]]=0,0,IF(AND(I46="INDIVIDUAL",COUNTBLANK(Q46)=1),15%,IF(AND(I46="Providend Fund",COUNTBLANK(Q46)=1),15%,IF(AND(I46="Gratuity Fund",COUNTBLANK(Q46)=1),15%,INDEX(Table9[Tax Rate],MATCH(I46,Table9[Type],0),))))))</f>
        <v>0.2</v>
      </c>
      <c r="O46" s="284">
        <f>ROUND(IF((DivAndTax[[#This Row],[Taxable Dividend]]*DivAndTax[[#This Row],[Tax Rate
(If Applicable)]])&gt;0,DivAndTax[[#This Row],[Taxable Dividend]]*DivAndTax[[#This Row],[Tax Rate
(If Applicable)]],0),2)</f>
        <v>100000</v>
      </c>
      <c r="P46" s="284">
        <f t="shared" si="3"/>
        <v>400000</v>
      </c>
      <c r="Q46" s="194" t="s">
        <v>1168</v>
      </c>
      <c r="R46" s="284" t="s">
        <v>1141</v>
      </c>
      <c r="S46" s="283"/>
      <c r="T46" s="283" t="str">
        <f>DivAndTax[[#This Row],[Investor ID]]&amp;"-"&amp;(RIGHT(DivAndTax[[#This Row],[Accounting Year]],2))</f>
        <v>A00222-23</v>
      </c>
      <c r="U46" s="284" t="str">
        <f>IF(DivAndTax[[#This Row],[Dividend Option]]="CIP","11",IF(DivAndTax[[#This Row],[Dividend Option]]="CASH","22"))</f>
        <v>22</v>
      </c>
      <c r="V46" s="285"/>
      <c r="XCX46"/>
    </row>
    <row r="47" spans="1:22 16326:16326">
      <c r="A47" s="188">
        <v>2024</v>
      </c>
      <c r="B47" s="188">
        <v>1</v>
      </c>
      <c r="C47" s="188">
        <v>1</v>
      </c>
      <c r="D47" s="189">
        <f t="shared" si="2"/>
        <v>45292</v>
      </c>
      <c r="E47" s="188">
        <v>2023</v>
      </c>
      <c r="F47" s="247">
        <v>45365</v>
      </c>
      <c r="G47" s="188" t="s">
        <v>305</v>
      </c>
      <c r="H47" s="190" t="str">
        <f>_xlfn.XLOOKUP(DivAndTax[[#This Row],[Investor ID]],INVESTORS_LIST[INVESTOR CODE],INVESTORS_LIST[INVESTOR NAME])</f>
        <v>BIJOY CHANDRA DAS</v>
      </c>
      <c r="I47" s="8" t="str">
        <f>_xlfn.XLOOKUP(DivAndTax[[#This Row],[Investor ID]],INVESTORS_LIST[INVESTOR CODE],INVESTORS_LIST[TYPE OF INVESTOR])</f>
        <v>Individual</v>
      </c>
      <c r="J47" s="282">
        <v>10000</v>
      </c>
      <c r="K47" s="283">
        <v>0.25</v>
      </c>
      <c r="L47" s="283">
        <f>DivAndTax[[#This Row],[Total Units]]*DivAndTax[[#This Row],[Dividend Per Unit]]</f>
        <v>2500</v>
      </c>
      <c r="M47" s="283">
        <f>DivAndTax[[#This Row],[Gross Dividend]]</f>
        <v>2500</v>
      </c>
      <c r="N47" s="193" cm="1">
        <f t="array" ref="N47">IF(DivAndTax[[#This Row],[MOD]]="YES",0,IF(DivAndTax[[#This Row],[Taxable Dividend]]=0,0,IF(AND(I47="INDIVIDUAL",COUNTBLANK(Q47)=1),15%,IF(AND(I47="Providend Fund",COUNTBLANK(Q47)=1),15%,IF(AND(I47="Gratuity Fund",COUNTBLANK(Q47)=1),15%,INDEX(Table9[Tax Rate],MATCH(I47,Table9[Type],0),))))))</f>
        <v>0.1</v>
      </c>
      <c r="O47" s="284">
        <f>ROUND(IF((DivAndTax[[#This Row],[Taxable Dividend]]*DivAndTax[[#This Row],[Tax Rate
(If Applicable)]])&gt;0,DivAndTax[[#This Row],[Taxable Dividend]]*DivAndTax[[#This Row],[Tax Rate
(If Applicable)]],0),2)</f>
        <v>250</v>
      </c>
      <c r="P47" s="284">
        <f t="shared" si="3"/>
        <v>2250</v>
      </c>
      <c r="Q47" s="194" t="s">
        <v>1169</v>
      </c>
      <c r="R47" s="284" t="s">
        <v>1139</v>
      </c>
      <c r="S47" s="283"/>
      <c r="T47" s="283" t="str">
        <f>DivAndTax[[#This Row],[Investor ID]]&amp;"-"&amp;(RIGHT(DivAndTax[[#This Row],[Accounting Year]],2))</f>
        <v>A00224-23</v>
      </c>
      <c r="U47" s="284" t="str">
        <f>IF(DivAndTax[[#This Row],[Dividend Option]]="CIP","11",IF(DivAndTax[[#This Row],[Dividend Option]]="CASH","22"))</f>
        <v>11</v>
      </c>
      <c r="V47" s="285"/>
      <c r="XCX47"/>
    </row>
    <row r="48" spans="1:22 16326:16326">
      <c r="A48" s="188">
        <v>2024</v>
      </c>
      <c r="B48" s="188">
        <v>1</v>
      </c>
      <c r="C48" s="188">
        <v>1</v>
      </c>
      <c r="D48" s="189">
        <f t="shared" si="2"/>
        <v>45292</v>
      </c>
      <c r="E48" s="188">
        <v>2023</v>
      </c>
      <c r="F48" s="247">
        <v>45365</v>
      </c>
      <c r="G48" s="188" t="s">
        <v>309</v>
      </c>
      <c r="H48" s="190" t="str">
        <f>_xlfn.XLOOKUP(DivAndTax[[#This Row],[Investor ID]],INVESTORS_LIST[INVESTOR CODE],INVESTORS_LIST[INVESTOR NAME])</f>
        <v>FATEMA-TUZ JOHURA NILA</v>
      </c>
      <c r="I48" s="8" t="str">
        <f>_xlfn.XLOOKUP(DivAndTax[[#This Row],[Investor ID]],INVESTORS_LIST[INVESTOR CODE],INVESTORS_LIST[TYPE OF INVESTOR])</f>
        <v>Individual</v>
      </c>
      <c r="J48" s="290">
        <v>20000</v>
      </c>
      <c r="K48" s="283">
        <v>0.25</v>
      </c>
      <c r="L48" s="283">
        <f>DivAndTax[[#This Row],[Total Units]]*DivAndTax[[#This Row],[Dividend Per Unit]]</f>
        <v>5000</v>
      </c>
      <c r="M48" s="283">
        <f>DivAndTax[[#This Row],[Gross Dividend]]</f>
        <v>5000</v>
      </c>
      <c r="N48" s="193" cm="1">
        <f t="array" ref="N48">IF(DivAndTax[[#This Row],[MOD]]="YES",0,IF(DivAndTax[[#This Row],[Taxable Dividend]]=0,0,IF(AND(I48="INDIVIDUAL",COUNTBLANK(Q48)=1),15%,IF(AND(I48="Providend Fund",COUNTBLANK(Q48)=1),15%,IF(AND(I48="Gratuity Fund",COUNTBLANK(Q48)=1),15%,INDEX(Table9[Tax Rate],MATCH(I48,Table9[Type],0),))))))</f>
        <v>0.15</v>
      </c>
      <c r="O48" s="283">
        <f>ROUND(IF((DivAndTax[[#This Row],[Taxable Dividend]]*DivAndTax[[#This Row],[Tax Rate
(If Applicable)]])&gt;0,DivAndTax[[#This Row],[Taxable Dividend]]*DivAndTax[[#This Row],[Tax Rate
(If Applicable)]],0),2)</f>
        <v>750</v>
      </c>
      <c r="P48" s="283">
        <f t="shared" si="3"/>
        <v>4250</v>
      </c>
      <c r="Q48" s="194" t="s">
        <v>1146</v>
      </c>
      <c r="R48" s="284" t="s">
        <v>1139</v>
      </c>
      <c r="S48" s="283"/>
      <c r="T48" s="283" t="str">
        <f>DivAndTax[[#This Row],[Investor ID]]&amp;"-"&amp;(RIGHT(DivAndTax[[#This Row],[Accounting Year]],2))</f>
        <v>A00226-23</v>
      </c>
      <c r="U48" s="284" t="str">
        <f>IF(DivAndTax[[#This Row],[Dividend Option]]="CIP","11",IF(DivAndTax[[#This Row],[Dividend Option]]="CASH","22"))</f>
        <v>11</v>
      </c>
      <c r="V48" s="285"/>
      <c r="XCX48"/>
    </row>
    <row r="49" spans="1:22 16326:16326">
      <c r="A49" s="188">
        <v>2024</v>
      </c>
      <c r="B49" s="188">
        <v>1</v>
      </c>
      <c r="C49" s="188">
        <v>1</v>
      </c>
      <c r="D49" s="189">
        <f t="shared" si="2"/>
        <v>45292</v>
      </c>
      <c r="E49" s="188">
        <v>2023</v>
      </c>
      <c r="F49" s="247">
        <v>45365</v>
      </c>
      <c r="G49" s="188" t="s">
        <v>310</v>
      </c>
      <c r="H49" s="190" t="str">
        <f>_xlfn.XLOOKUP(DivAndTax[[#This Row],[Investor ID]],INVESTORS_LIST[INVESTOR CODE],INVESTORS_LIST[INVESTOR NAME])</f>
        <v>GREEN DELTA SECURITIES LIMITED</v>
      </c>
      <c r="I49" s="8" t="str">
        <f>_xlfn.XLOOKUP(DivAndTax[[#This Row],[Investor ID]],INVESTORS_LIST[INVESTOR CODE],INVESTORS_LIST[TYPE OF INVESTOR])</f>
        <v>Company/Organization</v>
      </c>
      <c r="J49" s="290">
        <v>150000</v>
      </c>
      <c r="K49" s="283">
        <v>0.25</v>
      </c>
      <c r="L49" s="283">
        <f>DivAndTax[[#This Row],[Total Units]]*DivAndTax[[#This Row],[Dividend Per Unit]]</f>
        <v>37500</v>
      </c>
      <c r="M49" s="283">
        <f>DivAndTax[[#This Row],[Gross Dividend]]</f>
        <v>37500</v>
      </c>
      <c r="N49" s="193" cm="1">
        <f t="array" ref="N49">IF(DivAndTax[[#This Row],[MOD]]="YES",0,IF(DivAndTax[[#This Row],[Taxable Dividend]]=0,0,IF(AND(I49="INDIVIDUAL",COUNTBLANK(Q49)=1),15%,IF(AND(I49="Providend Fund",COUNTBLANK(Q49)=1),15%,IF(AND(I49="Gratuity Fund",COUNTBLANK(Q49)=1),15%,INDEX(Table9[Tax Rate],MATCH(I49,Table9[Type],0),))))))</f>
        <v>0.2</v>
      </c>
      <c r="O49" s="283">
        <f>ROUND(IF((DivAndTax[[#This Row],[Taxable Dividend]]*DivAndTax[[#This Row],[Tax Rate
(If Applicable)]])&gt;0,DivAndTax[[#This Row],[Taxable Dividend]]*DivAndTax[[#This Row],[Tax Rate
(If Applicable)]],0),2)</f>
        <v>7500</v>
      </c>
      <c r="P49" s="283">
        <f t="shared" si="3"/>
        <v>30000</v>
      </c>
      <c r="Q49" s="194" t="s">
        <v>1170</v>
      </c>
      <c r="R49" s="284" t="s">
        <v>1141</v>
      </c>
      <c r="S49" s="283"/>
      <c r="T49" s="283" t="str">
        <f>DivAndTax[[#This Row],[Investor ID]]&amp;"-"&amp;(RIGHT(DivAndTax[[#This Row],[Accounting Year]],2))</f>
        <v>A00227-23</v>
      </c>
      <c r="U49" s="284" t="str">
        <f>IF(DivAndTax[[#This Row],[Dividend Option]]="CIP","11",IF(DivAndTax[[#This Row],[Dividend Option]]="CASH","22"))</f>
        <v>22</v>
      </c>
      <c r="V49" s="285"/>
      <c r="XCX49"/>
    </row>
    <row r="50" spans="1:22 16326:16326">
      <c r="A50" s="188">
        <v>2024</v>
      </c>
      <c r="B50" s="188">
        <v>1</v>
      </c>
      <c r="C50" s="188">
        <v>1</v>
      </c>
      <c r="D50" s="189">
        <f t="shared" si="2"/>
        <v>45292</v>
      </c>
      <c r="E50" s="188">
        <v>2023</v>
      </c>
      <c r="F50" s="247">
        <v>45365</v>
      </c>
      <c r="G50" s="188" t="s">
        <v>345</v>
      </c>
      <c r="H50" s="190" t="str">
        <f>_xlfn.XLOOKUP(DivAndTax[[#This Row],[Investor ID]],INVESTORS_LIST[INVESTOR CODE],INVESTORS_LIST[INVESTOR NAME])</f>
        <v>MOHAMMAD SAMIUL ALAM</v>
      </c>
      <c r="I50" s="8" t="str">
        <f>_xlfn.XLOOKUP(DivAndTax[[#This Row],[Investor ID]],INVESTORS_LIST[INVESTOR CODE],INVESTORS_LIST[TYPE OF INVESTOR])</f>
        <v>Individual</v>
      </c>
      <c r="J50" s="290">
        <v>50000</v>
      </c>
      <c r="K50" s="283">
        <v>0.25</v>
      </c>
      <c r="L50" s="283">
        <f>DivAndTax[[#This Row],[Total Units]]*DivAndTax[[#This Row],[Dividend Per Unit]]</f>
        <v>12500</v>
      </c>
      <c r="M50" s="283">
        <f>DivAndTax[[#This Row],[Gross Dividend]]</f>
        <v>12500</v>
      </c>
      <c r="N50" s="193" cm="1">
        <f t="array" ref="N50">IF(DivAndTax[[#This Row],[MOD]]="YES",0,IF(DivAndTax[[#This Row],[Taxable Dividend]]=0,0,IF(AND(I50="INDIVIDUAL",COUNTBLANK(Q50)=1),15%,IF(AND(I50="Providend Fund",COUNTBLANK(Q50)=1),15%,IF(AND(I50="Gratuity Fund",COUNTBLANK(Q50)=1),15%,INDEX(Table9[Tax Rate],MATCH(I50,Table9[Type],0),))))))</f>
        <v>0.1</v>
      </c>
      <c r="O50" s="283">
        <f>ROUND(IF((DivAndTax[[#This Row],[Taxable Dividend]]*DivAndTax[[#This Row],[Tax Rate
(If Applicable)]])&gt;0,DivAndTax[[#This Row],[Taxable Dividend]]*DivAndTax[[#This Row],[Tax Rate
(If Applicable)]],0),2)</f>
        <v>1250</v>
      </c>
      <c r="P50" s="283">
        <f t="shared" si="3"/>
        <v>11250</v>
      </c>
      <c r="Q50" s="194" t="s">
        <v>1171</v>
      </c>
      <c r="R50" s="284" t="s">
        <v>1141</v>
      </c>
      <c r="S50" s="283"/>
      <c r="T50" s="283" t="str">
        <f>DivAndTax[[#This Row],[Investor ID]]&amp;"-"&amp;(RIGHT(DivAndTax[[#This Row],[Accounting Year]],2))</f>
        <v>A00244-23</v>
      </c>
      <c r="U50" s="284" t="str">
        <f>IF(DivAndTax[[#This Row],[Dividend Option]]="CIP","11",IF(DivAndTax[[#This Row],[Dividend Option]]="CASH","22"))</f>
        <v>22</v>
      </c>
      <c r="V50" s="285"/>
      <c r="XCX50"/>
    </row>
    <row r="51" spans="1:22 16326:16326">
      <c r="A51" s="188">
        <v>2024</v>
      </c>
      <c r="B51" s="188">
        <v>1</v>
      </c>
      <c r="C51" s="188">
        <v>1</v>
      </c>
      <c r="D51" s="189">
        <f t="shared" si="2"/>
        <v>45292</v>
      </c>
      <c r="E51" s="188">
        <v>2023</v>
      </c>
      <c r="F51" s="247">
        <v>45365</v>
      </c>
      <c r="G51" s="188" t="s">
        <v>351</v>
      </c>
      <c r="H51" s="190" t="str">
        <f>_xlfn.XLOOKUP(DivAndTax[[#This Row],[Investor ID]],INVESTORS_LIST[INVESTOR CODE],INVESTORS_LIST[INVESTOR NAME])</f>
        <v>SHANTA PAUL</v>
      </c>
      <c r="I51" s="8" t="str">
        <f>_xlfn.XLOOKUP(DivAndTax[[#This Row],[Investor ID]],INVESTORS_LIST[INVESTOR CODE],INVESTORS_LIST[TYPE OF INVESTOR])</f>
        <v>Individual</v>
      </c>
      <c r="J51" s="290">
        <v>100000</v>
      </c>
      <c r="K51" s="283">
        <v>0.25</v>
      </c>
      <c r="L51" s="283">
        <f>DivAndTax[[#This Row],[Total Units]]*DivAndTax[[#This Row],[Dividend Per Unit]]</f>
        <v>25000</v>
      </c>
      <c r="M51" s="283">
        <f>DivAndTax[[#This Row],[Gross Dividend]]</f>
        <v>25000</v>
      </c>
      <c r="N51" s="193" cm="1">
        <f t="array" ref="N51">IF(DivAndTax[[#This Row],[MOD]]="YES",0,IF(DivAndTax[[#This Row],[Taxable Dividend]]=0,0,IF(AND(I51="INDIVIDUAL",COUNTBLANK(Q51)=1),15%,IF(AND(I51="Providend Fund",COUNTBLANK(Q51)=1),15%,IF(AND(I51="Gratuity Fund",COUNTBLANK(Q51)=1),15%,INDEX(Table9[Tax Rate],MATCH(I51,Table9[Type],0),))))))</f>
        <v>0.1</v>
      </c>
      <c r="O51" s="283">
        <f>ROUND(IF((DivAndTax[[#This Row],[Taxable Dividend]]*DivAndTax[[#This Row],[Tax Rate
(If Applicable)]])&gt;0,DivAndTax[[#This Row],[Taxable Dividend]]*DivAndTax[[#This Row],[Tax Rate
(If Applicable)]],0),2)</f>
        <v>2500</v>
      </c>
      <c r="P51" s="283">
        <f t="shared" si="3"/>
        <v>22500</v>
      </c>
      <c r="Q51" s="194" t="s">
        <v>1172</v>
      </c>
      <c r="R51" s="284" t="s">
        <v>1139</v>
      </c>
      <c r="S51" s="283"/>
      <c r="T51" s="283" t="str">
        <f>DivAndTax[[#This Row],[Investor ID]]&amp;"-"&amp;(RIGHT(DivAndTax[[#This Row],[Accounting Year]],2))</f>
        <v>A00247-23</v>
      </c>
      <c r="U51" s="284" t="str">
        <f>IF(DivAndTax[[#This Row],[Dividend Option]]="CIP","11",IF(DivAndTax[[#This Row],[Dividend Option]]="CASH","22"))</f>
        <v>11</v>
      </c>
      <c r="V51" s="285"/>
      <c r="XCX51"/>
    </row>
    <row r="52" spans="1:22 16326:16326">
      <c r="A52" s="188">
        <v>2024</v>
      </c>
      <c r="B52" s="188">
        <v>1</v>
      </c>
      <c r="C52" s="188">
        <v>1</v>
      </c>
      <c r="D52" s="189">
        <f t="shared" si="2"/>
        <v>45292</v>
      </c>
      <c r="E52" s="188">
        <v>2023</v>
      </c>
      <c r="F52" s="247">
        <v>45365</v>
      </c>
      <c r="G52" s="188" t="s">
        <v>353</v>
      </c>
      <c r="H52" s="190" t="str">
        <f>_xlfn.XLOOKUP(DivAndTax[[#This Row],[Investor ID]],INVESTORS_LIST[INVESTOR CODE],INVESTORS_LIST[INVESTOR NAME])</f>
        <v>ANJAN MALLIK</v>
      </c>
      <c r="I52" s="8" t="str">
        <f>_xlfn.XLOOKUP(DivAndTax[[#This Row],[Investor ID]],INVESTORS_LIST[INVESTOR CODE],INVESTORS_LIST[TYPE OF INVESTOR])</f>
        <v>Individual</v>
      </c>
      <c r="J52" s="290">
        <v>250000</v>
      </c>
      <c r="K52" s="283">
        <v>0.25</v>
      </c>
      <c r="L52" s="283">
        <f>DivAndTax[[#This Row],[Total Units]]*DivAndTax[[#This Row],[Dividend Per Unit]]</f>
        <v>62500</v>
      </c>
      <c r="M52" s="283">
        <f>DivAndTax[[#This Row],[Gross Dividend]]</f>
        <v>62500</v>
      </c>
      <c r="N52" s="193" cm="1">
        <f t="array" ref="N52">IF(DivAndTax[[#This Row],[MOD]]="YES",0,IF(DivAndTax[[#This Row],[Taxable Dividend]]=0,0,IF(AND(I52="INDIVIDUAL",COUNTBLANK(Q52)=1),15%,IF(AND(I52="Providend Fund",COUNTBLANK(Q52)=1),15%,IF(AND(I52="Gratuity Fund",COUNTBLANK(Q52)=1),15%,INDEX(Table9[Tax Rate],MATCH(I52,Table9[Type],0),))))))</f>
        <v>0.1</v>
      </c>
      <c r="O52" s="283">
        <f>ROUND(IF((DivAndTax[[#This Row],[Taxable Dividend]]*DivAndTax[[#This Row],[Tax Rate
(If Applicable)]])&gt;0,DivAndTax[[#This Row],[Taxable Dividend]]*DivAndTax[[#This Row],[Tax Rate
(If Applicable)]],0),2)</f>
        <v>6250</v>
      </c>
      <c r="P52" s="283">
        <f t="shared" si="3"/>
        <v>56250</v>
      </c>
      <c r="Q52" s="194" t="s">
        <v>1173</v>
      </c>
      <c r="R52" s="284" t="s">
        <v>1139</v>
      </c>
      <c r="S52" s="283"/>
      <c r="T52" s="283" t="str">
        <f>DivAndTax[[#This Row],[Investor ID]]&amp;"-"&amp;(RIGHT(DivAndTax[[#This Row],[Accounting Year]],2))</f>
        <v>A00248-23</v>
      </c>
      <c r="U52" s="284" t="str">
        <f>IF(DivAndTax[[#This Row],[Dividend Option]]="CIP","11",IF(DivAndTax[[#This Row],[Dividend Option]]="CASH","22"))</f>
        <v>11</v>
      </c>
      <c r="V52" s="285"/>
      <c r="XCX52"/>
    </row>
    <row r="53" spans="1:22 16326:16326">
      <c r="A53" s="188">
        <v>2024</v>
      </c>
      <c r="B53" s="188">
        <v>1</v>
      </c>
      <c r="C53" s="188">
        <v>1</v>
      </c>
      <c r="D53" s="189">
        <f t="shared" si="2"/>
        <v>45292</v>
      </c>
      <c r="E53" s="188">
        <v>2023</v>
      </c>
      <c r="F53" s="247">
        <v>45365</v>
      </c>
      <c r="G53" s="188" t="s">
        <v>357</v>
      </c>
      <c r="H53" s="190" t="str">
        <f>_xlfn.XLOOKUP(DivAndTax[[#This Row],[Investor ID]],INVESTORS_LIST[INVESTOR CODE],INVESTORS_LIST[INVESTOR NAME])</f>
        <v>MR. NAYAN KUMAR CHOWDHURY</v>
      </c>
      <c r="I53" s="8" t="str">
        <f>_xlfn.XLOOKUP(DivAndTax[[#This Row],[Investor ID]],INVESTORS_LIST[INVESTOR CODE],INVESTORS_LIST[TYPE OF INVESTOR])</f>
        <v>Individual</v>
      </c>
      <c r="J53" s="290">
        <v>10000</v>
      </c>
      <c r="K53" s="283">
        <v>0.25</v>
      </c>
      <c r="L53" s="283">
        <f>DivAndTax[[#This Row],[Total Units]]*DivAndTax[[#This Row],[Dividend Per Unit]]</f>
        <v>2500</v>
      </c>
      <c r="M53" s="283">
        <f>DivAndTax[[#This Row],[Gross Dividend]]</f>
        <v>2500</v>
      </c>
      <c r="N53" s="193" cm="1">
        <f t="array" ref="N53">IF(DivAndTax[[#This Row],[MOD]]="YES",0,IF(DivAndTax[[#This Row],[Taxable Dividend]]=0,0,IF(AND(I53="INDIVIDUAL",COUNTBLANK(Q53)=1),15%,IF(AND(I53="Providend Fund",COUNTBLANK(Q53)=1),15%,IF(AND(I53="Gratuity Fund",COUNTBLANK(Q53)=1),15%,INDEX(Table9[Tax Rate],MATCH(I53,Table9[Type],0),))))))</f>
        <v>0.15</v>
      </c>
      <c r="O53" s="283">
        <f>ROUND(IF((DivAndTax[[#This Row],[Taxable Dividend]]*DivAndTax[[#This Row],[Tax Rate
(If Applicable)]])&gt;0,DivAndTax[[#This Row],[Taxable Dividend]]*DivAndTax[[#This Row],[Tax Rate
(If Applicable)]],0),2)</f>
        <v>375</v>
      </c>
      <c r="P53" s="283">
        <f t="shared" si="3"/>
        <v>2125</v>
      </c>
      <c r="Q53" s="194" t="s">
        <v>1146</v>
      </c>
      <c r="R53" s="284" t="s">
        <v>1141</v>
      </c>
      <c r="S53" s="283"/>
      <c r="T53" s="283" t="str">
        <f>DivAndTax[[#This Row],[Investor ID]]&amp;"-"&amp;(RIGHT(DivAndTax[[#This Row],[Accounting Year]],2))</f>
        <v>A00250-23</v>
      </c>
      <c r="U53" s="284" t="str">
        <f>IF(DivAndTax[[#This Row],[Dividend Option]]="CIP","11",IF(DivAndTax[[#This Row],[Dividend Option]]="CASH","22"))</f>
        <v>22</v>
      </c>
      <c r="V53" s="285"/>
      <c r="XCX53"/>
    </row>
    <row r="54" spans="1:22 16326:16326">
      <c r="A54" s="188">
        <v>2024</v>
      </c>
      <c r="B54" s="188">
        <v>1</v>
      </c>
      <c r="C54" s="188">
        <v>1</v>
      </c>
      <c r="D54" s="189">
        <f t="shared" si="2"/>
        <v>45292</v>
      </c>
      <c r="E54" s="188">
        <v>2023</v>
      </c>
      <c r="F54" s="247">
        <v>45365</v>
      </c>
      <c r="G54" s="188" t="s">
        <v>358</v>
      </c>
      <c r="H54" s="190" t="str">
        <f>_xlfn.XLOOKUP(DivAndTax[[#This Row],[Investor ID]],INVESTORS_LIST[INVESTOR CODE],INVESTORS_LIST[INVESTOR NAME])</f>
        <v>MD. WALIULLAH. SWADESH RANJAN SAHA &amp; MD. MIZZNUR RAHMAN</v>
      </c>
      <c r="I54" s="8" t="str">
        <f>_xlfn.XLOOKUP(DivAndTax[[#This Row],[Investor ID]],INVESTORS_LIST[INVESTOR CODE],INVESTORS_LIST[TYPE OF INVESTOR])</f>
        <v>Individual</v>
      </c>
      <c r="J54" s="290">
        <v>17000</v>
      </c>
      <c r="K54" s="283">
        <v>0.25</v>
      </c>
      <c r="L54" s="283">
        <f>DivAndTax[[#This Row],[Total Units]]*DivAndTax[[#This Row],[Dividend Per Unit]]</f>
        <v>4250</v>
      </c>
      <c r="M54" s="283">
        <f>DivAndTax[[#This Row],[Gross Dividend]]</f>
        <v>4250</v>
      </c>
      <c r="N54" s="193"/>
      <c r="O54" s="283">
        <f>ROUND(IF((DivAndTax[[#This Row],[Taxable Dividend]]*DivAndTax[[#This Row],[Tax Rate
(If Applicable)]])&gt;0,DivAndTax[[#This Row],[Taxable Dividend]]*DivAndTax[[#This Row],[Tax Rate
(If Applicable)]],0),2)</f>
        <v>0</v>
      </c>
      <c r="P54" s="283">
        <f t="shared" si="3"/>
        <v>4250</v>
      </c>
      <c r="Q54" s="194" t="s">
        <v>1146</v>
      </c>
      <c r="R54" s="284" t="s">
        <v>1139</v>
      </c>
      <c r="S54" s="283"/>
      <c r="T54" s="283" t="str">
        <f>DivAndTax[[#This Row],[Investor ID]]&amp;"-"&amp;(RIGHT(DivAndTax[[#This Row],[Accounting Year]],2))</f>
        <v>A00251-23</v>
      </c>
      <c r="U54" s="284" t="str">
        <f>IF(DivAndTax[[#This Row],[Dividend Option]]="CIP","11",IF(DivAndTax[[#This Row],[Dividend Option]]="CASH","22"))</f>
        <v>11</v>
      </c>
      <c r="V54" s="285" t="s">
        <v>1205</v>
      </c>
      <c r="XCX54"/>
    </row>
    <row r="55" spans="1:22 16326:16326">
      <c r="A55" s="188">
        <v>2024</v>
      </c>
      <c r="B55" s="188">
        <v>1</v>
      </c>
      <c r="C55" s="188">
        <v>1</v>
      </c>
      <c r="D55" s="189">
        <f t="shared" si="2"/>
        <v>45292</v>
      </c>
      <c r="E55" s="188">
        <v>2023</v>
      </c>
      <c r="F55" s="247">
        <v>45365</v>
      </c>
      <c r="G55" s="188" t="s">
        <v>381</v>
      </c>
      <c r="H55" s="190" t="str">
        <f>_xlfn.XLOOKUP(DivAndTax[[#This Row],[Investor ID]],INVESTORS_LIST[INVESTOR CODE],INVESTORS_LIST[INVESTOR NAME])</f>
        <v>MASTURA MUNIAT</v>
      </c>
      <c r="I55" s="8" t="str">
        <f>_xlfn.XLOOKUP(DivAndTax[[#This Row],[Investor ID]],INVESTORS_LIST[INVESTOR CODE],INVESTORS_LIST[TYPE OF INVESTOR])</f>
        <v>Individual</v>
      </c>
      <c r="J55" s="290">
        <v>19522</v>
      </c>
      <c r="K55" s="283">
        <v>0.25</v>
      </c>
      <c r="L55" s="283">
        <f>DivAndTax[[#This Row],[Total Units]]*DivAndTax[[#This Row],[Dividend Per Unit]]</f>
        <v>4880.5</v>
      </c>
      <c r="M55" s="283">
        <f>DivAndTax[[#This Row],[Gross Dividend]]</f>
        <v>4880.5</v>
      </c>
      <c r="N55" s="193">
        <v>0.1</v>
      </c>
      <c r="O55" s="283">
        <f>ROUND(IF((DivAndTax[[#This Row],[Taxable Dividend]]*DivAndTax[[#This Row],[Tax Rate
(If Applicable)]])&gt;0,DivAndTax[[#This Row],[Taxable Dividend]]*DivAndTax[[#This Row],[Tax Rate
(If Applicable)]],0),2)</f>
        <v>488.05</v>
      </c>
      <c r="P55" s="283">
        <f t="shared" si="3"/>
        <v>4392.45</v>
      </c>
      <c r="Q55" s="194" t="s">
        <v>1174</v>
      </c>
      <c r="R55" s="284" t="s">
        <v>1139</v>
      </c>
      <c r="S55" s="283"/>
      <c r="T55" s="283" t="str">
        <f>DivAndTax[[#This Row],[Investor ID]]&amp;"-"&amp;(RIGHT(DivAndTax[[#This Row],[Accounting Year]],2))</f>
        <v>A00262-23</v>
      </c>
      <c r="U55" s="284" t="str">
        <f>IF(DivAndTax[[#This Row],[Dividend Option]]="CIP","11",IF(DivAndTax[[#This Row],[Dividend Option]]="CASH","22"))</f>
        <v>11</v>
      </c>
      <c r="V55" s="285"/>
      <c r="XCX55"/>
    </row>
    <row r="56" spans="1:22 16326:16326">
      <c r="A56" s="188">
        <v>2024</v>
      </c>
      <c r="B56" s="188">
        <v>1</v>
      </c>
      <c r="C56" s="188">
        <v>1</v>
      </c>
      <c r="D56" s="189">
        <f t="shared" si="2"/>
        <v>45292</v>
      </c>
      <c r="E56" s="188">
        <v>2023</v>
      </c>
      <c r="F56" s="247">
        <v>45365</v>
      </c>
      <c r="G56" s="188" t="s">
        <v>383</v>
      </c>
      <c r="H56" s="190" t="str">
        <f>_xlfn.XLOOKUP(DivAndTax[[#This Row],[Investor ID]],INVESTORS_LIST[INVESTOR CODE],INVESTORS_LIST[INVESTOR NAME])</f>
        <v>JOY SHREE SAHA</v>
      </c>
      <c r="I56" s="8" t="str">
        <f>_xlfn.XLOOKUP(DivAndTax[[#This Row],[Investor ID]],INVESTORS_LIST[INVESTOR CODE],INVESTORS_LIST[TYPE OF INVESTOR])</f>
        <v>Individual</v>
      </c>
      <c r="J56" s="290">
        <v>222200</v>
      </c>
      <c r="K56" s="283">
        <v>0.25</v>
      </c>
      <c r="L56" s="283">
        <f>DivAndTax[[#This Row],[Total Units]]*DivAndTax[[#This Row],[Dividend Per Unit]]</f>
        <v>55550</v>
      </c>
      <c r="M56" s="283">
        <f>DivAndTax[[#This Row],[Gross Dividend]]</f>
        <v>55550</v>
      </c>
      <c r="N56" s="193">
        <v>0.1</v>
      </c>
      <c r="O56" s="283">
        <f>ROUND(IF((DivAndTax[[#This Row],[Taxable Dividend]]*DivAndTax[[#This Row],[Tax Rate
(If Applicable)]])&gt;0,DivAndTax[[#This Row],[Taxable Dividend]]*DivAndTax[[#This Row],[Tax Rate
(If Applicable)]],0),2)</f>
        <v>5555</v>
      </c>
      <c r="P56" s="283">
        <f t="shared" si="3"/>
        <v>49995</v>
      </c>
      <c r="Q56" s="211" t="s">
        <v>1207</v>
      </c>
      <c r="R56" s="284" t="s">
        <v>1141</v>
      </c>
      <c r="S56" s="283"/>
      <c r="T56" s="283" t="str">
        <f>DivAndTax[[#This Row],[Investor ID]]&amp;"-"&amp;(RIGHT(DivAndTax[[#This Row],[Accounting Year]],2))</f>
        <v>A00263-23</v>
      </c>
      <c r="U56" s="284" t="str">
        <f>IF(DivAndTax[[#This Row],[Dividend Option]]="CIP","11",IF(DivAndTax[[#This Row],[Dividend Option]]="CASH","22"))</f>
        <v>22</v>
      </c>
      <c r="V56" s="285" t="s">
        <v>1205</v>
      </c>
      <c r="XCX56"/>
    </row>
    <row r="57" spans="1:22 16326:16326">
      <c r="A57" s="188">
        <v>2024</v>
      </c>
      <c r="B57" s="188">
        <v>1</v>
      </c>
      <c r="C57" s="188">
        <v>1</v>
      </c>
      <c r="D57" s="189">
        <f t="shared" si="2"/>
        <v>45292</v>
      </c>
      <c r="E57" s="188">
        <v>2023</v>
      </c>
      <c r="F57" s="247">
        <v>45365</v>
      </c>
      <c r="G57" s="188" t="s">
        <v>579</v>
      </c>
      <c r="H57" s="190" t="str">
        <f>_xlfn.XLOOKUP(DivAndTax[[#This Row],[Investor ID]],INVESTORS_LIST[INVESTOR CODE],INVESTORS_LIST[INVESTOR NAME])</f>
        <v>THE GSP FINANCE COMPANY (BANGLADESH) LIMITED EMPLOYEES PROVIDENT FUND</v>
      </c>
      <c r="I57" s="8" t="str">
        <f>_xlfn.XLOOKUP(DivAndTax[[#This Row],[Investor ID]],INVESTORS_LIST[INVESTOR CODE],INVESTORS_LIST[TYPE OF INVESTOR])</f>
        <v>Individual</v>
      </c>
      <c r="J57" s="290">
        <v>300000</v>
      </c>
      <c r="K57" s="283">
        <v>0.25</v>
      </c>
      <c r="L57" s="283">
        <f>DivAndTax[[#This Row],[Total Units]]*DivAndTax[[#This Row],[Dividend Per Unit]]</f>
        <v>75000</v>
      </c>
      <c r="M57" s="283">
        <f>DivAndTax[[#This Row],[Gross Dividend]]</f>
        <v>75000</v>
      </c>
      <c r="N57" s="193">
        <v>0.15</v>
      </c>
      <c r="O57" s="283">
        <f>ROUND(IF((DivAndTax[[#This Row],[Taxable Dividend]]*DivAndTax[[#This Row],[Tax Rate
(If Applicable)]])&gt;0,DivAndTax[[#This Row],[Taxable Dividend]]*DivAndTax[[#This Row],[Tax Rate
(If Applicable)]],0),2)</f>
        <v>11250</v>
      </c>
      <c r="P57" s="283">
        <f t="shared" si="3"/>
        <v>63750</v>
      </c>
      <c r="Q57" s="194" t="s">
        <v>1146</v>
      </c>
      <c r="R57" s="284" t="s">
        <v>1141</v>
      </c>
      <c r="S57" s="283"/>
      <c r="T57" s="283" t="str">
        <f>DivAndTax[[#This Row],[Investor ID]]&amp;"-"&amp;(RIGHT(DivAndTax[[#This Row],[Accounting Year]],2))</f>
        <v>A00326-23</v>
      </c>
      <c r="U57" s="284" t="str">
        <f>IF(DivAndTax[[#This Row],[Dividend Option]]="CIP","11",IF(DivAndTax[[#This Row],[Dividend Option]]="CASH","22"))</f>
        <v>22</v>
      </c>
      <c r="V57" s="285"/>
      <c r="XCX57"/>
    </row>
    <row r="58" spans="1:22 16326:16326">
      <c r="A58" s="188">
        <v>2024</v>
      </c>
      <c r="B58" s="188">
        <v>1</v>
      </c>
      <c r="C58" s="188">
        <v>1</v>
      </c>
      <c r="D58" s="189">
        <f t="shared" si="2"/>
        <v>45292</v>
      </c>
      <c r="E58" s="188">
        <v>2023</v>
      </c>
      <c r="F58" s="247">
        <v>45365</v>
      </c>
      <c r="G58" s="188" t="s">
        <v>581</v>
      </c>
      <c r="H58" s="190" t="str">
        <f>_xlfn.XLOOKUP(DivAndTax[[#This Row],[Investor ID]],INVESTORS_LIST[INVESTOR CODE],INVESTORS_LIST[INVESTOR NAME])</f>
        <v>SAILENDRA SAHA</v>
      </c>
      <c r="I58" s="8" t="str">
        <f>_xlfn.XLOOKUP(DivAndTax[[#This Row],[Investor ID]],INVESTORS_LIST[INVESTOR CODE],INVESTORS_LIST[TYPE OF INVESTOR])</f>
        <v>Individual</v>
      </c>
      <c r="J58" s="290">
        <v>40000</v>
      </c>
      <c r="K58" s="283">
        <v>0.25</v>
      </c>
      <c r="L58" s="283">
        <f>DivAndTax[[#This Row],[Total Units]]*DivAndTax[[#This Row],[Dividend Per Unit]]</f>
        <v>10000</v>
      </c>
      <c r="M58" s="283">
        <f>DivAndTax[[#This Row],[Gross Dividend]]</f>
        <v>10000</v>
      </c>
      <c r="N58" s="193">
        <v>0.1</v>
      </c>
      <c r="O58" s="283">
        <f>ROUND(IF((DivAndTax[[#This Row],[Taxable Dividend]]*DivAndTax[[#This Row],[Tax Rate
(If Applicable)]])&gt;0,DivAndTax[[#This Row],[Taxable Dividend]]*DivAndTax[[#This Row],[Tax Rate
(If Applicable)]],0),2)</f>
        <v>1000</v>
      </c>
      <c r="P58" s="283">
        <f t="shared" si="3"/>
        <v>9000</v>
      </c>
      <c r="Q58" s="194" t="s">
        <v>1175</v>
      </c>
      <c r="R58" s="284" t="s">
        <v>1139</v>
      </c>
      <c r="S58" s="283"/>
      <c r="T58" s="283" t="str">
        <f>DivAndTax[[#This Row],[Investor ID]]&amp;"-"&amp;(RIGHT(DivAndTax[[#This Row],[Accounting Year]],2))</f>
        <v>A00328-23</v>
      </c>
      <c r="U58" s="284" t="str">
        <f>IF(DivAndTax[[#This Row],[Dividend Option]]="CIP","11",IF(DivAndTax[[#This Row],[Dividend Option]]="CASH","22"))</f>
        <v>11</v>
      </c>
      <c r="V58" s="285"/>
      <c r="XCX58"/>
    </row>
    <row r="59" spans="1:22 16326:16326">
      <c r="A59" s="188">
        <v>2024</v>
      </c>
      <c r="B59" s="188">
        <v>1</v>
      </c>
      <c r="C59" s="188">
        <v>1</v>
      </c>
      <c r="D59" s="189">
        <f t="shared" si="2"/>
        <v>45292</v>
      </c>
      <c r="E59" s="188">
        <v>2023</v>
      </c>
      <c r="F59" s="247">
        <v>45365</v>
      </c>
      <c r="G59" s="188" t="s">
        <v>593</v>
      </c>
      <c r="H59" s="190" t="str">
        <f>_xlfn.XLOOKUP(DivAndTax[[#This Row],[Investor ID]],INVESTORS_LIST[INVESTOR CODE],INVESTORS_LIST[INVESTOR NAME])</f>
        <v>MD. GOLAM MORTAZA</v>
      </c>
      <c r="I59" s="8" t="str">
        <f>_xlfn.XLOOKUP(DivAndTax[[#This Row],[Investor ID]],INVESTORS_LIST[INVESTOR CODE],INVESTORS_LIST[TYPE OF INVESTOR])</f>
        <v>Individual</v>
      </c>
      <c r="J59" s="290">
        <v>50000</v>
      </c>
      <c r="K59" s="283">
        <v>0.25</v>
      </c>
      <c r="L59" s="283">
        <f>DivAndTax[[#This Row],[Total Units]]*DivAndTax[[#This Row],[Dividend Per Unit]]</f>
        <v>12500</v>
      </c>
      <c r="M59" s="283">
        <f>DivAndTax[[#This Row],[Gross Dividend]]</f>
        <v>12500</v>
      </c>
      <c r="N59" s="193">
        <v>0.1</v>
      </c>
      <c r="O59" s="283">
        <f>ROUND(IF((DivAndTax[[#This Row],[Taxable Dividend]]*DivAndTax[[#This Row],[Tax Rate
(If Applicable)]])&gt;0,DivAndTax[[#This Row],[Taxable Dividend]]*DivAndTax[[#This Row],[Tax Rate
(If Applicable)]],0),2)</f>
        <v>1250</v>
      </c>
      <c r="P59" s="283">
        <f t="shared" si="3"/>
        <v>11250</v>
      </c>
      <c r="Q59" s="194" t="s">
        <v>1176</v>
      </c>
      <c r="R59" s="284" t="s">
        <v>1141</v>
      </c>
      <c r="S59" s="283"/>
      <c r="T59" s="283" t="str">
        <f>DivAndTax[[#This Row],[Investor ID]]&amp;"-"&amp;(RIGHT(DivAndTax[[#This Row],[Accounting Year]],2))</f>
        <v>A00333-23</v>
      </c>
      <c r="U59" s="284" t="str">
        <f>IF(DivAndTax[[#This Row],[Dividend Option]]="CIP","11",IF(DivAndTax[[#This Row],[Dividend Option]]="CASH","22"))</f>
        <v>22</v>
      </c>
      <c r="V59" s="285"/>
      <c r="XCX59"/>
    </row>
    <row r="60" spans="1:22 16326:16326">
      <c r="A60" s="188">
        <v>2024</v>
      </c>
      <c r="B60" s="188">
        <v>1</v>
      </c>
      <c r="C60" s="188">
        <v>1</v>
      </c>
      <c r="D60" s="189">
        <f t="shared" si="2"/>
        <v>45292</v>
      </c>
      <c r="E60" s="188">
        <v>2023</v>
      </c>
      <c r="F60" s="247">
        <v>45365</v>
      </c>
      <c r="G60" s="188" t="s">
        <v>595</v>
      </c>
      <c r="H60" s="190" t="str">
        <f>_xlfn.XLOOKUP(DivAndTax[[#This Row],[Investor ID]],INVESTORS_LIST[INVESTOR CODE],INVESTORS_LIST[INVESTOR NAME])</f>
        <v>SUSMITA DHAR</v>
      </c>
      <c r="I60" s="8" t="str">
        <f>_xlfn.XLOOKUP(DivAndTax[[#This Row],[Investor ID]],INVESTORS_LIST[INVESTOR CODE],INVESTORS_LIST[TYPE OF INVESTOR])</f>
        <v>Individual</v>
      </c>
      <c r="J60" s="290">
        <v>5000</v>
      </c>
      <c r="K60" s="283">
        <v>0.25</v>
      </c>
      <c r="L60" s="283">
        <f>DivAndTax[[#This Row],[Total Units]]*DivAndTax[[#This Row],[Dividend Per Unit]]</f>
        <v>1250</v>
      </c>
      <c r="M60" s="283">
        <f>DivAndTax[[#This Row],[Gross Dividend]]</f>
        <v>1250</v>
      </c>
      <c r="N60" s="193">
        <v>0.15</v>
      </c>
      <c r="O60" s="283">
        <f>ROUND(IF((DivAndTax[[#This Row],[Taxable Dividend]]*DivAndTax[[#This Row],[Tax Rate
(If Applicable)]])&gt;0,DivAndTax[[#This Row],[Taxable Dividend]]*DivAndTax[[#This Row],[Tax Rate
(If Applicable)]],0),2)</f>
        <v>187.5</v>
      </c>
      <c r="P60" s="283">
        <f t="shared" si="3"/>
        <v>1062.5</v>
      </c>
      <c r="Q60" s="194" t="s">
        <v>1146</v>
      </c>
      <c r="R60" s="284" t="s">
        <v>1139</v>
      </c>
      <c r="S60" s="283"/>
      <c r="T60" s="283" t="str">
        <f>DivAndTax[[#This Row],[Investor ID]]&amp;"-"&amp;(RIGHT(DivAndTax[[#This Row],[Accounting Year]],2))</f>
        <v>A00334-23</v>
      </c>
      <c r="U60" s="284" t="str">
        <f>IF(DivAndTax[[#This Row],[Dividend Option]]="CIP","11",IF(DivAndTax[[#This Row],[Dividend Option]]="CASH","22"))</f>
        <v>11</v>
      </c>
      <c r="V60" s="285"/>
      <c r="XCX60"/>
    </row>
    <row r="61" spans="1:22 16326:16326">
      <c r="A61" s="188">
        <v>2024</v>
      </c>
      <c r="B61" s="188">
        <v>1</v>
      </c>
      <c r="C61" s="188">
        <v>1</v>
      </c>
      <c r="D61" s="189">
        <f t="shared" si="2"/>
        <v>45292</v>
      </c>
      <c r="E61" s="188">
        <v>2023</v>
      </c>
      <c r="F61" s="247">
        <v>45365</v>
      </c>
      <c r="G61" s="188" t="s">
        <v>597</v>
      </c>
      <c r="H61" s="190" t="str">
        <f>_xlfn.XLOOKUP(DivAndTax[[#This Row],[Investor ID]],INVESTORS_LIST[INVESTOR CODE],INVESTORS_LIST[INVESTOR NAME])</f>
        <v>SHAHED UDDIN MOHAMMED PARVEZ</v>
      </c>
      <c r="I61" s="8" t="str">
        <f>_xlfn.XLOOKUP(DivAndTax[[#This Row],[Investor ID]],INVESTORS_LIST[INVESTOR CODE],INVESTORS_LIST[TYPE OF INVESTOR])</f>
        <v>Individual</v>
      </c>
      <c r="J61" s="290">
        <v>100000</v>
      </c>
      <c r="K61" s="283">
        <v>0.25</v>
      </c>
      <c r="L61" s="283">
        <f>DivAndTax[[#This Row],[Total Units]]*DivAndTax[[#This Row],[Dividend Per Unit]]</f>
        <v>25000</v>
      </c>
      <c r="M61" s="283">
        <f>DivAndTax[[#This Row],[Gross Dividend]]</f>
        <v>25000</v>
      </c>
      <c r="N61" s="193">
        <v>0.1</v>
      </c>
      <c r="O61" s="283">
        <f>ROUND(IF((DivAndTax[[#This Row],[Taxable Dividend]]*DivAndTax[[#This Row],[Tax Rate
(If Applicable)]])&gt;0,DivAndTax[[#This Row],[Taxable Dividend]]*DivAndTax[[#This Row],[Tax Rate
(If Applicable)]],0),2)</f>
        <v>2500</v>
      </c>
      <c r="P61" s="283">
        <f t="shared" si="3"/>
        <v>22500</v>
      </c>
      <c r="Q61" s="194" t="s">
        <v>1177</v>
      </c>
      <c r="R61" s="284" t="s">
        <v>1141</v>
      </c>
      <c r="S61" s="283"/>
      <c r="T61" s="283" t="str">
        <f>DivAndTax[[#This Row],[Investor ID]]&amp;"-"&amp;(RIGHT(DivAndTax[[#This Row],[Accounting Year]],2))</f>
        <v>A00335-23</v>
      </c>
      <c r="U61" s="284" t="str">
        <f>IF(DivAndTax[[#This Row],[Dividend Option]]="CIP","11",IF(DivAndTax[[#This Row],[Dividend Option]]="CASH","22"))</f>
        <v>22</v>
      </c>
      <c r="V61" s="285"/>
      <c r="XCX61"/>
    </row>
    <row r="62" spans="1:22 16326:16326">
      <c r="A62" s="188">
        <v>2024</v>
      </c>
      <c r="B62" s="188">
        <v>1</v>
      </c>
      <c r="C62" s="188">
        <v>1</v>
      </c>
      <c r="D62" s="189">
        <f t="shared" si="2"/>
        <v>45292</v>
      </c>
      <c r="E62" s="188">
        <v>2023</v>
      </c>
      <c r="F62" s="247">
        <v>45365</v>
      </c>
      <c r="G62" s="188" t="s">
        <v>598</v>
      </c>
      <c r="H62" s="190" t="str">
        <f>_xlfn.XLOOKUP(DivAndTax[[#This Row],[Investor ID]],INVESTORS_LIST[INVESTOR CODE],INVESTORS_LIST[INVESTOR NAME])</f>
        <v>BIPLAB SAHA</v>
      </c>
      <c r="I62" s="8" t="str">
        <f>_xlfn.XLOOKUP(DivAndTax[[#This Row],[Investor ID]],INVESTORS_LIST[INVESTOR CODE],INVESTORS_LIST[TYPE OF INVESTOR])</f>
        <v>Individual</v>
      </c>
      <c r="J62" s="290">
        <v>120000</v>
      </c>
      <c r="K62" s="283">
        <v>0.25</v>
      </c>
      <c r="L62" s="283">
        <f>DivAndTax[[#This Row],[Total Units]]*DivAndTax[[#This Row],[Dividend Per Unit]]</f>
        <v>30000</v>
      </c>
      <c r="M62" s="283">
        <f>DivAndTax[[#This Row],[Gross Dividend]]</f>
        <v>30000</v>
      </c>
      <c r="N62" s="193">
        <v>0.15</v>
      </c>
      <c r="O62" s="283">
        <f>ROUND(IF((DivAndTax[[#This Row],[Taxable Dividend]]*DivAndTax[[#This Row],[Tax Rate
(If Applicable)]])&gt;0,DivAndTax[[#This Row],[Taxable Dividend]]*DivAndTax[[#This Row],[Tax Rate
(If Applicable)]],0),2)</f>
        <v>4500</v>
      </c>
      <c r="P62" s="283">
        <f t="shared" si="3"/>
        <v>25500</v>
      </c>
      <c r="Q62" s="194" t="s">
        <v>1146</v>
      </c>
      <c r="R62" s="284" t="s">
        <v>1139</v>
      </c>
      <c r="S62" s="283"/>
      <c r="T62" s="283" t="str">
        <f>DivAndTax[[#This Row],[Investor ID]]&amp;"-"&amp;(RIGHT(DivAndTax[[#This Row],[Accounting Year]],2))</f>
        <v>A00336-23</v>
      </c>
      <c r="U62" s="284" t="str">
        <f>IF(DivAndTax[[#This Row],[Dividend Option]]="CIP","11",IF(DivAndTax[[#This Row],[Dividend Option]]="CASH","22"))</f>
        <v>11</v>
      </c>
      <c r="V62" s="285"/>
      <c r="XCX62"/>
    </row>
    <row r="63" spans="1:22 16326:16326">
      <c r="A63" s="188">
        <v>2024</v>
      </c>
      <c r="B63" s="188">
        <v>1</v>
      </c>
      <c r="C63" s="188">
        <v>1</v>
      </c>
      <c r="D63" s="189">
        <f t="shared" si="2"/>
        <v>45292</v>
      </c>
      <c r="E63" s="188">
        <v>2023</v>
      </c>
      <c r="F63" s="247">
        <v>45365</v>
      </c>
      <c r="G63" s="188" t="s">
        <v>639</v>
      </c>
      <c r="H63" s="190" t="str">
        <f>_xlfn.XLOOKUP(DivAndTax[[#This Row],[Investor ID]],INVESTORS_LIST[INVESTOR CODE],INVESTORS_LIST[INVESTOR NAME])</f>
        <v>NEXXEN EQUITY MANAGEMENT LIMITED</v>
      </c>
      <c r="I63" s="8" t="str">
        <f>_xlfn.XLOOKUP(DivAndTax[[#This Row],[Investor ID]],INVESTORS_LIST[INVESTOR CODE],INVESTORS_LIST[TYPE OF INVESTOR])</f>
        <v>Company/Organization</v>
      </c>
      <c r="J63" s="290">
        <v>200000</v>
      </c>
      <c r="K63" s="283">
        <v>0.25</v>
      </c>
      <c r="L63" s="283">
        <f>DivAndTax[[#This Row],[Total Units]]*DivAndTax[[#This Row],[Dividend Per Unit]]</f>
        <v>50000</v>
      </c>
      <c r="M63" s="283">
        <f>DivAndTax[[#This Row],[Gross Dividend]]</f>
        <v>50000</v>
      </c>
      <c r="N63" s="193">
        <v>0.2</v>
      </c>
      <c r="O63" s="283">
        <f>ROUND(IF((DivAndTax[[#This Row],[Taxable Dividend]]*DivAndTax[[#This Row],[Tax Rate
(If Applicable)]])&gt;0,DivAndTax[[#This Row],[Taxable Dividend]]*DivAndTax[[#This Row],[Tax Rate
(If Applicable)]],0),2)</f>
        <v>10000</v>
      </c>
      <c r="P63" s="283">
        <f t="shared" si="3"/>
        <v>40000</v>
      </c>
      <c r="Q63" s="194" t="s">
        <v>1178</v>
      </c>
      <c r="R63" s="284" t="s">
        <v>1141</v>
      </c>
      <c r="S63" s="283"/>
      <c r="T63" s="283" t="str">
        <f>DivAndTax[[#This Row],[Investor ID]]&amp;"-"&amp;(RIGHT(DivAndTax[[#This Row],[Accounting Year]],2))</f>
        <v>A00346-23</v>
      </c>
      <c r="U63" s="284" t="str">
        <f>IF(DivAndTax[[#This Row],[Dividend Option]]="CIP","11",IF(DivAndTax[[#This Row],[Dividend Option]]="CASH","22"))</f>
        <v>22</v>
      </c>
      <c r="V63" s="285"/>
      <c r="XCX63"/>
    </row>
    <row r="64" spans="1:22 16326:16326">
      <c r="A64" s="188">
        <v>2024</v>
      </c>
      <c r="B64" s="188">
        <v>1</v>
      </c>
      <c r="C64" s="188">
        <v>1</v>
      </c>
      <c r="D64" s="189">
        <f t="shared" si="2"/>
        <v>45292</v>
      </c>
      <c r="E64" s="188">
        <v>2023</v>
      </c>
      <c r="F64" s="247">
        <v>45365</v>
      </c>
      <c r="G64" s="188" t="s">
        <v>641</v>
      </c>
      <c r="H64" s="190" t="str">
        <f>_xlfn.XLOOKUP(DivAndTax[[#This Row],[Investor ID]],INVESTORS_LIST[INVESTOR CODE],INVESTORS_LIST[INVESTOR NAME])</f>
        <v>EVEREST PHARMACEUTICALS LTD. EMPLOYEES CONTRIBUTORY PROVIDENT FUND</v>
      </c>
      <c r="I64" s="8" t="str">
        <f>_xlfn.XLOOKUP(DivAndTax[[#This Row],[Investor ID]],INVESTORS_LIST[INVESTOR CODE],INVESTORS_LIST[TYPE OF INVESTOR])</f>
        <v>Providend Fund</v>
      </c>
      <c r="J64" s="290">
        <v>100000</v>
      </c>
      <c r="K64" s="283">
        <v>0.25</v>
      </c>
      <c r="L64" s="283">
        <f>DivAndTax[[#This Row],[Total Units]]*DivAndTax[[#This Row],[Dividend Per Unit]]</f>
        <v>25000</v>
      </c>
      <c r="M64" s="283">
        <f>DivAndTax[[#This Row],[Gross Dividend]]</f>
        <v>25000</v>
      </c>
      <c r="N64" s="193">
        <v>0.1</v>
      </c>
      <c r="O64" s="283">
        <f>ROUND(IF((DivAndTax[[#This Row],[Taxable Dividend]]*DivAndTax[[#This Row],[Tax Rate
(If Applicable)]])&gt;0,DivAndTax[[#This Row],[Taxable Dividend]]*DivAndTax[[#This Row],[Tax Rate
(If Applicable)]],0),2)</f>
        <v>2500</v>
      </c>
      <c r="P64" s="283">
        <f t="shared" si="3"/>
        <v>22500</v>
      </c>
      <c r="Q64" s="194" t="s">
        <v>1179</v>
      </c>
      <c r="R64" s="284" t="s">
        <v>1141</v>
      </c>
      <c r="S64" s="283"/>
      <c r="T64" s="283" t="str">
        <f>DivAndTax[[#This Row],[Investor ID]]&amp;"-"&amp;(RIGHT(DivAndTax[[#This Row],[Accounting Year]],2))</f>
        <v>A00347-23</v>
      </c>
      <c r="U64" s="284" t="str">
        <f>IF(DivAndTax[[#This Row],[Dividend Option]]="CIP","11",IF(DivAndTax[[#This Row],[Dividend Option]]="CASH","22"))</f>
        <v>22</v>
      </c>
      <c r="V64" s="285"/>
      <c r="XCX64"/>
    </row>
    <row r="65" spans="1:22 16326:16326">
      <c r="A65" s="188">
        <v>2024</v>
      </c>
      <c r="B65" s="188">
        <v>1</v>
      </c>
      <c r="C65" s="188">
        <v>1</v>
      </c>
      <c r="D65" s="189">
        <f t="shared" si="2"/>
        <v>45292</v>
      </c>
      <c r="E65" s="188">
        <v>2023</v>
      </c>
      <c r="F65" s="247">
        <v>45365</v>
      </c>
      <c r="G65" s="188" t="s">
        <v>643</v>
      </c>
      <c r="H65" s="190" t="str">
        <f>_xlfn.XLOOKUP(DivAndTax[[#This Row],[Investor ID]],INVESTORS_LIST[INVESTOR CODE],INVESTORS_LIST[INVESTOR NAME])</f>
        <v>A.K.M. ANWARUL HOQ</v>
      </c>
      <c r="I65" s="8" t="str">
        <f>_xlfn.XLOOKUP(DivAndTax[[#This Row],[Investor ID]],INVESTORS_LIST[INVESTOR CODE],INVESTORS_LIST[TYPE OF INVESTOR])</f>
        <v>Individual</v>
      </c>
      <c r="J65" s="290">
        <v>100000</v>
      </c>
      <c r="K65" s="283">
        <v>0.25</v>
      </c>
      <c r="L65" s="283">
        <f>DivAndTax[[#This Row],[Total Units]]*DivAndTax[[#This Row],[Dividend Per Unit]]</f>
        <v>25000</v>
      </c>
      <c r="M65" s="283">
        <f>DivAndTax[[#This Row],[Gross Dividend]]</f>
        <v>25000</v>
      </c>
      <c r="N65" s="193">
        <v>0.1</v>
      </c>
      <c r="O65" s="283">
        <f>ROUND(IF((DivAndTax[[#This Row],[Taxable Dividend]]*DivAndTax[[#This Row],[Tax Rate
(If Applicable)]])&gt;0,DivAndTax[[#This Row],[Taxable Dividend]]*DivAndTax[[#This Row],[Tax Rate
(If Applicable)]],0),2)</f>
        <v>2500</v>
      </c>
      <c r="P65" s="283">
        <f t="shared" si="3"/>
        <v>22500</v>
      </c>
      <c r="Q65" s="194" t="s">
        <v>1180</v>
      </c>
      <c r="R65" s="284" t="s">
        <v>1141</v>
      </c>
      <c r="S65" s="283"/>
      <c r="T65" s="283" t="str">
        <f>DivAndTax[[#This Row],[Investor ID]]&amp;"-"&amp;(RIGHT(DivAndTax[[#This Row],[Accounting Year]],2))</f>
        <v>A00348-23</v>
      </c>
      <c r="U65" s="284" t="str">
        <f>IF(DivAndTax[[#This Row],[Dividend Option]]="CIP","11",IF(DivAndTax[[#This Row],[Dividend Option]]="CASH","22"))</f>
        <v>22</v>
      </c>
      <c r="V65" s="285"/>
      <c r="XCX65"/>
    </row>
    <row r="66" spans="1:22 16326:16326">
      <c r="A66" s="188">
        <v>2024</v>
      </c>
      <c r="B66" s="188">
        <v>1</v>
      </c>
      <c r="C66" s="188">
        <v>1</v>
      </c>
      <c r="D66" s="189">
        <f t="shared" ref="D66:D96" si="4">IFERROR(DATE(A66,B66,C66)," ")</f>
        <v>45292</v>
      </c>
      <c r="E66" s="188">
        <v>2023</v>
      </c>
      <c r="F66" s="247">
        <v>45365</v>
      </c>
      <c r="G66" s="188" t="s">
        <v>645</v>
      </c>
      <c r="H66" s="190" t="str">
        <f>_xlfn.XLOOKUP(DivAndTax[[#This Row],[Investor ID]],INVESTORS_LIST[INVESTOR CODE],INVESTORS_LIST[INVESTOR NAME])</f>
        <v>MOHAMMAD MOZNU MOLLAH</v>
      </c>
      <c r="I66" s="8" t="str">
        <f>_xlfn.XLOOKUP(DivAndTax[[#This Row],[Investor ID]],INVESTORS_LIST[INVESTOR CODE],INVESTORS_LIST[TYPE OF INVESTOR])</f>
        <v>Individual</v>
      </c>
      <c r="J66" s="290">
        <v>100000</v>
      </c>
      <c r="K66" s="283">
        <v>0.25</v>
      </c>
      <c r="L66" s="283">
        <f>DivAndTax[[#This Row],[Total Units]]*DivAndTax[[#This Row],[Dividend Per Unit]]</f>
        <v>25000</v>
      </c>
      <c r="M66" s="283">
        <f>DivAndTax[[#This Row],[Gross Dividend]]</f>
        <v>25000</v>
      </c>
      <c r="N66" s="193">
        <v>0.1</v>
      </c>
      <c r="O66" s="283">
        <f>ROUND(IF((DivAndTax[[#This Row],[Taxable Dividend]]*DivAndTax[[#This Row],[Tax Rate
(If Applicable)]])&gt;0,DivAndTax[[#This Row],[Taxable Dividend]]*DivAndTax[[#This Row],[Tax Rate
(If Applicable)]],0),2)</f>
        <v>2500</v>
      </c>
      <c r="P66" s="283">
        <f t="shared" ref="P66:P96" si="5">L66-O66</f>
        <v>22500</v>
      </c>
      <c r="Q66" s="194" t="s">
        <v>1181</v>
      </c>
      <c r="R66" s="284" t="s">
        <v>1141</v>
      </c>
      <c r="S66" s="283"/>
      <c r="T66" s="283" t="str">
        <f>DivAndTax[[#This Row],[Investor ID]]&amp;"-"&amp;(RIGHT(DivAndTax[[#This Row],[Accounting Year]],2))</f>
        <v>A00349-23</v>
      </c>
      <c r="U66" s="284" t="str">
        <f>IF(DivAndTax[[#This Row],[Dividend Option]]="CIP","11",IF(DivAndTax[[#This Row],[Dividend Option]]="CASH","22"))</f>
        <v>22</v>
      </c>
      <c r="V66" s="285"/>
      <c r="XCX66"/>
    </row>
    <row r="67" spans="1:22 16326:16326">
      <c r="A67" s="188">
        <v>2024</v>
      </c>
      <c r="B67" s="188">
        <v>1</v>
      </c>
      <c r="C67" s="188">
        <v>1</v>
      </c>
      <c r="D67" s="189">
        <f t="shared" si="4"/>
        <v>45292</v>
      </c>
      <c r="E67" s="188">
        <v>2023</v>
      </c>
      <c r="F67" s="247">
        <v>45365</v>
      </c>
      <c r="G67" s="188" t="s">
        <v>647</v>
      </c>
      <c r="H67" s="190" t="str">
        <f>_xlfn.XLOOKUP(DivAndTax[[#This Row],[Investor ID]],INVESTORS_LIST[INVESTOR CODE],INVESTORS_LIST[INVESTOR NAME])</f>
        <v>MD. ZAKIR HOSSAIN</v>
      </c>
      <c r="I67" s="8" t="str">
        <f>_xlfn.XLOOKUP(DivAndTax[[#This Row],[Investor ID]],INVESTORS_LIST[INVESTOR CODE],INVESTORS_LIST[TYPE OF INVESTOR])</f>
        <v>Individual</v>
      </c>
      <c r="J67" s="290">
        <v>100000</v>
      </c>
      <c r="K67" s="283">
        <v>0.25</v>
      </c>
      <c r="L67" s="283">
        <f>DivAndTax[[#This Row],[Total Units]]*DivAndTax[[#This Row],[Dividend Per Unit]]</f>
        <v>25000</v>
      </c>
      <c r="M67" s="283">
        <f>DivAndTax[[#This Row],[Gross Dividend]]</f>
        <v>25000</v>
      </c>
      <c r="N67" s="193">
        <v>0.1</v>
      </c>
      <c r="O67" s="283">
        <f>ROUND(IF((DivAndTax[[#This Row],[Taxable Dividend]]*DivAndTax[[#This Row],[Tax Rate
(If Applicable)]])&gt;0,DivAndTax[[#This Row],[Taxable Dividend]]*DivAndTax[[#This Row],[Tax Rate
(If Applicable)]],0),2)</f>
        <v>2500</v>
      </c>
      <c r="P67" s="283">
        <f t="shared" si="5"/>
        <v>22500</v>
      </c>
      <c r="Q67" s="194" t="s">
        <v>1182</v>
      </c>
      <c r="R67" s="284" t="s">
        <v>1139</v>
      </c>
      <c r="S67" s="283"/>
      <c r="T67" s="283" t="str">
        <f>DivAndTax[[#This Row],[Investor ID]]&amp;"-"&amp;(RIGHT(DivAndTax[[#This Row],[Accounting Year]],2))</f>
        <v>A00350-23</v>
      </c>
      <c r="U67" s="284" t="str">
        <f>IF(DivAndTax[[#This Row],[Dividend Option]]="CIP","11",IF(DivAndTax[[#This Row],[Dividend Option]]="CASH","22"))</f>
        <v>11</v>
      </c>
      <c r="V67" s="285"/>
      <c r="XCX67"/>
    </row>
    <row r="68" spans="1:22 16326:16326">
      <c r="A68" s="188">
        <v>2024</v>
      </c>
      <c r="B68" s="188">
        <v>1</v>
      </c>
      <c r="C68" s="188">
        <v>1</v>
      </c>
      <c r="D68" s="189">
        <f t="shared" si="4"/>
        <v>45292</v>
      </c>
      <c r="E68" s="188">
        <v>2023</v>
      </c>
      <c r="F68" s="247">
        <v>45365</v>
      </c>
      <c r="G68" s="188" t="s">
        <v>649</v>
      </c>
      <c r="H68" s="190" t="str">
        <f>_xlfn.XLOOKUP(DivAndTax[[#This Row],[Investor ID]],INVESTORS_LIST[INVESTOR CODE],INVESTORS_LIST[INVESTOR NAME])</f>
        <v>MOHAMMAD SAIFUL ISLAM</v>
      </c>
      <c r="I68" s="8" t="str">
        <f>_xlfn.XLOOKUP(DivAndTax[[#This Row],[Investor ID]],INVESTORS_LIST[INVESTOR CODE],INVESTORS_LIST[TYPE OF INVESTOR])</f>
        <v>Individual</v>
      </c>
      <c r="J68" s="290">
        <v>100000</v>
      </c>
      <c r="K68" s="283">
        <v>0.25</v>
      </c>
      <c r="L68" s="283">
        <f>DivAndTax[[#This Row],[Total Units]]*DivAndTax[[#This Row],[Dividend Per Unit]]</f>
        <v>25000</v>
      </c>
      <c r="M68" s="283">
        <f>DivAndTax[[#This Row],[Gross Dividend]]</f>
        <v>25000</v>
      </c>
      <c r="N68" s="193">
        <v>0.1</v>
      </c>
      <c r="O68" s="283">
        <f>ROUND(IF((DivAndTax[[#This Row],[Taxable Dividend]]*DivAndTax[[#This Row],[Tax Rate
(If Applicable)]])&gt;0,DivAndTax[[#This Row],[Taxable Dividend]]*DivAndTax[[#This Row],[Tax Rate
(If Applicable)]],0),2)</f>
        <v>2500</v>
      </c>
      <c r="P68" s="283">
        <f t="shared" si="5"/>
        <v>22500</v>
      </c>
      <c r="Q68" s="194" t="s">
        <v>1183</v>
      </c>
      <c r="R68" s="284" t="s">
        <v>1141</v>
      </c>
      <c r="S68" s="283"/>
      <c r="T68" s="283" t="str">
        <f>DivAndTax[[#This Row],[Investor ID]]&amp;"-"&amp;(RIGHT(DivAndTax[[#This Row],[Accounting Year]],2))</f>
        <v>A00351-23</v>
      </c>
      <c r="U68" s="284" t="str">
        <f>IF(DivAndTax[[#This Row],[Dividend Option]]="CIP","11",IF(DivAndTax[[#This Row],[Dividend Option]]="CASH","22"))</f>
        <v>22</v>
      </c>
      <c r="V68" s="285"/>
      <c r="XCX68"/>
    </row>
    <row r="69" spans="1:22 16326:16326">
      <c r="A69" s="188">
        <v>2024</v>
      </c>
      <c r="B69" s="188">
        <v>1</v>
      </c>
      <c r="C69" s="188">
        <v>1</v>
      </c>
      <c r="D69" s="189">
        <f t="shared" si="4"/>
        <v>45292</v>
      </c>
      <c r="E69" s="188">
        <v>2023</v>
      </c>
      <c r="F69" s="247">
        <v>45365</v>
      </c>
      <c r="G69" s="188" t="s">
        <v>653</v>
      </c>
      <c r="H69" s="190" t="str">
        <f>_xlfn.XLOOKUP(DivAndTax[[#This Row],[Investor ID]],INVESTORS_LIST[INVESTOR CODE],INVESTORS_LIST[INVESTOR NAME])</f>
        <v>VANGUARD AML GROWTH FUND</v>
      </c>
      <c r="I69" s="8" t="str">
        <f>_xlfn.XLOOKUP(DivAndTax[[#This Row],[Investor ID]],INVESTORS_LIST[INVESTOR CODE],INVESTORS_LIST[TYPE OF INVESTOR])</f>
        <v>Mutual Fund</v>
      </c>
      <c r="J69" s="290">
        <v>600000</v>
      </c>
      <c r="K69" s="283">
        <v>0.25</v>
      </c>
      <c r="L69" s="283">
        <f>DivAndTax[[#This Row],[Total Units]]*DivAndTax[[#This Row],[Dividend Per Unit]]</f>
        <v>150000</v>
      </c>
      <c r="M69" s="283">
        <f>DivAndTax[[#This Row],[Gross Dividend]]</f>
        <v>150000</v>
      </c>
      <c r="N69" s="193">
        <v>0</v>
      </c>
      <c r="O69" s="283">
        <f>ROUND(IF((DivAndTax[[#This Row],[Taxable Dividend]]*DivAndTax[[#This Row],[Tax Rate
(If Applicable)]])&gt;0,DivAndTax[[#This Row],[Taxable Dividend]]*DivAndTax[[#This Row],[Tax Rate
(If Applicable)]],0),2)</f>
        <v>0</v>
      </c>
      <c r="P69" s="283">
        <f t="shared" si="5"/>
        <v>150000</v>
      </c>
      <c r="Q69" s="194" t="s">
        <v>1146</v>
      </c>
      <c r="R69" s="284" t="s">
        <v>1139</v>
      </c>
      <c r="S69" s="283"/>
      <c r="T69" s="283" t="str">
        <f>DivAndTax[[#This Row],[Investor ID]]&amp;"-"&amp;(RIGHT(DivAndTax[[#This Row],[Accounting Year]],2))</f>
        <v>A00353-23</v>
      </c>
      <c r="U69" s="284" t="str">
        <f>IF(DivAndTax[[#This Row],[Dividend Option]]="CIP","11",IF(DivAndTax[[#This Row],[Dividend Option]]="CASH","22"))</f>
        <v>11</v>
      </c>
      <c r="V69" s="285"/>
      <c r="XCX69"/>
    </row>
    <row r="70" spans="1:22 16326:16326">
      <c r="A70" s="188">
        <v>2024</v>
      </c>
      <c r="B70" s="188">
        <v>1</v>
      </c>
      <c r="C70" s="188">
        <v>1</v>
      </c>
      <c r="D70" s="189">
        <f t="shared" si="4"/>
        <v>45292</v>
      </c>
      <c r="E70" s="188">
        <v>2023</v>
      </c>
      <c r="F70" s="247">
        <v>45365</v>
      </c>
      <c r="G70" s="188" t="s">
        <v>655</v>
      </c>
      <c r="H70" s="190" t="str">
        <f>_xlfn.XLOOKUP(DivAndTax[[#This Row],[Investor ID]],INVESTORS_LIST[INVESTOR CODE],INVESTORS_LIST[INVESTOR NAME])</f>
        <v>BRAC BANK LIMITED</v>
      </c>
      <c r="I70" s="8" t="str">
        <f>_xlfn.XLOOKUP(DivAndTax[[#This Row],[Investor ID]],INVESTORS_LIST[INVESTOR CODE],INVESTORS_LIST[TYPE OF INVESTOR])</f>
        <v>Company/Organization</v>
      </c>
      <c r="J70" s="290">
        <v>2250000</v>
      </c>
      <c r="K70" s="283">
        <v>0.25</v>
      </c>
      <c r="L70" s="283">
        <f>DivAndTax[[#This Row],[Total Units]]*DivAndTax[[#This Row],[Dividend Per Unit]]</f>
        <v>562500</v>
      </c>
      <c r="M70" s="283">
        <f>DivAndTax[[#This Row],[Gross Dividend]]</f>
        <v>562500</v>
      </c>
      <c r="N70" s="193">
        <v>0.2</v>
      </c>
      <c r="O70" s="283">
        <f>ROUND(IF((DivAndTax[[#This Row],[Taxable Dividend]]*DivAndTax[[#This Row],[Tax Rate
(If Applicable)]])&gt;0,DivAndTax[[#This Row],[Taxable Dividend]]*DivAndTax[[#This Row],[Tax Rate
(If Applicable)]],0),2)</f>
        <v>112500</v>
      </c>
      <c r="P70" s="283">
        <f t="shared" si="5"/>
        <v>450000</v>
      </c>
      <c r="Q70" s="194" t="s">
        <v>1184</v>
      </c>
      <c r="R70" s="284" t="s">
        <v>1141</v>
      </c>
      <c r="S70" s="283"/>
      <c r="T70" s="283" t="str">
        <f>DivAndTax[[#This Row],[Investor ID]]&amp;"-"&amp;(RIGHT(DivAndTax[[#This Row],[Accounting Year]],2))</f>
        <v>A00354-23</v>
      </c>
      <c r="U70" s="284" t="str">
        <f>IF(DivAndTax[[#This Row],[Dividend Option]]="CIP","11",IF(DivAndTax[[#This Row],[Dividend Option]]="CASH","22"))</f>
        <v>22</v>
      </c>
      <c r="V70" s="285"/>
      <c r="XCX70"/>
    </row>
    <row r="71" spans="1:22 16326:16326">
      <c r="A71" s="188">
        <v>2024</v>
      </c>
      <c r="B71" s="188">
        <v>1</v>
      </c>
      <c r="C71" s="188">
        <v>1</v>
      </c>
      <c r="D71" s="189">
        <f t="shared" si="4"/>
        <v>45292</v>
      </c>
      <c r="E71" s="188">
        <v>2023</v>
      </c>
      <c r="F71" s="247">
        <v>45365</v>
      </c>
      <c r="G71" s="188" t="s">
        <v>657</v>
      </c>
      <c r="H71" s="190" t="str">
        <f>_xlfn.XLOOKUP(DivAndTax[[#This Row],[Investor ID]],INVESTORS_LIST[INVESTOR CODE],INVESTORS_LIST[INVESTOR NAME])</f>
        <v>NRB COMMERCIAL BANK LIMITED</v>
      </c>
      <c r="I71" s="8" t="str">
        <f>_xlfn.XLOOKUP(DivAndTax[[#This Row],[Investor ID]],INVESTORS_LIST[INVESTOR CODE],INVESTORS_LIST[TYPE OF INVESTOR])</f>
        <v>Company/Organization</v>
      </c>
      <c r="J71" s="290">
        <v>1000000</v>
      </c>
      <c r="K71" s="283">
        <v>0.25</v>
      </c>
      <c r="L71" s="283">
        <f>DivAndTax[[#This Row],[Total Units]]*DivAndTax[[#This Row],[Dividend Per Unit]]</f>
        <v>250000</v>
      </c>
      <c r="M71" s="283">
        <f>DivAndTax[[#This Row],[Gross Dividend]]</f>
        <v>250000</v>
      </c>
      <c r="N71" s="193">
        <v>0.2</v>
      </c>
      <c r="O71" s="283">
        <f>ROUND(IF((DivAndTax[[#This Row],[Taxable Dividend]]*DivAndTax[[#This Row],[Tax Rate
(If Applicable)]])&gt;0,DivAndTax[[#This Row],[Taxable Dividend]]*DivAndTax[[#This Row],[Tax Rate
(If Applicable)]],0),2)</f>
        <v>50000</v>
      </c>
      <c r="P71" s="283">
        <f t="shared" si="5"/>
        <v>200000</v>
      </c>
      <c r="Q71" s="194" t="s">
        <v>1146</v>
      </c>
      <c r="R71" s="284" t="s">
        <v>1141</v>
      </c>
      <c r="S71" s="283"/>
      <c r="T71" s="283" t="str">
        <f>DivAndTax[[#This Row],[Investor ID]]&amp;"-"&amp;(RIGHT(DivAndTax[[#This Row],[Accounting Year]],2))</f>
        <v>A00355-23</v>
      </c>
      <c r="U71" s="284" t="str">
        <f>IF(DivAndTax[[#This Row],[Dividend Option]]="CIP","11",IF(DivAndTax[[#This Row],[Dividend Option]]="CASH","22"))</f>
        <v>22</v>
      </c>
      <c r="V71" s="285"/>
      <c r="XCX71"/>
    </row>
    <row r="72" spans="1:22 16326:16326">
      <c r="A72" s="188">
        <v>2024</v>
      </c>
      <c r="B72" s="188">
        <v>1</v>
      </c>
      <c r="C72" s="188">
        <v>1</v>
      </c>
      <c r="D72" s="189">
        <f t="shared" si="4"/>
        <v>45292</v>
      </c>
      <c r="E72" s="188">
        <v>2023</v>
      </c>
      <c r="F72" s="247">
        <v>45365</v>
      </c>
      <c r="G72" s="188" t="s">
        <v>659</v>
      </c>
      <c r="H72" s="190" t="str">
        <f>_xlfn.XLOOKUP(DivAndTax[[#This Row],[Investor ID]],INVESTORS_LIST[INVESTOR CODE],INVESTORS_LIST[INVESTOR NAME])</f>
        <v>HOSNEARA ISLAM</v>
      </c>
      <c r="I72" s="8" t="str">
        <f>_xlfn.XLOOKUP(DivAndTax[[#This Row],[Investor ID]],INVESTORS_LIST[INVESTOR CODE],INVESTORS_LIST[TYPE OF INVESTOR])</f>
        <v>Individual</v>
      </c>
      <c r="J72" s="290">
        <v>450000</v>
      </c>
      <c r="K72" s="283">
        <v>0.25</v>
      </c>
      <c r="L72" s="283">
        <f>DivAndTax[[#This Row],[Total Units]]*DivAndTax[[#This Row],[Dividend Per Unit]]</f>
        <v>112500</v>
      </c>
      <c r="M72" s="283">
        <f>DivAndTax[[#This Row],[Gross Dividend]]</f>
        <v>112500</v>
      </c>
      <c r="N72" s="193">
        <v>0.1</v>
      </c>
      <c r="O72" s="283">
        <f>ROUND(IF((DivAndTax[[#This Row],[Taxable Dividend]]*DivAndTax[[#This Row],[Tax Rate
(If Applicable)]])&gt;0,DivAndTax[[#This Row],[Taxable Dividend]]*DivAndTax[[#This Row],[Tax Rate
(If Applicable)]],0),2)</f>
        <v>11250</v>
      </c>
      <c r="P72" s="283">
        <f t="shared" si="5"/>
        <v>101250</v>
      </c>
      <c r="Q72" s="194" t="s">
        <v>1146</v>
      </c>
      <c r="R72" s="284" t="s">
        <v>1141</v>
      </c>
      <c r="S72" s="283"/>
      <c r="T72" s="283" t="str">
        <f>DivAndTax[[#This Row],[Investor ID]]&amp;"-"&amp;(RIGHT(DivAndTax[[#This Row],[Accounting Year]],2))</f>
        <v>A00356-23</v>
      </c>
      <c r="U72" s="284" t="str">
        <f>IF(DivAndTax[[#This Row],[Dividend Option]]="CIP","11",IF(DivAndTax[[#This Row],[Dividend Option]]="CASH","22"))</f>
        <v>22</v>
      </c>
      <c r="V72" s="285"/>
      <c r="XCX72"/>
    </row>
    <row r="73" spans="1:22 16326:16326">
      <c r="A73" s="188">
        <v>2024</v>
      </c>
      <c r="B73" s="188">
        <v>1</v>
      </c>
      <c r="C73" s="188">
        <v>1</v>
      </c>
      <c r="D73" s="189">
        <f t="shared" si="4"/>
        <v>45292</v>
      </c>
      <c r="E73" s="188">
        <v>2023</v>
      </c>
      <c r="F73" s="247">
        <v>45365</v>
      </c>
      <c r="G73" s="188" t="s">
        <v>661</v>
      </c>
      <c r="H73" s="190" t="str">
        <f>_xlfn.XLOOKUP(DivAndTax[[#This Row],[Investor ID]],INVESTORS_LIST[INVESTOR CODE],INVESTORS_LIST[INVESTOR NAME])</f>
        <v>MOHAMMAD MOINUL ISLAM</v>
      </c>
      <c r="I73" s="8" t="str">
        <f>_xlfn.XLOOKUP(DivAndTax[[#This Row],[Investor ID]],INVESTORS_LIST[INVESTOR CODE],INVESTORS_LIST[TYPE OF INVESTOR])</f>
        <v>Individual</v>
      </c>
      <c r="J73" s="290">
        <v>50000</v>
      </c>
      <c r="K73" s="283">
        <v>0.25</v>
      </c>
      <c r="L73" s="283">
        <f>DivAndTax[[#This Row],[Total Units]]*DivAndTax[[#This Row],[Dividend Per Unit]]</f>
        <v>12500</v>
      </c>
      <c r="M73" s="283">
        <f>DivAndTax[[#This Row],[Gross Dividend]]</f>
        <v>12500</v>
      </c>
      <c r="N73" s="193">
        <v>0.1</v>
      </c>
      <c r="O73" s="283">
        <f>ROUND(IF((DivAndTax[[#This Row],[Taxable Dividend]]*DivAndTax[[#This Row],[Tax Rate
(If Applicable)]])&gt;0,DivAndTax[[#This Row],[Taxable Dividend]]*DivAndTax[[#This Row],[Tax Rate
(If Applicable)]],0),2)</f>
        <v>1250</v>
      </c>
      <c r="P73" s="283">
        <f t="shared" si="5"/>
        <v>11250</v>
      </c>
      <c r="Q73" s="194" t="s">
        <v>1146</v>
      </c>
      <c r="R73" s="284" t="s">
        <v>1141</v>
      </c>
      <c r="S73" s="283"/>
      <c r="T73" s="283" t="str">
        <f>DivAndTax[[#This Row],[Investor ID]]&amp;"-"&amp;(RIGHT(DivAndTax[[#This Row],[Accounting Year]],2))</f>
        <v>A00357-23</v>
      </c>
      <c r="U73" s="284" t="str">
        <f>IF(DivAndTax[[#This Row],[Dividend Option]]="CIP","11",IF(DivAndTax[[#This Row],[Dividend Option]]="CASH","22"))</f>
        <v>22</v>
      </c>
      <c r="V73" s="285"/>
      <c r="XCX73"/>
    </row>
    <row r="74" spans="1:22 16326:16326">
      <c r="A74" s="188">
        <v>2024</v>
      </c>
      <c r="B74" s="188">
        <v>1</v>
      </c>
      <c r="C74" s="188">
        <v>1</v>
      </c>
      <c r="D74" s="189">
        <f t="shared" si="4"/>
        <v>45292</v>
      </c>
      <c r="E74" s="188">
        <v>2023</v>
      </c>
      <c r="F74" s="247">
        <v>45365</v>
      </c>
      <c r="G74" s="188" t="s">
        <v>667</v>
      </c>
      <c r="H74" s="190" t="str">
        <f>_xlfn.XLOOKUP(DivAndTax[[#This Row],[Investor ID]],INVESTORS_LIST[INVESTOR CODE],INVESTORS_LIST[INVESTOR NAME])</f>
        <v>NBL CAPITAL AND EQUITY MANAGEMENT LTD</v>
      </c>
      <c r="I74" s="8" t="str">
        <f>_xlfn.XLOOKUP(DivAndTax[[#This Row],[Investor ID]],INVESTORS_LIST[INVESTOR CODE],INVESTORS_LIST[TYPE OF INVESTOR])</f>
        <v>Company/Organization</v>
      </c>
      <c r="J74" s="290">
        <v>50000</v>
      </c>
      <c r="K74" s="283">
        <v>0.25</v>
      </c>
      <c r="L74" s="283">
        <f>DivAndTax[[#This Row],[Total Units]]*DivAndTax[[#This Row],[Dividend Per Unit]]</f>
        <v>12500</v>
      </c>
      <c r="M74" s="283">
        <f>DivAndTax[[#This Row],[Gross Dividend]]</f>
        <v>12500</v>
      </c>
      <c r="N74" s="193">
        <v>0.2</v>
      </c>
      <c r="O74" s="283">
        <f>ROUND(IF((DivAndTax[[#This Row],[Taxable Dividend]]*DivAndTax[[#This Row],[Tax Rate
(If Applicable)]])&gt;0,DivAndTax[[#This Row],[Taxable Dividend]]*DivAndTax[[#This Row],[Tax Rate
(If Applicable)]],0),2)</f>
        <v>2500</v>
      </c>
      <c r="P74" s="283">
        <f t="shared" si="5"/>
        <v>10000</v>
      </c>
      <c r="Q74" s="194" t="s">
        <v>1185</v>
      </c>
      <c r="R74" s="284" t="s">
        <v>1141</v>
      </c>
      <c r="S74" s="283"/>
      <c r="T74" s="283" t="str">
        <f>DivAndTax[[#This Row],[Investor ID]]&amp;"-"&amp;(RIGHT(DivAndTax[[#This Row],[Accounting Year]],2))</f>
        <v>A00360-23</v>
      </c>
      <c r="U74" s="284" t="str">
        <f>IF(DivAndTax[[#This Row],[Dividend Option]]="CIP","11",IF(DivAndTax[[#This Row],[Dividend Option]]="CASH","22"))</f>
        <v>22</v>
      </c>
      <c r="V74" s="285"/>
      <c r="XCX74"/>
    </row>
    <row r="75" spans="1:22 16326:16326">
      <c r="A75" s="188">
        <v>2024</v>
      </c>
      <c r="B75" s="188">
        <v>1</v>
      </c>
      <c r="C75" s="188">
        <v>1</v>
      </c>
      <c r="D75" s="189">
        <f t="shared" si="4"/>
        <v>45292</v>
      </c>
      <c r="E75" s="188">
        <v>2023</v>
      </c>
      <c r="F75" s="247">
        <v>45365</v>
      </c>
      <c r="G75" s="188" t="s">
        <v>671</v>
      </c>
      <c r="H75" s="190" t="str">
        <f>_xlfn.XLOOKUP(DivAndTax[[#This Row],[Investor ID]],INVESTORS_LIST[INVESTOR CODE],INVESTORS_LIST[INVESTOR NAME])</f>
        <v>MOHAMMAD YASEEN</v>
      </c>
      <c r="I75" s="8" t="str">
        <f>_xlfn.XLOOKUP(DivAndTax[[#This Row],[Investor ID]],INVESTORS_LIST[INVESTOR CODE],INVESTORS_LIST[TYPE OF INVESTOR])</f>
        <v>Individual</v>
      </c>
      <c r="J75" s="290">
        <v>2000</v>
      </c>
      <c r="K75" s="283">
        <v>0.25</v>
      </c>
      <c r="L75" s="283">
        <f>DivAndTax[[#This Row],[Total Units]]*DivAndTax[[#This Row],[Dividend Per Unit]]</f>
        <v>500</v>
      </c>
      <c r="M75" s="283">
        <f>DivAndTax[[#This Row],[Gross Dividend]]</f>
        <v>500</v>
      </c>
      <c r="N75" s="193">
        <v>0.1</v>
      </c>
      <c r="O75" s="283">
        <f>ROUND(IF((DivAndTax[[#This Row],[Taxable Dividend]]*DivAndTax[[#This Row],[Tax Rate
(If Applicable)]])&gt;0,DivAndTax[[#This Row],[Taxable Dividend]]*DivAndTax[[#This Row],[Tax Rate
(If Applicable)]],0),2)</f>
        <v>50</v>
      </c>
      <c r="P75" s="283">
        <f t="shared" si="5"/>
        <v>450</v>
      </c>
      <c r="Q75" s="194" t="s">
        <v>1186</v>
      </c>
      <c r="R75" s="284" t="s">
        <v>1141</v>
      </c>
      <c r="S75" s="283"/>
      <c r="T75" s="283" t="str">
        <f>DivAndTax[[#This Row],[Investor ID]]&amp;"-"&amp;(RIGHT(DivAndTax[[#This Row],[Accounting Year]],2))</f>
        <v>A00362-23</v>
      </c>
      <c r="U75" s="284" t="str">
        <f>IF(DivAndTax[[#This Row],[Dividend Option]]="CIP","11",IF(DivAndTax[[#This Row],[Dividend Option]]="CASH","22"))</f>
        <v>22</v>
      </c>
      <c r="V75" s="285"/>
      <c r="XCX75"/>
    </row>
    <row r="76" spans="1:22 16326:16326">
      <c r="A76" s="188">
        <v>2024</v>
      </c>
      <c r="B76" s="188">
        <v>1</v>
      </c>
      <c r="C76" s="188">
        <v>1</v>
      </c>
      <c r="D76" s="189">
        <f t="shared" si="4"/>
        <v>45292</v>
      </c>
      <c r="E76" s="188">
        <v>2023</v>
      </c>
      <c r="F76" s="247">
        <v>45365</v>
      </c>
      <c r="G76" s="188" t="s">
        <v>673</v>
      </c>
      <c r="H76" s="190" t="str">
        <f>_xlfn.XLOOKUP(DivAndTax[[#This Row],[Investor ID]],INVESTORS_LIST[INVESTOR CODE],INVESTORS_LIST[INVESTOR NAME])</f>
        <v>MD. TARIF AZAD KHAN</v>
      </c>
      <c r="I76" s="8" t="str">
        <f>_xlfn.XLOOKUP(DivAndTax[[#This Row],[Investor ID]],INVESTORS_LIST[INVESTOR CODE],INVESTORS_LIST[TYPE OF INVESTOR])</f>
        <v>Individual</v>
      </c>
      <c r="J76" s="290">
        <v>2000</v>
      </c>
      <c r="K76" s="283">
        <v>0.25</v>
      </c>
      <c r="L76" s="283">
        <f>DivAndTax[[#This Row],[Total Units]]*DivAndTax[[#This Row],[Dividend Per Unit]]</f>
        <v>500</v>
      </c>
      <c r="M76" s="283">
        <f>DivAndTax[[#This Row],[Gross Dividend]]</f>
        <v>500</v>
      </c>
      <c r="N76" s="193">
        <v>0.1</v>
      </c>
      <c r="O76" s="283">
        <f>ROUND(IF((DivAndTax[[#This Row],[Taxable Dividend]]*DivAndTax[[#This Row],[Tax Rate
(If Applicable)]])&gt;0,DivAndTax[[#This Row],[Taxable Dividend]]*DivAndTax[[#This Row],[Tax Rate
(If Applicable)]],0),2)</f>
        <v>50</v>
      </c>
      <c r="P76" s="283">
        <f t="shared" si="5"/>
        <v>450</v>
      </c>
      <c r="Q76" s="194" t="s">
        <v>1187</v>
      </c>
      <c r="R76" s="284" t="s">
        <v>1141</v>
      </c>
      <c r="S76" s="283"/>
      <c r="T76" s="283" t="str">
        <f>DivAndTax[[#This Row],[Investor ID]]&amp;"-"&amp;(RIGHT(DivAndTax[[#This Row],[Accounting Year]],2))</f>
        <v>A00363-23</v>
      </c>
      <c r="U76" s="284" t="str">
        <f>IF(DivAndTax[[#This Row],[Dividend Option]]="CIP","11",IF(DivAndTax[[#This Row],[Dividend Option]]="CASH","22"))</f>
        <v>22</v>
      </c>
      <c r="V76" s="285"/>
      <c r="XCX76"/>
    </row>
    <row r="77" spans="1:22 16326:16326">
      <c r="A77" s="188">
        <v>2024</v>
      </c>
      <c r="B77" s="188">
        <v>1</v>
      </c>
      <c r="C77" s="188">
        <v>1</v>
      </c>
      <c r="D77" s="189">
        <f t="shared" si="4"/>
        <v>45292</v>
      </c>
      <c r="E77" s="188">
        <v>2023</v>
      </c>
      <c r="F77" s="247">
        <v>45365</v>
      </c>
      <c r="G77" s="188" t="s">
        <v>675</v>
      </c>
      <c r="H77" s="190" t="str">
        <f>_xlfn.XLOOKUP(DivAndTax[[#This Row],[Investor ID]],INVESTORS_LIST[INVESTOR CODE],INVESTORS_LIST[INVESTOR NAME])</f>
        <v>MD. AZHARUL KARIM</v>
      </c>
      <c r="I77" s="8" t="str">
        <f>_xlfn.XLOOKUP(DivAndTax[[#This Row],[Investor ID]],INVESTORS_LIST[INVESTOR CODE],INVESTORS_LIST[TYPE OF INVESTOR])</f>
        <v>Individual</v>
      </c>
      <c r="J77" s="290">
        <v>2000</v>
      </c>
      <c r="K77" s="283">
        <v>0.25</v>
      </c>
      <c r="L77" s="283">
        <f>DivAndTax[[#This Row],[Total Units]]*DivAndTax[[#This Row],[Dividend Per Unit]]</f>
        <v>500</v>
      </c>
      <c r="M77" s="283">
        <f>DivAndTax[[#This Row],[Gross Dividend]]</f>
        <v>500</v>
      </c>
      <c r="N77" s="193">
        <v>0.1</v>
      </c>
      <c r="O77" s="283">
        <f>ROUND(IF((DivAndTax[[#This Row],[Taxable Dividend]]*DivAndTax[[#This Row],[Tax Rate
(If Applicable)]])&gt;0,DivAndTax[[#This Row],[Taxable Dividend]]*DivAndTax[[#This Row],[Tax Rate
(If Applicable)]],0),2)</f>
        <v>50</v>
      </c>
      <c r="P77" s="283">
        <f t="shared" si="5"/>
        <v>450</v>
      </c>
      <c r="Q77" s="194" t="s">
        <v>1188</v>
      </c>
      <c r="R77" s="284" t="s">
        <v>1141</v>
      </c>
      <c r="S77" s="283"/>
      <c r="T77" s="283" t="str">
        <f>DivAndTax[[#This Row],[Investor ID]]&amp;"-"&amp;(RIGHT(DivAndTax[[#This Row],[Accounting Year]],2))</f>
        <v>A00364-23</v>
      </c>
      <c r="U77" s="284" t="str">
        <f>IF(DivAndTax[[#This Row],[Dividend Option]]="CIP","11",IF(DivAndTax[[#This Row],[Dividend Option]]="CASH","22"))</f>
        <v>22</v>
      </c>
      <c r="V77" s="285"/>
      <c r="XCX77"/>
    </row>
    <row r="78" spans="1:22 16326:16326">
      <c r="A78" s="188">
        <v>2024</v>
      </c>
      <c r="B78" s="188">
        <v>1</v>
      </c>
      <c r="C78" s="188">
        <v>1</v>
      </c>
      <c r="D78" s="189">
        <f t="shared" si="4"/>
        <v>45292</v>
      </c>
      <c r="E78" s="188">
        <v>2023</v>
      </c>
      <c r="F78" s="247">
        <v>45365</v>
      </c>
      <c r="G78" s="188" t="s">
        <v>677</v>
      </c>
      <c r="H78" s="190" t="str">
        <f>_xlfn.XLOOKUP(DivAndTax[[#This Row],[Investor ID]],INVESTORS_LIST[INVESTOR CODE],INVESTORS_LIST[INVESTOR NAME])</f>
        <v>BANGLADESH FUND</v>
      </c>
      <c r="I78" s="8" t="str">
        <f>_xlfn.XLOOKUP(DivAndTax[[#This Row],[Investor ID]],INVESTORS_LIST[INVESTOR CODE],INVESTORS_LIST[TYPE OF INVESTOR])</f>
        <v>Mutual Fund</v>
      </c>
      <c r="J78" s="290">
        <v>500000</v>
      </c>
      <c r="K78" s="283">
        <v>0.25</v>
      </c>
      <c r="L78" s="283">
        <f>DivAndTax[[#This Row],[Total Units]]*DivAndTax[[#This Row],[Dividend Per Unit]]</f>
        <v>125000</v>
      </c>
      <c r="M78" s="283">
        <f>DivAndTax[[#This Row],[Gross Dividend]]</f>
        <v>125000</v>
      </c>
      <c r="N78" s="193">
        <v>0</v>
      </c>
      <c r="O78" s="283">
        <f>ROUND(IF((DivAndTax[[#This Row],[Taxable Dividend]]*DivAndTax[[#This Row],[Tax Rate
(If Applicable)]])&gt;0,DivAndTax[[#This Row],[Taxable Dividend]]*DivAndTax[[#This Row],[Tax Rate
(If Applicable)]],0),2)</f>
        <v>0</v>
      </c>
      <c r="P78" s="283">
        <f t="shared" si="5"/>
        <v>125000</v>
      </c>
      <c r="Q78" s="194" t="s">
        <v>1146</v>
      </c>
      <c r="R78" s="284" t="s">
        <v>1141</v>
      </c>
      <c r="S78" s="283"/>
      <c r="T78" s="283" t="str">
        <f>DivAndTax[[#This Row],[Investor ID]]&amp;"-"&amp;(RIGHT(DivAndTax[[#This Row],[Accounting Year]],2))</f>
        <v>A00365-23</v>
      </c>
      <c r="U78" s="284" t="str">
        <f>IF(DivAndTax[[#This Row],[Dividend Option]]="CIP","11",IF(DivAndTax[[#This Row],[Dividend Option]]="CASH","22"))</f>
        <v>22</v>
      </c>
      <c r="V78" s="285"/>
      <c r="XCX78"/>
    </row>
    <row r="79" spans="1:22 16326:16326">
      <c r="A79" s="188">
        <v>2024</v>
      </c>
      <c r="B79" s="188">
        <v>1</v>
      </c>
      <c r="C79" s="188">
        <v>1</v>
      </c>
      <c r="D79" s="189">
        <f t="shared" si="4"/>
        <v>45292</v>
      </c>
      <c r="E79" s="188">
        <v>2023</v>
      </c>
      <c r="F79" s="247">
        <v>45365</v>
      </c>
      <c r="G79" s="188" t="s">
        <v>679</v>
      </c>
      <c r="H79" s="190" t="str">
        <f>_xlfn.XLOOKUP(DivAndTax[[#This Row],[Investor ID]],INVESTORS_LIST[INVESTOR CODE],INVESTORS_LIST[INVESTOR NAME])</f>
        <v>NAYEEMA TASNEEM</v>
      </c>
      <c r="I79" s="8" t="str">
        <f>_xlfn.XLOOKUP(DivAndTax[[#This Row],[Investor ID]],INVESTORS_LIST[INVESTOR CODE],INVESTORS_LIST[TYPE OF INVESTOR])</f>
        <v>Individual</v>
      </c>
      <c r="J79" s="290">
        <v>2351</v>
      </c>
      <c r="K79" s="283">
        <v>0.25</v>
      </c>
      <c r="L79" s="283">
        <f>DivAndTax[[#This Row],[Total Units]]*DivAndTax[[#This Row],[Dividend Per Unit]]</f>
        <v>587.75</v>
      </c>
      <c r="M79" s="283">
        <f>DivAndTax[[#This Row],[Gross Dividend]]</f>
        <v>587.75</v>
      </c>
      <c r="N79" s="193">
        <v>0.15</v>
      </c>
      <c r="O79" s="283">
        <f>ROUND(IF((DivAndTax[[#This Row],[Taxable Dividend]]*DivAndTax[[#This Row],[Tax Rate
(If Applicable)]])&gt;0,DivAndTax[[#This Row],[Taxable Dividend]]*DivAndTax[[#This Row],[Tax Rate
(If Applicable)]],0),2)</f>
        <v>88.16</v>
      </c>
      <c r="P79" s="283">
        <f t="shared" si="5"/>
        <v>499.59000000000003</v>
      </c>
      <c r="Q79" s="194" t="s">
        <v>1146</v>
      </c>
      <c r="R79" s="284" t="s">
        <v>1141</v>
      </c>
      <c r="S79" s="283"/>
      <c r="T79" s="283" t="str">
        <f>DivAndTax[[#This Row],[Investor ID]]&amp;"-"&amp;(RIGHT(DivAndTax[[#This Row],[Accounting Year]],2))</f>
        <v>A00366-23</v>
      </c>
      <c r="U79" s="284" t="str">
        <f>IF(DivAndTax[[#This Row],[Dividend Option]]="CIP","11",IF(DivAndTax[[#This Row],[Dividend Option]]="CASH","22"))</f>
        <v>22</v>
      </c>
      <c r="V79" s="285"/>
      <c r="XCX79"/>
    </row>
    <row r="80" spans="1:22 16326:16326">
      <c r="A80" s="188">
        <v>2024</v>
      </c>
      <c r="B80" s="188">
        <v>1</v>
      </c>
      <c r="C80" s="188">
        <v>1</v>
      </c>
      <c r="D80" s="189">
        <f t="shared" si="4"/>
        <v>45292</v>
      </c>
      <c r="E80" s="188">
        <v>2023</v>
      </c>
      <c r="F80" s="247">
        <v>45365</v>
      </c>
      <c r="G80" s="188" t="s">
        <v>684</v>
      </c>
      <c r="H80" s="190" t="str">
        <f>_xlfn.XLOOKUP(DivAndTax[[#This Row],[Investor ID]],INVESTORS_LIST[INVESTOR CODE],INVESTORS_LIST[INVESTOR NAME])</f>
        <v>ASRAAR HOSSAIN</v>
      </c>
      <c r="I80" s="8" t="str">
        <f>_xlfn.XLOOKUP(DivAndTax[[#This Row],[Investor ID]],INVESTORS_LIST[INVESTOR CODE],INVESTORS_LIST[TYPE OF INVESTOR])</f>
        <v>Individual</v>
      </c>
      <c r="J80" s="290">
        <v>2000</v>
      </c>
      <c r="K80" s="283">
        <v>0.25</v>
      </c>
      <c r="L80" s="283">
        <f>DivAndTax[[#This Row],[Total Units]]*DivAndTax[[#This Row],[Dividend Per Unit]]</f>
        <v>500</v>
      </c>
      <c r="M80" s="283">
        <f>DivAndTax[[#This Row],[Gross Dividend]]</f>
        <v>500</v>
      </c>
      <c r="N80" s="193">
        <v>0.1</v>
      </c>
      <c r="O80" s="283">
        <f>ROUND(IF((DivAndTax[[#This Row],[Taxable Dividend]]*DivAndTax[[#This Row],[Tax Rate
(If Applicable)]])&gt;0,DivAndTax[[#This Row],[Taxable Dividend]]*DivAndTax[[#This Row],[Tax Rate
(If Applicable)]],0),2)</f>
        <v>50</v>
      </c>
      <c r="P80" s="283">
        <f t="shared" si="5"/>
        <v>450</v>
      </c>
      <c r="Q80" s="194" t="s">
        <v>1189</v>
      </c>
      <c r="R80" s="284" t="s">
        <v>1139</v>
      </c>
      <c r="S80" s="283"/>
      <c r="T80" s="283" t="str">
        <f>DivAndTax[[#This Row],[Investor ID]]&amp;"-"&amp;(RIGHT(DivAndTax[[#This Row],[Accounting Year]],2))</f>
        <v>A00369-23</v>
      </c>
      <c r="U80" s="284" t="str">
        <f>IF(DivAndTax[[#This Row],[Dividend Option]]="CIP","11",IF(DivAndTax[[#This Row],[Dividend Option]]="CASH","22"))</f>
        <v>11</v>
      </c>
      <c r="V80" s="285"/>
      <c r="XCX80"/>
    </row>
    <row r="81" spans="1:22 16326:16326">
      <c r="A81" s="188">
        <v>2024</v>
      </c>
      <c r="B81" s="188">
        <v>1</v>
      </c>
      <c r="C81" s="188">
        <v>1</v>
      </c>
      <c r="D81" s="189">
        <f t="shared" si="4"/>
        <v>45292</v>
      </c>
      <c r="E81" s="188">
        <v>2023</v>
      </c>
      <c r="F81" s="247">
        <v>45365</v>
      </c>
      <c r="G81" s="188" t="s">
        <v>686</v>
      </c>
      <c r="H81" s="190" t="str">
        <f>_xlfn.XLOOKUP(DivAndTax[[#This Row],[Investor ID]],INVESTORS_LIST[INVESTOR CODE],INVESTORS_LIST[INVESTOR NAME])</f>
        <v>ZAIN MOHAMMAD YASEEN</v>
      </c>
      <c r="I81" s="8" t="str">
        <f>_xlfn.XLOOKUP(DivAndTax[[#This Row],[Investor ID]],INVESTORS_LIST[INVESTOR CODE],INVESTORS_LIST[TYPE OF INVESTOR])</f>
        <v>Individual</v>
      </c>
      <c r="J81" s="290">
        <v>3111</v>
      </c>
      <c r="K81" s="283">
        <v>0.25</v>
      </c>
      <c r="L81" s="283">
        <f>DivAndTax[[#This Row],[Total Units]]*DivAndTax[[#This Row],[Dividend Per Unit]]</f>
        <v>777.75</v>
      </c>
      <c r="M81" s="283">
        <f>DivAndTax[[#This Row],[Gross Dividend]]</f>
        <v>777.75</v>
      </c>
      <c r="N81" s="193">
        <v>0.1</v>
      </c>
      <c r="O81" s="283">
        <f>ROUND(IF((DivAndTax[[#This Row],[Taxable Dividend]]*DivAndTax[[#This Row],[Tax Rate
(If Applicable)]])&gt;0,DivAndTax[[#This Row],[Taxable Dividend]]*DivAndTax[[#This Row],[Tax Rate
(If Applicable)]],0),2)</f>
        <v>77.78</v>
      </c>
      <c r="P81" s="283">
        <f t="shared" si="5"/>
        <v>699.97</v>
      </c>
      <c r="Q81" s="194" t="s">
        <v>1190</v>
      </c>
      <c r="R81" s="284" t="s">
        <v>1139</v>
      </c>
      <c r="S81" s="283"/>
      <c r="T81" s="283" t="str">
        <f>DivAndTax[[#This Row],[Investor ID]]&amp;"-"&amp;(RIGHT(DivAndTax[[#This Row],[Accounting Year]],2))</f>
        <v>A00370-23</v>
      </c>
      <c r="U81" s="284" t="str">
        <f>IF(DivAndTax[[#This Row],[Dividend Option]]="CIP","11",IF(DivAndTax[[#This Row],[Dividend Option]]="CASH","22"))</f>
        <v>11</v>
      </c>
      <c r="V81" s="285"/>
      <c r="XCX81"/>
    </row>
    <row r="82" spans="1:22 16326:16326">
      <c r="A82" s="188">
        <v>2024</v>
      </c>
      <c r="B82" s="188">
        <v>1</v>
      </c>
      <c r="C82" s="188">
        <v>1</v>
      </c>
      <c r="D82" s="189">
        <f t="shared" si="4"/>
        <v>45292</v>
      </c>
      <c r="E82" s="188">
        <v>2023</v>
      </c>
      <c r="F82" s="247">
        <v>45365</v>
      </c>
      <c r="G82" s="188" t="s">
        <v>688</v>
      </c>
      <c r="H82" s="190" t="str">
        <f>_xlfn.XLOOKUP(DivAndTax[[#This Row],[Investor ID]],INVESTORS_LIST[INVESTOR CODE],INVESTORS_LIST[INVESTOR NAME])</f>
        <v>MD. AL AMIN SARKER</v>
      </c>
      <c r="I82" s="8" t="str">
        <f>_xlfn.XLOOKUP(DivAndTax[[#This Row],[Investor ID]],INVESTORS_LIST[INVESTOR CODE],INVESTORS_LIST[TYPE OF INVESTOR])</f>
        <v>Individual</v>
      </c>
      <c r="J82" s="290">
        <v>60000</v>
      </c>
      <c r="K82" s="283">
        <v>0.25</v>
      </c>
      <c r="L82" s="283">
        <f>DivAndTax[[#This Row],[Total Units]]*DivAndTax[[#This Row],[Dividend Per Unit]]</f>
        <v>15000</v>
      </c>
      <c r="M82" s="283">
        <f>DivAndTax[[#This Row],[Gross Dividend]]</f>
        <v>15000</v>
      </c>
      <c r="N82" s="193">
        <v>0.1</v>
      </c>
      <c r="O82" s="283">
        <f>ROUND(IF((DivAndTax[[#This Row],[Taxable Dividend]]*DivAndTax[[#This Row],[Tax Rate
(If Applicable)]])&gt;0,DivAndTax[[#This Row],[Taxable Dividend]]*DivAndTax[[#This Row],[Tax Rate
(If Applicable)]],0),2)</f>
        <v>1500</v>
      </c>
      <c r="P82" s="283">
        <f t="shared" si="5"/>
        <v>13500</v>
      </c>
      <c r="Q82" s="194" t="s">
        <v>1191</v>
      </c>
      <c r="R82" s="284" t="s">
        <v>1139</v>
      </c>
      <c r="S82" s="283"/>
      <c r="T82" s="283" t="str">
        <f>DivAndTax[[#This Row],[Investor ID]]&amp;"-"&amp;(RIGHT(DivAndTax[[#This Row],[Accounting Year]],2))</f>
        <v>A00371-23</v>
      </c>
      <c r="U82" s="284" t="str">
        <f>IF(DivAndTax[[#This Row],[Dividend Option]]="CIP","11",IF(DivAndTax[[#This Row],[Dividend Option]]="CASH","22"))</f>
        <v>11</v>
      </c>
      <c r="V82" s="285"/>
      <c r="XCX82"/>
    </row>
    <row r="83" spans="1:22 16326:16326">
      <c r="A83" s="188">
        <v>2024</v>
      </c>
      <c r="B83" s="188">
        <v>1</v>
      </c>
      <c r="C83" s="188">
        <v>1</v>
      </c>
      <c r="D83" s="189">
        <f t="shared" si="4"/>
        <v>45292</v>
      </c>
      <c r="E83" s="188">
        <v>2023</v>
      </c>
      <c r="F83" s="247">
        <v>45365</v>
      </c>
      <c r="G83" s="188" t="s">
        <v>690</v>
      </c>
      <c r="H83" s="190" t="str">
        <f>_xlfn.XLOOKUP(DivAndTax[[#This Row],[Investor ID]],INVESTORS_LIST[INVESTOR CODE],INVESTORS_LIST[INVESTOR NAME])</f>
        <v>MD. ASIF RAIHAN</v>
      </c>
      <c r="I83" s="8" t="str">
        <f>_xlfn.XLOOKUP(DivAndTax[[#This Row],[Investor ID]],INVESTORS_LIST[INVESTOR CODE],INVESTORS_LIST[TYPE OF INVESTOR])</f>
        <v>Individual</v>
      </c>
      <c r="J83" s="290">
        <v>10000</v>
      </c>
      <c r="K83" s="283">
        <v>0.25</v>
      </c>
      <c r="L83" s="283">
        <f>DivAndTax[[#This Row],[Total Units]]*DivAndTax[[#This Row],[Dividend Per Unit]]</f>
        <v>2500</v>
      </c>
      <c r="M83" s="283">
        <f>DivAndTax[[#This Row],[Gross Dividend]]</f>
        <v>2500</v>
      </c>
      <c r="N83" s="193">
        <v>0.1</v>
      </c>
      <c r="O83" s="283">
        <f>ROUND(IF((DivAndTax[[#This Row],[Taxable Dividend]]*DivAndTax[[#This Row],[Tax Rate
(If Applicable)]])&gt;0,DivAndTax[[#This Row],[Taxable Dividend]]*DivAndTax[[#This Row],[Tax Rate
(If Applicable)]],0),2)</f>
        <v>250</v>
      </c>
      <c r="P83" s="283">
        <f t="shared" si="5"/>
        <v>2250</v>
      </c>
      <c r="Q83" s="194" t="s">
        <v>1192</v>
      </c>
      <c r="R83" s="284" t="s">
        <v>1141</v>
      </c>
      <c r="S83" s="283"/>
      <c r="T83" s="283" t="str">
        <f>DivAndTax[[#This Row],[Investor ID]]&amp;"-"&amp;(RIGHT(DivAndTax[[#This Row],[Accounting Year]],2))</f>
        <v>A00372-23</v>
      </c>
      <c r="U83" s="284" t="str">
        <f>IF(DivAndTax[[#This Row],[Dividend Option]]="CIP","11",IF(DivAndTax[[#This Row],[Dividend Option]]="CASH","22"))</f>
        <v>22</v>
      </c>
      <c r="V83" s="285"/>
      <c r="XCX83"/>
    </row>
    <row r="84" spans="1:22 16326:16326">
      <c r="A84" s="188">
        <v>2024</v>
      </c>
      <c r="B84" s="188">
        <v>1</v>
      </c>
      <c r="C84" s="188">
        <v>1</v>
      </c>
      <c r="D84" s="189">
        <f t="shared" si="4"/>
        <v>45292</v>
      </c>
      <c r="E84" s="188">
        <v>2023</v>
      </c>
      <c r="F84" s="247">
        <v>45365</v>
      </c>
      <c r="G84" s="188" t="s">
        <v>692</v>
      </c>
      <c r="H84" s="190" t="str">
        <f>_xlfn.XLOOKUP(DivAndTax[[#This Row],[Investor ID]],INVESTORS_LIST[INVESTOR CODE],INVESTORS_LIST[INVESTOR NAME])</f>
        <v>ZINAT MAHRUKH BANU</v>
      </c>
      <c r="I84" s="8" t="str">
        <f>_xlfn.XLOOKUP(DivAndTax[[#This Row],[Investor ID]],INVESTORS_LIST[INVESTOR CODE],INVESTORS_LIST[TYPE OF INVESTOR])</f>
        <v>Individual</v>
      </c>
      <c r="J84" s="290">
        <v>20000</v>
      </c>
      <c r="K84" s="283">
        <v>0.25</v>
      </c>
      <c r="L84" s="283">
        <f>DivAndTax[[#This Row],[Total Units]]*DivAndTax[[#This Row],[Dividend Per Unit]]</f>
        <v>5000</v>
      </c>
      <c r="M84" s="283">
        <f>DivAndTax[[#This Row],[Gross Dividend]]</f>
        <v>5000</v>
      </c>
      <c r="N84" s="193">
        <v>0</v>
      </c>
      <c r="O84" s="283">
        <f>ROUND(IF((DivAndTax[[#This Row],[Taxable Dividend]]*DivAndTax[[#This Row],[Tax Rate
(If Applicable)]])&gt;0,DivAndTax[[#This Row],[Taxable Dividend]]*DivAndTax[[#This Row],[Tax Rate
(If Applicable)]],0),2)</f>
        <v>0</v>
      </c>
      <c r="P84" s="283">
        <f t="shared" si="5"/>
        <v>5000</v>
      </c>
      <c r="Q84" s="194" t="s">
        <v>1193</v>
      </c>
      <c r="R84" s="284" t="s">
        <v>1139</v>
      </c>
      <c r="S84" s="283"/>
      <c r="T84" s="283" t="str">
        <f>DivAndTax[[#This Row],[Investor ID]]&amp;"-"&amp;(RIGHT(DivAndTax[[#This Row],[Accounting Year]],2))</f>
        <v>A00373-23</v>
      </c>
      <c r="U84" s="284" t="str">
        <f>IF(DivAndTax[[#This Row],[Dividend Option]]="CIP","11",IF(DivAndTax[[#This Row],[Dividend Option]]="CASH","22"))</f>
        <v>11</v>
      </c>
      <c r="V84" s="285" t="s">
        <v>1205</v>
      </c>
      <c r="XCX84"/>
    </row>
    <row r="85" spans="1:22 16326:16326">
      <c r="A85" s="188">
        <v>2024</v>
      </c>
      <c r="B85" s="188">
        <v>1</v>
      </c>
      <c r="C85" s="188">
        <v>1</v>
      </c>
      <c r="D85" s="189">
        <f t="shared" si="4"/>
        <v>45292</v>
      </c>
      <c r="E85" s="188">
        <v>2023</v>
      </c>
      <c r="F85" s="247">
        <v>45365</v>
      </c>
      <c r="G85" s="188" t="s">
        <v>696</v>
      </c>
      <c r="H85" s="190" t="str">
        <f>_xlfn.XLOOKUP(DivAndTax[[#This Row],[Investor ID]],INVESTORS_LIST[INVESTOR CODE],INVESTORS_LIST[INVESTOR NAME])</f>
        <v>DELTA BRAC HOUSING FINANCE CORPORATION LTD</v>
      </c>
      <c r="I85" s="8" t="str">
        <f>_xlfn.XLOOKUP(DivAndTax[[#This Row],[Investor ID]],INVESTORS_LIST[INVESTOR CODE],INVESTORS_LIST[TYPE OF INVESTOR])</f>
        <v>Company/Organization</v>
      </c>
      <c r="J85" s="290">
        <v>1000000</v>
      </c>
      <c r="K85" s="283">
        <v>0.25</v>
      </c>
      <c r="L85" s="283">
        <f>DivAndTax[[#This Row],[Total Units]]*DivAndTax[[#This Row],[Dividend Per Unit]]</f>
        <v>250000</v>
      </c>
      <c r="M85" s="283">
        <f>DivAndTax[[#This Row],[Gross Dividend]]</f>
        <v>250000</v>
      </c>
      <c r="N85" s="193">
        <v>0.2</v>
      </c>
      <c r="O85" s="283">
        <f>ROUND(IF((DivAndTax[[#This Row],[Taxable Dividend]]*DivAndTax[[#This Row],[Tax Rate
(If Applicable)]])&gt;0,DivAndTax[[#This Row],[Taxable Dividend]]*DivAndTax[[#This Row],[Tax Rate
(If Applicable)]],0),2)</f>
        <v>50000</v>
      </c>
      <c r="P85" s="283">
        <f t="shared" si="5"/>
        <v>200000</v>
      </c>
      <c r="Q85" s="194" t="s">
        <v>1194</v>
      </c>
      <c r="R85" s="284" t="s">
        <v>1141</v>
      </c>
      <c r="S85" s="283"/>
      <c r="T85" s="283" t="str">
        <f>DivAndTax[[#This Row],[Investor ID]]&amp;"-"&amp;(RIGHT(DivAndTax[[#This Row],[Accounting Year]],2))</f>
        <v>A00375-23</v>
      </c>
      <c r="U85" s="284" t="str">
        <f>IF(DivAndTax[[#This Row],[Dividend Option]]="CIP","11",IF(DivAndTax[[#This Row],[Dividend Option]]="CASH","22"))</f>
        <v>22</v>
      </c>
      <c r="V85" s="285"/>
      <c r="XCX85"/>
    </row>
    <row r="86" spans="1:22 16326:16326">
      <c r="A86" s="188">
        <v>2024</v>
      </c>
      <c r="B86" s="188">
        <v>1</v>
      </c>
      <c r="C86" s="188">
        <v>1</v>
      </c>
      <c r="D86" s="189">
        <f t="shared" si="4"/>
        <v>45292</v>
      </c>
      <c r="E86" s="188">
        <v>2023</v>
      </c>
      <c r="F86" s="247">
        <v>45365</v>
      </c>
      <c r="G86" s="188" t="s">
        <v>708</v>
      </c>
      <c r="H86" s="190" t="str">
        <f>_xlfn.XLOOKUP(DivAndTax[[#This Row],[Investor ID]],INVESTORS_LIST[INVESTOR CODE],INVESTORS_LIST[INVESTOR NAME])</f>
        <v>ANIK KUMAR GUPTA</v>
      </c>
      <c r="I86" s="8" t="str">
        <f>_xlfn.XLOOKUP(DivAndTax[[#This Row],[Investor ID]],INVESTORS_LIST[INVESTOR CODE],INVESTORS_LIST[TYPE OF INVESTOR])</f>
        <v>Individual</v>
      </c>
      <c r="J86" s="290">
        <v>402</v>
      </c>
      <c r="K86" s="283">
        <v>0.25</v>
      </c>
      <c r="L86" s="283">
        <f>DivAndTax[[#This Row],[Total Units]]*DivAndTax[[#This Row],[Dividend Per Unit]]</f>
        <v>100.5</v>
      </c>
      <c r="M86" s="283">
        <f>DivAndTax[[#This Row],[Gross Dividend]]</f>
        <v>100.5</v>
      </c>
      <c r="N86" s="193">
        <v>0.1</v>
      </c>
      <c r="O86" s="283">
        <f>ROUND(IF((DivAndTax[[#This Row],[Taxable Dividend]]*DivAndTax[[#This Row],[Tax Rate
(If Applicable)]])&gt;0,DivAndTax[[#This Row],[Taxable Dividend]]*DivAndTax[[#This Row],[Tax Rate
(If Applicable)]],0),2)</f>
        <v>10.050000000000001</v>
      </c>
      <c r="P86" s="283">
        <f t="shared" si="5"/>
        <v>90.45</v>
      </c>
      <c r="Q86" s="194" t="s">
        <v>1195</v>
      </c>
      <c r="R86" s="284" t="s">
        <v>1141</v>
      </c>
      <c r="S86" s="283"/>
      <c r="T86" s="283" t="str">
        <f>DivAndTax[[#This Row],[Investor ID]]&amp;"-"&amp;(RIGHT(DivAndTax[[#This Row],[Accounting Year]],2))</f>
        <v>A00381-23</v>
      </c>
      <c r="U86" s="284" t="str">
        <f>IF(DivAndTax[[#This Row],[Dividend Option]]="CIP","11",IF(DivAndTax[[#This Row],[Dividend Option]]="CASH","22"))</f>
        <v>22</v>
      </c>
      <c r="V86" s="285"/>
      <c r="XCX86"/>
    </row>
    <row r="87" spans="1:22 16326:16326">
      <c r="A87" s="188">
        <v>2024</v>
      </c>
      <c r="B87" s="188">
        <v>1</v>
      </c>
      <c r="C87" s="188">
        <v>1</v>
      </c>
      <c r="D87" s="189">
        <f t="shared" si="4"/>
        <v>45292</v>
      </c>
      <c r="E87" s="188">
        <v>2023</v>
      </c>
      <c r="F87" s="247">
        <v>45365</v>
      </c>
      <c r="G87" s="188" t="s">
        <v>709</v>
      </c>
      <c r="H87" s="190" t="str">
        <f>_xlfn.XLOOKUP(DivAndTax[[#This Row],[Investor ID]],INVESTORS_LIST[INVESTOR CODE],INVESTORS_LIST[INVESTOR NAME])</f>
        <v>MD. SHAHIDUL ISLAM</v>
      </c>
      <c r="I87" s="8" t="str">
        <f>_xlfn.XLOOKUP(DivAndTax[[#This Row],[Investor ID]],INVESTORS_LIST[INVESTOR CODE],INVESTORS_LIST[TYPE OF INVESTOR])</f>
        <v>Individual</v>
      </c>
      <c r="J87" s="290">
        <v>200</v>
      </c>
      <c r="K87" s="283">
        <v>0.25</v>
      </c>
      <c r="L87" s="283">
        <f>DivAndTax[[#This Row],[Total Units]]*DivAndTax[[#This Row],[Dividend Per Unit]]</f>
        <v>50</v>
      </c>
      <c r="M87" s="283">
        <f>DivAndTax[[#This Row],[Gross Dividend]]</f>
        <v>50</v>
      </c>
      <c r="N87" s="193">
        <v>0.1</v>
      </c>
      <c r="O87" s="283">
        <f>ROUND(IF((DivAndTax[[#This Row],[Taxable Dividend]]*DivAndTax[[#This Row],[Tax Rate
(If Applicable)]])&gt;0,DivAndTax[[#This Row],[Taxable Dividend]]*DivAndTax[[#This Row],[Tax Rate
(If Applicable)]],0),2)</f>
        <v>5</v>
      </c>
      <c r="P87" s="283">
        <f t="shared" si="5"/>
        <v>45</v>
      </c>
      <c r="Q87" s="194" t="s">
        <v>1196</v>
      </c>
      <c r="R87" s="284" t="s">
        <v>1139</v>
      </c>
      <c r="S87" s="283"/>
      <c r="T87" s="283" t="str">
        <f>DivAndTax[[#This Row],[Investor ID]]&amp;"-"&amp;(RIGHT(DivAndTax[[#This Row],[Accounting Year]],2))</f>
        <v>A00382-23</v>
      </c>
      <c r="U87" s="284" t="str">
        <f>IF(DivAndTax[[#This Row],[Dividend Option]]="CIP","11",IF(DivAndTax[[#This Row],[Dividend Option]]="CASH","22"))</f>
        <v>11</v>
      </c>
      <c r="V87" s="285"/>
      <c r="XCX87"/>
    </row>
    <row r="88" spans="1:22 16326:16326">
      <c r="A88" s="188">
        <v>2024</v>
      </c>
      <c r="B88" s="188">
        <v>1</v>
      </c>
      <c r="C88" s="188">
        <v>1</v>
      </c>
      <c r="D88" s="189">
        <f t="shared" si="4"/>
        <v>45292</v>
      </c>
      <c r="E88" s="188">
        <v>2023</v>
      </c>
      <c r="F88" s="247">
        <v>45365</v>
      </c>
      <c r="G88" s="188" t="s">
        <v>853</v>
      </c>
      <c r="H88" s="190" t="str">
        <f>_xlfn.XLOOKUP(DivAndTax[[#This Row],[Investor ID]],INVESTORS_LIST[INVESTOR CODE],INVESTORS_LIST[INVESTOR NAME])</f>
        <v>FOUZIA RAHMAN</v>
      </c>
      <c r="I88" s="8" t="str">
        <f>_xlfn.XLOOKUP(DivAndTax[[#This Row],[Investor ID]],INVESTORS_LIST[INVESTOR CODE],INVESTORS_LIST[TYPE OF INVESTOR])</f>
        <v>Individual</v>
      </c>
      <c r="J88" s="290">
        <v>15000</v>
      </c>
      <c r="K88" s="283">
        <v>0.25</v>
      </c>
      <c r="L88" s="283">
        <f>DivAndTax[[#This Row],[Total Units]]*DivAndTax[[#This Row],[Dividend Per Unit]]</f>
        <v>3750</v>
      </c>
      <c r="M88" s="283">
        <f>DivAndTax[[#This Row],[Gross Dividend]]</f>
        <v>3750</v>
      </c>
      <c r="N88" s="193">
        <v>0.15</v>
      </c>
      <c r="O88" s="283">
        <f>ROUND(IF((DivAndTax[[#This Row],[Taxable Dividend]]*DivAndTax[[#This Row],[Tax Rate
(If Applicable)]])&gt;0,DivAndTax[[#This Row],[Taxable Dividend]]*DivAndTax[[#This Row],[Tax Rate
(If Applicable)]],0),2)</f>
        <v>562.5</v>
      </c>
      <c r="P88" s="283">
        <f t="shared" si="5"/>
        <v>3187.5</v>
      </c>
      <c r="Q88" s="194" t="s">
        <v>1146</v>
      </c>
      <c r="R88" s="284" t="s">
        <v>1139</v>
      </c>
      <c r="S88" s="283"/>
      <c r="T88" s="283" t="str">
        <f>DivAndTax[[#This Row],[Investor ID]]&amp;"-"&amp;(RIGHT(DivAndTax[[#This Row],[Accounting Year]],2))</f>
        <v>A00389-23</v>
      </c>
      <c r="U88" s="284" t="str">
        <f>IF(DivAndTax[[#This Row],[Dividend Option]]="CIP","11",IF(DivAndTax[[#This Row],[Dividend Option]]="CASH","22"))</f>
        <v>11</v>
      </c>
      <c r="V88" s="285"/>
      <c r="XCX88"/>
    </row>
    <row r="89" spans="1:22 16326:16326">
      <c r="A89" s="188">
        <v>2024</v>
      </c>
      <c r="B89" s="188">
        <v>1</v>
      </c>
      <c r="C89" s="188">
        <v>1</v>
      </c>
      <c r="D89" s="189">
        <f t="shared" si="4"/>
        <v>45292</v>
      </c>
      <c r="E89" s="188">
        <v>2023</v>
      </c>
      <c r="F89" s="247">
        <v>45365</v>
      </c>
      <c r="G89" s="188" t="s">
        <v>883</v>
      </c>
      <c r="H89" s="190" t="str">
        <f>_xlfn.XLOOKUP(DivAndTax[[#This Row],[Investor ID]],INVESTORS_LIST[INVESTOR CODE],INVESTORS_LIST[INVESTOR NAME])</f>
        <v>SHAHINOOR KHANUM</v>
      </c>
      <c r="I89" s="8" t="str">
        <f>_xlfn.XLOOKUP(DivAndTax[[#This Row],[Investor ID]],INVESTORS_LIST[INVESTOR CODE],INVESTORS_LIST[TYPE OF INVESTOR])</f>
        <v>Individual</v>
      </c>
      <c r="J89" s="290">
        <v>10511</v>
      </c>
      <c r="K89" s="283">
        <v>0.25</v>
      </c>
      <c r="L89" s="283">
        <f>DivAndTax[[#This Row],[Total Units]]*DivAndTax[[#This Row],[Dividend Per Unit]]</f>
        <v>2627.75</v>
      </c>
      <c r="M89" s="283">
        <f>DivAndTax[[#This Row],[Gross Dividend]]</f>
        <v>2627.75</v>
      </c>
      <c r="N89" s="193">
        <v>0.1</v>
      </c>
      <c r="O89" s="283">
        <f>ROUND(IF((DivAndTax[[#This Row],[Taxable Dividend]]*DivAndTax[[#This Row],[Tax Rate
(If Applicable)]])&gt;0,DivAndTax[[#This Row],[Taxable Dividend]]*DivAndTax[[#This Row],[Tax Rate
(If Applicable)]],0),2)</f>
        <v>262.77999999999997</v>
      </c>
      <c r="P89" s="283">
        <f t="shared" si="5"/>
        <v>2364.9700000000003</v>
      </c>
      <c r="Q89" s="194" t="s">
        <v>1197</v>
      </c>
      <c r="R89" s="284" t="s">
        <v>1141</v>
      </c>
      <c r="S89" s="283"/>
      <c r="T89" s="283" t="str">
        <f>DivAndTax[[#This Row],[Investor ID]]&amp;"-"&amp;(RIGHT(DivAndTax[[#This Row],[Accounting Year]],2))</f>
        <v>A00405-23</v>
      </c>
      <c r="U89" s="284" t="str">
        <f>IF(DivAndTax[[#This Row],[Dividend Option]]="CIP","11",IF(DivAndTax[[#This Row],[Dividend Option]]="CASH","22"))</f>
        <v>22</v>
      </c>
      <c r="V89" s="285"/>
      <c r="XCX89"/>
    </row>
    <row r="90" spans="1:22 16326:16326">
      <c r="A90" s="188">
        <v>2024</v>
      </c>
      <c r="B90" s="188">
        <v>1</v>
      </c>
      <c r="C90" s="188">
        <v>1</v>
      </c>
      <c r="D90" s="189">
        <f t="shared" si="4"/>
        <v>45292</v>
      </c>
      <c r="E90" s="188">
        <v>2023</v>
      </c>
      <c r="F90" s="247">
        <v>45365</v>
      </c>
      <c r="G90" s="188" t="s">
        <v>912</v>
      </c>
      <c r="H90" s="190" t="str">
        <f>_xlfn.XLOOKUP(DivAndTax[[#This Row],[Investor ID]],INVESTORS_LIST[INVESTOR CODE],INVESTORS_LIST[INVESTOR NAME])</f>
        <v>NANDA DULAL SAHA</v>
      </c>
      <c r="I90" s="8" t="str">
        <f>_xlfn.XLOOKUP(DivAndTax[[#This Row],[Investor ID]],INVESTORS_LIST[INVESTOR CODE],INVESTORS_LIST[TYPE OF INVESTOR])</f>
        <v>Individual</v>
      </c>
      <c r="J90" s="290">
        <v>5332</v>
      </c>
      <c r="K90" s="283">
        <v>0.25</v>
      </c>
      <c r="L90" s="283">
        <f>DivAndTax[[#This Row],[Total Units]]*DivAndTax[[#This Row],[Dividend Per Unit]]</f>
        <v>1333</v>
      </c>
      <c r="M90" s="283">
        <f>DivAndTax[[#This Row],[Gross Dividend]]</f>
        <v>1333</v>
      </c>
      <c r="N90" s="193">
        <v>0.1</v>
      </c>
      <c r="O90" s="283">
        <f>ROUND(IF((DivAndTax[[#This Row],[Taxable Dividend]]*DivAndTax[[#This Row],[Tax Rate
(If Applicable)]])&gt;0,DivAndTax[[#This Row],[Taxable Dividend]]*DivAndTax[[#This Row],[Tax Rate
(If Applicable)]],0),2)</f>
        <v>133.30000000000001</v>
      </c>
      <c r="P90" s="283">
        <f t="shared" si="5"/>
        <v>1199.7</v>
      </c>
      <c r="Q90" s="194" t="s">
        <v>1198</v>
      </c>
      <c r="R90" s="284" t="s">
        <v>1141</v>
      </c>
      <c r="S90" s="283"/>
      <c r="T90" s="283" t="str">
        <f>DivAndTax[[#This Row],[Investor ID]]&amp;"-"&amp;(RIGHT(DivAndTax[[#This Row],[Accounting Year]],2))</f>
        <v>A00417-23</v>
      </c>
      <c r="U90" s="284" t="str">
        <f>IF(DivAndTax[[#This Row],[Dividend Option]]="CIP","11",IF(DivAndTax[[#This Row],[Dividend Option]]="CASH","22"))</f>
        <v>22</v>
      </c>
      <c r="V90" s="285"/>
      <c r="XCX90"/>
    </row>
    <row r="91" spans="1:22 16326:16326">
      <c r="A91" s="188">
        <v>2024</v>
      </c>
      <c r="B91" s="188">
        <v>1</v>
      </c>
      <c r="C91" s="188">
        <v>1</v>
      </c>
      <c r="D91" s="189">
        <f t="shared" si="4"/>
        <v>45292</v>
      </c>
      <c r="E91" s="188">
        <v>2023</v>
      </c>
      <c r="F91" s="247">
        <v>45365</v>
      </c>
      <c r="G91" s="188" t="s">
        <v>914</v>
      </c>
      <c r="H91" s="190" t="str">
        <f>_xlfn.XLOOKUP(DivAndTax[[#This Row],[Investor ID]],INVESTORS_LIST[INVESTOR CODE],INVESTORS_LIST[INVESTOR NAME])</f>
        <v>MD. SOHEL ANWAR</v>
      </c>
      <c r="I91" s="8" t="str">
        <f>_xlfn.XLOOKUP(DivAndTax[[#This Row],[Investor ID]],INVESTORS_LIST[INVESTOR CODE],INVESTORS_LIST[TYPE OF INVESTOR])</f>
        <v>Individual</v>
      </c>
      <c r="J91" s="290">
        <v>50865</v>
      </c>
      <c r="K91" s="283">
        <v>0.25</v>
      </c>
      <c r="L91" s="283">
        <f>DivAndTax[[#This Row],[Total Units]]*DivAndTax[[#This Row],[Dividend Per Unit]]</f>
        <v>12716.25</v>
      </c>
      <c r="M91" s="283">
        <f>DivAndTax[[#This Row],[Gross Dividend]]</f>
        <v>12716.25</v>
      </c>
      <c r="N91" s="193">
        <v>0.1</v>
      </c>
      <c r="O91" s="283">
        <f>ROUND(IF((DivAndTax[[#This Row],[Taxable Dividend]]*DivAndTax[[#This Row],[Tax Rate
(If Applicable)]])&gt;0,DivAndTax[[#This Row],[Taxable Dividend]]*DivAndTax[[#This Row],[Tax Rate
(If Applicable)]],0),2)</f>
        <v>1271.6300000000001</v>
      </c>
      <c r="P91" s="283">
        <f t="shared" si="5"/>
        <v>11444.619999999999</v>
      </c>
      <c r="Q91" s="194" t="s">
        <v>1199</v>
      </c>
      <c r="R91" s="284" t="s">
        <v>1141</v>
      </c>
      <c r="S91" s="283"/>
      <c r="T91" s="283" t="str">
        <f>DivAndTax[[#This Row],[Investor ID]]&amp;"-"&amp;(RIGHT(DivAndTax[[#This Row],[Accounting Year]],2))</f>
        <v>A00418-23</v>
      </c>
      <c r="U91" s="284" t="str">
        <f>IF(DivAndTax[[#This Row],[Dividend Option]]="CIP","11",IF(DivAndTax[[#This Row],[Dividend Option]]="CASH","22"))</f>
        <v>22</v>
      </c>
      <c r="V91" s="285"/>
      <c r="XCX91"/>
    </row>
    <row r="92" spans="1:22 16326:16326">
      <c r="A92" s="188">
        <v>2024</v>
      </c>
      <c r="B92" s="188">
        <v>1</v>
      </c>
      <c r="C92" s="188">
        <v>1</v>
      </c>
      <c r="D92" s="189">
        <f t="shared" si="4"/>
        <v>45292</v>
      </c>
      <c r="E92" s="188">
        <v>2023</v>
      </c>
      <c r="F92" s="247">
        <v>45365</v>
      </c>
      <c r="G92" s="188" t="s">
        <v>913</v>
      </c>
      <c r="H92" s="190" t="str">
        <f>_xlfn.XLOOKUP(DivAndTax[[#This Row],[Investor ID]],INVESTORS_LIST[INVESTOR CODE],INVESTORS_LIST[INVESTOR NAME])</f>
        <v>MAZED AHMED ABDULLAH</v>
      </c>
      <c r="I92" s="8" t="str">
        <f>_xlfn.XLOOKUP(DivAndTax[[#This Row],[Investor ID]],INVESTORS_LIST[INVESTOR CODE],INVESTORS_LIST[TYPE OF INVESTOR])</f>
        <v>Individual</v>
      </c>
      <c r="J92" s="290">
        <v>20213</v>
      </c>
      <c r="K92" s="283">
        <v>0.25</v>
      </c>
      <c r="L92" s="283">
        <f>DivAndTax[[#This Row],[Total Units]]*DivAndTax[[#This Row],[Dividend Per Unit]]</f>
        <v>5053.25</v>
      </c>
      <c r="M92" s="283">
        <f>DivAndTax[[#This Row],[Gross Dividend]]</f>
        <v>5053.25</v>
      </c>
      <c r="N92" s="193">
        <v>0.1</v>
      </c>
      <c r="O92" s="283">
        <f>ROUND(IF((DivAndTax[[#This Row],[Taxable Dividend]]*DivAndTax[[#This Row],[Tax Rate
(If Applicable)]])&gt;0,DivAndTax[[#This Row],[Taxable Dividend]]*DivAndTax[[#This Row],[Tax Rate
(If Applicable)]],0),2)</f>
        <v>505.33</v>
      </c>
      <c r="P92" s="283">
        <f t="shared" si="5"/>
        <v>4547.92</v>
      </c>
      <c r="Q92" s="194" t="s">
        <v>1200</v>
      </c>
      <c r="R92" s="284" t="s">
        <v>1141</v>
      </c>
      <c r="S92" s="283"/>
      <c r="T92" s="283" t="str">
        <f>DivAndTax[[#This Row],[Investor ID]]&amp;"-"&amp;(RIGHT(DivAndTax[[#This Row],[Accounting Year]],2))</f>
        <v>A00419-23</v>
      </c>
      <c r="U92" s="284" t="str">
        <f>IF(DivAndTax[[#This Row],[Dividend Option]]="CIP","11",IF(DivAndTax[[#This Row],[Dividend Option]]="CASH","22"))</f>
        <v>22</v>
      </c>
      <c r="V92" s="285"/>
      <c r="XCX92"/>
    </row>
    <row r="93" spans="1:22 16326:16326">
      <c r="A93" s="188">
        <v>2024</v>
      </c>
      <c r="B93" s="188">
        <v>1</v>
      </c>
      <c r="C93" s="188">
        <v>1</v>
      </c>
      <c r="D93" s="189">
        <f t="shared" si="4"/>
        <v>45292</v>
      </c>
      <c r="E93" s="188">
        <v>2023</v>
      </c>
      <c r="F93" s="247">
        <v>45365</v>
      </c>
      <c r="G93" s="188" t="s">
        <v>920</v>
      </c>
      <c r="H93" s="190" t="str">
        <f>_xlfn.XLOOKUP(DivAndTax[[#This Row],[Investor ID]],INVESTORS_LIST[INVESTOR CODE],INVESTORS_LIST[INVESTOR NAME])</f>
        <v>MAISHA MUSSARRAT</v>
      </c>
      <c r="I93" s="8" t="str">
        <f>_xlfn.XLOOKUP(DivAndTax[[#This Row],[Investor ID]],INVESTORS_LIST[INVESTOR CODE],INVESTORS_LIST[TYPE OF INVESTOR])</f>
        <v>Individual</v>
      </c>
      <c r="J93" s="290">
        <v>4113</v>
      </c>
      <c r="K93" s="283">
        <v>0.25</v>
      </c>
      <c r="L93" s="283">
        <f>DivAndTax[[#This Row],[Total Units]]*DivAndTax[[#This Row],[Dividend Per Unit]]</f>
        <v>1028.25</v>
      </c>
      <c r="M93" s="283">
        <f>DivAndTax[[#This Row],[Gross Dividend]]</f>
        <v>1028.25</v>
      </c>
      <c r="N93" s="193">
        <v>0</v>
      </c>
      <c r="O93" s="283">
        <f>ROUND(IF((DivAndTax[[#This Row],[Taxable Dividend]]*DivAndTax[[#This Row],[Tax Rate
(If Applicable)]])&gt;0,DivAndTax[[#This Row],[Taxable Dividend]]*DivAndTax[[#This Row],[Tax Rate
(If Applicable)]],0),2)</f>
        <v>0</v>
      </c>
      <c r="P93" s="283">
        <f t="shared" si="5"/>
        <v>1028.25</v>
      </c>
      <c r="Q93" s="194" t="s">
        <v>1201</v>
      </c>
      <c r="R93" s="284" t="s">
        <v>1139</v>
      </c>
      <c r="S93" s="283"/>
      <c r="T93" s="283" t="str">
        <f>DivAndTax[[#This Row],[Investor ID]]&amp;"-"&amp;(RIGHT(DivAndTax[[#This Row],[Accounting Year]],2))</f>
        <v>A00420-23</v>
      </c>
      <c r="U93" s="284" t="str">
        <f>IF(DivAndTax[[#This Row],[Dividend Option]]="CIP","11",IF(DivAndTax[[#This Row],[Dividend Option]]="CASH","22"))</f>
        <v>11</v>
      </c>
      <c r="V93" s="285" t="s">
        <v>1205</v>
      </c>
      <c r="XCX93"/>
    </row>
    <row r="94" spans="1:22 16326:16326">
      <c r="A94" s="188">
        <v>2024</v>
      </c>
      <c r="B94" s="188">
        <v>1</v>
      </c>
      <c r="C94" s="188">
        <v>1</v>
      </c>
      <c r="D94" s="189">
        <f t="shared" si="4"/>
        <v>45292</v>
      </c>
      <c r="E94" s="188">
        <v>2023</v>
      </c>
      <c r="F94" s="247">
        <v>45365</v>
      </c>
      <c r="G94" s="188" t="s">
        <v>925</v>
      </c>
      <c r="H94" s="190" t="str">
        <f>_xlfn.XLOOKUP(DivAndTax[[#This Row],[Investor ID]],INVESTORS_LIST[INVESTOR CODE],INVESTORS_LIST[INVESTOR NAME])</f>
        <v>MYAT MOE KHAING</v>
      </c>
      <c r="I94" s="8" t="str">
        <f>_xlfn.XLOOKUP(DivAndTax[[#This Row],[Investor ID]],INVESTORS_LIST[INVESTOR CODE],INVESTORS_LIST[TYPE OF INVESTOR])</f>
        <v>Individual</v>
      </c>
      <c r="J94" s="290">
        <v>50916</v>
      </c>
      <c r="K94" s="283">
        <v>0.25</v>
      </c>
      <c r="L94" s="283">
        <f>DivAndTax[[#This Row],[Total Units]]*DivAndTax[[#This Row],[Dividend Per Unit]]</f>
        <v>12729</v>
      </c>
      <c r="M94" s="283">
        <f>DivAndTax[[#This Row],[Gross Dividend]]</f>
        <v>12729</v>
      </c>
      <c r="N94" s="193">
        <v>0.1</v>
      </c>
      <c r="O94" s="283">
        <f>ROUND(IF((DivAndTax[[#This Row],[Taxable Dividend]]*DivAndTax[[#This Row],[Tax Rate
(If Applicable)]])&gt;0,DivAndTax[[#This Row],[Taxable Dividend]]*DivAndTax[[#This Row],[Tax Rate
(If Applicable)]],0),2)</f>
        <v>1272.9000000000001</v>
      </c>
      <c r="P94" s="283">
        <f t="shared" si="5"/>
        <v>11456.1</v>
      </c>
      <c r="Q94" s="194" t="s">
        <v>1202</v>
      </c>
      <c r="R94" s="284" t="s">
        <v>1141</v>
      </c>
      <c r="S94" s="283"/>
      <c r="T94" s="283" t="str">
        <f>DivAndTax[[#This Row],[Investor ID]]&amp;"-"&amp;(RIGHT(DivAndTax[[#This Row],[Accounting Year]],2))</f>
        <v>A00423-23</v>
      </c>
      <c r="U94" s="284" t="str">
        <f>IF(DivAndTax[[#This Row],[Dividend Option]]="CIP","11",IF(DivAndTax[[#This Row],[Dividend Option]]="CASH","22"))</f>
        <v>22</v>
      </c>
      <c r="V94" s="285"/>
      <c r="XCX94"/>
    </row>
    <row r="95" spans="1:22 16326:16326">
      <c r="A95" s="188">
        <v>2024</v>
      </c>
      <c r="B95" s="188">
        <v>1</v>
      </c>
      <c r="C95" s="188">
        <v>1</v>
      </c>
      <c r="D95" s="189">
        <f t="shared" si="4"/>
        <v>45292</v>
      </c>
      <c r="E95" s="188">
        <v>2023</v>
      </c>
      <c r="F95" s="247">
        <v>45365</v>
      </c>
      <c r="G95" s="188" t="s">
        <v>935</v>
      </c>
      <c r="H95" s="190" t="str">
        <f>_xlfn.XLOOKUP(DivAndTax[[#This Row],[Investor ID]],INVESTORS_LIST[INVESTOR CODE],INVESTORS_LIST[INVESTOR NAME])</f>
        <v>NASRIN AHMED HELA</v>
      </c>
      <c r="I95" s="8" t="str">
        <f>_xlfn.XLOOKUP(DivAndTax[[#This Row],[Investor ID]],INVESTORS_LIST[INVESTOR CODE],INVESTORS_LIST[TYPE OF INVESTOR])</f>
        <v>Individual</v>
      </c>
      <c r="J95" s="290">
        <v>10530</v>
      </c>
      <c r="K95" s="283">
        <v>0.25</v>
      </c>
      <c r="L95" s="283">
        <f>DivAndTax[[#This Row],[Total Units]]*DivAndTax[[#This Row],[Dividend Per Unit]]</f>
        <v>2632.5</v>
      </c>
      <c r="M95" s="283">
        <f>DivAndTax[[#This Row],[Gross Dividend]]</f>
        <v>2632.5</v>
      </c>
      <c r="N95" s="193">
        <v>0.1</v>
      </c>
      <c r="O95" s="283">
        <f>ROUND(IF((DivAndTax[[#This Row],[Taxable Dividend]]*DivAndTax[[#This Row],[Tax Rate
(If Applicable)]])&gt;0,DivAndTax[[#This Row],[Taxable Dividend]]*DivAndTax[[#This Row],[Tax Rate
(If Applicable)]],0),2)</f>
        <v>263.25</v>
      </c>
      <c r="P95" s="283">
        <f t="shared" si="5"/>
        <v>2369.25</v>
      </c>
      <c r="Q95" s="194" t="s">
        <v>1203</v>
      </c>
      <c r="R95" s="284" t="s">
        <v>1139</v>
      </c>
      <c r="S95" s="283"/>
      <c r="T95" s="283" t="str">
        <f>DivAndTax[[#This Row],[Investor ID]]&amp;"-"&amp;(RIGHT(DivAndTax[[#This Row],[Accounting Year]],2))</f>
        <v>A00428-23</v>
      </c>
      <c r="U95" s="284" t="str">
        <f>IF(DivAndTax[[#This Row],[Dividend Option]]="CIP","11",IF(DivAndTax[[#This Row],[Dividend Option]]="CASH","22"))</f>
        <v>11</v>
      </c>
      <c r="V95" s="285"/>
      <c r="XCX95"/>
    </row>
    <row r="96" spans="1:22 16326:16326">
      <c r="A96" s="188">
        <v>2024</v>
      </c>
      <c r="B96" s="188">
        <v>1</v>
      </c>
      <c r="C96" s="188">
        <v>1</v>
      </c>
      <c r="D96" s="189">
        <f t="shared" si="4"/>
        <v>45292</v>
      </c>
      <c r="E96" s="188">
        <v>2023</v>
      </c>
      <c r="F96" s="247">
        <v>45365</v>
      </c>
      <c r="G96" s="188" t="s">
        <v>1036</v>
      </c>
      <c r="H96" s="190" t="str">
        <f>_xlfn.XLOOKUP(DivAndTax[[#This Row],[Investor ID]],INVESTORS_LIST[INVESTOR CODE],INVESTORS_LIST[INVESTOR NAME])</f>
        <v>SANDHANI AML SLIC FIXED INCOME FUND</v>
      </c>
      <c r="I96" s="8" t="str">
        <f>_xlfn.XLOOKUP(DivAndTax[[#This Row],[Investor ID]],INVESTORS_LIST[INVESTOR CODE],INVESTORS_LIST[TYPE OF INVESTOR])</f>
        <v>Mutual Fund</v>
      </c>
      <c r="J96" s="290">
        <v>390750</v>
      </c>
      <c r="K96" s="283">
        <v>0.25</v>
      </c>
      <c r="L96" s="283">
        <f>DivAndTax[[#This Row],[Total Units]]*DivAndTax[[#This Row],[Dividend Per Unit]]</f>
        <v>97687.5</v>
      </c>
      <c r="M96" s="283">
        <f>DivAndTax[[#This Row],[Gross Dividend]]</f>
        <v>97687.5</v>
      </c>
      <c r="N96" s="193">
        <v>0</v>
      </c>
      <c r="O96" s="283">
        <f>ROUND(IF((DivAndTax[[#This Row],[Taxable Dividend]]*DivAndTax[[#This Row],[Tax Rate
(If Applicable)]])&gt;0,DivAndTax[[#This Row],[Taxable Dividend]]*DivAndTax[[#This Row],[Tax Rate
(If Applicable)]],0),2)</f>
        <v>0</v>
      </c>
      <c r="P96" s="283">
        <f t="shared" si="5"/>
        <v>97687.5</v>
      </c>
      <c r="Q96" s="194" t="s">
        <v>1146</v>
      </c>
      <c r="R96" s="284" t="s">
        <v>1139</v>
      </c>
      <c r="S96" s="283"/>
      <c r="T96" s="283" t="str">
        <f>DivAndTax[[#This Row],[Investor ID]]&amp;"-"&amp;(RIGHT(DivAndTax[[#This Row],[Accounting Year]],2))</f>
        <v>A00466-23</v>
      </c>
      <c r="U96" s="284" t="str">
        <f>IF(DivAndTax[[#This Row],[Dividend Option]]="CIP","11",IF(DivAndTax[[#This Row],[Dividend Option]]="CASH","22"))</f>
        <v>11</v>
      </c>
      <c r="V96" s="285"/>
      <c r="XCX96"/>
    </row>
    <row r="97" spans="1:22">
      <c r="A97" s="188">
        <v>2025</v>
      </c>
      <c r="B97" s="188">
        <v>1</v>
      </c>
      <c r="C97" s="188">
        <v>1</v>
      </c>
      <c r="D97" s="189">
        <f t="shared" ref="D97:D98" si="6">IFERROR(DATE(A97,B97,C97)," ")</f>
        <v>45658</v>
      </c>
      <c r="E97" s="188">
        <v>2024</v>
      </c>
      <c r="F97" s="247">
        <v>45734</v>
      </c>
      <c r="G97" s="188" t="s">
        <v>1</v>
      </c>
      <c r="H97" s="190" t="str">
        <f>_xlfn.XLOOKUP(DivAndTax[[#This Row],[Investor ID]],INVESTORS_LIST[INVESTOR CODE],INVESTORS_LIST[INVESTOR NAME])</f>
        <v>HARI PADA SAHA</v>
      </c>
      <c r="I97" s="8" t="str">
        <f>_xlfn.XLOOKUP(DivAndTax[[#This Row],[Investor ID]],INVESTORS_LIST[INVESTOR CODE],INVESTORS_LIST[TYPE OF INVESTOR])</f>
        <v>Individual</v>
      </c>
      <c r="J97" s="290">
        <v>69467</v>
      </c>
      <c r="K97" s="283">
        <v>0.5</v>
      </c>
      <c r="L97" s="283">
        <f>DivAndTax[[#This Row],[Total Units]]*DivAndTax[[#This Row],[Dividend Per Unit]]</f>
        <v>34733.5</v>
      </c>
      <c r="M97" s="283">
        <f>DivAndTax[[#This Row],[Gross Dividend]]</f>
        <v>34733.5</v>
      </c>
      <c r="N97" s="193" cm="1">
        <f t="array" ref="N9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97" s="283">
        <f>ROUND(IF((DivAndTax[[#This Row],[Taxable Dividend]]*DivAndTax[[#This Row],[Tax Rate
(If Applicable)]])&gt;0,DivAndTax[[#This Row],[Taxable Dividend]]*DivAndTax[[#This Row],[Tax Rate
(If Applicable)]],0),2)</f>
        <v>5210.03</v>
      </c>
      <c r="P97" s="283">
        <f t="shared" ref="P97:P98" si="7">L97-O97</f>
        <v>29523.47</v>
      </c>
      <c r="Q97" s="211" t="s">
        <v>1146</v>
      </c>
      <c r="R97" s="283" t="s">
        <v>1139</v>
      </c>
      <c r="S97" s="283"/>
      <c r="T97" s="283" t="str">
        <f>DivAndTax[[#This Row],[Investor ID]]&amp;"-"&amp;(RIGHT(DivAndTax[[#This Row],[Accounting Year]],2))</f>
        <v>A00002-24</v>
      </c>
      <c r="U97" s="283" t="str">
        <f>IF(DivAndTax[[#This Row],[Dividend Option]]="CIP","11",IF(DivAndTax[[#This Row],[Dividend Option]]="CASH","22"))</f>
        <v>11</v>
      </c>
      <c r="V97" s="285"/>
    </row>
    <row r="98" spans="1:22">
      <c r="A98" s="188">
        <v>2025</v>
      </c>
      <c r="B98" s="188">
        <v>1</v>
      </c>
      <c r="C98" s="188">
        <v>1</v>
      </c>
      <c r="D98" s="189">
        <f t="shared" si="6"/>
        <v>45658</v>
      </c>
      <c r="E98" s="188">
        <v>2024</v>
      </c>
      <c r="F98" s="247">
        <v>45734</v>
      </c>
      <c r="G98" s="188" t="s">
        <v>4</v>
      </c>
      <c r="H98" s="190" t="str">
        <f>_xlfn.XLOOKUP(DivAndTax[[#This Row],[Investor ID]],INVESTORS_LIST[INVESTOR CODE],INVESTORS_LIST[INVESTOR NAME])</f>
        <v>EKUSH WEALTH MANAGEMENT LIMITED</v>
      </c>
      <c r="I98" s="8" t="str">
        <f>_xlfn.XLOOKUP(DivAndTax[[#This Row],[Investor ID]],INVESTORS_LIST[INVESTOR CODE],INVESTORS_LIST[TYPE OF INVESTOR])</f>
        <v>Company/Organization</v>
      </c>
      <c r="J98" s="290">
        <v>2841080</v>
      </c>
      <c r="K98" s="283">
        <v>0.5</v>
      </c>
      <c r="L98" s="283">
        <f>DivAndTax[[#This Row],[Total Units]]*DivAndTax[[#This Row],[Dividend Per Unit]]</f>
        <v>1420540</v>
      </c>
      <c r="M98" s="283">
        <f>DivAndTax[[#This Row],[Gross Dividend]]</f>
        <v>1420540</v>
      </c>
      <c r="N98" s="193" cm="1">
        <f t="array" ref="N9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98" s="283">
        <f>ROUND(IF((DivAndTax[[#This Row],[Taxable Dividend]]*DivAndTax[[#This Row],[Tax Rate
(If Applicable)]])&gt;0,DivAndTax[[#This Row],[Taxable Dividend]]*DivAndTax[[#This Row],[Tax Rate
(If Applicable)]],0),2)</f>
        <v>284108</v>
      </c>
      <c r="P98" s="283">
        <f t="shared" si="7"/>
        <v>1136432</v>
      </c>
      <c r="Q98" s="211" t="s">
        <v>1140</v>
      </c>
      <c r="R98" s="283" t="s">
        <v>1139</v>
      </c>
      <c r="S98" s="283"/>
      <c r="T98" s="283" t="str">
        <f>DivAndTax[[#This Row],[Investor ID]]&amp;"-"&amp;(RIGHT(DivAndTax[[#This Row],[Accounting Year]],2))</f>
        <v>A00003-24</v>
      </c>
      <c r="U98" s="283" t="str">
        <f>IF(DivAndTax[[#This Row],[Dividend Option]]="CIP","11",IF(DivAndTax[[#This Row],[Dividend Option]]="CASH","22"))</f>
        <v>11</v>
      </c>
      <c r="V98" s="285"/>
    </row>
    <row r="99" spans="1:22">
      <c r="A99" s="188">
        <v>2025</v>
      </c>
      <c r="B99" s="188">
        <v>1</v>
      </c>
      <c r="C99" s="188">
        <v>1</v>
      </c>
      <c r="D99" s="189">
        <f t="shared" ref="D99:D112" si="8">IFERROR(DATE(A99,B99,C99)," ")</f>
        <v>45658</v>
      </c>
      <c r="E99" s="188">
        <v>2024</v>
      </c>
      <c r="F99" s="247">
        <v>45734</v>
      </c>
      <c r="G99" s="188" t="s">
        <v>10</v>
      </c>
      <c r="H99" s="190" t="str">
        <f>_xlfn.XLOOKUP(DivAndTax[[#This Row],[Investor ID]],INVESTORS_LIST[INVESTOR CODE],INVESTORS_LIST[INVESTOR NAME])</f>
        <v>MORSHEDA MIM</v>
      </c>
      <c r="I99" s="8" t="str">
        <f>_xlfn.XLOOKUP(DivAndTax[[#This Row],[Investor ID]],INVESTORS_LIST[INVESTOR CODE],INVESTORS_LIST[TYPE OF INVESTOR])</f>
        <v>Individual</v>
      </c>
      <c r="J99" s="290">
        <v>59721</v>
      </c>
      <c r="K99" s="283">
        <v>0.5</v>
      </c>
      <c r="L99" s="283">
        <f>DivAndTax[[#This Row],[Total Units]]*DivAndTax[[#This Row],[Dividend Per Unit]]</f>
        <v>29860.5</v>
      </c>
      <c r="M99" s="283">
        <f>DivAndTax[[#This Row],[Gross Dividend]]</f>
        <v>29860.5</v>
      </c>
      <c r="N99" s="193" cm="1">
        <f t="array" ref="N9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99" s="283">
        <f>ROUND(IF((DivAndTax[[#This Row],[Taxable Dividend]]*DivAndTax[[#This Row],[Tax Rate
(If Applicable)]])&gt;0,DivAndTax[[#This Row],[Taxable Dividend]]*DivAndTax[[#This Row],[Tax Rate
(If Applicable)]],0),2)</f>
        <v>4479.08</v>
      </c>
      <c r="P99" s="283">
        <f t="shared" ref="P99:P112" si="9">L99-O99</f>
        <v>25381.42</v>
      </c>
      <c r="Q99" s="211" t="s">
        <v>1146</v>
      </c>
      <c r="R99" s="283" t="s">
        <v>1139</v>
      </c>
      <c r="S99" s="283"/>
      <c r="T99" s="283" t="str">
        <f>DivAndTax[[#This Row],[Investor ID]]&amp;"-"&amp;(RIGHT(DivAndTax[[#This Row],[Accounting Year]],2))</f>
        <v>A00005-24</v>
      </c>
      <c r="U99" s="283" t="str">
        <f>IF(DivAndTax[[#This Row],[Dividend Option]]="CIP","11",IF(DivAndTax[[#This Row],[Dividend Option]]="CASH","22"))</f>
        <v>11</v>
      </c>
      <c r="V99" s="285"/>
    </row>
    <row r="100" spans="1:22">
      <c r="A100" s="188">
        <v>2025</v>
      </c>
      <c r="B100" s="188">
        <v>1</v>
      </c>
      <c r="C100" s="188">
        <v>1</v>
      </c>
      <c r="D100" s="189">
        <f t="shared" si="8"/>
        <v>45658</v>
      </c>
      <c r="E100" s="188">
        <v>2024</v>
      </c>
      <c r="F100" s="247">
        <v>45734</v>
      </c>
      <c r="G100" s="188" t="s">
        <v>22</v>
      </c>
      <c r="H100" s="190" t="str">
        <f>_xlfn.XLOOKUP(DivAndTax[[#This Row],[Investor ID]],INVESTORS_LIST[INVESTOR CODE],INVESTORS_LIST[INVESTOR NAME])</f>
        <v>ABDUL HAI BHUYAN</v>
      </c>
      <c r="I100" s="8" t="str">
        <f>_xlfn.XLOOKUP(DivAndTax[[#This Row],[Investor ID]],INVESTORS_LIST[INVESTOR CODE],INVESTORS_LIST[TYPE OF INVESTOR])</f>
        <v>Individual</v>
      </c>
      <c r="J100" s="290">
        <v>20457</v>
      </c>
      <c r="K100" s="283">
        <v>0.5</v>
      </c>
      <c r="L100" s="283">
        <f>DivAndTax[[#This Row],[Total Units]]*DivAndTax[[#This Row],[Dividend Per Unit]]</f>
        <v>10228.5</v>
      </c>
      <c r="M100" s="283">
        <f>DivAndTax[[#This Row],[Gross Dividend]]</f>
        <v>10228.5</v>
      </c>
      <c r="N100" s="193" cm="1">
        <f t="array" ref="N10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00" s="283">
        <f>ROUND(IF((DivAndTax[[#This Row],[Taxable Dividend]]*DivAndTax[[#This Row],[Tax Rate
(If Applicable)]])&gt;0,DivAndTax[[#This Row],[Taxable Dividend]]*DivAndTax[[#This Row],[Tax Rate
(If Applicable)]],0),2)</f>
        <v>1022.85</v>
      </c>
      <c r="P100" s="283">
        <f t="shared" si="9"/>
        <v>9205.65</v>
      </c>
      <c r="Q100" s="211" t="s">
        <v>1142</v>
      </c>
      <c r="R100" s="283" t="s">
        <v>1139</v>
      </c>
      <c r="S100" s="283"/>
      <c r="T100" s="283" t="str">
        <f>DivAndTax[[#This Row],[Investor ID]]&amp;"-"&amp;(RIGHT(DivAndTax[[#This Row],[Accounting Year]],2))</f>
        <v>A00015-24</v>
      </c>
      <c r="U100" s="283" t="str">
        <f>IF(DivAndTax[[#This Row],[Dividend Option]]="CIP","11",IF(DivAndTax[[#This Row],[Dividend Option]]="CASH","22"))</f>
        <v>11</v>
      </c>
      <c r="V100" s="285"/>
    </row>
    <row r="101" spans="1:22">
      <c r="A101" s="188">
        <v>2025</v>
      </c>
      <c r="B101" s="188">
        <v>1</v>
      </c>
      <c r="C101" s="188">
        <v>1</v>
      </c>
      <c r="D101" s="189">
        <f t="shared" si="8"/>
        <v>45658</v>
      </c>
      <c r="E101" s="188">
        <v>2024</v>
      </c>
      <c r="F101" s="247">
        <v>45734</v>
      </c>
      <c r="G101" s="188" t="s">
        <v>27</v>
      </c>
      <c r="H101" s="190" t="str">
        <f>_xlfn.XLOOKUP(DivAndTax[[#This Row],[Investor ID]],INVESTORS_LIST[INVESTOR CODE],INVESTORS_LIST[INVESTOR NAME])</f>
        <v>MRIDUL KUMAR DEY</v>
      </c>
      <c r="I101" s="8" t="str">
        <f>_xlfn.XLOOKUP(DivAndTax[[#This Row],[Investor ID]],INVESTORS_LIST[INVESTOR CODE],INVESTORS_LIST[TYPE OF INVESTOR])</f>
        <v>Individual</v>
      </c>
      <c r="J101" s="290">
        <v>16463</v>
      </c>
      <c r="K101" s="283">
        <v>0.5</v>
      </c>
      <c r="L101" s="283">
        <f>DivAndTax[[#This Row],[Total Units]]*DivAndTax[[#This Row],[Dividend Per Unit]]</f>
        <v>8231.5</v>
      </c>
      <c r="M101" s="283">
        <f>DivAndTax[[#This Row],[Gross Dividend]]</f>
        <v>8231.5</v>
      </c>
      <c r="N101" s="193" cm="1">
        <f t="array" ref="N10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01" s="283">
        <f>ROUND(IF((DivAndTax[[#This Row],[Taxable Dividend]]*DivAndTax[[#This Row],[Tax Rate
(If Applicable)]])&gt;0,DivAndTax[[#This Row],[Taxable Dividend]]*DivAndTax[[#This Row],[Tax Rate
(If Applicable)]],0),2)</f>
        <v>823.15</v>
      </c>
      <c r="P101" s="283">
        <f t="shared" si="9"/>
        <v>7408.35</v>
      </c>
      <c r="Q101" s="211" t="s">
        <v>1144</v>
      </c>
      <c r="R101" s="283" t="s">
        <v>1139</v>
      </c>
      <c r="S101" s="283"/>
      <c r="T101" s="283" t="str">
        <f>DivAndTax[[#This Row],[Investor ID]]&amp;"-"&amp;(RIGHT(DivAndTax[[#This Row],[Accounting Year]],2))</f>
        <v>A00020-24</v>
      </c>
      <c r="U101" s="283" t="str">
        <f>IF(DivAndTax[[#This Row],[Dividend Option]]="CIP","11",IF(DivAndTax[[#This Row],[Dividend Option]]="CASH","22"))</f>
        <v>11</v>
      </c>
      <c r="V101" s="285"/>
    </row>
    <row r="102" spans="1:22">
      <c r="A102" s="188">
        <v>2025</v>
      </c>
      <c r="B102" s="188">
        <v>1</v>
      </c>
      <c r="C102" s="188">
        <v>1</v>
      </c>
      <c r="D102" s="189">
        <f t="shared" si="8"/>
        <v>45658</v>
      </c>
      <c r="E102" s="188">
        <v>2024</v>
      </c>
      <c r="F102" s="247">
        <v>45734</v>
      </c>
      <c r="G102" s="188" t="s">
        <v>33</v>
      </c>
      <c r="H102" s="190" t="str">
        <f>_xlfn.XLOOKUP(DivAndTax[[#This Row],[Investor ID]],INVESTORS_LIST[INVESTOR CODE],INVESTORS_LIST[INVESTOR NAME])</f>
        <v>FAHMIDA HAQUE</v>
      </c>
      <c r="I102" s="8" t="str">
        <f>_xlfn.XLOOKUP(DivAndTax[[#This Row],[Investor ID]],INVESTORS_LIST[INVESTOR CODE],INVESTORS_LIST[TYPE OF INVESTOR])</f>
        <v>Individual</v>
      </c>
      <c r="J102" s="290">
        <v>51658</v>
      </c>
      <c r="K102" s="283">
        <v>0.5</v>
      </c>
      <c r="L102" s="283">
        <f>DivAndTax[[#This Row],[Total Units]]*DivAndTax[[#This Row],[Dividend Per Unit]]</f>
        <v>25829</v>
      </c>
      <c r="M102" s="283">
        <f>DivAndTax[[#This Row],[Gross Dividend]]</f>
        <v>25829</v>
      </c>
      <c r="N102" s="193" cm="1">
        <f t="array" ref="N10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02" s="283">
        <f>ROUND(IF((DivAndTax[[#This Row],[Taxable Dividend]]*DivAndTax[[#This Row],[Tax Rate
(If Applicable)]])&gt;0,DivAndTax[[#This Row],[Taxable Dividend]]*DivAndTax[[#This Row],[Tax Rate
(If Applicable)]],0),2)</f>
        <v>2582.9</v>
      </c>
      <c r="P102" s="283">
        <f t="shared" si="9"/>
        <v>23246.1</v>
      </c>
      <c r="Q102" s="211" t="s">
        <v>1145</v>
      </c>
      <c r="R102" s="283" t="s">
        <v>1139</v>
      </c>
      <c r="S102" s="283"/>
      <c r="T102" s="283" t="str">
        <f>DivAndTax[[#This Row],[Investor ID]]&amp;"-"&amp;(RIGHT(DivAndTax[[#This Row],[Accounting Year]],2))</f>
        <v>A00026-24</v>
      </c>
      <c r="U102" s="283" t="str">
        <f>IF(DivAndTax[[#This Row],[Dividend Option]]="CIP","11",IF(DivAndTax[[#This Row],[Dividend Option]]="CASH","22"))</f>
        <v>11</v>
      </c>
      <c r="V102" s="285"/>
    </row>
    <row r="103" spans="1:22">
      <c r="A103" s="188">
        <v>2025</v>
      </c>
      <c r="B103" s="188">
        <v>1</v>
      </c>
      <c r="C103" s="188">
        <v>1</v>
      </c>
      <c r="D103" s="189">
        <f t="shared" si="8"/>
        <v>45658</v>
      </c>
      <c r="E103" s="188">
        <v>2024</v>
      </c>
      <c r="F103" s="247">
        <v>45734</v>
      </c>
      <c r="G103" s="188" t="s">
        <v>39</v>
      </c>
      <c r="H103" s="190" t="str">
        <f>_xlfn.XLOOKUP(DivAndTax[[#This Row],[Investor ID]],INVESTORS_LIST[INVESTOR CODE],INVESTORS_LIST[INVESTOR NAME])</f>
        <v>TANVIR AHMED SIDDIQUI</v>
      </c>
      <c r="I103" s="8" t="str">
        <f>_xlfn.XLOOKUP(DivAndTax[[#This Row],[Investor ID]],INVESTORS_LIST[INVESTOR CODE],INVESTORS_LIST[TYPE OF INVESTOR])</f>
        <v>Individual</v>
      </c>
      <c r="J103" s="290">
        <v>25334</v>
      </c>
      <c r="K103" s="283">
        <v>0.5</v>
      </c>
      <c r="L103" s="283">
        <f>DivAndTax[[#This Row],[Total Units]]*DivAndTax[[#This Row],[Dividend Per Unit]]</f>
        <v>12667</v>
      </c>
      <c r="M103" s="283">
        <f>DivAndTax[[#This Row],[Gross Dividend]]</f>
        <v>12667</v>
      </c>
      <c r="N103" s="193" cm="1">
        <f t="array" ref="N10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03" s="283">
        <f>ROUND(IF((DivAndTax[[#This Row],[Taxable Dividend]]*DivAndTax[[#This Row],[Tax Rate
(If Applicable)]])&gt;0,DivAndTax[[#This Row],[Taxable Dividend]]*DivAndTax[[#This Row],[Tax Rate
(If Applicable)]],0),2)</f>
        <v>1900.05</v>
      </c>
      <c r="P103" s="283">
        <f t="shared" si="9"/>
        <v>10766.95</v>
      </c>
      <c r="Q103" s="211" t="s">
        <v>1146</v>
      </c>
      <c r="R103" s="283" t="s">
        <v>1139</v>
      </c>
      <c r="S103" s="283"/>
      <c r="T103" s="283" t="str">
        <f>DivAndTax[[#This Row],[Investor ID]]&amp;"-"&amp;(RIGHT(DivAndTax[[#This Row],[Accounting Year]],2))</f>
        <v>A00032-24</v>
      </c>
      <c r="U103" s="283" t="str">
        <f>IF(DivAndTax[[#This Row],[Dividend Option]]="CIP","11",IF(DivAndTax[[#This Row],[Dividend Option]]="CASH","22"))</f>
        <v>11</v>
      </c>
      <c r="V103" s="285"/>
    </row>
    <row r="104" spans="1:22">
      <c r="A104" s="188">
        <v>2025</v>
      </c>
      <c r="B104" s="188">
        <v>1</v>
      </c>
      <c r="C104" s="188">
        <v>1</v>
      </c>
      <c r="D104" s="189">
        <f t="shared" si="8"/>
        <v>45658</v>
      </c>
      <c r="E104" s="188">
        <v>2024</v>
      </c>
      <c r="F104" s="247">
        <v>45734</v>
      </c>
      <c r="G104" s="188" t="s">
        <v>48</v>
      </c>
      <c r="H104" s="190" t="str">
        <f>_xlfn.XLOOKUP(DivAndTax[[#This Row],[Investor ID]],INVESTORS_LIST[INVESTOR CODE],INVESTORS_LIST[INVESTOR NAME])</f>
        <v>RAJIB ROY</v>
      </c>
      <c r="I104" s="8" t="str">
        <f>_xlfn.XLOOKUP(DivAndTax[[#This Row],[Investor ID]],INVESTORS_LIST[INVESTOR CODE],INVESTORS_LIST[TYPE OF INVESTOR])</f>
        <v>Individual</v>
      </c>
      <c r="J104" s="290">
        <v>15000</v>
      </c>
      <c r="K104" s="283">
        <v>0.5</v>
      </c>
      <c r="L104" s="283">
        <f>DivAndTax[[#This Row],[Total Units]]*DivAndTax[[#This Row],[Dividend Per Unit]]</f>
        <v>7500</v>
      </c>
      <c r="M104" s="283">
        <f>DivAndTax[[#This Row],[Gross Dividend]]</f>
        <v>7500</v>
      </c>
      <c r="N104" s="193" cm="1">
        <f t="array" ref="N10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04" s="283">
        <f>ROUND(IF((DivAndTax[[#This Row],[Taxable Dividend]]*DivAndTax[[#This Row],[Tax Rate
(If Applicable)]])&gt;0,DivAndTax[[#This Row],[Taxable Dividend]]*DivAndTax[[#This Row],[Tax Rate
(If Applicable)]],0),2)</f>
        <v>750</v>
      </c>
      <c r="P104" s="283">
        <f t="shared" si="9"/>
        <v>6750</v>
      </c>
      <c r="Q104" s="211" t="s">
        <v>1147</v>
      </c>
      <c r="R104" s="283" t="s">
        <v>1141</v>
      </c>
      <c r="S104" s="283"/>
      <c r="T104" s="283" t="str">
        <f>DivAndTax[[#This Row],[Investor ID]]&amp;"-"&amp;(RIGHT(DivAndTax[[#This Row],[Accounting Year]],2))</f>
        <v>A00041-24</v>
      </c>
      <c r="U104" s="283" t="str">
        <f>IF(DivAndTax[[#This Row],[Dividend Option]]="CIP","11",IF(DivAndTax[[#This Row],[Dividend Option]]="CASH","22"))</f>
        <v>22</v>
      </c>
      <c r="V104" s="285"/>
    </row>
    <row r="105" spans="1:22">
      <c r="A105" s="188">
        <v>2025</v>
      </c>
      <c r="B105" s="188">
        <v>1</v>
      </c>
      <c r="C105" s="188">
        <v>1</v>
      </c>
      <c r="D105" s="189">
        <f t="shared" si="8"/>
        <v>45658</v>
      </c>
      <c r="E105" s="188">
        <v>2024</v>
      </c>
      <c r="F105" s="247">
        <v>45734</v>
      </c>
      <c r="G105" s="188" t="s">
        <v>50</v>
      </c>
      <c r="H105" s="190" t="str">
        <f>_xlfn.XLOOKUP(DivAndTax[[#This Row],[Investor ID]],INVESTORS_LIST[INVESTOR CODE],INVESTORS_LIST[INVESTOR NAME])</f>
        <v>UCB STOCK BROKERAGE LIMITED</v>
      </c>
      <c r="I105" s="8" t="str">
        <f>_xlfn.XLOOKUP(DivAndTax[[#This Row],[Investor ID]],INVESTORS_LIST[INVESTOR CODE],INVESTORS_LIST[TYPE OF INVESTOR])</f>
        <v>Company/Organization</v>
      </c>
      <c r="J105" s="290">
        <v>255075</v>
      </c>
      <c r="K105" s="283">
        <v>0.5</v>
      </c>
      <c r="L105" s="283">
        <f>DivAndTax[[#This Row],[Total Units]]*DivAndTax[[#This Row],[Dividend Per Unit]]</f>
        <v>127537.5</v>
      </c>
      <c r="M105" s="283">
        <f>DivAndTax[[#This Row],[Gross Dividend]]</f>
        <v>127537.5</v>
      </c>
      <c r="N105" s="193" cm="1">
        <f t="array" ref="N10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05" s="283">
        <f>ROUND(IF((DivAndTax[[#This Row],[Taxable Dividend]]*DivAndTax[[#This Row],[Tax Rate
(If Applicable)]])&gt;0,DivAndTax[[#This Row],[Taxable Dividend]]*DivAndTax[[#This Row],[Tax Rate
(If Applicable)]],0),2)</f>
        <v>25507.5</v>
      </c>
      <c r="P105" s="283">
        <f t="shared" si="9"/>
        <v>102030</v>
      </c>
      <c r="Q105" s="211" t="s">
        <v>1148</v>
      </c>
      <c r="R105" s="283" t="s">
        <v>1139</v>
      </c>
      <c r="S105" s="283"/>
      <c r="T105" s="283" t="str">
        <f>DivAndTax[[#This Row],[Investor ID]]&amp;"-"&amp;(RIGHT(DivAndTax[[#This Row],[Accounting Year]],2))</f>
        <v>A00043-24</v>
      </c>
      <c r="U105" s="283" t="str">
        <f>IF(DivAndTax[[#This Row],[Dividend Option]]="CIP","11",IF(DivAndTax[[#This Row],[Dividend Option]]="CASH","22"))</f>
        <v>11</v>
      </c>
      <c r="V105" s="285"/>
    </row>
    <row r="106" spans="1:22">
      <c r="A106" s="188">
        <v>2025</v>
      </c>
      <c r="B106" s="188">
        <v>1</v>
      </c>
      <c r="C106" s="188">
        <v>1</v>
      </c>
      <c r="D106" s="189">
        <f t="shared" si="8"/>
        <v>45658</v>
      </c>
      <c r="E106" s="188">
        <v>2024</v>
      </c>
      <c r="F106" s="247">
        <v>45734</v>
      </c>
      <c r="G106" s="188" t="s">
        <v>54</v>
      </c>
      <c r="H106" s="190" t="str">
        <f>_xlfn.XLOOKUP(DivAndTax[[#This Row],[Investor ID]],INVESTORS_LIST[INVESTOR CODE],INVESTORS_LIST[INVESTOR NAME])</f>
        <v>NATIONAL BANK LTD</v>
      </c>
      <c r="I106" s="8" t="str">
        <f>_xlfn.XLOOKUP(DivAndTax[[#This Row],[Investor ID]],INVESTORS_LIST[INVESTOR CODE],INVESTORS_LIST[TYPE OF INVESTOR])</f>
        <v>Company/Organization</v>
      </c>
      <c r="J106" s="290">
        <v>250000</v>
      </c>
      <c r="K106" s="283">
        <v>0.5</v>
      </c>
      <c r="L106" s="283">
        <f>DivAndTax[[#This Row],[Total Units]]*DivAndTax[[#This Row],[Dividend Per Unit]]</f>
        <v>125000</v>
      </c>
      <c r="M106" s="283">
        <f>DivAndTax[[#This Row],[Gross Dividend]]</f>
        <v>125000</v>
      </c>
      <c r="N106" s="193" cm="1">
        <f t="array" ref="N10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06" s="283">
        <f>ROUND(IF((DivAndTax[[#This Row],[Taxable Dividend]]*DivAndTax[[#This Row],[Tax Rate
(If Applicable)]])&gt;0,DivAndTax[[#This Row],[Taxable Dividend]]*DivAndTax[[#This Row],[Tax Rate
(If Applicable)]],0),2)</f>
        <v>25000</v>
      </c>
      <c r="P106" s="283">
        <f t="shared" si="9"/>
        <v>100000</v>
      </c>
      <c r="Q106" s="211" t="s">
        <v>1146</v>
      </c>
      <c r="R106" s="283" t="s">
        <v>1141</v>
      </c>
      <c r="S106" s="283"/>
      <c r="T106" s="283" t="str">
        <f>DivAndTax[[#This Row],[Investor ID]]&amp;"-"&amp;(RIGHT(DivAndTax[[#This Row],[Accounting Year]],2))</f>
        <v>A00047-24</v>
      </c>
      <c r="U106" s="283" t="str">
        <f>IF(DivAndTax[[#This Row],[Dividend Option]]="CIP","11",IF(DivAndTax[[#This Row],[Dividend Option]]="CASH","22"))</f>
        <v>22</v>
      </c>
      <c r="V106" s="285"/>
    </row>
    <row r="107" spans="1:22">
      <c r="A107" s="188">
        <v>2025</v>
      </c>
      <c r="B107" s="188">
        <v>1</v>
      </c>
      <c r="C107" s="188">
        <v>1</v>
      </c>
      <c r="D107" s="189">
        <f t="shared" si="8"/>
        <v>45658</v>
      </c>
      <c r="E107" s="188">
        <v>2024</v>
      </c>
      <c r="F107" s="247">
        <v>45734</v>
      </c>
      <c r="G107" s="188" t="s">
        <v>56</v>
      </c>
      <c r="H107" s="190" t="str">
        <f>_xlfn.XLOOKUP(DivAndTax[[#This Row],[Investor ID]],INVESTORS_LIST[INVESTOR CODE],INVESTORS_LIST[INVESTOR NAME])</f>
        <v>PHOENIX INSURANCE CO. LTD. EMPL. P.F.</v>
      </c>
      <c r="I107" s="8" t="str">
        <f>_xlfn.XLOOKUP(DivAndTax[[#This Row],[Investor ID]],INVESTORS_LIST[INVESTOR CODE],INVESTORS_LIST[TYPE OF INVESTOR])</f>
        <v>Providend Fund</v>
      </c>
      <c r="J107" s="290">
        <v>102157</v>
      </c>
      <c r="K107" s="283">
        <v>0.5</v>
      </c>
      <c r="L107" s="283">
        <f>DivAndTax[[#This Row],[Total Units]]*DivAndTax[[#This Row],[Dividend Per Unit]]</f>
        <v>51078.5</v>
      </c>
      <c r="M107" s="283">
        <f>DivAndTax[[#This Row],[Gross Dividend]]</f>
        <v>51078.5</v>
      </c>
      <c r="N107" s="193" cm="1">
        <f t="array" ref="N10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07" s="283">
        <f>ROUND(IF((DivAndTax[[#This Row],[Taxable Dividend]]*DivAndTax[[#This Row],[Tax Rate
(If Applicable)]])&gt;0,DivAndTax[[#This Row],[Taxable Dividend]]*DivAndTax[[#This Row],[Tax Rate
(If Applicable)]],0),2)</f>
        <v>5107.8500000000004</v>
      </c>
      <c r="P107" s="283">
        <f t="shared" si="9"/>
        <v>45970.65</v>
      </c>
      <c r="Q107" s="211" t="s">
        <v>1146</v>
      </c>
      <c r="R107" s="283" t="s">
        <v>1141</v>
      </c>
      <c r="S107" s="283"/>
      <c r="T107" s="283" t="str">
        <f>DivAndTax[[#This Row],[Investor ID]]&amp;"-"&amp;(RIGHT(DivAndTax[[#This Row],[Accounting Year]],2))</f>
        <v>A00049-24</v>
      </c>
      <c r="U107" s="283" t="str">
        <f>IF(DivAndTax[[#This Row],[Dividend Option]]="CIP","11",IF(DivAndTax[[#This Row],[Dividend Option]]="CASH","22"))</f>
        <v>22</v>
      </c>
      <c r="V107" s="285"/>
    </row>
    <row r="108" spans="1:22">
      <c r="A108" s="188">
        <v>2025</v>
      </c>
      <c r="B108" s="188">
        <v>1</v>
      </c>
      <c r="C108" s="188">
        <v>1</v>
      </c>
      <c r="D108" s="189">
        <f t="shared" si="8"/>
        <v>45658</v>
      </c>
      <c r="E108" s="188">
        <v>2024</v>
      </c>
      <c r="F108" s="247">
        <v>45734</v>
      </c>
      <c r="G108" s="188" t="s">
        <v>58</v>
      </c>
      <c r="H108" s="190" t="str">
        <f>_xlfn.XLOOKUP(DivAndTax[[#This Row],[Investor ID]],INVESTORS_LIST[INVESTOR CODE],INVESTORS_LIST[INVESTOR NAME])</f>
        <v>SATCOM IT LTD. PROVIDENT FUND</v>
      </c>
      <c r="I108" s="8" t="str">
        <f>_xlfn.XLOOKUP(DivAndTax[[#This Row],[Investor ID]],INVESTORS_LIST[INVESTOR CODE],INVESTORS_LIST[TYPE OF INVESTOR])</f>
        <v>Providend Fund</v>
      </c>
      <c r="J108" s="290">
        <v>102157</v>
      </c>
      <c r="K108" s="283">
        <v>0.5</v>
      </c>
      <c r="L108" s="283">
        <f>DivAndTax[[#This Row],[Total Units]]*DivAndTax[[#This Row],[Dividend Per Unit]]</f>
        <v>51078.5</v>
      </c>
      <c r="M108" s="283">
        <f>DivAndTax[[#This Row],[Gross Dividend]]</f>
        <v>51078.5</v>
      </c>
      <c r="N108" s="193" cm="1">
        <f t="array" ref="N10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08" s="283">
        <f>ROUND(IF((DivAndTax[[#This Row],[Taxable Dividend]]*DivAndTax[[#This Row],[Tax Rate
(If Applicable)]])&gt;0,DivAndTax[[#This Row],[Taxable Dividend]]*DivAndTax[[#This Row],[Tax Rate
(If Applicable)]],0),2)</f>
        <v>5107.8500000000004</v>
      </c>
      <c r="P108" s="283">
        <f t="shared" si="9"/>
        <v>45970.65</v>
      </c>
      <c r="Q108" s="211" t="s">
        <v>1146</v>
      </c>
      <c r="R108" s="283" t="s">
        <v>1139</v>
      </c>
      <c r="S108" s="283"/>
      <c r="T108" s="283" t="str">
        <f>DivAndTax[[#This Row],[Investor ID]]&amp;"-"&amp;(RIGHT(DivAndTax[[#This Row],[Accounting Year]],2))</f>
        <v>A00051-24</v>
      </c>
      <c r="U108" s="283" t="str">
        <f>IF(DivAndTax[[#This Row],[Dividend Option]]="CIP","11",IF(DivAndTax[[#This Row],[Dividend Option]]="CASH","22"))</f>
        <v>11</v>
      </c>
      <c r="V108" s="285"/>
    </row>
    <row r="109" spans="1:22">
      <c r="A109" s="188">
        <v>2025</v>
      </c>
      <c r="B109" s="188">
        <v>1</v>
      </c>
      <c r="C109" s="188">
        <v>1</v>
      </c>
      <c r="D109" s="189">
        <f t="shared" si="8"/>
        <v>45658</v>
      </c>
      <c r="E109" s="188">
        <v>2024</v>
      </c>
      <c r="F109" s="247">
        <v>45734</v>
      </c>
      <c r="G109" s="188" t="s">
        <v>60</v>
      </c>
      <c r="H109" s="190" t="str">
        <f>_xlfn.XLOOKUP(DivAndTax[[#This Row],[Investor ID]],INVESTORS_LIST[INVESTOR CODE],INVESTORS_LIST[INVESTOR NAME])</f>
        <v>SHUVA SAHA</v>
      </c>
      <c r="I109" s="8" t="str">
        <f>_xlfn.XLOOKUP(DivAndTax[[#This Row],[Investor ID]],INVESTORS_LIST[INVESTOR CODE],INVESTORS_LIST[TYPE OF INVESTOR])</f>
        <v>Individual</v>
      </c>
      <c r="J109" s="290">
        <v>294644</v>
      </c>
      <c r="K109" s="283">
        <v>0.5</v>
      </c>
      <c r="L109" s="283">
        <f>DivAndTax[[#This Row],[Total Units]]*DivAndTax[[#This Row],[Dividend Per Unit]]</f>
        <v>147322</v>
      </c>
      <c r="M109" s="283">
        <f>DivAndTax[[#This Row],[Gross Dividend]]</f>
        <v>147322</v>
      </c>
      <c r="N109" s="193" cm="1">
        <f t="array" ref="N10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09" s="283">
        <f>ROUND(IF((DivAndTax[[#This Row],[Taxable Dividend]]*DivAndTax[[#This Row],[Tax Rate
(If Applicable)]])&gt;0,DivAndTax[[#This Row],[Taxable Dividend]]*DivAndTax[[#This Row],[Tax Rate
(If Applicable)]],0),2)</f>
        <v>14732.2</v>
      </c>
      <c r="P109" s="283">
        <f t="shared" si="9"/>
        <v>132589.79999999999</v>
      </c>
      <c r="Q109" s="211" t="s">
        <v>1149</v>
      </c>
      <c r="R109" s="283" t="s">
        <v>1139</v>
      </c>
      <c r="S109" s="283"/>
      <c r="T109" s="283" t="str">
        <f>DivAndTax[[#This Row],[Investor ID]]&amp;"-"&amp;(RIGHT(DivAndTax[[#This Row],[Accounting Year]],2))</f>
        <v>A00053-24</v>
      </c>
      <c r="U109" s="283" t="str">
        <f>IF(DivAndTax[[#This Row],[Dividend Option]]="CIP","11",IF(DivAndTax[[#This Row],[Dividend Option]]="CASH","22"))</f>
        <v>11</v>
      </c>
      <c r="V109" s="285"/>
    </row>
    <row r="110" spans="1:22">
      <c r="A110" s="188">
        <v>2025</v>
      </c>
      <c r="B110" s="188">
        <v>1</v>
      </c>
      <c r="C110" s="188">
        <v>1</v>
      </c>
      <c r="D110" s="189">
        <f t="shared" si="8"/>
        <v>45658</v>
      </c>
      <c r="E110" s="188">
        <v>2024</v>
      </c>
      <c r="F110" s="247">
        <v>45734</v>
      </c>
      <c r="G110" s="188" t="s">
        <v>62</v>
      </c>
      <c r="H110" s="190" t="str">
        <f>_xlfn.XLOOKUP(DivAndTax[[#This Row],[Investor ID]],INVESTORS_LIST[INVESTOR CODE],INVESTORS_LIST[INVESTOR NAME])</f>
        <v>KAZI AHSAN MARUF</v>
      </c>
      <c r="I110" s="8" t="str">
        <f>_xlfn.XLOOKUP(DivAndTax[[#This Row],[Investor ID]],INVESTORS_LIST[INVESTOR CODE],INVESTORS_LIST[TYPE OF INVESTOR])</f>
        <v>Individual</v>
      </c>
      <c r="J110" s="290">
        <v>167018</v>
      </c>
      <c r="K110" s="283">
        <v>0.5</v>
      </c>
      <c r="L110" s="283">
        <f>DivAndTax[[#This Row],[Total Units]]*DivAndTax[[#This Row],[Dividend Per Unit]]</f>
        <v>83509</v>
      </c>
      <c r="M110" s="283">
        <f>DivAndTax[[#This Row],[Gross Dividend]]</f>
        <v>83509</v>
      </c>
      <c r="N110" s="193" cm="1">
        <f t="array" ref="N11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10" s="283">
        <f>ROUND(IF((DivAndTax[[#This Row],[Taxable Dividend]]*DivAndTax[[#This Row],[Tax Rate
(If Applicable)]])&gt;0,DivAndTax[[#This Row],[Taxable Dividend]]*DivAndTax[[#This Row],[Tax Rate
(If Applicable)]],0),2)</f>
        <v>8350.9</v>
      </c>
      <c r="P110" s="283">
        <f t="shared" si="9"/>
        <v>75158.100000000006</v>
      </c>
      <c r="Q110" s="211" t="s">
        <v>1150</v>
      </c>
      <c r="R110" s="283" t="s">
        <v>1139</v>
      </c>
      <c r="S110" s="283"/>
      <c r="T110" s="283" t="str">
        <f>DivAndTax[[#This Row],[Investor ID]]&amp;"-"&amp;(RIGHT(DivAndTax[[#This Row],[Accounting Year]],2))</f>
        <v>A00055-24</v>
      </c>
      <c r="U110" s="283" t="str">
        <f>IF(DivAndTax[[#This Row],[Dividend Option]]="CIP","11",IF(DivAndTax[[#This Row],[Dividend Option]]="CASH","22"))</f>
        <v>11</v>
      </c>
      <c r="V110" s="285"/>
    </row>
    <row r="111" spans="1:22">
      <c r="A111" s="188">
        <v>2025</v>
      </c>
      <c r="B111" s="188">
        <v>1</v>
      </c>
      <c r="C111" s="188">
        <v>1</v>
      </c>
      <c r="D111" s="189">
        <f t="shared" si="8"/>
        <v>45658</v>
      </c>
      <c r="E111" s="188">
        <v>2024</v>
      </c>
      <c r="F111" s="247">
        <v>45734</v>
      </c>
      <c r="G111" s="188" t="s">
        <v>67</v>
      </c>
      <c r="H111" s="190" t="str">
        <f>_xlfn.XLOOKUP(DivAndTax[[#This Row],[Investor ID]],INVESTORS_LIST[INVESTOR CODE],INVESTORS_LIST[INVESTOR NAME])</f>
        <v>KANKA SAHA</v>
      </c>
      <c r="I111" s="8" t="str">
        <f>_xlfn.XLOOKUP(DivAndTax[[#This Row],[Investor ID]],INVESTORS_LIST[INVESTOR CODE],INVESTORS_LIST[TYPE OF INVESTOR])</f>
        <v>Individual</v>
      </c>
      <c r="J111" s="290">
        <v>51434</v>
      </c>
      <c r="K111" s="283">
        <v>0.5</v>
      </c>
      <c r="L111" s="283">
        <f>DivAndTax[[#This Row],[Total Units]]*DivAndTax[[#This Row],[Dividend Per Unit]]</f>
        <v>25717</v>
      </c>
      <c r="M111" s="283">
        <f>DivAndTax[[#This Row],[Gross Dividend]]</f>
        <v>25717</v>
      </c>
      <c r="N111" s="193" cm="1">
        <f t="array" ref="N11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11" s="283">
        <f>ROUND(IF((DivAndTax[[#This Row],[Taxable Dividend]]*DivAndTax[[#This Row],[Tax Rate
(If Applicable)]])&gt;0,DivAndTax[[#This Row],[Taxable Dividend]]*DivAndTax[[#This Row],[Tax Rate
(If Applicable)]],0),2)</f>
        <v>3857.55</v>
      </c>
      <c r="P111" s="283">
        <f t="shared" si="9"/>
        <v>21859.45</v>
      </c>
      <c r="Q111" s="211" t="s">
        <v>1146</v>
      </c>
      <c r="R111" s="283" t="s">
        <v>1139</v>
      </c>
      <c r="S111" s="283"/>
      <c r="T111" s="283" t="str">
        <f>DivAndTax[[#This Row],[Investor ID]]&amp;"-"&amp;(RIGHT(DivAndTax[[#This Row],[Accounting Year]],2))</f>
        <v>A00060-24</v>
      </c>
      <c r="U111" s="283" t="str">
        <f>IF(DivAndTax[[#This Row],[Dividend Option]]="CIP","11",IF(DivAndTax[[#This Row],[Dividend Option]]="CASH","22"))</f>
        <v>11</v>
      </c>
      <c r="V111" s="285"/>
    </row>
    <row r="112" spans="1:22">
      <c r="A112" s="188">
        <v>2025</v>
      </c>
      <c r="B112" s="188">
        <v>1</v>
      </c>
      <c r="C112" s="188">
        <v>1</v>
      </c>
      <c r="D112" s="189">
        <f t="shared" si="8"/>
        <v>45658</v>
      </c>
      <c r="E112" s="188">
        <v>2024</v>
      </c>
      <c r="F112" s="247">
        <v>45734</v>
      </c>
      <c r="G112" s="188" t="s">
        <v>73</v>
      </c>
      <c r="H112" s="190" t="str">
        <f>_xlfn.XLOOKUP(DivAndTax[[#This Row],[Investor ID]],INVESTORS_LIST[INVESTOR CODE],INVESTORS_LIST[INVESTOR NAME])</f>
        <v>REAZ UDDIN AHMED</v>
      </c>
      <c r="I112" s="8" t="str">
        <f>_xlfn.XLOOKUP(DivAndTax[[#This Row],[Investor ID]],INVESTORS_LIST[INVESTOR CODE],INVESTORS_LIST[TYPE OF INVESTOR])</f>
        <v>Individual</v>
      </c>
      <c r="J112" s="290">
        <v>1000</v>
      </c>
      <c r="K112" s="283">
        <v>0.5</v>
      </c>
      <c r="L112" s="283">
        <f>DivAndTax[[#This Row],[Total Units]]*DivAndTax[[#This Row],[Dividend Per Unit]]</f>
        <v>500</v>
      </c>
      <c r="M112" s="283">
        <f>DivAndTax[[#This Row],[Gross Dividend]]</f>
        <v>500</v>
      </c>
      <c r="N112" s="193" cm="1">
        <f t="array" ref="N11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12" s="283">
        <f>ROUND(IF((DivAndTax[[#This Row],[Taxable Dividend]]*DivAndTax[[#This Row],[Tax Rate
(If Applicable)]])&gt;0,DivAndTax[[#This Row],[Taxable Dividend]]*DivAndTax[[#This Row],[Tax Rate
(If Applicable)]],0),2)</f>
        <v>50</v>
      </c>
      <c r="P112" s="283">
        <f t="shared" si="9"/>
        <v>450</v>
      </c>
      <c r="Q112" s="211" t="s">
        <v>1151</v>
      </c>
      <c r="R112" s="283" t="s">
        <v>1141</v>
      </c>
      <c r="S112" s="283"/>
      <c r="T112" s="283" t="str">
        <f>DivAndTax[[#This Row],[Investor ID]]&amp;"-"&amp;(RIGHT(DivAndTax[[#This Row],[Accounting Year]],2))</f>
        <v>A00065-24</v>
      </c>
      <c r="U112" s="283" t="str">
        <f>IF(DivAndTax[[#This Row],[Dividend Option]]="CIP","11",IF(DivAndTax[[#This Row],[Dividend Option]]="CASH","22"))</f>
        <v>22</v>
      </c>
      <c r="V112" s="285"/>
    </row>
    <row r="113" spans="1:22">
      <c r="A113" s="188">
        <v>2025</v>
      </c>
      <c r="B113" s="188">
        <v>1</v>
      </c>
      <c r="C113" s="188">
        <v>1</v>
      </c>
      <c r="D113" s="189">
        <f t="shared" ref="D113:D114" si="10">IFERROR(DATE(A113,B113,C113)," ")</f>
        <v>45658</v>
      </c>
      <c r="E113" s="188">
        <v>2024</v>
      </c>
      <c r="F113" s="247">
        <v>45734</v>
      </c>
      <c r="G113" s="188" t="s">
        <v>76</v>
      </c>
      <c r="H113" s="190" t="str">
        <f>_xlfn.XLOOKUP(DivAndTax[[#This Row],[Investor ID]],INVESTORS_LIST[INVESTOR CODE],INVESTORS_LIST[INVESTOR NAME])</f>
        <v>PHOENIX INSURANCE CO. LTD.</v>
      </c>
      <c r="I113" s="8" t="str">
        <f>_xlfn.XLOOKUP(DivAndTax[[#This Row],[Investor ID]],INVESTORS_LIST[INVESTOR CODE],INVESTORS_LIST[TYPE OF INVESTOR])</f>
        <v>Company/Organization</v>
      </c>
      <c r="J113" s="290">
        <v>204060</v>
      </c>
      <c r="K113" s="283">
        <v>0.5</v>
      </c>
      <c r="L113" s="283">
        <f>DivAndTax[[#This Row],[Total Units]]*DivAndTax[[#This Row],[Dividend Per Unit]]</f>
        <v>102030</v>
      </c>
      <c r="M113" s="283">
        <f>DivAndTax[[#This Row],[Gross Dividend]]</f>
        <v>102030</v>
      </c>
      <c r="N113" s="193" cm="1">
        <f t="array" ref="N11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13" s="283">
        <f>ROUND(IF((DivAndTax[[#This Row],[Taxable Dividend]]*DivAndTax[[#This Row],[Tax Rate
(If Applicable)]])&gt;0,DivAndTax[[#This Row],[Taxable Dividend]]*DivAndTax[[#This Row],[Tax Rate
(If Applicable)]],0),2)</f>
        <v>20406</v>
      </c>
      <c r="P113" s="283">
        <f t="shared" ref="P113:P114" si="11">L113-O113</f>
        <v>81624</v>
      </c>
      <c r="Q113" s="211" t="s">
        <v>1146</v>
      </c>
      <c r="R113" s="283" t="s">
        <v>1139</v>
      </c>
      <c r="S113" s="283"/>
      <c r="T113" s="283" t="str">
        <f>DivAndTax[[#This Row],[Investor ID]]&amp;"-"&amp;(RIGHT(DivAndTax[[#This Row],[Accounting Year]],2))</f>
        <v>A00068-24</v>
      </c>
      <c r="U113" s="283" t="str">
        <f>IF(DivAndTax[[#This Row],[Dividend Option]]="CIP","11",IF(DivAndTax[[#This Row],[Dividend Option]]="CASH","22"))</f>
        <v>11</v>
      </c>
      <c r="V113" s="285"/>
    </row>
    <row r="114" spans="1:22">
      <c r="A114" s="188">
        <v>2025</v>
      </c>
      <c r="B114" s="188">
        <v>1</v>
      </c>
      <c r="C114" s="188">
        <v>1</v>
      </c>
      <c r="D114" s="189">
        <f t="shared" si="10"/>
        <v>45658</v>
      </c>
      <c r="E114" s="188">
        <v>2024</v>
      </c>
      <c r="F114" s="247">
        <v>45734</v>
      </c>
      <c r="G114" s="188" t="s">
        <v>77</v>
      </c>
      <c r="H114" s="190" t="str">
        <f>_xlfn.XLOOKUP(DivAndTax[[#This Row],[Investor ID]],INVESTORS_LIST[INVESTOR CODE],INVESTORS_LIST[INVESTOR NAME])</f>
        <v>UNICAP INVESTMENTS LIMITED</v>
      </c>
      <c r="I114" s="8" t="str">
        <f>_xlfn.XLOOKUP(DivAndTax[[#This Row],[Investor ID]],INVESTORS_LIST[INVESTOR CODE],INVESTORS_LIST[TYPE OF INVESTOR])</f>
        <v>Company/Organization</v>
      </c>
      <c r="J114" s="290">
        <v>102030</v>
      </c>
      <c r="K114" s="283">
        <v>0.5</v>
      </c>
      <c r="L114" s="283">
        <f>DivAndTax[[#This Row],[Total Units]]*DivAndTax[[#This Row],[Dividend Per Unit]]</f>
        <v>51015</v>
      </c>
      <c r="M114" s="283">
        <f>DivAndTax[[#This Row],[Gross Dividend]]</f>
        <v>51015</v>
      </c>
      <c r="N114" s="193" cm="1">
        <f t="array" ref="N11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14" s="283">
        <f>ROUND(IF((DivAndTax[[#This Row],[Taxable Dividend]]*DivAndTax[[#This Row],[Tax Rate
(If Applicable)]])&gt;0,DivAndTax[[#This Row],[Taxable Dividend]]*DivAndTax[[#This Row],[Tax Rate
(If Applicable)]],0),2)</f>
        <v>10203</v>
      </c>
      <c r="P114" s="283">
        <f t="shared" si="11"/>
        <v>40812</v>
      </c>
      <c r="Q114" s="211" t="s">
        <v>1146</v>
      </c>
      <c r="R114" s="283" t="s">
        <v>1139</v>
      </c>
      <c r="S114" s="283"/>
      <c r="T114" s="283" t="str">
        <f>DivAndTax[[#This Row],[Investor ID]]&amp;"-"&amp;(RIGHT(DivAndTax[[#This Row],[Accounting Year]],2))</f>
        <v>A00069-24</v>
      </c>
      <c r="U114" s="283" t="str">
        <f>IF(DivAndTax[[#This Row],[Dividend Option]]="CIP","11",IF(DivAndTax[[#This Row],[Dividend Option]]="CASH","22"))</f>
        <v>11</v>
      </c>
      <c r="V114" s="285"/>
    </row>
    <row r="115" spans="1:22">
      <c r="A115" s="188">
        <v>2025</v>
      </c>
      <c r="B115" s="188">
        <v>1</v>
      </c>
      <c r="C115" s="188">
        <v>1</v>
      </c>
      <c r="D115" s="189">
        <f>IFERROR(DATE(A115,B115,C115)," ")</f>
        <v>45658</v>
      </c>
      <c r="E115" s="188">
        <v>2024</v>
      </c>
      <c r="F115" s="247">
        <v>45734</v>
      </c>
      <c r="G115" s="188" t="s">
        <v>81</v>
      </c>
      <c r="H115" s="190" t="str">
        <f>_xlfn.XLOOKUP(DivAndTax[[#This Row],[Investor ID]],INVESTORS_LIST[INVESTOR CODE],INVESTORS_LIST[INVESTOR NAME])</f>
        <v>BILKISS ARA</v>
      </c>
      <c r="I115" s="8" t="str">
        <f>_xlfn.XLOOKUP(DivAndTax[[#This Row],[Investor ID]],INVESTORS_LIST[INVESTOR CODE],INVESTORS_LIST[TYPE OF INVESTOR])</f>
        <v>Individual</v>
      </c>
      <c r="J115" s="290">
        <v>99536</v>
      </c>
      <c r="K115" s="283">
        <v>0.5</v>
      </c>
      <c r="L115" s="283">
        <f>DivAndTax[[#This Row],[Total Units]]*DivAndTax[[#This Row],[Dividend Per Unit]]</f>
        <v>49768</v>
      </c>
      <c r="M115" s="283">
        <f>DivAndTax[[#This Row],[Gross Dividend]]</f>
        <v>49768</v>
      </c>
      <c r="N115" s="193" cm="1">
        <f t="array" ref="N11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15" s="283">
        <f>ROUND(IF((DivAndTax[[#This Row],[Taxable Dividend]]*DivAndTax[[#This Row],[Tax Rate
(If Applicable)]])&gt;0,DivAndTax[[#This Row],[Taxable Dividend]]*DivAndTax[[#This Row],[Tax Rate
(If Applicable)]],0),2)</f>
        <v>7465.2</v>
      </c>
      <c r="P115" s="283">
        <f>L115-O115</f>
        <v>42302.8</v>
      </c>
      <c r="Q115" s="211" t="s">
        <v>1146</v>
      </c>
      <c r="R115" s="283" t="s">
        <v>1139</v>
      </c>
      <c r="S115" s="283"/>
      <c r="T115" s="283" t="str">
        <f>DivAndTax[[#This Row],[Investor ID]]&amp;"-"&amp;(RIGHT(DivAndTax[[#This Row],[Accounting Year]],2))</f>
        <v>A00073-24</v>
      </c>
      <c r="U115" s="283" t="str">
        <f>IF(DivAndTax[[#This Row],[Dividend Option]]="CIP","11",IF(DivAndTax[[#This Row],[Dividend Option]]="CASH","22"))</f>
        <v>11</v>
      </c>
      <c r="V115" s="285"/>
    </row>
    <row r="116" spans="1:22">
      <c r="A116" s="188">
        <v>2025</v>
      </c>
      <c r="B116" s="188">
        <v>1</v>
      </c>
      <c r="C116" s="188">
        <v>1</v>
      </c>
      <c r="D116" s="189">
        <f t="shared" ref="D116:D118" si="12">IFERROR(DATE(A116,B116,C116)," ")</f>
        <v>45658</v>
      </c>
      <c r="E116" s="188">
        <v>2024</v>
      </c>
      <c r="F116" s="247">
        <v>45734</v>
      </c>
      <c r="G116" s="188" t="s">
        <v>83</v>
      </c>
      <c r="H116" s="190" t="str">
        <f>_xlfn.XLOOKUP(DivAndTax[[#This Row],[Investor ID]],INVESTORS_LIST[INVESTOR CODE],INVESTORS_LIST[INVESTOR NAME])</f>
        <v>RELIANCE INSURANCE lIMITED</v>
      </c>
      <c r="I116" s="8" t="str">
        <f>_xlfn.XLOOKUP(DivAndTax[[#This Row],[Investor ID]],INVESTORS_LIST[INVESTOR CODE],INVESTORS_LIST[TYPE OF INVESTOR])</f>
        <v>Company/Organization</v>
      </c>
      <c r="J116" s="290">
        <v>250000</v>
      </c>
      <c r="K116" s="283">
        <v>0.5</v>
      </c>
      <c r="L116" s="283">
        <f>DivAndTax[[#This Row],[Total Units]]*DivAndTax[[#This Row],[Dividend Per Unit]]</f>
        <v>125000</v>
      </c>
      <c r="M116" s="283">
        <f>DivAndTax[[#This Row],[Gross Dividend]]</f>
        <v>125000</v>
      </c>
      <c r="N116" s="193" cm="1">
        <f t="array" ref="N11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16" s="283">
        <f>ROUND(IF((DivAndTax[[#This Row],[Taxable Dividend]]*DivAndTax[[#This Row],[Tax Rate
(If Applicable)]])&gt;0,DivAndTax[[#This Row],[Taxable Dividend]]*DivAndTax[[#This Row],[Tax Rate
(If Applicable)]],0),2)</f>
        <v>25000</v>
      </c>
      <c r="P116" s="283">
        <f t="shared" ref="P116:P118" si="13">L116-O116</f>
        <v>100000</v>
      </c>
      <c r="Q116" s="211" t="s">
        <v>1153</v>
      </c>
      <c r="R116" s="283" t="s">
        <v>1141</v>
      </c>
      <c r="S116" s="283"/>
      <c r="T116" s="283" t="str">
        <f>DivAndTax[[#This Row],[Investor ID]]&amp;"-"&amp;(RIGHT(DivAndTax[[#This Row],[Accounting Year]],2))</f>
        <v>A00075-24</v>
      </c>
      <c r="U116" s="283" t="str">
        <f>IF(DivAndTax[[#This Row],[Dividend Option]]="CIP","11",IF(DivAndTax[[#This Row],[Dividend Option]]="CASH","22"))</f>
        <v>22</v>
      </c>
      <c r="V116" s="285"/>
    </row>
    <row r="117" spans="1:22">
      <c r="A117" s="188">
        <v>2025</v>
      </c>
      <c r="B117" s="188">
        <v>1</v>
      </c>
      <c r="C117" s="188">
        <v>1</v>
      </c>
      <c r="D117" s="189">
        <f t="shared" si="12"/>
        <v>45658</v>
      </c>
      <c r="E117" s="188">
        <v>2024</v>
      </c>
      <c r="F117" s="247">
        <v>45734</v>
      </c>
      <c r="G117" s="188" t="s">
        <v>84</v>
      </c>
      <c r="H117" s="190" t="str">
        <f>_xlfn.XLOOKUP(DivAndTax[[#This Row],[Investor ID]],INVESTORS_LIST[INVESTOR CODE],INVESTORS_LIST[INVESTOR NAME])</f>
        <v>MOHAMMAD SAYDUZZAMAN</v>
      </c>
      <c r="I117" s="8" t="str">
        <f>_xlfn.XLOOKUP(DivAndTax[[#This Row],[Investor ID]],INVESTORS_LIST[INVESTOR CODE],INVESTORS_LIST[TYPE OF INVESTOR])</f>
        <v>Individual</v>
      </c>
      <c r="J117" s="290">
        <v>30685</v>
      </c>
      <c r="K117" s="283">
        <v>0.5</v>
      </c>
      <c r="L117" s="283">
        <f>DivAndTax[[#This Row],[Total Units]]*DivAndTax[[#This Row],[Dividend Per Unit]]</f>
        <v>15342.5</v>
      </c>
      <c r="M117" s="283">
        <f>DivAndTax[[#This Row],[Gross Dividend]]</f>
        <v>15342.5</v>
      </c>
      <c r="N117" s="193" cm="1">
        <f t="array" ref="N11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17" s="283">
        <f>ROUND(IF((DivAndTax[[#This Row],[Taxable Dividend]]*DivAndTax[[#This Row],[Tax Rate
(If Applicable)]])&gt;0,DivAndTax[[#This Row],[Taxable Dividend]]*DivAndTax[[#This Row],[Tax Rate
(If Applicable)]],0),2)</f>
        <v>1534.25</v>
      </c>
      <c r="P117" s="283">
        <f t="shared" si="13"/>
        <v>13808.25</v>
      </c>
      <c r="Q117" s="211" t="s">
        <v>1154</v>
      </c>
      <c r="R117" s="283" t="s">
        <v>1139</v>
      </c>
      <c r="S117" s="283"/>
      <c r="T117" s="283" t="str">
        <f>DivAndTax[[#This Row],[Investor ID]]&amp;"-"&amp;(RIGHT(DivAndTax[[#This Row],[Accounting Year]],2))</f>
        <v>A00076-24</v>
      </c>
      <c r="U117" s="283" t="str">
        <f>IF(DivAndTax[[#This Row],[Dividend Option]]="CIP","11",IF(DivAndTax[[#This Row],[Dividend Option]]="CASH","22"))</f>
        <v>11</v>
      </c>
      <c r="V117" s="285"/>
    </row>
    <row r="118" spans="1:22">
      <c r="A118" s="188">
        <v>2025</v>
      </c>
      <c r="B118" s="188">
        <v>1</v>
      </c>
      <c r="C118" s="188">
        <v>1</v>
      </c>
      <c r="D118" s="189">
        <f t="shared" si="12"/>
        <v>45658</v>
      </c>
      <c r="E118" s="188">
        <v>2024</v>
      </c>
      <c r="F118" s="247">
        <v>45734</v>
      </c>
      <c r="G118" s="188" t="s">
        <v>85</v>
      </c>
      <c r="H118" s="190" t="str">
        <f>_xlfn.XLOOKUP(DivAndTax[[#This Row],[Investor ID]],INVESTORS_LIST[INVESTOR CODE],INVESTORS_LIST[INVESTOR NAME])</f>
        <v>JHARNA RANI SAHA</v>
      </c>
      <c r="I118" s="8" t="str">
        <f>_xlfn.XLOOKUP(DivAndTax[[#This Row],[Investor ID]],INVESTORS_LIST[INVESTOR CODE],INVESTORS_LIST[TYPE OF INVESTOR])</f>
        <v>Individual</v>
      </c>
      <c r="J118" s="290">
        <v>15343</v>
      </c>
      <c r="K118" s="283">
        <v>0.5</v>
      </c>
      <c r="L118" s="283">
        <f>DivAndTax[[#This Row],[Total Units]]*DivAndTax[[#This Row],[Dividend Per Unit]]</f>
        <v>7671.5</v>
      </c>
      <c r="M118" s="283">
        <f>DivAndTax[[#This Row],[Gross Dividend]]</f>
        <v>7671.5</v>
      </c>
      <c r="N118" s="193" cm="1">
        <f t="array" ref="N11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18" s="283">
        <f>ROUND(IF((DivAndTax[[#This Row],[Taxable Dividend]]*DivAndTax[[#This Row],[Tax Rate
(If Applicable)]])&gt;0,DivAndTax[[#This Row],[Taxable Dividend]]*DivAndTax[[#This Row],[Tax Rate
(If Applicable)]],0),2)</f>
        <v>767.15</v>
      </c>
      <c r="P118" s="283">
        <f t="shared" si="13"/>
        <v>6904.35</v>
      </c>
      <c r="Q118" s="211" t="s">
        <v>1155</v>
      </c>
      <c r="R118" s="283" t="s">
        <v>1139</v>
      </c>
      <c r="S118" s="283"/>
      <c r="T118" s="283" t="str">
        <f>DivAndTax[[#This Row],[Investor ID]]&amp;"-"&amp;(RIGHT(DivAndTax[[#This Row],[Accounting Year]],2))</f>
        <v>A00077-24</v>
      </c>
      <c r="U118" s="283" t="str">
        <f>IF(DivAndTax[[#This Row],[Dividend Option]]="CIP","11",IF(DivAndTax[[#This Row],[Dividend Option]]="CASH","22"))</f>
        <v>11</v>
      </c>
      <c r="V118" s="285"/>
    </row>
    <row r="119" spans="1:22">
      <c r="A119" s="188">
        <v>2025</v>
      </c>
      <c r="B119" s="188">
        <v>1</v>
      </c>
      <c r="C119" s="188">
        <v>1</v>
      </c>
      <c r="D119" s="189">
        <f>IFERROR(DATE(A119,B119,C119)," ")</f>
        <v>45658</v>
      </c>
      <c r="E119" s="188">
        <v>2024</v>
      </c>
      <c r="F119" s="247">
        <v>45734</v>
      </c>
      <c r="G119" s="188" t="s">
        <v>89</v>
      </c>
      <c r="H119" s="190" t="str">
        <f>_xlfn.XLOOKUP(DivAndTax[[#This Row],[Investor ID]],INVESTORS_LIST[INVESTOR CODE],INVESTORS_LIST[INVESTOR NAME])</f>
        <v>COMMUNITY BANK BANGLADESH LIMITED</v>
      </c>
      <c r="I119" s="8" t="str">
        <f>_xlfn.XLOOKUP(DivAndTax[[#This Row],[Investor ID]],INVESTORS_LIST[INVESTOR CODE],INVESTORS_LIST[TYPE OF INVESTOR])</f>
        <v>Company/Organization</v>
      </c>
      <c r="J119" s="290">
        <v>500000</v>
      </c>
      <c r="K119" s="283">
        <v>0.5</v>
      </c>
      <c r="L119" s="283">
        <f>DivAndTax[[#This Row],[Total Units]]*DivAndTax[[#This Row],[Dividend Per Unit]]</f>
        <v>250000</v>
      </c>
      <c r="M119" s="283">
        <f>DivAndTax[[#This Row],[Gross Dividend]]</f>
        <v>250000</v>
      </c>
      <c r="N119" s="193" cm="1">
        <f t="array" ref="N11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19" s="283">
        <f>ROUND(IF((DivAndTax[[#This Row],[Taxable Dividend]]*DivAndTax[[#This Row],[Tax Rate
(If Applicable)]])&gt;0,DivAndTax[[#This Row],[Taxable Dividend]]*DivAndTax[[#This Row],[Tax Rate
(If Applicable)]],0),2)</f>
        <v>50000</v>
      </c>
      <c r="P119" s="283">
        <f>L119-O119</f>
        <v>200000</v>
      </c>
      <c r="Q119" s="211" t="s">
        <v>1146</v>
      </c>
      <c r="R119" s="283" t="s">
        <v>1141</v>
      </c>
      <c r="S119" s="283"/>
      <c r="T119" s="283" t="str">
        <f>DivAndTax[[#This Row],[Investor ID]]&amp;"-"&amp;(RIGHT(DivAndTax[[#This Row],[Accounting Year]],2))</f>
        <v>A00081-24</v>
      </c>
      <c r="U119" s="283" t="str">
        <f>IF(DivAndTax[[#This Row],[Dividend Option]]="CIP","11",IF(DivAndTax[[#This Row],[Dividend Option]]="CASH","22"))</f>
        <v>22</v>
      </c>
      <c r="V119" s="285"/>
    </row>
    <row r="120" spans="1:22">
      <c r="A120" s="188">
        <v>2025</v>
      </c>
      <c r="B120" s="188">
        <v>1</v>
      </c>
      <c r="C120" s="188">
        <v>1</v>
      </c>
      <c r="D120" s="189">
        <f t="shared" ref="D120:D121" si="14">IFERROR(DATE(A120,B120,C120)," ")</f>
        <v>45658</v>
      </c>
      <c r="E120" s="188">
        <v>2024</v>
      </c>
      <c r="F120" s="247">
        <v>45734</v>
      </c>
      <c r="G120" s="188" t="s">
        <v>95</v>
      </c>
      <c r="H120" s="190" t="str">
        <f>_xlfn.XLOOKUP(DivAndTax[[#This Row],[Investor ID]],INVESTORS_LIST[INVESTOR CODE],INVESTORS_LIST[INVESTOR NAME])</f>
        <v>MD. ARIFUL ISLAM</v>
      </c>
      <c r="I120" s="8" t="str">
        <f>_xlfn.XLOOKUP(DivAndTax[[#This Row],[Investor ID]],INVESTORS_LIST[INVESTOR CODE],INVESTORS_LIST[TYPE OF INVESTOR])</f>
        <v>Individual</v>
      </c>
      <c r="J120" s="290">
        <v>483334</v>
      </c>
      <c r="K120" s="283">
        <v>0.5</v>
      </c>
      <c r="L120" s="283">
        <f>DivAndTax[[#This Row],[Total Units]]*DivAndTax[[#This Row],[Dividend Per Unit]]</f>
        <v>241667</v>
      </c>
      <c r="M120" s="283">
        <f>DivAndTax[[#This Row],[Gross Dividend]]</f>
        <v>241667</v>
      </c>
      <c r="N120" s="193" cm="1">
        <f t="array" ref="N12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20" s="283">
        <f>ROUND(IF((DivAndTax[[#This Row],[Taxable Dividend]]*DivAndTax[[#This Row],[Tax Rate
(If Applicable)]])&gt;0,DivAndTax[[#This Row],[Taxable Dividend]]*DivAndTax[[#This Row],[Tax Rate
(If Applicable)]],0),2)</f>
        <v>24166.7</v>
      </c>
      <c r="P120" s="283">
        <f t="shared" ref="P120:P121" si="15">L120-O120</f>
        <v>217500.3</v>
      </c>
      <c r="Q120" s="211" t="s">
        <v>1156</v>
      </c>
      <c r="R120" s="283" t="s">
        <v>1139</v>
      </c>
      <c r="S120" s="283"/>
      <c r="T120" s="283" t="str">
        <f>DivAndTax[[#This Row],[Investor ID]]&amp;"-"&amp;(RIGHT(DivAndTax[[#This Row],[Accounting Year]],2))</f>
        <v>A00087-24</v>
      </c>
      <c r="U120" s="283" t="str">
        <f>IF(DivAndTax[[#This Row],[Dividend Option]]="CIP","11",IF(DivAndTax[[#This Row],[Dividend Option]]="CASH","22"))</f>
        <v>11</v>
      </c>
      <c r="V120" s="285"/>
    </row>
    <row r="121" spans="1:22">
      <c r="A121" s="188">
        <v>2025</v>
      </c>
      <c r="B121" s="188">
        <v>1</v>
      </c>
      <c r="C121" s="188">
        <v>1</v>
      </c>
      <c r="D121" s="189">
        <f t="shared" si="14"/>
        <v>45658</v>
      </c>
      <c r="E121" s="188">
        <v>2024</v>
      </c>
      <c r="F121" s="247">
        <v>45734</v>
      </c>
      <c r="G121" s="188" t="s">
        <v>96</v>
      </c>
      <c r="H121" s="190" t="str">
        <f>_xlfn.XLOOKUP(DivAndTax[[#This Row],[Investor ID]],INVESTORS_LIST[INVESTOR CODE],INVESTORS_LIST[INVESTOR NAME])</f>
        <v>MAYA RANI SAHA</v>
      </c>
      <c r="I121" s="8" t="str">
        <f>_xlfn.XLOOKUP(DivAndTax[[#This Row],[Investor ID]],INVESTORS_LIST[INVESTOR CODE],INVESTORS_LIST[TYPE OF INVESTOR])</f>
        <v>Individual</v>
      </c>
      <c r="J121" s="290">
        <v>100146</v>
      </c>
      <c r="K121" s="283">
        <v>0.5</v>
      </c>
      <c r="L121" s="283">
        <f>DivAndTax[[#This Row],[Total Units]]*DivAndTax[[#This Row],[Dividend Per Unit]]</f>
        <v>50073</v>
      </c>
      <c r="M121" s="283">
        <f>DivAndTax[[#This Row],[Gross Dividend]]</f>
        <v>50073</v>
      </c>
      <c r="N121" s="193" cm="1">
        <f t="array" ref="N12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21" s="283">
        <f>ROUND(IF((DivAndTax[[#This Row],[Taxable Dividend]]*DivAndTax[[#This Row],[Tax Rate
(If Applicable)]])&gt;0,DivAndTax[[#This Row],[Taxable Dividend]]*DivAndTax[[#This Row],[Tax Rate
(If Applicable)]],0),2)</f>
        <v>5007.3</v>
      </c>
      <c r="P121" s="283">
        <f t="shared" si="15"/>
        <v>45065.7</v>
      </c>
      <c r="Q121" s="211" t="s">
        <v>1157</v>
      </c>
      <c r="R121" s="283" t="s">
        <v>1139</v>
      </c>
      <c r="S121" s="283"/>
      <c r="T121" s="283" t="str">
        <f>DivAndTax[[#This Row],[Investor ID]]&amp;"-"&amp;(RIGHT(DivAndTax[[#This Row],[Accounting Year]],2))</f>
        <v>A00088-24</v>
      </c>
      <c r="U121" s="283" t="str">
        <f>IF(DivAndTax[[#This Row],[Dividend Option]]="CIP","11",IF(DivAndTax[[#This Row],[Dividend Option]]="CASH","22"))</f>
        <v>11</v>
      </c>
      <c r="V121" s="285"/>
    </row>
    <row r="122" spans="1:22">
      <c r="A122" s="188">
        <v>2025</v>
      </c>
      <c r="B122" s="188">
        <v>1</v>
      </c>
      <c r="C122" s="188">
        <v>1</v>
      </c>
      <c r="D122" s="189">
        <f t="shared" ref="D122:D129" si="16">IFERROR(DATE(A122,B122,C122)," ")</f>
        <v>45658</v>
      </c>
      <c r="E122" s="188">
        <v>2024</v>
      </c>
      <c r="F122" s="247">
        <v>45734</v>
      </c>
      <c r="G122" s="188" t="s">
        <v>106</v>
      </c>
      <c r="H122" s="190" t="str">
        <f>_xlfn.XLOOKUP(DivAndTax[[#This Row],[Investor ID]],INVESTORS_LIST[INVESTOR CODE],INVESTORS_LIST[INVESTOR NAME])</f>
        <v>SYED ADNAN HUDA</v>
      </c>
      <c r="I122" s="8" t="str">
        <f>_xlfn.XLOOKUP(DivAndTax[[#This Row],[Investor ID]],INVESTORS_LIST[INVESTOR CODE],INVESTORS_LIST[TYPE OF INVESTOR])</f>
        <v>Individual</v>
      </c>
      <c r="J122" s="290">
        <v>306851</v>
      </c>
      <c r="K122" s="283">
        <v>0.5</v>
      </c>
      <c r="L122" s="283">
        <f>DivAndTax[[#This Row],[Total Units]]*DivAndTax[[#This Row],[Dividend Per Unit]]</f>
        <v>153425.5</v>
      </c>
      <c r="M122" s="283">
        <f>DivAndTax[[#This Row],[Gross Dividend]]</f>
        <v>153425.5</v>
      </c>
      <c r="N122" s="193" cm="1">
        <f t="array" ref="N12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22" s="283">
        <f>ROUND(IF((DivAndTax[[#This Row],[Taxable Dividend]]*DivAndTax[[#This Row],[Tax Rate
(If Applicable)]])&gt;0,DivAndTax[[#This Row],[Taxable Dividend]]*DivAndTax[[#This Row],[Tax Rate
(If Applicable)]],0),2)</f>
        <v>15342.55</v>
      </c>
      <c r="P122" s="283">
        <f t="shared" ref="P122:P129" si="17">L122-O122</f>
        <v>138082.95000000001</v>
      </c>
      <c r="Q122" s="211" t="s">
        <v>1158</v>
      </c>
      <c r="R122" s="283" t="s">
        <v>1139</v>
      </c>
      <c r="S122" s="283"/>
      <c r="T122" s="283" t="str">
        <f>DivAndTax[[#This Row],[Investor ID]]&amp;"-"&amp;(RIGHT(DivAndTax[[#This Row],[Accounting Year]],2))</f>
        <v>A00094-24</v>
      </c>
      <c r="U122" s="283" t="str">
        <f>IF(DivAndTax[[#This Row],[Dividend Option]]="CIP","11",IF(DivAndTax[[#This Row],[Dividend Option]]="CASH","22"))</f>
        <v>11</v>
      </c>
      <c r="V122" s="285"/>
    </row>
    <row r="123" spans="1:22">
      <c r="A123" s="188">
        <v>2025</v>
      </c>
      <c r="B123" s="188">
        <v>1</v>
      </c>
      <c r="C123" s="188">
        <v>1</v>
      </c>
      <c r="D123" s="189">
        <f t="shared" si="16"/>
        <v>45658</v>
      </c>
      <c r="E123" s="188">
        <v>2024</v>
      </c>
      <c r="F123" s="247">
        <v>45734</v>
      </c>
      <c r="G123" s="188" t="s">
        <v>142</v>
      </c>
      <c r="H123" s="190" t="str">
        <f>_xlfn.XLOOKUP(DivAndTax[[#This Row],[Investor ID]],INVESTORS_LIST[INVESTOR CODE],INVESTORS_LIST[INVESTOR NAME])</f>
        <v>MD. MONIRUZZAMAN</v>
      </c>
      <c r="I123" s="8" t="str">
        <f>_xlfn.XLOOKUP(DivAndTax[[#This Row],[Investor ID]],INVESTORS_LIST[INVESTOR CODE],INVESTORS_LIST[TYPE OF INVESTOR])</f>
        <v>Individual</v>
      </c>
      <c r="J123" s="290">
        <v>20431</v>
      </c>
      <c r="K123" s="283">
        <v>0.5</v>
      </c>
      <c r="L123" s="283">
        <f>DivAndTax[[#This Row],[Total Units]]*DivAndTax[[#This Row],[Dividend Per Unit]]</f>
        <v>10215.5</v>
      </c>
      <c r="M123" s="283">
        <f>DivAndTax[[#This Row],[Gross Dividend]]</f>
        <v>10215.5</v>
      </c>
      <c r="N123" s="193" cm="1">
        <f t="array" ref="N12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23" s="283">
        <f>ROUND(IF((DivAndTax[[#This Row],[Taxable Dividend]]*DivAndTax[[#This Row],[Tax Rate
(If Applicable)]])&gt;0,DivAndTax[[#This Row],[Taxable Dividend]]*DivAndTax[[#This Row],[Tax Rate
(If Applicable)]],0),2)</f>
        <v>1532.33</v>
      </c>
      <c r="P123" s="283">
        <f t="shared" si="17"/>
        <v>8683.17</v>
      </c>
      <c r="Q123" s="211" t="s">
        <v>1146</v>
      </c>
      <c r="R123" s="283" t="s">
        <v>1139</v>
      </c>
      <c r="S123" s="283"/>
      <c r="T123" s="283" t="str">
        <f>DivAndTax[[#This Row],[Investor ID]]&amp;"-"&amp;(RIGHT(DivAndTax[[#This Row],[Accounting Year]],2))</f>
        <v>A00113-24</v>
      </c>
      <c r="U123" s="283" t="str">
        <f>IF(DivAndTax[[#This Row],[Dividend Option]]="CIP","11",IF(DivAndTax[[#This Row],[Dividend Option]]="CASH","22"))</f>
        <v>11</v>
      </c>
      <c r="V123" s="285"/>
    </row>
    <row r="124" spans="1:22">
      <c r="A124" s="188">
        <v>2025</v>
      </c>
      <c r="B124" s="188">
        <v>1</v>
      </c>
      <c r="C124" s="188">
        <v>1</v>
      </c>
      <c r="D124" s="189">
        <f t="shared" si="16"/>
        <v>45658</v>
      </c>
      <c r="E124" s="188">
        <v>2024</v>
      </c>
      <c r="F124" s="247">
        <v>45734</v>
      </c>
      <c r="G124" s="188" t="s">
        <v>145</v>
      </c>
      <c r="H124" s="190" t="str">
        <f>_xlfn.XLOOKUP(DivAndTax[[#This Row],[Investor ID]],INVESTORS_LIST[INVESTOR CODE],INVESTORS_LIST[INVESTOR NAME])</f>
        <v>ARIFUR RAHMAN</v>
      </c>
      <c r="I124" s="8" t="str">
        <f>_xlfn.XLOOKUP(DivAndTax[[#This Row],[Investor ID]],INVESTORS_LIST[INVESTOR CODE],INVESTORS_LIST[TYPE OF INVESTOR])</f>
        <v>Individual</v>
      </c>
      <c r="J124" s="290">
        <v>10259</v>
      </c>
      <c r="K124" s="283">
        <v>0.5</v>
      </c>
      <c r="L124" s="283">
        <f>DivAndTax[[#This Row],[Total Units]]*DivAndTax[[#This Row],[Dividend Per Unit]]</f>
        <v>5129.5</v>
      </c>
      <c r="M124" s="283">
        <f>DivAndTax[[#This Row],[Gross Dividend]]</f>
        <v>5129.5</v>
      </c>
      <c r="N124" s="193" cm="1">
        <f t="array" ref="N12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24" s="283">
        <f>ROUND(IF((DivAndTax[[#This Row],[Taxable Dividend]]*DivAndTax[[#This Row],[Tax Rate
(If Applicable)]])&gt;0,DivAndTax[[#This Row],[Taxable Dividend]]*DivAndTax[[#This Row],[Tax Rate
(If Applicable)]],0),2)</f>
        <v>512.95000000000005</v>
      </c>
      <c r="P124" s="283">
        <f t="shared" si="17"/>
        <v>4616.55</v>
      </c>
      <c r="Q124" s="211" t="s">
        <v>1159</v>
      </c>
      <c r="R124" s="283" t="s">
        <v>1139</v>
      </c>
      <c r="S124" s="283"/>
      <c r="T124" s="283" t="str">
        <f>DivAndTax[[#This Row],[Investor ID]]&amp;"-"&amp;(RIGHT(DivAndTax[[#This Row],[Accounting Year]],2))</f>
        <v>A00115-24</v>
      </c>
      <c r="U124" s="283" t="str">
        <f>IF(DivAndTax[[#This Row],[Dividend Option]]="CIP","11",IF(DivAndTax[[#This Row],[Dividend Option]]="CASH","22"))</f>
        <v>11</v>
      </c>
      <c r="V124" s="285"/>
    </row>
    <row r="125" spans="1:22">
      <c r="A125" s="188">
        <v>2025</v>
      </c>
      <c r="B125" s="188">
        <v>1</v>
      </c>
      <c r="C125" s="188">
        <v>1</v>
      </c>
      <c r="D125" s="189">
        <f t="shared" si="16"/>
        <v>45658</v>
      </c>
      <c r="E125" s="188">
        <v>2024</v>
      </c>
      <c r="F125" s="247">
        <v>45734</v>
      </c>
      <c r="G125" s="188" t="s">
        <v>175</v>
      </c>
      <c r="H125" s="190" t="str">
        <f>_xlfn.XLOOKUP(DivAndTax[[#This Row],[Investor ID]],INVESTORS_LIST[INVESTOR CODE],INVESTORS_LIST[INVESTOR NAME])</f>
        <v>MOHAMMAD NASIR HOSSAIN</v>
      </c>
      <c r="I125" s="8" t="str">
        <f>_xlfn.XLOOKUP(DivAndTax[[#This Row],[Investor ID]],INVESTORS_LIST[INVESTOR CODE],INVESTORS_LIST[TYPE OF INVESTOR])</f>
        <v>Individual</v>
      </c>
      <c r="J125" s="290">
        <v>501</v>
      </c>
      <c r="K125" s="283">
        <v>0.5</v>
      </c>
      <c r="L125" s="283">
        <f>DivAndTax[[#This Row],[Total Units]]*DivAndTax[[#This Row],[Dividend Per Unit]]</f>
        <v>250.5</v>
      </c>
      <c r="M125" s="283">
        <f>DivAndTax[[#This Row],[Gross Dividend]]</f>
        <v>250.5</v>
      </c>
      <c r="N125" s="193" cm="1">
        <f t="array" ref="N12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25" s="283">
        <f>ROUND(IF((DivAndTax[[#This Row],[Taxable Dividend]]*DivAndTax[[#This Row],[Tax Rate
(If Applicable)]])&gt;0,DivAndTax[[#This Row],[Taxable Dividend]]*DivAndTax[[#This Row],[Tax Rate
(If Applicable)]],0),2)</f>
        <v>37.58</v>
      </c>
      <c r="P125" s="283">
        <f t="shared" si="17"/>
        <v>212.92000000000002</v>
      </c>
      <c r="Q125" s="211" t="s">
        <v>1146</v>
      </c>
      <c r="R125" s="283" t="s">
        <v>1141</v>
      </c>
      <c r="S125" s="283"/>
      <c r="T125" s="283" t="str">
        <f>DivAndTax[[#This Row],[Investor ID]]&amp;"-"&amp;(RIGHT(DivAndTax[[#This Row],[Accounting Year]],2))</f>
        <v>A00142-24</v>
      </c>
      <c r="U125" s="283" t="str">
        <f>IF(DivAndTax[[#This Row],[Dividend Option]]="CIP","11",IF(DivAndTax[[#This Row],[Dividend Option]]="CASH","22"))</f>
        <v>22</v>
      </c>
      <c r="V125" s="285"/>
    </row>
    <row r="126" spans="1:22">
      <c r="A126" s="188">
        <v>2025</v>
      </c>
      <c r="B126" s="188">
        <v>1</v>
      </c>
      <c r="C126" s="188">
        <v>1</v>
      </c>
      <c r="D126" s="189">
        <f t="shared" si="16"/>
        <v>45658</v>
      </c>
      <c r="E126" s="188">
        <v>2024</v>
      </c>
      <c r="F126" s="247">
        <v>45734</v>
      </c>
      <c r="G126" s="188" t="s">
        <v>193</v>
      </c>
      <c r="H126" s="190" t="str">
        <f>_xlfn.XLOOKUP(DivAndTax[[#This Row],[Investor ID]],INVESTORS_LIST[INVESTOR CODE],INVESTORS_LIST[INVESTOR NAME])</f>
        <v>FAIYEAD AHMEDUL HYE</v>
      </c>
      <c r="I126" s="8" t="str">
        <f>_xlfn.XLOOKUP(DivAndTax[[#This Row],[Investor ID]],INVESTORS_LIST[INVESTOR CODE],INVESTORS_LIST[TYPE OF INVESTOR])</f>
        <v>Individual</v>
      </c>
      <c r="J126" s="290">
        <v>10000</v>
      </c>
      <c r="K126" s="283">
        <v>0.5</v>
      </c>
      <c r="L126" s="283">
        <f>DivAndTax[[#This Row],[Total Units]]*DivAndTax[[#This Row],[Dividend Per Unit]]</f>
        <v>5000</v>
      </c>
      <c r="M126" s="283">
        <f>DivAndTax[[#This Row],[Gross Dividend]]</f>
        <v>5000</v>
      </c>
      <c r="N126" s="193" cm="1">
        <f t="array" ref="N12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26" s="283">
        <f>ROUND(IF((DivAndTax[[#This Row],[Taxable Dividend]]*DivAndTax[[#This Row],[Tax Rate
(If Applicable)]])&gt;0,DivAndTax[[#This Row],[Taxable Dividend]]*DivAndTax[[#This Row],[Tax Rate
(If Applicable)]],0),2)</f>
        <v>500</v>
      </c>
      <c r="P126" s="283">
        <f t="shared" si="17"/>
        <v>4500</v>
      </c>
      <c r="Q126" s="211" t="s">
        <v>1163</v>
      </c>
      <c r="R126" s="283" t="s">
        <v>1141</v>
      </c>
      <c r="S126" s="283"/>
      <c r="T126" s="283" t="str">
        <f>DivAndTax[[#This Row],[Investor ID]]&amp;"-"&amp;(RIGHT(DivAndTax[[#This Row],[Accounting Year]],2))</f>
        <v>A00160-24</v>
      </c>
      <c r="U126" s="283" t="str">
        <f>IF(DivAndTax[[#This Row],[Dividend Option]]="CIP","11",IF(DivAndTax[[#This Row],[Dividend Option]]="CASH","22"))</f>
        <v>22</v>
      </c>
      <c r="V126" s="285"/>
    </row>
    <row r="127" spans="1:22">
      <c r="A127" s="188">
        <v>2025</v>
      </c>
      <c r="B127" s="188">
        <v>1</v>
      </c>
      <c r="C127" s="188">
        <v>1</v>
      </c>
      <c r="D127" s="189">
        <f t="shared" si="16"/>
        <v>45658</v>
      </c>
      <c r="E127" s="188">
        <v>2024</v>
      </c>
      <c r="F127" s="247">
        <v>45734</v>
      </c>
      <c r="G127" s="188" t="s">
        <v>205</v>
      </c>
      <c r="H127" s="190" t="str">
        <f>_xlfn.XLOOKUP(DivAndTax[[#This Row],[Investor ID]],INVESTORS_LIST[INVESTOR CODE],INVESTORS_LIST[INVESTOR NAME])</f>
        <v>PHOENIX FINANCE &amp; INVESTMENTS LTD</v>
      </c>
      <c r="I127" s="8" t="str">
        <f>_xlfn.XLOOKUP(DivAndTax[[#This Row],[Investor ID]],INVESTORS_LIST[INVESTOR CODE],INVESTORS_LIST[TYPE OF INVESTOR])</f>
        <v>Company/Organization</v>
      </c>
      <c r="J127" s="290">
        <v>306025</v>
      </c>
      <c r="K127" s="283">
        <v>0.5</v>
      </c>
      <c r="L127" s="283">
        <f>DivAndTax[[#This Row],[Total Units]]*DivAndTax[[#This Row],[Dividend Per Unit]]</f>
        <v>153012.5</v>
      </c>
      <c r="M127" s="283">
        <f>DivAndTax[[#This Row],[Gross Dividend]]</f>
        <v>153012.5</v>
      </c>
      <c r="N127" s="193" cm="1">
        <f t="array" ref="N12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27" s="283">
        <f>ROUND(IF((DivAndTax[[#This Row],[Taxable Dividend]]*DivAndTax[[#This Row],[Tax Rate
(If Applicable)]])&gt;0,DivAndTax[[#This Row],[Taxable Dividend]]*DivAndTax[[#This Row],[Tax Rate
(If Applicable)]],0),2)</f>
        <v>30602.5</v>
      </c>
      <c r="P127" s="283">
        <f t="shared" si="17"/>
        <v>122410</v>
      </c>
      <c r="Q127" s="211" t="s">
        <v>1164</v>
      </c>
      <c r="R127" s="283" t="s">
        <v>1141</v>
      </c>
      <c r="S127" s="283"/>
      <c r="T127" s="283" t="str">
        <f>DivAndTax[[#This Row],[Investor ID]]&amp;"-"&amp;(RIGHT(DivAndTax[[#This Row],[Accounting Year]],2))</f>
        <v>A00172-24</v>
      </c>
      <c r="U127" s="283" t="str">
        <f>IF(DivAndTax[[#This Row],[Dividend Option]]="CIP","11",IF(DivAndTax[[#This Row],[Dividend Option]]="CASH","22"))</f>
        <v>22</v>
      </c>
      <c r="V127" s="285"/>
    </row>
    <row r="128" spans="1:22">
      <c r="A128" s="188">
        <v>2025</v>
      </c>
      <c r="B128" s="188">
        <v>1</v>
      </c>
      <c r="C128" s="188">
        <v>1</v>
      </c>
      <c r="D128" s="189">
        <f t="shared" si="16"/>
        <v>45658</v>
      </c>
      <c r="E128" s="188">
        <v>2024</v>
      </c>
      <c r="F128" s="247">
        <v>45734</v>
      </c>
      <c r="G128" s="188" t="s">
        <v>221</v>
      </c>
      <c r="H128" s="190" t="str">
        <f>_xlfn.XLOOKUP(DivAndTax[[#This Row],[Investor ID]],INVESTORS_LIST[INVESTOR CODE],INVESTORS_LIST[INVESTOR NAME])</f>
        <v>MD KAMRUL ISLAM</v>
      </c>
      <c r="I128" s="8" t="str">
        <f>_xlfn.XLOOKUP(DivAndTax[[#This Row],[Investor ID]],INVESTORS_LIST[INVESTOR CODE],INVESTORS_LIST[TYPE OF INVESTOR])</f>
        <v>Individual</v>
      </c>
      <c r="J128" s="290">
        <v>6000</v>
      </c>
      <c r="K128" s="283">
        <v>0.5</v>
      </c>
      <c r="L128" s="283">
        <f>DivAndTax[[#This Row],[Total Units]]*DivAndTax[[#This Row],[Dividend Per Unit]]</f>
        <v>3000</v>
      </c>
      <c r="M128" s="283">
        <f>DivAndTax[[#This Row],[Gross Dividend]]</f>
        <v>3000</v>
      </c>
      <c r="N128" s="193" cm="1">
        <f t="array" ref="N12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28" s="283">
        <f>ROUND(IF((DivAndTax[[#This Row],[Taxable Dividend]]*DivAndTax[[#This Row],[Tax Rate
(If Applicable)]])&gt;0,DivAndTax[[#This Row],[Taxable Dividend]]*DivAndTax[[#This Row],[Tax Rate
(If Applicable)]],0),2)</f>
        <v>300</v>
      </c>
      <c r="P128" s="283">
        <f t="shared" si="17"/>
        <v>2700</v>
      </c>
      <c r="Q128" s="211" t="s">
        <v>1165</v>
      </c>
      <c r="R128" s="283" t="s">
        <v>1141</v>
      </c>
      <c r="S128" s="283"/>
      <c r="T128" s="283" t="str">
        <f>DivAndTax[[#This Row],[Investor ID]]&amp;"-"&amp;(RIGHT(DivAndTax[[#This Row],[Accounting Year]],2))</f>
        <v>A00189-24</v>
      </c>
      <c r="U128" s="283" t="str">
        <f>IF(DivAndTax[[#This Row],[Dividend Option]]="CIP","11",IF(DivAndTax[[#This Row],[Dividend Option]]="CASH","22"))</f>
        <v>22</v>
      </c>
      <c r="V128" s="285"/>
    </row>
    <row r="129" spans="1:22">
      <c r="A129" s="188">
        <v>2025</v>
      </c>
      <c r="B129" s="188">
        <v>1</v>
      </c>
      <c r="C129" s="188">
        <v>1</v>
      </c>
      <c r="D129" s="189">
        <f t="shared" si="16"/>
        <v>45658</v>
      </c>
      <c r="E129" s="188">
        <v>2024</v>
      </c>
      <c r="F129" s="247">
        <v>45734</v>
      </c>
      <c r="G129" s="188" t="s">
        <v>230</v>
      </c>
      <c r="H129" s="190" t="str">
        <f>_xlfn.XLOOKUP(DivAndTax[[#This Row],[Investor ID]],INVESTORS_LIST[INVESTOR CODE],INVESTORS_LIST[INVESTOR NAME])</f>
        <v>HASIB MUSTABSIR</v>
      </c>
      <c r="I129" s="8" t="str">
        <f>_xlfn.XLOOKUP(DivAndTax[[#This Row],[Investor ID]],INVESTORS_LIST[INVESTOR CODE],INVESTORS_LIST[TYPE OF INVESTOR])</f>
        <v>Individual</v>
      </c>
      <c r="J129" s="290">
        <v>203903</v>
      </c>
      <c r="K129" s="283">
        <v>0.5</v>
      </c>
      <c r="L129" s="283">
        <f>DivAndTax[[#This Row],[Total Units]]*DivAndTax[[#This Row],[Dividend Per Unit]]</f>
        <v>101951.5</v>
      </c>
      <c r="M129" s="283">
        <f>DivAndTax[[#This Row],[Gross Dividend]]</f>
        <v>101951.5</v>
      </c>
      <c r="N129" s="193" cm="1">
        <f t="array" ref="N12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29" s="283">
        <f>ROUND(IF((DivAndTax[[#This Row],[Taxable Dividend]]*DivAndTax[[#This Row],[Tax Rate
(If Applicable)]])&gt;0,DivAndTax[[#This Row],[Taxable Dividend]]*DivAndTax[[#This Row],[Tax Rate
(If Applicable)]],0),2)</f>
        <v>15292.73</v>
      </c>
      <c r="P129" s="283">
        <f t="shared" si="17"/>
        <v>86658.77</v>
      </c>
      <c r="Q129" s="211" t="s">
        <v>1146</v>
      </c>
      <c r="R129" s="283" t="s">
        <v>1139</v>
      </c>
      <c r="S129" s="283"/>
      <c r="T129" s="283" t="str">
        <f>DivAndTax[[#This Row],[Investor ID]]&amp;"-"&amp;(RIGHT(DivAndTax[[#This Row],[Accounting Year]],2))</f>
        <v>A00194-24</v>
      </c>
      <c r="U129" s="283" t="str">
        <f>IF(DivAndTax[[#This Row],[Dividend Option]]="CIP","11",IF(DivAndTax[[#This Row],[Dividend Option]]="CASH","22"))</f>
        <v>11</v>
      </c>
      <c r="V129" s="285"/>
    </row>
    <row r="130" spans="1:22">
      <c r="A130" s="188">
        <v>2025</v>
      </c>
      <c r="B130" s="188">
        <v>1</v>
      </c>
      <c r="C130" s="188">
        <v>1</v>
      </c>
      <c r="D130" s="189">
        <f t="shared" ref="D130:D131" si="18">IFERROR(DATE(A130,B130,C130)," ")</f>
        <v>45658</v>
      </c>
      <c r="E130" s="188">
        <v>2024</v>
      </c>
      <c r="F130" s="247">
        <v>45734</v>
      </c>
      <c r="G130" s="188" t="s">
        <v>236</v>
      </c>
      <c r="H130" s="190" t="str">
        <f>_xlfn.XLOOKUP(DivAndTax[[#This Row],[Investor ID]],INVESTORS_LIST[INVESTOR CODE],INVESTORS_LIST[INVESTOR NAME])</f>
        <v>MD. WALI ULLAH</v>
      </c>
      <c r="I130" s="8" t="str">
        <f>_xlfn.XLOOKUP(DivAndTax[[#This Row],[Investor ID]],INVESTORS_LIST[INVESTOR CODE],INVESTORS_LIST[TYPE OF INVESTOR])</f>
        <v>Individual</v>
      </c>
      <c r="J130" s="290">
        <v>10216</v>
      </c>
      <c r="K130" s="283">
        <v>0.5</v>
      </c>
      <c r="L130" s="283">
        <f>DivAndTax[[#This Row],[Total Units]]*DivAndTax[[#This Row],[Dividend Per Unit]]</f>
        <v>5108</v>
      </c>
      <c r="M130" s="283">
        <f>DivAndTax[[#This Row],[Gross Dividend]]</f>
        <v>5108</v>
      </c>
      <c r="N130" s="193" cm="1">
        <f t="array" ref="N13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30" s="283">
        <f>ROUND(IF((DivAndTax[[#This Row],[Taxable Dividend]]*DivAndTax[[#This Row],[Tax Rate
(If Applicable)]])&gt;0,DivAndTax[[#This Row],[Taxable Dividend]]*DivAndTax[[#This Row],[Tax Rate
(If Applicable)]],0),2)</f>
        <v>766.2</v>
      </c>
      <c r="P130" s="283">
        <f t="shared" ref="P130:P131" si="19">L130-O130</f>
        <v>4341.8</v>
      </c>
      <c r="Q130" s="211" t="s">
        <v>1146</v>
      </c>
      <c r="R130" s="283" t="s">
        <v>1139</v>
      </c>
      <c r="S130" s="283"/>
      <c r="T130" s="283" t="str">
        <f>DivAndTax[[#This Row],[Investor ID]]&amp;"-"&amp;(RIGHT(DivAndTax[[#This Row],[Accounting Year]],2))</f>
        <v>A00197-24</v>
      </c>
      <c r="U130" s="283" t="str">
        <f>IF(DivAndTax[[#This Row],[Dividend Option]]="CIP","11",IF(DivAndTax[[#This Row],[Dividend Option]]="CASH","22"))</f>
        <v>11</v>
      </c>
      <c r="V130" s="285"/>
    </row>
    <row r="131" spans="1:22">
      <c r="A131" s="188">
        <v>2025</v>
      </c>
      <c r="B131" s="188">
        <v>1</v>
      </c>
      <c r="C131" s="188">
        <v>1</v>
      </c>
      <c r="D131" s="189">
        <f t="shared" si="18"/>
        <v>45658</v>
      </c>
      <c r="E131" s="188">
        <v>2024</v>
      </c>
      <c r="F131" s="247">
        <v>45734</v>
      </c>
      <c r="G131" s="188" t="s">
        <v>238</v>
      </c>
      <c r="H131" s="190" t="str">
        <f>_xlfn.XLOOKUP(DivAndTax[[#This Row],[Investor ID]],INVESTORS_LIST[INVESTOR CODE],INVESTORS_LIST[INVESTOR NAME])</f>
        <v>MD. NIAZ MURSHED</v>
      </c>
      <c r="I131" s="8" t="str">
        <f>_xlfn.XLOOKUP(DivAndTax[[#This Row],[Investor ID]],INVESTORS_LIST[INVESTOR CODE],INVESTORS_LIST[TYPE OF INVESTOR])</f>
        <v>Individual</v>
      </c>
      <c r="J131" s="290">
        <v>42507</v>
      </c>
      <c r="K131" s="283">
        <v>0.5</v>
      </c>
      <c r="L131" s="283">
        <f>DivAndTax[[#This Row],[Total Units]]*DivAndTax[[#This Row],[Dividend Per Unit]]</f>
        <v>21253.5</v>
      </c>
      <c r="M131" s="283">
        <f>DivAndTax[[#This Row],[Gross Dividend]]</f>
        <v>21253.5</v>
      </c>
      <c r="N131" s="193" cm="1">
        <f t="array" ref="N13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31" s="283">
        <f>ROUND(IF((DivAndTax[[#This Row],[Taxable Dividend]]*DivAndTax[[#This Row],[Tax Rate
(If Applicable)]])&gt;0,DivAndTax[[#This Row],[Taxable Dividend]]*DivAndTax[[#This Row],[Tax Rate
(If Applicable)]],0),2)</f>
        <v>2125.35</v>
      </c>
      <c r="P131" s="283">
        <f t="shared" si="19"/>
        <v>19128.150000000001</v>
      </c>
      <c r="Q131" s="211" t="s">
        <v>1166</v>
      </c>
      <c r="R131" s="283" t="s">
        <v>1139</v>
      </c>
      <c r="S131" s="283"/>
      <c r="T131" s="283" t="str">
        <f>DivAndTax[[#This Row],[Investor ID]]&amp;"-"&amp;(RIGHT(DivAndTax[[#This Row],[Accounting Year]],2))</f>
        <v>A00198-24</v>
      </c>
      <c r="U131" s="283" t="str">
        <f>IF(DivAndTax[[#This Row],[Dividend Option]]="CIP","11",IF(DivAndTax[[#This Row],[Dividend Option]]="CASH","22"))</f>
        <v>11</v>
      </c>
      <c r="V131" s="285"/>
    </row>
    <row r="132" spans="1:22">
      <c r="A132" s="188">
        <v>2025</v>
      </c>
      <c r="B132" s="188">
        <v>1</v>
      </c>
      <c r="C132" s="188">
        <v>1</v>
      </c>
      <c r="D132" s="189">
        <f>IFERROR(DATE(A132,B132,C132)," ")</f>
        <v>45658</v>
      </c>
      <c r="E132" s="188">
        <v>2024</v>
      </c>
      <c r="F132" s="247">
        <v>45734</v>
      </c>
      <c r="G132" s="188" t="s">
        <v>260</v>
      </c>
      <c r="H132" s="190" t="str">
        <f>_xlfn.XLOOKUP(DivAndTax[[#This Row],[Investor ID]],INVESTORS_LIST[INVESTOR CODE],INVESTORS_LIST[INVESTOR NAME])</f>
        <v>FARUQUE AHMED &amp; ZAHEDA BEGUM HENA</v>
      </c>
      <c r="I132" s="8" t="str">
        <f>_xlfn.XLOOKUP(DivAndTax[[#This Row],[Investor ID]],INVESTORS_LIST[INVESTOR CODE],INVESTORS_LIST[TYPE OF INVESTOR])</f>
        <v>Individual</v>
      </c>
      <c r="J132" s="290">
        <v>100931</v>
      </c>
      <c r="K132" s="283">
        <v>0.5</v>
      </c>
      <c r="L132" s="283">
        <f>DivAndTax[[#This Row],[Total Units]]*DivAndTax[[#This Row],[Dividend Per Unit]]</f>
        <v>50465.5</v>
      </c>
      <c r="M132" s="283">
        <f>DivAndTax[[#This Row],[Gross Dividend]]</f>
        <v>50465.5</v>
      </c>
      <c r="N132" s="193" cm="1">
        <f t="array" ref="N13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32" s="283">
        <f>ROUND(IF((DivAndTax[[#This Row],[Taxable Dividend]]*DivAndTax[[#This Row],[Tax Rate
(If Applicable)]])&gt;0,DivAndTax[[#This Row],[Taxable Dividend]]*DivAndTax[[#This Row],[Tax Rate
(If Applicable)]],0),2)</f>
        <v>5046.55</v>
      </c>
      <c r="P132" s="283">
        <f>L132-O132</f>
        <v>45418.95</v>
      </c>
      <c r="Q132" s="211" t="s">
        <v>1167</v>
      </c>
      <c r="R132" s="283" t="s">
        <v>1141</v>
      </c>
      <c r="S132" s="283"/>
      <c r="T132" s="283" t="str">
        <f>DivAndTax[[#This Row],[Investor ID]]&amp;"-"&amp;(RIGHT(DivAndTax[[#This Row],[Accounting Year]],2))</f>
        <v>A00210-24</v>
      </c>
      <c r="U132" s="283" t="str">
        <f>IF(DivAndTax[[#This Row],[Dividend Option]]="CIP","11",IF(DivAndTax[[#This Row],[Dividend Option]]="CASH","22"))</f>
        <v>22</v>
      </c>
      <c r="V132" s="285"/>
    </row>
    <row r="133" spans="1:22">
      <c r="A133" s="188">
        <v>2025</v>
      </c>
      <c r="B133" s="188">
        <v>1</v>
      </c>
      <c r="C133" s="188">
        <v>1</v>
      </c>
      <c r="D133" s="189">
        <f>IFERROR(DATE(A133,B133,C133)," ")</f>
        <v>45658</v>
      </c>
      <c r="E133" s="188">
        <v>2024</v>
      </c>
      <c r="F133" s="247">
        <v>45734</v>
      </c>
      <c r="G133" s="188" t="s">
        <v>264</v>
      </c>
      <c r="H133" s="190" t="str">
        <f>_xlfn.XLOOKUP(DivAndTax[[#This Row],[Investor ID]],INVESTORS_LIST[INVESTOR CODE],INVESTORS_LIST[INVESTOR NAME])</f>
        <v>MAHFUZUL ISLAM</v>
      </c>
      <c r="I133" s="8" t="str">
        <f>_xlfn.XLOOKUP(DivAndTax[[#This Row],[Investor ID]],INVESTORS_LIST[INVESTOR CODE],INVESTORS_LIST[TYPE OF INVESTOR])</f>
        <v>Individual</v>
      </c>
      <c r="J133" s="290">
        <v>927</v>
      </c>
      <c r="K133" s="283">
        <v>0.5</v>
      </c>
      <c r="L133" s="283">
        <f>DivAndTax[[#This Row],[Total Units]]*DivAndTax[[#This Row],[Dividend Per Unit]]</f>
        <v>463.5</v>
      </c>
      <c r="M133" s="283">
        <f>DivAndTax[[#This Row],[Gross Dividend]]</f>
        <v>463.5</v>
      </c>
      <c r="N133" s="193" cm="1">
        <f t="array" ref="N13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33" s="283">
        <f>ROUND(IF((DivAndTax[[#This Row],[Taxable Dividend]]*DivAndTax[[#This Row],[Tax Rate
(If Applicable)]])&gt;0,DivAndTax[[#This Row],[Taxable Dividend]]*DivAndTax[[#This Row],[Tax Rate
(If Applicable)]],0),2)</f>
        <v>46.35</v>
      </c>
      <c r="P133" s="283">
        <f>L133-O133</f>
        <v>417.15</v>
      </c>
      <c r="Q133" s="211" t="s">
        <v>1352</v>
      </c>
      <c r="R133" s="283" t="s">
        <v>1141</v>
      </c>
      <c r="S133" s="283"/>
      <c r="T133" s="283" t="str">
        <f>DivAndTax[[#This Row],[Investor ID]]&amp;"-"&amp;(RIGHT(DivAndTax[[#This Row],[Accounting Year]],2))</f>
        <v>A00212-24</v>
      </c>
      <c r="U133" s="283" t="str">
        <f>IF(DivAndTax[[#This Row],[Dividend Option]]="CIP","11",IF(DivAndTax[[#This Row],[Dividend Option]]="CASH","22"))</f>
        <v>22</v>
      </c>
      <c r="V133" s="285"/>
    </row>
    <row r="134" spans="1:22">
      <c r="A134" s="188">
        <v>2025</v>
      </c>
      <c r="B134" s="188">
        <v>1</v>
      </c>
      <c r="C134" s="188">
        <v>1</v>
      </c>
      <c r="D134" s="189">
        <f>IFERROR(DATE(A134,B134,C134)," ")</f>
        <v>45658</v>
      </c>
      <c r="E134" s="188">
        <v>2024</v>
      </c>
      <c r="F134" s="247">
        <v>45734</v>
      </c>
      <c r="G134" s="188" t="s">
        <v>282</v>
      </c>
      <c r="H134" s="190" t="str">
        <f>_xlfn.XLOOKUP(DivAndTax[[#This Row],[Investor ID]],INVESTORS_LIST[INVESTOR CODE],INVESTORS_LIST[INVESTOR NAME])</f>
        <v>MIDLAND BANK LIMITED</v>
      </c>
      <c r="I134" s="8" t="str">
        <f>_xlfn.XLOOKUP(DivAndTax[[#This Row],[Investor ID]],INVESTORS_LIST[INVESTOR CODE],INVESTORS_LIST[TYPE OF INVESTOR])</f>
        <v>Company/Organization</v>
      </c>
      <c r="J134" s="290">
        <v>2000000</v>
      </c>
      <c r="K134" s="283">
        <v>0.5</v>
      </c>
      <c r="L134" s="283">
        <f>DivAndTax[[#This Row],[Total Units]]*DivAndTax[[#This Row],[Dividend Per Unit]]</f>
        <v>1000000</v>
      </c>
      <c r="M134" s="283">
        <f>DivAndTax[[#This Row],[Gross Dividend]]</f>
        <v>1000000</v>
      </c>
      <c r="N134" s="193" cm="1">
        <f t="array" ref="N13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34" s="283">
        <f>ROUND(IF((DivAndTax[[#This Row],[Taxable Dividend]]*DivAndTax[[#This Row],[Tax Rate
(If Applicable)]])&gt;0,DivAndTax[[#This Row],[Taxable Dividend]]*DivAndTax[[#This Row],[Tax Rate
(If Applicable)]],0),2)</f>
        <v>200000</v>
      </c>
      <c r="P134" s="283">
        <f>L134-O134</f>
        <v>800000</v>
      </c>
      <c r="Q134" s="211" t="s">
        <v>1168</v>
      </c>
      <c r="R134" s="283" t="s">
        <v>1141</v>
      </c>
      <c r="S134" s="283"/>
      <c r="T134" s="283" t="str">
        <f>DivAndTax[[#This Row],[Investor ID]]&amp;"-"&amp;(RIGHT(DivAndTax[[#This Row],[Accounting Year]],2))</f>
        <v>A00222-24</v>
      </c>
      <c r="U134" s="283" t="str">
        <f>IF(DivAndTax[[#This Row],[Dividend Option]]="CIP","11",IF(DivAndTax[[#This Row],[Dividend Option]]="CASH","22"))</f>
        <v>22</v>
      </c>
      <c r="V134" s="285"/>
    </row>
    <row r="135" spans="1:22">
      <c r="A135" s="188">
        <v>2025</v>
      </c>
      <c r="B135" s="188">
        <v>1</v>
      </c>
      <c r="C135" s="188">
        <v>1</v>
      </c>
      <c r="D135" s="189">
        <f>IFERROR(DATE(A135,B135,C135)," ")</f>
        <v>45658</v>
      </c>
      <c r="E135" s="188">
        <v>2024</v>
      </c>
      <c r="F135" s="247">
        <v>45734</v>
      </c>
      <c r="G135" s="188" t="s">
        <v>305</v>
      </c>
      <c r="H135" s="190" t="str">
        <f>_xlfn.XLOOKUP(DivAndTax[[#This Row],[Investor ID]],INVESTORS_LIST[INVESTOR CODE],INVESTORS_LIST[INVESTOR NAME])</f>
        <v>BIJOY CHANDRA DAS</v>
      </c>
      <c r="I135" s="8" t="str">
        <f>_xlfn.XLOOKUP(DivAndTax[[#This Row],[Investor ID]],INVESTORS_LIST[INVESTOR CODE],INVESTORS_LIST[TYPE OF INVESTOR])</f>
        <v>Individual</v>
      </c>
      <c r="J135" s="290">
        <v>10228</v>
      </c>
      <c r="K135" s="283">
        <v>0.5</v>
      </c>
      <c r="L135" s="283">
        <f>DivAndTax[[#This Row],[Total Units]]*DivAndTax[[#This Row],[Dividend Per Unit]]</f>
        <v>5114</v>
      </c>
      <c r="M135" s="283">
        <f>DivAndTax[[#This Row],[Gross Dividend]]</f>
        <v>5114</v>
      </c>
      <c r="N135" s="193" cm="1">
        <f t="array" ref="N13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35" s="283">
        <f>ROUND(IF((DivAndTax[[#This Row],[Taxable Dividend]]*DivAndTax[[#This Row],[Tax Rate
(If Applicable)]])&gt;0,DivAndTax[[#This Row],[Taxable Dividend]]*DivAndTax[[#This Row],[Tax Rate
(If Applicable)]],0),2)</f>
        <v>511.4</v>
      </c>
      <c r="P135" s="283">
        <f>L135-O135</f>
        <v>4602.6000000000004</v>
      </c>
      <c r="Q135" s="211" t="s">
        <v>1169</v>
      </c>
      <c r="R135" s="283" t="s">
        <v>1139</v>
      </c>
      <c r="S135" s="283"/>
      <c r="T135" s="283" t="str">
        <f>DivAndTax[[#This Row],[Investor ID]]&amp;"-"&amp;(RIGHT(DivAndTax[[#This Row],[Accounting Year]],2))</f>
        <v>A00224-24</v>
      </c>
      <c r="U135" s="283" t="str">
        <f>IF(DivAndTax[[#This Row],[Dividend Option]]="CIP","11",IF(DivAndTax[[#This Row],[Dividend Option]]="CASH","22"))</f>
        <v>11</v>
      </c>
      <c r="V135" s="285"/>
    </row>
    <row r="136" spans="1:22">
      <c r="A136" s="188">
        <v>2025</v>
      </c>
      <c r="B136" s="188">
        <v>1</v>
      </c>
      <c r="C136" s="188">
        <v>1</v>
      </c>
      <c r="D136" s="189">
        <f>IFERROR(DATE(A136,B136,C136)," ")</f>
        <v>45658</v>
      </c>
      <c r="E136" s="188">
        <v>2024</v>
      </c>
      <c r="F136" s="247">
        <v>45734</v>
      </c>
      <c r="G136" s="188" t="s">
        <v>345</v>
      </c>
      <c r="H136" s="190" t="str">
        <f>_xlfn.XLOOKUP(DivAndTax[[#This Row],[Investor ID]],INVESTORS_LIST[INVESTOR CODE],INVESTORS_LIST[INVESTOR NAME])</f>
        <v>MOHAMMAD SAMIUL ALAM</v>
      </c>
      <c r="I136" s="8" t="str">
        <f>_xlfn.XLOOKUP(DivAndTax[[#This Row],[Investor ID]],INVESTORS_LIST[INVESTOR CODE],INVESTORS_LIST[TYPE OF INVESTOR])</f>
        <v>Individual</v>
      </c>
      <c r="J136" s="290">
        <v>3000</v>
      </c>
      <c r="K136" s="283">
        <v>0.5</v>
      </c>
      <c r="L136" s="283">
        <f>DivAndTax[[#This Row],[Total Units]]*DivAndTax[[#This Row],[Dividend Per Unit]]</f>
        <v>1500</v>
      </c>
      <c r="M136" s="283">
        <f>DivAndTax[[#This Row],[Gross Dividend]]</f>
        <v>1500</v>
      </c>
      <c r="N136" s="193" cm="1">
        <f t="array" ref="N13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36" s="283">
        <f>ROUND(IF((DivAndTax[[#This Row],[Taxable Dividend]]*DivAndTax[[#This Row],[Tax Rate
(If Applicable)]])&gt;0,DivAndTax[[#This Row],[Taxable Dividend]]*DivAndTax[[#This Row],[Tax Rate
(If Applicable)]],0),2)</f>
        <v>150</v>
      </c>
      <c r="P136" s="283">
        <f>L136-O136</f>
        <v>1350</v>
      </c>
      <c r="Q136" s="211" t="s">
        <v>1171</v>
      </c>
      <c r="R136" s="283" t="s">
        <v>1141</v>
      </c>
      <c r="S136" s="283"/>
      <c r="T136" s="283" t="str">
        <f>DivAndTax[[#This Row],[Investor ID]]&amp;"-"&amp;(RIGHT(DivAndTax[[#This Row],[Accounting Year]],2))</f>
        <v>A00244-24</v>
      </c>
      <c r="U136" s="283" t="str">
        <f>IF(DivAndTax[[#This Row],[Dividend Option]]="CIP","11",IF(DivAndTax[[#This Row],[Dividend Option]]="CASH","22"))</f>
        <v>22</v>
      </c>
      <c r="V136" s="285"/>
    </row>
    <row r="137" spans="1:22">
      <c r="A137" s="188">
        <v>2025</v>
      </c>
      <c r="B137" s="188">
        <v>1</v>
      </c>
      <c r="C137" s="188">
        <v>1</v>
      </c>
      <c r="D137" s="189">
        <f t="shared" ref="D137:D138" si="20">IFERROR(DATE(A137,B137,C137)," ")</f>
        <v>45658</v>
      </c>
      <c r="E137" s="188">
        <v>2024</v>
      </c>
      <c r="F137" s="247">
        <v>45734</v>
      </c>
      <c r="G137" s="188" t="s">
        <v>351</v>
      </c>
      <c r="H137" s="190" t="str">
        <f>_xlfn.XLOOKUP(DivAndTax[[#This Row],[Investor ID]],INVESTORS_LIST[INVESTOR CODE],INVESTORS_LIST[INVESTOR NAME])</f>
        <v>SHANTA PAUL</v>
      </c>
      <c r="I137" s="8" t="str">
        <f>_xlfn.XLOOKUP(DivAndTax[[#This Row],[Investor ID]],INVESTORS_LIST[INVESTOR CODE],INVESTORS_LIST[TYPE OF INVESTOR])</f>
        <v>Individual</v>
      </c>
      <c r="J137" s="290">
        <v>102284</v>
      </c>
      <c r="K137" s="283">
        <v>0.5</v>
      </c>
      <c r="L137" s="283">
        <f>DivAndTax[[#This Row],[Total Units]]*DivAndTax[[#This Row],[Dividend Per Unit]]</f>
        <v>51142</v>
      </c>
      <c r="M137" s="283">
        <f>DivAndTax[[#This Row],[Gross Dividend]]</f>
        <v>51142</v>
      </c>
      <c r="N137" s="193" cm="1">
        <f t="array" ref="N13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37" s="283">
        <f>ROUND(IF((DivAndTax[[#This Row],[Taxable Dividend]]*DivAndTax[[#This Row],[Tax Rate
(If Applicable)]])&gt;0,DivAndTax[[#This Row],[Taxable Dividend]]*DivAndTax[[#This Row],[Tax Rate
(If Applicable)]],0),2)</f>
        <v>5114.2</v>
      </c>
      <c r="P137" s="283">
        <f t="shared" ref="P137:P138" si="21">L137-O137</f>
        <v>46027.8</v>
      </c>
      <c r="Q137" s="211" t="s">
        <v>1172</v>
      </c>
      <c r="R137" s="283" t="s">
        <v>1141</v>
      </c>
      <c r="S137" s="283"/>
      <c r="T137" s="283" t="str">
        <f>DivAndTax[[#This Row],[Investor ID]]&amp;"-"&amp;(RIGHT(DivAndTax[[#This Row],[Accounting Year]],2))</f>
        <v>A00247-24</v>
      </c>
      <c r="U137" s="283" t="str">
        <f>IF(DivAndTax[[#This Row],[Dividend Option]]="CIP","11",IF(DivAndTax[[#This Row],[Dividend Option]]="CASH","22"))</f>
        <v>22</v>
      </c>
      <c r="V137" s="285"/>
    </row>
    <row r="138" spans="1:22">
      <c r="A138" s="188">
        <v>2025</v>
      </c>
      <c r="B138" s="188">
        <v>1</v>
      </c>
      <c r="C138" s="188">
        <v>1</v>
      </c>
      <c r="D138" s="189">
        <f t="shared" si="20"/>
        <v>45658</v>
      </c>
      <c r="E138" s="188">
        <v>2024</v>
      </c>
      <c r="F138" s="247">
        <v>45734</v>
      </c>
      <c r="G138" s="188" t="s">
        <v>353</v>
      </c>
      <c r="H138" s="190" t="str">
        <f>_xlfn.XLOOKUP(DivAndTax[[#This Row],[Investor ID]],INVESTORS_LIST[INVESTOR CODE],INVESTORS_LIST[INVESTOR NAME])</f>
        <v>ANJAN MALLIK</v>
      </c>
      <c r="I138" s="8" t="str">
        <f>_xlfn.XLOOKUP(DivAndTax[[#This Row],[Investor ID]],INVESTORS_LIST[INVESTOR CODE],INVESTORS_LIST[TYPE OF INVESTOR])</f>
        <v>Individual</v>
      </c>
      <c r="J138" s="290">
        <v>255710</v>
      </c>
      <c r="K138" s="283">
        <v>0.5</v>
      </c>
      <c r="L138" s="283">
        <f>DivAndTax[[#This Row],[Total Units]]*DivAndTax[[#This Row],[Dividend Per Unit]]</f>
        <v>127855</v>
      </c>
      <c r="M138" s="283">
        <f>DivAndTax[[#This Row],[Gross Dividend]]</f>
        <v>127855</v>
      </c>
      <c r="N138" s="193" cm="1">
        <f t="array" ref="N13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38" s="283">
        <f>ROUND(IF((DivAndTax[[#This Row],[Taxable Dividend]]*DivAndTax[[#This Row],[Tax Rate
(If Applicable)]])&gt;0,DivAndTax[[#This Row],[Taxable Dividend]]*DivAndTax[[#This Row],[Tax Rate
(If Applicable)]],0),2)</f>
        <v>12785.5</v>
      </c>
      <c r="P138" s="283">
        <f t="shared" si="21"/>
        <v>115069.5</v>
      </c>
      <c r="Q138" s="211" t="s">
        <v>1173</v>
      </c>
      <c r="R138" s="283" t="s">
        <v>1139</v>
      </c>
      <c r="S138" s="283"/>
      <c r="T138" s="283" t="str">
        <f>DivAndTax[[#This Row],[Investor ID]]&amp;"-"&amp;(RIGHT(DivAndTax[[#This Row],[Accounting Year]],2))</f>
        <v>A00248-24</v>
      </c>
      <c r="U138" s="283" t="str">
        <f>IF(DivAndTax[[#This Row],[Dividend Option]]="CIP","11",IF(DivAndTax[[#This Row],[Dividend Option]]="CASH","22"))</f>
        <v>11</v>
      </c>
      <c r="V138" s="285"/>
    </row>
    <row r="139" spans="1:22">
      <c r="A139" s="188">
        <v>2025</v>
      </c>
      <c r="B139" s="188">
        <v>1</v>
      </c>
      <c r="C139" s="188">
        <v>1</v>
      </c>
      <c r="D139" s="189">
        <f>IFERROR(DATE(A139,B139,C139)," ")</f>
        <v>45658</v>
      </c>
      <c r="E139" s="188">
        <v>2024</v>
      </c>
      <c r="F139" s="247">
        <v>45734</v>
      </c>
      <c r="G139" s="188" t="s">
        <v>357</v>
      </c>
      <c r="H139" s="190" t="str">
        <f>_xlfn.XLOOKUP(DivAndTax[[#This Row],[Investor ID]],INVESTORS_LIST[INVESTOR CODE],INVESTORS_LIST[INVESTOR NAME])</f>
        <v>MR. NAYAN KUMAR CHOWDHURY</v>
      </c>
      <c r="I139" s="8" t="str">
        <f>_xlfn.XLOOKUP(DivAndTax[[#This Row],[Investor ID]],INVESTORS_LIST[INVESTOR CODE],INVESTORS_LIST[TYPE OF INVESTOR])</f>
        <v>Individual</v>
      </c>
      <c r="J139" s="290">
        <v>9987</v>
      </c>
      <c r="K139" s="283">
        <v>0.5</v>
      </c>
      <c r="L139" s="283">
        <f>DivAndTax[[#This Row],[Total Units]]*DivAndTax[[#This Row],[Dividend Per Unit]]</f>
        <v>4993.5</v>
      </c>
      <c r="M139" s="283">
        <f>DivAndTax[[#This Row],[Gross Dividend]]</f>
        <v>4993.5</v>
      </c>
      <c r="N139" s="193" cm="1">
        <f t="array" ref="N13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39" s="283">
        <f>ROUND(IF((DivAndTax[[#This Row],[Taxable Dividend]]*DivAndTax[[#This Row],[Tax Rate
(If Applicable)]])&gt;0,DivAndTax[[#This Row],[Taxable Dividend]]*DivAndTax[[#This Row],[Tax Rate
(If Applicable)]],0),2)</f>
        <v>749.03</v>
      </c>
      <c r="P139" s="283">
        <f>L139-O139</f>
        <v>4244.47</v>
      </c>
      <c r="Q139" s="211" t="s">
        <v>1146</v>
      </c>
      <c r="R139" s="283" t="s">
        <v>1141</v>
      </c>
      <c r="S139" s="283"/>
      <c r="T139" s="283" t="str">
        <f>DivAndTax[[#This Row],[Investor ID]]&amp;"-"&amp;(RIGHT(DivAndTax[[#This Row],[Accounting Year]],2))</f>
        <v>A00250-24</v>
      </c>
      <c r="U139" s="283" t="str">
        <f>IF(DivAndTax[[#This Row],[Dividend Option]]="CIP","11",IF(DivAndTax[[#This Row],[Dividend Option]]="CASH","22"))</f>
        <v>22</v>
      </c>
      <c r="V139" s="285"/>
    </row>
    <row r="140" spans="1:22">
      <c r="A140" s="188">
        <v>2025</v>
      </c>
      <c r="B140" s="188">
        <v>1</v>
      </c>
      <c r="C140" s="188">
        <v>1</v>
      </c>
      <c r="D140" s="189">
        <f>IFERROR(DATE(A140,B140,C140)," ")</f>
        <v>45658</v>
      </c>
      <c r="E140" s="188">
        <v>2024</v>
      </c>
      <c r="F140" s="247">
        <v>45734</v>
      </c>
      <c r="G140" s="188" t="s">
        <v>381</v>
      </c>
      <c r="H140" s="190" t="str">
        <f>_xlfn.XLOOKUP(DivAndTax[[#This Row],[Investor ID]],INVESTORS_LIST[INVESTOR CODE],INVESTORS_LIST[INVESTOR NAME])</f>
        <v>MASTURA MUNIAT</v>
      </c>
      <c r="I140" s="8" t="str">
        <f>_xlfn.XLOOKUP(DivAndTax[[#This Row],[Investor ID]],INVESTORS_LIST[INVESTOR CODE],INVESTORS_LIST[TYPE OF INVESTOR])</f>
        <v>Individual</v>
      </c>
      <c r="J140" s="290">
        <v>934</v>
      </c>
      <c r="K140" s="283">
        <v>0.5</v>
      </c>
      <c r="L140" s="283">
        <f>DivAndTax[[#This Row],[Total Units]]*DivAndTax[[#This Row],[Dividend Per Unit]]</f>
        <v>467</v>
      </c>
      <c r="M140" s="283">
        <f>DivAndTax[[#This Row],[Gross Dividend]]</f>
        <v>467</v>
      </c>
      <c r="N140" s="193" cm="1">
        <f t="array" ref="N14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40" s="283">
        <f>ROUND(IF((DivAndTax[[#This Row],[Taxable Dividend]]*DivAndTax[[#This Row],[Tax Rate
(If Applicable)]])&gt;0,DivAndTax[[#This Row],[Taxable Dividend]]*DivAndTax[[#This Row],[Tax Rate
(If Applicable)]],0),2)</f>
        <v>46.7</v>
      </c>
      <c r="P140" s="283">
        <f>L140-O140</f>
        <v>420.3</v>
      </c>
      <c r="Q140" s="211" t="s">
        <v>1174</v>
      </c>
      <c r="R140" s="283" t="s">
        <v>1139</v>
      </c>
      <c r="S140" s="283"/>
      <c r="T140" s="283" t="str">
        <f>DivAndTax[[#This Row],[Investor ID]]&amp;"-"&amp;(RIGHT(DivAndTax[[#This Row],[Accounting Year]],2))</f>
        <v>A00262-24</v>
      </c>
      <c r="U140" s="283" t="str">
        <f>IF(DivAndTax[[#This Row],[Dividend Option]]="CIP","11",IF(DivAndTax[[#This Row],[Dividend Option]]="CASH","22"))</f>
        <v>11</v>
      </c>
      <c r="V140" s="285"/>
    </row>
    <row r="141" spans="1:22">
      <c r="A141" s="188">
        <v>2025</v>
      </c>
      <c r="B141" s="188">
        <v>1</v>
      </c>
      <c r="C141" s="188">
        <v>1</v>
      </c>
      <c r="D141" s="189">
        <f>IFERROR(DATE(A141,B141,C141)," ")</f>
        <v>45658</v>
      </c>
      <c r="E141" s="188">
        <v>2024</v>
      </c>
      <c r="F141" s="247">
        <v>45734</v>
      </c>
      <c r="G141" s="188" t="s">
        <v>581</v>
      </c>
      <c r="H141" s="190" t="str">
        <f>_xlfn.XLOOKUP(DivAndTax[[#This Row],[Investor ID]],INVESTORS_LIST[INVESTOR CODE],INVESTORS_LIST[INVESTOR NAME])</f>
        <v>SAILENDRA SAHA</v>
      </c>
      <c r="I141" s="8" t="str">
        <f>_xlfn.XLOOKUP(DivAndTax[[#This Row],[Investor ID]],INVESTORS_LIST[INVESTOR CODE],INVESTORS_LIST[TYPE OF INVESTOR])</f>
        <v>Individual</v>
      </c>
      <c r="J141" s="290">
        <v>40914</v>
      </c>
      <c r="K141" s="283">
        <v>0.5</v>
      </c>
      <c r="L141" s="283">
        <f>DivAndTax[[#This Row],[Total Units]]*DivAndTax[[#This Row],[Dividend Per Unit]]</f>
        <v>20457</v>
      </c>
      <c r="M141" s="283">
        <f>DivAndTax[[#This Row],[Gross Dividend]]</f>
        <v>20457</v>
      </c>
      <c r="N141" s="193" cm="1">
        <f t="array" ref="N14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41" s="283">
        <f>ROUND(IF((DivAndTax[[#This Row],[Taxable Dividend]]*DivAndTax[[#This Row],[Tax Rate
(If Applicable)]])&gt;0,DivAndTax[[#This Row],[Taxable Dividend]]*DivAndTax[[#This Row],[Tax Rate
(If Applicable)]],0),2)</f>
        <v>2045.7</v>
      </c>
      <c r="P141" s="283">
        <f>L141-O141</f>
        <v>18411.3</v>
      </c>
      <c r="Q141" s="211" t="s">
        <v>1175</v>
      </c>
      <c r="R141" s="283" t="s">
        <v>1139</v>
      </c>
      <c r="S141" s="283"/>
      <c r="T141" s="283" t="str">
        <f>DivAndTax[[#This Row],[Investor ID]]&amp;"-"&amp;(RIGHT(DivAndTax[[#This Row],[Accounting Year]],2))</f>
        <v>A00328-24</v>
      </c>
      <c r="U141" s="283" t="str">
        <f>IF(DivAndTax[[#This Row],[Dividend Option]]="CIP","11",IF(DivAndTax[[#This Row],[Dividend Option]]="CASH","22"))</f>
        <v>11</v>
      </c>
      <c r="V141" s="285"/>
    </row>
    <row r="142" spans="1:22">
      <c r="A142" s="188">
        <v>2025</v>
      </c>
      <c r="B142" s="188">
        <v>1</v>
      </c>
      <c r="C142" s="188">
        <v>1</v>
      </c>
      <c r="D142" s="189">
        <f>IFERROR(DATE(A142,B142,C142)," ")</f>
        <v>45658</v>
      </c>
      <c r="E142" s="188">
        <v>2024</v>
      </c>
      <c r="F142" s="247">
        <v>45734</v>
      </c>
      <c r="G142" s="188" t="s">
        <v>593</v>
      </c>
      <c r="H142" s="190" t="str">
        <f>_xlfn.XLOOKUP(DivAndTax[[#This Row],[Investor ID]],INVESTORS_LIST[INVESTOR CODE],INVESTORS_LIST[INVESTOR NAME])</f>
        <v>MD. GOLAM MORTAZA</v>
      </c>
      <c r="I142" s="8" t="str">
        <f>_xlfn.XLOOKUP(DivAndTax[[#This Row],[Investor ID]],INVESTORS_LIST[INVESTOR CODE],INVESTORS_LIST[TYPE OF INVESTOR])</f>
        <v>Individual</v>
      </c>
      <c r="J142" s="290">
        <v>50000</v>
      </c>
      <c r="K142" s="283">
        <v>0.5</v>
      </c>
      <c r="L142" s="283">
        <f>DivAndTax[[#This Row],[Total Units]]*DivAndTax[[#This Row],[Dividend Per Unit]]</f>
        <v>25000</v>
      </c>
      <c r="M142" s="283">
        <f>DivAndTax[[#This Row],[Gross Dividend]]</f>
        <v>25000</v>
      </c>
      <c r="N142" s="193" cm="1">
        <f t="array" ref="N14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42" s="283">
        <f>ROUND(IF((DivAndTax[[#This Row],[Taxable Dividend]]*DivAndTax[[#This Row],[Tax Rate
(If Applicable)]])&gt;0,DivAndTax[[#This Row],[Taxable Dividend]]*DivAndTax[[#This Row],[Tax Rate
(If Applicable)]],0),2)</f>
        <v>2500</v>
      </c>
      <c r="P142" s="283">
        <f>L142-O142</f>
        <v>22500</v>
      </c>
      <c r="Q142" s="211" t="s">
        <v>1176</v>
      </c>
      <c r="R142" s="283" t="s">
        <v>1141</v>
      </c>
      <c r="S142" s="283"/>
      <c r="T142" s="283" t="str">
        <f>DivAndTax[[#This Row],[Investor ID]]&amp;"-"&amp;(RIGHT(DivAndTax[[#This Row],[Accounting Year]],2))</f>
        <v>A00333-24</v>
      </c>
      <c r="U142" s="283" t="str">
        <f>IF(DivAndTax[[#This Row],[Dividend Option]]="CIP","11",IF(DivAndTax[[#This Row],[Dividend Option]]="CASH","22"))</f>
        <v>22</v>
      </c>
      <c r="V142" s="285"/>
    </row>
    <row r="143" spans="1:22">
      <c r="A143" s="188">
        <v>2025</v>
      </c>
      <c r="B143" s="188">
        <v>1</v>
      </c>
      <c r="C143" s="188">
        <v>1</v>
      </c>
      <c r="D143" s="189">
        <f>IFERROR(DATE(A143,B143,C143)," ")</f>
        <v>45658</v>
      </c>
      <c r="E143" s="188">
        <v>2024</v>
      </c>
      <c r="F143" s="247">
        <v>45734</v>
      </c>
      <c r="G143" s="188" t="s">
        <v>598</v>
      </c>
      <c r="H143" s="190" t="str">
        <f>_xlfn.XLOOKUP(DivAndTax[[#This Row],[Investor ID]],INVESTORS_LIST[INVESTOR CODE],INVESTORS_LIST[INVESTOR NAME])</f>
        <v>BIPLAB SAHA</v>
      </c>
      <c r="I143" s="8" t="str">
        <f>_xlfn.XLOOKUP(DivAndTax[[#This Row],[Investor ID]],INVESTORS_LIST[INVESTOR CODE],INVESTORS_LIST[TYPE OF INVESTOR])</f>
        <v>Individual</v>
      </c>
      <c r="J143" s="290">
        <v>122741</v>
      </c>
      <c r="K143" s="283">
        <v>0.5</v>
      </c>
      <c r="L143" s="283">
        <f>DivAndTax[[#This Row],[Total Units]]*DivAndTax[[#This Row],[Dividend Per Unit]]</f>
        <v>61370.5</v>
      </c>
      <c r="M143" s="283">
        <f>DivAndTax[[#This Row],[Gross Dividend]]</f>
        <v>61370.5</v>
      </c>
      <c r="N143" s="193" cm="1">
        <f t="array" ref="N14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43" s="283">
        <f>ROUND(IF((DivAndTax[[#This Row],[Taxable Dividend]]*DivAndTax[[#This Row],[Tax Rate
(If Applicable)]])&gt;0,DivAndTax[[#This Row],[Taxable Dividend]]*DivAndTax[[#This Row],[Tax Rate
(If Applicable)]],0),2)</f>
        <v>9205.58</v>
      </c>
      <c r="P143" s="283">
        <f>L143-O143</f>
        <v>52164.92</v>
      </c>
      <c r="Q143" s="211" t="s">
        <v>1146</v>
      </c>
      <c r="R143" s="283" t="s">
        <v>1139</v>
      </c>
      <c r="S143" s="283"/>
      <c r="T143" s="283" t="str">
        <f>DivAndTax[[#This Row],[Investor ID]]&amp;"-"&amp;(RIGHT(DivAndTax[[#This Row],[Accounting Year]],2))</f>
        <v>A00336-24</v>
      </c>
      <c r="U143" s="283" t="str">
        <f>IF(DivAndTax[[#This Row],[Dividend Option]]="CIP","11",IF(DivAndTax[[#This Row],[Dividend Option]]="CASH","22"))</f>
        <v>11</v>
      </c>
      <c r="V143" s="285"/>
    </row>
    <row r="144" spans="1:22">
      <c r="A144" s="188">
        <v>2025</v>
      </c>
      <c r="B144" s="188">
        <v>1</v>
      </c>
      <c r="C144" s="188">
        <v>1</v>
      </c>
      <c r="D144" s="189">
        <f t="shared" ref="D144:D149" si="22">IFERROR(DATE(A144,B144,C144)," ")</f>
        <v>45658</v>
      </c>
      <c r="E144" s="188">
        <v>2024</v>
      </c>
      <c r="F144" s="247">
        <v>45734</v>
      </c>
      <c r="G144" s="188" t="s">
        <v>639</v>
      </c>
      <c r="H144" s="190" t="str">
        <f>_xlfn.XLOOKUP(DivAndTax[[#This Row],[Investor ID]],INVESTORS_LIST[INVESTOR CODE],INVESTORS_LIST[INVESTOR NAME])</f>
        <v>NEXXEN EQUITY MANAGEMENT LIMITED</v>
      </c>
      <c r="I144" s="8" t="str">
        <f>_xlfn.XLOOKUP(DivAndTax[[#This Row],[Investor ID]],INVESTORS_LIST[INVESTOR CODE],INVESTORS_LIST[TYPE OF INVESTOR])</f>
        <v>Company/Organization</v>
      </c>
      <c r="J144" s="290">
        <v>200000</v>
      </c>
      <c r="K144" s="283">
        <v>0.5</v>
      </c>
      <c r="L144" s="283">
        <f>DivAndTax[[#This Row],[Total Units]]*DivAndTax[[#This Row],[Dividend Per Unit]]</f>
        <v>100000</v>
      </c>
      <c r="M144" s="283">
        <f>DivAndTax[[#This Row],[Gross Dividend]]</f>
        <v>100000</v>
      </c>
      <c r="N144" s="193" cm="1">
        <f t="array" ref="N14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44" s="283">
        <f>ROUND(IF((DivAndTax[[#This Row],[Taxable Dividend]]*DivAndTax[[#This Row],[Tax Rate
(If Applicable)]])&gt;0,DivAndTax[[#This Row],[Taxable Dividend]]*DivAndTax[[#This Row],[Tax Rate
(If Applicable)]],0),2)</f>
        <v>20000</v>
      </c>
      <c r="P144" s="283">
        <f t="shared" ref="P144:P149" si="23">L144-O144</f>
        <v>80000</v>
      </c>
      <c r="Q144" s="211" t="s">
        <v>1178</v>
      </c>
      <c r="R144" s="283" t="s">
        <v>1141</v>
      </c>
      <c r="S144" s="283"/>
      <c r="T144" s="283" t="str">
        <f>DivAndTax[[#This Row],[Investor ID]]&amp;"-"&amp;(RIGHT(DivAndTax[[#This Row],[Accounting Year]],2))</f>
        <v>A00346-24</v>
      </c>
      <c r="U144" s="283" t="str">
        <f>IF(DivAndTax[[#This Row],[Dividend Option]]="CIP","11",IF(DivAndTax[[#This Row],[Dividend Option]]="CASH","22"))</f>
        <v>22</v>
      </c>
      <c r="V144" s="285"/>
    </row>
    <row r="145" spans="1:22">
      <c r="A145" s="188">
        <v>2025</v>
      </c>
      <c r="B145" s="188">
        <v>1</v>
      </c>
      <c r="C145" s="188">
        <v>1</v>
      </c>
      <c r="D145" s="189">
        <f t="shared" si="22"/>
        <v>45658</v>
      </c>
      <c r="E145" s="188">
        <v>2024</v>
      </c>
      <c r="F145" s="247">
        <v>45734</v>
      </c>
      <c r="G145" s="188" t="s">
        <v>641</v>
      </c>
      <c r="H145" s="190" t="str">
        <f>_xlfn.XLOOKUP(DivAndTax[[#This Row],[Investor ID]],INVESTORS_LIST[INVESTOR CODE],INVESTORS_LIST[INVESTOR NAME])</f>
        <v>EVEREST PHARMACEUTICALS LTD. EMPLOYEES CONTRIBUTORY PROVIDENT FUND</v>
      </c>
      <c r="I145" s="8" t="str">
        <f>_xlfn.XLOOKUP(DivAndTax[[#This Row],[Investor ID]],INVESTORS_LIST[INVESTOR CODE],INVESTORS_LIST[TYPE OF INVESTOR])</f>
        <v>Providend Fund</v>
      </c>
      <c r="J145" s="290">
        <v>100000</v>
      </c>
      <c r="K145" s="283">
        <v>0.5</v>
      </c>
      <c r="L145" s="283">
        <f>DivAndTax[[#This Row],[Total Units]]*DivAndTax[[#This Row],[Dividend Per Unit]]</f>
        <v>50000</v>
      </c>
      <c r="M145" s="283">
        <f>DivAndTax[[#This Row],[Gross Dividend]]</f>
        <v>50000</v>
      </c>
      <c r="N145" s="193" cm="1">
        <f t="array" ref="N14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45" s="283">
        <f>ROUND(IF((DivAndTax[[#This Row],[Taxable Dividend]]*DivAndTax[[#This Row],[Tax Rate
(If Applicable)]])&gt;0,DivAndTax[[#This Row],[Taxable Dividend]]*DivAndTax[[#This Row],[Tax Rate
(If Applicable)]],0),2)</f>
        <v>5000</v>
      </c>
      <c r="P145" s="283">
        <f t="shared" si="23"/>
        <v>45000</v>
      </c>
      <c r="Q145" s="211" t="s">
        <v>1179</v>
      </c>
      <c r="R145" s="283" t="s">
        <v>1141</v>
      </c>
      <c r="S145" s="283"/>
      <c r="T145" s="283" t="str">
        <f>DivAndTax[[#This Row],[Investor ID]]&amp;"-"&amp;(RIGHT(DivAndTax[[#This Row],[Accounting Year]],2))</f>
        <v>A00347-24</v>
      </c>
      <c r="U145" s="283" t="str">
        <f>IF(DivAndTax[[#This Row],[Dividend Option]]="CIP","11",IF(DivAndTax[[#This Row],[Dividend Option]]="CASH","22"))</f>
        <v>22</v>
      </c>
      <c r="V145" s="285"/>
    </row>
    <row r="146" spans="1:22">
      <c r="A146" s="188">
        <v>2025</v>
      </c>
      <c r="B146" s="188">
        <v>1</v>
      </c>
      <c r="C146" s="188">
        <v>1</v>
      </c>
      <c r="D146" s="189">
        <f t="shared" si="22"/>
        <v>45658</v>
      </c>
      <c r="E146" s="188">
        <v>2024</v>
      </c>
      <c r="F146" s="247">
        <v>45734</v>
      </c>
      <c r="G146" s="188" t="s">
        <v>643</v>
      </c>
      <c r="H146" s="190" t="str">
        <f>_xlfn.XLOOKUP(DivAndTax[[#This Row],[Investor ID]],INVESTORS_LIST[INVESTOR CODE],INVESTORS_LIST[INVESTOR NAME])</f>
        <v>A.K.M. ANWARUL HOQ</v>
      </c>
      <c r="I146" s="8" t="str">
        <f>_xlfn.XLOOKUP(DivAndTax[[#This Row],[Investor ID]],INVESTORS_LIST[INVESTOR CODE],INVESTORS_LIST[TYPE OF INVESTOR])</f>
        <v>Individual</v>
      </c>
      <c r="J146" s="290">
        <v>100000</v>
      </c>
      <c r="K146" s="283">
        <v>0.5</v>
      </c>
      <c r="L146" s="283">
        <f>DivAndTax[[#This Row],[Total Units]]*DivAndTax[[#This Row],[Dividend Per Unit]]</f>
        <v>50000</v>
      </c>
      <c r="M146" s="283">
        <f>DivAndTax[[#This Row],[Gross Dividend]]</f>
        <v>50000</v>
      </c>
      <c r="N146" s="193" cm="1">
        <f t="array" ref="N14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46" s="283">
        <f>ROUND(IF((DivAndTax[[#This Row],[Taxable Dividend]]*DivAndTax[[#This Row],[Tax Rate
(If Applicable)]])&gt;0,DivAndTax[[#This Row],[Taxable Dividend]]*DivAndTax[[#This Row],[Tax Rate
(If Applicable)]],0),2)</f>
        <v>5000</v>
      </c>
      <c r="P146" s="283">
        <f t="shared" si="23"/>
        <v>45000</v>
      </c>
      <c r="Q146" s="211" t="s">
        <v>1180</v>
      </c>
      <c r="R146" s="283" t="s">
        <v>1141</v>
      </c>
      <c r="S146" s="283"/>
      <c r="T146" s="283" t="str">
        <f>DivAndTax[[#This Row],[Investor ID]]&amp;"-"&amp;(RIGHT(DivAndTax[[#This Row],[Accounting Year]],2))</f>
        <v>A00348-24</v>
      </c>
      <c r="U146" s="283" t="str">
        <f>IF(DivAndTax[[#This Row],[Dividend Option]]="CIP","11",IF(DivAndTax[[#This Row],[Dividend Option]]="CASH","22"))</f>
        <v>22</v>
      </c>
      <c r="V146" s="285"/>
    </row>
    <row r="147" spans="1:22">
      <c r="A147" s="188">
        <v>2025</v>
      </c>
      <c r="B147" s="188">
        <v>1</v>
      </c>
      <c r="C147" s="188">
        <v>1</v>
      </c>
      <c r="D147" s="189">
        <f t="shared" si="22"/>
        <v>45658</v>
      </c>
      <c r="E147" s="188">
        <v>2024</v>
      </c>
      <c r="F147" s="247">
        <v>45734</v>
      </c>
      <c r="G147" s="188" t="s">
        <v>645</v>
      </c>
      <c r="H147" s="190" t="str">
        <f>_xlfn.XLOOKUP(DivAndTax[[#This Row],[Investor ID]],INVESTORS_LIST[INVESTOR CODE],INVESTORS_LIST[INVESTOR NAME])</f>
        <v>MOHAMMAD MOZNU MOLLAH</v>
      </c>
      <c r="I147" s="8" t="str">
        <f>_xlfn.XLOOKUP(DivAndTax[[#This Row],[Investor ID]],INVESTORS_LIST[INVESTOR CODE],INVESTORS_LIST[TYPE OF INVESTOR])</f>
        <v>Individual</v>
      </c>
      <c r="J147" s="290">
        <v>100000</v>
      </c>
      <c r="K147" s="283">
        <v>0.5</v>
      </c>
      <c r="L147" s="283">
        <f>DivAndTax[[#This Row],[Total Units]]*DivAndTax[[#This Row],[Dividend Per Unit]]</f>
        <v>50000</v>
      </c>
      <c r="M147" s="283">
        <f>DivAndTax[[#This Row],[Gross Dividend]]</f>
        <v>50000</v>
      </c>
      <c r="N147" s="193" cm="1">
        <f t="array" ref="N14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47" s="283">
        <f>ROUND(IF((DivAndTax[[#This Row],[Taxable Dividend]]*DivAndTax[[#This Row],[Tax Rate
(If Applicable)]])&gt;0,DivAndTax[[#This Row],[Taxable Dividend]]*DivAndTax[[#This Row],[Tax Rate
(If Applicable)]],0),2)</f>
        <v>5000</v>
      </c>
      <c r="P147" s="283">
        <f t="shared" si="23"/>
        <v>45000</v>
      </c>
      <c r="Q147" s="211" t="s">
        <v>1181</v>
      </c>
      <c r="R147" s="283" t="s">
        <v>1141</v>
      </c>
      <c r="S147" s="283"/>
      <c r="T147" s="283" t="str">
        <f>DivAndTax[[#This Row],[Investor ID]]&amp;"-"&amp;(RIGHT(DivAndTax[[#This Row],[Accounting Year]],2))</f>
        <v>A00349-24</v>
      </c>
      <c r="U147" s="283" t="str">
        <f>IF(DivAndTax[[#This Row],[Dividend Option]]="CIP","11",IF(DivAndTax[[#This Row],[Dividend Option]]="CASH","22"))</f>
        <v>22</v>
      </c>
      <c r="V147" s="285"/>
    </row>
    <row r="148" spans="1:22">
      <c r="A148" s="188">
        <v>2025</v>
      </c>
      <c r="B148" s="188">
        <v>1</v>
      </c>
      <c r="C148" s="188">
        <v>1</v>
      </c>
      <c r="D148" s="189">
        <f t="shared" si="22"/>
        <v>45658</v>
      </c>
      <c r="E148" s="188">
        <v>2024</v>
      </c>
      <c r="F148" s="247">
        <v>45734</v>
      </c>
      <c r="G148" s="188" t="s">
        <v>647</v>
      </c>
      <c r="H148" s="190" t="str">
        <f>_xlfn.XLOOKUP(DivAndTax[[#This Row],[Investor ID]],INVESTORS_LIST[INVESTOR CODE],INVESTORS_LIST[INVESTOR NAME])</f>
        <v>MD. ZAKIR HOSSAIN</v>
      </c>
      <c r="I148" s="8" t="str">
        <f>_xlfn.XLOOKUP(DivAndTax[[#This Row],[Investor ID]],INVESTORS_LIST[INVESTOR CODE],INVESTORS_LIST[TYPE OF INVESTOR])</f>
        <v>Individual</v>
      </c>
      <c r="J148" s="290">
        <v>102284</v>
      </c>
      <c r="K148" s="283">
        <v>0.5</v>
      </c>
      <c r="L148" s="283">
        <f>DivAndTax[[#This Row],[Total Units]]*DivAndTax[[#This Row],[Dividend Per Unit]]</f>
        <v>51142</v>
      </c>
      <c r="M148" s="283">
        <f>DivAndTax[[#This Row],[Gross Dividend]]</f>
        <v>51142</v>
      </c>
      <c r="N148" s="193" cm="1">
        <f t="array" ref="N14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48" s="283">
        <f>ROUND(IF((DivAndTax[[#This Row],[Taxable Dividend]]*DivAndTax[[#This Row],[Tax Rate
(If Applicable)]])&gt;0,DivAndTax[[#This Row],[Taxable Dividend]]*DivAndTax[[#This Row],[Tax Rate
(If Applicable)]],0),2)</f>
        <v>5114.2</v>
      </c>
      <c r="P148" s="283">
        <f t="shared" si="23"/>
        <v>46027.8</v>
      </c>
      <c r="Q148" s="211" t="s">
        <v>1182</v>
      </c>
      <c r="R148" s="283" t="s">
        <v>1139</v>
      </c>
      <c r="S148" s="283"/>
      <c r="T148" s="283" t="str">
        <f>DivAndTax[[#This Row],[Investor ID]]&amp;"-"&amp;(RIGHT(DivAndTax[[#This Row],[Accounting Year]],2))</f>
        <v>A00350-24</v>
      </c>
      <c r="U148" s="283" t="str">
        <f>IF(DivAndTax[[#This Row],[Dividend Option]]="CIP","11",IF(DivAndTax[[#This Row],[Dividend Option]]="CASH","22"))</f>
        <v>11</v>
      </c>
      <c r="V148" s="285"/>
    </row>
    <row r="149" spans="1:22">
      <c r="A149" s="188">
        <v>2025</v>
      </c>
      <c r="B149" s="188">
        <v>1</v>
      </c>
      <c r="C149" s="188">
        <v>1</v>
      </c>
      <c r="D149" s="189">
        <f t="shared" si="22"/>
        <v>45658</v>
      </c>
      <c r="E149" s="188">
        <v>2024</v>
      </c>
      <c r="F149" s="247">
        <v>45734</v>
      </c>
      <c r="G149" s="188" t="s">
        <v>649</v>
      </c>
      <c r="H149" s="190" t="str">
        <f>_xlfn.XLOOKUP(DivAndTax[[#This Row],[Investor ID]],INVESTORS_LIST[INVESTOR CODE],INVESTORS_LIST[INVESTOR NAME])</f>
        <v>MOHAMMAD SAIFUL ISLAM</v>
      </c>
      <c r="I149" s="8" t="str">
        <f>_xlfn.XLOOKUP(DivAndTax[[#This Row],[Investor ID]],INVESTORS_LIST[INVESTOR CODE],INVESTORS_LIST[TYPE OF INVESTOR])</f>
        <v>Individual</v>
      </c>
      <c r="J149" s="290">
        <v>100000</v>
      </c>
      <c r="K149" s="283">
        <v>0.5</v>
      </c>
      <c r="L149" s="283">
        <f>DivAndTax[[#This Row],[Total Units]]*DivAndTax[[#This Row],[Dividend Per Unit]]</f>
        <v>50000</v>
      </c>
      <c r="M149" s="283">
        <f>DivAndTax[[#This Row],[Gross Dividend]]</f>
        <v>50000</v>
      </c>
      <c r="N149" s="193" cm="1">
        <f t="array" ref="N14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49" s="283">
        <f>ROUND(IF((DivAndTax[[#This Row],[Taxable Dividend]]*DivAndTax[[#This Row],[Tax Rate
(If Applicable)]])&gt;0,DivAndTax[[#This Row],[Taxable Dividend]]*DivAndTax[[#This Row],[Tax Rate
(If Applicable)]],0),2)</f>
        <v>5000</v>
      </c>
      <c r="P149" s="283">
        <f t="shared" si="23"/>
        <v>45000</v>
      </c>
      <c r="Q149" s="211" t="s">
        <v>1183</v>
      </c>
      <c r="R149" s="283" t="s">
        <v>1141</v>
      </c>
      <c r="S149" s="283"/>
      <c r="T149" s="283" t="str">
        <f>DivAndTax[[#This Row],[Investor ID]]&amp;"-"&amp;(RIGHT(DivAndTax[[#This Row],[Accounting Year]],2))</f>
        <v>A00351-24</v>
      </c>
      <c r="U149" s="283" t="str">
        <f>IF(DivAndTax[[#This Row],[Dividend Option]]="CIP","11",IF(DivAndTax[[#This Row],[Dividend Option]]="CASH","22"))</f>
        <v>22</v>
      </c>
      <c r="V149" s="285"/>
    </row>
    <row r="150" spans="1:22">
      <c r="A150" s="188">
        <v>2025</v>
      </c>
      <c r="B150" s="188">
        <v>1</v>
      </c>
      <c r="C150" s="188">
        <v>1</v>
      </c>
      <c r="D150" s="189">
        <f t="shared" ref="D150:D152" si="24">IFERROR(DATE(A150,B150,C150)," ")</f>
        <v>45658</v>
      </c>
      <c r="E150" s="188">
        <v>2024</v>
      </c>
      <c r="F150" s="247">
        <v>45734</v>
      </c>
      <c r="G150" s="188" t="s">
        <v>653</v>
      </c>
      <c r="H150" s="190" t="str">
        <f>_xlfn.XLOOKUP(DivAndTax[[#This Row],[Investor ID]],INVESTORS_LIST[INVESTOR CODE],INVESTORS_LIST[INVESTOR NAME])</f>
        <v>VANGUARD AML GROWTH FUND</v>
      </c>
      <c r="I150" s="8" t="str">
        <f>_xlfn.XLOOKUP(DivAndTax[[#This Row],[Investor ID]],INVESTORS_LIST[INVESTOR CODE],INVESTORS_LIST[TYPE OF INVESTOR])</f>
        <v>Mutual Fund</v>
      </c>
      <c r="J150" s="290">
        <v>615225</v>
      </c>
      <c r="K150" s="283">
        <v>0.5</v>
      </c>
      <c r="L150" s="283">
        <f>DivAndTax[[#This Row],[Total Units]]*DivAndTax[[#This Row],[Dividend Per Unit]]</f>
        <v>307612.5</v>
      </c>
      <c r="M150" s="283">
        <f>DivAndTax[[#This Row],[Gross Dividend]]</f>
        <v>307612.5</v>
      </c>
      <c r="N150" s="193" cm="1">
        <f t="array" ref="N15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</v>
      </c>
      <c r="O150" s="283">
        <f>ROUND(IF((DivAndTax[[#This Row],[Taxable Dividend]]*DivAndTax[[#This Row],[Tax Rate
(If Applicable)]])&gt;0,DivAndTax[[#This Row],[Taxable Dividend]]*DivAndTax[[#This Row],[Tax Rate
(If Applicable)]],0),2)</f>
        <v>0</v>
      </c>
      <c r="P150" s="283">
        <f t="shared" ref="P150:P152" si="25">L150-O150</f>
        <v>307612.5</v>
      </c>
      <c r="Q150" s="211" t="s">
        <v>1146</v>
      </c>
      <c r="R150" s="283" t="s">
        <v>1141</v>
      </c>
      <c r="S150" s="283"/>
      <c r="T150" s="283" t="str">
        <f>DivAndTax[[#This Row],[Investor ID]]&amp;"-"&amp;(RIGHT(DivAndTax[[#This Row],[Accounting Year]],2))</f>
        <v>A00353-24</v>
      </c>
      <c r="U150" s="283" t="str">
        <f>IF(DivAndTax[[#This Row],[Dividend Option]]="CIP","11",IF(DivAndTax[[#This Row],[Dividend Option]]="CASH","22"))</f>
        <v>22</v>
      </c>
      <c r="V150" s="285"/>
    </row>
    <row r="151" spans="1:22">
      <c r="A151" s="188">
        <v>2025</v>
      </c>
      <c r="B151" s="188">
        <v>1</v>
      </c>
      <c r="C151" s="188">
        <v>1</v>
      </c>
      <c r="D151" s="189">
        <f t="shared" si="24"/>
        <v>45658</v>
      </c>
      <c r="E151" s="188">
        <v>2024</v>
      </c>
      <c r="F151" s="247">
        <v>45734</v>
      </c>
      <c r="G151" s="188" t="s">
        <v>655</v>
      </c>
      <c r="H151" s="190" t="str">
        <f>_xlfn.XLOOKUP(DivAndTax[[#This Row],[Investor ID]],INVESTORS_LIST[INVESTOR CODE],INVESTORS_LIST[INVESTOR NAME])</f>
        <v>BRAC BANK LIMITED</v>
      </c>
      <c r="I151" s="8" t="str">
        <f>_xlfn.XLOOKUP(DivAndTax[[#This Row],[Investor ID]],INVESTORS_LIST[INVESTOR CODE],INVESTORS_LIST[TYPE OF INVESTOR])</f>
        <v>Company/Organization</v>
      </c>
      <c r="J151" s="290">
        <v>2250000</v>
      </c>
      <c r="K151" s="283">
        <v>0.5</v>
      </c>
      <c r="L151" s="283">
        <f>DivAndTax[[#This Row],[Total Units]]*DivAndTax[[#This Row],[Dividend Per Unit]]</f>
        <v>1125000</v>
      </c>
      <c r="M151" s="283">
        <f>DivAndTax[[#This Row],[Gross Dividend]]</f>
        <v>1125000</v>
      </c>
      <c r="N151" s="193" cm="1">
        <f t="array" ref="N15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51" s="283">
        <f>ROUND(IF((DivAndTax[[#This Row],[Taxable Dividend]]*DivAndTax[[#This Row],[Tax Rate
(If Applicable)]])&gt;0,DivAndTax[[#This Row],[Taxable Dividend]]*DivAndTax[[#This Row],[Tax Rate
(If Applicable)]],0),2)</f>
        <v>225000</v>
      </c>
      <c r="P151" s="283">
        <f t="shared" si="25"/>
        <v>900000</v>
      </c>
      <c r="Q151" s="211" t="s">
        <v>1184</v>
      </c>
      <c r="R151" s="283" t="s">
        <v>1141</v>
      </c>
      <c r="S151" s="283"/>
      <c r="T151" s="283" t="str">
        <f>DivAndTax[[#This Row],[Investor ID]]&amp;"-"&amp;(RIGHT(DivAndTax[[#This Row],[Accounting Year]],2))</f>
        <v>A00354-24</v>
      </c>
      <c r="U151" s="283" t="str">
        <f>IF(DivAndTax[[#This Row],[Dividend Option]]="CIP","11",IF(DivAndTax[[#This Row],[Dividend Option]]="CASH","22"))</f>
        <v>22</v>
      </c>
      <c r="V151" s="285"/>
    </row>
    <row r="152" spans="1:22">
      <c r="A152" s="188">
        <v>2025</v>
      </c>
      <c r="B152" s="188">
        <v>1</v>
      </c>
      <c r="C152" s="188">
        <v>1</v>
      </c>
      <c r="D152" s="189">
        <f t="shared" si="24"/>
        <v>45658</v>
      </c>
      <c r="E152" s="188">
        <v>2024</v>
      </c>
      <c r="F152" s="247">
        <v>45734</v>
      </c>
      <c r="G152" s="188" t="s">
        <v>657</v>
      </c>
      <c r="H152" s="190" t="str">
        <f>_xlfn.XLOOKUP(DivAndTax[[#This Row],[Investor ID]],INVESTORS_LIST[INVESTOR CODE],INVESTORS_LIST[INVESTOR NAME])</f>
        <v>NRB COMMERCIAL BANK LIMITED</v>
      </c>
      <c r="I152" s="8" t="str">
        <f>_xlfn.XLOOKUP(DivAndTax[[#This Row],[Investor ID]],INVESTORS_LIST[INVESTOR CODE],INVESTORS_LIST[TYPE OF INVESTOR])</f>
        <v>Company/Organization</v>
      </c>
      <c r="J152" s="290">
        <v>1000000</v>
      </c>
      <c r="K152" s="283">
        <v>0.5</v>
      </c>
      <c r="L152" s="283">
        <f>DivAndTax[[#This Row],[Total Units]]*DivAndTax[[#This Row],[Dividend Per Unit]]</f>
        <v>500000</v>
      </c>
      <c r="M152" s="283">
        <f>DivAndTax[[#This Row],[Gross Dividend]]</f>
        <v>500000</v>
      </c>
      <c r="N152" s="193" cm="1">
        <f t="array" ref="N15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52" s="283">
        <f>ROUND(IF((DivAndTax[[#This Row],[Taxable Dividend]]*DivAndTax[[#This Row],[Tax Rate
(If Applicable)]])&gt;0,DivAndTax[[#This Row],[Taxable Dividend]]*DivAndTax[[#This Row],[Tax Rate
(If Applicable)]],0),2)</f>
        <v>100000</v>
      </c>
      <c r="P152" s="283">
        <f t="shared" si="25"/>
        <v>400000</v>
      </c>
      <c r="Q152" s="211" t="s">
        <v>1146</v>
      </c>
      <c r="R152" s="283" t="s">
        <v>1141</v>
      </c>
      <c r="S152" s="283"/>
      <c r="T152" s="283" t="str">
        <f>DivAndTax[[#This Row],[Investor ID]]&amp;"-"&amp;(RIGHT(DivAndTax[[#This Row],[Accounting Year]],2))</f>
        <v>A00355-24</v>
      </c>
      <c r="U152" s="283" t="str">
        <f>IF(DivAndTax[[#This Row],[Dividend Option]]="CIP","11",IF(DivAndTax[[#This Row],[Dividend Option]]="CASH","22"))</f>
        <v>22</v>
      </c>
      <c r="V152" s="285"/>
    </row>
    <row r="153" spans="1:22">
      <c r="A153" s="188">
        <v>2025</v>
      </c>
      <c r="B153" s="188">
        <v>1</v>
      </c>
      <c r="C153" s="188">
        <v>1</v>
      </c>
      <c r="D153" s="189">
        <f>IFERROR(DATE(A153,B153,C153)," ")</f>
        <v>45658</v>
      </c>
      <c r="E153" s="188">
        <v>2024</v>
      </c>
      <c r="F153" s="247">
        <v>45734</v>
      </c>
      <c r="G153" s="188" t="s">
        <v>667</v>
      </c>
      <c r="H153" s="190" t="str">
        <f>_xlfn.XLOOKUP(DivAndTax[[#This Row],[Investor ID]],INVESTORS_LIST[INVESTOR CODE],INVESTORS_LIST[INVESTOR NAME])</f>
        <v>NBL CAPITAL AND EQUITY MANAGEMENT LTD</v>
      </c>
      <c r="I153" s="8" t="str">
        <f>_xlfn.XLOOKUP(DivAndTax[[#This Row],[Investor ID]],INVESTORS_LIST[INVESTOR CODE],INVESTORS_LIST[TYPE OF INVESTOR])</f>
        <v>Company/Organization</v>
      </c>
      <c r="J153" s="290">
        <v>50000</v>
      </c>
      <c r="K153" s="283">
        <v>0.5</v>
      </c>
      <c r="L153" s="283">
        <f>DivAndTax[[#This Row],[Total Units]]*DivAndTax[[#This Row],[Dividend Per Unit]]</f>
        <v>25000</v>
      </c>
      <c r="M153" s="283">
        <f>DivAndTax[[#This Row],[Gross Dividend]]</f>
        <v>25000</v>
      </c>
      <c r="N153" s="193" cm="1">
        <f t="array" ref="N15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53" s="283">
        <f>ROUND(IF((DivAndTax[[#This Row],[Taxable Dividend]]*DivAndTax[[#This Row],[Tax Rate
(If Applicable)]])&gt;0,DivAndTax[[#This Row],[Taxable Dividend]]*DivAndTax[[#This Row],[Tax Rate
(If Applicable)]],0),2)</f>
        <v>5000</v>
      </c>
      <c r="P153" s="283">
        <f>L153-O153</f>
        <v>20000</v>
      </c>
      <c r="Q153" s="211" t="s">
        <v>1185</v>
      </c>
      <c r="R153" s="283" t="s">
        <v>1141</v>
      </c>
      <c r="S153" s="283"/>
      <c r="T153" s="283" t="str">
        <f>DivAndTax[[#This Row],[Investor ID]]&amp;"-"&amp;(RIGHT(DivAndTax[[#This Row],[Accounting Year]],2))</f>
        <v>A00360-24</v>
      </c>
      <c r="U153" s="283" t="str">
        <f>IF(DivAndTax[[#This Row],[Dividend Option]]="CIP","11",IF(DivAndTax[[#This Row],[Dividend Option]]="CASH","22"))</f>
        <v>22</v>
      </c>
      <c r="V153" s="285"/>
    </row>
    <row r="154" spans="1:22">
      <c r="A154" s="188">
        <v>2025</v>
      </c>
      <c r="B154" s="188">
        <v>1</v>
      </c>
      <c r="C154" s="188">
        <v>1</v>
      </c>
      <c r="D154" s="189">
        <f t="shared" ref="D154:D158" si="26">IFERROR(DATE(A154,B154,C154)," ")</f>
        <v>45658</v>
      </c>
      <c r="E154" s="188">
        <v>2024</v>
      </c>
      <c r="F154" s="247">
        <v>45734</v>
      </c>
      <c r="G154" s="188" t="s">
        <v>671</v>
      </c>
      <c r="H154" s="190" t="str">
        <f>_xlfn.XLOOKUP(DivAndTax[[#This Row],[Investor ID]],INVESTORS_LIST[INVESTOR CODE],INVESTORS_LIST[INVESTOR NAME])</f>
        <v>MOHAMMAD YASEEN</v>
      </c>
      <c r="I154" s="8" t="str">
        <f>_xlfn.XLOOKUP(DivAndTax[[#This Row],[Investor ID]],INVESTORS_LIST[INVESTOR CODE],INVESTORS_LIST[TYPE OF INVESTOR])</f>
        <v>Individual</v>
      </c>
      <c r="J154" s="290">
        <v>2000</v>
      </c>
      <c r="K154" s="283">
        <v>0.5</v>
      </c>
      <c r="L154" s="283">
        <f>DivAndTax[[#This Row],[Total Units]]*DivAndTax[[#This Row],[Dividend Per Unit]]</f>
        <v>1000</v>
      </c>
      <c r="M154" s="283">
        <f>DivAndTax[[#This Row],[Gross Dividend]]</f>
        <v>1000</v>
      </c>
      <c r="N154" s="193" cm="1">
        <f t="array" ref="N15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54" s="283">
        <f>ROUND(IF((DivAndTax[[#This Row],[Taxable Dividend]]*DivAndTax[[#This Row],[Tax Rate
(If Applicable)]])&gt;0,DivAndTax[[#This Row],[Taxable Dividend]]*DivAndTax[[#This Row],[Tax Rate
(If Applicable)]],0),2)</f>
        <v>100</v>
      </c>
      <c r="P154" s="283">
        <f t="shared" ref="P154:P158" si="27">L154-O154</f>
        <v>900</v>
      </c>
      <c r="Q154" s="211" t="s">
        <v>1186</v>
      </c>
      <c r="R154" s="283" t="s">
        <v>1141</v>
      </c>
      <c r="S154" s="283"/>
      <c r="T154" s="283" t="str">
        <f>DivAndTax[[#This Row],[Investor ID]]&amp;"-"&amp;(RIGHT(DivAndTax[[#This Row],[Accounting Year]],2))</f>
        <v>A00362-24</v>
      </c>
      <c r="U154" s="283" t="str">
        <f>IF(DivAndTax[[#This Row],[Dividend Option]]="CIP","11",IF(DivAndTax[[#This Row],[Dividend Option]]="CASH","22"))</f>
        <v>22</v>
      </c>
      <c r="V154" s="285"/>
    </row>
    <row r="155" spans="1:22">
      <c r="A155" s="188">
        <v>2025</v>
      </c>
      <c r="B155" s="188">
        <v>1</v>
      </c>
      <c r="C155" s="188">
        <v>1</v>
      </c>
      <c r="D155" s="189">
        <f t="shared" si="26"/>
        <v>45658</v>
      </c>
      <c r="E155" s="188">
        <v>2024</v>
      </c>
      <c r="F155" s="247">
        <v>45734</v>
      </c>
      <c r="G155" s="188" t="s">
        <v>673</v>
      </c>
      <c r="H155" s="190" t="str">
        <f>_xlfn.XLOOKUP(DivAndTax[[#This Row],[Investor ID]],INVESTORS_LIST[INVESTOR CODE],INVESTORS_LIST[INVESTOR NAME])</f>
        <v>MD. TARIF AZAD KHAN</v>
      </c>
      <c r="I155" s="8" t="str">
        <f>_xlfn.XLOOKUP(DivAndTax[[#This Row],[Investor ID]],INVESTORS_LIST[INVESTOR CODE],INVESTORS_LIST[TYPE OF INVESTOR])</f>
        <v>Individual</v>
      </c>
      <c r="J155" s="290">
        <v>2000</v>
      </c>
      <c r="K155" s="283">
        <v>0.5</v>
      </c>
      <c r="L155" s="283">
        <f>DivAndTax[[#This Row],[Total Units]]*DivAndTax[[#This Row],[Dividend Per Unit]]</f>
        <v>1000</v>
      </c>
      <c r="M155" s="283">
        <f>DivAndTax[[#This Row],[Gross Dividend]]</f>
        <v>1000</v>
      </c>
      <c r="N155" s="193" cm="1">
        <f t="array" ref="N15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55" s="283">
        <f>ROUND(IF((DivAndTax[[#This Row],[Taxable Dividend]]*DivAndTax[[#This Row],[Tax Rate
(If Applicable)]])&gt;0,DivAndTax[[#This Row],[Taxable Dividend]]*DivAndTax[[#This Row],[Tax Rate
(If Applicable)]],0),2)</f>
        <v>100</v>
      </c>
      <c r="P155" s="283">
        <f t="shared" si="27"/>
        <v>900</v>
      </c>
      <c r="Q155" s="211" t="s">
        <v>1187</v>
      </c>
      <c r="R155" s="283" t="s">
        <v>1141</v>
      </c>
      <c r="S155" s="283"/>
      <c r="T155" s="283" t="str">
        <f>DivAndTax[[#This Row],[Investor ID]]&amp;"-"&amp;(RIGHT(DivAndTax[[#This Row],[Accounting Year]],2))</f>
        <v>A00363-24</v>
      </c>
      <c r="U155" s="283" t="str">
        <f>IF(DivAndTax[[#This Row],[Dividend Option]]="CIP","11",IF(DivAndTax[[#This Row],[Dividend Option]]="CASH","22"))</f>
        <v>22</v>
      </c>
      <c r="V155" s="285"/>
    </row>
    <row r="156" spans="1:22">
      <c r="A156" s="188">
        <v>2025</v>
      </c>
      <c r="B156" s="188">
        <v>1</v>
      </c>
      <c r="C156" s="188">
        <v>1</v>
      </c>
      <c r="D156" s="189">
        <f t="shared" si="26"/>
        <v>45658</v>
      </c>
      <c r="E156" s="188">
        <v>2024</v>
      </c>
      <c r="F156" s="247">
        <v>45734</v>
      </c>
      <c r="G156" s="188" t="s">
        <v>675</v>
      </c>
      <c r="H156" s="190" t="str">
        <f>_xlfn.XLOOKUP(DivAndTax[[#This Row],[Investor ID]],INVESTORS_LIST[INVESTOR CODE],INVESTORS_LIST[INVESTOR NAME])</f>
        <v>MD. AZHARUL KARIM</v>
      </c>
      <c r="I156" s="8" t="str">
        <f>_xlfn.XLOOKUP(DivAndTax[[#This Row],[Investor ID]],INVESTORS_LIST[INVESTOR CODE],INVESTORS_LIST[TYPE OF INVESTOR])</f>
        <v>Individual</v>
      </c>
      <c r="J156" s="290">
        <v>2000</v>
      </c>
      <c r="K156" s="283">
        <v>0.5</v>
      </c>
      <c r="L156" s="283">
        <f>DivAndTax[[#This Row],[Total Units]]*DivAndTax[[#This Row],[Dividend Per Unit]]</f>
        <v>1000</v>
      </c>
      <c r="M156" s="283">
        <f>DivAndTax[[#This Row],[Gross Dividend]]</f>
        <v>1000</v>
      </c>
      <c r="N156" s="193" cm="1">
        <f t="array" ref="N15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56" s="283">
        <f>ROUND(IF((DivAndTax[[#This Row],[Taxable Dividend]]*DivAndTax[[#This Row],[Tax Rate
(If Applicable)]])&gt;0,DivAndTax[[#This Row],[Taxable Dividend]]*DivAndTax[[#This Row],[Tax Rate
(If Applicable)]],0),2)</f>
        <v>100</v>
      </c>
      <c r="P156" s="283">
        <f t="shared" si="27"/>
        <v>900</v>
      </c>
      <c r="Q156" s="211" t="s">
        <v>1188</v>
      </c>
      <c r="R156" s="283" t="s">
        <v>1141</v>
      </c>
      <c r="S156" s="283"/>
      <c r="T156" s="283" t="str">
        <f>DivAndTax[[#This Row],[Investor ID]]&amp;"-"&amp;(RIGHT(DivAndTax[[#This Row],[Accounting Year]],2))</f>
        <v>A00364-24</v>
      </c>
      <c r="U156" s="283" t="str">
        <f>IF(DivAndTax[[#This Row],[Dividend Option]]="CIP","11",IF(DivAndTax[[#This Row],[Dividend Option]]="CASH","22"))</f>
        <v>22</v>
      </c>
      <c r="V156" s="285"/>
    </row>
    <row r="157" spans="1:22">
      <c r="A157" s="188">
        <v>2025</v>
      </c>
      <c r="B157" s="188">
        <v>1</v>
      </c>
      <c r="C157" s="188">
        <v>1</v>
      </c>
      <c r="D157" s="189">
        <f t="shared" si="26"/>
        <v>45658</v>
      </c>
      <c r="E157" s="188">
        <v>2024</v>
      </c>
      <c r="F157" s="247">
        <v>45734</v>
      </c>
      <c r="G157" s="188" t="s">
        <v>677</v>
      </c>
      <c r="H157" s="190" t="str">
        <f>_xlfn.XLOOKUP(DivAndTax[[#This Row],[Investor ID]],INVESTORS_LIST[INVESTOR CODE],INVESTORS_LIST[INVESTOR NAME])</f>
        <v>BANGLADESH FUND</v>
      </c>
      <c r="I157" s="8" t="str">
        <f>_xlfn.XLOOKUP(DivAndTax[[#This Row],[Investor ID]],INVESTORS_LIST[INVESTOR CODE],INVESTORS_LIST[TYPE OF INVESTOR])</f>
        <v>Mutual Fund</v>
      </c>
      <c r="J157" s="290">
        <v>500000</v>
      </c>
      <c r="K157" s="283">
        <v>0.5</v>
      </c>
      <c r="L157" s="283">
        <f>DivAndTax[[#This Row],[Total Units]]*DivAndTax[[#This Row],[Dividend Per Unit]]</f>
        <v>250000</v>
      </c>
      <c r="M157" s="283">
        <f>DivAndTax[[#This Row],[Gross Dividend]]</f>
        <v>250000</v>
      </c>
      <c r="N157" s="193" cm="1">
        <f t="array" ref="N15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</v>
      </c>
      <c r="O157" s="283">
        <f>ROUND(IF((DivAndTax[[#This Row],[Taxable Dividend]]*DivAndTax[[#This Row],[Tax Rate
(If Applicable)]])&gt;0,DivAndTax[[#This Row],[Taxable Dividend]]*DivAndTax[[#This Row],[Tax Rate
(If Applicable)]],0),2)</f>
        <v>0</v>
      </c>
      <c r="P157" s="283">
        <f t="shared" si="27"/>
        <v>250000</v>
      </c>
      <c r="Q157" s="211" t="s">
        <v>1146</v>
      </c>
      <c r="R157" s="283" t="s">
        <v>1141</v>
      </c>
      <c r="S157" s="283"/>
      <c r="T157" s="283" t="str">
        <f>DivAndTax[[#This Row],[Investor ID]]&amp;"-"&amp;(RIGHT(DivAndTax[[#This Row],[Accounting Year]],2))</f>
        <v>A00365-24</v>
      </c>
      <c r="U157" s="283" t="str">
        <f>IF(DivAndTax[[#This Row],[Dividend Option]]="CIP","11",IF(DivAndTax[[#This Row],[Dividend Option]]="CASH","22"))</f>
        <v>22</v>
      </c>
      <c r="V157" s="285"/>
    </row>
    <row r="158" spans="1:22">
      <c r="A158" s="188">
        <v>2025</v>
      </c>
      <c r="B158" s="188">
        <v>1</v>
      </c>
      <c r="C158" s="188">
        <v>1</v>
      </c>
      <c r="D158" s="189">
        <f t="shared" si="26"/>
        <v>45658</v>
      </c>
      <c r="E158" s="188">
        <v>2024</v>
      </c>
      <c r="F158" s="247">
        <v>45734</v>
      </c>
      <c r="G158" s="188" t="s">
        <v>679</v>
      </c>
      <c r="H158" s="190" t="str">
        <f>_xlfn.XLOOKUP(DivAndTax[[#This Row],[Investor ID]],INVESTORS_LIST[INVESTOR CODE],INVESTORS_LIST[INVESTOR NAME])</f>
        <v>NAYEEMA TASNEEM</v>
      </c>
      <c r="I158" s="8" t="str">
        <f>_xlfn.XLOOKUP(DivAndTax[[#This Row],[Investor ID]],INVESTORS_LIST[INVESTOR CODE],INVESTORS_LIST[TYPE OF INVESTOR])</f>
        <v>Individual</v>
      </c>
      <c r="J158" s="290">
        <v>2348</v>
      </c>
      <c r="K158" s="283">
        <v>0.5</v>
      </c>
      <c r="L158" s="283">
        <f>DivAndTax[[#This Row],[Total Units]]*DivAndTax[[#This Row],[Dividend Per Unit]]</f>
        <v>1174</v>
      </c>
      <c r="M158" s="283">
        <f>DivAndTax[[#This Row],[Gross Dividend]]</f>
        <v>1174</v>
      </c>
      <c r="N158" s="193" cm="1">
        <f t="array" ref="N15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58" s="283">
        <f>ROUND(IF((DivAndTax[[#This Row],[Taxable Dividend]]*DivAndTax[[#This Row],[Tax Rate
(If Applicable)]])&gt;0,DivAndTax[[#This Row],[Taxable Dividend]]*DivAndTax[[#This Row],[Tax Rate
(If Applicable)]],0),2)</f>
        <v>176.1</v>
      </c>
      <c r="P158" s="283">
        <f t="shared" si="27"/>
        <v>997.9</v>
      </c>
      <c r="Q158" s="211" t="s">
        <v>1146</v>
      </c>
      <c r="R158" s="283" t="s">
        <v>1141</v>
      </c>
      <c r="S158" s="283"/>
      <c r="T158" s="283" t="str">
        <f>DivAndTax[[#This Row],[Investor ID]]&amp;"-"&amp;(RIGHT(DivAndTax[[#This Row],[Accounting Year]],2))</f>
        <v>A00366-24</v>
      </c>
      <c r="U158" s="283" t="str">
        <f>IF(DivAndTax[[#This Row],[Dividend Option]]="CIP","11",IF(DivAndTax[[#This Row],[Dividend Option]]="CASH","22"))</f>
        <v>22</v>
      </c>
      <c r="V158" s="285"/>
    </row>
    <row r="159" spans="1:22">
      <c r="A159" s="188">
        <v>2025</v>
      </c>
      <c r="B159" s="188">
        <v>1</v>
      </c>
      <c r="C159" s="188">
        <v>1</v>
      </c>
      <c r="D159" s="189">
        <f t="shared" ref="D159:D162" si="28">IFERROR(DATE(A159,B159,C159)," ")</f>
        <v>45658</v>
      </c>
      <c r="E159" s="188">
        <v>2024</v>
      </c>
      <c r="F159" s="247">
        <v>45734</v>
      </c>
      <c r="G159" s="188" t="s">
        <v>684</v>
      </c>
      <c r="H159" s="190" t="str">
        <f>_xlfn.XLOOKUP(DivAndTax[[#This Row],[Investor ID]],INVESTORS_LIST[INVESTOR CODE],INVESTORS_LIST[INVESTOR NAME])</f>
        <v>ASRAAR HOSSAIN</v>
      </c>
      <c r="I159" s="8" t="str">
        <f>_xlfn.XLOOKUP(DivAndTax[[#This Row],[Investor ID]],INVESTORS_LIST[INVESTOR CODE],INVESTORS_LIST[TYPE OF INVESTOR])</f>
        <v>Individual</v>
      </c>
      <c r="J159" s="290">
        <v>167</v>
      </c>
      <c r="K159" s="283">
        <v>0.5</v>
      </c>
      <c r="L159" s="283">
        <f>DivAndTax[[#This Row],[Total Units]]*DivAndTax[[#This Row],[Dividend Per Unit]]</f>
        <v>83.5</v>
      </c>
      <c r="M159" s="283">
        <f>DivAndTax[[#This Row],[Gross Dividend]]</f>
        <v>83.5</v>
      </c>
      <c r="N159" s="193" cm="1">
        <f t="array" ref="N15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59" s="283">
        <f>ROUND(IF((DivAndTax[[#This Row],[Taxable Dividend]]*DivAndTax[[#This Row],[Tax Rate
(If Applicable)]])&gt;0,DivAndTax[[#This Row],[Taxable Dividend]]*DivAndTax[[#This Row],[Tax Rate
(If Applicable)]],0),2)</f>
        <v>8.35</v>
      </c>
      <c r="P159" s="283">
        <f t="shared" ref="P159:P162" si="29">L159-O159</f>
        <v>75.150000000000006</v>
      </c>
      <c r="Q159" s="211" t="s">
        <v>1189</v>
      </c>
      <c r="R159" s="283" t="s">
        <v>1139</v>
      </c>
      <c r="S159" s="283"/>
      <c r="T159" s="283" t="str">
        <f>DivAndTax[[#This Row],[Investor ID]]&amp;"-"&amp;(RIGHT(DivAndTax[[#This Row],[Accounting Year]],2))</f>
        <v>A00369-24</v>
      </c>
      <c r="U159" s="283" t="str">
        <f>IF(DivAndTax[[#This Row],[Dividend Option]]="CIP","11",IF(DivAndTax[[#This Row],[Dividend Option]]="CASH","22"))</f>
        <v>11</v>
      </c>
      <c r="V159" s="285"/>
    </row>
    <row r="160" spans="1:22">
      <c r="A160" s="188">
        <v>2025</v>
      </c>
      <c r="B160" s="188">
        <v>1</v>
      </c>
      <c r="C160" s="188">
        <v>1</v>
      </c>
      <c r="D160" s="189">
        <f t="shared" si="28"/>
        <v>45658</v>
      </c>
      <c r="E160" s="188">
        <v>2024</v>
      </c>
      <c r="F160" s="247">
        <v>45734</v>
      </c>
      <c r="G160" s="188" t="s">
        <v>686</v>
      </c>
      <c r="H160" s="190" t="str">
        <f>_xlfn.XLOOKUP(DivAndTax[[#This Row],[Investor ID]],INVESTORS_LIST[INVESTOR CODE],INVESTORS_LIST[INVESTOR NAME])</f>
        <v>ZAIN MOHAMMAD YASEEN</v>
      </c>
      <c r="I160" s="8" t="str">
        <f>_xlfn.XLOOKUP(DivAndTax[[#This Row],[Investor ID]],INVESTORS_LIST[INVESTOR CODE],INVESTORS_LIST[TYPE OF INVESTOR])</f>
        <v>Individual</v>
      </c>
      <c r="J160" s="290">
        <v>3182</v>
      </c>
      <c r="K160" s="283">
        <v>0.5</v>
      </c>
      <c r="L160" s="283">
        <f>DivAndTax[[#This Row],[Total Units]]*DivAndTax[[#This Row],[Dividend Per Unit]]</f>
        <v>1591</v>
      </c>
      <c r="M160" s="283">
        <f>DivAndTax[[#This Row],[Gross Dividend]]</f>
        <v>1591</v>
      </c>
      <c r="N160" s="193" cm="1">
        <f t="array" ref="N16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60" s="283">
        <f>ROUND(IF((DivAndTax[[#This Row],[Taxable Dividend]]*DivAndTax[[#This Row],[Tax Rate
(If Applicable)]])&gt;0,DivAndTax[[#This Row],[Taxable Dividend]]*DivAndTax[[#This Row],[Tax Rate
(If Applicable)]],0),2)</f>
        <v>159.1</v>
      </c>
      <c r="P160" s="283">
        <f t="shared" si="29"/>
        <v>1431.9</v>
      </c>
      <c r="Q160" s="211" t="s">
        <v>1190</v>
      </c>
      <c r="R160" s="283" t="s">
        <v>1139</v>
      </c>
      <c r="S160" s="283"/>
      <c r="T160" s="283" t="str">
        <f>DivAndTax[[#This Row],[Investor ID]]&amp;"-"&amp;(RIGHT(DivAndTax[[#This Row],[Accounting Year]],2))</f>
        <v>A00370-24</v>
      </c>
      <c r="U160" s="283" t="str">
        <f>IF(DivAndTax[[#This Row],[Dividend Option]]="CIP","11",IF(DivAndTax[[#This Row],[Dividend Option]]="CASH","22"))</f>
        <v>11</v>
      </c>
      <c r="V160" s="285"/>
    </row>
    <row r="161" spans="1:22">
      <c r="A161" s="188">
        <v>2025</v>
      </c>
      <c r="B161" s="188">
        <v>1</v>
      </c>
      <c r="C161" s="188">
        <v>1</v>
      </c>
      <c r="D161" s="189">
        <f t="shared" si="28"/>
        <v>45658</v>
      </c>
      <c r="E161" s="188">
        <v>2024</v>
      </c>
      <c r="F161" s="247">
        <v>45734</v>
      </c>
      <c r="G161" s="188" t="s">
        <v>688</v>
      </c>
      <c r="H161" s="190" t="str">
        <f>_xlfn.XLOOKUP(DivAndTax[[#This Row],[Investor ID]],INVESTORS_LIST[INVESTOR CODE],INVESTORS_LIST[INVESTOR NAME])</f>
        <v>MD. AL AMIN SARKER</v>
      </c>
      <c r="I161" s="8" t="str">
        <f>_xlfn.XLOOKUP(DivAndTax[[#This Row],[Investor ID]],INVESTORS_LIST[INVESTOR CODE],INVESTORS_LIST[TYPE OF INVESTOR])</f>
        <v>Individual</v>
      </c>
      <c r="J161" s="290">
        <v>61370</v>
      </c>
      <c r="K161" s="283">
        <v>0.5</v>
      </c>
      <c r="L161" s="283">
        <f>DivAndTax[[#This Row],[Total Units]]*DivAndTax[[#This Row],[Dividend Per Unit]]</f>
        <v>30685</v>
      </c>
      <c r="M161" s="283">
        <f>DivAndTax[[#This Row],[Gross Dividend]]</f>
        <v>30685</v>
      </c>
      <c r="N161" s="193" cm="1">
        <f t="array" ref="N16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61" s="283">
        <f>ROUND(IF((DivAndTax[[#This Row],[Taxable Dividend]]*DivAndTax[[#This Row],[Tax Rate
(If Applicable)]])&gt;0,DivAndTax[[#This Row],[Taxable Dividend]]*DivAndTax[[#This Row],[Tax Rate
(If Applicable)]],0),2)</f>
        <v>3068.5</v>
      </c>
      <c r="P161" s="283">
        <f t="shared" si="29"/>
        <v>27616.5</v>
      </c>
      <c r="Q161" s="211" t="s">
        <v>1191</v>
      </c>
      <c r="R161" s="283" t="s">
        <v>1139</v>
      </c>
      <c r="S161" s="283"/>
      <c r="T161" s="283" t="str">
        <f>DivAndTax[[#This Row],[Investor ID]]&amp;"-"&amp;(RIGHT(DivAndTax[[#This Row],[Accounting Year]],2))</f>
        <v>A00371-24</v>
      </c>
      <c r="U161" s="283" t="str">
        <f>IF(DivAndTax[[#This Row],[Dividend Option]]="CIP","11",IF(DivAndTax[[#This Row],[Dividend Option]]="CASH","22"))</f>
        <v>11</v>
      </c>
      <c r="V161" s="285"/>
    </row>
    <row r="162" spans="1:22">
      <c r="A162" s="188">
        <v>2025</v>
      </c>
      <c r="B162" s="188">
        <v>1</v>
      </c>
      <c r="C162" s="188">
        <v>1</v>
      </c>
      <c r="D162" s="189">
        <f t="shared" si="28"/>
        <v>45658</v>
      </c>
      <c r="E162" s="188">
        <v>2024</v>
      </c>
      <c r="F162" s="247">
        <v>45734</v>
      </c>
      <c r="G162" s="188" t="s">
        <v>690</v>
      </c>
      <c r="H162" s="190" t="str">
        <f>_xlfn.XLOOKUP(DivAndTax[[#This Row],[Investor ID]],INVESTORS_LIST[INVESTOR CODE],INVESTORS_LIST[INVESTOR NAME])</f>
        <v>MD. ASIF RAIHAN</v>
      </c>
      <c r="I162" s="8" t="str">
        <f>_xlfn.XLOOKUP(DivAndTax[[#This Row],[Investor ID]],INVESTORS_LIST[INVESTOR CODE],INVESTORS_LIST[TYPE OF INVESTOR])</f>
        <v>Individual</v>
      </c>
      <c r="J162" s="290">
        <v>10000</v>
      </c>
      <c r="K162" s="283">
        <v>0.5</v>
      </c>
      <c r="L162" s="283">
        <f>DivAndTax[[#This Row],[Total Units]]*DivAndTax[[#This Row],[Dividend Per Unit]]</f>
        <v>5000</v>
      </c>
      <c r="M162" s="283">
        <f>DivAndTax[[#This Row],[Gross Dividend]]</f>
        <v>5000</v>
      </c>
      <c r="N162" s="193" cm="1">
        <f t="array" ref="N16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62" s="283">
        <f>ROUND(IF((DivAndTax[[#This Row],[Taxable Dividend]]*DivAndTax[[#This Row],[Tax Rate
(If Applicable)]])&gt;0,DivAndTax[[#This Row],[Taxable Dividend]]*DivAndTax[[#This Row],[Tax Rate
(If Applicable)]],0),2)</f>
        <v>500</v>
      </c>
      <c r="P162" s="283">
        <f t="shared" si="29"/>
        <v>4500</v>
      </c>
      <c r="Q162" s="211" t="s">
        <v>1192</v>
      </c>
      <c r="R162" s="283" t="s">
        <v>1141</v>
      </c>
      <c r="S162" s="283"/>
      <c r="T162" s="283" t="str">
        <f>DivAndTax[[#This Row],[Investor ID]]&amp;"-"&amp;(RIGHT(DivAndTax[[#This Row],[Accounting Year]],2))</f>
        <v>A00372-24</v>
      </c>
      <c r="U162" s="283" t="str">
        <f>IF(DivAndTax[[#This Row],[Dividend Option]]="CIP","11",IF(DivAndTax[[#This Row],[Dividend Option]]="CASH","22"))</f>
        <v>22</v>
      </c>
      <c r="V162" s="285"/>
    </row>
    <row r="163" spans="1:22">
      <c r="A163" s="188">
        <v>2025</v>
      </c>
      <c r="B163" s="188">
        <v>1</v>
      </c>
      <c r="C163" s="188">
        <v>1</v>
      </c>
      <c r="D163" s="189">
        <f>IFERROR(DATE(A163,B163,C163)," ")</f>
        <v>45658</v>
      </c>
      <c r="E163" s="188">
        <v>2024</v>
      </c>
      <c r="F163" s="247">
        <v>45734</v>
      </c>
      <c r="G163" s="188" t="s">
        <v>696</v>
      </c>
      <c r="H163" s="190" t="str">
        <f>_xlfn.XLOOKUP(DivAndTax[[#This Row],[Investor ID]],INVESTORS_LIST[INVESTOR CODE],INVESTORS_LIST[INVESTOR NAME])</f>
        <v>DELTA BRAC HOUSING FINANCE CORPORATION LTD</v>
      </c>
      <c r="I163" s="8" t="str">
        <f>_xlfn.XLOOKUP(DivAndTax[[#This Row],[Investor ID]],INVESTORS_LIST[INVESTOR CODE],INVESTORS_LIST[TYPE OF INVESTOR])</f>
        <v>Company/Organization</v>
      </c>
      <c r="J163" s="290">
        <v>1000000</v>
      </c>
      <c r="K163" s="283">
        <v>0.5</v>
      </c>
      <c r="L163" s="283">
        <f>DivAndTax[[#This Row],[Total Units]]*DivAndTax[[#This Row],[Dividend Per Unit]]</f>
        <v>500000</v>
      </c>
      <c r="M163" s="283">
        <f>DivAndTax[[#This Row],[Gross Dividend]]</f>
        <v>500000</v>
      </c>
      <c r="N163" s="193" cm="1">
        <f t="array" ref="N16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63" s="283">
        <f>ROUND(IF((DivAndTax[[#This Row],[Taxable Dividend]]*DivAndTax[[#This Row],[Tax Rate
(If Applicable)]])&gt;0,DivAndTax[[#This Row],[Taxable Dividend]]*DivAndTax[[#This Row],[Tax Rate
(If Applicable)]],0),2)</f>
        <v>100000</v>
      </c>
      <c r="P163" s="283">
        <f>L163-O163</f>
        <v>400000</v>
      </c>
      <c r="Q163" s="211" t="s">
        <v>1194</v>
      </c>
      <c r="R163" s="283" t="s">
        <v>1141</v>
      </c>
      <c r="S163" s="283"/>
      <c r="T163" s="283" t="str">
        <f>DivAndTax[[#This Row],[Investor ID]]&amp;"-"&amp;(RIGHT(DivAndTax[[#This Row],[Accounting Year]],2))</f>
        <v>A00375-24</v>
      </c>
      <c r="U163" s="283" t="str">
        <f>IF(DivAndTax[[#This Row],[Dividend Option]]="CIP","11",IF(DivAndTax[[#This Row],[Dividend Option]]="CASH","22"))</f>
        <v>22</v>
      </c>
      <c r="V163" s="285"/>
    </row>
    <row r="164" spans="1:22">
      <c r="A164" s="188">
        <v>2025</v>
      </c>
      <c r="B164" s="188">
        <v>1</v>
      </c>
      <c r="C164" s="188">
        <v>1</v>
      </c>
      <c r="D164" s="189">
        <f>IFERROR(DATE(A164,B164,C164)," ")</f>
        <v>45658</v>
      </c>
      <c r="E164" s="188">
        <v>2024</v>
      </c>
      <c r="F164" s="247">
        <v>45734</v>
      </c>
      <c r="G164" s="188" t="s">
        <v>709</v>
      </c>
      <c r="H164" s="190" t="str">
        <f>_xlfn.XLOOKUP(DivAndTax[[#This Row],[Investor ID]],INVESTORS_LIST[INVESTOR CODE],INVESTORS_LIST[INVESTOR NAME])</f>
        <v>MD. SHAHIDUL ISLAM</v>
      </c>
      <c r="I164" s="8" t="str">
        <f>_xlfn.XLOOKUP(DivAndTax[[#This Row],[Investor ID]],INVESTORS_LIST[INVESTOR CODE],INVESTORS_LIST[TYPE OF INVESTOR])</f>
        <v>Individual</v>
      </c>
      <c r="J164" s="290">
        <v>205</v>
      </c>
      <c r="K164" s="283">
        <v>0.5</v>
      </c>
      <c r="L164" s="283">
        <f>DivAndTax[[#This Row],[Total Units]]*DivAndTax[[#This Row],[Dividend Per Unit]]</f>
        <v>102.5</v>
      </c>
      <c r="M164" s="283">
        <f>DivAndTax[[#This Row],[Gross Dividend]]</f>
        <v>102.5</v>
      </c>
      <c r="N164" s="193" cm="1">
        <f t="array" ref="N16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64" s="283">
        <f>ROUND(IF((DivAndTax[[#This Row],[Taxable Dividend]]*DivAndTax[[#This Row],[Tax Rate
(If Applicable)]])&gt;0,DivAndTax[[#This Row],[Taxable Dividend]]*DivAndTax[[#This Row],[Tax Rate
(If Applicable)]],0),2)</f>
        <v>10.25</v>
      </c>
      <c r="P164" s="283">
        <f>L164-O164</f>
        <v>92.25</v>
      </c>
      <c r="Q164" s="211" t="s">
        <v>1196</v>
      </c>
      <c r="R164" s="283" t="s">
        <v>1139</v>
      </c>
      <c r="S164" s="283"/>
      <c r="T164" s="283" t="str">
        <f>DivAndTax[[#This Row],[Investor ID]]&amp;"-"&amp;(RIGHT(DivAndTax[[#This Row],[Accounting Year]],2))</f>
        <v>A00382-24</v>
      </c>
      <c r="U164" s="283" t="str">
        <f>IF(DivAndTax[[#This Row],[Dividend Option]]="CIP","11",IF(DivAndTax[[#This Row],[Dividend Option]]="CASH","22"))</f>
        <v>11</v>
      </c>
      <c r="V164" s="285"/>
    </row>
    <row r="165" spans="1:22">
      <c r="A165" s="188">
        <v>2025</v>
      </c>
      <c r="B165" s="188">
        <v>1</v>
      </c>
      <c r="C165" s="188">
        <v>1</v>
      </c>
      <c r="D165" s="189">
        <f>IFERROR(DATE(A165,B165,C165)," ")</f>
        <v>45658</v>
      </c>
      <c r="E165" s="188">
        <v>2024</v>
      </c>
      <c r="F165" s="247">
        <v>45734</v>
      </c>
      <c r="G165" s="188" t="s">
        <v>853</v>
      </c>
      <c r="H165" s="190" t="str">
        <f>_xlfn.XLOOKUP(DivAndTax[[#This Row],[Investor ID]],INVESTORS_LIST[INVESTOR CODE],INVESTORS_LIST[INVESTOR NAME])</f>
        <v>FOUZIA RAHMAN</v>
      </c>
      <c r="I165" s="8" t="str">
        <f>_xlfn.XLOOKUP(DivAndTax[[#This Row],[Investor ID]],INVESTORS_LIST[INVESTOR CODE],INVESTORS_LIST[TYPE OF INVESTOR])</f>
        <v>Individual</v>
      </c>
      <c r="J165" s="290">
        <v>15343</v>
      </c>
      <c r="K165" s="283">
        <v>0.5</v>
      </c>
      <c r="L165" s="283">
        <f>DivAndTax[[#This Row],[Total Units]]*DivAndTax[[#This Row],[Dividend Per Unit]]</f>
        <v>7671.5</v>
      </c>
      <c r="M165" s="283">
        <f>DivAndTax[[#This Row],[Gross Dividend]]</f>
        <v>7671.5</v>
      </c>
      <c r="N165" s="193" cm="1">
        <f t="array" ref="N16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65" s="283">
        <f>ROUND(IF((DivAndTax[[#This Row],[Taxable Dividend]]*DivAndTax[[#This Row],[Tax Rate
(If Applicable)]])&gt;0,DivAndTax[[#This Row],[Taxable Dividend]]*DivAndTax[[#This Row],[Tax Rate
(If Applicable)]],0),2)</f>
        <v>1150.73</v>
      </c>
      <c r="P165" s="283">
        <f>L165-O165</f>
        <v>6520.77</v>
      </c>
      <c r="Q165" s="211" t="s">
        <v>1146</v>
      </c>
      <c r="R165" s="283" t="s">
        <v>1139</v>
      </c>
      <c r="S165" s="283"/>
      <c r="T165" s="283" t="str">
        <f>DivAndTax[[#This Row],[Investor ID]]&amp;"-"&amp;(RIGHT(DivAndTax[[#This Row],[Accounting Year]],2))</f>
        <v>A00389-24</v>
      </c>
      <c r="U165" s="283" t="str">
        <f>IF(DivAndTax[[#This Row],[Dividend Option]]="CIP","11",IF(DivAndTax[[#This Row],[Dividend Option]]="CASH","22"))</f>
        <v>11</v>
      </c>
      <c r="V165" s="285"/>
    </row>
    <row r="166" spans="1:22">
      <c r="A166" s="188">
        <v>2025</v>
      </c>
      <c r="B166" s="188">
        <v>1</v>
      </c>
      <c r="C166" s="188">
        <v>1</v>
      </c>
      <c r="D166" s="189">
        <f>IFERROR(DATE(A166,B166,C166)," ")</f>
        <v>45658</v>
      </c>
      <c r="E166" s="188">
        <v>2024</v>
      </c>
      <c r="F166" s="247">
        <v>45734</v>
      </c>
      <c r="G166" s="188" t="s">
        <v>883</v>
      </c>
      <c r="H166" s="190" t="str">
        <f>_xlfn.XLOOKUP(DivAndTax[[#This Row],[Investor ID]],INVESTORS_LIST[INVESTOR CODE],INVESTORS_LIST[INVESTOR NAME])</f>
        <v>SHAHINOOR KHANUM</v>
      </c>
      <c r="I166" s="8" t="str">
        <f>_xlfn.XLOOKUP(DivAndTax[[#This Row],[Investor ID]],INVESTORS_LIST[INVESTOR CODE],INVESTORS_LIST[TYPE OF INVESTOR])</f>
        <v>Individual</v>
      </c>
      <c r="J166" s="290">
        <v>10511</v>
      </c>
      <c r="K166" s="283">
        <v>0.5</v>
      </c>
      <c r="L166" s="283">
        <f>DivAndTax[[#This Row],[Total Units]]*DivAndTax[[#This Row],[Dividend Per Unit]]</f>
        <v>5255.5</v>
      </c>
      <c r="M166" s="283">
        <f>DivAndTax[[#This Row],[Gross Dividend]]</f>
        <v>5255.5</v>
      </c>
      <c r="N166" s="193" cm="1">
        <f t="array" ref="N16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66" s="283">
        <f>ROUND(IF((DivAndTax[[#This Row],[Taxable Dividend]]*DivAndTax[[#This Row],[Tax Rate
(If Applicable)]])&gt;0,DivAndTax[[#This Row],[Taxable Dividend]]*DivAndTax[[#This Row],[Tax Rate
(If Applicable)]],0),2)</f>
        <v>525.54999999999995</v>
      </c>
      <c r="P166" s="283">
        <f>L166-O166</f>
        <v>4729.95</v>
      </c>
      <c r="Q166" s="211" t="s">
        <v>1197</v>
      </c>
      <c r="R166" s="283" t="s">
        <v>1141</v>
      </c>
      <c r="S166" s="283"/>
      <c r="T166" s="283" t="str">
        <f>DivAndTax[[#This Row],[Investor ID]]&amp;"-"&amp;(RIGHT(DivAndTax[[#This Row],[Accounting Year]],2))</f>
        <v>A00405-24</v>
      </c>
      <c r="U166" s="283" t="str">
        <f>IF(DivAndTax[[#This Row],[Dividend Option]]="CIP","11",IF(DivAndTax[[#This Row],[Dividend Option]]="CASH","22"))</f>
        <v>22</v>
      </c>
      <c r="V166" s="285"/>
    </row>
    <row r="167" spans="1:22">
      <c r="A167" s="188">
        <v>2025</v>
      </c>
      <c r="B167" s="188">
        <v>1</v>
      </c>
      <c r="C167" s="188">
        <v>1</v>
      </c>
      <c r="D167" s="189">
        <f t="shared" ref="D167:D168" si="30">IFERROR(DATE(A167,B167,C167)," ")</f>
        <v>45658</v>
      </c>
      <c r="E167" s="188">
        <v>2024</v>
      </c>
      <c r="F167" s="247">
        <v>45734</v>
      </c>
      <c r="G167" s="188" t="s">
        <v>914</v>
      </c>
      <c r="H167" s="190" t="str">
        <f>_xlfn.XLOOKUP(DivAndTax[[#This Row],[Investor ID]],INVESTORS_LIST[INVESTOR CODE],INVESTORS_LIST[INVESTOR NAME])</f>
        <v>MD. SOHEL ANWAR</v>
      </c>
      <c r="I167" s="8" t="str">
        <f>_xlfn.XLOOKUP(DivAndTax[[#This Row],[Investor ID]],INVESTORS_LIST[INVESTOR CODE],INVESTORS_LIST[TYPE OF INVESTOR])</f>
        <v>Individual</v>
      </c>
      <c r="J167" s="290">
        <v>50865</v>
      </c>
      <c r="K167" s="283">
        <v>0.5</v>
      </c>
      <c r="L167" s="283">
        <f>DivAndTax[[#This Row],[Total Units]]*DivAndTax[[#This Row],[Dividend Per Unit]]</f>
        <v>25432.5</v>
      </c>
      <c r="M167" s="283">
        <f>DivAndTax[[#This Row],[Gross Dividend]]</f>
        <v>25432.5</v>
      </c>
      <c r="N167" s="193" cm="1">
        <f t="array" ref="N16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67" s="283">
        <f>ROUND(IF((DivAndTax[[#This Row],[Taxable Dividend]]*DivAndTax[[#This Row],[Tax Rate
(If Applicable)]])&gt;0,DivAndTax[[#This Row],[Taxable Dividend]]*DivAndTax[[#This Row],[Tax Rate
(If Applicable)]],0),2)</f>
        <v>2543.25</v>
      </c>
      <c r="P167" s="283">
        <f t="shared" ref="P167:P168" si="31">L167-O167</f>
        <v>22889.25</v>
      </c>
      <c r="Q167" s="211" t="s">
        <v>1199</v>
      </c>
      <c r="R167" s="283" t="s">
        <v>1141</v>
      </c>
      <c r="S167" s="283"/>
      <c r="T167" s="283" t="str">
        <f>DivAndTax[[#This Row],[Investor ID]]&amp;"-"&amp;(RIGHT(DivAndTax[[#This Row],[Accounting Year]],2))</f>
        <v>A00418-24</v>
      </c>
      <c r="U167" s="283" t="str">
        <f>IF(DivAndTax[[#This Row],[Dividend Option]]="CIP","11",IF(DivAndTax[[#This Row],[Dividend Option]]="CASH","22"))</f>
        <v>22</v>
      </c>
      <c r="V167" s="285"/>
    </row>
    <row r="168" spans="1:22">
      <c r="A168" s="188">
        <v>2025</v>
      </c>
      <c r="B168" s="188">
        <v>1</v>
      </c>
      <c r="C168" s="188">
        <v>1</v>
      </c>
      <c r="D168" s="189">
        <f t="shared" si="30"/>
        <v>45658</v>
      </c>
      <c r="E168" s="188">
        <v>2024</v>
      </c>
      <c r="F168" s="247">
        <v>45734</v>
      </c>
      <c r="G168" s="188" t="s">
        <v>913</v>
      </c>
      <c r="H168" s="190" t="str">
        <f>_xlfn.XLOOKUP(DivAndTax[[#This Row],[Investor ID]],INVESTORS_LIST[INVESTOR CODE],INVESTORS_LIST[INVESTOR NAME])</f>
        <v>MAZED AHMED ABDULLAH</v>
      </c>
      <c r="I168" s="8" t="str">
        <f>_xlfn.XLOOKUP(DivAndTax[[#This Row],[Investor ID]],INVESTORS_LIST[INVESTOR CODE],INVESTORS_LIST[TYPE OF INVESTOR])</f>
        <v>Individual</v>
      </c>
      <c r="J168" s="290">
        <v>20213</v>
      </c>
      <c r="K168" s="283">
        <v>0.5</v>
      </c>
      <c r="L168" s="283">
        <f>DivAndTax[[#This Row],[Total Units]]*DivAndTax[[#This Row],[Dividend Per Unit]]</f>
        <v>10106.5</v>
      </c>
      <c r="M168" s="283">
        <f>DivAndTax[[#This Row],[Gross Dividend]]</f>
        <v>10106.5</v>
      </c>
      <c r="N168" s="193" cm="1">
        <f t="array" ref="N16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68" s="283">
        <f>ROUND(IF((DivAndTax[[#This Row],[Taxable Dividend]]*DivAndTax[[#This Row],[Tax Rate
(If Applicable)]])&gt;0,DivAndTax[[#This Row],[Taxable Dividend]]*DivAndTax[[#This Row],[Tax Rate
(If Applicable)]],0),2)</f>
        <v>1010.65</v>
      </c>
      <c r="P168" s="283">
        <f t="shared" si="31"/>
        <v>9095.85</v>
      </c>
      <c r="Q168" s="211" t="s">
        <v>1200</v>
      </c>
      <c r="R168" s="283" t="s">
        <v>1141</v>
      </c>
      <c r="S168" s="283"/>
      <c r="T168" s="283" t="str">
        <f>DivAndTax[[#This Row],[Investor ID]]&amp;"-"&amp;(RIGHT(DivAndTax[[#This Row],[Accounting Year]],2))</f>
        <v>A00419-24</v>
      </c>
      <c r="U168" s="283" t="str">
        <f>IF(DivAndTax[[#This Row],[Dividend Option]]="CIP","11",IF(DivAndTax[[#This Row],[Dividend Option]]="CASH","22"))</f>
        <v>22</v>
      </c>
      <c r="V168" s="285"/>
    </row>
    <row r="169" spans="1:22">
      <c r="A169" s="188">
        <v>2025</v>
      </c>
      <c r="B169" s="188">
        <v>1</v>
      </c>
      <c r="C169" s="188">
        <v>1</v>
      </c>
      <c r="D169" s="189">
        <f t="shared" ref="D169:D170" si="32">IFERROR(DATE(A169,B169,C169)," ")</f>
        <v>45658</v>
      </c>
      <c r="E169" s="188">
        <v>2024</v>
      </c>
      <c r="F169" s="247">
        <v>45734</v>
      </c>
      <c r="G169" s="188" t="s">
        <v>925</v>
      </c>
      <c r="H169" s="190" t="str">
        <f>_xlfn.XLOOKUP(DivAndTax[[#This Row],[Investor ID]],INVESTORS_LIST[INVESTOR CODE],INVESTORS_LIST[INVESTOR NAME])</f>
        <v>MYAT MOE KHAING</v>
      </c>
      <c r="I169" s="8" t="str">
        <f>_xlfn.XLOOKUP(DivAndTax[[#This Row],[Investor ID]],INVESTORS_LIST[INVESTOR CODE],INVESTORS_LIST[TYPE OF INVESTOR])</f>
        <v>Individual</v>
      </c>
      <c r="J169" s="290">
        <v>50916</v>
      </c>
      <c r="K169" s="283">
        <v>0.5</v>
      </c>
      <c r="L169" s="283">
        <f>DivAndTax[[#This Row],[Total Units]]*DivAndTax[[#This Row],[Dividend Per Unit]]</f>
        <v>25458</v>
      </c>
      <c r="M169" s="283">
        <f>DivAndTax[[#This Row],[Gross Dividend]]</f>
        <v>25458</v>
      </c>
      <c r="N169" s="193" cm="1">
        <f t="array" ref="N16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69" s="283">
        <f>ROUND(IF((DivAndTax[[#This Row],[Taxable Dividend]]*DivAndTax[[#This Row],[Tax Rate
(If Applicable)]])&gt;0,DivAndTax[[#This Row],[Taxable Dividend]]*DivAndTax[[#This Row],[Tax Rate
(If Applicable)]],0),2)</f>
        <v>2545.8000000000002</v>
      </c>
      <c r="P169" s="283">
        <f t="shared" ref="P169:P170" si="33">L169-O169</f>
        <v>22912.2</v>
      </c>
      <c r="Q169" s="211" t="s">
        <v>1202</v>
      </c>
      <c r="R169" s="283" t="s">
        <v>1141</v>
      </c>
      <c r="S169" s="283"/>
      <c r="T169" s="283" t="str">
        <f>DivAndTax[[#This Row],[Investor ID]]&amp;"-"&amp;(RIGHT(DivAndTax[[#This Row],[Accounting Year]],2))</f>
        <v>A00423-24</v>
      </c>
      <c r="U169" s="283" t="str">
        <f>IF(DivAndTax[[#This Row],[Dividend Option]]="CIP","11",IF(DivAndTax[[#This Row],[Dividend Option]]="CASH","22"))</f>
        <v>22</v>
      </c>
      <c r="V169" s="285"/>
    </row>
    <row r="170" spans="1:22">
      <c r="A170" s="188">
        <v>2025</v>
      </c>
      <c r="B170" s="188">
        <v>1</v>
      </c>
      <c r="C170" s="188">
        <v>1</v>
      </c>
      <c r="D170" s="189">
        <f t="shared" si="32"/>
        <v>45658</v>
      </c>
      <c r="E170" s="188">
        <v>2024</v>
      </c>
      <c r="F170" s="247">
        <v>45734</v>
      </c>
      <c r="G170" s="188" t="s">
        <v>927</v>
      </c>
      <c r="H170" s="190" t="str">
        <f>_xlfn.XLOOKUP(DivAndTax[[#This Row],[Investor ID]],INVESTORS_LIST[INVESTOR CODE],INVESTORS_LIST[INVESTOR NAME])</f>
        <v>SRIJON GHOSH</v>
      </c>
      <c r="I170" s="8" t="str">
        <f>_xlfn.XLOOKUP(DivAndTax[[#This Row],[Investor ID]],INVESTORS_LIST[INVESTOR CODE],INVESTORS_LIST[TYPE OF INVESTOR])</f>
        <v>Individual</v>
      </c>
      <c r="J170" s="290">
        <v>45</v>
      </c>
      <c r="K170" s="283">
        <v>0.5</v>
      </c>
      <c r="L170" s="283">
        <f>DivAndTax[[#This Row],[Total Units]]*DivAndTax[[#This Row],[Dividend Per Unit]]</f>
        <v>22.5</v>
      </c>
      <c r="M170" s="283">
        <f>DivAndTax[[#This Row],[Gross Dividend]]</f>
        <v>22.5</v>
      </c>
      <c r="N170" s="193" cm="1">
        <f t="array" ref="N17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70" s="283">
        <f>ROUND(IF((DivAndTax[[#This Row],[Taxable Dividend]]*DivAndTax[[#This Row],[Tax Rate
(If Applicable)]])&gt;0,DivAndTax[[#This Row],[Taxable Dividend]]*DivAndTax[[#This Row],[Tax Rate
(If Applicable)]],0),2)</f>
        <v>2.25</v>
      </c>
      <c r="P170" s="283">
        <f t="shared" si="33"/>
        <v>20.25</v>
      </c>
      <c r="Q170" s="211" t="s">
        <v>1353</v>
      </c>
      <c r="R170" s="283" t="s">
        <v>1139</v>
      </c>
      <c r="S170" s="283"/>
      <c r="T170" s="283" t="str">
        <f>DivAndTax[[#This Row],[Investor ID]]&amp;"-"&amp;(RIGHT(DivAndTax[[#This Row],[Accounting Year]],2))</f>
        <v>A00424-24</v>
      </c>
      <c r="U170" s="283" t="str">
        <f>IF(DivAndTax[[#This Row],[Dividend Option]]="CIP","11",IF(DivAndTax[[#This Row],[Dividend Option]]="CASH","22"))</f>
        <v>11</v>
      </c>
      <c r="V170" s="285"/>
    </row>
    <row r="171" spans="1:22">
      <c r="A171" s="188">
        <v>2025</v>
      </c>
      <c r="B171" s="188">
        <v>1</v>
      </c>
      <c r="C171" s="188">
        <v>1</v>
      </c>
      <c r="D171" s="189">
        <f t="shared" ref="D171:D185" si="34">IFERROR(DATE(A171,B171,C171)," ")</f>
        <v>45658</v>
      </c>
      <c r="E171" s="188">
        <v>2024</v>
      </c>
      <c r="F171" s="247">
        <v>45734</v>
      </c>
      <c r="G171" s="188" t="s">
        <v>935</v>
      </c>
      <c r="H171" s="190" t="str">
        <f>_xlfn.XLOOKUP(DivAndTax[[#This Row],[Investor ID]],INVESTORS_LIST[INVESTOR CODE],INVESTORS_LIST[INVESTOR NAME])</f>
        <v>NASRIN AHMED HELA</v>
      </c>
      <c r="I171" s="8" t="str">
        <f>_xlfn.XLOOKUP(DivAndTax[[#This Row],[Investor ID]],INVESTORS_LIST[INVESTOR CODE],INVESTORS_LIST[TYPE OF INVESTOR])</f>
        <v>Individual</v>
      </c>
      <c r="J171" s="290">
        <v>10771</v>
      </c>
      <c r="K171" s="283">
        <v>0.5</v>
      </c>
      <c r="L171" s="283">
        <f>DivAndTax[[#This Row],[Total Units]]*DivAndTax[[#This Row],[Dividend Per Unit]]</f>
        <v>5385.5</v>
      </c>
      <c r="M171" s="283">
        <f>DivAndTax[[#This Row],[Gross Dividend]]</f>
        <v>5385.5</v>
      </c>
      <c r="N171" s="193" cm="1">
        <f t="array" ref="N17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71" s="283">
        <f>ROUND(IF((DivAndTax[[#This Row],[Taxable Dividend]]*DivAndTax[[#This Row],[Tax Rate
(If Applicable)]])&gt;0,DivAndTax[[#This Row],[Taxable Dividend]]*DivAndTax[[#This Row],[Tax Rate
(If Applicable)]],0),2)</f>
        <v>538.54999999999995</v>
      </c>
      <c r="P171" s="283">
        <f t="shared" ref="P171:P185" si="35">L171-O171</f>
        <v>4846.95</v>
      </c>
      <c r="Q171" s="211" t="s">
        <v>1203</v>
      </c>
      <c r="R171" s="283" t="s">
        <v>1139</v>
      </c>
      <c r="S171" s="283"/>
      <c r="T171" s="283" t="str">
        <f>DivAndTax[[#This Row],[Investor ID]]&amp;"-"&amp;(RIGHT(DivAndTax[[#This Row],[Accounting Year]],2))</f>
        <v>A00428-24</v>
      </c>
      <c r="U171" s="283" t="str">
        <f>IF(DivAndTax[[#This Row],[Dividend Option]]="CIP","11",IF(DivAndTax[[#This Row],[Dividend Option]]="CASH","22"))</f>
        <v>11</v>
      </c>
      <c r="V171" s="285"/>
    </row>
    <row r="172" spans="1:22">
      <c r="A172" s="188">
        <v>2025</v>
      </c>
      <c r="B172" s="188">
        <v>1</v>
      </c>
      <c r="C172" s="188">
        <v>1</v>
      </c>
      <c r="D172" s="189">
        <f t="shared" si="34"/>
        <v>45658</v>
      </c>
      <c r="E172" s="188">
        <v>2024</v>
      </c>
      <c r="F172" s="247">
        <v>45734</v>
      </c>
      <c r="G172" s="188" t="s">
        <v>1118</v>
      </c>
      <c r="H172" s="190" t="str">
        <f>_xlfn.XLOOKUP(DivAndTax[[#This Row],[Investor ID]],INVESTORS_LIST[INVESTOR CODE],INVESTORS_LIST[INVESTOR NAME])</f>
        <v>HUMAIRA TABASSUM READDHE</v>
      </c>
      <c r="I172" s="8" t="str">
        <f>_xlfn.XLOOKUP(DivAndTax[[#This Row],[Investor ID]],INVESTORS_LIST[INVESTOR CODE],INVESTORS_LIST[TYPE OF INVESTOR])</f>
        <v>Individual</v>
      </c>
      <c r="J172" s="191">
        <v>187</v>
      </c>
      <c r="K172" s="192">
        <v>0.5</v>
      </c>
      <c r="L172" s="192">
        <f>DivAndTax[[#This Row],[Total Units]]*DivAndTax[[#This Row],[Dividend Per Unit]]</f>
        <v>93.5</v>
      </c>
      <c r="M172" s="192">
        <f>DivAndTax[[#This Row],[Gross Dividend]]</f>
        <v>93.5</v>
      </c>
      <c r="N172" s="193" cm="1">
        <f t="array" ref="N17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72" s="192">
        <f>ROUND(IF((DivAndTax[[#This Row],[Taxable Dividend]]*DivAndTax[[#This Row],[Tax Rate
(If Applicable)]])&gt;0,DivAndTax[[#This Row],[Taxable Dividend]]*DivAndTax[[#This Row],[Tax Rate
(If Applicable)]],0),2)</f>
        <v>9.35</v>
      </c>
      <c r="P172" s="192">
        <f t="shared" si="35"/>
        <v>84.15</v>
      </c>
      <c r="Q172" s="211" t="s">
        <v>1354</v>
      </c>
      <c r="R172" s="192" t="s">
        <v>1141</v>
      </c>
      <c r="S172" s="192"/>
      <c r="T172" s="192" t="str">
        <f>DivAndTax[[#This Row],[Investor ID]]&amp;"-"&amp;(RIGHT(DivAndTax[[#This Row],[Accounting Year]],2))</f>
        <v>A00503-24</v>
      </c>
      <c r="U172" s="192" t="str">
        <f>IF(DivAndTax[[#This Row],[Dividend Option]]="CIP","11",IF(DivAndTax[[#This Row],[Dividend Option]]="CASH","22"))</f>
        <v>22</v>
      </c>
      <c r="V172" s="200"/>
    </row>
    <row r="173" spans="1:22">
      <c r="A173" s="188">
        <v>2025</v>
      </c>
      <c r="B173" s="188">
        <v>1</v>
      </c>
      <c r="C173" s="188">
        <v>1</v>
      </c>
      <c r="D173" s="189">
        <f t="shared" si="34"/>
        <v>45658</v>
      </c>
      <c r="E173" s="188">
        <v>2024</v>
      </c>
      <c r="F173" s="247">
        <v>45734</v>
      </c>
      <c r="G173" s="188" t="s">
        <v>1327</v>
      </c>
      <c r="H173" s="190" t="str">
        <f>_xlfn.XLOOKUP(DivAndTax[[#This Row],[Investor ID]],INVESTORS_LIST[INVESTOR CODE],INVESTORS_LIST[INVESTOR NAME])</f>
        <v>MD GOLAM SHAON</v>
      </c>
      <c r="I173" s="8" t="str">
        <f>_xlfn.XLOOKUP(DivAndTax[[#This Row],[Investor ID]],INVESTORS_LIST[INVESTOR CODE],INVESTORS_LIST[TYPE OF INVESTOR])</f>
        <v>Individual</v>
      </c>
      <c r="J173" s="191">
        <v>5802</v>
      </c>
      <c r="K173" s="192">
        <v>0.5</v>
      </c>
      <c r="L173" s="192">
        <f>DivAndTax[[#This Row],[Total Units]]*DivAndTax[[#This Row],[Dividend Per Unit]]</f>
        <v>2901</v>
      </c>
      <c r="M173" s="192">
        <f>DivAndTax[[#This Row],[Gross Dividend]]</f>
        <v>2901</v>
      </c>
      <c r="N173" s="193" cm="1">
        <f t="array" ref="N17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73" s="192">
        <f>ROUND(IF((DivAndTax[[#This Row],[Taxable Dividend]]*DivAndTax[[#This Row],[Tax Rate
(If Applicable)]])&gt;0,DivAndTax[[#This Row],[Taxable Dividend]]*DivAndTax[[#This Row],[Tax Rate
(If Applicable)]],0),2)</f>
        <v>290.10000000000002</v>
      </c>
      <c r="P173" s="192">
        <f t="shared" si="35"/>
        <v>2610.9</v>
      </c>
      <c r="Q173" s="211" t="s">
        <v>1355</v>
      </c>
      <c r="R173" s="192" t="s">
        <v>1141</v>
      </c>
      <c r="S173" s="192"/>
      <c r="T173" s="192" t="str">
        <f>DivAndTax[[#This Row],[Investor ID]]&amp;"-"&amp;(RIGHT(DivAndTax[[#This Row],[Accounting Year]],2))</f>
        <v>A00567-24</v>
      </c>
      <c r="U173" s="192" t="str">
        <f>IF(DivAndTax[[#This Row],[Dividend Option]]="CIP","11",IF(DivAndTax[[#This Row],[Dividend Option]]="CASH","22"))</f>
        <v>22</v>
      </c>
      <c r="V173" s="200"/>
    </row>
    <row r="174" spans="1:22">
      <c r="A174" s="188">
        <v>2026</v>
      </c>
      <c r="B174" s="188">
        <v>1</v>
      </c>
      <c r="C174" s="188">
        <v>1</v>
      </c>
      <c r="D174" s="189">
        <f t="shared" si="34"/>
        <v>46023</v>
      </c>
      <c r="E174" s="188">
        <v>2025</v>
      </c>
      <c r="F174" s="247">
        <v>46069</v>
      </c>
      <c r="G174" s="188" t="s">
        <v>1</v>
      </c>
      <c r="H174" s="190" t="str">
        <f>_xlfn.XLOOKUP(DivAndTax[[#This Row],[Investor ID]],INVESTORS_LIST[INVESTOR CODE],INVESTORS_LIST[INVESTOR NAME])</f>
        <v>HARI PADA SAHA</v>
      </c>
      <c r="I174" s="8" t="str">
        <f>_xlfn.XLOOKUP(DivAndTax[[#This Row],[Investor ID]],INVESTORS_LIST[INVESTOR CODE],INVESTORS_LIST[TYPE OF INVESTOR])</f>
        <v>Individual</v>
      </c>
      <c r="J174" s="191">
        <v>72269</v>
      </c>
      <c r="K174" s="192">
        <v>0.35</v>
      </c>
      <c r="L174" s="192">
        <f>DivAndTax[[#This Row],[Total Units]]*DivAndTax[[#This Row],[Dividend Per Unit]]</f>
        <v>25294.149999999998</v>
      </c>
      <c r="M174" s="192">
        <f>DivAndTax[[#This Row],[Gross Dividend]]</f>
        <v>25294.149999999998</v>
      </c>
      <c r="N174" s="193" cm="1">
        <f t="array" ref="N17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74" s="192">
        <f>ROUND(IF((DivAndTax[[#This Row],[Taxable Dividend]]*DivAndTax[[#This Row],[Tax Rate
(If Applicable)]])&gt;0,DivAndTax[[#This Row],[Taxable Dividend]]*DivAndTax[[#This Row],[Tax Rate
(If Applicable)]],0),2)</f>
        <v>3794.12</v>
      </c>
      <c r="P174" s="192">
        <f t="shared" si="35"/>
        <v>21500.03</v>
      </c>
      <c r="Q174" s="194" t="s">
        <v>1146</v>
      </c>
      <c r="R174" s="192" t="s">
        <v>1139</v>
      </c>
      <c r="S174" s="192"/>
      <c r="T174" s="192" t="str">
        <f>DivAndTax[[#This Row],[Investor ID]]&amp;"-"&amp;(RIGHT(DivAndTax[[#This Row],[Accounting Year]],2))</f>
        <v>A00002-25</v>
      </c>
      <c r="U174" s="192" t="str">
        <f>IF(DivAndTax[[#This Row],[Dividend Option]]="CIP","11",IF(DivAndTax[[#This Row],[Dividend Option]]="CASH","22"))</f>
        <v>11</v>
      </c>
      <c r="V174" s="200"/>
    </row>
    <row r="175" spans="1:22">
      <c r="A175" s="188">
        <v>2026</v>
      </c>
      <c r="B175" s="188">
        <v>1</v>
      </c>
      <c r="C175" s="188">
        <v>1</v>
      </c>
      <c r="D175" s="189">
        <f t="shared" si="34"/>
        <v>46023</v>
      </c>
      <c r="E175" s="188">
        <v>2025</v>
      </c>
      <c r="F175" s="247">
        <v>46069</v>
      </c>
      <c r="G175" s="188" t="s">
        <v>4</v>
      </c>
      <c r="H175" s="190" t="str">
        <f>_xlfn.XLOOKUP(DivAndTax[[#This Row],[Investor ID]],INVESTORS_LIST[INVESTOR CODE],INVESTORS_LIST[INVESTOR NAME])</f>
        <v>EKUSH WEALTH MANAGEMENT LIMITED</v>
      </c>
      <c r="I175" s="8" t="str">
        <f>_xlfn.XLOOKUP(DivAndTax[[#This Row],[Investor ID]],INVESTORS_LIST[INVESTOR CODE],INVESTORS_LIST[TYPE OF INVESTOR])</f>
        <v>Company/Organization</v>
      </c>
      <c r="J175" s="191">
        <v>2833701</v>
      </c>
      <c r="K175" s="192">
        <v>0.35</v>
      </c>
      <c r="L175" s="192">
        <f>DivAndTax[[#This Row],[Total Units]]*DivAndTax[[#This Row],[Dividend Per Unit]]</f>
        <v>991795.35</v>
      </c>
      <c r="M175" s="192">
        <f>DivAndTax[[#This Row],[Gross Dividend]]</f>
        <v>991795.35</v>
      </c>
      <c r="N175" s="193" cm="1">
        <f t="array" ref="N17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75" s="192">
        <f>ROUND(IF((DivAndTax[[#This Row],[Taxable Dividend]]*DivAndTax[[#This Row],[Tax Rate
(If Applicable)]])&gt;0,DivAndTax[[#This Row],[Taxable Dividend]]*DivAndTax[[#This Row],[Tax Rate
(If Applicable)]],0),2)</f>
        <v>198359.07</v>
      </c>
      <c r="P175" s="192">
        <f t="shared" si="35"/>
        <v>793436.28</v>
      </c>
      <c r="Q175" s="194" t="s">
        <v>1140</v>
      </c>
      <c r="R175" s="192" t="s">
        <v>1139</v>
      </c>
      <c r="S175" s="192"/>
      <c r="T175" s="192" t="str">
        <f>DivAndTax[[#This Row],[Investor ID]]&amp;"-"&amp;(RIGHT(DivAndTax[[#This Row],[Accounting Year]],2))</f>
        <v>A00003-25</v>
      </c>
      <c r="U175" s="192" t="str">
        <f>IF(DivAndTax[[#This Row],[Dividend Option]]="CIP","11",IF(DivAndTax[[#This Row],[Dividend Option]]="CASH","22"))</f>
        <v>11</v>
      </c>
      <c r="V175" s="200"/>
    </row>
    <row r="176" spans="1:22">
      <c r="A176" s="188">
        <v>2026</v>
      </c>
      <c r="B176" s="188">
        <v>1</v>
      </c>
      <c r="C176" s="188">
        <v>1</v>
      </c>
      <c r="D176" s="189">
        <f t="shared" si="34"/>
        <v>46023</v>
      </c>
      <c r="E176" s="188">
        <v>2025</v>
      </c>
      <c r="F176" s="247">
        <v>46069</v>
      </c>
      <c r="G176" s="188" t="s">
        <v>22</v>
      </c>
      <c r="H176" s="190" t="str">
        <f>_xlfn.XLOOKUP(DivAndTax[[#This Row],[Investor ID]],INVESTORS_LIST[INVESTOR CODE],INVESTORS_LIST[INVESTOR NAME])</f>
        <v>ABDUL HAI BHUYAN</v>
      </c>
      <c r="I176" s="8" t="str">
        <f>_xlfn.XLOOKUP(DivAndTax[[#This Row],[Investor ID]],INVESTORS_LIST[INVESTOR CODE],INVESTORS_LIST[TYPE OF INVESTOR])</f>
        <v>Individual</v>
      </c>
      <c r="J176" s="191">
        <v>21331</v>
      </c>
      <c r="K176" s="192">
        <v>0.35</v>
      </c>
      <c r="L176" s="192">
        <f>DivAndTax[[#This Row],[Total Units]]*DivAndTax[[#This Row],[Dividend Per Unit]]</f>
        <v>7465.8499999999995</v>
      </c>
      <c r="M176" s="192">
        <f>DivAndTax[[#This Row],[Gross Dividend]]</f>
        <v>7465.8499999999995</v>
      </c>
      <c r="N176" s="193" cm="1">
        <f t="array" ref="N17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76" s="192">
        <f>ROUND(IF((DivAndTax[[#This Row],[Taxable Dividend]]*DivAndTax[[#This Row],[Tax Rate
(If Applicable)]])&gt;0,DivAndTax[[#This Row],[Taxable Dividend]]*DivAndTax[[#This Row],[Tax Rate
(If Applicable)]],0),2)</f>
        <v>746.59</v>
      </c>
      <c r="P176" s="192">
        <f t="shared" si="35"/>
        <v>6719.2599999999993</v>
      </c>
      <c r="Q176" s="194" t="s">
        <v>1142</v>
      </c>
      <c r="R176" s="192" t="s">
        <v>1139</v>
      </c>
      <c r="S176" s="192"/>
      <c r="T176" s="192" t="str">
        <f>DivAndTax[[#This Row],[Investor ID]]&amp;"-"&amp;(RIGHT(DivAndTax[[#This Row],[Accounting Year]],2))</f>
        <v>A00015-25</v>
      </c>
      <c r="U176" s="192" t="str">
        <f>IF(DivAndTax[[#This Row],[Dividend Option]]="CIP","11",IF(DivAndTax[[#This Row],[Dividend Option]]="CASH","22"))</f>
        <v>11</v>
      </c>
      <c r="V176" s="200"/>
    </row>
    <row r="177" spans="1:22">
      <c r="A177" s="188">
        <v>2026</v>
      </c>
      <c r="B177" s="188">
        <v>1</v>
      </c>
      <c r="C177" s="188">
        <v>1</v>
      </c>
      <c r="D177" s="189">
        <f t="shared" si="34"/>
        <v>46023</v>
      </c>
      <c r="E177" s="188">
        <v>2025</v>
      </c>
      <c r="F177" s="247">
        <v>46069</v>
      </c>
      <c r="G177" s="188" t="s">
        <v>27</v>
      </c>
      <c r="H177" s="190" t="str">
        <f>_xlfn.XLOOKUP(DivAndTax[[#This Row],[Investor ID]],INVESTORS_LIST[INVESTOR CODE],INVESTORS_LIST[INVESTOR NAME])</f>
        <v>MRIDUL KUMAR DEY</v>
      </c>
      <c r="I177" s="8" t="str">
        <f>_xlfn.XLOOKUP(DivAndTax[[#This Row],[Investor ID]],INVESTORS_LIST[INVESTOR CODE],INVESTORS_LIST[TYPE OF INVESTOR])</f>
        <v>Individual</v>
      </c>
      <c r="J177" s="191">
        <v>1710</v>
      </c>
      <c r="K177" s="192">
        <v>0.35</v>
      </c>
      <c r="L177" s="192">
        <f>DivAndTax[[#This Row],[Total Units]]*DivAndTax[[#This Row],[Dividend Per Unit]]</f>
        <v>598.5</v>
      </c>
      <c r="M177" s="192">
        <f>DivAndTax[[#This Row],[Gross Dividend]]</f>
        <v>598.5</v>
      </c>
      <c r="N177" s="193" cm="1">
        <f t="array" ref="N17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77" s="192">
        <f>ROUND(IF((DivAndTax[[#This Row],[Taxable Dividend]]*DivAndTax[[#This Row],[Tax Rate
(If Applicable)]])&gt;0,DivAndTax[[#This Row],[Taxable Dividend]]*DivAndTax[[#This Row],[Tax Rate
(If Applicable)]],0),2)</f>
        <v>59.85</v>
      </c>
      <c r="P177" s="192">
        <f t="shared" si="35"/>
        <v>538.65</v>
      </c>
      <c r="Q177" s="194" t="s">
        <v>1144</v>
      </c>
      <c r="R177" s="192" t="s">
        <v>1139</v>
      </c>
      <c r="S177" s="192"/>
      <c r="T177" s="192" t="str">
        <f>DivAndTax[[#This Row],[Investor ID]]&amp;"-"&amp;(RIGHT(DivAndTax[[#This Row],[Accounting Year]],2))</f>
        <v>A00020-25</v>
      </c>
      <c r="U177" s="192" t="str">
        <f>IF(DivAndTax[[#This Row],[Dividend Option]]="CIP","11",IF(DivAndTax[[#This Row],[Dividend Option]]="CASH","22"))</f>
        <v>11</v>
      </c>
      <c r="V177" s="200"/>
    </row>
    <row r="178" spans="1:22">
      <c r="A178" s="188">
        <v>2026</v>
      </c>
      <c r="B178" s="188">
        <v>1</v>
      </c>
      <c r="C178" s="188">
        <v>1</v>
      </c>
      <c r="D178" s="189">
        <f t="shared" si="34"/>
        <v>46023</v>
      </c>
      <c r="E178" s="188">
        <v>2025</v>
      </c>
      <c r="F178" s="247">
        <v>46069</v>
      </c>
      <c r="G178" s="188" t="s">
        <v>33</v>
      </c>
      <c r="H178" s="190" t="str">
        <f>_xlfn.XLOOKUP(DivAndTax[[#This Row],[Investor ID]],INVESTORS_LIST[INVESTOR CODE],INVESTORS_LIST[INVESTOR NAME])</f>
        <v>FAHMIDA HAQUE</v>
      </c>
      <c r="I178" s="8" t="str">
        <f>_xlfn.XLOOKUP(DivAndTax[[#This Row],[Investor ID]],INVESTORS_LIST[INVESTOR CODE],INVESTORS_LIST[TYPE OF INVESTOR])</f>
        <v>Individual</v>
      </c>
      <c r="J178" s="191">
        <v>53864</v>
      </c>
      <c r="K178" s="192">
        <v>0.35</v>
      </c>
      <c r="L178" s="192">
        <f>DivAndTax[[#This Row],[Total Units]]*DivAndTax[[#This Row],[Dividend Per Unit]]</f>
        <v>18852.399999999998</v>
      </c>
      <c r="M178" s="192">
        <f>DivAndTax[[#This Row],[Gross Dividend]]</f>
        <v>18852.399999999998</v>
      </c>
      <c r="N178" s="193" cm="1">
        <f t="array" ref="N17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78" s="192">
        <f>ROUND(IF((DivAndTax[[#This Row],[Taxable Dividend]]*DivAndTax[[#This Row],[Tax Rate
(If Applicable)]])&gt;0,DivAndTax[[#This Row],[Taxable Dividend]]*DivAndTax[[#This Row],[Tax Rate
(If Applicable)]],0),2)</f>
        <v>1885.24</v>
      </c>
      <c r="P178" s="192">
        <f t="shared" si="35"/>
        <v>16967.159999999996</v>
      </c>
      <c r="Q178" s="194" t="s">
        <v>1145</v>
      </c>
      <c r="R178" s="192" t="s">
        <v>1139</v>
      </c>
      <c r="S178" s="192"/>
      <c r="T178" s="192" t="str">
        <f>DivAndTax[[#This Row],[Investor ID]]&amp;"-"&amp;(RIGHT(DivAndTax[[#This Row],[Accounting Year]],2))</f>
        <v>A00026-25</v>
      </c>
      <c r="U178" s="192" t="str">
        <f>IF(DivAndTax[[#This Row],[Dividend Option]]="CIP","11",IF(DivAndTax[[#This Row],[Dividend Option]]="CASH","22"))</f>
        <v>11</v>
      </c>
      <c r="V178" s="200"/>
    </row>
    <row r="179" spans="1:22">
      <c r="A179" s="188">
        <v>2026</v>
      </c>
      <c r="B179" s="188">
        <v>1</v>
      </c>
      <c r="C179" s="188">
        <v>1</v>
      </c>
      <c r="D179" s="189">
        <f t="shared" si="34"/>
        <v>46023</v>
      </c>
      <c r="E179" s="188">
        <v>2025</v>
      </c>
      <c r="F179" s="247">
        <v>46069</v>
      </c>
      <c r="G179" s="188" t="s">
        <v>41</v>
      </c>
      <c r="H179" s="190" t="str">
        <f>_xlfn.XLOOKUP(DivAndTax[[#This Row],[Investor ID]],INVESTORS_LIST[INVESTOR CODE],INVESTORS_LIST[INVESTOR NAME])</f>
        <v>MD. MOMINUL HOQUE</v>
      </c>
      <c r="I179" s="8" t="str">
        <f>_xlfn.XLOOKUP(DivAndTax[[#This Row],[Investor ID]],INVESTORS_LIST[INVESTOR CODE],INVESTORS_LIST[TYPE OF INVESTOR])</f>
        <v>Individual</v>
      </c>
      <c r="J179" s="191">
        <v>18844</v>
      </c>
      <c r="K179" s="192">
        <v>0.35</v>
      </c>
      <c r="L179" s="192">
        <f>DivAndTax[[#This Row],[Total Units]]*DivAndTax[[#This Row],[Dividend Per Unit]]</f>
        <v>6595.4</v>
      </c>
      <c r="M179" s="192">
        <f>DivAndTax[[#This Row],[Gross Dividend]]</f>
        <v>6595.4</v>
      </c>
      <c r="N179" s="193" cm="1">
        <f t="array" ref="N17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79" s="192">
        <f>ROUND(IF((DivAndTax[[#This Row],[Taxable Dividend]]*DivAndTax[[#This Row],[Tax Rate
(If Applicable)]])&gt;0,DivAndTax[[#This Row],[Taxable Dividend]]*DivAndTax[[#This Row],[Tax Rate
(If Applicable)]],0),2)</f>
        <v>659.54</v>
      </c>
      <c r="P179" s="192">
        <f t="shared" si="35"/>
        <v>5935.86</v>
      </c>
      <c r="Q179" s="194" t="s">
        <v>1614</v>
      </c>
      <c r="R179" s="192" t="s">
        <v>1139</v>
      </c>
      <c r="S179" s="192"/>
      <c r="T179" s="192" t="str">
        <f>DivAndTax[[#This Row],[Investor ID]]&amp;"-"&amp;(RIGHT(DivAndTax[[#This Row],[Accounting Year]],2))</f>
        <v>A00034-25</v>
      </c>
      <c r="U179" s="192" t="str">
        <f>IF(DivAndTax[[#This Row],[Dividend Option]]="CIP","11",IF(DivAndTax[[#This Row],[Dividend Option]]="CASH","22"))</f>
        <v>11</v>
      </c>
      <c r="V179" s="200"/>
    </row>
    <row r="180" spans="1:22">
      <c r="A180" s="188">
        <v>2026</v>
      </c>
      <c r="B180" s="188">
        <v>1</v>
      </c>
      <c r="C180" s="188">
        <v>1</v>
      </c>
      <c r="D180" s="189">
        <f t="shared" si="34"/>
        <v>46023</v>
      </c>
      <c r="E180" s="188">
        <v>2025</v>
      </c>
      <c r="F180" s="247">
        <v>46097</v>
      </c>
      <c r="G180" s="188" t="s">
        <v>48</v>
      </c>
      <c r="H180" s="190" t="str">
        <f>_xlfn.XLOOKUP(DivAndTax[[#This Row],[Investor ID]],INVESTORS_LIST[INVESTOR CODE],INVESTORS_LIST[INVESTOR NAME])</f>
        <v>RAJIB ROY</v>
      </c>
      <c r="I180" s="8" t="str">
        <f>_xlfn.XLOOKUP(DivAndTax[[#This Row],[Investor ID]],INVESTORS_LIST[INVESTOR CODE],INVESTORS_LIST[TYPE OF INVESTOR])</f>
        <v>Individual</v>
      </c>
      <c r="J180" s="191">
        <v>15000</v>
      </c>
      <c r="K180" s="192">
        <v>0.35</v>
      </c>
      <c r="L180" s="192">
        <f>DivAndTax[[#This Row],[Total Units]]*DivAndTax[[#This Row],[Dividend Per Unit]]</f>
        <v>5250</v>
      </c>
      <c r="M180" s="192">
        <f>DivAndTax[[#This Row],[Gross Dividend]]</f>
        <v>5250</v>
      </c>
      <c r="N180" s="193" cm="1">
        <f t="array" ref="N18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80" s="192">
        <f>ROUND(IF((DivAndTax[[#This Row],[Taxable Dividend]]*DivAndTax[[#This Row],[Tax Rate
(If Applicable)]])&gt;0,DivAndTax[[#This Row],[Taxable Dividend]]*DivAndTax[[#This Row],[Tax Rate
(If Applicable)]],0),2)</f>
        <v>525</v>
      </c>
      <c r="P180" s="192">
        <f t="shared" si="35"/>
        <v>4725</v>
      </c>
      <c r="Q180" s="194" t="s">
        <v>1147</v>
      </c>
      <c r="R180" s="192" t="s">
        <v>1141</v>
      </c>
      <c r="S180" s="192"/>
      <c r="T180" s="192" t="str">
        <f>DivAndTax[[#This Row],[Investor ID]]&amp;"-"&amp;(RIGHT(DivAndTax[[#This Row],[Accounting Year]],2))</f>
        <v>A00041-25</v>
      </c>
      <c r="U180" s="192" t="str">
        <f>IF(DivAndTax[[#This Row],[Dividend Option]]="CIP","11",IF(DivAndTax[[#This Row],[Dividend Option]]="CASH","22"))</f>
        <v>22</v>
      </c>
      <c r="V180" s="200"/>
    </row>
    <row r="181" spans="1:22">
      <c r="A181" s="188">
        <v>2026</v>
      </c>
      <c r="B181" s="188">
        <v>1</v>
      </c>
      <c r="C181" s="188">
        <v>1</v>
      </c>
      <c r="D181" s="189">
        <f t="shared" si="34"/>
        <v>46023</v>
      </c>
      <c r="E181" s="188">
        <v>2025</v>
      </c>
      <c r="F181" s="247">
        <v>46097</v>
      </c>
      <c r="G181" s="188" t="s">
        <v>50</v>
      </c>
      <c r="H181" s="190" t="str">
        <f>_xlfn.XLOOKUP(DivAndTax[[#This Row],[Investor ID]],INVESTORS_LIST[INVESTOR CODE],INVESTORS_LIST[INVESTOR NAME])</f>
        <v>UCB STOCK BROKERAGE LIMITED</v>
      </c>
      <c r="I181" s="8" t="str">
        <f>_xlfn.XLOOKUP(DivAndTax[[#This Row],[Investor ID]],INVESTORS_LIST[INVESTOR CODE],INVESTORS_LIST[TYPE OF INVESTOR])</f>
        <v>Company/Organization</v>
      </c>
      <c r="J181" s="191">
        <v>264758</v>
      </c>
      <c r="K181" s="192">
        <v>0.35</v>
      </c>
      <c r="L181" s="192">
        <f>DivAndTax[[#This Row],[Total Units]]*DivAndTax[[#This Row],[Dividend Per Unit]]</f>
        <v>92665.299999999988</v>
      </c>
      <c r="M181" s="192">
        <f>DivAndTax[[#This Row],[Gross Dividend]]</f>
        <v>92665.299999999988</v>
      </c>
      <c r="N181" s="193" cm="1">
        <f t="array" ref="N18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81" s="192">
        <f>ROUND(IF((DivAndTax[[#This Row],[Taxable Dividend]]*DivAndTax[[#This Row],[Tax Rate
(If Applicable)]])&gt;0,DivAndTax[[#This Row],[Taxable Dividend]]*DivAndTax[[#This Row],[Tax Rate
(If Applicable)]],0),2)</f>
        <v>18533.060000000001</v>
      </c>
      <c r="P181" s="192">
        <f t="shared" si="35"/>
        <v>74132.239999999991</v>
      </c>
      <c r="Q181" s="194" t="s">
        <v>1148</v>
      </c>
      <c r="R181" s="192" t="s">
        <v>1141</v>
      </c>
      <c r="S181" s="192"/>
      <c r="T181" s="192" t="str">
        <f>DivAndTax[[#This Row],[Investor ID]]&amp;"-"&amp;(RIGHT(DivAndTax[[#This Row],[Accounting Year]],2))</f>
        <v>A00043-25</v>
      </c>
      <c r="U181" s="192" t="str">
        <f>IF(DivAndTax[[#This Row],[Dividend Option]]="CIP","11",IF(DivAndTax[[#This Row],[Dividend Option]]="CASH","22"))</f>
        <v>22</v>
      </c>
      <c r="V181" s="200"/>
    </row>
    <row r="182" spans="1:22">
      <c r="A182" s="188">
        <v>2026</v>
      </c>
      <c r="B182" s="188">
        <v>1</v>
      </c>
      <c r="C182" s="188">
        <v>1</v>
      </c>
      <c r="D182" s="189">
        <f t="shared" si="34"/>
        <v>46023</v>
      </c>
      <c r="E182" s="188">
        <v>2025</v>
      </c>
      <c r="F182" s="247">
        <v>46097</v>
      </c>
      <c r="G182" s="188" t="s">
        <v>54</v>
      </c>
      <c r="H182" s="190" t="str">
        <f>_xlfn.XLOOKUP(DivAndTax[[#This Row],[Investor ID]],INVESTORS_LIST[INVESTOR CODE],INVESTORS_LIST[INVESTOR NAME])</f>
        <v>NATIONAL BANK LTD</v>
      </c>
      <c r="I182" s="8" t="str">
        <f>_xlfn.XLOOKUP(DivAndTax[[#This Row],[Investor ID]],INVESTORS_LIST[INVESTOR CODE],INVESTORS_LIST[TYPE OF INVESTOR])</f>
        <v>Company/Organization</v>
      </c>
      <c r="J182" s="191">
        <v>250000</v>
      </c>
      <c r="K182" s="192">
        <v>0.35</v>
      </c>
      <c r="L182" s="192">
        <f>DivAndTax[[#This Row],[Total Units]]*DivAndTax[[#This Row],[Dividend Per Unit]]</f>
        <v>87500</v>
      </c>
      <c r="M182" s="192">
        <f>DivAndTax[[#This Row],[Gross Dividend]]</f>
        <v>87500</v>
      </c>
      <c r="N182" s="193" cm="1">
        <f t="array" ref="N18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82" s="192">
        <f>ROUND(IF((DivAndTax[[#This Row],[Taxable Dividend]]*DivAndTax[[#This Row],[Tax Rate
(If Applicable)]])&gt;0,DivAndTax[[#This Row],[Taxable Dividend]]*DivAndTax[[#This Row],[Tax Rate
(If Applicable)]],0),2)</f>
        <v>17500</v>
      </c>
      <c r="P182" s="192">
        <f t="shared" si="35"/>
        <v>70000</v>
      </c>
      <c r="Q182" s="194" t="s">
        <v>1146</v>
      </c>
      <c r="R182" s="192" t="s">
        <v>1141</v>
      </c>
      <c r="S182" s="192"/>
      <c r="T182" s="192" t="str">
        <f>DivAndTax[[#This Row],[Investor ID]]&amp;"-"&amp;(RIGHT(DivAndTax[[#This Row],[Accounting Year]],2))</f>
        <v>A00047-25</v>
      </c>
      <c r="U182" s="192" t="str">
        <f>IF(DivAndTax[[#This Row],[Dividend Option]]="CIP","11",IF(DivAndTax[[#This Row],[Dividend Option]]="CASH","22"))</f>
        <v>22</v>
      </c>
      <c r="V182" s="200"/>
    </row>
    <row r="183" spans="1:22">
      <c r="A183" s="188">
        <v>2026</v>
      </c>
      <c r="B183" s="188">
        <v>1</v>
      </c>
      <c r="C183" s="188">
        <v>1</v>
      </c>
      <c r="D183" s="189">
        <f t="shared" si="34"/>
        <v>46023</v>
      </c>
      <c r="E183" s="188">
        <v>2025</v>
      </c>
      <c r="F183" s="247">
        <v>46097</v>
      </c>
      <c r="G183" s="188" t="s">
        <v>56</v>
      </c>
      <c r="H183" s="190" t="str">
        <f>_xlfn.XLOOKUP(DivAndTax[[#This Row],[Investor ID]],INVESTORS_LIST[INVESTOR CODE],INVESTORS_LIST[INVESTOR NAME])</f>
        <v>PHOENIX INSURANCE CO. LTD. EMPL. P.F.</v>
      </c>
      <c r="I183" s="8" t="str">
        <f>_xlfn.XLOOKUP(DivAndTax[[#This Row],[Investor ID]],INVESTORS_LIST[INVESTOR CODE],INVESTORS_LIST[TYPE OF INVESTOR])</f>
        <v>Providend Fund</v>
      </c>
      <c r="J183" s="191">
        <v>102157</v>
      </c>
      <c r="K183" s="192">
        <v>0.35</v>
      </c>
      <c r="L183" s="192">
        <f>DivAndTax[[#This Row],[Total Units]]*DivAndTax[[#This Row],[Dividend Per Unit]]</f>
        <v>35754.949999999997</v>
      </c>
      <c r="M183" s="192">
        <f>DivAndTax[[#This Row],[Gross Dividend]]</f>
        <v>35754.949999999997</v>
      </c>
      <c r="N183" s="193" cm="1">
        <f t="array" ref="N18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83" s="192">
        <f>ROUND(IF((DivAndTax[[#This Row],[Taxable Dividend]]*DivAndTax[[#This Row],[Tax Rate
(If Applicable)]])&gt;0,DivAndTax[[#This Row],[Taxable Dividend]]*DivAndTax[[#This Row],[Tax Rate
(If Applicable)]],0),2)</f>
        <v>3575.5</v>
      </c>
      <c r="P183" s="192">
        <f t="shared" si="35"/>
        <v>32179.449999999997</v>
      </c>
      <c r="Q183" s="194" t="s">
        <v>1146</v>
      </c>
      <c r="R183" s="192" t="s">
        <v>1141</v>
      </c>
      <c r="S183" s="192"/>
      <c r="T183" s="192" t="str">
        <f>DivAndTax[[#This Row],[Investor ID]]&amp;"-"&amp;(RIGHT(DivAndTax[[#This Row],[Accounting Year]],2))</f>
        <v>A00049-25</v>
      </c>
      <c r="U183" s="192" t="str">
        <f>IF(DivAndTax[[#This Row],[Dividend Option]]="CIP","11",IF(DivAndTax[[#This Row],[Dividend Option]]="CASH","22"))</f>
        <v>22</v>
      </c>
      <c r="V183" s="200"/>
    </row>
    <row r="184" spans="1:22">
      <c r="A184" s="188">
        <v>2026</v>
      </c>
      <c r="B184" s="188">
        <v>1</v>
      </c>
      <c r="C184" s="188">
        <v>1</v>
      </c>
      <c r="D184" s="189">
        <f t="shared" si="34"/>
        <v>46023</v>
      </c>
      <c r="E184" s="188">
        <v>2025</v>
      </c>
      <c r="F184" s="247">
        <v>46069</v>
      </c>
      <c r="G184" s="188" t="s">
        <v>58</v>
      </c>
      <c r="H184" s="190" t="str">
        <f>_xlfn.XLOOKUP(DivAndTax[[#This Row],[Investor ID]],INVESTORS_LIST[INVESTOR CODE],INVESTORS_LIST[INVESTOR NAME])</f>
        <v>SATCOM IT LTD. PROVIDENT FUND</v>
      </c>
      <c r="I184" s="8" t="str">
        <f>_xlfn.XLOOKUP(DivAndTax[[#This Row],[Investor ID]],INVESTORS_LIST[INVESTOR CODE],INVESTORS_LIST[TYPE OF INVESTOR])</f>
        <v>Providend Fund</v>
      </c>
      <c r="J184" s="191">
        <v>106520</v>
      </c>
      <c r="K184" s="192">
        <v>0.35</v>
      </c>
      <c r="L184" s="192">
        <f>DivAndTax[[#This Row],[Total Units]]*DivAndTax[[#This Row],[Dividend Per Unit]]</f>
        <v>37282</v>
      </c>
      <c r="M184" s="192">
        <f>DivAndTax[[#This Row],[Gross Dividend]]</f>
        <v>37282</v>
      </c>
      <c r="N184" s="193" cm="1">
        <f t="array" ref="N18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84" s="192">
        <f>ROUND(IF((DivAndTax[[#This Row],[Taxable Dividend]]*DivAndTax[[#This Row],[Tax Rate
(If Applicable)]])&gt;0,DivAndTax[[#This Row],[Taxable Dividend]]*DivAndTax[[#This Row],[Tax Rate
(If Applicable)]],0),2)</f>
        <v>3728.2</v>
      </c>
      <c r="P184" s="192">
        <f t="shared" si="35"/>
        <v>33553.800000000003</v>
      </c>
      <c r="Q184" s="194" t="s">
        <v>1146</v>
      </c>
      <c r="R184" s="192" t="s">
        <v>1139</v>
      </c>
      <c r="S184" s="192"/>
      <c r="T184" s="192" t="str">
        <f>DivAndTax[[#This Row],[Investor ID]]&amp;"-"&amp;(RIGHT(DivAndTax[[#This Row],[Accounting Year]],2))</f>
        <v>A00051-25</v>
      </c>
      <c r="U184" s="192" t="str">
        <f>IF(DivAndTax[[#This Row],[Dividend Option]]="CIP","11",IF(DivAndTax[[#This Row],[Dividend Option]]="CASH","22"))</f>
        <v>11</v>
      </c>
      <c r="V184" s="200"/>
    </row>
    <row r="185" spans="1:22">
      <c r="A185" s="188">
        <v>2026</v>
      </c>
      <c r="B185" s="188">
        <v>1</v>
      </c>
      <c r="C185" s="188">
        <v>1</v>
      </c>
      <c r="D185" s="189">
        <f t="shared" si="34"/>
        <v>46023</v>
      </c>
      <c r="E185" s="188">
        <v>2025</v>
      </c>
      <c r="F185" s="247">
        <v>46069</v>
      </c>
      <c r="G185" s="188" t="s">
        <v>60</v>
      </c>
      <c r="H185" s="190" t="str">
        <f>_xlfn.XLOOKUP(DivAndTax[[#This Row],[Investor ID]],INVESTORS_LIST[INVESTOR CODE],INVESTORS_LIST[INVESTOR NAME])</f>
        <v>SHUVA SAHA</v>
      </c>
      <c r="I185" s="8" t="str">
        <f>_xlfn.XLOOKUP(DivAndTax[[#This Row],[Investor ID]],INVESTORS_LIST[INVESTOR CODE],INVESTORS_LIST[TYPE OF INVESTOR])</f>
        <v>Individual</v>
      </c>
      <c r="J185" s="191">
        <v>481783</v>
      </c>
      <c r="K185" s="192">
        <v>0.35</v>
      </c>
      <c r="L185" s="192">
        <f>DivAndTax[[#This Row],[Total Units]]*DivAndTax[[#This Row],[Dividend Per Unit]]</f>
        <v>168624.05</v>
      </c>
      <c r="M185" s="192">
        <f>DivAndTax[[#This Row],[Gross Dividend]]</f>
        <v>168624.05</v>
      </c>
      <c r="N185" s="193" cm="1">
        <f t="array" ref="N18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85" s="192">
        <f>ROUND(IF((DivAndTax[[#This Row],[Taxable Dividend]]*DivAndTax[[#This Row],[Tax Rate
(If Applicable)]])&gt;0,DivAndTax[[#This Row],[Taxable Dividend]]*DivAndTax[[#This Row],[Tax Rate
(If Applicable)]],0),2)</f>
        <v>16862.41</v>
      </c>
      <c r="P185" s="192">
        <f t="shared" si="35"/>
        <v>151761.63999999998</v>
      </c>
      <c r="Q185" s="194" t="s">
        <v>1149</v>
      </c>
      <c r="R185" s="192" t="s">
        <v>1139</v>
      </c>
      <c r="S185" s="192"/>
      <c r="T185" s="192" t="str">
        <f>DivAndTax[[#This Row],[Investor ID]]&amp;"-"&amp;(RIGHT(DivAndTax[[#This Row],[Accounting Year]],2))</f>
        <v>A00053-25</v>
      </c>
      <c r="U185" s="192" t="str">
        <f>IF(DivAndTax[[#This Row],[Dividend Option]]="CIP","11",IF(DivAndTax[[#This Row],[Dividend Option]]="CASH","22"))</f>
        <v>11</v>
      </c>
      <c r="V185" s="200"/>
    </row>
    <row r="186" spans="1:22">
      <c r="A186" s="188">
        <v>2026</v>
      </c>
      <c r="B186" s="188">
        <v>1</v>
      </c>
      <c r="C186" s="188">
        <v>1</v>
      </c>
      <c r="D186" s="189">
        <f t="shared" ref="D186:D187" si="36">IFERROR(DATE(A186,B186,C186)," ")</f>
        <v>46023</v>
      </c>
      <c r="E186" s="188">
        <v>2025</v>
      </c>
      <c r="F186" s="247">
        <v>46069</v>
      </c>
      <c r="G186" s="188" t="s">
        <v>62</v>
      </c>
      <c r="H186" s="190" t="str">
        <f>_xlfn.XLOOKUP(DivAndTax[[#This Row],[Investor ID]],INVESTORS_LIST[INVESTOR CODE],INVESTORS_LIST[INVESTOR NAME])</f>
        <v>KAZI AHSAN MARUF</v>
      </c>
      <c r="I186" s="8" t="str">
        <f>_xlfn.XLOOKUP(DivAndTax[[#This Row],[Investor ID]],INVESTORS_LIST[INVESTOR CODE],INVESTORS_LIST[TYPE OF INVESTOR])</f>
        <v>Individual</v>
      </c>
      <c r="J186" s="191">
        <v>245103</v>
      </c>
      <c r="K186" s="192">
        <v>0.35</v>
      </c>
      <c r="L186" s="192">
        <f>DivAndTax[[#This Row],[Total Units]]*DivAndTax[[#This Row],[Dividend Per Unit]]</f>
        <v>85786.049999999988</v>
      </c>
      <c r="M186" s="192">
        <f>DivAndTax[[#This Row],[Gross Dividend]]</f>
        <v>85786.049999999988</v>
      </c>
      <c r="N186" s="193" cm="1">
        <f t="array" ref="N18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86" s="192">
        <f>ROUND(IF((DivAndTax[[#This Row],[Taxable Dividend]]*DivAndTax[[#This Row],[Tax Rate
(If Applicable)]])&gt;0,DivAndTax[[#This Row],[Taxable Dividend]]*DivAndTax[[#This Row],[Tax Rate
(If Applicable)]],0),2)</f>
        <v>8578.61</v>
      </c>
      <c r="P186" s="192">
        <f t="shared" ref="P186:P187" si="37">L186-O186</f>
        <v>77207.439999999988</v>
      </c>
      <c r="Q186" s="194" t="s">
        <v>1150</v>
      </c>
      <c r="R186" s="192" t="s">
        <v>1139</v>
      </c>
      <c r="S186" s="192"/>
      <c r="T186" s="192" t="str">
        <f>DivAndTax[[#This Row],[Investor ID]]&amp;"-"&amp;(RIGHT(DivAndTax[[#This Row],[Accounting Year]],2))</f>
        <v>A00055-25</v>
      </c>
      <c r="U186" s="192" t="str">
        <f>IF(DivAndTax[[#This Row],[Dividend Option]]="CIP","11",IF(DivAndTax[[#This Row],[Dividend Option]]="CASH","22"))</f>
        <v>11</v>
      </c>
      <c r="V186" s="200"/>
    </row>
    <row r="187" spans="1:22">
      <c r="A187" s="188">
        <v>2026</v>
      </c>
      <c r="B187" s="188">
        <v>1</v>
      </c>
      <c r="C187" s="188">
        <v>1</v>
      </c>
      <c r="D187" s="189">
        <f t="shared" si="36"/>
        <v>46023</v>
      </c>
      <c r="E187" s="188">
        <v>2025</v>
      </c>
      <c r="F187" s="247">
        <v>46097</v>
      </c>
      <c r="G187" s="188" t="s">
        <v>63</v>
      </c>
      <c r="H187" s="190" t="str">
        <f>_xlfn.XLOOKUP(DivAndTax[[#This Row],[Investor ID]],INVESTORS_LIST[INVESTOR CODE],INVESTORS_LIST[INVESTOR NAME])</f>
        <v>MD. OMAR FARUQUE Al QUADERI</v>
      </c>
      <c r="I187" s="8" t="str">
        <f>_xlfn.XLOOKUP(DivAndTax[[#This Row],[Investor ID]],INVESTORS_LIST[INVESTOR CODE],INVESTORS_LIST[TYPE OF INVESTOR])</f>
        <v>Individual</v>
      </c>
      <c r="J187" s="191">
        <v>1252</v>
      </c>
      <c r="K187" s="192">
        <v>0.35</v>
      </c>
      <c r="L187" s="192">
        <f>DivAndTax[[#This Row],[Total Units]]*DivAndTax[[#This Row],[Dividend Per Unit]]</f>
        <v>438.2</v>
      </c>
      <c r="M187" s="192">
        <f>DivAndTax[[#This Row],[Gross Dividend]]</f>
        <v>438.2</v>
      </c>
      <c r="N187" s="193" cm="1">
        <f t="array" ref="N18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87" s="192">
        <f>ROUND(IF((DivAndTax[[#This Row],[Taxable Dividend]]*DivAndTax[[#This Row],[Tax Rate
(If Applicable)]])&gt;0,DivAndTax[[#This Row],[Taxable Dividend]]*DivAndTax[[#This Row],[Tax Rate
(If Applicable)]],0),2)</f>
        <v>43.82</v>
      </c>
      <c r="P187" s="192">
        <f t="shared" si="37"/>
        <v>394.38</v>
      </c>
      <c r="Q187" s="194" t="s">
        <v>1615</v>
      </c>
      <c r="R187" s="192" t="s">
        <v>1141</v>
      </c>
      <c r="S187" s="192"/>
      <c r="T187" s="192" t="str">
        <f>DivAndTax[[#This Row],[Investor ID]]&amp;"-"&amp;(RIGHT(DivAndTax[[#This Row],[Accounting Year]],2))</f>
        <v>A00056-25</v>
      </c>
      <c r="U187" s="192" t="str">
        <f>IF(DivAndTax[[#This Row],[Dividend Option]]="CIP","11",IF(DivAndTax[[#This Row],[Dividend Option]]="CASH","22"))</f>
        <v>22</v>
      </c>
      <c r="V187" s="200"/>
    </row>
    <row r="188" spans="1:22">
      <c r="A188" s="188">
        <v>2026</v>
      </c>
      <c r="B188" s="188">
        <v>1</v>
      </c>
      <c r="C188" s="188">
        <v>1</v>
      </c>
      <c r="D188" s="189">
        <f>IFERROR(DATE(A188,B188,C188)," ")</f>
        <v>46023</v>
      </c>
      <c r="E188" s="188">
        <v>2025</v>
      </c>
      <c r="F188" s="247">
        <v>46069</v>
      </c>
      <c r="G188" s="188" t="s">
        <v>67</v>
      </c>
      <c r="H188" s="190" t="str">
        <f>_xlfn.XLOOKUP(DivAndTax[[#This Row],[Investor ID]],INVESTORS_LIST[INVESTOR CODE],INVESTORS_LIST[INVESTOR NAME])</f>
        <v>KANKA SAHA</v>
      </c>
      <c r="I188" s="8" t="str">
        <f>_xlfn.XLOOKUP(DivAndTax[[#This Row],[Investor ID]],INVESTORS_LIST[INVESTOR CODE],INVESTORS_LIST[TYPE OF INVESTOR])</f>
        <v>Individual</v>
      </c>
      <c r="J188" s="191">
        <v>39962</v>
      </c>
      <c r="K188" s="192">
        <v>0.35</v>
      </c>
      <c r="L188" s="192">
        <f>DivAndTax[[#This Row],[Total Units]]*DivAndTax[[#This Row],[Dividend Per Unit]]</f>
        <v>13986.699999999999</v>
      </c>
      <c r="M188" s="192">
        <f>DivAndTax[[#This Row],[Gross Dividend]]</f>
        <v>13986.699999999999</v>
      </c>
      <c r="N188" s="193" cm="1">
        <f t="array" ref="N18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88" s="192">
        <f>ROUND(IF((DivAndTax[[#This Row],[Taxable Dividend]]*DivAndTax[[#This Row],[Tax Rate
(If Applicable)]])&gt;0,DivAndTax[[#This Row],[Taxable Dividend]]*DivAndTax[[#This Row],[Tax Rate
(If Applicable)]],0),2)</f>
        <v>2098.0100000000002</v>
      </c>
      <c r="P188" s="192">
        <f>L188-O188</f>
        <v>11888.689999999999</v>
      </c>
      <c r="Q188" s="194" t="s">
        <v>1146</v>
      </c>
      <c r="R188" s="192" t="s">
        <v>1139</v>
      </c>
      <c r="S188" s="192"/>
      <c r="T188" s="192" t="str">
        <f>DivAndTax[[#This Row],[Investor ID]]&amp;"-"&amp;(RIGHT(DivAndTax[[#This Row],[Accounting Year]],2))</f>
        <v>A00060-25</v>
      </c>
      <c r="U188" s="192" t="str">
        <f>IF(DivAndTax[[#This Row],[Dividend Option]]="CIP","11",IF(DivAndTax[[#This Row],[Dividend Option]]="CASH","22"))</f>
        <v>11</v>
      </c>
      <c r="V188" s="200"/>
    </row>
    <row r="189" spans="1:22">
      <c r="A189" s="188">
        <v>2026</v>
      </c>
      <c r="B189" s="188">
        <v>1</v>
      </c>
      <c r="C189" s="188">
        <v>1</v>
      </c>
      <c r="D189" s="189">
        <f>IFERROR(DATE(A189,B189,C189)," ")</f>
        <v>46023</v>
      </c>
      <c r="E189" s="188">
        <v>2025</v>
      </c>
      <c r="F189" s="247">
        <v>46097</v>
      </c>
      <c r="G189" s="188" t="s">
        <v>73</v>
      </c>
      <c r="H189" s="190" t="str">
        <f>_xlfn.XLOOKUP(DivAndTax[[#This Row],[Investor ID]],INVESTORS_LIST[INVESTOR CODE],INVESTORS_LIST[INVESTOR NAME])</f>
        <v>REAZ UDDIN AHMED</v>
      </c>
      <c r="I189" s="8" t="str">
        <f>_xlfn.XLOOKUP(DivAndTax[[#This Row],[Investor ID]],INVESTORS_LIST[INVESTOR CODE],INVESTORS_LIST[TYPE OF INVESTOR])</f>
        <v>Individual</v>
      </c>
      <c r="J189" s="191">
        <v>1000</v>
      </c>
      <c r="K189" s="192">
        <v>0.35</v>
      </c>
      <c r="L189" s="192">
        <f>DivAndTax[[#This Row],[Total Units]]*DivAndTax[[#This Row],[Dividend Per Unit]]</f>
        <v>350</v>
      </c>
      <c r="M189" s="192">
        <f>DivAndTax[[#This Row],[Gross Dividend]]</f>
        <v>350</v>
      </c>
      <c r="N189" s="193" cm="1">
        <f t="array" ref="N18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89" s="192">
        <f>ROUND(IF((DivAndTax[[#This Row],[Taxable Dividend]]*DivAndTax[[#This Row],[Tax Rate
(If Applicable)]])&gt;0,DivAndTax[[#This Row],[Taxable Dividend]]*DivAndTax[[#This Row],[Tax Rate
(If Applicable)]],0),2)</f>
        <v>35</v>
      </c>
      <c r="P189" s="192">
        <f>L189-O189</f>
        <v>315</v>
      </c>
      <c r="Q189" s="194" t="s">
        <v>1151</v>
      </c>
      <c r="R189" s="192" t="s">
        <v>1141</v>
      </c>
      <c r="S189" s="192"/>
      <c r="T189" s="192" t="str">
        <f>DivAndTax[[#This Row],[Investor ID]]&amp;"-"&amp;(RIGHT(DivAndTax[[#This Row],[Accounting Year]],2))</f>
        <v>A00065-25</v>
      </c>
      <c r="U189" s="192" t="str">
        <f>IF(DivAndTax[[#This Row],[Dividend Option]]="CIP","11",IF(DivAndTax[[#This Row],[Dividend Option]]="CASH","22"))</f>
        <v>22</v>
      </c>
      <c r="V189" s="200"/>
    </row>
    <row r="190" spans="1:22">
      <c r="A190" s="188">
        <v>2026</v>
      </c>
      <c r="B190" s="188">
        <v>1</v>
      </c>
      <c r="C190" s="188">
        <v>1</v>
      </c>
      <c r="D190" s="189">
        <f t="shared" ref="D190:D191" si="38">IFERROR(DATE(A190,B190,C190)," ")</f>
        <v>46023</v>
      </c>
      <c r="E190" s="188">
        <v>2025</v>
      </c>
      <c r="F190" s="247">
        <v>46097</v>
      </c>
      <c r="G190" s="188" t="s">
        <v>76</v>
      </c>
      <c r="H190" s="190" t="str">
        <f>_xlfn.XLOOKUP(DivAndTax[[#This Row],[Investor ID]],INVESTORS_LIST[INVESTOR CODE],INVESTORS_LIST[INVESTOR NAME])</f>
        <v>PHOENIX INSURANCE CO. LTD.</v>
      </c>
      <c r="I190" s="8" t="str">
        <f>_xlfn.XLOOKUP(DivAndTax[[#This Row],[Investor ID]],INVESTORS_LIST[INVESTOR CODE],INVESTORS_LIST[TYPE OF INVESTOR])</f>
        <v>Company/Organization</v>
      </c>
      <c r="J190" s="191">
        <v>211806</v>
      </c>
      <c r="K190" s="192">
        <v>0.35</v>
      </c>
      <c r="L190" s="192">
        <f>DivAndTax[[#This Row],[Total Units]]*DivAndTax[[#This Row],[Dividend Per Unit]]</f>
        <v>74132.099999999991</v>
      </c>
      <c r="M190" s="192">
        <f>DivAndTax[[#This Row],[Gross Dividend]]</f>
        <v>74132.099999999991</v>
      </c>
      <c r="N190" s="193" cm="1">
        <f t="array" ref="N19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90" s="192">
        <f>ROUND(IF((DivAndTax[[#This Row],[Taxable Dividend]]*DivAndTax[[#This Row],[Tax Rate
(If Applicable)]])&gt;0,DivAndTax[[#This Row],[Taxable Dividend]]*DivAndTax[[#This Row],[Tax Rate
(If Applicable)]],0),2)</f>
        <v>14826.42</v>
      </c>
      <c r="P190" s="192">
        <f t="shared" ref="P190:P191" si="39">L190-O190</f>
        <v>59305.679999999993</v>
      </c>
      <c r="Q190" s="194" t="s">
        <v>1146</v>
      </c>
      <c r="R190" s="192" t="s">
        <v>1141</v>
      </c>
      <c r="S190" s="192"/>
      <c r="T190" s="192" t="str">
        <f>DivAndTax[[#This Row],[Investor ID]]&amp;"-"&amp;(RIGHT(DivAndTax[[#This Row],[Accounting Year]],2))</f>
        <v>A00068-25</v>
      </c>
      <c r="U190" s="192" t="str">
        <f>IF(DivAndTax[[#This Row],[Dividend Option]]="CIP","11",IF(DivAndTax[[#This Row],[Dividend Option]]="CASH","22"))</f>
        <v>22</v>
      </c>
      <c r="V190" s="200"/>
    </row>
    <row r="191" spans="1:22">
      <c r="A191" s="188">
        <v>2026</v>
      </c>
      <c r="B191" s="188">
        <v>1</v>
      </c>
      <c r="C191" s="188">
        <v>1</v>
      </c>
      <c r="D191" s="189">
        <f t="shared" si="38"/>
        <v>46023</v>
      </c>
      <c r="E191" s="188">
        <v>2025</v>
      </c>
      <c r="F191" s="247">
        <v>46097</v>
      </c>
      <c r="G191" s="188" t="s">
        <v>77</v>
      </c>
      <c r="H191" s="190" t="str">
        <f>_xlfn.XLOOKUP(DivAndTax[[#This Row],[Investor ID]],INVESTORS_LIST[INVESTOR CODE],INVESTORS_LIST[INVESTOR NAME])</f>
        <v>UNICAP INVESTMENTS LIMITED</v>
      </c>
      <c r="I191" s="8" t="str">
        <f>_xlfn.XLOOKUP(DivAndTax[[#This Row],[Investor ID]],INVESTORS_LIST[INVESTOR CODE],INVESTORS_LIST[TYPE OF INVESTOR])</f>
        <v>Company/Organization</v>
      </c>
      <c r="J191" s="191">
        <v>105903</v>
      </c>
      <c r="K191" s="192">
        <v>0.35</v>
      </c>
      <c r="L191" s="192">
        <f>DivAndTax[[#This Row],[Total Units]]*DivAndTax[[#This Row],[Dividend Per Unit]]</f>
        <v>37066.049999999996</v>
      </c>
      <c r="M191" s="192">
        <f>DivAndTax[[#This Row],[Gross Dividend]]</f>
        <v>37066.049999999996</v>
      </c>
      <c r="N191" s="193" cm="1">
        <f t="array" ref="N19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91" s="192">
        <f>ROUND(IF((DivAndTax[[#This Row],[Taxable Dividend]]*DivAndTax[[#This Row],[Tax Rate
(If Applicable)]])&gt;0,DivAndTax[[#This Row],[Taxable Dividend]]*DivAndTax[[#This Row],[Tax Rate
(If Applicable)]],0),2)</f>
        <v>7413.21</v>
      </c>
      <c r="P191" s="192">
        <f t="shared" si="39"/>
        <v>29652.839999999997</v>
      </c>
      <c r="Q191" s="194" t="s">
        <v>1146</v>
      </c>
      <c r="R191" s="192" t="s">
        <v>1141</v>
      </c>
      <c r="S191" s="192"/>
      <c r="T191" s="192" t="str">
        <f>DivAndTax[[#This Row],[Investor ID]]&amp;"-"&amp;(RIGHT(DivAndTax[[#This Row],[Accounting Year]],2))</f>
        <v>A00069-25</v>
      </c>
      <c r="U191" s="192" t="str">
        <f>IF(DivAndTax[[#This Row],[Dividend Option]]="CIP","11",IF(DivAndTax[[#This Row],[Dividend Option]]="CASH","22"))</f>
        <v>22</v>
      </c>
      <c r="V191" s="200"/>
    </row>
    <row r="192" spans="1:22">
      <c r="A192" s="188">
        <v>2026</v>
      </c>
      <c r="B192" s="188">
        <v>1</v>
      </c>
      <c r="C192" s="188">
        <v>1</v>
      </c>
      <c r="D192" s="189">
        <f>IFERROR(DATE(A192,B192,C192)," ")</f>
        <v>46023</v>
      </c>
      <c r="E192" s="188">
        <v>2025</v>
      </c>
      <c r="F192" s="247">
        <v>46069</v>
      </c>
      <c r="G192" s="188" t="s">
        <v>81</v>
      </c>
      <c r="H192" s="190" t="str">
        <f>_xlfn.XLOOKUP(DivAndTax[[#This Row],[Investor ID]],INVESTORS_LIST[INVESTOR CODE],INVESTORS_LIST[INVESTOR NAME])</f>
        <v>BILKISS ARA</v>
      </c>
      <c r="I192" s="8" t="str">
        <f>_xlfn.XLOOKUP(DivAndTax[[#This Row],[Investor ID]],INVESTORS_LIST[INVESTOR CODE],INVESTORS_LIST[TYPE OF INVESTOR])</f>
        <v>Individual</v>
      </c>
      <c r="J192" s="191">
        <v>117666</v>
      </c>
      <c r="K192" s="192">
        <v>0.35</v>
      </c>
      <c r="L192" s="192">
        <f>DivAndTax[[#This Row],[Total Units]]*DivAndTax[[#This Row],[Dividend Per Unit]]</f>
        <v>41183.1</v>
      </c>
      <c r="M192" s="192">
        <f>DivAndTax[[#This Row],[Gross Dividend]]</f>
        <v>41183.1</v>
      </c>
      <c r="N192" s="193" cm="1">
        <f t="array" ref="N19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192" s="192">
        <f>ROUND(IF((DivAndTax[[#This Row],[Taxable Dividend]]*DivAndTax[[#This Row],[Tax Rate
(If Applicable)]])&gt;0,DivAndTax[[#This Row],[Taxable Dividend]]*DivAndTax[[#This Row],[Tax Rate
(If Applicable)]],0),2)</f>
        <v>6177.47</v>
      </c>
      <c r="P192" s="192">
        <f>L192-O192</f>
        <v>35005.629999999997</v>
      </c>
      <c r="Q192" s="194" t="s">
        <v>1146</v>
      </c>
      <c r="R192" s="192" t="s">
        <v>1139</v>
      </c>
      <c r="S192" s="192"/>
      <c r="T192" s="192" t="str">
        <f>DivAndTax[[#This Row],[Investor ID]]&amp;"-"&amp;(RIGHT(DivAndTax[[#This Row],[Accounting Year]],2))</f>
        <v>A00073-25</v>
      </c>
      <c r="U192" s="192" t="str">
        <f>IF(DivAndTax[[#This Row],[Dividend Option]]="CIP","11",IF(DivAndTax[[#This Row],[Dividend Option]]="CASH","22"))</f>
        <v>11</v>
      </c>
      <c r="V192" s="200"/>
    </row>
    <row r="193" spans="1:22">
      <c r="A193" s="188">
        <v>2026</v>
      </c>
      <c r="B193" s="188">
        <v>1</v>
      </c>
      <c r="C193" s="188">
        <v>1</v>
      </c>
      <c r="D193" s="189">
        <f t="shared" ref="D193:D195" si="40">IFERROR(DATE(A193,B193,C193)," ")</f>
        <v>46023</v>
      </c>
      <c r="E193" s="188">
        <v>2025</v>
      </c>
      <c r="F193" s="247">
        <v>46097</v>
      </c>
      <c r="G193" s="188" t="s">
        <v>83</v>
      </c>
      <c r="H193" s="190" t="str">
        <f>_xlfn.XLOOKUP(DivAndTax[[#This Row],[Investor ID]],INVESTORS_LIST[INVESTOR CODE],INVESTORS_LIST[INVESTOR NAME])</f>
        <v>RELIANCE INSURANCE lIMITED</v>
      </c>
      <c r="I193" s="8" t="str">
        <f>_xlfn.XLOOKUP(DivAndTax[[#This Row],[Investor ID]],INVESTORS_LIST[INVESTOR CODE],INVESTORS_LIST[TYPE OF INVESTOR])</f>
        <v>Company/Organization</v>
      </c>
      <c r="J193" s="191">
        <v>250000</v>
      </c>
      <c r="K193" s="192">
        <v>0.35</v>
      </c>
      <c r="L193" s="192">
        <f>DivAndTax[[#This Row],[Total Units]]*DivAndTax[[#This Row],[Dividend Per Unit]]</f>
        <v>87500</v>
      </c>
      <c r="M193" s="192">
        <f>DivAndTax[[#This Row],[Gross Dividend]]</f>
        <v>87500</v>
      </c>
      <c r="N193" s="193" cm="1">
        <f t="array" ref="N19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93" s="192">
        <f>ROUND(IF((DivAndTax[[#This Row],[Taxable Dividend]]*DivAndTax[[#This Row],[Tax Rate
(If Applicable)]])&gt;0,DivAndTax[[#This Row],[Taxable Dividend]]*DivAndTax[[#This Row],[Tax Rate
(If Applicable)]],0),2)</f>
        <v>17500</v>
      </c>
      <c r="P193" s="192">
        <f t="shared" ref="P193:P195" si="41">L193-O193</f>
        <v>70000</v>
      </c>
      <c r="Q193" s="194" t="s">
        <v>1153</v>
      </c>
      <c r="R193" s="192" t="s">
        <v>1141</v>
      </c>
      <c r="S193" s="192"/>
      <c r="T193" s="192" t="str">
        <f>DivAndTax[[#This Row],[Investor ID]]&amp;"-"&amp;(RIGHT(DivAndTax[[#This Row],[Accounting Year]],2))</f>
        <v>A00075-25</v>
      </c>
      <c r="U193" s="192" t="str">
        <f>IF(DivAndTax[[#This Row],[Dividend Option]]="CIP","11",IF(DivAndTax[[#This Row],[Dividend Option]]="CASH","22"))</f>
        <v>22</v>
      </c>
      <c r="V193" s="200"/>
    </row>
    <row r="194" spans="1:22">
      <c r="A194" s="188">
        <v>2026</v>
      </c>
      <c r="B194" s="188">
        <v>1</v>
      </c>
      <c r="C194" s="188">
        <v>1</v>
      </c>
      <c r="D194" s="189">
        <f t="shared" si="40"/>
        <v>46023</v>
      </c>
      <c r="E194" s="188">
        <v>2025</v>
      </c>
      <c r="F194" s="247">
        <v>46069</v>
      </c>
      <c r="G194" s="188" t="s">
        <v>84</v>
      </c>
      <c r="H194" s="190" t="str">
        <f>_xlfn.XLOOKUP(DivAndTax[[#This Row],[Investor ID]],INVESTORS_LIST[INVESTOR CODE],INVESTORS_LIST[INVESTOR NAME])</f>
        <v>MOHAMMAD SAYDUZZAMAN</v>
      </c>
      <c r="I194" s="8" t="str">
        <f>_xlfn.XLOOKUP(DivAndTax[[#This Row],[Investor ID]],INVESTORS_LIST[INVESTOR CODE],INVESTORS_LIST[TYPE OF INVESTOR])</f>
        <v>Individual</v>
      </c>
      <c r="J194" s="191">
        <v>31995</v>
      </c>
      <c r="K194" s="192">
        <v>0.35</v>
      </c>
      <c r="L194" s="192">
        <f>DivAndTax[[#This Row],[Total Units]]*DivAndTax[[#This Row],[Dividend Per Unit]]</f>
        <v>11198.25</v>
      </c>
      <c r="M194" s="192">
        <f>DivAndTax[[#This Row],[Gross Dividend]]</f>
        <v>11198.25</v>
      </c>
      <c r="N194" s="193" cm="1">
        <f t="array" ref="N19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94" s="192">
        <f>ROUND(IF((DivAndTax[[#This Row],[Taxable Dividend]]*DivAndTax[[#This Row],[Tax Rate
(If Applicable)]])&gt;0,DivAndTax[[#This Row],[Taxable Dividend]]*DivAndTax[[#This Row],[Tax Rate
(If Applicable)]],0),2)</f>
        <v>1119.83</v>
      </c>
      <c r="P194" s="192">
        <f t="shared" si="41"/>
        <v>10078.42</v>
      </c>
      <c r="Q194" s="194" t="s">
        <v>1154</v>
      </c>
      <c r="R194" s="192" t="s">
        <v>1139</v>
      </c>
      <c r="S194" s="192"/>
      <c r="T194" s="192" t="str">
        <f>DivAndTax[[#This Row],[Investor ID]]&amp;"-"&amp;(RIGHT(DivAndTax[[#This Row],[Accounting Year]],2))</f>
        <v>A00076-25</v>
      </c>
      <c r="U194" s="192" t="str">
        <f>IF(DivAndTax[[#This Row],[Dividend Option]]="CIP","11",IF(DivAndTax[[#This Row],[Dividend Option]]="CASH","22"))</f>
        <v>11</v>
      </c>
      <c r="V194" s="200"/>
    </row>
    <row r="195" spans="1:22">
      <c r="A195" s="188">
        <v>2026</v>
      </c>
      <c r="B195" s="188">
        <v>1</v>
      </c>
      <c r="C195" s="188">
        <v>1</v>
      </c>
      <c r="D195" s="189">
        <f t="shared" si="40"/>
        <v>46023</v>
      </c>
      <c r="E195" s="188">
        <v>2025</v>
      </c>
      <c r="F195" s="247">
        <v>46069</v>
      </c>
      <c r="G195" s="188" t="s">
        <v>85</v>
      </c>
      <c r="H195" s="190" t="str">
        <f>_xlfn.XLOOKUP(DivAndTax[[#This Row],[Investor ID]],INVESTORS_LIST[INVESTOR CODE],INVESTORS_LIST[INVESTOR NAME])</f>
        <v>JHARNA RANI SAHA</v>
      </c>
      <c r="I195" s="8" t="str">
        <f>_xlfn.XLOOKUP(DivAndTax[[#This Row],[Investor ID]],INVESTORS_LIST[INVESTOR CODE],INVESTORS_LIST[TYPE OF INVESTOR])</f>
        <v>Individual</v>
      </c>
      <c r="J195" s="191">
        <v>15998</v>
      </c>
      <c r="K195" s="192">
        <v>0.35</v>
      </c>
      <c r="L195" s="192">
        <f>DivAndTax[[#This Row],[Total Units]]*DivAndTax[[#This Row],[Dividend Per Unit]]</f>
        <v>5599.2999999999993</v>
      </c>
      <c r="M195" s="192">
        <f>DivAndTax[[#This Row],[Gross Dividend]]</f>
        <v>5599.2999999999993</v>
      </c>
      <c r="N195" s="193" cm="1">
        <f t="array" ref="N19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95" s="192">
        <f>ROUND(IF((DivAndTax[[#This Row],[Taxable Dividend]]*DivAndTax[[#This Row],[Tax Rate
(If Applicable)]])&gt;0,DivAndTax[[#This Row],[Taxable Dividend]]*DivAndTax[[#This Row],[Tax Rate
(If Applicable)]],0),2)</f>
        <v>559.92999999999995</v>
      </c>
      <c r="P195" s="192">
        <f t="shared" si="41"/>
        <v>5039.369999999999</v>
      </c>
      <c r="Q195" s="194" t="s">
        <v>1155</v>
      </c>
      <c r="R195" s="192" t="s">
        <v>1139</v>
      </c>
      <c r="S195" s="192"/>
      <c r="T195" s="192" t="str">
        <f>DivAndTax[[#This Row],[Investor ID]]&amp;"-"&amp;(RIGHT(DivAndTax[[#This Row],[Accounting Year]],2))</f>
        <v>A00077-25</v>
      </c>
      <c r="U195" s="192" t="str">
        <f>IF(DivAndTax[[#This Row],[Dividend Option]]="CIP","11",IF(DivAndTax[[#This Row],[Dividend Option]]="CASH","22"))</f>
        <v>11</v>
      </c>
      <c r="V195" s="200"/>
    </row>
    <row r="196" spans="1:22">
      <c r="A196" s="188">
        <v>2026</v>
      </c>
      <c r="B196" s="188">
        <v>1</v>
      </c>
      <c r="C196" s="188">
        <v>1</v>
      </c>
      <c r="D196" s="189">
        <f>IFERROR(DATE(A196,B196,C196)," ")</f>
        <v>46023</v>
      </c>
      <c r="E196" s="188">
        <v>2025</v>
      </c>
      <c r="F196" s="247">
        <v>46097</v>
      </c>
      <c r="G196" s="188" t="s">
        <v>89</v>
      </c>
      <c r="H196" s="190" t="str">
        <f>_xlfn.XLOOKUP(DivAndTax[[#This Row],[Investor ID]],INVESTORS_LIST[INVESTOR CODE],INVESTORS_LIST[INVESTOR NAME])</f>
        <v>COMMUNITY BANK BANGLADESH LIMITED</v>
      </c>
      <c r="I196" s="8" t="str">
        <f>_xlfn.XLOOKUP(DivAndTax[[#This Row],[Investor ID]],INVESTORS_LIST[INVESTOR CODE],INVESTORS_LIST[TYPE OF INVESTOR])</f>
        <v>Company/Organization</v>
      </c>
      <c r="J196" s="191">
        <v>500000</v>
      </c>
      <c r="K196" s="192">
        <v>0.35</v>
      </c>
      <c r="L196" s="192">
        <f>DivAndTax[[#This Row],[Total Units]]*DivAndTax[[#This Row],[Dividend Per Unit]]</f>
        <v>175000</v>
      </c>
      <c r="M196" s="192">
        <f>DivAndTax[[#This Row],[Gross Dividend]]</f>
        <v>175000</v>
      </c>
      <c r="N196" s="193" cm="1">
        <f t="array" ref="N19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196" s="192">
        <f>ROUND(IF((DivAndTax[[#This Row],[Taxable Dividend]]*DivAndTax[[#This Row],[Tax Rate
(If Applicable)]])&gt;0,DivAndTax[[#This Row],[Taxable Dividend]]*DivAndTax[[#This Row],[Tax Rate
(If Applicable)]],0),2)</f>
        <v>35000</v>
      </c>
      <c r="P196" s="192">
        <f>L196-O196</f>
        <v>140000</v>
      </c>
      <c r="Q196" s="194" t="s">
        <v>1146</v>
      </c>
      <c r="R196" s="192" t="s">
        <v>1141</v>
      </c>
      <c r="S196" s="192"/>
      <c r="T196" s="192" t="str">
        <f>DivAndTax[[#This Row],[Investor ID]]&amp;"-"&amp;(RIGHT(DivAndTax[[#This Row],[Accounting Year]],2))</f>
        <v>A00081-25</v>
      </c>
      <c r="U196" s="192" t="str">
        <f>IF(DivAndTax[[#This Row],[Dividend Option]]="CIP","11",IF(DivAndTax[[#This Row],[Dividend Option]]="CASH","22"))</f>
        <v>22</v>
      </c>
      <c r="V196" s="200"/>
    </row>
    <row r="197" spans="1:22">
      <c r="A197" s="188">
        <v>2026</v>
      </c>
      <c r="B197" s="188">
        <v>1</v>
      </c>
      <c r="C197" s="188">
        <v>1</v>
      </c>
      <c r="D197" s="189">
        <f t="shared" ref="D197:D198" si="42">IFERROR(DATE(A197,B197,C197)," ")</f>
        <v>46023</v>
      </c>
      <c r="E197" s="188">
        <v>2025</v>
      </c>
      <c r="F197" s="247">
        <v>46069</v>
      </c>
      <c r="G197" s="188" t="s">
        <v>95</v>
      </c>
      <c r="H197" s="190" t="str">
        <f>_xlfn.XLOOKUP(DivAndTax[[#This Row],[Investor ID]],INVESTORS_LIST[INVESTOR CODE],INVESTORS_LIST[INVESTOR NAME])</f>
        <v>MD. ARIFUL ISLAM</v>
      </c>
      <c r="I197" s="8" t="str">
        <f>_xlfn.XLOOKUP(DivAndTax[[#This Row],[Investor ID]],INVESTORS_LIST[INVESTOR CODE],INVESTORS_LIST[TYPE OF INVESTOR])</f>
        <v>Individual</v>
      </c>
      <c r="J197" s="191">
        <v>503976</v>
      </c>
      <c r="K197" s="192">
        <v>0.35</v>
      </c>
      <c r="L197" s="192">
        <f>DivAndTax[[#This Row],[Total Units]]*DivAndTax[[#This Row],[Dividend Per Unit]]</f>
        <v>176391.59999999998</v>
      </c>
      <c r="M197" s="192">
        <f>DivAndTax[[#This Row],[Gross Dividend]]</f>
        <v>176391.59999999998</v>
      </c>
      <c r="N197" s="193" cm="1">
        <f t="array" ref="N19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97" s="192">
        <f>ROUND(IF((DivAndTax[[#This Row],[Taxable Dividend]]*DivAndTax[[#This Row],[Tax Rate
(If Applicable)]])&gt;0,DivAndTax[[#This Row],[Taxable Dividend]]*DivAndTax[[#This Row],[Tax Rate
(If Applicable)]],0),2)</f>
        <v>17639.16</v>
      </c>
      <c r="P197" s="192">
        <f t="shared" ref="P197:P198" si="43">L197-O197</f>
        <v>158752.43999999997</v>
      </c>
      <c r="Q197" s="194" t="s">
        <v>1156</v>
      </c>
      <c r="R197" s="192" t="s">
        <v>1139</v>
      </c>
      <c r="S197" s="192"/>
      <c r="T197" s="192" t="str">
        <f>DivAndTax[[#This Row],[Investor ID]]&amp;"-"&amp;(RIGHT(DivAndTax[[#This Row],[Accounting Year]],2))</f>
        <v>A00087-25</v>
      </c>
      <c r="U197" s="192" t="str">
        <f>IF(DivAndTax[[#This Row],[Dividend Option]]="CIP","11",IF(DivAndTax[[#This Row],[Dividend Option]]="CASH","22"))</f>
        <v>11</v>
      </c>
      <c r="V197" s="200"/>
    </row>
    <row r="198" spans="1:22">
      <c r="A198" s="188">
        <v>2026</v>
      </c>
      <c r="B198" s="188">
        <v>1</v>
      </c>
      <c r="C198" s="188">
        <v>1</v>
      </c>
      <c r="D198" s="189">
        <f t="shared" si="42"/>
        <v>46023</v>
      </c>
      <c r="E198" s="188">
        <v>2025</v>
      </c>
      <c r="F198" s="247">
        <v>46069</v>
      </c>
      <c r="G198" s="188" t="s">
        <v>96</v>
      </c>
      <c r="H198" s="190" t="str">
        <f>_xlfn.XLOOKUP(DivAndTax[[#This Row],[Investor ID]],INVESTORS_LIST[INVESTOR CODE],INVESTORS_LIST[INVESTOR NAME])</f>
        <v>MAYA RANI SAHA</v>
      </c>
      <c r="I198" s="8" t="str">
        <f>_xlfn.XLOOKUP(DivAndTax[[#This Row],[Investor ID]],INVESTORS_LIST[INVESTOR CODE],INVESTORS_LIST[TYPE OF INVESTOR])</f>
        <v>Individual</v>
      </c>
      <c r="J198" s="191">
        <v>104423</v>
      </c>
      <c r="K198" s="192">
        <v>0.35</v>
      </c>
      <c r="L198" s="192">
        <f>DivAndTax[[#This Row],[Total Units]]*DivAndTax[[#This Row],[Dividend Per Unit]]</f>
        <v>36548.049999999996</v>
      </c>
      <c r="M198" s="192">
        <f>DivAndTax[[#This Row],[Gross Dividend]]</f>
        <v>36548.049999999996</v>
      </c>
      <c r="N198" s="193" cm="1">
        <f t="array" ref="N19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98" s="192">
        <f>ROUND(IF((DivAndTax[[#This Row],[Taxable Dividend]]*DivAndTax[[#This Row],[Tax Rate
(If Applicable)]])&gt;0,DivAndTax[[#This Row],[Taxable Dividend]]*DivAndTax[[#This Row],[Tax Rate
(If Applicable)]],0),2)</f>
        <v>3654.81</v>
      </c>
      <c r="P198" s="192">
        <f t="shared" si="43"/>
        <v>32893.24</v>
      </c>
      <c r="Q198" s="194" t="s">
        <v>1157</v>
      </c>
      <c r="R198" s="192" t="s">
        <v>1139</v>
      </c>
      <c r="S198" s="192"/>
      <c r="T198" s="192" t="str">
        <f>DivAndTax[[#This Row],[Investor ID]]&amp;"-"&amp;(RIGHT(DivAndTax[[#This Row],[Accounting Year]],2))</f>
        <v>A00088-25</v>
      </c>
      <c r="U198" s="192" t="str">
        <f>IF(DivAndTax[[#This Row],[Dividend Option]]="CIP","11",IF(DivAndTax[[#This Row],[Dividend Option]]="CASH","22"))</f>
        <v>11</v>
      </c>
      <c r="V198" s="200"/>
    </row>
    <row r="199" spans="1:22">
      <c r="A199" s="188">
        <v>2026</v>
      </c>
      <c r="B199" s="188">
        <v>1</v>
      </c>
      <c r="C199" s="188">
        <v>1</v>
      </c>
      <c r="D199" s="189">
        <f t="shared" ref="D199:D202" si="44">IFERROR(DATE(A199,B199,C199)," ")</f>
        <v>46023</v>
      </c>
      <c r="E199" s="188">
        <v>2025</v>
      </c>
      <c r="F199" s="247">
        <v>46069</v>
      </c>
      <c r="G199" s="188" t="s">
        <v>106</v>
      </c>
      <c r="H199" s="190" t="str">
        <f>_xlfn.XLOOKUP(DivAndTax[[#This Row],[Investor ID]],INVESTORS_LIST[INVESTOR CODE],INVESTORS_LIST[INVESTOR NAME])</f>
        <v>SYED ADNAN HUDA</v>
      </c>
      <c r="I199" s="8" t="str">
        <f>_xlfn.XLOOKUP(DivAndTax[[#This Row],[Investor ID]],INVESTORS_LIST[INVESTOR CODE],INVESTORS_LIST[TYPE OF INVESTOR])</f>
        <v>Individual</v>
      </c>
      <c r="J199" s="191">
        <v>319956</v>
      </c>
      <c r="K199" s="192">
        <v>0.35</v>
      </c>
      <c r="L199" s="192">
        <f>DivAndTax[[#This Row],[Total Units]]*DivAndTax[[#This Row],[Dividend Per Unit]]</f>
        <v>111984.59999999999</v>
      </c>
      <c r="M199" s="192">
        <f>DivAndTax[[#This Row],[Gross Dividend]]</f>
        <v>111984.59999999999</v>
      </c>
      <c r="N199" s="193" cm="1">
        <f t="array" ref="N19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199" s="192">
        <f>ROUND(IF((DivAndTax[[#This Row],[Taxable Dividend]]*DivAndTax[[#This Row],[Tax Rate
(If Applicable)]])&gt;0,DivAndTax[[#This Row],[Taxable Dividend]]*DivAndTax[[#This Row],[Tax Rate
(If Applicable)]],0),2)</f>
        <v>11198.46</v>
      </c>
      <c r="P199" s="192">
        <f t="shared" ref="P199:P202" si="45">L199-O199</f>
        <v>100786.13999999998</v>
      </c>
      <c r="Q199" s="194" t="s">
        <v>1158</v>
      </c>
      <c r="R199" s="192" t="s">
        <v>1139</v>
      </c>
      <c r="S199" s="192"/>
      <c r="T199" s="192" t="str">
        <f>DivAndTax[[#This Row],[Investor ID]]&amp;"-"&amp;(RIGHT(DivAndTax[[#This Row],[Accounting Year]],2))</f>
        <v>A00094-25</v>
      </c>
      <c r="U199" s="192" t="str">
        <f>IF(DivAndTax[[#This Row],[Dividend Option]]="CIP","11",IF(DivAndTax[[#This Row],[Dividend Option]]="CASH","22"))</f>
        <v>11</v>
      </c>
      <c r="V199" s="200"/>
    </row>
    <row r="200" spans="1:22">
      <c r="A200" s="188">
        <v>2026</v>
      </c>
      <c r="B200" s="188">
        <v>1</v>
      </c>
      <c r="C200" s="188">
        <v>1</v>
      </c>
      <c r="D200" s="189">
        <f t="shared" si="44"/>
        <v>46023</v>
      </c>
      <c r="E200" s="188">
        <v>2025</v>
      </c>
      <c r="F200" s="247">
        <v>46097</v>
      </c>
      <c r="G200" s="188" t="s">
        <v>108</v>
      </c>
      <c r="H200" s="190" t="str">
        <f>_xlfn.XLOOKUP(DivAndTax[[#This Row],[Investor ID]],INVESTORS_LIST[INVESTOR CODE],INVESTORS_LIST[INVESTOR NAME])</f>
        <v>CHAONIKA SAHA</v>
      </c>
      <c r="I200" s="8" t="str">
        <f>_xlfn.XLOOKUP(DivAndTax[[#This Row],[Investor ID]],INVESTORS_LIST[INVESTOR CODE],INVESTORS_LIST[TYPE OF INVESTOR])</f>
        <v>Individual</v>
      </c>
      <c r="J200" s="191">
        <v>13575</v>
      </c>
      <c r="K200" s="192">
        <v>0.35</v>
      </c>
      <c r="L200" s="192">
        <f>DivAndTax[[#This Row],[Total Units]]*DivAndTax[[#This Row],[Dividend Per Unit]]</f>
        <v>4751.25</v>
      </c>
      <c r="M200" s="192">
        <f>DivAndTax[[#This Row],[Gross Dividend]]</f>
        <v>4751.25</v>
      </c>
      <c r="N200" s="193" cm="1">
        <f t="array" ref="N20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00" s="192">
        <f>ROUND(IF((DivAndTax[[#This Row],[Taxable Dividend]]*DivAndTax[[#This Row],[Tax Rate
(If Applicable)]])&gt;0,DivAndTax[[#This Row],[Taxable Dividend]]*DivAndTax[[#This Row],[Tax Rate
(If Applicable)]],0),2)</f>
        <v>712.69</v>
      </c>
      <c r="P200" s="192">
        <f t="shared" si="45"/>
        <v>4038.56</v>
      </c>
      <c r="Q200" s="194" t="s">
        <v>1146</v>
      </c>
      <c r="R200" s="192" t="s">
        <v>1141</v>
      </c>
      <c r="S200" s="192"/>
      <c r="T200" s="192" t="str">
        <f>DivAndTax[[#This Row],[Investor ID]]&amp;"-"&amp;(RIGHT(DivAndTax[[#This Row],[Accounting Year]],2))</f>
        <v>A00095-25</v>
      </c>
      <c r="U200" s="192" t="str">
        <f>IF(DivAndTax[[#This Row],[Dividend Option]]="CIP","11",IF(DivAndTax[[#This Row],[Dividend Option]]="CASH","22"))</f>
        <v>22</v>
      </c>
      <c r="V200" s="200"/>
    </row>
    <row r="201" spans="1:22">
      <c r="A201" s="188">
        <v>2026</v>
      </c>
      <c r="B201" s="188">
        <v>1</v>
      </c>
      <c r="C201" s="188">
        <v>1</v>
      </c>
      <c r="D201" s="189">
        <f t="shared" si="44"/>
        <v>46023</v>
      </c>
      <c r="E201" s="188">
        <v>2025</v>
      </c>
      <c r="F201" s="247">
        <v>46097</v>
      </c>
      <c r="G201" s="188" t="s">
        <v>110</v>
      </c>
      <c r="H201" s="190" t="str">
        <f>_xlfn.XLOOKUP(DivAndTax[[#This Row],[Investor ID]],INVESTORS_LIST[INVESTOR CODE],INVESTORS_LIST[INVESTOR NAME])</f>
        <v>SK FEROZ ALAM</v>
      </c>
      <c r="I201" s="8" t="str">
        <f>_xlfn.XLOOKUP(DivAndTax[[#This Row],[Investor ID]],INVESTORS_LIST[INVESTOR CODE],INVESTORS_LIST[TYPE OF INVESTOR])</f>
        <v>Individual</v>
      </c>
      <c r="J201" s="191">
        <v>413</v>
      </c>
      <c r="K201" s="192">
        <v>0.35</v>
      </c>
      <c r="L201" s="192">
        <f>DivAndTax[[#This Row],[Total Units]]*DivAndTax[[#This Row],[Dividend Per Unit]]</f>
        <v>144.54999999999998</v>
      </c>
      <c r="M201" s="192">
        <f>DivAndTax[[#This Row],[Gross Dividend]]</f>
        <v>144.54999999999998</v>
      </c>
      <c r="N201" s="193" cm="1">
        <f t="array" ref="N20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01" s="192">
        <f>ROUND(IF((DivAndTax[[#This Row],[Taxable Dividend]]*DivAndTax[[#This Row],[Tax Rate
(If Applicable)]])&gt;0,DivAndTax[[#This Row],[Taxable Dividend]]*DivAndTax[[#This Row],[Tax Rate
(If Applicable)]],0),2)</f>
        <v>14.46</v>
      </c>
      <c r="P201" s="192">
        <f t="shared" si="45"/>
        <v>130.08999999999997</v>
      </c>
      <c r="Q201" s="194" t="s">
        <v>1616</v>
      </c>
      <c r="R201" s="192" t="s">
        <v>1141</v>
      </c>
      <c r="S201" s="192"/>
      <c r="T201" s="192" t="str">
        <f>DivAndTax[[#This Row],[Investor ID]]&amp;"-"&amp;(RIGHT(DivAndTax[[#This Row],[Accounting Year]],2))</f>
        <v>A00096-25</v>
      </c>
      <c r="U201" s="192" t="str">
        <f>IF(DivAndTax[[#This Row],[Dividend Option]]="CIP","11",IF(DivAndTax[[#This Row],[Dividend Option]]="CASH","22"))</f>
        <v>22</v>
      </c>
      <c r="V201" s="200"/>
    </row>
    <row r="202" spans="1:22">
      <c r="A202" s="188">
        <v>2026</v>
      </c>
      <c r="B202" s="188">
        <v>1</v>
      </c>
      <c r="C202" s="188">
        <v>1</v>
      </c>
      <c r="D202" s="189">
        <f t="shared" si="44"/>
        <v>46023</v>
      </c>
      <c r="E202" s="188">
        <v>2025</v>
      </c>
      <c r="F202" s="247">
        <v>46069</v>
      </c>
      <c r="G202" s="188" t="s">
        <v>111</v>
      </c>
      <c r="H202" s="190" t="str">
        <f>_xlfn.XLOOKUP(DivAndTax[[#This Row],[Investor ID]],INVESTORS_LIST[INVESTOR CODE],INVESTORS_LIST[INVESTOR NAME])</f>
        <v>NANDINI SAHA</v>
      </c>
      <c r="I202" s="8" t="str">
        <f>_xlfn.XLOOKUP(DivAndTax[[#This Row],[Investor ID]],INVESTORS_LIST[INVESTOR CODE],INVESTORS_LIST[TYPE OF INVESTOR])</f>
        <v>Individual</v>
      </c>
      <c r="J202" s="191">
        <v>171497</v>
      </c>
      <c r="K202" s="192">
        <v>0.35</v>
      </c>
      <c r="L202" s="192">
        <f>DivAndTax[[#This Row],[Total Units]]*DivAndTax[[#This Row],[Dividend Per Unit]]</f>
        <v>60023.95</v>
      </c>
      <c r="M202" s="192">
        <f>DivAndTax[[#This Row],[Gross Dividend]]</f>
        <v>60023.95</v>
      </c>
      <c r="N202" s="193" cm="1">
        <f t="array" ref="N20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02" s="192">
        <f>ROUND(IF((DivAndTax[[#This Row],[Taxable Dividend]]*DivAndTax[[#This Row],[Tax Rate
(If Applicable)]])&gt;0,DivAndTax[[#This Row],[Taxable Dividend]]*DivAndTax[[#This Row],[Tax Rate
(If Applicable)]],0),2)</f>
        <v>9003.59</v>
      </c>
      <c r="P202" s="192">
        <f t="shared" si="45"/>
        <v>51020.36</v>
      </c>
      <c r="Q202" s="194" t="s">
        <v>1146</v>
      </c>
      <c r="R202" s="192" t="s">
        <v>1139</v>
      </c>
      <c r="S202" s="192"/>
      <c r="T202" s="192" t="str">
        <f>DivAndTax[[#This Row],[Investor ID]]&amp;"-"&amp;(RIGHT(DivAndTax[[#This Row],[Accounting Year]],2))</f>
        <v>A00097-25</v>
      </c>
      <c r="U202" s="192" t="str">
        <f>IF(DivAndTax[[#This Row],[Dividend Option]]="CIP","11",IF(DivAndTax[[#This Row],[Dividend Option]]="CASH","22"))</f>
        <v>11</v>
      </c>
      <c r="V202" s="200"/>
    </row>
    <row r="203" spans="1:22">
      <c r="A203" s="188">
        <v>2026</v>
      </c>
      <c r="B203" s="188">
        <v>1</v>
      </c>
      <c r="C203" s="188">
        <v>1</v>
      </c>
      <c r="D203" s="189">
        <f t="shared" ref="D203:D209" si="46">IFERROR(DATE(A203,B203,C203)," ")</f>
        <v>46023</v>
      </c>
      <c r="E203" s="188">
        <v>2025</v>
      </c>
      <c r="F203" s="247">
        <v>46069</v>
      </c>
      <c r="G203" s="188" t="s">
        <v>142</v>
      </c>
      <c r="H203" s="190" t="str">
        <f>_xlfn.XLOOKUP(DivAndTax[[#This Row],[Investor ID]],INVESTORS_LIST[INVESTOR CODE],INVESTORS_LIST[INVESTOR NAME])</f>
        <v>MD. MONIRUZZAMAN</v>
      </c>
      <c r="I203" s="8" t="str">
        <f>_xlfn.XLOOKUP(DivAndTax[[#This Row],[Investor ID]],INVESTORS_LIST[INVESTOR CODE],INVESTORS_LIST[TYPE OF INVESTOR])</f>
        <v>Individual</v>
      </c>
      <c r="J203" s="191">
        <v>21255</v>
      </c>
      <c r="K203" s="192">
        <v>0.35</v>
      </c>
      <c r="L203" s="192">
        <f>DivAndTax[[#This Row],[Total Units]]*DivAndTax[[#This Row],[Dividend Per Unit]]</f>
        <v>7439.2499999999991</v>
      </c>
      <c r="M203" s="192">
        <f>DivAndTax[[#This Row],[Gross Dividend]]</f>
        <v>7439.2499999999991</v>
      </c>
      <c r="N203" s="193" cm="1">
        <f t="array" ref="N20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03" s="192">
        <f>ROUND(IF((DivAndTax[[#This Row],[Taxable Dividend]]*DivAndTax[[#This Row],[Tax Rate
(If Applicable)]])&gt;0,DivAndTax[[#This Row],[Taxable Dividend]]*DivAndTax[[#This Row],[Tax Rate
(If Applicable)]],0),2)</f>
        <v>1115.8900000000001</v>
      </c>
      <c r="P203" s="192">
        <f t="shared" ref="P203:P209" si="47">L203-O203</f>
        <v>6323.3599999999988</v>
      </c>
      <c r="Q203" s="194" t="s">
        <v>1146</v>
      </c>
      <c r="R203" s="192" t="s">
        <v>1139</v>
      </c>
      <c r="S203" s="192"/>
      <c r="T203" s="192" t="str">
        <f>DivAndTax[[#This Row],[Investor ID]]&amp;"-"&amp;(RIGHT(DivAndTax[[#This Row],[Accounting Year]],2))</f>
        <v>A00113-25</v>
      </c>
      <c r="U203" s="192" t="str">
        <f>IF(DivAndTax[[#This Row],[Dividend Option]]="CIP","11",IF(DivAndTax[[#This Row],[Dividend Option]]="CASH","22"))</f>
        <v>11</v>
      </c>
      <c r="V203" s="200"/>
    </row>
    <row r="204" spans="1:22">
      <c r="A204" s="188">
        <v>2026</v>
      </c>
      <c r="B204" s="188">
        <v>1</v>
      </c>
      <c r="C204" s="188">
        <v>1</v>
      </c>
      <c r="D204" s="189">
        <f t="shared" si="46"/>
        <v>46023</v>
      </c>
      <c r="E204" s="188">
        <v>2025</v>
      </c>
      <c r="F204" s="247">
        <v>46069</v>
      </c>
      <c r="G204" s="188" t="s">
        <v>145</v>
      </c>
      <c r="H204" s="190" t="str">
        <f>_xlfn.XLOOKUP(DivAndTax[[#This Row],[Investor ID]],INVESTORS_LIST[INVESTOR CODE],INVESTORS_LIST[INVESTOR NAME])</f>
        <v>ARIFUR RAHMAN</v>
      </c>
      <c r="I204" s="8" t="str">
        <f>_xlfn.XLOOKUP(DivAndTax[[#This Row],[Investor ID]],INVESTORS_LIST[INVESTOR CODE],INVESTORS_LIST[TYPE OF INVESTOR])</f>
        <v>Individual</v>
      </c>
      <c r="J204" s="191">
        <v>18757</v>
      </c>
      <c r="K204" s="192">
        <v>0.35</v>
      </c>
      <c r="L204" s="192">
        <f>DivAndTax[[#This Row],[Total Units]]*DivAndTax[[#This Row],[Dividend Per Unit]]</f>
        <v>6564.95</v>
      </c>
      <c r="M204" s="192">
        <f>DivAndTax[[#This Row],[Gross Dividend]]</f>
        <v>6564.95</v>
      </c>
      <c r="N204" s="193" cm="1">
        <f t="array" ref="N20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04" s="192">
        <f>ROUND(IF((DivAndTax[[#This Row],[Taxable Dividend]]*DivAndTax[[#This Row],[Tax Rate
(If Applicable)]])&gt;0,DivAndTax[[#This Row],[Taxable Dividend]]*DivAndTax[[#This Row],[Tax Rate
(If Applicable)]],0),2)</f>
        <v>656.5</v>
      </c>
      <c r="P204" s="192">
        <f t="shared" si="47"/>
        <v>5908.45</v>
      </c>
      <c r="Q204" s="194" t="s">
        <v>1159</v>
      </c>
      <c r="R204" s="192" t="s">
        <v>1139</v>
      </c>
      <c r="S204" s="192"/>
      <c r="T204" s="192" t="str">
        <f>DivAndTax[[#This Row],[Investor ID]]&amp;"-"&amp;(RIGHT(DivAndTax[[#This Row],[Accounting Year]],2))</f>
        <v>A00115-25</v>
      </c>
      <c r="U204" s="192" t="str">
        <f>IF(DivAndTax[[#This Row],[Dividend Option]]="CIP","11",IF(DivAndTax[[#This Row],[Dividend Option]]="CASH","22"))</f>
        <v>11</v>
      </c>
      <c r="V204" s="200"/>
    </row>
    <row r="205" spans="1:22">
      <c r="A205" s="188">
        <v>2026</v>
      </c>
      <c r="B205" s="188">
        <v>1</v>
      </c>
      <c r="C205" s="188">
        <v>1</v>
      </c>
      <c r="D205" s="189">
        <f t="shared" si="46"/>
        <v>46023</v>
      </c>
      <c r="E205" s="188">
        <v>2025</v>
      </c>
      <c r="F205" s="247">
        <v>46069</v>
      </c>
      <c r="G205" s="188" t="s">
        <v>153</v>
      </c>
      <c r="H205" s="190" t="str">
        <f>_xlfn.XLOOKUP(DivAndTax[[#This Row],[Investor ID]],INVESTORS_LIST[INVESTOR CODE],INVESTORS_LIST[INVESTOR NAME])</f>
        <v>SUHAIEB CHOWDHURY</v>
      </c>
      <c r="I205" s="8" t="str">
        <f>_xlfn.XLOOKUP(DivAndTax[[#This Row],[Investor ID]],INVESTORS_LIST[INVESTOR CODE],INVESTORS_LIST[TYPE OF INVESTOR])</f>
        <v>Individual</v>
      </c>
      <c r="J205" s="191">
        <v>300000</v>
      </c>
      <c r="K205" s="192">
        <v>0.35</v>
      </c>
      <c r="L205" s="192">
        <f>DivAndTax[[#This Row],[Total Units]]*DivAndTax[[#This Row],[Dividend Per Unit]]</f>
        <v>105000</v>
      </c>
      <c r="M205" s="192">
        <f>DivAndTax[[#This Row],[Gross Dividend]]</f>
        <v>105000</v>
      </c>
      <c r="N205" s="193" cm="1">
        <f t="array" ref="N20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05" s="192">
        <f>ROUND(IF((DivAndTax[[#This Row],[Taxable Dividend]]*DivAndTax[[#This Row],[Tax Rate
(If Applicable)]])&gt;0,DivAndTax[[#This Row],[Taxable Dividend]]*DivAndTax[[#This Row],[Tax Rate
(If Applicable)]],0),2)</f>
        <v>10500</v>
      </c>
      <c r="P205" s="192">
        <f t="shared" si="47"/>
        <v>94500</v>
      </c>
      <c r="Q205" s="194" t="s">
        <v>1617</v>
      </c>
      <c r="R205" s="192" t="s">
        <v>1139</v>
      </c>
      <c r="S205" s="192"/>
      <c r="T205" s="192" t="str">
        <f>DivAndTax[[#This Row],[Investor ID]]&amp;"-"&amp;(RIGHT(DivAndTax[[#This Row],[Accounting Year]],2))</f>
        <v>A00120-25</v>
      </c>
      <c r="U205" s="192" t="str">
        <f>IF(DivAndTax[[#This Row],[Dividend Option]]="CIP","11",IF(DivAndTax[[#This Row],[Dividend Option]]="CASH","22"))</f>
        <v>11</v>
      </c>
      <c r="V205" s="200"/>
    </row>
    <row r="206" spans="1:22">
      <c r="A206" s="188">
        <v>2026</v>
      </c>
      <c r="B206" s="188">
        <v>1</v>
      </c>
      <c r="C206" s="188">
        <v>1</v>
      </c>
      <c r="D206" s="189">
        <f t="shared" si="46"/>
        <v>46023</v>
      </c>
      <c r="E206" s="188">
        <v>2025</v>
      </c>
      <c r="F206" s="247">
        <v>46069</v>
      </c>
      <c r="G206" s="188" t="s">
        <v>171</v>
      </c>
      <c r="H206" s="190" t="str">
        <f>_xlfn.XLOOKUP(DivAndTax[[#This Row],[Investor ID]],INVESTORS_LIST[INVESTOR CODE],INVESTORS_LIST[INVESTOR NAME])</f>
        <v>ASMA UL HUSNA</v>
      </c>
      <c r="I206" s="8" t="str">
        <f>_xlfn.XLOOKUP(DivAndTax[[#This Row],[Investor ID]],INVESTORS_LIST[INVESTOR CODE],INVESTORS_LIST[TYPE OF INVESTOR])</f>
        <v>Individual</v>
      </c>
      <c r="J206" s="191">
        <v>75922</v>
      </c>
      <c r="K206" s="192">
        <v>0.35</v>
      </c>
      <c r="L206" s="192">
        <f>DivAndTax[[#This Row],[Total Units]]*DivAndTax[[#This Row],[Dividend Per Unit]]</f>
        <v>26572.699999999997</v>
      </c>
      <c r="M206" s="192">
        <f>DivAndTax[[#This Row],[Gross Dividend]]</f>
        <v>26572.699999999997</v>
      </c>
      <c r="N206" s="193" cm="1">
        <f t="array" ref="N20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06" s="192">
        <f>ROUND(IF((DivAndTax[[#This Row],[Taxable Dividend]]*DivAndTax[[#This Row],[Tax Rate
(If Applicable)]])&gt;0,DivAndTax[[#This Row],[Taxable Dividend]]*DivAndTax[[#This Row],[Tax Rate
(If Applicable)]],0),2)</f>
        <v>2657.27</v>
      </c>
      <c r="P206" s="192">
        <f t="shared" si="47"/>
        <v>23915.429999999997</v>
      </c>
      <c r="Q206" s="194" t="s">
        <v>1618</v>
      </c>
      <c r="R206" s="192" t="s">
        <v>1139</v>
      </c>
      <c r="S206" s="192"/>
      <c r="T206" s="192" t="str">
        <f>DivAndTax[[#This Row],[Investor ID]]&amp;"-"&amp;(RIGHT(DivAndTax[[#This Row],[Accounting Year]],2))</f>
        <v>A00138-25</v>
      </c>
      <c r="U206" s="192" t="str">
        <f>IF(DivAndTax[[#This Row],[Dividend Option]]="CIP","11",IF(DivAndTax[[#This Row],[Dividend Option]]="CASH","22"))</f>
        <v>11</v>
      </c>
      <c r="V206" s="200"/>
    </row>
    <row r="207" spans="1:22">
      <c r="A207" s="188">
        <v>2026</v>
      </c>
      <c r="B207" s="188">
        <v>1</v>
      </c>
      <c r="C207" s="188">
        <v>1</v>
      </c>
      <c r="D207" s="189">
        <f t="shared" si="46"/>
        <v>46023</v>
      </c>
      <c r="E207" s="188">
        <v>2025</v>
      </c>
      <c r="F207" s="247">
        <v>46097</v>
      </c>
      <c r="G207" s="188" t="s">
        <v>175</v>
      </c>
      <c r="H207" s="190" t="str">
        <f>_xlfn.XLOOKUP(DivAndTax[[#This Row],[Investor ID]],INVESTORS_LIST[INVESTOR CODE],INVESTORS_LIST[INVESTOR NAME])</f>
        <v>MOHAMMAD NASIR HOSSAIN</v>
      </c>
      <c r="I207" s="8" t="str">
        <f>_xlfn.XLOOKUP(DivAndTax[[#This Row],[Investor ID]],INVESTORS_LIST[INVESTOR CODE],INVESTORS_LIST[TYPE OF INVESTOR])</f>
        <v>Individual</v>
      </c>
      <c r="J207" s="191">
        <v>501</v>
      </c>
      <c r="K207" s="192">
        <v>0.35</v>
      </c>
      <c r="L207" s="192">
        <f>DivAndTax[[#This Row],[Total Units]]*DivAndTax[[#This Row],[Dividend Per Unit]]</f>
        <v>175.35</v>
      </c>
      <c r="M207" s="192">
        <f>DivAndTax[[#This Row],[Gross Dividend]]</f>
        <v>175.35</v>
      </c>
      <c r="N207" s="193" cm="1">
        <f t="array" ref="N20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07" s="192">
        <f>ROUND(IF((DivAndTax[[#This Row],[Taxable Dividend]]*DivAndTax[[#This Row],[Tax Rate
(If Applicable)]])&gt;0,DivAndTax[[#This Row],[Taxable Dividend]]*DivAndTax[[#This Row],[Tax Rate
(If Applicable)]],0),2)</f>
        <v>26.3</v>
      </c>
      <c r="P207" s="192">
        <f t="shared" si="47"/>
        <v>149.04999999999998</v>
      </c>
      <c r="Q207" s="194" t="s">
        <v>1146</v>
      </c>
      <c r="R207" s="192" t="s">
        <v>1141</v>
      </c>
      <c r="S207" s="192"/>
      <c r="T207" s="192" t="str">
        <f>DivAndTax[[#This Row],[Investor ID]]&amp;"-"&amp;(RIGHT(DivAndTax[[#This Row],[Accounting Year]],2))</f>
        <v>A00142-25</v>
      </c>
      <c r="U207" s="192" t="str">
        <f>IF(DivAndTax[[#This Row],[Dividend Option]]="CIP","11",IF(DivAndTax[[#This Row],[Dividend Option]]="CASH","22"))</f>
        <v>22</v>
      </c>
      <c r="V207" s="200"/>
    </row>
    <row r="208" spans="1:22">
      <c r="A208" s="188">
        <v>2026</v>
      </c>
      <c r="B208" s="188">
        <v>1</v>
      </c>
      <c r="C208" s="188">
        <v>1</v>
      </c>
      <c r="D208" s="189">
        <f t="shared" si="46"/>
        <v>46023</v>
      </c>
      <c r="E208" s="188">
        <v>2025</v>
      </c>
      <c r="F208" s="247">
        <v>46097</v>
      </c>
      <c r="G208" s="188" t="s">
        <v>193</v>
      </c>
      <c r="H208" s="190" t="str">
        <f>_xlfn.XLOOKUP(DivAndTax[[#This Row],[Investor ID]],INVESTORS_LIST[INVESTOR CODE],INVESTORS_LIST[INVESTOR NAME])</f>
        <v>FAIYEAD AHMEDUL HYE</v>
      </c>
      <c r="I208" s="8" t="str">
        <f>_xlfn.XLOOKUP(DivAndTax[[#This Row],[Investor ID]],INVESTORS_LIST[INVESTOR CODE],INVESTORS_LIST[TYPE OF INVESTOR])</f>
        <v>Individual</v>
      </c>
      <c r="J208" s="191">
        <v>10000</v>
      </c>
      <c r="K208" s="192">
        <v>0.35</v>
      </c>
      <c r="L208" s="192">
        <f>DivAndTax[[#This Row],[Total Units]]*DivAndTax[[#This Row],[Dividend Per Unit]]</f>
        <v>3500</v>
      </c>
      <c r="M208" s="192">
        <f>DivAndTax[[#This Row],[Gross Dividend]]</f>
        <v>3500</v>
      </c>
      <c r="N208" s="193" cm="1">
        <f t="array" ref="N20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08" s="192">
        <f>ROUND(IF((DivAndTax[[#This Row],[Taxable Dividend]]*DivAndTax[[#This Row],[Tax Rate
(If Applicable)]])&gt;0,DivAndTax[[#This Row],[Taxable Dividend]]*DivAndTax[[#This Row],[Tax Rate
(If Applicable)]],0),2)</f>
        <v>350</v>
      </c>
      <c r="P208" s="192">
        <f t="shared" si="47"/>
        <v>3150</v>
      </c>
      <c r="Q208" s="194" t="s">
        <v>1163</v>
      </c>
      <c r="R208" s="192" t="s">
        <v>1141</v>
      </c>
      <c r="S208" s="192"/>
      <c r="T208" s="192" t="str">
        <f>DivAndTax[[#This Row],[Investor ID]]&amp;"-"&amp;(RIGHT(DivAndTax[[#This Row],[Accounting Year]],2))</f>
        <v>A00160-25</v>
      </c>
      <c r="U208" s="192" t="str">
        <f>IF(DivAndTax[[#This Row],[Dividend Option]]="CIP","11",IF(DivAndTax[[#This Row],[Dividend Option]]="CASH","22"))</f>
        <v>22</v>
      </c>
      <c r="V208" s="200"/>
    </row>
    <row r="209" spans="1:22">
      <c r="A209" s="188">
        <v>2026</v>
      </c>
      <c r="B209" s="188">
        <v>1</v>
      </c>
      <c r="C209" s="188">
        <v>1</v>
      </c>
      <c r="D209" s="189">
        <f t="shared" si="46"/>
        <v>46023</v>
      </c>
      <c r="E209" s="188">
        <v>2025</v>
      </c>
      <c r="F209" s="247">
        <v>46069</v>
      </c>
      <c r="G209" s="188" t="s">
        <v>230</v>
      </c>
      <c r="H209" s="190" t="str">
        <f>_xlfn.XLOOKUP(DivAndTax[[#This Row],[Investor ID]],INVESTORS_LIST[INVESTOR CODE],INVESTORS_LIST[INVESTOR NAME])</f>
        <v>HASIB MUSTABSIR</v>
      </c>
      <c r="I209" s="8" t="str">
        <f>_xlfn.XLOOKUP(DivAndTax[[#This Row],[Investor ID]],INVESTORS_LIST[INVESTOR CODE],INVESTORS_LIST[TYPE OF INVESTOR])</f>
        <v>Individual</v>
      </c>
      <c r="J209" s="191">
        <v>212127</v>
      </c>
      <c r="K209" s="192">
        <v>0.35</v>
      </c>
      <c r="L209" s="192">
        <f>DivAndTax[[#This Row],[Total Units]]*DivAndTax[[#This Row],[Dividend Per Unit]]</f>
        <v>74244.45</v>
      </c>
      <c r="M209" s="192">
        <f>DivAndTax[[#This Row],[Gross Dividend]]</f>
        <v>74244.45</v>
      </c>
      <c r="N209" s="193" cm="1">
        <f t="array" ref="N20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09" s="192">
        <f>ROUND(IF((DivAndTax[[#This Row],[Taxable Dividend]]*DivAndTax[[#This Row],[Tax Rate
(If Applicable)]])&gt;0,DivAndTax[[#This Row],[Taxable Dividend]]*DivAndTax[[#This Row],[Tax Rate
(If Applicable)]],0),2)</f>
        <v>11136.67</v>
      </c>
      <c r="P209" s="192">
        <f t="shared" si="47"/>
        <v>63107.78</v>
      </c>
      <c r="Q209" s="194" t="s">
        <v>1146</v>
      </c>
      <c r="R209" s="192" t="s">
        <v>1139</v>
      </c>
      <c r="S209" s="192"/>
      <c r="T209" s="192" t="str">
        <f>DivAndTax[[#This Row],[Investor ID]]&amp;"-"&amp;(RIGHT(DivAndTax[[#This Row],[Accounting Year]],2))</f>
        <v>A00194-25</v>
      </c>
      <c r="U209" s="192" t="str">
        <f>IF(DivAndTax[[#This Row],[Dividend Option]]="CIP","11",IF(DivAndTax[[#This Row],[Dividend Option]]="CASH","22"))</f>
        <v>11</v>
      </c>
      <c r="V209" s="200"/>
    </row>
    <row r="210" spans="1:22">
      <c r="A210" s="188">
        <v>2026</v>
      </c>
      <c r="B210" s="188">
        <v>1</v>
      </c>
      <c r="C210" s="188">
        <v>1</v>
      </c>
      <c r="D210" s="189">
        <f t="shared" ref="D210:D211" si="48">IFERROR(DATE(A210,B210,C210)," ")</f>
        <v>46023</v>
      </c>
      <c r="E210" s="188">
        <v>2025</v>
      </c>
      <c r="F210" s="247">
        <v>46069</v>
      </c>
      <c r="G210" s="188" t="s">
        <v>236</v>
      </c>
      <c r="H210" s="190" t="str">
        <f>_xlfn.XLOOKUP(DivAndTax[[#This Row],[Investor ID]],INVESTORS_LIST[INVESTOR CODE],INVESTORS_LIST[INVESTOR NAME])</f>
        <v>MD. WALI ULLAH</v>
      </c>
      <c r="I210" s="8" t="str">
        <f>_xlfn.XLOOKUP(DivAndTax[[#This Row],[Investor ID]],INVESTORS_LIST[INVESTOR CODE],INVESTORS_LIST[TYPE OF INVESTOR])</f>
        <v>Individual</v>
      </c>
      <c r="J210" s="191">
        <v>10628</v>
      </c>
      <c r="K210" s="192">
        <v>0.35</v>
      </c>
      <c r="L210" s="192">
        <f>DivAndTax[[#This Row],[Total Units]]*DivAndTax[[#This Row],[Dividend Per Unit]]</f>
        <v>3719.7999999999997</v>
      </c>
      <c r="M210" s="192">
        <f>DivAndTax[[#This Row],[Gross Dividend]]</f>
        <v>3719.7999999999997</v>
      </c>
      <c r="N210" s="193" cm="1">
        <f t="array" ref="N21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10" s="192">
        <f>ROUND(IF((DivAndTax[[#This Row],[Taxable Dividend]]*DivAndTax[[#This Row],[Tax Rate
(If Applicable)]])&gt;0,DivAndTax[[#This Row],[Taxable Dividend]]*DivAndTax[[#This Row],[Tax Rate
(If Applicable)]],0),2)</f>
        <v>557.97</v>
      </c>
      <c r="P210" s="192">
        <f t="shared" ref="P210:P211" si="49">L210-O210</f>
        <v>3161.83</v>
      </c>
      <c r="Q210" s="194" t="s">
        <v>1146</v>
      </c>
      <c r="R210" s="192" t="s">
        <v>1139</v>
      </c>
      <c r="S210" s="192"/>
      <c r="T210" s="192" t="str">
        <f>DivAndTax[[#This Row],[Investor ID]]&amp;"-"&amp;(RIGHT(DivAndTax[[#This Row],[Accounting Year]],2))</f>
        <v>A00197-25</v>
      </c>
      <c r="U210" s="192" t="str">
        <f>IF(DivAndTax[[#This Row],[Dividend Option]]="CIP","11",IF(DivAndTax[[#This Row],[Dividend Option]]="CASH","22"))</f>
        <v>11</v>
      </c>
      <c r="V210" s="200"/>
    </row>
    <row r="211" spans="1:22">
      <c r="A211" s="188">
        <v>2026</v>
      </c>
      <c r="B211" s="188">
        <v>1</v>
      </c>
      <c r="C211" s="188">
        <v>1</v>
      </c>
      <c r="D211" s="189">
        <f t="shared" si="48"/>
        <v>46023</v>
      </c>
      <c r="E211" s="188">
        <v>2025</v>
      </c>
      <c r="F211" s="247">
        <v>46069</v>
      </c>
      <c r="G211" s="188" t="s">
        <v>238</v>
      </c>
      <c r="H211" s="190" t="str">
        <f>_xlfn.XLOOKUP(DivAndTax[[#This Row],[Investor ID]],INVESTORS_LIST[INVESTOR CODE],INVESTORS_LIST[INVESTOR NAME])</f>
        <v>MD. NIAZ MURSHED</v>
      </c>
      <c r="I211" s="8" t="str">
        <f>_xlfn.XLOOKUP(DivAndTax[[#This Row],[Investor ID]],INVESTORS_LIST[INVESTOR CODE],INVESTORS_LIST[TYPE OF INVESTOR])</f>
        <v>Individual</v>
      </c>
      <c r="J211" s="191">
        <v>15821</v>
      </c>
      <c r="K211" s="192">
        <v>0.35</v>
      </c>
      <c r="L211" s="192">
        <f>DivAndTax[[#This Row],[Total Units]]*DivAndTax[[#This Row],[Dividend Per Unit]]</f>
        <v>5537.3499999999995</v>
      </c>
      <c r="M211" s="192">
        <f>DivAndTax[[#This Row],[Gross Dividend]]</f>
        <v>5537.3499999999995</v>
      </c>
      <c r="N211" s="193" cm="1">
        <f t="array" ref="N21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11" s="192">
        <f>ROUND(IF((DivAndTax[[#This Row],[Taxable Dividend]]*DivAndTax[[#This Row],[Tax Rate
(If Applicable)]])&gt;0,DivAndTax[[#This Row],[Taxable Dividend]]*DivAndTax[[#This Row],[Tax Rate
(If Applicable)]],0),2)</f>
        <v>553.74</v>
      </c>
      <c r="P211" s="192">
        <f t="shared" si="49"/>
        <v>4983.6099999999997</v>
      </c>
      <c r="Q211" s="194" t="s">
        <v>1166</v>
      </c>
      <c r="R211" s="192" t="s">
        <v>1139</v>
      </c>
      <c r="S211" s="192"/>
      <c r="T211" s="192" t="str">
        <f>DivAndTax[[#This Row],[Investor ID]]&amp;"-"&amp;(RIGHT(DivAndTax[[#This Row],[Accounting Year]],2))</f>
        <v>A00198-25</v>
      </c>
      <c r="U211" s="192" t="str">
        <f>IF(DivAndTax[[#This Row],[Dividend Option]]="CIP","11",IF(DivAndTax[[#This Row],[Dividend Option]]="CASH","22"))</f>
        <v>11</v>
      </c>
      <c r="V211" s="200"/>
    </row>
    <row r="212" spans="1:22">
      <c r="A212" s="188">
        <v>2026</v>
      </c>
      <c r="B212" s="188">
        <v>1</v>
      </c>
      <c r="C212" s="188">
        <v>1</v>
      </c>
      <c r="D212" s="189">
        <f>IFERROR(DATE(A212,B212,C212)," ")</f>
        <v>46023</v>
      </c>
      <c r="E212" s="188">
        <v>2025</v>
      </c>
      <c r="F212" s="247">
        <v>46097</v>
      </c>
      <c r="G212" s="188" t="s">
        <v>272</v>
      </c>
      <c r="H212" s="190" t="str">
        <f>_xlfn.XLOOKUP(DivAndTax[[#This Row],[Investor ID]],INVESTORS_LIST[INVESTOR CODE],INVESTORS_LIST[INVESTOR NAME])</f>
        <v>SK FEROZ ALAM &amp; MD BULBUL ISLAM</v>
      </c>
      <c r="I212" s="8" t="str">
        <f>_xlfn.XLOOKUP(DivAndTax[[#This Row],[Investor ID]],INVESTORS_LIST[INVESTOR CODE],INVESTORS_LIST[TYPE OF INVESTOR])</f>
        <v>Individual</v>
      </c>
      <c r="J212" s="191">
        <v>10000</v>
      </c>
      <c r="K212" s="192">
        <v>0.35</v>
      </c>
      <c r="L212" s="192">
        <f>DivAndTax[[#This Row],[Total Units]]*DivAndTax[[#This Row],[Dividend Per Unit]]</f>
        <v>3500</v>
      </c>
      <c r="M212" s="192">
        <f>DivAndTax[[#This Row],[Gross Dividend]]</f>
        <v>3500</v>
      </c>
      <c r="N212" s="193" cm="1">
        <f t="array" ref="N21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12" s="192">
        <f>ROUND(IF((DivAndTax[[#This Row],[Taxable Dividend]]*DivAndTax[[#This Row],[Tax Rate
(If Applicable)]])&gt;0,DivAndTax[[#This Row],[Taxable Dividend]]*DivAndTax[[#This Row],[Tax Rate
(If Applicable)]],0),2)</f>
        <v>525</v>
      </c>
      <c r="P212" s="192">
        <f>L212-O212</f>
        <v>2975</v>
      </c>
      <c r="Q212" s="194" t="s">
        <v>1146</v>
      </c>
      <c r="R212" s="192" t="s">
        <v>1141</v>
      </c>
      <c r="S212" s="192"/>
      <c r="T212" s="192" t="str">
        <f>DivAndTax[[#This Row],[Investor ID]]&amp;"-"&amp;(RIGHT(DivAndTax[[#This Row],[Accounting Year]],2))</f>
        <v>A00216-25</v>
      </c>
      <c r="U212" s="192" t="str">
        <f>IF(DivAndTax[[#This Row],[Dividend Option]]="CIP","11",IF(DivAndTax[[#This Row],[Dividend Option]]="CASH","22"))</f>
        <v>22</v>
      </c>
      <c r="V212" s="200"/>
    </row>
    <row r="213" spans="1:22">
      <c r="A213" s="188">
        <v>2026</v>
      </c>
      <c r="B213" s="188">
        <v>1</v>
      </c>
      <c r="C213" s="188">
        <v>1</v>
      </c>
      <c r="D213" s="189">
        <f>IFERROR(DATE(A213,B213,C213)," ")</f>
        <v>46023</v>
      </c>
      <c r="E213" s="188">
        <v>2025</v>
      </c>
      <c r="F213" s="247">
        <v>46097</v>
      </c>
      <c r="G213" s="188" t="s">
        <v>282</v>
      </c>
      <c r="H213" s="190" t="str">
        <f>_xlfn.XLOOKUP(DivAndTax[[#This Row],[Investor ID]],INVESTORS_LIST[INVESTOR CODE],INVESTORS_LIST[INVESTOR NAME])</f>
        <v>MIDLAND BANK LIMITED</v>
      </c>
      <c r="I213" s="8" t="str">
        <f>_xlfn.XLOOKUP(DivAndTax[[#This Row],[Investor ID]],INVESTORS_LIST[INVESTOR CODE],INVESTORS_LIST[TYPE OF INVESTOR])</f>
        <v>Company/Organization</v>
      </c>
      <c r="J213" s="191">
        <v>2000000</v>
      </c>
      <c r="K213" s="192">
        <v>0.35</v>
      </c>
      <c r="L213" s="192">
        <f>DivAndTax[[#This Row],[Total Units]]*DivAndTax[[#This Row],[Dividend Per Unit]]</f>
        <v>700000</v>
      </c>
      <c r="M213" s="192">
        <f>DivAndTax[[#This Row],[Gross Dividend]]</f>
        <v>700000</v>
      </c>
      <c r="N213" s="193" cm="1">
        <f t="array" ref="N21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213" s="192">
        <f>ROUND(IF((DivAndTax[[#This Row],[Taxable Dividend]]*DivAndTax[[#This Row],[Tax Rate
(If Applicable)]])&gt;0,DivAndTax[[#This Row],[Taxable Dividend]]*DivAndTax[[#This Row],[Tax Rate
(If Applicable)]],0),2)</f>
        <v>140000</v>
      </c>
      <c r="P213" s="192">
        <f>L213-O213</f>
        <v>560000</v>
      </c>
      <c r="Q213" s="194" t="s">
        <v>1168</v>
      </c>
      <c r="R213" s="192" t="s">
        <v>1141</v>
      </c>
      <c r="S213" s="192"/>
      <c r="T213" s="192" t="str">
        <f>DivAndTax[[#This Row],[Investor ID]]&amp;"-"&amp;(RIGHT(DivAndTax[[#This Row],[Accounting Year]],2))</f>
        <v>A00222-25</v>
      </c>
      <c r="U213" s="192" t="str">
        <f>IF(DivAndTax[[#This Row],[Dividend Option]]="CIP","11",IF(DivAndTax[[#This Row],[Dividend Option]]="CASH","22"))</f>
        <v>22</v>
      </c>
      <c r="V213" s="200"/>
    </row>
    <row r="214" spans="1:22">
      <c r="A214" s="188">
        <v>2026</v>
      </c>
      <c r="B214" s="188">
        <v>1</v>
      </c>
      <c r="C214" s="188">
        <v>1</v>
      </c>
      <c r="D214" s="189">
        <f>IFERROR(DATE(A214,B214,C214)," ")</f>
        <v>46023</v>
      </c>
      <c r="E214" s="188">
        <v>2025</v>
      </c>
      <c r="F214" s="247">
        <v>46069</v>
      </c>
      <c r="G214" s="188" t="s">
        <v>305</v>
      </c>
      <c r="H214" s="190" t="str">
        <f>_xlfn.XLOOKUP(DivAndTax[[#This Row],[Investor ID]],INVESTORS_LIST[INVESTOR CODE],INVESTORS_LIST[INVESTOR NAME])</f>
        <v>BIJOY CHANDRA DAS</v>
      </c>
      <c r="I214" s="8" t="str">
        <f>_xlfn.XLOOKUP(DivAndTax[[#This Row],[Investor ID]],INVESTORS_LIST[INVESTOR CODE],INVESTORS_LIST[TYPE OF INVESTOR])</f>
        <v>Individual</v>
      </c>
      <c r="J214" s="191">
        <v>10665</v>
      </c>
      <c r="K214" s="192">
        <v>0.35</v>
      </c>
      <c r="L214" s="192">
        <f>DivAndTax[[#This Row],[Total Units]]*DivAndTax[[#This Row],[Dividend Per Unit]]</f>
        <v>3732.7499999999995</v>
      </c>
      <c r="M214" s="192">
        <f>DivAndTax[[#This Row],[Gross Dividend]]</f>
        <v>3732.7499999999995</v>
      </c>
      <c r="N214" s="193" cm="1">
        <f t="array" ref="N21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14" s="192">
        <f>ROUND(IF((DivAndTax[[#This Row],[Taxable Dividend]]*DivAndTax[[#This Row],[Tax Rate
(If Applicable)]])&gt;0,DivAndTax[[#This Row],[Taxable Dividend]]*DivAndTax[[#This Row],[Tax Rate
(If Applicable)]],0),2)</f>
        <v>373.28</v>
      </c>
      <c r="P214" s="192">
        <f>L214-O214</f>
        <v>3359.4699999999993</v>
      </c>
      <c r="Q214" s="194" t="s">
        <v>1169</v>
      </c>
      <c r="R214" s="192" t="s">
        <v>1139</v>
      </c>
      <c r="S214" s="192"/>
      <c r="T214" s="192" t="str">
        <f>DivAndTax[[#This Row],[Investor ID]]&amp;"-"&amp;(RIGHT(DivAndTax[[#This Row],[Accounting Year]],2))</f>
        <v>A00224-25</v>
      </c>
      <c r="U214" s="192" t="str">
        <f>IF(DivAndTax[[#This Row],[Dividend Option]]="CIP","11",IF(DivAndTax[[#This Row],[Dividend Option]]="CASH","22"))</f>
        <v>11</v>
      </c>
      <c r="V214" s="200"/>
    </row>
    <row r="215" spans="1:22">
      <c r="A215" s="188">
        <v>2026</v>
      </c>
      <c r="B215" s="188">
        <v>1</v>
      </c>
      <c r="C215" s="188">
        <v>1</v>
      </c>
      <c r="D215" s="189">
        <f>IFERROR(DATE(A215,B215,C215)," ")</f>
        <v>46023</v>
      </c>
      <c r="E215" s="188">
        <v>2025</v>
      </c>
      <c r="F215" s="247">
        <v>46097</v>
      </c>
      <c r="G215" s="188" t="s">
        <v>345</v>
      </c>
      <c r="H215" s="190" t="str">
        <f>_xlfn.XLOOKUP(DivAndTax[[#This Row],[Investor ID]],INVESTORS_LIST[INVESTOR CODE],INVESTORS_LIST[INVESTOR NAME])</f>
        <v>MOHAMMAD SAMIUL ALAM</v>
      </c>
      <c r="I215" s="8" t="str">
        <f>_xlfn.XLOOKUP(DivAndTax[[#This Row],[Investor ID]],INVESTORS_LIST[INVESTOR CODE],INVESTORS_LIST[TYPE OF INVESTOR])</f>
        <v>Individual</v>
      </c>
      <c r="J215" s="191">
        <v>3000</v>
      </c>
      <c r="K215" s="192">
        <v>0.35</v>
      </c>
      <c r="L215" s="192">
        <f>DivAndTax[[#This Row],[Total Units]]*DivAndTax[[#This Row],[Dividend Per Unit]]</f>
        <v>1050</v>
      </c>
      <c r="M215" s="192">
        <f>DivAndTax[[#This Row],[Gross Dividend]]</f>
        <v>1050</v>
      </c>
      <c r="N215" s="193" cm="1">
        <f t="array" ref="N21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15" s="192">
        <f>ROUND(IF((DivAndTax[[#This Row],[Taxable Dividend]]*DivAndTax[[#This Row],[Tax Rate
(If Applicable)]])&gt;0,DivAndTax[[#This Row],[Taxable Dividend]]*DivAndTax[[#This Row],[Tax Rate
(If Applicable)]],0),2)</f>
        <v>105</v>
      </c>
      <c r="P215" s="192">
        <f>L215-O215</f>
        <v>945</v>
      </c>
      <c r="Q215" s="194" t="s">
        <v>1171</v>
      </c>
      <c r="R215" s="192" t="s">
        <v>1141</v>
      </c>
      <c r="S215" s="192"/>
      <c r="T215" s="192" t="str">
        <f>DivAndTax[[#This Row],[Investor ID]]&amp;"-"&amp;(RIGHT(DivAndTax[[#This Row],[Accounting Year]],2))</f>
        <v>A00244-25</v>
      </c>
      <c r="U215" s="192" t="str">
        <f>IF(DivAndTax[[#This Row],[Dividend Option]]="CIP","11",IF(DivAndTax[[#This Row],[Dividend Option]]="CASH","22"))</f>
        <v>22</v>
      </c>
      <c r="V215" s="200"/>
    </row>
    <row r="216" spans="1:22">
      <c r="A216" s="188">
        <v>2026</v>
      </c>
      <c r="B216" s="188">
        <v>1</v>
      </c>
      <c r="C216" s="188">
        <v>1</v>
      </c>
      <c r="D216" s="189">
        <f t="shared" ref="D216:D217" si="50">IFERROR(DATE(A216,B216,C216)," ")</f>
        <v>46023</v>
      </c>
      <c r="E216" s="188">
        <v>2025</v>
      </c>
      <c r="F216" s="247">
        <v>46069</v>
      </c>
      <c r="G216" s="188" t="s">
        <v>351</v>
      </c>
      <c r="H216" s="190" t="str">
        <f>_xlfn.XLOOKUP(DivAndTax[[#This Row],[Investor ID]],INVESTORS_LIST[INVESTOR CODE],INVESTORS_LIST[INVESTOR NAME])</f>
        <v>SHANTA PAUL</v>
      </c>
      <c r="I216" s="8" t="str">
        <f>_xlfn.XLOOKUP(DivAndTax[[#This Row],[Investor ID]],INVESTORS_LIST[INVESTOR CODE],INVESTORS_LIST[TYPE OF INVESTOR])</f>
        <v>Individual</v>
      </c>
      <c r="J216" s="191">
        <v>102284</v>
      </c>
      <c r="K216" s="192">
        <v>0.35</v>
      </c>
      <c r="L216" s="192">
        <f>DivAndTax[[#This Row],[Total Units]]*DivAndTax[[#This Row],[Dividend Per Unit]]</f>
        <v>35799.399999999994</v>
      </c>
      <c r="M216" s="192">
        <f>DivAndTax[[#This Row],[Gross Dividend]]</f>
        <v>35799.399999999994</v>
      </c>
      <c r="N216" s="193" cm="1">
        <f t="array" ref="N21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16" s="192">
        <f>ROUND(IF((DivAndTax[[#This Row],[Taxable Dividend]]*DivAndTax[[#This Row],[Tax Rate
(If Applicable)]])&gt;0,DivAndTax[[#This Row],[Taxable Dividend]]*DivAndTax[[#This Row],[Tax Rate
(If Applicable)]],0),2)</f>
        <v>3579.94</v>
      </c>
      <c r="P216" s="192">
        <f t="shared" ref="P216:P217" si="51">L216-O216</f>
        <v>32219.459999999995</v>
      </c>
      <c r="Q216" s="194" t="s">
        <v>1172</v>
      </c>
      <c r="R216" s="192" t="s">
        <v>1139</v>
      </c>
      <c r="S216" s="192"/>
      <c r="T216" s="192" t="str">
        <f>DivAndTax[[#This Row],[Investor ID]]&amp;"-"&amp;(RIGHT(DivAndTax[[#This Row],[Accounting Year]],2))</f>
        <v>A00247-25</v>
      </c>
      <c r="U216" s="192" t="str">
        <f>IF(DivAndTax[[#This Row],[Dividend Option]]="CIP","11",IF(DivAndTax[[#This Row],[Dividend Option]]="CASH","22"))</f>
        <v>11</v>
      </c>
      <c r="V216" s="200"/>
    </row>
    <row r="217" spans="1:22">
      <c r="A217" s="188">
        <v>2026</v>
      </c>
      <c r="B217" s="188">
        <v>1</v>
      </c>
      <c r="C217" s="188">
        <v>1</v>
      </c>
      <c r="D217" s="189">
        <f t="shared" si="50"/>
        <v>46023</v>
      </c>
      <c r="E217" s="188">
        <v>2025</v>
      </c>
      <c r="F217" s="247">
        <v>46069</v>
      </c>
      <c r="G217" s="188" t="s">
        <v>353</v>
      </c>
      <c r="H217" s="190" t="str">
        <f>_xlfn.XLOOKUP(DivAndTax[[#This Row],[Investor ID]],INVESTORS_LIST[INVESTOR CODE],INVESTORS_LIST[INVESTOR NAME])</f>
        <v>ANJAN MALLIK</v>
      </c>
      <c r="I217" s="8" t="str">
        <f>_xlfn.XLOOKUP(DivAndTax[[#This Row],[Investor ID]],INVESTORS_LIST[INVESTOR CODE],INVESTORS_LIST[TYPE OF INVESTOR])</f>
        <v>Individual</v>
      </c>
      <c r="J217" s="191">
        <v>266631</v>
      </c>
      <c r="K217" s="192">
        <v>0.35</v>
      </c>
      <c r="L217" s="192">
        <f>DivAndTax[[#This Row],[Total Units]]*DivAndTax[[#This Row],[Dividend Per Unit]]</f>
        <v>93320.849999999991</v>
      </c>
      <c r="M217" s="192">
        <f>DivAndTax[[#This Row],[Gross Dividend]]</f>
        <v>93320.849999999991</v>
      </c>
      <c r="N217" s="193" cm="1">
        <f t="array" ref="N21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17" s="192">
        <f>ROUND(IF((DivAndTax[[#This Row],[Taxable Dividend]]*DivAndTax[[#This Row],[Tax Rate
(If Applicable)]])&gt;0,DivAndTax[[#This Row],[Taxable Dividend]]*DivAndTax[[#This Row],[Tax Rate
(If Applicable)]],0),2)</f>
        <v>9332.09</v>
      </c>
      <c r="P217" s="192">
        <f t="shared" si="51"/>
        <v>83988.76</v>
      </c>
      <c r="Q217" s="194" t="s">
        <v>1173</v>
      </c>
      <c r="R217" s="192" t="s">
        <v>1139</v>
      </c>
      <c r="S217" s="192"/>
      <c r="T217" s="192" t="str">
        <f>DivAndTax[[#This Row],[Investor ID]]&amp;"-"&amp;(RIGHT(DivAndTax[[#This Row],[Accounting Year]],2))</f>
        <v>A00248-25</v>
      </c>
      <c r="U217" s="192" t="str">
        <f>IF(DivAndTax[[#This Row],[Dividend Option]]="CIP","11",IF(DivAndTax[[#This Row],[Dividend Option]]="CASH","22"))</f>
        <v>11</v>
      </c>
      <c r="V217" s="200"/>
    </row>
    <row r="218" spans="1:22">
      <c r="A218" s="188">
        <v>2026</v>
      </c>
      <c r="B218" s="188">
        <v>1</v>
      </c>
      <c r="C218" s="188">
        <v>1</v>
      </c>
      <c r="D218" s="189">
        <f t="shared" ref="D218:D223" si="52">IFERROR(DATE(A218,B218,C218)," ")</f>
        <v>46023</v>
      </c>
      <c r="E218" s="188">
        <v>2025</v>
      </c>
      <c r="F218" s="247">
        <v>46097</v>
      </c>
      <c r="G218" s="188" t="s">
        <v>357</v>
      </c>
      <c r="H218" s="190" t="str">
        <f>_xlfn.XLOOKUP(DivAndTax[[#This Row],[Investor ID]],INVESTORS_LIST[INVESTOR CODE],INVESTORS_LIST[INVESTOR NAME])</f>
        <v>MR. NAYAN KUMAR CHOWDHURY</v>
      </c>
      <c r="I218" s="8" t="str">
        <f>_xlfn.XLOOKUP(DivAndTax[[#This Row],[Investor ID]],INVESTORS_LIST[INVESTOR CODE],INVESTORS_LIST[TYPE OF INVESTOR])</f>
        <v>Individual</v>
      </c>
      <c r="J218" s="191">
        <v>9987</v>
      </c>
      <c r="K218" s="192">
        <v>0.35</v>
      </c>
      <c r="L218" s="192">
        <f>DivAndTax[[#This Row],[Total Units]]*DivAndTax[[#This Row],[Dividend Per Unit]]</f>
        <v>3495.45</v>
      </c>
      <c r="M218" s="192">
        <f>DivAndTax[[#This Row],[Gross Dividend]]</f>
        <v>3495.45</v>
      </c>
      <c r="N218" s="193" cm="1">
        <f t="array" ref="N21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18" s="192">
        <f>ROUND(IF((DivAndTax[[#This Row],[Taxable Dividend]]*DivAndTax[[#This Row],[Tax Rate
(If Applicable)]])&gt;0,DivAndTax[[#This Row],[Taxable Dividend]]*DivAndTax[[#This Row],[Tax Rate
(If Applicable)]],0),2)</f>
        <v>524.32000000000005</v>
      </c>
      <c r="P218" s="192">
        <f t="shared" ref="P218:P223" si="53">L218-O218</f>
        <v>2971.1299999999997</v>
      </c>
      <c r="Q218" s="194" t="s">
        <v>1146</v>
      </c>
      <c r="R218" s="192" t="s">
        <v>1141</v>
      </c>
      <c r="S218" s="192"/>
      <c r="T218" s="192" t="str">
        <f>DivAndTax[[#This Row],[Investor ID]]&amp;"-"&amp;(RIGHT(DivAndTax[[#This Row],[Accounting Year]],2))</f>
        <v>A00250-25</v>
      </c>
      <c r="U218" s="192" t="str">
        <f>IF(DivAndTax[[#This Row],[Dividend Option]]="CIP","11",IF(DivAndTax[[#This Row],[Dividend Option]]="CASH","22"))</f>
        <v>22</v>
      </c>
      <c r="V218" s="200"/>
    </row>
    <row r="219" spans="1:22">
      <c r="A219" s="188">
        <v>2026</v>
      </c>
      <c r="B219" s="188">
        <v>1</v>
      </c>
      <c r="C219" s="188">
        <v>1</v>
      </c>
      <c r="D219" s="189">
        <f t="shared" si="52"/>
        <v>46023</v>
      </c>
      <c r="E219" s="188">
        <v>2025</v>
      </c>
      <c r="F219" s="247">
        <v>46069</v>
      </c>
      <c r="G219" s="188" t="s">
        <v>368</v>
      </c>
      <c r="H219" s="190" t="str">
        <f>_xlfn.XLOOKUP(DivAndTax[[#This Row],[Investor ID]],INVESTORS_LIST[INVESTOR CODE],INVESTORS_LIST[INVESTOR NAME])</f>
        <v>TANVIR HASAN</v>
      </c>
      <c r="I219" s="8" t="str">
        <f>_xlfn.XLOOKUP(DivAndTax[[#This Row],[Investor ID]],INVESTORS_LIST[INVESTOR CODE],INVESTORS_LIST[TYPE OF INVESTOR])</f>
        <v>Individual</v>
      </c>
      <c r="J219" s="191">
        <v>24311</v>
      </c>
      <c r="K219" s="192">
        <v>0.35</v>
      </c>
      <c r="L219" s="192">
        <f>DivAndTax[[#This Row],[Total Units]]*DivAndTax[[#This Row],[Dividend Per Unit]]</f>
        <v>8508.85</v>
      </c>
      <c r="M219" s="192">
        <f>DivAndTax[[#This Row],[Gross Dividend]]</f>
        <v>8508.85</v>
      </c>
      <c r="N219" s="193" cm="1">
        <f t="array" ref="N21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19" s="192">
        <f>ROUND(IF((DivAndTax[[#This Row],[Taxable Dividend]]*DivAndTax[[#This Row],[Tax Rate
(If Applicable)]])&gt;0,DivAndTax[[#This Row],[Taxable Dividend]]*DivAndTax[[#This Row],[Tax Rate
(If Applicable)]],0),2)</f>
        <v>1276.33</v>
      </c>
      <c r="P219" s="192">
        <f t="shared" si="53"/>
        <v>7232.52</v>
      </c>
      <c r="Q219" s="194" t="s">
        <v>1146</v>
      </c>
      <c r="R219" s="192" t="s">
        <v>1139</v>
      </c>
      <c r="S219" s="192"/>
      <c r="T219" s="192" t="str">
        <f>DivAndTax[[#This Row],[Investor ID]]&amp;"-"&amp;(RIGHT(DivAndTax[[#This Row],[Accounting Year]],2))</f>
        <v>A00256-25</v>
      </c>
      <c r="U219" s="192" t="str">
        <f>IF(DivAndTax[[#This Row],[Dividend Option]]="CIP","11",IF(DivAndTax[[#This Row],[Dividend Option]]="CASH","22"))</f>
        <v>11</v>
      </c>
      <c r="V219" s="200"/>
    </row>
    <row r="220" spans="1:22">
      <c r="A220" s="188">
        <v>2026</v>
      </c>
      <c r="B220" s="188">
        <v>1</v>
      </c>
      <c r="C220" s="188">
        <v>1</v>
      </c>
      <c r="D220" s="189">
        <f t="shared" si="52"/>
        <v>46023</v>
      </c>
      <c r="E220" s="188">
        <v>2025</v>
      </c>
      <c r="F220" s="247">
        <v>46069</v>
      </c>
      <c r="G220" s="188" t="s">
        <v>393</v>
      </c>
      <c r="H220" s="190" t="str">
        <f>_xlfn.XLOOKUP(DivAndTax[[#This Row],[Investor ID]],INVESTORS_LIST[INVESTOR CODE],INVESTORS_LIST[INVESTOR NAME])</f>
        <v>NAUSHEEN AHMED</v>
      </c>
      <c r="I220" s="8" t="str">
        <f>_xlfn.XLOOKUP(DivAndTax[[#This Row],[Investor ID]],INVESTORS_LIST[INVESTOR CODE],INVESTORS_LIST[TYPE OF INVESTOR])</f>
        <v>Individual</v>
      </c>
      <c r="J220" s="191">
        <v>54095</v>
      </c>
      <c r="K220" s="192">
        <v>0.35</v>
      </c>
      <c r="L220" s="192">
        <f>DivAndTax[[#This Row],[Total Units]]*DivAndTax[[#This Row],[Dividend Per Unit]]</f>
        <v>18933.25</v>
      </c>
      <c r="M220" s="192">
        <f>DivAndTax[[#This Row],[Gross Dividend]]</f>
        <v>18933.25</v>
      </c>
      <c r="N220" s="193" cm="1">
        <f t="array" ref="N22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20" s="192">
        <f>ROUND(IF((DivAndTax[[#This Row],[Taxable Dividend]]*DivAndTax[[#This Row],[Tax Rate
(If Applicable)]])&gt;0,DivAndTax[[#This Row],[Taxable Dividend]]*DivAndTax[[#This Row],[Tax Rate
(If Applicable)]],0),2)</f>
        <v>2839.99</v>
      </c>
      <c r="P220" s="192">
        <f t="shared" si="53"/>
        <v>16093.26</v>
      </c>
      <c r="Q220" s="194" t="s">
        <v>1146</v>
      </c>
      <c r="R220" s="192" t="s">
        <v>1139</v>
      </c>
      <c r="S220" s="192"/>
      <c r="T220" s="192" t="str">
        <f>DivAndTax[[#This Row],[Investor ID]]&amp;"-"&amp;(RIGHT(DivAndTax[[#This Row],[Accounting Year]],2))</f>
        <v>A00268-25</v>
      </c>
      <c r="U220" s="192" t="str">
        <f>IF(DivAndTax[[#This Row],[Dividend Option]]="CIP","11",IF(DivAndTax[[#This Row],[Dividend Option]]="CASH","22"))</f>
        <v>11</v>
      </c>
      <c r="V220" s="200"/>
    </row>
    <row r="221" spans="1:22">
      <c r="A221" s="188">
        <v>2026</v>
      </c>
      <c r="B221" s="188">
        <v>1</v>
      </c>
      <c r="C221" s="188">
        <v>1</v>
      </c>
      <c r="D221" s="189">
        <f t="shared" si="52"/>
        <v>46023</v>
      </c>
      <c r="E221" s="188">
        <v>2025</v>
      </c>
      <c r="F221" s="247">
        <v>46069</v>
      </c>
      <c r="G221" s="188" t="s">
        <v>581</v>
      </c>
      <c r="H221" s="190" t="str">
        <f>_xlfn.XLOOKUP(DivAndTax[[#This Row],[Investor ID]],INVESTORS_LIST[INVESTOR CODE],INVESTORS_LIST[INVESTOR NAME])</f>
        <v>SAILENDRA SAHA</v>
      </c>
      <c r="I221" s="8" t="str">
        <f>_xlfn.XLOOKUP(DivAndTax[[#This Row],[Investor ID]],INVESTORS_LIST[INVESTOR CODE],INVESTORS_LIST[TYPE OF INVESTOR])</f>
        <v>Individual</v>
      </c>
      <c r="J221" s="191">
        <v>42661</v>
      </c>
      <c r="K221" s="192">
        <v>0.35</v>
      </c>
      <c r="L221" s="192">
        <f>DivAndTax[[#This Row],[Total Units]]*DivAndTax[[#This Row],[Dividend Per Unit]]</f>
        <v>14931.349999999999</v>
      </c>
      <c r="M221" s="192">
        <f>DivAndTax[[#This Row],[Gross Dividend]]</f>
        <v>14931.349999999999</v>
      </c>
      <c r="N221" s="193" cm="1">
        <f t="array" ref="N22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21" s="192">
        <f>ROUND(IF((DivAndTax[[#This Row],[Taxable Dividend]]*DivAndTax[[#This Row],[Tax Rate
(If Applicable)]])&gt;0,DivAndTax[[#This Row],[Taxable Dividend]]*DivAndTax[[#This Row],[Tax Rate
(If Applicable)]],0),2)</f>
        <v>1493.14</v>
      </c>
      <c r="P221" s="192">
        <f t="shared" si="53"/>
        <v>13438.21</v>
      </c>
      <c r="Q221" s="194" t="s">
        <v>1175</v>
      </c>
      <c r="R221" s="192" t="s">
        <v>1139</v>
      </c>
      <c r="S221" s="192"/>
      <c r="T221" s="192" t="str">
        <f>DivAndTax[[#This Row],[Investor ID]]&amp;"-"&amp;(RIGHT(DivAndTax[[#This Row],[Accounting Year]],2))</f>
        <v>A00328-25</v>
      </c>
      <c r="U221" s="192" t="str">
        <f>IF(DivAndTax[[#This Row],[Dividend Option]]="CIP","11",IF(DivAndTax[[#This Row],[Dividend Option]]="CASH","22"))</f>
        <v>11</v>
      </c>
      <c r="V221" s="200"/>
    </row>
    <row r="222" spans="1:22">
      <c r="A222" s="188">
        <v>2026</v>
      </c>
      <c r="B222" s="188">
        <v>1</v>
      </c>
      <c r="C222" s="188">
        <v>1</v>
      </c>
      <c r="D222" s="189">
        <f t="shared" si="52"/>
        <v>46023</v>
      </c>
      <c r="E222" s="188">
        <v>2025</v>
      </c>
      <c r="F222" s="247">
        <v>46069</v>
      </c>
      <c r="G222" s="188" t="s">
        <v>593</v>
      </c>
      <c r="H222" s="190" t="str">
        <f>_xlfn.XLOOKUP(DivAndTax[[#This Row],[Investor ID]],INVESTORS_LIST[INVESTOR CODE],INVESTORS_LIST[INVESTOR NAME])</f>
        <v>MD. GOLAM MORTAZA</v>
      </c>
      <c r="I222" s="8" t="str">
        <f>_xlfn.XLOOKUP(DivAndTax[[#This Row],[Investor ID]],INVESTORS_LIST[INVESTOR CODE],INVESTORS_LIST[TYPE OF INVESTOR])</f>
        <v>Individual</v>
      </c>
      <c r="J222" s="191">
        <v>50000</v>
      </c>
      <c r="K222" s="192">
        <v>0.35</v>
      </c>
      <c r="L222" s="192">
        <f>DivAndTax[[#This Row],[Total Units]]*DivAndTax[[#This Row],[Dividend Per Unit]]</f>
        <v>17500</v>
      </c>
      <c r="M222" s="192">
        <f>DivAndTax[[#This Row],[Gross Dividend]]</f>
        <v>17500</v>
      </c>
      <c r="N222" s="193" cm="1">
        <f t="array" ref="N22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22" s="192">
        <f>ROUND(IF((DivAndTax[[#This Row],[Taxable Dividend]]*DivAndTax[[#This Row],[Tax Rate
(If Applicable)]])&gt;0,DivAndTax[[#This Row],[Taxable Dividend]]*DivAndTax[[#This Row],[Tax Rate
(If Applicable)]],0),2)</f>
        <v>1750</v>
      </c>
      <c r="P222" s="192">
        <f t="shared" si="53"/>
        <v>15750</v>
      </c>
      <c r="Q222" s="194" t="s">
        <v>1176</v>
      </c>
      <c r="R222" s="192" t="s">
        <v>1139</v>
      </c>
      <c r="S222" s="192"/>
      <c r="T222" s="192" t="str">
        <f>DivAndTax[[#This Row],[Investor ID]]&amp;"-"&amp;(RIGHT(DivAndTax[[#This Row],[Accounting Year]],2))</f>
        <v>A00333-25</v>
      </c>
      <c r="U222" s="192" t="str">
        <f>IF(DivAndTax[[#This Row],[Dividend Option]]="CIP","11",IF(DivAndTax[[#This Row],[Dividend Option]]="CASH","22"))</f>
        <v>11</v>
      </c>
      <c r="V222" s="200"/>
    </row>
    <row r="223" spans="1:22">
      <c r="A223" s="188">
        <v>2026</v>
      </c>
      <c r="B223" s="188">
        <v>1</v>
      </c>
      <c r="C223" s="188">
        <v>1</v>
      </c>
      <c r="D223" s="189">
        <f t="shared" si="52"/>
        <v>46023</v>
      </c>
      <c r="E223" s="188">
        <v>2025</v>
      </c>
      <c r="F223" s="247">
        <v>46069</v>
      </c>
      <c r="G223" s="188" t="s">
        <v>598</v>
      </c>
      <c r="H223" s="190" t="str">
        <f>_xlfn.XLOOKUP(DivAndTax[[#This Row],[Investor ID]],INVESTORS_LIST[INVESTOR CODE],INVESTORS_LIST[INVESTOR NAME])</f>
        <v>BIPLAB SAHA</v>
      </c>
      <c r="I223" s="8" t="str">
        <f>_xlfn.XLOOKUP(DivAndTax[[#This Row],[Investor ID]],INVESTORS_LIST[INVESTOR CODE],INVESTORS_LIST[TYPE OF INVESTOR])</f>
        <v>Individual</v>
      </c>
      <c r="J223" s="191">
        <v>127692</v>
      </c>
      <c r="K223" s="192">
        <v>0.35</v>
      </c>
      <c r="L223" s="192">
        <f>DivAndTax[[#This Row],[Total Units]]*DivAndTax[[#This Row],[Dividend Per Unit]]</f>
        <v>44692.2</v>
      </c>
      <c r="M223" s="192">
        <f>DivAndTax[[#This Row],[Gross Dividend]]</f>
        <v>44692.2</v>
      </c>
      <c r="N223" s="193" cm="1">
        <f t="array" ref="N22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23" s="192">
        <f>ROUND(IF((DivAndTax[[#This Row],[Taxable Dividend]]*DivAndTax[[#This Row],[Tax Rate
(If Applicable)]])&gt;0,DivAndTax[[#This Row],[Taxable Dividend]]*DivAndTax[[#This Row],[Tax Rate
(If Applicable)]],0),2)</f>
        <v>6703.83</v>
      </c>
      <c r="P223" s="192">
        <f t="shared" si="53"/>
        <v>37988.369999999995</v>
      </c>
      <c r="Q223" s="194" t="s">
        <v>1146</v>
      </c>
      <c r="R223" s="192" t="s">
        <v>1139</v>
      </c>
      <c r="S223" s="192"/>
      <c r="T223" s="192" t="str">
        <f>DivAndTax[[#This Row],[Investor ID]]&amp;"-"&amp;(RIGHT(DivAndTax[[#This Row],[Accounting Year]],2))</f>
        <v>A00336-25</v>
      </c>
      <c r="U223" s="192" t="str">
        <f>IF(DivAndTax[[#This Row],[Dividend Option]]="CIP","11",IF(DivAndTax[[#This Row],[Dividend Option]]="CASH","22"))</f>
        <v>11</v>
      </c>
      <c r="V223" s="200"/>
    </row>
    <row r="224" spans="1:22">
      <c r="A224" s="188">
        <v>2026</v>
      </c>
      <c r="B224" s="188">
        <v>1</v>
      </c>
      <c r="C224" s="188">
        <v>1</v>
      </c>
      <c r="D224" s="189">
        <f t="shared" ref="D224:D229" si="54">IFERROR(DATE(A224,B224,C224)," ")</f>
        <v>46023</v>
      </c>
      <c r="E224" s="188">
        <v>2025</v>
      </c>
      <c r="F224" s="247">
        <v>46069</v>
      </c>
      <c r="G224" s="188" t="s">
        <v>639</v>
      </c>
      <c r="H224" s="190" t="str">
        <f>_xlfn.XLOOKUP(DivAndTax[[#This Row],[Investor ID]],INVESTORS_LIST[INVESTOR CODE],INVESTORS_LIST[INVESTOR NAME])</f>
        <v>NEXXEN EQUITY MANAGEMENT LIMITED</v>
      </c>
      <c r="I224" s="8" t="str">
        <f>_xlfn.XLOOKUP(DivAndTax[[#This Row],[Investor ID]],INVESTORS_LIST[INVESTOR CODE],INVESTORS_LIST[TYPE OF INVESTOR])</f>
        <v>Company/Organization</v>
      </c>
      <c r="J224" s="191">
        <v>200000</v>
      </c>
      <c r="K224" s="192">
        <v>0.35</v>
      </c>
      <c r="L224" s="192">
        <f>DivAndTax[[#This Row],[Total Units]]*DivAndTax[[#This Row],[Dividend Per Unit]]</f>
        <v>70000</v>
      </c>
      <c r="M224" s="192">
        <f>DivAndTax[[#This Row],[Gross Dividend]]</f>
        <v>70000</v>
      </c>
      <c r="N224" s="193" cm="1">
        <f t="array" ref="N22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224" s="192">
        <f>ROUND(IF((DivAndTax[[#This Row],[Taxable Dividend]]*DivAndTax[[#This Row],[Tax Rate
(If Applicable)]])&gt;0,DivAndTax[[#This Row],[Taxable Dividend]]*DivAndTax[[#This Row],[Tax Rate
(If Applicable)]],0),2)</f>
        <v>14000</v>
      </c>
      <c r="P224" s="192">
        <f t="shared" ref="P224:P229" si="55">L224-O224</f>
        <v>56000</v>
      </c>
      <c r="Q224" s="194" t="s">
        <v>1178</v>
      </c>
      <c r="R224" s="192" t="s">
        <v>1139</v>
      </c>
      <c r="S224" s="192"/>
      <c r="T224" s="192" t="str">
        <f>DivAndTax[[#This Row],[Investor ID]]&amp;"-"&amp;(RIGHT(DivAndTax[[#This Row],[Accounting Year]],2))</f>
        <v>A00346-25</v>
      </c>
      <c r="U224" s="192" t="str">
        <f>IF(DivAndTax[[#This Row],[Dividend Option]]="CIP","11",IF(DivAndTax[[#This Row],[Dividend Option]]="CASH","22"))</f>
        <v>11</v>
      </c>
      <c r="V224" s="200"/>
    </row>
    <row r="225" spans="1:22">
      <c r="A225" s="188">
        <v>2026</v>
      </c>
      <c r="B225" s="188">
        <v>1</v>
      </c>
      <c r="C225" s="188">
        <v>1</v>
      </c>
      <c r="D225" s="189">
        <f t="shared" si="54"/>
        <v>46023</v>
      </c>
      <c r="E225" s="188">
        <v>2025</v>
      </c>
      <c r="F225" s="247">
        <v>46069</v>
      </c>
      <c r="G225" s="188" t="s">
        <v>641</v>
      </c>
      <c r="H225" s="190" t="str">
        <f>_xlfn.XLOOKUP(DivAndTax[[#This Row],[Investor ID]],INVESTORS_LIST[INVESTOR CODE],INVESTORS_LIST[INVESTOR NAME])</f>
        <v>EVEREST PHARMACEUTICALS LTD. EMPLOYEES CONTRIBUTORY PROVIDENT FUND</v>
      </c>
      <c r="I225" s="8" t="str">
        <f>_xlfn.XLOOKUP(DivAndTax[[#This Row],[Investor ID]],INVESTORS_LIST[INVESTOR CODE],INVESTORS_LIST[TYPE OF INVESTOR])</f>
        <v>Providend Fund</v>
      </c>
      <c r="J225" s="191">
        <v>100000</v>
      </c>
      <c r="K225" s="192">
        <v>0.35</v>
      </c>
      <c r="L225" s="192">
        <f>DivAndTax[[#This Row],[Total Units]]*DivAndTax[[#This Row],[Dividend Per Unit]]</f>
        <v>35000</v>
      </c>
      <c r="M225" s="192">
        <f>DivAndTax[[#This Row],[Gross Dividend]]</f>
        <v>35000</v>
      </c>
      <c r="N225" s="193" cm="1">
        <f t="array" ref="N22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25" s="192">
        <f>ROUND(IF((DivAndTax[[#This Row],[Taxable Dividend]]*DivAndTax[[#This Row],[Tax Rate
(If Applicable)]])&gt;0,DivAndTax[[#This Row],[Taxable Dividend]]*DivAndTax[[#This Row],[Tax Rate
(If Applicable)]],0),2)</f>
        <v>3500</v>
      </c>
      <c r="P225" s="192">
        <f t="shared" si="55"/>
        <v>31500</v>
      </c>
      <c r="Q225" s="194" t="s">
        <v>1179</v>
      </c>
      <c r="R225" s="192" t="s">
        <v>1139</v>
      </c>
      <c r="S225" s="192"/>
      <c r="T225" s="192" t="str">
        <f>DivAndTax[[#This Row],[Investor ID]]&amp;"-"&amp;(RIGHT(DivAndTax[[#This Row],[Accounting Year]],2))</f>
        <v>A00347-25</v>
      </c>
      <c r="U225" s="192" t="str">
        <f>IF(DivAndTax[[#This Row],[Dividend Option]]="CIP","11",IF(DivAndTax[[#This Row],[Dividend Option]]="CASH","22"))</f>
        <v>11</v>
      </c>
      <c r="V225" s="200"/>
    </row>
    <row r="226" spans="1:22">
      <c r="A226" s="188">
        <v>2026</v>
      </c>
      <c r="B226" s="188">
        <v>1</v>
      </c>
      <c r="C226" s="188">
        <v>1</v>
      </c>
      <c r="D226" s="189">
        <f t="shared" si="54"/>
        <v>46023</v>
      </c>
      <c r="E226" s="188">
        <v>2025</v>
      </c>
      <c r="F226" s="247">
        <v>46069</v>
      </c>
      <c r="G226" s="188" t="s">
        <v>643</v>
      </c>
      <c r="H226" s="190" t="str">
        <f>_xlfn.XLOOKUP(DivAndTax[[#This Row],[Investor ID]],INVESTORS_LIST[INVESTOR CODE],INVESTORS_LIST[INVESTOR NAME])</f>
        <v>A.K.M. ANWARUL HOQ</v>
      </c>
      <c r="I226" s="8" t="str">
        <f>_xlfn.XLOOKUP(DivAndTax[[#This Row],[Investor ID]],INVESTORS_LIST[INVESTOR CODE],INVESTORS_LIST[TYPE OF INVESTOR])</f>
        <v>Individual</v>
      </c>
      <c r="J226" s="191">
        <v>100000</v>
      </c>
      <c r="K226" s="192">
        <v>0.35</v>
      </c>
      <c r="L226" s="192">
        <f>DivAndTax[[#This Row],[Total Units]]*DivAndTax[[#This Row],[Dividend Per Unit]]</f>
        <v>35000</v>
      </c>
      <c r="M226" s="192">
        <f>DivAndTax[[#This Row],[Gross Dividend]]</f>
        <v>35000</v>
      </c>
      <c r="N226" s="193" cm="1">
        <f t="array" ref="N22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26" s="192">
        <f>ROUND(IF((DivAndTax[[#This Row],[Taxable Dividend]]*DivAndTax[[#This Row],[Tax Rate
(If Applicable)]])&gt;0,DivAndTax[[#This Row],[Taxable Dividend]]*DivAndTax[[#This Row],[Tax Rate
(If Applicable)]],0),2)</f>
        <v>3500</v>
      </c>
      <c r="P226" s="192">
        <f t="shared" si="55"/>
        <v>31500</v>
      </c>
      <c r="Q226" s="194" t="s">
        <v>1180</v>
      </c>
      <c r="R226" s="192" t="s">
        <v>1139</v>
      </c>
      <c r="S226" s="192"/>
      <c r="T226" s="192" t="str">
        <f>DivAndTax[[#This Row],[Investor ID]]&amp;"-"&amp;(RIGHT(DivAndTax[[#This Row],[Accounting Year]],2))</f>
        <v>A00348-25</v>
      </c>
      <c r="U226" s="192" t="str">
        <f>IF(DivAndTax[[#This Row],[Dividend Option]]="CIP","11",IF(DivAndTax[[#This Row],[Dividend Option]]="CASH","22"))</f>
        <v>11</v>
      </c>
      <c r="V226" s="200"/>
    </row>
    <row r="227" spans="1:22">
      <c r="A227" s="188">
        <v>2026</v>
      </c>
      <c r="B227" s="188">
        <v>1</v>
      </c>
      <c r="C227" s="188">
        <v>1</v>
      </c>
      <c r="D227" s="189">
        <f t="shared" si="54"/>
        <v>46023</v>
      </c>
      <c r="E227" s="188">
        <v>2025</v>
      </c>
      <c r="F227" s="247">
        <v>46069</v>
      </c>
      <c r="G227" s="188" t="s">
        <v>645</v>
      </c>
      <c r="H227" s="190" t="str">
        <f>_xlfn.XLOOKUP(DivAndTax[[#This Row],[Investor ID]],INVESTORS_LIST[INVESTOR CODE],INVESTORS_LIST[INVESTOR NAME])</f>
        <v>MOHAMMAD MOZNU MOLLAH</v>
      </c>
      <c r="I227" s="8" t="str">
        <f>_xlfn.XLOOKUP(DivAndTax[[#This Row],[Investor ID]],INVESTORS_LIST[INVESTOR CODE],INVESTORS_LIST[TYPE OF INVESTOR])</f>
        <v>Individual</v>
      </c>
      <c r="J227" s="191">
        <v>100000</v>
      </c>
      <c r="K227" s="192">
        <v>0.35</v>
      </c>
      <c r="L227" s="192">
        <f>DivAndTax[[#This Row],[Total Units]]*DivAndTax[[#This Row],[Dividend Per Unit]]</f>
        <v>35000</v>
      </c>
      <c r="M227" s="192">
        <f>DivAndTax[[#This Row],[Gross Dividend]]</f>
        <v>35000</v>
      </c>
      <c r="N227" s="193" cm="1">
        <f t="array" ref="N22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27" s="192">
        <f>ROUND(IF((DivAndTax[[#This Row],[Taxable Dividend]]*DivAndTax[[#This Row],[Tax Rate
(If Applicable)]])&gt;0,DivAndTax[[#This Row],[Taxable Dividend]]*DivAndTax[[#This Row],[Tax Rate
(If Applicable)]],0),2)</f>
        <v>3500</v>
      </c>
      <c r="P227" s="192">
        <f t="shared" si="55"/>
        <v>31500</v>
      </c>
      <c r="Q227" s="194" t="s">
        <v>1181</v>
      </c>
      <c r="R227" s="192" t="s">
        <v>1139</v>
      </c>
      <c r="S227" s="192"/>
      <c r="T227" s="192" t="str">
        <f>DivAndTax[[#This Row],[Investor ID]]&amp;"-"&amp;(RIGHT(DivAndTax[[#This Row],[Accounting Year]],2))</f>
        <v>A00349-25</v>
      </c>
      <c r="U227" s="192" t="str">
        <f>IF(DivAndTax[[#This Row],[Dividend Option]]="CIP","11",IF(DivAndTax[[#This Row],[Dividend Option]]="CASH","22"))</f>
        <v>11</v>
      </c>
      <c r="V227" s="200"/>
    </row>
    <row r="228" spans="1:22">
      <c r="A228" s="188">
        <v>2026</v>
      </c>
      <c r="B228" s="188">
        <v>1</v>
      </c>
      <c r="C228" s="188">
        <v>1</v>
      </c>
      <c r="D228" s="189">
        <f t="shared" si="54"/>
        <v>46023</v>
      </c>
      <c r="E228" s="188">
        <v>2025</v>
      </c>
      <c r="F228" s="247">
        <v>46069</v>
      </c>
      <c r="G228" s="188" t="s">
        <v>647</v>
      </c>
      <c r="H228" s="190" t="str">
        <f>_xlfn.XLOOKUP(DivAndTax[[#This Row],[Investor ID]],INVESTORS_LIST[INVESTOR CODE],INVESTORS_LIST[INVESTOR NAME])</f>
        <v>MD. ZAKIR HOSSAIN</v>
      </c>
      <c r="I228" s="8" t="str">
        <f>_xlfn.XLOOKUP(DivAndTax[[#This Row],[Investor ID]],INVESTORS_LIST[INVESTOR CODE],INVESTORS_LIST[TYPE OF INVESTOR])</f>
        <v>Individual</v>
      </c>
      <c r="J228" s="191">
        <v>106652</v>
      </c>
      <c r="K228" s="192">
        <v>0.35</v>
      </c>
      <c r="L228" s="192">
        <f>DivAndTax[[#This Row],[Total Units]]*DivAndTax[[#This Row],[Dividend Per Unit]]</f>
        <v>37328.199999999997</v>
      </c>
      <c r="M228" s="192">
        <f>DivAndTax[[#This Row],[Gross Dividend]]</f>
        <v>37328.199999999997</v>
      </c>
      <c r="N228" s="193" cm="1">
        <f t="array" ref="N22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28" s="192">
        <f>ROUND(IF((DivAndTax[[#This Row],[Taxable Dividend]]*DivAndTax[[#This Row],[Tax Rate
(If Applicable)]])&gt;0,DivAndTax[[#This Row],[Taxable Dividend]]*DivAndTax[[#This Row],[Tax Rate
(If Applicable)]],0),2)</f>
        <v>3732.82</v>
      </c>
      <c r="P228" s="192">
        <f t="shared" si="55"/>
        <v>33595.379999999997</v>
      </c>
      <c r="Q228" s="194" t="s">
        <v>1182</v>
      </c>
      <c r="R228" s="192" t="s">
        <v>1139</v>
      </c>
      <c r="S228" s="192"/>
      <c r="T228" s="192" t="str">
        <f>DivAndTax[[#This Row],[Investor ID]]&amp;"-"&amp;(RIGHT(DivAndTax[[#This Row],[Accounting Year]],2))</f>
        <v>A00350-25</v>
      </c>
      <c r="U228" s="192" t="str">
        <f>IF(DivAndTax[[#This Row],[Dividend Option]]="CIP","11",IF(DivAndTax[[#This Row],[Dividend Option]]="CASH","22"))</f>
        <v>11</v>
      </c>
      <c r="V228" s="200"/>
    </row>
    <row r="229" spans="1:22">
      <c r="A229" s="188">
        <v>2026</v>
      </c>
      <c r="B229" s="188">
        <v>1</v>
      </c>
      <c r="C229" s="188">
        <v>1</v>
      </c>
      <c r="D229" s="189">
        <f t="shared" si="54"/>
        <v>46023</v>
      </c>
      <c r="E229" s="188">
        <v>2025</v>
      </c>
      <c r="F229" s="247">
        <v>46069</v>
      </c>
      <c r="G229" s="188" t="s">
        <v>649</v>
      </c>
      <c r="H229" s="190" t="str">
        <f>_xlfn.XLOOKUP(DivAndTax[[#This Row],[Investor ID]],INVESTORS_LIST[INVESTOR CODE],INVESTORS_LIST[INVESTOR NAME])</f>
        <v>MOHAMMAD SAIFUL ISLAM</v>
      </c>
      <c r="I229" s="8" t="str">
        <f>_xlfn.XLOOKUP(DivAndTax[[#This Row],[Investor ID]],INVESTORS_LIST[INVESTOR CODE],INVESTORS_LIST[TYPE OF INVESTOR])</f>
        <v>Individual</v>
      </c>
      <c r="J229" s="191">
        <v>100000</v>
      </c>
      <c r="K229" s="192">
        <v>0.35</v>
      </c>
      <c r="L229" s="192">
        <f>DivAndTax[[#This Row],[Total Units]]*DivAndTax[[#This Row],[Dividend Per Unit]]</f>
        <v>35000</v>
      </c>
      <c r="M229" s="192">
        <f>DivAndTax[[#This Row],[Gross Dividend]]</f>
        <v>35000</v>
      </c>
      <c r="N229" s="193" cm="1">
        <f t="array" ref="N22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29" s="192">
        <f>ROUND(IF((DivAndTax[[#This Row],[Taxable Dividend]]*DivAndTax[[#This Row],[Tax Rate
(If Applicable)]])&gt;0,DivAndTax[[#This Row],[Taxable Dividend]]*DivAndTax[[#This Row],[Tax Rate
(If Applicable)]],0),2)</f>
        <v>3500</v>
      </c>
      <c r="P229" s="192">
        <f t="shared" si="55"/>
        <v>31500</v>
      </c>
      <c r="Q229" s="194" t="s">
        <v>1183</v>
      </c>
      <c r="R229" s="192" t="s">
        <v>1139</v>
      </c>
      <c r="S229" s="192"/>
      <c r="T229" s="192" t="str">
        <f>DivAndTax[[#This Row],[Investor ID]]&amp;"-"&amp;(RIGHT(DivAndTax[[#This Row],[Accounting Year]],2))</f>
        <v>A00351-25</v>
      </c>
      <c r="U229" s="192" t="str">
        <f>IF(DivAndTax[[#This Row],[Dividend Option]]="CIP","11",IF(DivAndTax[[#This Row],[Dividend Option]]="CASH","22"))</f>
        <v>11</v>
      </c>
      <c r="V229" s="200"/>
    </row>
    <row r="230" spans="1:22">
      <c r="A230" s="188">
        <v>2026</v>
      </c>
      <c r="B230" s="188">
        <v>1</v>
      </c>
      <c r="C230" s="188">
        <v>1</v>
      </c>
      <c r="D230" s="189">
        <f t="shared" ref="D230:D232" si="56">IFERROR(DATE(A230,B230,C230)," ")</f>
        <v>46023</v>
      </c>
      <c r="E230" s="188">
        <v>2025</v>
      </c>
      <c r="F230" s="247">
        <v>46070</v>
      </c>
      <c r="G230" s="188" t="s">
        <v>653</v>
      </c>
      <c r="H230" s="190" t="str">
        <f>_xlfn.XLOOKUP(DivAndTax[[#This Row],[Investor ID]],INVESTORS_LIST[INVESTOR CODE],INVESTORS_LIST[INVESTOR NAME])</f>
        <v>VANGUARD AML GROWTH FUND</v>
      </c>
      <c r="I230" s="8" t="str">
        <f>_xlfn.XLOOKUP(DivAndTax[[#This Row],[Investor ID]],INVESTORS_LIST[INVESTOR CODE],INVESTORS_LIST[TYPE OF INVESTOR])</f>
        <v>Mutual Fund</v>
      </c>
      <c r="J230" s="290">
        <v>615225</v>
      </c>
      <c r="K230" s="283">
        <v>0.35</v>
      </c>
      <c r="L230" s="283">
        <f>DivAndTax[[#This Row],[Total Units]]*DivAndTax[[#This Row],[Dividend Per Unit]]</f>
        <v>215328.75</v>
      </c>
      <c r="M230" s="283">
        <f>DivAndTax[[#This Row],[Gross Dividend]]</f>
        <v>215328.75</v>
      </c>
      <c r="N230" s="193" cm="1">
        <f t="array" ref="N23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</v>
      </c>
      <c r="O230" s="283">
        <f>ROUND(IF((DivAndTax[[#This Row],[Taxable Dividend]]*DivAndTax[[#This Row],[Tax Rate
(If Applicable)]])&gt;0,DivAndTax[[#This Row],[Taxable Dividend]]*DivAndTax[[#This Row],[Tax Rate
(If Applicable)]],0),2)</f>
        <v>0</v>
      </c>
      <c r="P230" s="283">
        <f t="shared" ref="P230:P232" si="57">L230-O230</f>
        <v>215328.75</v>
      </c>
      <c r="Q230" s="194" t="s">
        <v>1146</v>
      </c>
      <c r="R230" s="283" t="s">
        <v>1141</v>
      </c>
      <c r="S230" s="192"/>
      <c r="T230" s="192" t="str">
        <f>DivAndTax[[#This Row],[Investor ID]]&amp;"-"&amp;(RIGHT(DivAndTax[[#This Row],[Accounting Year]],2))</f>
        <v>A00353-25</v>
      </c>
      <c r="U230" s="192" t="str">
        <f>IF(DivAndTax[[#This Row],[Dividend Option]]="CIP","11",IF(DivAndTax[[#This Row],[Dividend Option]]="CASH","22"))</f>
        <v>22</v>
      </c>
      <c r="V230" s="200"/>
    </row>
    <row r="231" spans="1:22">
      <c r="A231" s="188">
        <v>2026</v>
      </c>
      <c r="B231" s="188">
        <v>1</v>
      </c>
      <c r="C231" s="188">
        <v>1</v>
      </c>
      <c r="D231" s="189">
        <f t="shared" si="56"/>
        <v>46023</v>
      </c>
      <c r="E231" s="188">
        <v>2025</v>
      </c>
      <c r="F231" s="247">
        <v>46097</v>
      </c>
      <c r="G231" s="188" t="s">
        <v>655</v>
      </c>
      <c r="H231" s="190" t="str">
        <f>_xlfn.XLOOKUP(DivAndTax[[#This Row],[Investor ID]],INVESTORS_LIST[INVESTOR CODE],INVESTORS_LIST[INVESTOR NAME])</f>
        <v>BRAC BANK LIMITED</v>
      </c>
      <c r="I231" s="8" t="str">
        <f>_xlfn.XLOOKUP(DivAndTax[[#This Row],[Investor ID]],INVESTORS_LIST[INVESTOR CODE],INVESTORS_LIST[TYPE OF INVESTOR])</f>
        <v>Company/Organization</v>
      </c>
      <c r="J231" s="191">
        <v>2250000</v>
      </c>
      <c r="K231" s="192">
        <v>0.35</v>
      </c>
      <c r="L231" s="192">
        <f>DivAndTax[[#This Row],[Total Units]]*DivAndTax[[#This Row],[Dividend Per Unit]]</f>
        <v>787500</v>
      </c>
      <c r="M231" s="192">
        <f>DivAndTax[[#This Row],[Gross Dividend]]</f>
        <v>787500</v>
      </c>
      <c r="N231" s="193" cm="1">
        <f t="array" ref="N23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231" s="192">
        <f>ROUND(IF((DivAndTax[[#This Row],[Taxable Dividend]]*DivAndTax[[#This Row],[Tax Rate
(If Applicable)]])&gt;0,DivAndTax[[#This Row],[Taxable Dividend]]*DivAndTax[[#This Row],[Tax Rate
(If Applicable)]],0),2)</f>
        <v>157500</v>
      </c>
      <c r="P231" s="192">
        <f t="shared" si="57"/>
        <v>630000</v>
      </c>
      <c r="Q231" s="194" t="s">
        <v>1184</v>
      </c>
      <c r="R231" s="192" t="s">
        <v>1141</v>
      </c>
      <c r="S231" s="192"/>
      <c r="T231" s="192" t="str">
        <f>DivAndTax[[#This Row],[Investor ID]]&amp;"-"&amp;(RIGHT(DivAndTax[[#This Row],[Accounting Year]],2))</f>
        <v>A00354-25</v>
      </c>
      <c r="U231" s="192" t="str">
        <f>IF(DivAndTax[[#This Row],[Dividend Option]]="CIP","11",IF(DivAndTax[[#This Row],[Dividend Option]]="CASH","22"))</f>
        <v>22</v>
      </c>
      <c r="V231" s="200"/>
    </row>
    <row r="232" spans="1:22">
      <c r="A232" s="188">
        <v>2026</v>
      </c>
      <c r="B232" s="188">
        <v>1</v>
      </c>
      <c r="C232" s="188">
        <v>1</v>
      </c>
      <c r="D232" s="189">
        <f t="shared" si="56"/>
        <v>46023</v>
      </c>
      <c r="E232" s="188">
        <v>2025</v>
      </c>
      <c r="F232" s="247">
        <v>46097</v>
      </c>
      <c r="G232" s="188" t="s">
        <v>657</v>
      </c>
      <c r="H232" s="190" t="str">
        <f>_xlfn.XLOOKUP(DivAndTax[[#This Row],[Investor ID]],INVESTORS_LIST[INVESTOR CODE],INVESTORS_LIST[INVESTOR NAME])</f>
        <v>NRB COMMERCIAL BANK LIMITED</v>
      </c>
      <c r="I232" s="8" t="str">
        <f>_xlfn.XLOOKUP(DivAndTax[[#This Row],[Investor ID]],INVESTORS_LIST[INVESTOR CODE],INVESTORS_LIST[TYPE OF INVESTOR])</f>
        <v>Company/Organization</v>
      </c>
      <c r="J232" s="191">
        <v>1000000</v>
      </c>
      <c r="K232" s="192">
        <v>0.35</v>
      </c>
      <c r="L232" s="192">
        <f>DivAndTax[[#This Row],[Total Units]]*DivAndTax[[#This Row],[Dividend Per Unit]]</f>
        <v>350000</v>
      </c>
      <c r="M232" s="192">
        <f>DivAndTax[[#This Row],[Gross Dividend]]</f>
        <v>350000</v>
      </c>
      <c r="N232" s="193" cm="1">
        <f t="array" ref="N23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232" s="192">
        <f>ROUND(IF((DivAndTax[[#This Row],[Taxable Dividend]]*DivAndTax[[#This Row],[Tax Rate
(If Applicable)]])&gt;0,DivAndTax[[#This Row],[Taxable Dividend]]*DivAndTax[[#This Row],[Tax Rate
(If Applicable)]],0),2)</f>
        <v>70000</v>
      </c>
      <c r="P232" s="192">
        <f t="shared" si="57"/>
        <v>280000</v>
      </c>
      <c r="Q232" s="194" t="s">
        <v>1146</v>
      </c>
      <c r="R232" s="192" t="s">
        <v>1141</v>
      </c>
      <c r="S232" s="192"/>
      <c r="T232" s="192" t="str">
        <f>DivAndTax[[#This Row],[Investor ID]]&amp;"-"&amp;(RIGHT(DivAndTax[[#This Row],[Accounting Year]],2))</f>
        <v>A00355-25</v>
      </c>
      <c r="U232" s="192" t="str">
        <f>IF(DivAndTax[[#This Row],[Dividend Option]]="CIP","11",IF(DivAndTax[[#This Row],[Dividend Option]]="CASH","22"))</f>
        <v>22</v>
      </c>
      <c r="V232" s="200"/>
    </row>
    <row r="233" spans="1:22">
      <c r="A233" s="188">
        <v>2026</v>
      </c>
      <c r="B233" s="188">
        <v>1</v>
      </c>
      <c r="C233" s="188">
        <v>1</v>
      </c>
      <c r="D233" s="189">
        <f t="shared" ref="D233:D237" si="58">IFERROR(DATE(A233,B233,C233)," ")</f>
        <v>46023</v>
      </c>
      <c r="E233" s="188">
        <v>2025</v>
      </c>
      <c r="F233" s="247">
        <v>46097</v>
      </c>
      <c r="G233" s="188" t="s">
        <v>671</v>
      </c>
      <c r="H233" s="190" t="str">
        <f>_xlfn.XLOOKUP(DivAndTax[[#This Row],[Investor ID]],INVESTORS_LIST[INVESTOR CODE],INVESTORS_LIST[INVESTOR NAME])</f>
        <v>MOHAMMAD YASEEN</v>
      </c>
      <c r="I233" s="8" t="str">
        <f>_xlfn.XLOOKUP(DivAndTax[[#This Row],[Investor ID]],INVESTORS_LIST[INVESTOR CODE],INVESTORS_LIST[TYPE OF INVESTOR])</f>
        <v>Individual</v>
      </c>
      <c r="J233" s="191">
        <v>2000</v>
      </c>
      <c r="K233" s="192">
        <v>0.35</v>
      </c>
      <c r="L233" s="192">
        <f>DivAndTax[[#This Row],[Total Units]]*DivAndTax[[#This Row],[Dividend Per Unit]]</f>
        <v>700</v>
      </c>
      <c r="M233" s="192">
        <f>DivAndTax[[#This Row],[Gross Dividend]]</f>
        <v>700</v>
      </c>
      <c r="N233" s="193" cm="1">
        <f t="array" ref="N23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33" s="192">
        <f>ROUND(IF((DivAndTax[[#This Row],[Taxable Dividend]]*DivAndTax[[#This Row],[Tax Rate
(If Applicable)]])&gt;0,DivAndTax[[#This Row],[Taxable Dividend]]*DivAndTax[[#This Row],[Tax Rate
(If Applicable)]],0),2)</f>
        <v>70</v>
      </c>
      <c r="P233" s="192">
        <f t="shared" ref="P233:P237" si="59">L233-O233</f>
        <v>630</v>
      </c>
      <c r="Q233" s="194" t="s">
        <v>1186</v>
      </c>
      <c r="R233" s="192" t="s">
        <v>1141</v>
      </c>
      <c r="S233" s="192"/>
      <c r="T233" s="192" t="str">
        <f>DivAndTax[[#This Row],[Investor ID]]&amp;"-"&amp;(RIGHT(DivAndTax[[#This Row],[Accounting Year]],2))</f>
        <v>A00362-25</v>
      </c>
      <c r="U233" s="192" t="str">
        <f>IF(DivAndTax[[#This Row],[Dividend Option]]="CIP","11",IF(DivAndTax[[#This Row],[Dividend Option]]="CASH","22"))</f>
        <v>22</v>
      </c>
      <c r="V233" s="200"/>
    </row>
    <row r="234" spans="1:22">
      <c r="A234" s="188">
        <v>2026</v>
      </c>
      <c r="B234" s="188">
        <v>1</v>
      </c>
      <c r="C234" s="188">
        <v>1</v>
      </c>
      <c r="D234" s="189">
        <f t="shared" si="58"/>
        <v>46023</v>
      </c>
      <c r="E234" s="188">
        <v>2025</v>
      </c>
      <c r="F234" s="247">
        <v>46097</v>
      </c>
      <c r="G234" s="188" t="s">
        <v>673</v>
      </c>
      <c r="H234" s="190" t="str">
        <f>_xlfn.XLOOKUP(DivAndTax[[#This Row],[Investor ID]],INVESTORS_LIST[INVESTOR CODE],INVESTORS_LIST[INVESTOR NAME])</f>
        <v>MD. TARIF AZAD KHAN</v>
      </c>
      <c r="I234" s="8" t="str">
        <f>_xlfn.XLOOKUP(DivAndTax[[#This Row],[Investor ID]],INVESTORS_LIST[INVESTOR CODE],INVESTORS_LIST[TYPE OF INVESTOR])</f>
        <v>Individual</v>
      </c>
      <c r="J234" s="191">
        <v>2000</v>
      </c>
      <c r="K234" s="192">
        <v>0.35</v>
      </c>
      <c r="L234" s="192">
        <f>DivAndTax[[#This Row],[Total Units]]*DivAndTax[[#This Row],[Dividend Per Unit]]</f>
        <v>700</v>
      </c>
      <c r="M234" s="192">
        <f>DivAndTax[[#This Row],[Gross Dividend]]</f>
        <v>700</v>
      </c>
      <c r="N234" s="193" cm="1">
        <f t="array" ref="N23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34" s="192">
        <f>ROUND(IF((DivAndTax[[#This Row],[Taxable Dividend]]*DivAndTax[[#This Row],[Tax Rate
(If Applicable)]])&gt;0,DivAndTax[[#This Row],[Taxable Dividend]]*DivAndTax[[#This Row],[Tax Rate
(If Applicable)]],0),2)</f>
        <v>70</v>
      </c>
      <c r="P234" s="192">
        <f t="shared" si="59"/>
        <v>630</v>
      </c>
      <c r="Q234" s="194" t="s">
        <v>1187</v>
      </c>
      <c r="R234" s="192" t="s">
        <v>1141</v>
      </c>
      <c r="S234" s="192"/>
      <c r="T234" s="192" t="str">
        <f>DivAndTax[[#This Row],[Investor ID]]&amp;"-"&amp;(RIGHT(DivAndTax[[#This Row],[Accounting Year]],2))</f>
        <v>A00363-25</v>
      </c>
      <c r="U234" s="192" t="str">
        <f>IF(DivAndTax[[#This Row],[Dividend Option]]="CIP","11",IF(DivAndTax[[#This Row],[Dividend Option]]="CASH","22"))</f>
        <v>22</v>
      </c>
      <c r="V234" s="200"/>
    </row>
    <row r="235" spans="1:22">
      <c r="A235" s="188">
        <v>2026</v>
      </c>
      <c r="B235" s="188">
        <v>1</v>
      </c>
      <c r="C235" s="188">
        <v>1</v>
      </c>
      <c r="D235" s="189">
        <f t="shared" si="58"/>
        <v>46023</v>
      </c>
      <c r="E235" s="188">
        <v>2025</v>
      </c>
      <c r="F235" s="247">
        <v>46097</v>
      </c>
      <c r="G235" s="188" t="s">
        <v>675</v>
      </c>
      <c r="H235" s="190" t="str">
        <f>_xlfn.XLOOKUP(DivAndTax[[#This Row],[Investor ID]],INVESTORS_LIST[INVESTOR CODE],INVESTORS_LIST[INVESTOR NAME])</f>
        <v>MD. AZHARUL KARIM</v>
      </c>
      <c r="I235" s="8" t="str">
        <f>_xlfn.XLOOKUP(DivAndTax[[#This Row],[Investor ID]],INVESTORS_LIST[INVESTOR CODE],INVESTORS_LIST[TYPE OF INVESTOR])</f>
        <v>Individual</v>
      </c>
      <c r="J235" s="191">
        <v>2000</v>
      </c>
      <c r="K235" s="192">
        <v>0.35</v>
      </c>
      <c r="L235" s="192">
        <f>DivAndTax[[#This Row],[Total Units]]*DivAndTax[[#This Row],[Dividend Per Unit]]</f>
        <v>700</v>
      </c>
      <c r="M235" s="192">
        <f>DivAndTax[[#This Row],[Gross Dividend]]</f>
        <v>700</v>
      </c>
      <c r="N235" s="193" cm="1">
        <f t="array" ref="N23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35" s="192">
        <f>ROUND(IF((DivAndTax[[#This Row],[Taxable Dividend]]*DivAndTax[[#This Row],[Tax Rate
(If Applicable)]])&gt;0,DivAndTax[[#This Row],[Taxable Dividend]]*DivAndTax[[#This Row],[Tax Rate
(If Applicable)]],0),2)</f>
        <v>70</v>
      </c>
      <c r="P235" s="192">
        <f t="shared" si="59"/>
        <v>630</v>
      </c>
      <c r="Q235" s="194" t="s">
        <v>1188</v>
      </c>
      <c r="R235" s="192" t="s">
        <v>1141</v>
      </c>
      <c r="S235" s="192"/>
      <c r="T235" s="192" t="str">
        <f>DivAndTax[[#This Row],[Investor ID]]&amp;"-"&amp;(RIGHT(DivAndTax[[#This Row],[Accounting Year]],2))</f>
        <v>A00364-25</v>
      </c>
      <c r="U235" s="192" t="str">
        <f>IF(DivAndTax[[#This Row],[Dividend Option]]="CIP","11",IF(DivAndTax[[#This Row],[Dividend Option]]="CASH","22"))</f>
        <v>22</v>
      </c>
      <c r="V235" s="200"/>
    </row>
    <row r="236" spans="1:22">
      <c r="A236" s="188">
        <v>2026</v>
      </c>
      <c r="B236" s="188">
        <v>1</v>
      </c>
      <c r="C236" s="188">
        <v>1</v>
      </c>
      <c r="D236" s="189">
        <f t="shared" si="58"/>
        <v>46023</v>
      </c>
      <c r="E236" s="188">
        <v>2025</v>
      </c>
      <c r="F236" s="247">
        <v>46097</v>
      </c>
      <c r="G236" s="188" t="s">
        <v>677</v>
      </c>
      <c r="H236" s="190" t="str">
        <f>_xlfn.XLOOKUP(DivAndTax[[#This Row],[Investor ID]],INVESTORS_LIST[INVESTOR CODE],INVESTORS_LIST[INVESTOR NAME])</f>
        <v>BANGLADESH FUND</v>
      </c>
      <c r="I236" s="8" t="str">
        <f>_xlfn.XLOOKUP(DivAndTax[[#This Row],[Investor ID]],INVESTORS_LIST[INVESTOR CODE],INVESTORS_LIST[TYPE OF INVESTOR])</f>
        <v>Mutual Fund</v>
      </c>
      <c r="J236" s="191">
        <v>500000</v>
      </c>
      <c r="K236" s="192">
        <v>0.35</v>
      </c>
      <c r="L236" s="192">
        <f>DivAndTax[[#This Row],[Total Units]]*DivAndTax[[#This Row],[Dividend Per Unit]]</f>
        <v>175000</v>
      </c>
      <c r="M236" s="192">
        <f>DivAndTax[[#This Row],[Gross Dividend]]</f>
        <v>175000</v>
      </c>
      <c r="N236" s="193" cm="1">
        <f t="array" ref="N23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</v>
      </c>
      <c r="O236" s="192">
        <f>ROUND(IF((DivAndTax[[#This Row],[Taxable Dividend]]*DivAndTax[[#This Row],[Tax Rate
(If Applicable)]])&gt;0,DivAndTax[[#This Row],[Taxable Dividend]]*DivAndTax[[#This Row],[Tax Rate
(If Applicable)]],0),2)</f>
        <v>0</v>
      </c>
      <c r="P236" s="192">
        <f t="shared" si="59"/>
        <v>175000</v>
      </c>
      <c r="Q236" s="194" t="s">
        <v>1146</v>
      </c>
      <c r="R236" s="192" t="s">
        <v>1141</v>
      </c>
      <c r="S236" s="192"/>
      <c r="T236" s="192" t="str">
        <f>DivAndTax[[#This Row],[Investor ID]]&amp;"-"&amp;(RIGHT(DivAndTax[[#This Row],[Accounting Year]],2))</f>
        <v>A00365-25</v>
      </c>
      <c r="U236" s="192" t="str">
        <f>IF(DivAndTax[[#This Row],[Dividend Option]]="CIP","11",IF(DivAndTax[[#This Row],[Dividend Option]]="CASH","22"))</f>
        <v>22</v>
      </c>
      <c r="V236" s="200"/>
    </row>
    <row r="237" spans="1:22">
      <c r="A237" s="188">
        <v>2026</v>
      </c>
      <c r="B237" s="188">
        <v>1</v>
      </c>
      <c r="C237" s="188">
        <v>1</v>
      </c>
      <c r="D237" s="189">
        <f t="shared" si="58"/>
        <v>46023</v>
      </c>
      <c r="E237" s="188">
        <v>2025</v>
      </c>
      <c r="F237" s="247">
        <v>46097</v>
      </c>
      <c r="G237" s="188" t="s">
        <v>679</v>
      </c>
      <c r="H237" s="190" t="str">
        <f>_xlfn.XLOOKUP(DivAndTax[[#This Row],[Investor ID]],INVESTORS_LIST[INVESTOR CODE],INVESTORS_LIST[INVESTOR NAME])</f>
        <v>NAYEEMA TASNEEM</v>
      </c>
      <c r="I237" s="8" t="str">
        <f>_xlfn.XLOOKUP(DivAndTax[[#This Row],[Investor ID]],INVESTORS_LIST[INVESTOR CODE],INVESTORS_LIST[TYPE OF INVESTOR])</f>
        <v>Individual</v>
      </c>
      <c r="J237" s="191">
        <v>2348</v>
      </c>
      <c r="K237" s="192">
        <v>0.35</v>
      </c>
      <c r="L237" s="192">
        <f>DivAndTax[[#This Row],[Total Units]]*DivAndTax[[#This Row],[Dividend Per Unit]]</f>
        <v>821.8</v>
      </c>
      <c r="M237" s="192">
        <f>DivAndTax[[#This Row],[Gross Dividend]]</f>
        <v>821.8</v>
      </c>
      <c r="N237" s="193" cm="1">
        <f t="array" ref="N23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37" s="192">
        <f>ROUND(IF((DivAndTax[[#This Row],[Taxable Dividend]]*DivAndTax[[#This Row],[Tax Rate
(If Applicable)]])&gt;0,DivAndTax[[#This Row],[Taxable Dividend]]*DivAndTax[[#This Row],[Tax Rate
(If Applicable)]],0),2)</f>
        <v>123.27</v>
      </c>
      <c r="P237" s="192">
        <f t="shared" si="59"/>
        <v>698.53</v>
      </c>
      <c r="Q237" s="194" t="s">
        <v>1146</v>
      </c>
      <c r="R237" s="192" t="s">
        <v>1141</v>
      </c>
      <c r="S237" s="192"/>
      <c r="T237" s="192" t="str">
        <f>DivAndTax[[#This Row],[Investor ID]]&amp;"-"&amp;(RIGHT(DivAndTax[[#This Row],[Accounting Year]],2))</f>
        <v>A00366-25</v>
      </c>
      <c r="U237" s="192" t="str">
        <f>IF(DivAndTax[[#This Row],[Dividend Option]]="CIP","11",IF(DivAndTax[[#This Row],[Dividend Option]]="CASH","22"))</f>
        <v>22</v>
      </c>
      <c r="V237" s="200"/>
    </row>
    <row r="238" spans="1:22">
      <c r="A238" s="188">
        <v>2026</v>
      </c>
      <c r="B238" s="188">
        <v>1</v>
      </c>
      <c r="C238" s="188">
        <v>1</v>
      </c>
      <c r="D238" s="189">
        <f t="shared" ref="D238:D239" si="60">IFERROR(DATE(A238,B238,C238)," ")</f>
        <v>46023</v>
      </c>
      <c r="E238" s="188">
        <v>2025</v>
      </c>
      <c r="F238" s="247">
        <v>46069</v>
      </c>
      <c r="G238" s="188" t="s">
        <v>684</v>
      </c>
      <c r="H238" s="190" t="str">
        <f>_xlfn.XLOOKUP(DivAndTax[[#This Row],[Investor ID]],INVESTORS_LIST[INVESTOR CODE],INVESTORS_LIST[INVESTOR NAME])</f>
        <v>ASRAAR HOSSAIN</v>
      </c>
      <c r="I238" s="8" t="str">
        <f>_xlfn.XLOOKUP(DivAndTax[[#This Row],[Investor ID]],INVESTORS_LIST[INVESTOR CODE],INVESTORS_LIST[TYPE OF INVESTOR])</f>
        <v>Individual</v>
      </c>
      <c r="J238" s="191">
        <v>174</v>
      </c>
      <c r="K238" s="192">
        <v>0.35</v>
      </c>
      <c r="L238" s="192">
        <f>DivAndTax[[#This Row],[Total Units]]*DivAndTax[[#This Row],[Dividend Per Unit]]</f>
        <v>60.9</v>
      </c>
      <c r="M238" s="192">
        <f>DivAndTax[[#This Row],[Gross Dividend]]</f>
        <v>60.9</v>
      </c>
      <c r="N238" s="193" cm="1">
        <f t="array" ref="N23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38" s="192">
        <f>ROUND(IF((DivAndTax[[#This Row],[Taxable Dividend]]*DivAndTax[[#This Row],[Tax Rate
(If Applicable)]])&gt;0,DivAndTax[[#This Row],[Taxable Dividend]]*DivAndTax[[#This Row],[Tax Rate
(If Applicable)]],0),2)</f>
        <v>6.09</v>
      </c>
      <c r="P238" s="192">
        <f t="shared" ref="P238:P239" si="61">L238-O238</f>
        <v>54.81</v>
      </c>
      <c r="Q238" s="194" t="s">
        <v>1189</v>
      </c>
      <c r="R238" s="192" t="s">
        <v>1139</v>
      </c>
      <c r="S238" s="192"/>
      <c r="T238" s="192" t="str">
        <f>DivAndTax[[#This Row],[Investor ID]]&amp;"-"&amp;(RIGHT(DivAndTax[[#This Row],[Accounting Year]],2))</f>
        <v>A00369-25</v>
      </c>
      <c r="U238" s="192" t="str">
        <f>IF(DivAndTax[[#This Row],[Dividend Option]]="CIP","11",IF(DivAndTax[[#This Row],[Dividend Option]]="CASH","22"))</f>
        <v>11</v>
      </c>
      <c r="V238" s="200"/>
    </row>
    <row r="239" spans="1:22">
      <c r="A239" s="188">
        <v>2026</v>
      </c>
      <c r="B239" s="188">
        <v>1</v>
      </c>
      <c r="C239" s="188">
        <v>1</v>
      </c>
      <c r="D239" s="189">
        <f t="shared" si="60"/>
        <v>46023</v>
      </c>
      <c r="E239" s="188">
        <v>2025</v>
      </c>
      <c r="F239" s="247">
        <v>46069</v>
      </c>
      <c r="G239" s="188" t="s">
        <v>686</v>
      </c>
      <c r="H239" s="190" t="str">
        <f>_xlfn.XLOOKUP(DivAndTax[[#This Row],[Investor ID]],INVESTORS_LIST[INVESTOR CODE],INVESTORS_LIST[INVESTOR NAME])</f>
        <v>ZAIN MOHAMMAD YASEEN</v>
      </c>
      <c r="I239" s="8" t="str">
        <f>_xlfn.XLOOKUP(DivAndTax[[#This Row],[Investor ID]],INVESTORS_LIST[INVESTOR CODE],INVESTORS_LIST[TYPE OF INVESTOR])</f>
        <v>Individual</v>
      </c>
      <c r="J239" s="191">
        <v>3318</v>
      </c>
      <c r="K239" s="192">
        <v>0.35</v>
      </c>
      <c r="L239" s="192">
        <f>DivAndTax[[#This Row],[Total Units]]*DivAndTax[[#This Row],[Dividend Per Unit]]</f>
        <v>1161.3</v>
      </c>
      <c r="M239" s="192">
        <f>DivAndTax[[#This Row],[Gross Dividend]]</f>
        <v>1161.3</v>
      </c>
      <c r="N239" s="193" cm="1">
        <f t="array" ref="N23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39" s="192">
        <f>ROUND(IF((DivAndTax[[#This Row],[Taxable Dividend]]*DivAndTax[[#This Row],[Tax Rate
(If Applicable)]])&gt;0,DivAndTax[[#This Row],[Taxable Dividend]]*DivAndTax[[#This Row],[Tax Rate
(If Applicable)]],0),2)</f>
        <v>116.13</v>
      </c>
      <c r="P239" s="192">
        <f t="shared" si="61"/>
        <v>1045.17</v>
      </c>
      <c r="Q239" s="194" t="s">
        <v>1190</v>
      </c>
      <c r="R239" s="192" t="s">
        <v>1139</v>
      </c>
      <c r="S239" s="192"/>
      <c r="T239" s="192" t="str">
        <f>DivAndTax[[#This Row],[Investor ID]]&amp;"-"&amp;(RIGHT(DivAndTax[[#This Row],[Accounting Year]],2))</f>
        <v>A00370-25</v>
      </c>
      <c r="U239" s="192" t="str">
        <f>IF(DivAndTax[[#This Row],[Dividend Option]]="CIP","11",IF(DivAndTax[[#This Row],[Dividend Option]]="CASH","22"))</f>
        <v>11</v>
      </c>
      <c r="V239" s="200"/>
    </row>
    <row r="240" spans="1:22">
      <c r="A240" s="188">
        <v>2026</v>
      </c>
      <c r="B240" s="188">
        <v>1</v>
      </c>
      <c r="C240" s="188">
        <v>1</v>
      </c>
      <c r="D240" s="189">
        <f t="shared" ref="D240:D245" si="62">IFERROR(DATE(A240,B240,C240)," ")</f>
        <v>46023</v>
      </c>
      <c r="E240" s="188">
        <v>2025</v>
      </c>
      <c r="F240" s="247">
        <v>46097</v>
      </c>
      <c r="G240" s="188" t="s">
        <v>690</v>
      </c>
      <c r="H240" s="190" t="str">
        <f>_xlfn.XLOOKUP(DivAndTax[[#This Row],[Investor ID]],INVESTORS_LIST[INVESTOR CODE],INVESTORS_LIST[INVESTOR NAME])</f>
        <v>MD. ASIF RAIHAN</v>
      </c>
      <c r="I240" s="8" t="str">
        <f>_xlfn.XLOOKUP(DivAndTax[[#This Row],[Investor ID]],INVESTORS_LIST[INVESTOR CODE],INVESTORS_LIST[TYPE OF INVESTOR])</f>
        <v>Individual</v>
      </c>
      <c r="J240" s="191">
        <v>10000</v>
      </c>
      <c r="K240" s="192">
        <v>0.35</v>
      </c>
      <c r="L240" s="192">
        <f>DivAndTax[[#This Row],[Total Units]]*DivAndTax[[#This Row],[Dividend Per Unit]]</f>
        <v>3500</v>
      </c>
      <c r="M240" s="192">
        <f>DivAndTax[[#This Row],[Gross Dividend]]</f>
        <v>3500</v>
      </c>
      <c r="N240" s="193" cm="1">
        <f t="array" ref="N24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40" s="192">
        <f>ROUND(IF((DivAndTax[[#This Row],[Taxable Dividend]]*DivAndTax[[#This Row],[Tax Rate
(If Applicable)]])&gt;0,DivAndTax[[#This Row],[Taxable Dividend]]*DivAndTax[[#This Row],[Tax Rate
(If Applicable)]],0),2)</f>
        <v>350</v>
      </c>
      <c r="P240" s="192">
        <f t="shared" ref="P240:P245" si="63">L240-O240</f>
        <v>3150</v>
      </c>
      <c r="Q240" s="194" t="s">
        <v>1192</v>
      </c>
      <c r="R240" s="192" t="s">
        <v>1141</v>
      </c>
      <c r="S240" s="192"/>
      <c r="T240" s="192" t="str">
        <f>DivAndTax[[#This Row],[Investor ID]]&amp;"-"&amp;(RIGHT(DivAndTax[[#This Row],[Accounting Year]],2))</f>
        <v>A00372-25</v>
      </c>
      <c r="U240" s="192" t="str">
        <f>IF(DivAndTax[[#This Row],[Dividend Option]]="CIP","11",IF(DivAndTax[[#This Row],[Dividend Option]]="CASH","22"))</f>
        <v>22</v>
      </c>
      <c r="V240" s="200"/>
    </row>
    <row r="241" spans="1:22">
      <c r="A241" s="188">
        <v>2026</v>
      </c>
      <c r="B241" s="188">
        <v>1</v>
      </c>
      <c r="C241" s="188">
        <v>1</v>
      </c>
      <c r="D241" s="189">
        <f t="shared" si="62"/>
        <v>46023</v>
      </c>
      <c r="E241" s="188">
        <v>2025</v>
      </c>
      <c r="F241" s="247">
        <v>46097</v>
      </c>
      <c r="G241" s="188" t="s">
        <v>696</v>
      </c>
      <c r="H241" s="190" t="str">
        <f>_xlfn.XLOOKUP(DivAndTax[[#This Row],[Investor ID]],INVESTORS_LIST[INVESTOR CODE],INVESTORS_LIST[INVESTOR NAME])</f>
        <v>DELTA BRAC HOUSING FINANCE CORPORATION LTD</v>
      </c>
      <c r="I241" s="8" t="str">
        <f>_xlfn.XLOOKUP(DivAndTax[[#This Row],[Investor ID]],INVESTORS_LIST[INVESTOR CODE],INVESTORS_LIST[TYPE OF INVESTOR])</f>
        <v>Company/Organization</v>
      </c>
      <c r="J241" s="191">
        <v>1000000</v>
      </c>
      <c r="K241" s="192">
        <v>0.35</v>
      </c>
      <c r="L241" s="192">
        <f>DivAndTax[[#This Row],[Total Units]]*DivAndTax[[#This Row],[Dividend Per Unit]]</f>
        <v>350000</v>
      </c>
      <c r="M241" s="192">
        <f>DivAndTax[[#This Row],[Gross Dividend]]</f>
        <v>350000</v>
      </c>
      <c r="N241" s="193" cm="1">
        <f t="array" ref="N24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0.2</v>
      </c>
      <c r="O241" s="192">
        <f>ROUND(IF((DivAndTax[[#This Row],[Taxable Dividend]]*DivAndTax[[#This Row],[Tax Rate
(If Applicable)]])&gt;0,DivAndTax[[#This Row],[Taxable Dividend]]*DivAndTax[[#This Row],[Tax Rate
(If Applicable)]],0),2)</f>
        <v>70000</v>
      </c>
      <c r="P241" s="192">
        <f t="shared" si="63"/>
        <v>280000</v>
      </c>
      <c r="Q241" s="194" t="s">
        <v>1194</v>
      </c>
      <c r="R241" s="192" t="s">
        <v>1141</v>
      </c>
      <c r="S241" s="192"/>
      <c r="T241" s="192" t="str">
        <f>DivAndTax[[#This Row],[Investor ID]]&amp;"-"&amp;(RIGHT(DivAndTax[[#This Row],[Accounting Year]],2))</f>
        <v>A00375-25</v>
      </c>
      <c r="U241" s="192" t="str">
        <f>IF(DivAndTax[[#This Row],[Dividend Option]]="CIP","11",IF(DivAndTax[[#This Row],[Dividend Option]]="CASH","22"))</f>
        <v>22</v>
      </c>
      <c r="V241" s="200"/>
    </row>
    <row r="242" spans="1:22">
      <c r="A242" s="188">
        <v>2026</v>
      </c>
      <c r="B242" s="188">
        <v>1</v>
      </c>
      <c r="C242" s="188">
        <v>1</v>
      </c>
      <c r="D242" s="189">
        <f t="shared" si="62"/>
        <v>46023</v>
      </c>
      <c r="E242" s="188">
        <v>2025</v>
      </c>
      <c r="F242" s="247">
        <v>46069</v>
      </c>
      <c r="G242" s="188" t="s">
        <v>709</v>
      </c>
      <c r="H242" s="190" t="str">
        <f>_xlfn.XLOOKUP(DivAndTax[[#This Row],[Investor ID]],INVESTORS_LIST[INVESTOR CODE],INVESTORS_LIST[INVESTOR NAME])</f>
        <v>MD. SHAHIDUL ISLAM</v>
      </c>
      <c r="I242" s="8" t="str">
        <f>_xlfn.XLOOKUP(DivAndTax[[#This Row],[Investor ID]],INVESTORS_LIST[INVESTOR CODE],INVESTORS_LIST[TYPE OF INVESTOR])</f>
        <v>Individual</v>
      </c>
      <c r="J242" s="191">
        <v>214</v>
      </c>
      <c r="K242" s="192">
        <v>0.35</v>
      </c>
      <c r="L242" s="192">
        <f>DivAndTax[[#This Row],[Total Units]]*DivAndTax[[#This Row],[Dividend Per Unit]]</f>
        <v>74.899999999999991</v>
      </c>
      <c r="M242" s="192">
        <f>DivAndTax[[#This Row],[Gross Dividend]]</f>
        <v>74.899999999999991</v>
      </c>
      <c r="N242" s="193" cm="1">
        <f t="array" ref="N24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42" s="192">
        <f>ROUND(IF((DivAndTax[[#This Row],[Taxable Dividend]]*DivAndTax[[#This Row],[Tax Rate
(If Applicable)]])&gt;0,DivAndTax[[#This Row],[Taxable Dividend]]*DivAndTax[[#This Row],[Tax Rate
(If Applicable)]],0),2)</f>
        <v>7.49</v>
      </c>
      <c r="P242" s="192">
        <f t="shared" si="63"/>
        <v>67.41</v>
      </c>
      <c r="Q242" s="194" t="s">
        <v>1196</v>
      </c>
      <c r="R242" s="192" t="s">
        <v>1139</v>
      </c>
      <c r="S242" s="192"/>
      <c r="T242" s="192" t="str">
        <f>DivAndTax[[#This Row],[Investor ID]]&amp;"-"&amp;(RIGHT(DivAndTax[[#This Row],[Accounting Year]],2))</f>
        <v>A00382-25</v>
      </c>
      <c r="U242" s="192" t="str">
        <f>IF(DivAndTax[[#This Row],[Dividend Option]]="CIP","11",IF(DivAndTax[[#This Row],[Dividend Option]]="CASH","22"))</f>
        <v>11</v>
      </c>
      <c r="V242" s="200"/>
    </row>
    <row r="243" spans="1:22">
      <c r="A243" s="188">
        <v>2026</v>
      </c>
      <c r="B243" s="188">
        <v>1</v>
      </c>
      <c r="C243" s="188">
        <v>1</v>
      </c>
      <c r="D243" s="189">
        <f t="shared" si="62"/>
        <v>46023</v>
      </c>
      <c r="E243" s="188">
        <v>2025</v>
      </c>
      <c r="F243" s="247">
        <v>46069</v>
      </c>
      <c r="G243" s="188" t="s">
        <v>853</v>
      </c>
      <c r="H243" s="190" t="str">
        <f>_xlfn.XLOOKUP(DivAndTax[[#This Row],[Investor ID]],INVESTORS_LIST[INVESTOR CODE],INVESTORS_LIST[INVESTOR NAME])</f>
        <v>FOUZIA RAHMAN</v>
      </c>
      <c r="I243" s="8" t="str">
        <f>_xlfn.XLOOKUP(DivAndTax[[#This Row],[Investor ID]],INVESTORS_LIST[INVESTOR CODE],INVESTORS_LIST[TYPE OF INVESTOR])</f>
        <v>Individual</v>
      </c>
      <c r="J243" s="191">
        <v>15962</v>
      </c>
      <c r="K243" s="192">
        <v>0.35</v>
      </c>
      <c r="L243" s="192">
        <f>DivAndTax[[#This Row],[Total Units]]*DivAndTax[[#This Row],[Dividend Per Unit]]</f>
        <v>5586.7</v>
      </c>
      <c r="M243" s="192">
        <f>DivAndTax[[#This Row],[Gross Dividend]]</f>
        <v>5586.7</v>
      </c>
      <c r="N243" s="193" cm="1">
        <f t="array" ref="N24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43" s="192">
        <f>ROUND(IF((DivAndTax[[#This Row],[Taxable Dividend]]*DivAndTax[[#This Row],[Tax Rate
(If Applicable)]])&gt;0,DivAndTax[[#This Row],[Taxable Dividend]]*DivAndTax[[#This Row],[Tax Rate
(If Applicable)]],0),2)</f>
        <v>838.01</v>
      </c>
      <c r="P243" s="192">
        <f t="shared" si="63"/>
        <v>4748.6899999999996</v>
      </c>
      <c r="Q243" s="194" t="s">
        <v>1146</v>
      </c>
      <c r="R243" s="192" t="s">
        <v>1139</v>
      </c>
      <c r="S243" s="192"/>
      <c r="T243" s="192" t="str">
        <f>DivAndTax[[#This Row],[Investor ID]]&amp;"-"&amp;(RIGHT(DivAndTax[[#This Row],[Accounting Year]],2))</f>
        <v>A00389-25</v>
      </c>
      <c r="U243" s="192" t="str">
        <f>IF(DivAndTax[[#This Row],[Dividend Option]]="CIP","11",IF(DivAndTax[[#This Row],[Dividend Option]]="CASH","22"))</f>
        <v>11</v>
      </c>
      <c r="V243" s="200"/>
    </row>
    <row r="244" spans="1:22">
      <c r="A244" s="188">
        <v>2026</v>
      </c>
      <c r="B244" s="188">
        <v>1</v>
      </c>
      <c r="C244" s="188">
        <v>1</v>
      </c>
      <c r="D244" s="189">
        <f t="shared" si="62"/>
        <v>46023</v>
      </c>
      <c r="E244" s="188">
        <v>2025</v>
      </c>
      <c r="F244" s="247">
        <v>46069</v>
      </c>
      <c r="G244" s="188" t="s">
        <v>859</v>
      </c>
      <c r="H244" s="190" t="str">
        <f>_xlfn.XLOOKUP(DivAndTax[[#This Row],[Investor ID]],INVESTORS_LIST[INVESTOR CODE],INVESTORS_LIST[INVESTOR NAME])</f>
        <v>EKUSH WEALTH MANAGEMENT LIMITED EMPLOYEES CONTRIBUTORY PROVIDENT FUND</v>
      </c>
      <c r="I244" s="8" t="str">
        <f>_xlfn.XLOOKUP(DivAndTax[[#This Row],[Investor ID]],INVESTORS_LIST[INVESTOR CODE],INVESTORS_LIST[TYPE OF INVESTOR])</f>
        <v>Providend Fund</v>
      </c>
      <c r="J244" s="191">
        <v>47619</v>
      </c>
      <c r="K244" s="192">
        <v>0.35</v>
      </c>
      <c r="L244" s="192">
        <f>DivAndTax[[#This Row],[Total Units]]*DivAndTax[[#This Row],[Dividend Per Unit]]</f>
        <v>16666.649999999998</v>
      </c>
      <c r="M244" s="192">
        <f>DivAndTax[[#This Row],[Gross Dividend]]</f>
        <v>16666.649999999998</v>
      </c>
      <c r="N244" s="193" cm="1">
        <f t="array" ref="N24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44" s="192">
        <f>ROUND(IF((DivAndTax[[#This Row],[Taxable Dividend]]*DivAndTax[[#This Row],[Tax Rate
(If Applicable)]])&gt;0,DivAndTax[[#This Row],[Taxable Dividend]]*DivAndTax[[#This Row],[Tax Rate
(If Applicable)]],0),2)</f>
        <v>1666.67</v>
      </c>
      <c r="P244" s="192">
        <f t="shared" si="63"/>
        <v>14999.979999999998</v>
      </c>
      <c r="Q244" s="194" t="s">
        <v>1146</v>
      </c>
      <c r="R244" s="192" t="s">
        <v>1139</v>
      </c>
      <c r="S244" s="192"/>
      <c r="T244" s="192" t="str">
        <f>DivAndTax[[#This Row],[Investor ID]]&amp;"-"&amp;(RIGHT(DivAndTax[[#This Row],[Accounting Year]],2))</f>
        <v>A00392-25</v>
      </c>
      <c r="U244" s="192" t="str">
        <f>IF(DivAndTax[[#This Row],[Dividend Option]]="CIP","11",IF(DivAndTax[[#This Row],[Dividend Option]]="CASH","22"))</f>
        <v>11</v>
      </c>
      <c r="V244" s="200"/>
    </row>
    <row r="245" spans="1:22">
      <c r="A245" s="188">
        <v>2026</v>
      </c>
      <c r="B245" s="188">
        <v>1</v>
      </c>
      <c r="C245" s="188">
        <v>1</v>
      </c>
      <c r="D245" s="189">
        <f t="shared" si="62"/>
        <v>46023</v>
      </c>
      <c r="E245" s="188">
        <v>2025</v>
      </c>
      <c r="F245" s="247">
        <v>46097</v>
      </c>
      <c r="G245" s="188" t="s">
        <v>906</v>
      </c>
      <c r="H245" s="190" t="str">
        <f>_xlfn.XLOOKUP(DivAndTax[[#This Row],[Investor ID]],INVESTORS_LIST[INVESTOR CODE],INVESTORS_LIST[INVESTOR NAME])</f>
        <v>ARCHONA SAHA</v>
      </c>
      <c r="I245" s="8" t="str">
        <f>_xlfn.XLOOKUP(DivAndTax[[#This Row],[Investor ID]],INVESTORS_LIST[INVESTOR CODE],INVESTORS_LIST[TYPE OF INVESTOR])</f>
        <v>Individual</v>
      </c>
      <c r="J245" s="191">
        <v>31640</v>
      </c>
      <c r="K245" s="192">
        <v>0.35</v>
      </c>
      <c r="L245" s="192">
        <f>DivAndTax[[#This Row],[Total Units]]*DivAndTax[[#This Row],[Dividend Per Unit]]</f>
        <v>11074</v>
      </c>
      <c r="M245" s="192">
        <f>DivAndTax[[#This Row],[Gross Dividend]]</f>
        <v>11074</v>
      </c>
      <c r="N245" s="193" cm="1">
        <f t="array" ref="N24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45" s="192">
        <f>ROUND(IF((DivAndTax[[#This Row],[Taxable Dividend]]*DivAndTax[[#This Row],[Tax Rate
(If Applicable)]])&gt;0,DivAndTax[[#This Row],[Taxable Dividend]]*DivAndTax[[#This Row],[Tax Rate
(If Applicable)]],0),2)</f>
        <v>1107.4000000000001</v>
      </c>
      <c r="P245" s="192">
        <f t="shared" si="63"/>
        <v>9966.6</v>
      </c>
      <c r="Q245" s="194" t="s">
        <v>1619</v>
      </c>
      <c r="R245" s="192" t="s">
        <v>1141</v>
      </c>
      <c r="S245" s="192"/>
      <c r="T245" s="192" t="str">
        <f>DivAndTax[[#This Row],[Investor ID]]&amp;"-"&amp;(RIGHT(DivAndTax[[#This Row],[Accounting Year]],2))</f>
        <v>A00413-25</v>
      </c>
      <c r="U245" s="192" t="str">
        <f>IF(DivAndTax[[#This Row],[Dividend Option]]="CIP","11",IF(DivAndTax[[#This Row],[Dividend Option]]="CASH","22"))</f>
        <v>22</v>
      </c>
      <c r="V245" s="200"/>
    </row>
    <row r="246" spans="1:22">
      <c r="A246" s="188">
        <v>2026</v>
      </c>
      <c r="B246" s="188">
        <v>1</v>
      </c>
      <c r="C246" s="188">
        <v>1</v>
      </c>
      <c r="D246" s="189">
        <f t="shared" ref="D246:D247" si="64">IFERROR(DATE(A246,B246,C246)," ")</f>
        <v>46023</v>
      </c>
      <c r="E246" s="188">
        <v>2025</v>
      </c>
      <c r="F246" s="247">
        <v>46097</v>
      </c>
      <c r="G246" s="188" t="s">
        <v>914</v>
      </c>
      <c r="H246" s="190" t="str">
        <f>_xlfn.XLOOKUP(DivAndTax[[#This Row],[Investor ID]],INVESTORS_LIST[INVESTOR CODE],INVESTORS_LIST[INVESTOR NAME])</f>
        <v>MD. SOHEL ANWAR</v>
      </c>
      <c r="I246" s="8" t="str">
        <f>_xlfn.XLOOKUP(DivAndTax[[#This Row],[Investor ID]],INVESTORS_LIST[INVESTOR CODE],INVESTORS_LIST[TYPE OF INVESTOR])</f>
        <v>Individual</v>
      </c>
      <c r="J246" s="191">
        <v>50865</v>
      </c>
      <c r="K246" s="192">
        <v>0.35</v>
      </c>
      <c r="L246" s="192">
        <f>DivAndTax[[#This Row],[Total Units]]*DivAndTax[[#This Row],[Dividend Per Unit]]</f>
        <v>17802.75</v>
      </c>
      <c r="M246" s="192">
        <f>DivAndTax[[#This Row],[Gross Dividend]]</f>
        <v>17802.75</v>
      </c>
      <c r="N246" s="193" cm="1">
        <f t="array" ref="N24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46" s="192">
        <f>ROUND(IF((DivAndTax[[#This Row],[Taxable Dividend]]*DivAndTax[[#This Row],[Tax Rate
(If Applicable)]])&gt;0,DivAndTax[[#This Row],[Taxable Dividend]]*DivAndTax[[#This Row],[Tax Rate
(If Applicable)]],0),2)</f>
        <v>1780.28</v>
      </c>
      <c r="P246" s="192">
        <f t="shared" ref="P246:P247" si="65">L246-O246</f>
        <v>16022.47</v>
      </c>
      <c r="Q246" s="194" t="s">
        <v>1199</v>
      </c>
      <c r="R246" s="192" t="s">
        <v>1141</v>
      </c>
      <c r="S246" s="192"/>
      <c r="T246" s="192" t="str">
        <f>DivAndTax[[#This Row],[Investor ID]]&amp;"-"&amp;(RIGHT(DivAndTax[[#This Row],[Accounting Year]],2))</f>
        <v>A00418-25</v>
      </c>
      <c r="U246" s="192" t="str">
        <f>IF(DivAndTax[[#This Row],[Dividend Option]]="CIP","11",IF(DivAndTax[[#This Row],[Dividend Option]]="CASH","22"))</f>
        <v>22</v>
      </c>
      <c r="V246" s="200"/>
    </row>
    <row r="247" spans="1:22">
      <c r="A247" s="188">
        <v>2026</v>
      </c>
      <c r="B247" s="188">
        <v>1</v>
      </c>
      <c r="C247" s="188">
        <v>1</v>
      </c>
      <c r="D247" s="189">
        <f t="shared" si="64"/>
        <v>46023</v>
      </c>
      <c r="E247" s="188">
        <v>2025</v>
      </c>
      <c r="F247" s="247">
        <v>46097</v>
      </c>
      <c r="G247" s="188" t="s">
        <v>913</v>
      </c>
      <c r="H247" s="190" t="str">
        <f>_xlfn.XLOOKUP(DivAndTax[[#This Row],[Investor ID]],INVESTORS_LIST[INVESTOR CODE],INVESTORS_LIST[INVESTOR NAME])</f>
        <v>MAZED AHMED ABDULLAH</v>
      </c>
      <c r="I247" s="8" t="str">
        <f>_xlfn.XLOOKUP(DivAndTax[[#This Row],[Investor ID]],INVESTORS_LIST[INVESTOR CODE],INVESTORS_LIST[TYPE OF INVESTOR])</f>
        <v>Individual</v>
      </c>
      <c r="J247" s="191">
        <v>3471</v>
      </c>
      <c r="K247" s="192">
        <v>0.35</v>
      </c>
      <c r="L247" s="192">
        <f>DivAndTax[[#This Row],[Total Units]]*DivAndTax[[#This Row],[Dividend Per Unit]]</f>
        <v>1214.8499999999999</v>
      </c>
      <c r="M247" s="192">
        <f>DivAndTax[[#This Row],[Gross Dividend]]</f>
        <v>1214.8499999999999</v>
      </c>
      <c r="N247" s="193" cm="1">
        <f t="array" ref="N24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47" s="192">
        <f>ROUND(IF((DivAndTax[[#This Row],[Taxable Dividend]]*DivAndTax[[#This Row],[Tax Rate
(If Applicable)]])&gt;0,DivAndTax[[#This Row],[Taxable Dividend]]*DivAndTax[[#This Row],[Tax Rate
(If Applicable)]],0),2)</f>
        <v>121.49</v>
      </c>
      <c r="P247" s="192">
        <f t="shared" si="65"/>
        <v>1093.3599999999999</v>
      </c>
      <c r="Q247" s="194" t="s">
        <v>1200</v>
      </c>
      <c r="R247" s="192" t="s">
        <v>1141</v>
      </c>
      <c r="S247" s="192"/>
      <c r="T247" s="192" t="str">
        <f>DivAndTax[[#This Row],[Investor ID]]&amp;"-"&amp;(RIGHT(DivAndTax[[#This Row],[Accounting Year]],2))</f>
        <v>A00419-25</v>
      </c>
      <c r="U247" s="192" t="str">
        <f>IF(DivAndTax[[#This Row],[Dividend Option]]="CIP","11",IF(DivAndTax[[#This Row],[Dividend Option]]="CASH","22"))</f>
        <v>22</v>
      </c>
      <c r="V247" s="200"/>
    </row>
    <row r="248" spans="1:22">
      <c r="A248" s="188">
        <v>2026</v>
      </c>
      <c r="B248" s="188">
        <v>1</v>
      </c>
      <c r="C248" s="188">
        <v>1</v>
      </c>
      <c r="D248" s="189">
        <f>IFERROR(DATE(A248,B248,C248)," ")</f>
        <v>46023</v>
      </c>
      <c r="E248" s="188">
        <v>2025</v>
      </c>
      <c r="F248" s="247">
        <v>46069</v>
      </c>
      <c r="G248" s="188" t="s">
        <v>927</v>
      </c>
      <c r="H248" s="190" t="str">
        <f>_xlfn.XLOOKUP(DivAndTax[[#This Row],[Investor ID]],INVESTORS_LIST[INVESTOR CODE],INVESTORS_LIST[INVESTOR NAME])</f>
        <v>SRIJON GHOSH</v>
      </c>
      <c r="I248" s="8" t="str">
        <f>_xlfn.XLOOKUP(DivAndTax[[#This Row],[Investor ID]],INVESTORS_LIST[INVESTOR CODE],INVESTORS_LIST[TYPE OF INVESTOR])</f>
        <v>Individual</v>
      </c>
      <c r="J248" s="191">
        <v>47</v>
      </c>
      <c r="K248" s="192">
        <v>0.35</v>
      </c>
      <c r="L248" s="192">
        <f>DivAndTax[[#This Row],[Total Units]]*DivAndTax[[#This Row],[Dividend Per Unit]]</f>
        <v>16.45</v>
      </c>
      <c r="M248" s="192">
        <f>DivAndTax[[#This Row],[Gross Dividend]]</f>
        <v>16.45</v>
      </c>
      <c r="N248" s="193" cm="1">
        <f t="array" ref="N24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48" s="192">
        <f>ROUND(IF((DivAndTax[[#This Row],[Taxable Dividend]]*DivAndTax[[#This Row],[Tax Rate
(If Applicable)]])&gt;0,DivAndTax[[#This Row],[Taxable Dividend]]*DivAndTax[[#This Row],[Tax Rate
(If Applicable)]],0),2)</f>
        <v>1.65</v>
      </c>
      <c r="P248" s="192">
        <f>L248-O248</f>
        <v>14.799999999999999</v>
      </c>
      <c r="Q248" s="194" t="s">
        <v>1353</v>
      </c>
      <c r="R248" s="192" t="s">
        <v>1139</v>
      </c>
      <c r="S248" s="192"/>
      <c r="T248" s="192" t="str">
        <f>DivAndTax[[#This Row],[Investor ID]]&amp;"-"&amp;(RIGHT(DivAndTax[[#This Row],[Accounting Year]],2))</f>
        <v>A00424-25</v>
      </c>
      <c r="U248" s="192" t="str">
        <f>IF(DivAndTax[[#This Row],[Dividend Option]]="CIP","11",IF(DivAndTax[[#This Row],[Dividend Option]]="CASH","22"))</f>
        <v>11</v>
      </c>
      <c r="V248" s="200"/>
    </row>
    <row r="249" spans="1:22">
      <c r="A249" s="188">
        <v>2026</v>
      </c>
      <c r="B249" s="188">
        <v>1</v>
      </c>
      <c r="C249" s="188">
        <v>1</v>
      </c>
      <c r="D249" s="189">
        <f t="shared" ref="D249:D250" si="66">IFERROR(DATE(A249,B249,C249)," ")</f>
        <v>46023</v>
      </c>
      <c r="E249" s="188">
        <v>2025</v>
      </c>
      <c r="F249" s="247">
        <v>46069</v>
      </c>
      <c r="G249" s="188" t="s">
        <v>933</v>
      </c>
      <c r="H249" s="190" t="str">
        <f>_xlfn.XLOOKUP(DivAndTax[[#This Row],[Investor ID]],INVESTORS_LIST[INVESTOR CODE],INVESTORS_LIST[INVESTOR NAME])</f>
        <v>ROKSABA KASEM</v>
      </c>
      <c r="I249" s="8" t="str">
        <f>_xlfn.XLOOKUP(DivAndTax[[#This Row],[Investor ID]],INVESTORS_LIST[INVESTOR CODE],INVESTORS_LIST[TYPE OF INVESTOR])</f>
        <v>Individual</v>
      </c>
      <c r="J249" s="191">
        <v>40519</v>
      </c>
      <c r="K249" s="192">
        <v>0.35</v>
      </c>
      <c r="L249" s="192">
        <f>DivAndTax[[#This Row],[Total Units]]*DivAndTax[[#This Row],[Dividend Per Unit]]</f>
        <v>14181.65</v>
      </c>
      <c r="M249" s="192">
        <f>DivAndTax[[#This Row],[Gross Dividend]]</f>
        <v>14181.65</v>
      </c>
      <c r="N249" s="193" cm="1">
        <f t="array" ref="N24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49" s="192">
        <f>ROUND(IF((DivAndTax[[#This Row],[Taxable Dividend]]*DivAndTax[[#This Row],[Tax Rate
(If Applicable)]])&gt;0,DivAndTax[[#This Row],[Taxable Dividend]]*DivAndTax[[#This Row],[Tax Rate
(If Applicable)]],0),2)</f>
        <v>1418.17</v>
      </c>
      <c r="P249" s="192">
        <f t="shared" ref="P249:P250" si="67">L249-O249</f>
        <v>12763.48</v>
      </c>
      <c r="Q249" s="194" t="s">
        <v>1620</v>
      </c>
      <c r="R249" s="192" t="s">
        <v>1139</v>
      </c>
      <c r="S249" s="192"/>
      <c r="T249" s="192" t="str">
        <f>DivAndTax[[#This Row],[Investor ID]]&amp;"-"&amp;(RIGHT(DivAndTax[[#This Row],[Accounting Year]],2))</f>
        <v>A00427-25</v>
      </c>
      <c r="U249" s="192" t="str">
        <f>IF(DivAndTax[[#This Row],[Dividend Option]]="CIP","11",IF(DivAndTax[[#This Row],[Dividend Option]]="CASH","22"))</f>
        <v>11</v>
      </c>
      <c r="V249" s="200"/>
    </row>
    <row r="250" spans="1:22">
      <c r="A250" s="188">
        <v>2026</v>
      </c>
      <c r="B250" s="188">
        <v>1</v>
      </c>
      <c r="C250" s="188">
        <v>1</v>
      </c>
      <c r="D250" s="189">
        <f t="shared" si="66"/>
        <v>46023</v>
      </c>
      <c r="E250" s="188">
        <v>2025</v>
      </c>
      <c r="F250" s="247">
        <v>46069</v>
      </c>
      <c r="G250" s="188" t="s">
        <v>935</v>
      </c>
      <c r="H250" s="190" t="str">
        <f>_xlfn.XLOOKUP(DivAndTax[[#This Row],[Investor ID]],INVESTORS_LIST[INVESTOR CODE],INVESTORS_LIST[INVESTOR NAME])</f>
        <v>NASRIN AHMED HELA</v>
      </c>
      <c r="I250" s="8" t="str">
        <f>_xlfn.XLOOKUP(DivAndTax[[#This Row],[Investor ID]],INVESTORS_LIST[INVESTOR CODE],INVESTORS_LIST[TYPE OF INVESTOR])</f>
        <v>Individual</v>
      </c>
      <c r="J250" s="191">
        <v>2860</v>
      </c>
      <c r="K250" s="192">
        <v>0.35</v>
      </c>
      <c r="L250" s="192">
        <f>DivAndTax[[#This Row],[Total Units]]*DivAndTax[[#This Row],[Dividend Per Unit]]</f>
        <v>1000.9999999999999</v>
      </c>
      <c r="M250" s="192">
        <f>DivAndTax[[#This Row],[Gross Dividend]]</f>
        <v>1000.9999999999999</v>
      </c>
      <c r="N250" s="193" cm="1">
        <f t="array" ref="N25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50" s="192">
        <f>ROUND(IF((DivAndTax[[#This Row],[Taxable Dividend]]*DivAndTax[[#This Row],[Tax Rate
(If Applicable)]])&gt;0,DivAndTax[[#This Row],[Taxable Dividend]]*DivAndTax[[#This Row],[Tax Rate
(If Applicable)]],0),2)</f>
        <v>100.1</v>
      </c>
      <c r="P250" s="192">
        <f t="shared" si="67"/>
        <v>900.89999999999986</v>
      </c>
      <c r="Q250" s="194" t="s">
        <v>1203</v>
      </c>
      <c r="R250" s="192" t="s">
        <v>1139</v>
      </c>
      <c r="S250" s="192"/>
      <c r="T250" s="192" t="str">
        <f>DivAndTax[[#This Row],[Investor ID]]&amp;"-"&amp;(RIGHT(DivAndTax[[#This Row],[Accounting Year]],2))</f>
        <v>A00428-25</v>
      </c>
      <c r="U250" s="192" t="str">
        <f>IF(DivAndTax[[#This Row],[Dividend Option]]="CIP","11",IF(DivAndTax[[#This Row],[Dividend Option]]="CASH","22"))</f>
        <v>11</v>
      </c>
      <c r="V250" s="200"/>
    </row>
    <row r="251" spans="1:22">
      <c r="A251" s="188">
        <v>2026</v>
      </c>
      <c r="B251" s="188">
        <v>1</v>
      </c>
      <c r="C251" s="188">
        <v>1</v>
      </c>
      <c r="D251" s="189">
        <f>IFERROR(DATE(A251,B251,C251)," ")</f>
        <v>46023</v>
      </c>
      <c r="E251" s="188">
        <v>2025</v>
      </c>
      <c r="F251" s="247">
        <v>46069</v>
      </c>
      <c r="G251" s="188" t="s">
        <v>1004</v>
      </c>
      <c r="H251" s="190" t="str">
        <f>_xlfn.XLOOKUP(DivAndTax[[#This Row],[Investor ID]],INVESTORS_LIST[INVESTOR CODE],INVESTORS_LIST[INVESTOR NAME])</f>
        <v>KHAN MUHAMMAD KAWSER AHMED</v>
      </c>
      <c r="I251" s="8" t="str">
        <f>_xlfn.XLOOKUP(DivAndTax[[#This Row],[Investor ID]],INVESTORS_LIST[INVESTOR CODE],INVESTORS_LIST[TYPE OF INVESTOR])</f>
        <v>Individual</v>
      </c>
      <c r="J251" s="191">
        <v>1239116</v>
      </c>
      <c r="K251" s="192">
        <v>0.35</v>
      </c>
      <c r="L251" s="192">
        <f>DivAndTax[[#This Row],[Total Units]]*DivAndTax[[#This Row],[Dividend Per Unit]]</f>
        <v>433690.6</v>
      </c>
      <c r="M251" s="192">
        <f>DivAndTax[[#This Row],[Gross Dividend]]</f>
        <v>433690.6</v>
      </c>
      <c r="N251" s="193" cm="1">
        <f t="array" ref="N25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51" s="192">
        <f>ROUND(IF((DivAndTax[[#This Row],[Taxable Dividend]]*DivAndTax[[#This Row],[Tax Rate
(If Applicable)]])&gt;0,DivAndTax[[#This Row],[Taxable Dividend]]*DivAndTax[[#This Row],[Tax Rate
(If Applicable)]],0),2)</f>
        <v>65053.59</v>
      </c>
      <c r="P251" s="192">
        <f>L251-O251</f>
        <v>368637.01</v>
      </c>
      <c r="Q251" s="194" t="s">
        <v>1146</v>
      </c>
      <c r="R251" s="192" t="s">
        <v>1139</v>
      </c>
      <c r="S251" s="192"/>
      <c r="T251" s="192" t="str">
        <f>DivAndTax[[#This Row],[Investor ID]]&amp;"-"&amp;(RIGHT(DivAndTax[[#This Row],[Accounting Year]],2))</f>
        <v>A00449-25</v>
      </c>
      <c r="U251" s="192" t="str">
        <f>IF(DivAndTax[[#This Row],[Dividend Option]]="CIP","11",IF(DivAndTax[[#This Row],[Dividend Option]]="CASH","22"))</f>
        <v>11</v>
      </c>
      <c r="V251" s="200"/>
    </row>
    <row r="252" spans="1:22">
      <c r="A252" s="188">
        <v>2026</v>
      </c>
      <c r="B252" s="188">
        <v>1</v>
      </c>
      <c r="C252" s="188">
        <v>1</v>
      </c>
      <c r="D252" s="189">
        <f>IFERROR(DATE(A252,B252,C252)," ")</f>
        <v>46023</v>
      </c>
      <c r="E252" s="188">
        <v>2025</v>
      </c>
      <c r="F252" s="247">
        <v>46069</v>
      </c>
      <c r="G252" s="188" t="s">
        <v>1038</v>
      </c>
      <c r="H252" s="190" t="str">
        <f>_xlfn.XLOOKUP(DivAndTax[[#This Row],[Investor ID]],INVESTORS_LIST[INVESTOR CODE],INVESTORS_LIST[INVESTOR NAME])</f>
        <v>MADHAB GHOSH</v>
      </c>
      <c r="I252" s="8" t="str">
        <f>_xlfn.XLOOKUP(DivAndTax[[#This Row],[Investor ID]],INVESTORS_LIST[INVESTOR CODE],INVESTORS_LIST[TYPE OF INVESTOR])</f>
        <v>Individual</v>
      </c>
      <c r="J252" s="191">
        <v>24146</v>
      </c>
      <c r="K252" s="192">
        <v>0.35</v>
      </c>
      <c r="L252" s="192">
        <f>DivAndTax[[#This Row],[Total Units]]*DivAndTax[[#This Row],[Dividend Per Unit]]</f>
        <v>8451.1</v>
      </c>
      <c r="M252" s="192">
        <f>DivAndTax[[#This Row],[Gross Dividend]]</f>
        <v>8451.1</v>
      </c>
      <c r="N252" s="193" cm="1">
        <f t="array" ref="N25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52" s="192">
        <f>ROUND(IF((DivAndTax[[#This Row],[Taxable Dividend]]*DivAndTax[[#This Row],[Tax Rate
(If Applicable)]])&gt;0,DivAndTax[[#This Row],[Taxable Dividend]]*DivAndTax[[#This Row],[Tax Rate
(If Applicable)]],0),2)</f>
        <v>1267.67</v>
      </c>
      <c r="P252" s="192">
        <f>L252-O252</f>
        <v>7183.43</v>
      </c>
      <c r="Q252" s="194" t="s">
        <v>1146</v>
      </c>
      <c r="R252" s="192" t="s">
        <v>1139</v>
      </c>
      <c r="S252" s="192"/>
      <c r="T252" s="192" t="str">
        <f>DivAndTax[[#This Row],[Investor ID]]&amp;"-"&amp;(RIGHT(DivAndTax[[#This Row],[Accounting Year]],2))</f>
        <v>A00468-25</v>
      </c>
      <c r="U252" s="192" t="str">
        <f>IF(DivAndTax[[#This Row],[Dividend Option]]="CIP","11",IF(DivAndTax[[#This Row],[Dividend Option]]="CASH","22"))</f>
        <v>11</v>
      </c>
      <c r="V252" s="200"/>
    </row>
    <row r="253" spans="1:22">
      <c r="A253" s="188">
        <v>2026</v>
      </c>
      <c r="B253" s="188">
        <v>1</v>
      </c>
      <c r="C253" s="188">
        <v>1</v>
      </c>
      <c r="D253" s="189">
        <f>IFERROR(DATE(A253,B253,C253)," ")</f>
        <v>46023</v>
      </c>
      <c r="E253" s="188">
        <v>2025</v>
      </c>
      <c r="F253" s="247">
        <v>46069</v>
      </c>
      <c r="G253" s="188" t="s">
        <v>1043</v>
      </c>
      <c r="H253" s="190" t="str">
        <f>_xlfn.XLOOKUP(DivAndTax[[#This Row],[Investor ID]],INVESTORS_LIST[INVESTOR CODE],INVESTORS_LIST[INVESTOR NAME])</f>
        <v>MUHAMMAD SHOHIDUZZAMAN</v>
      </c>
      <c r="I253" s="8" t="str">
        <f>_xlfn.XLOOKUP(DivAndTax[[#This Row],[Investor ID]],INVESTORS_LIST[INVESTOR CODE],INVESTORS_LIST[TYPE OF INVESTOR])</f>
        <v>Individual</v>
      </c>
      <c r="J253" s="191">
        <v>337297</v>
      </c>
      <c r="K253" s="192">
        <v>0.35</v>
      </c>
      <c r="L253" s="192">
        <f>DivAndTax[[#This Row],[Total Units]]*DivAndTax[[#This Row],[Dividend Per Unit]]</f>
        <v>118053.95</v>
      </c>
      <c r="M253" s="192">
        <f>DivAndTax[[#This Row],[Gross Dividend]]</f>
        <v>118053.95</v>
      </c>
      <c r="N253" s="193" cm="1">
        <f t="array" ref="N25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53" s="192">
        <f>ROUND(IF((DivAndTax[[#This Row],[Taxable Dividend]]*DivAndTax[[#This Row],[Tax Rate
(If Applicable)]])&gt;0,DivAndTax[[#This Row],[Taxable Dividend]]*DivAndTax[[#This Row],[Tax Rate
(If Applicable)]],0),2)</f>
        <v>11805.4</v>
      </c>
      <c r="P253" s="192">
        <f>L253-O253</f>
        <v>106248.55</v>
      </c>
      <c r="Q253" s="194" t="s">
        <v>1621</v>
      </c>
      <c r="R253" s="192" t="s">
        <v>1139</v>
      </c>
      <c r="S253" s="192"/>
      <c r="T253" s="192" t="str">
        <f>DivAndTax[[#This Row],[Investor ID]]&amp;"-"&amp;(RIGHT(DivAndTax[[#This Row],[Accounting Year]],2))</f>
        <v>A00470-25</v>
      </c>
      <c r="U253" s="192" t="str">
        <f>IF(DivAndTax[[#This Row],[Dividend Option]]="CIP","11",IF(DivAndTax[[#This Row],[Dividend Option]]="CASH","22"))</f>
        <v>11</v>
      </c>
      <c r="V253" s="200"/>
    </row>
    <row r="254" spans="1:22">
      <c r="A254" s="188">
        <v>2026</v>
      </c>
      <c r="B254" s="188">
        <v>1</v>
      </c>
      <c r="C254" s="188">
        <v>1</v>
      </c>
      <c r="D254" s="189">
        <f t="shared" ref="D254:D255" si="68">IFERROR(DATE(A254,B254,C254)," ")</f>
        <v>46023</v>
      </c>
      <c r="E254" s="188">
        <v>2025</v>
      </c>
      <c r="F254" s="247">
        <v>46069</v>
      </c>
      <c r="G254" s="188" t="s">
        <v>1105</v>
      </c>
      <c r="H254" s="190" t="str">
        <f>_xlfn.XLOOKUP(DivAndTax[[#This Row],[Investor ID]],INVESTORS_LIST[INVESTOR CODE],INVESTORS_LIST[INVESTOR NAME])</f>
        <v>RAJIV HASSAN</v>
      </c>
      <c r="I254" s="8" t="str">
        <f>_xlfn.XLOOKUP(DivAndTax[[#This Row],[Investor ID]],INVESTORS_LIST[INVESTOR CODE],INVESTORS_LIST[TYPE OF INVESTOR])</f>
        <v>Individual</v>
      </c>
      <c r="J254" s="191">
        <v>45600</v>
      </c>
      <c r="K254" s="192">
        <v>0.35</v>
      </c>
      <c r="L254" s="192">
        <f>DivAndTax[[#This Row],[Total Units]]*DivAndTax[[#This Row],[Dividend Per Unit]]</f>
        <v>15959.999999999998</v>
      </c>
      <c r="M254" s="192">
        <f>DivAndTax[[#This Row],[Gross Dividend]]</f>
        <v>15959.999999999998</v>
      </c>
      <c r="N254" s="193" cm="1">
        <f t="array" ref="N25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54" s="192">
        <f>ROUND(IF((DivAndTax[[#This Row],[Taxable Dividend]]*DivAndTax[[#This Row],[Tax Rate
(If Applicable)]])&gt;0,DivAndTax[[#This Row],[Taxable Dividend]]*DivAndTax[[#This Row],[Tax Rate
(If Applicable)]],0),2)</f>
        <v>1596</v>
      </c>
      <c r="P254" s="192">
        <f t="shared" ref="P254:P255" si="69">L254-O254</f>
        <v>14363.999999999998</v>
      </c>
      <c r="Q254" s="194" t="s">
        <v>1622</v>
      </c>
      <c r="R254" s="192" t="s">
        <v>1139</v>
      </c>
      <c r="S254" s="192"/>
      <c r="T254" s="192" t="str">
        <f>DivAndTax[[#This Row],[Investor ID]]&amp;"-"&amp;(RIGHT(DivAndTax[[#This Row],[Accounting Year]],2))</f>
        <v>A00496-25</v>
      </c>
      <c r="U254" s="192" t="str">
        <f>IF(DivAndTax[[#This Row],[Dividend Option]]="CIP","11",IF(DivAndTax[[#This Row],[Dividend Option]]="CASH","22"))</f>
        <v>11</v>
      </c>
      <c r="V254" s="200"/>
    </row>
    <row r="255" spans="1:22">
      <c r="A255" s="188">
        <v>2026</v>
      </c>
      <c r="B255" s="188">
        <v>1</v>
      </c>
      <c r="C255" s="188">
        <v>1</v>
      </c>
      <c r="D255" s="189">
        <f t="shared" si="68"/>
        <v>46023</v>
      </c>
      <c r="E255" s="188">
        <v>2025</v>
      </c>
      <c r="F255" s="247">
        <v>46069</v>
      </c>
      <c r="G255" s="188" t="s">
        <v>1107</v>
      </c>
      <c r="H255" s="190" t="str">
        <f>_xlfn.XLOOKUP(DivAndTax[[#This Row],[Investor ID]],INVESTORS_LIST[INVESTOR CODE],INVESTORS_LIST[INVESTOR NAME])</f>
        <v>SHAHRIAR AZAD SHASHI</v>
      </c>
      <c r="I255" s="8" t="str">
        <f>_xlfn.XLOOKUP(DivAndTax[[#This Row],[Investor ID]],INVESTORS_LIST[INVESTOR CODE],INVESTORS_LIST[TYPE OF INVESTOR])</f>
        <v>Individual</v>
      </c>
      <c r="J255" s="191">
        <v>33000</v>
      </c>
      <c r="K255" s="192">
        <v>0.35</v>
      </c>
      <c r="L255" s="192">
        <f>DivAndTax[[#This Row],[Total Units]]*DivAndTax[[#This Row],[Dividend Per Unit]]</f>
        <v>11550</v>
      </c>
      <c r="M255" s="192">
        <f>DivAndTax[[#This Row],[Gross Dividend]]</f>
        <v>11550</v>
      </c>
      <c r="N255" s="193" cm="1">
        <f t="array" ref="N25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55" s="192">
        <f>ROUND(IF((DivAndTax[[#This Row],[Taxable Dividend]]*DivAndTax[[#This Row],[Tax Rate
(If Applicable)]])&gt;0,DivAndTax[[#This Row],[Taxable Dividend]]*DivAndTax[[#This Row],[Tax Rate
(If Applicable)]],0),2)</f>
        <v>1155</v>
      </c>
      <c r="P255" s="192">
        <f t="shared" si="69"/>
        <v>10395</v>
      </c>
      <c r="Q255" s="194" t="s">
        <v>1623</v>
      </c>
      <c r="R255" s="192" t="s">
        <v>1139</v>
      </c>
      <c r="S255" s="192"/>
      <c r="T255" s="192" t="str">
        <f>DivAndTax[[#This Row],[Investor ID]]&amp;"-"&amp;(RIGHT(DivAndTax[[#This Row],[Accounting Year]],2))</f>
        <v>A00497-25</v>
      </c>
      <c r="U255" s="192" t="str">
        <f>IF(DivAndTax[[#This Row],[Dividend Option]]="CIP","11",IF(DivAndTax[[#This Row],[Dividend Option]]="CASH","22"))</f>
        <v>11</v>
      </c>
      <c r="V255" s="200"/>
    </row>
    <row r="256" spans="1:22">
      <c r="A256" s="188">
        <v>2026</v>
      </c>
      <c r="B256" s="188">
        <v>1</v>
      </c>
      <c r="C256" s="188">
        <v>1</v>
      </c>
      <c r="D256" s="189">
        <f t="shared" ref="D256:D264" si="70">IFERROR(DATE(A256,B256,C256)," ")</f>
        <v>46023</v>
      </c>
      <c r="E256" s="188">
        <v>2025</v>
      </c>
      <c r="F256" s="247">
        <v>46097</v>
      </c>
      <c r="G256" s="188" t="s">
        <v>1118</v>
      </c>
      <c r="H256" s="190" t="str">
        <f>_xlfn.XLOOKUP(DivAndTax[[#This Row],[Investor ID]],INVESTORS_LIST[INVESTOR CODE],INVESTORS_LIST[INVESTOR NAME])</f>
        <v>HUMAIRA TABASSUM READDHE</v>
      </c>
      <c r="I256" s="8" t="str">
        <f>_xlfn.XLOOKUP(DivAndTax[[#This Row],[Investor ID]],INVESTORS_LIST[INVESTOR CODE],INVESTORS_LIST[TYPE OF INVESTOR])</f>
        <v>Individual</v>
      </c>
      <c r="J256" s="191">
        <v>2320</v>
      </c>
      <c r="K256" s="192">
        <v>0.35</v>
      </c>
      <c r="L256" s="192">
        <f>DivAndTax[[#This Row],[Total Units]]*DivAndTax[[#This Row],[Dividend Per Unit]]</f>
        <v>812</v>
      </c>
      <c r="M256" s="192">
        <f>DivAndTax[[#This Row],[Gross Dividend]]</f>
        <v>812</v>
      </c>
      <c r="N256" s="193" cm="1">
        <f t="array" ref="N25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56" s="192">
        <f>ROUND(IF((DivAndTax[[#This Row],[Taxable Dividend]]*DivAndTax[[#This Row],[Tax Rate
(If Applicable)]])&gt;0,DivAndTax[[#This Row],[Taxable Dividend]]*DivAndTax[[#This Row],[Tax Rate
(If Applicable)]],0),2)</f>
        <v>81.2</v>
      </c>
      <c r="P256" s="192">
        <f t="shared" ref="P256:P264" si="71">L256-O256</f>
        <v>730.8</v>
      </c>
      <c r="Q256" s="194" t="s">
        <v>1354</v>
      </c>
      <c r="R256" s="192" t="s">
        <v>1141</v>
      </c>
      <c r="S256" s="192"/>
      <c r="T256" s="192" t="str">
        <f>DivAndTax[[#This Row],[Investor ID]]&amp;"-"&amp;(RIGHT(DivAndTax[[#This Row],[Accounting Year]],2))</f>
        <v>A00503-25</v>
      </c>
      <c r="U256" s="192" t="str">
        <f>IF(DivAndTax[[#This Row],[Dividend Option]]="CIP","11",IF(DivAndTax[[#This Row],[Dividend Option]]="CASH","22"))</f>
        <v>22</v>
      </c>
      <c r="V256" s="200"/>
    </row>
    <row r="257" spans="1:22">
      <c r="A257" s="188">
        <v>2026</v>
      </c>
      <c r="B257" s="188">
        <v>1</v>
      </c>
      <c r="C257" s="188">
        <v>1</v>
      </c>
      <c r="D257" s="189">
        <f t="shared" si="70"/>
        <v>46023</v>
      </c>
      <c r="E257" s="188">
        <v>2025</v>
      </c>
      <c r="F257" s="247">
        <v>46069</v>
      </c>
      <c r="G257" s="188" t="s">
        <v>1224</v>
      </c>
      <c r="H257" s="190" t="str">
        <f>_xlfn.XLOOKUP(DivAndTax[[#This Row],[Investor ID]],INVESTORS_LIST[INVESTOR CODE],INVESTORS_LIST[INVESTOR NAME])</f>
        <v>FARZANA MOSTAFA TITHE</v>
      </c>
      <c r="I257" s="8" t="str">
        <f>_xlfn.XLOOKUP(DivAndTax[[#This Row],[Investor ID]],INVESTORS_LIST[INVESTOR CODE],INVESTORS_LIST[TYPE OF INVESTOR])</f>
        <v>Individual</v>
      </c>
      <c r="J257" s="191">
        <v>240000</v>
      </c>
      <c r="K257" s="192">
        <v>0.35</v>
      </c>
      <c r="L257" s="192">
        <f>DivAndTax[[#This Row],[Total Units]]*DivAndTax[[#This Row],[Dividend Per Unit]]</f>
        <v>84000</v>
      </c>
      <c r="M257" s="192">
        <f>DivAndTax[[#This Row],[Gross Dividend]]</f>
        <v>84000</v>
      </c>
      <c r="N257" s="193" cm="1">
        <f t="array" ref="N25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57" s="192">
        <f>ROUND(IF((DivAndTax[[#This Row],[Taxable Dividend]]*DivAndTax[[#This Row],[Tax Rate
(If Applicable)]])&gt;0,DivAndTax[[#This Row],[Taxable Dividend]]*DivAndTax[[#This Row],[Tax Rate
(If Applicable)]],0),2)</f>
        <v>8400</v>
      </c>
      <c r="P257" s="192">
        <f t="shared" si="71"/>
        <v>75600</v>
      </c>
      <c r="Q257" s="194" t="s">
        <v>1624</v>
      </c>
      <c r="R257" s="192" t="s">
        <v>1139</v>
      </c>
      <c r="S257" s="192"/>
      <c r="T257" s="192" t="str">
        <f>DivAndTax[[#This Row],[Investor ID]]&amp;"-"&amp;(RIGHT(DivAndTax[[#This Row],[Accounting Year]],2))</f>
        <v>A00517-25</v>
      </c>
      <c r="U257" s="192" t="str">
        <f>IF(DivAndTax[[#This Row],[Dividend Option]]="CIP","11",IF(DivAndTax[[#This Row],[Dividend Option]]="CASH","22"))</f>
        <v>11</v>
      </c>
      <c r="V257" s="200"/>
    </row>
    <row r="258" spans="1:22">
      <c r="A258" s="188">
        <v>2026</v>
      </c>
      <c r="B258" s="188">
        <v>1</v>
      </c>
      <c r="C258" s="188">
        <v>1</v>
      </c>
      <c r="D258" s="189">
        <f t="shared" si="70"/>
        <v>46023</v>
      </c>
      <c r="E258" s="188">
        <v>2025</v>
      </c>
      <c r="F258" s="247">
        <v>46069</v>
      </c>
      <c r="G258" s="188" t="s">
        <v>1248</v>
      </c>
      <c r="H258" s="190" t="str">
        <f>_xlfn.XLOOKUP(DivAndTax[[#This Row],[Investor ID]],INVESTORS_LIST[INVESTOR CODE],INVESTORS_LIST[INVESTOR NAME])</f>
        <v>ADNAN NOOR</v>
      </c>
      <c r="I258" s="8" t="str">
        <f>_xlfn.XLOOKUP(DivAndTax[[#This Row],[Investor ID]],INVESTORS_LIST[INVESTOR CODE],INVESTORS_LIST[TYPE OF INVESTOR])</f>
        <v>Individual</v>
      </c>
      <c r="J258" s="191">
        <v>47573</v>
      </c>
      <c r="K258" s="192">
        <v>0.35</v>
      </c>
      <c r="L258" s="192">
        <f>DivAndTax[[#This Row],[Total Units]]*DivAndTax[[#This Row],[Dividend Per Unit]]</f>
        <v>16650.55</v>
      </c>
      <c r="M258" s="192">
        <f>DivAndTax[[#This Row],[Gross Dividend]]</f>
        <v>16650.55</v>
      </c>
      <c r="N258" s="193" cm="1">
        <f t="array" ref="N25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58" s="192">
        <f>ROUND(IF((DivAndTax[[#This Row],[Taxable Dividend]]*DivAndTax[[#This Row],[Tax Rate
(If Applicable)]])&gt;0,DivAndTax[[#This Row],[Taxable Dividend]]*DivAndTax[[#This Row],[Tax Rate
(If Applicable)]],0),2)</f>
        <v>1665.06</v>
      </c>
      <c r="P258" s="192">
        <f t="shared" si="71"/>
        <v>14985.49</v>
      </c>
      <c r="Q258" s="194" t="s">
        <v>1625</v>
      </c>
      <c r="R258" s="192" t="s">
        <v>1139</v>
      </c>
      <c r="S258" s="192"/>
      <c r="T258" s="192" t="str">
        <f>DivAndTax[[#This Row],[Investor ID]]&amp;"-"&amp;(RIGHT(DivAndTax[[#This Row],[Accounting Year]],2))</f>
        <v>A00529-25</v>
      </c>
      <c r="U258" s="192" t="str">
        <f>IF(DivAndTax[[#This Row],[Dividend Option]]="CIP","11",IF(DivAndTax[[#This Row],[Dividend Option]]="CASH","22"))</f>
        <v>11</v>
      </c>
      <c r="V258" s="200"/>
    </row>
    <row r="259" spans="1:22">
      <c r="A259" s="188">
        <v>2026</v>
      </c>
      <c r="B259" s="188">
        <v>1</v>
      </c>
      <c r="C259" s="188">
        <v>1</v>
      </c>
      <c r="D259" s="189">
        <f t="shared" si="70"/>
        <v>46023</v>
      </c>
      <c r="E259" s="188">
        <v>2025</v>
      </c>
      <c r="F259" s="247">
        <v>46096</v>
      </c>
      <c r="G259" s="188" t="s">
        <v>1327</v>
      </c>
      <c r="H259" s="190" t="str">
        <f>_xlfn.XLOOKUP(DivAndTax[[#This Row],[Investor ID]],INVESTORS_LIST[INVESTOR CODE],INVESTORS_LIST[INVESTOR NAME])</f>
        <v>MD GOLAM SHAON</v>
      </c>
      <c r="I259" s="8" t="str">
        <f>_xlfn.XLOOKUP(DivAndTax[[#This Row],[Investor ID]],INVESTORS_LIST[INVESTOR CODE],INVESTORS_LIST[TYPE OF INVESTOR])</f>
        <v>Individual</v>
      </c>
      <c r="J259" s="191">
        <v>29541</v>
      </c>
      <c r="K259" s="192">
        <v>0.35</v>
      </c>
      <c r="L259" s="192">
        <f>DivAndTax[[#This Row],[Total Units]]*DivAndTax[[#This Row],[Dividend Per Unit]]</f>
        <v>10339.349999999999</v>
      </c>
      <c r="M259" s="192">
        <f>DivAndTax[[#This Row],[Gross Dividend]]</f>
        <v>10339.349999999999</v>
      </c>
      <c r="N259" s="193" cm="1">
        <f t="array" ref="N25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59" s="192">
        <f>ROUND(IF((DivAndTax[[#This Row],[Taxable Dividend]]*DivAndTax[[#This Row],[Tax Rate
(If Applicable)]])&gt;0,DivAndTax[[#This Row],[Taxable Dividend]]*DivAndTax[[#This Row],[Tax Rate
(If Applicable)]],0),2)</f>
        <v>1033.94</v>
      </c>
      <c r="P259" s="192">
        <f t="shared" si="71"/>
        <v>9305.409999999998</v>
      </c>
      <c r="Q259" s="194" t="s">
        <v>1355</v>
      </c>
      <c r="R259" s="192" t="s">
        <v>1139</v>
      </c>
      <c r="S259" s="192"/>
      <c r="T259" s="192" t="str">
        <f>DivAndTax[[#This Row],[Investor ID]]&amp;"-"&amp;(RIGHT(DivAndTax[[#This Row],[Accounting Year]],2))</f>
        <v>A00567-25</v>
      </c>
      <c r="U259" s="192" t="str">
        <f>IF(DivAndTax[[#This Row],[Dividend Option]]="CIP","11",IF(DivAndTax[[#This Row],[Dividend Option]]="CASH","22"))</f>
        <v>11</v>
      </c>
      <c r="V259" s="200"/>
    </row>
    <row r="260" spans="1:22">
      <c r="A260" s="188">
        <v>2026</v>
      </c>
      <c r="B260" s="188">
        <v>1</v>
      </c>
      <c r="C260" s="188">
        <v>1</v>
      </c>
      <c r="D260" s="189">
        <f t="shared" si="70"/>
        <v>46023</v>
      </c>
      <c r="E260" s="188">
        <v>2025</v>
      </c>
      <c r="F260" s="247">
        <v>46069</v>
      </c>
      <c r="G260" s="188" t="s">
        <v>1376</v>
      </c>
      <c r="H260" s="190" t="str">
        <f>_xlfn.XLOOKUP(DivAndTax[[#This Row],[Investor ID]],INVESTORS_LIST[INVESTOR CODE],INVESTORS_LIST[INVESTOR NAME])</f>
        <v>PUJA BHATTACHARJEE</v>
      </c>
      <c r="I260" s="8" t="str">
        <f>_xlfn.XLOOKUP(DivAndTax[[#This Row],[Investor ID]],INVESTORS_LIST[INVESTOR CODE],INVESTORS_LIST[TYPE OF INVESTOR])</f>
        <v>Individual</v>
      </c>
      <c r="J260" s="191">
        <v>24311</v>
      </c>
      <c r="K260" s="192">
        <v>0.35</v>
      </c>
      <c r="L260" s="192">
        <f>DivAndTax[[#This Row],[Total Units]]*DivAndTax[[#This Row],[Dividend Per Unit]]</f>
        <v>8508.85</v>
      </c>
      <c r="M260" s="192">
        <f>DivAndTax[[#This Row],[Gross Dividend]]</f>
        <v>8508.85</v>
      </c>
      <c r="N260" s="193" cm="1">
        <f t="array" ref="N26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60" s="192">
        <f>ROUND(IF((DivAndTax[[#This Row],[Taxable Dividend]]*DivAndTax[[#This Row],[Tax Rate
(If Applicable)]])&gt;0,DivAndTax[[#This Row],[Taxable Dividend]]*DivAndTax[[#This Row],[Tax Rate
(If Applicable)]],0),2)</f>
        <v>850.89</v>
      </c>
      <c r="P260" s="192">
        <f t="shared" si="71"/>
        <v>7657.96</v>
      </c>
      <c r="Q260" s="194" t="s">
        <v>1626</v>
      </c>
      <c r="R260" s="192" t="s">
        <v>1139</v>
      </c>
      <c r="S260" s="192"/>
      <c r="T260" s="192" t="str">
        <f>DivAndTax[[#This Row],[Investor ID]]&amp;"-"&amp;(RIGHT(DivAndTax[[#This Row],[Accounting Year]],2))</f>
        <v>A00590-25</v>
      </c>
      <c r="U260" s="192" t="str">
        <f>IF(DivAndTax[[#This Row],[Dividend Option]]="CIP","11",IF(DivAndTax[[#This Row],[Dividend Option]]="CASH","22"))</f>
        <v>11</v>
      </c>
      <c r="V260" s="200"/>
    </row>
    <row r="261" spans="1:22">
      <c r="A261" s="188">
        <v>2026</v>
      </c>
      <c r="B261" s="188">
        <v>1</v>
      </c>
      <c r="C261" s="188">
        <v>1</v>
      </c>
      <c r="D261" s="189">
        <f t="shared" si="70"/>
        <v>46023</v>
      </c>
      <c r="E261" s="188">
        <v>2025</v>
      </c>
      <c r="F261" s="247">
        <v>46069</v>
      </c>
      <c r="G261" s="188" t="s">
        <v>1436</v>
      </c>
      <c r="H261" s="190" t="str">
        <f>_xlfn.XLOOKUP(DivAndTax[[#This Row],[Investor ID]],INVESTORS_LIST[INVESTOR CODE],INVESTORS_LIST[INVESTOR NAME])</f>
        <v>ARIF HASAN KHAN</v>
      </c>
      <c r="I261" s="8" t="str">
        <f>_xlfn.XLOOKUP(DivAndTax[[#This Row],[Investor ID]],INVESTORS_LIST[INVESTOR CODE],INVESTORS_LIST[TYPE OF INVESTOR])</f>
        <v>Individual</v>
      </c>
      <c r="J261" s="191">
        <v>16479</v>
      </c>
      <c r="K261" s="192">
        <v>0.35</v>
      </c>
      <c r="L261" s="192">
        <f>DivAndTax[[#This Row],[Total Units]]*DivAndTax[[#This Row],[Dividend Per Unit]]</f>
        <v>5767.65</v>
      </c>
      <c r="M261" s="192">
        <f>DivAndTax[[#This Row],[Gross Dividend]]</f>
        <v>5767.65</v>
      </c>
      <c r="N261" s="193" cm="1">
        <f t="array" ref="N26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61" s="192">
        <f>ROUND(IF((DivAndTax[[#This Row],[Taxable Dividend]]*DivAndTax[[#This Row],[Tax Rate
(If Applicable)]])&gt;0,DivAndTax[[#This Row],[Taxable Dividend]]*DivAndTax[[#This Row],[Tax Rate
(If Applicable)]],0),2)</f>
        <v>576.77</v>
      </c>
      <c r="P261" s="192">
        <f t="shared" si="71"/>
        <v>5190.8799999999992</v>
      </c>
      <c r="Q261" s="194" t="s">
        <v>1627</v>
      </c>
      <c r="R261" s="192" t="s">
        <v>1139</v>
      </c>
      <c r="S261" s="192"/>
      <c r="T261" s="192" t="str">
        <f>DivAndTax[[#This Row],[Investor ID]]&amp;"-"&amp;(RIGHT(DivAndTax[[#This Row],[Accounting Year]],2))</f>
        <v>A00621-25</v>
      </c>
      <c r="U261" s="192" t="str">
        <f>IF(DivAndTax[[#This Row],[Dividend Option]]="CIP","11",IF(DivAndTax[[#This Row],[Dividend Option]]="CASH","22"))</f>
        <v>11</v>
      </c>
      <c r="V261" s="200"/>
    </row>
    <row r="262" spans="1:22">
      <c r="A262" s="188">
        <v>2026</v>
      </c>
      <c r="B262" s="188">
        <v>1</v>
      </c>
      <c r="C262" s="188">
        <v>1</v>
      </c>
      <c r="D262" s="189">
        <f t="shared" si="70"/>
        <v>46023</v>
      </c>
      <c r="E262" s="188">
        <v>2025</v>
      </c>
      <c r="F262" s="247">
        <v>46069</v>
      </c>
      <c r="G262" s="188" t="s">
        <v>1474</v>
      </c>
      <c r="H262" s="190" t="str">
        <f>_xlfn.XLOOKUP(DivAndTax[[#This Row],[Investor ID]],INVESTORS_LIST[INVESTOR CODE],INVESTORS_LIST[INVESTOR NAME])</f>
        <v>PUJA GHOSH</v>
      </c>
      <c r="I262" s="8" t="str">
        <f>_xlfn.XLOOKUP(DivAndTax[[#This Row],[Investor ID]],INVESTORS_LIST[INVESTOR CODE],INVESTORS_LIST[TYPE OF INVESTOR])</f>
        <v>Individual</v>
      </c>
      <c r="J262" s="191">
        <v>7459</v>
      </c>
      <c r="K262" s="192">
        <v>0.35</v>
      </c>
      <c r="L262" s="192">
        <f>DivAndTax[[#This Row],[Total Units]]*DivAndTax[[#This Row],[Dividend Per Unit]]</f>
        <v>2610.6499999999996</v>
      </c>
      <c r="M262" s="192">
        <f>DivAndTax[[#This Row],[Gross Dividend]]</f>
        <v>2610.6499999999996</v>
      </c>
      <c r="N262" s="193" cm="1">
        <f t="array" ref="N26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62" s="192">
        <f>ROUND(IF((DivAndTax[[#This Row],[Taxable Dividend]]*DivAndTax[[#This Row],[Tax Rate
(If Applicable)]])&gt;0,DivAndTax[[#This Row],[Taxable Dividend]]*DivAndTax[[#This Row],[Tax Rate
(If Applicable)]],0),2)</f>
        <v>391.6</v>
      </c>
      <c r="P262" s="192">
        <f t="shared" si="71"/>
        <v>2219.0499999999997</v>
      </c>
      <c r="Q262" s="194"/>
      <c r="R262" s="192" t="s">
        <v>1139</v>
      </c>
      <c r="S262" s="192"/>
      <c r="T262" s="192" t="str">
        <f>DivAndTax[[#This Row],[Investor ID]]&amp;"-"&amp;(RIGHT(DivAndTax[[#This Row],[Accounting Year]],2))</f>
        <v>A00642-25</v>
      </c>
      <c r="U262" s="192" t="str">
        <f>IF(DivAndTax[[#This Row],[Dividend Option]]="CIP","11",IF(DivAndTax[[#This Row],[Dividend Option]]="CASH","22"))</f>
        <v>11</v>
      </c>
      <c r="V262" s="200"/>
    </row>
    <row r="263" spans="1:22">
      <c r="A263" s="188">
        <v>2026</v>
      </c>
      <c r="B263" s="188">
        <v>1</v>
      </c>
      <c r="C263" s="188">
        <v>1</v>
      </c>
      <c r="D263" s="189">
        <f t="shared" si="70"/>
        <v>46023</v>
      </c>
      <c r="E263" s="188">
        <v>2025</v>
      </c>
      <c r="F263" s="247">
        <v>46069</v>
      </c>
      <c r="G263" s="188" t="s">
        <v>1492</v>
      </c>
      <c r="H263" s="190" t="str">
        <f>_xlfn.XLOOKUP(DivAndTax[[#This Row],[Investor ID]],INVESTORS_LIST[INVESTOR CODE],INVESTORS_LIST[INVESTOR NAME])</f>
        <v>SHEIKH ASHRAFUL HAQUE</v>
      </c>
      <c r="I263" s="8" t="str">
        <f>_xlfn.XLOOKUP(DivAndTax[[#This Row],[Investor ID]],INVESTORS_LIST[INVESTOR CODE],INVESTORS_LIST[TYPE OF INVESTOR])</f>
        <v>Individual</v>
      </c>
      <c r="J263" s="191">
        <v>41343</v>
      </c>
      <c r="K263" s="192">
        <v>0.35</v>
      </c>
      <c r="L263" s="192">
        <f>DivAndTax[[#This Row],[Total Units]]*DivAndTax[[#This Row],[Dividend Per Unit]]</f>
        <v>14470.05</v>
      </c>
      <c r="M263" s="192">
        <f>DivAndTax[[#This Row],[Gross Dividend]]</f>
        <v>14470.05</v>
      </c>
      <c r="N263" s="193" cm="1">
        <f t="array" ref="N26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63" s="192">
        <f>ROUND(IF((DivAndTax[[#This Row],[Taxable Dividend]]*DivAndTax[[#This Row],[Tax Rate
(If Applicable)]])&gt;0,DivAndTax[[#This Row],[Taxable Dividend]]*DivAndTax[[#This Row],[Tax Rate
(If Applicable)]],0),2)</f>
        <v>1447.01</v>
      </c>
      <c r="P263" s="192">
        <f t="shared" si="71"/>
        <v>13023.039999999999</v>
      </c>
      <c r="Q263" s="194" t="s">
        <v>1628</v>
      </c>
      <c r="R263" s="192" t="s">
        <v>1139</v>
      </c>
      <c r="S263" s="192"/>
      <c r="T263" s="192" t="str">
        <f>DivAndTax[[#This Row],[Investor ID]]&amp;"-"&amp;(RIGHT(DivAndTax[[#This Row],[Accounting Year]],2))</f>
        <v>A00654-25</v>
      </c>
      <c r="U263" s="192" t="str">
        <f>IF(DivAndTax[[#This Row],[Dividend Option]]="CIP","11",IF(DivAndTax[[#This Row],[Dividend Option]]="CASH","22"))</f>
        <v>11</v>
      </c>
      <c r="V263" s="200"/>
    </row>
    <row r="264" spans="1:22">
      <c r="A264" s="188">
        <v>2026</v>
      </c>
      <c r="B264" s="188">
        <v>1</v>
      </c>
      <c r="C264" s="188">
        <v>1</v>
      </c>
      <c r="D264" s="189">
        <f t="shared" si="70"/>
        <v>46023</v>
      </c>
      <c r="E264" s="188">
        <v>2025</v>
      </c>
      <c r="F264" s="247">
        <v>46097</v>
      </c>
      <c r="G264" s="188" t="s">
        <v>1504</v>
      </c>
      <c r="H264" s="190" t="str">
        <f>_xlfn.XLOOKUP(DivAndTax[[#This Row],[Investor ID]],INVESTORS_LIST[INVESTOR CODE],INVESTORS_LIST[INVESTOR NAME])</f>
        <v>MASUM AHMED</v>
      </c>
      <c r="I264" s="8" t="str">
        <f>_xlfn.XLOOKUP(DivAndTax[[#This Row],[Investor ID]],INVESTORS_LIST[INVESTOR CODE],INVESTORS_LIST[TYPE OF INVESTOR])</f>
        <v>Individual</v>
      </c>
      <c r="J264" s="191">
        <v>1251</v>
      </c>
      <c r="K264" s="192">
        <v>0.35</v>
      </c>
      <c r="L264" s="192">
        <f>DivAndTax[[#This Row],[Total Units]]*DivAndTax[[#This Row],[Dividend Per Unit]]</f>
        <v>437.84999999999997</v>
      </c>
      <c r="M264" s="192">
        <f>DivAndTax[[#This Row],[Gross Dividend]]</f>
        <v>437.84999999999997</v>
      </c>
      <c r="N264" s="193" cm="1">
        <f t="array" ref="N264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64" s="192">
        <f>ROUND(IF((DivAndTax[[#This Row],[Taxable Dividend]]*DivAndTax[[#This Row],[Tax Rate
(If Applicable)]])&gt;0,DivAndTax[[#This Row],[Taxable Dividend]]*DivAndTax[[#This Row],[Tax Rate
(If Applicable)]],0),2)</f>
        <v>65.680000000000007</v>
      </c>
      <c r="P264" s="192">
        <f t="shared" si="71"/>
        <v>372.16999999999996</v>
      </c>
      <c r="Q264" s="194"/>
      <c r="R264" s="192" t="s">
        <v>1141</v>
      </c>
      <c r="S264" s="192"/>
      <c r="T264" s="192" t="str">
        <f>DivAndTax[[#This Row],[Investor ID]]&amp;"-"&amp;(RIGHT(DivAndTax[[#This Row],[Accounting Year]],2))</f>
        <v>A00657-25</v>
      </c>
      <c r="U264" s="192" t="str">
        <f>IF(DivAndTax[[#This Row],[Dividend Option]]="CIP","11",IF(DivAndTax[[#This Row],[Dividend Option]]="CASH","22"))</f>
        <v>22</v>
      </c>
      <c r="V264" s="200"/>
    </row>
    <row r="265" spans="1:22">
      <c r="A265" s="188">
        <v>2026</v>
      </c>
      <c r="B265" s="188">
        <v>1</v>
      </c>
      <c r="C265" s="188">
        <v>1</v>
      </c>
      <c r="D265" s="189">
        <f t="shared" ref="D265:D266" si="72">IFERROR(DATE(A265,B265,C265)," ")</f>
        <v>46023</v>
      </c>
      <c r="E265" s="188">
        <v>2025</v>
      </c>
      <c r="F265" s="247">
        <v>46069</v>
      </c>
      <c r="G265" s="188" t="s">
        <v>1513</v>
      </c>
      <c r="H265" s="190" t="str">
        <f>_xlfn.XLOOKUP(DivAndTax[[#This Row],[Investor ID]],INVESTORS_LIST[INVESTOR CODE],INVESTORS_LIST[INVESTOR NAME])</f>
        <v>RIPAN CHOWDHURY</v>
      </c>
      <c r="I265" s="8" t="str">
        <f>_xlfn.XLOOKUP(DivAndTax[[#This Row],[Investor ID]],INVESTORS_LIST[INVESTOR CODE],INVESTORS_LIST[TYPE OF INVESTOR])</f>
        <v>Individual</v>
      </c>
      <c r="J265" s="191">
        <v>1000</v>
      </c>
      <c r="K265" s="192">
        <v>0.35</v>
      </c>
      <c r="L265" s="192">
        <f>DivAndTax[[#This Row],[Total Units]]*DivAndTax[[#This Row],[Dividend Per Unit]]</f>
        <v>350</v>
      </c>
      <c r="M265" s="192">
        <f>DivAndTax[[#This Row],[Gross Dividend]]</f>
        <v>350</v>
      </c>
      <c r="N265" s="193" cm="1">
        <f t="array" ref="N265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65" s="192">
        <f>ROUND(IF((DivAndTax[[#This Row],[Taxable Dividend]]*DivAndTax[[#This Row],[Tax Rate
(If Applicable)]])&gt;0,DivAndTax[[#This Row],[Taxable Dividend]]*DivAndTax[[#This Row],[Tax Rate
(If Applicable)]],0),2)</f>
        <v>35</v>
      </c>
      <c r="P265" s="192">
        <f t="shared" ref="P265:P266" si="73">L265-O265</f>
        <v>315</v>
      </c>
      <c r="Q265" s="194" t="s">
        <v>1629</v>
      </c>
      <c r="R265" s="192" t="s">
        <v>1139</v>
      </c>
      <c r="S265" s="192"/>
      <c r="T265" s="192" t="str">
        <f>DivAndTax[[#This Row],[Investor ID]]&amp;"-"&amp;(RIGHT(DivAndTax[[#This Row],[Accounting Year]],2))</f>
        <v>A00659-25</v>
      </c>
      <c r="U265" s="192" t="str">
        <f>IF(DivAndTax[[#This Row],[Dividend Option]]="CIP","11",IF(DivAndTax[[#This Row],[Dividend Option]]="CASH","22"))</f>
        <v>11</v>
      </c>
      <c r="V265" s="200"/>
    </row>
    <row r="266" spans="1:22">
      <c r="A266" s="188">
        <v>2026</v>
      </c>
      <c r="B266" s="188">
        <v>1</v>
      </c>
      <c r="C266" s="188">
        <v>1</v>
      </c>
      <c r="D266" s="189">
        <f t="shared" si="72"/>
        <v>46023</v>
      </c>
      <c r="E266" s="188">
        <v>2025</v>
      </c>
      <c r="F266" s="247">
        <v>46069</v>
      </c>
      <c r="G266" s="188" t="s">
        <v>1511</v>
      </c>
      <c r="H266" s="190" t="str">
        <f>_xlfn.XLOOKUP(DivAndTax[[#This Row],[Investor ID]],INVESTORS_LIST[INVESTOR CODE],INVESTORS_LIST[INVESTOR NAME])</f>
        <v>MD SHAHIDUZZAMAN</v>
      </c>
      <c r="I266" s="8" t="str">
        <f>_xlfn.XLOOKUP(DivAndTax[[#This Row],[Investor ID]],INVESTORS_LIST[INVESTOR CODE],INVESTORS_LIST[TYPE OF INVESTOR])</f>
        <v>Individual</v>
      </c>
      <c r="J266" s="191">
        <v>40518</v>
      </c>
      <c r="K266" s="192">
        <v>0.35</v>
      </c>
      <c r="L266" s="192">
        <f>DivAndTax[[#This Row],[Total Units]]*DivAndTax[[#This Row],[Dividend Per Unit]]</f>
        <v>14181.3</v>
      </c>
      <c r="M266" s="192">
        <f>DivAndTax[[#This Row],[Gross Dividend]]</f>
        <v>14181.3</v>
      </c>
      <c r="N266" s="193" cm="1">
        <f t="array" ref="N266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66" s="192">
        <f>ROUND(IF((DivAndTax[[#This Row],[Taxable Dividend]]*DivAndTax[[#This Row],[Tax Rate
(If Applicable)]])&gt;0,DivAndTax[[#This Row],[Taxable Dividend]]*DivAndTax[[#This Row],[Tax Rate
(If Applicable)]],0),2)</f>
        <v>2127.1999999999998</v>
      </c>
      <c r="P266" s="192">
        <f t="shared" si="73"/>
        <v>12054.099999999999</v>
      </c>
      <c r="Q266" s="194"/>
      <c r="R266" s="192" t="s">
        <v>1139</v>
      </c>
      <c r="S266" s="192"/>
      <c r="T266" s="192" t="str">
        <f>DivAndTax[[#This Row],[Investor ID]]&amp;"-"&amp;(RIGHT(DivAndTax[[#This Row],[Accounting Year]],2))</f>
        <v>A00660-25</v>
      </c>
      <c r="U266" s="192" t="str">
        <f>IF(DivAndTax[[#This Row],[Dividend Option]]="CIP","11",IF(DivAndTax[[#This Row],[Dividend Option]]="CASH","22"))</f>
        <v>11</v>
      </c>
      <c r="V266" s="200"/>
    </row>
    <row r="267" spans="1:22">
      <c r="A267" s="188">
        <v>2026</v>
      </c>
      <c r="B267" s="188">
        <v>1</v>
      </c>
      <c r="C267" s="188">
        <v>1</v>
      </c>
      <c r="D267" s="189">
        <f>IFERROR(DATE(A267,B267,C267)," ")</f>
        <v>46023</v>
      </c>
      <c r="E267" s="188">
        <v>2025</v>
      </c>
      <c r="F267" s="247">
        <v>46069</v>
      </c>
      <c r="G267" s="188" t="s">
        <v>1518</v>
      </c>
      <c r="H267" s="190" t="str">
        <f>_xlfn.XLOOKUP(DivAndTax[[#This Row],[Investor ID]],INVESTORS_LIST[INVESTOR CODE],INVESTORS_LIST[INVESTOR NAME])</f>
        <v>SONIA REZINA</v>
      </c>
      <c r="I267" s="8" t="str">
        <f>_xlfn.XLOOKUP(DivAndTax[[#This Row],[Investor ID]],INVESTORS_LIST[INVESTOR CODE],INVESTORS_LIST[TYPE OF INVESTOR])</f>
        <v>Individual</v>
      </c>
      <c r="J267" s="191">
        <v>25504</v>
      </c>
      <c r="K267" s="192">
        <v>0.35</v>
      </c>
      <c r="L267" s="192">
        <f>DivAndTax[[#This Row],[Total Units]]*DivAndTax[[#This Row],[Dividend Per Unit]]</f>
        <v>8926.4</v>
      </c>
      <c r="M267" s="192">
        <f>DivAndTax[[#This Row],[Gross Dividend]]</f>
        <v>8926.4</v>
      </c>
      <c r="N267" s="193" cm="1">
        <f t="array" ref="N267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67" s="192">
        <f>ROUND(IF((DivAndTax[[#This Row],[Taxable Dividend]]*DivAndTax[[#This Row],[Tax Rate
(If Applicable)]])&gt;0,DivAndTax[[#This Row],[Taxable Dividend]]*DivAndTax[[#This Row],[Tax Rate
(If Applicable)]],0),2)</f>
        <v>892.64</v>
      </c>
      <c r="P267" s="192">
        <f>L267-O267</f>
        <v>8033.7599999999993</v>
      </c>
      <c r="Q267" s="194" t="s">
        <v>1630</v>
      </c>
      <c r="R267" s="192" t="s">
        <v>1139</v>
      </c>
      <c r="S267" s="192"/>
      <c r="T267" s="192" t="str">
        <f>DivAndTax[[#This Row],[Investor ID]]&amp;"-"&amp;(RIGHT(DivAndTax[[#This Row],[Accounting Year]],2))</f>
        <v>A00662-25</v>
      </c>
      <c r="U267" s="192" t="str">
        <f>IF(DivAndTax[[#This Row],[Dividend Option]]="CIP","11",IF(DivAndTax[[#This Row],[Dividend Option]]="CASH","22"))</f>
        <v>11</v>
      </c>
      <c r="V267" s="200"/>
    </row>
    <row r="268" spans="1:22">
      <c r="A268" s="188">
        <v>2026</v>
      </c>
      <c r="B268" s="188">
        <v>1</v>
      </c>
      <c r="C268" s="188">
        <v>1</v>
      </c>
      <c r="D268" s="189">
        <f t="shared" ref="D268:D269" si="74">IFERROR(DATE(A268,B268,C268)," ")</f>
        <v>46023</v>
      </c>
      <c r="E268" s="188">
        <v>2025</v>
      </c>
      <c r="F268" s="247">
        <v>46069</v>
      </c>
      <c r="G268" s="188" t="s">
        <v>1527</v>
      </c>
      <c r="H268" s="190" t="str">
        <f>_xlfn.XLOOKUP(DivAndTax[[#This Row],[Investor ID]],INVESTORS_LIST[INVESTOR CODE],INVESTORS_LIST[INVESTOR NAME])</f>
        <v>AHNAF ABRAR HASIN</v>
      </c>
      <c r="I268" s="8" t="str">
        <f>_xlfn.XLOOKUP(DivAndTax[[#This Row],[Investor ID]],INVESTORS_LIST[INVESTOR CODE],INVESTORS_LIST[TYPE OF INVESTOR])</f>
        <v>Individual</v>
      </c>
      <c r="J268" s="191">
        <v>5370</v>
      </c>
      <c r="K268" s="192">
        <v>0.35</v>
      </c>
      <c r="L268" s="192">
        <f>DivAndTax[[#This Row],[Total Units]]*DivAndTax[[#This Row],[Dividend Per Unit]]</f>
        <v>1879.4999999999998</v>
      </c>
      <c r="M268" s="192">
        <f>DivAndTax[[#This Row],[Gross Dividend]]</f>
        <v>1879.4999999999998</v>
      </c>
      <c r="N268" s="193" cm="1">
        <f t="array" ref="N268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68" s="192">
        <f>ROUND(IF((DivAndTax[[#This Row],[Taxable Dividend]]*DivAndTax[[#This Row],[Tax Rate
(If Applicable)]])&gt;0,DivAndTax[[#This Row],[Taxable Dividend]]*DivAndTax[[#This Row],[Tax Rate
(If Applicable)]],0),2)</f>
        <v>187.95</v>
      </c>
      <c r="P268" s="192">
        <f t="shared" ref="P268:P269" si="75">L268-O268</f>
        <v>1691.5499999999997</v>
      </c>
      <c r="Q268" s="194" t="s">
        <v>1631</v>
      </c>
      <c r="R268" s="192" t="s">
        <v>1139</v>
      </c>
      <c r="S268" s="192"/>
      <c r="T268" s="192" t="str">
        <f>DivAndTax[[#This Row],[Investor ID]]&amp;"-"&amp;(RIGHT(DivAndTax[[#This Row],[Accounting Year]],2))</f>
        <v>A00669-25</v>
      </c>
      <c r="U268" s="192" t="str">
        <f>IF(DivAndTax[[#This Row],[Dividend Option]]="CIP","11",IF(DivAndTax[[#This Row],[Dividend Option]]="CASH","22"))</f>
        <v>11</v>
      </c>
      <c r="V268" s="200"/>
    </row>
    <row r="269" spans="1:22">
      <c r="A269" s="188">
        <v>2026</v>
      </c>
      <c r="B269" s="188">
        <v>1</v>
      </c>
      <c r="C269" s="188">
        <v>1</v>
      </c>
      <c r="D269" s="189">
        <f t="shared" si="74"/>
        <v>46023</v>
      </c>
      <c r="E269" s="188">
        <v>2025</v>
      </c>
      <c r="F269" s="247">
        <v>46069</v>
      </c>
      <c r="G269" s="25" t="s">
        <v>1646</v>
      </c>
      <c r="H269" s="190" t="str">
        <f>_xlfn.XLOOKUP(DivAndTax[[#This Row],[Investor ID]],INVESTORS_LIST[INVESTOR CODE],INVESTORS_LIST[INVESTOR NAME])</f>
        <v>IMRANUL GANI FIRA</v>
      </c>
      <c r="I269" s="8" t="str">
        <f>_xlfn.XLOOKUP(DivAndTax[[#This Row],[Investor ID]],INVESTORS_LIST[INVESTOR CODE],INVESTORS_LIST[TYPE OF INVESTOR])</f>
        <v>Individual</v>
      </c>
      <c r="J269" s="191">
        <v>6338</v>
      </c>
      <c r="K269" s="192">
        <v>0.35</v>
      </c>
      <c r="L269" s="192">
        <f>DivAndTax[[#This Row],[Total Units]]*DivAndTax[[#This Row],[Dividend Per Unit]]</f>
        <v>2218.2999999999997</v>
      </c>
      <c r="M269" s="192">
        <f>DivAndTax[[#This Row],[Gross Dividend]]</f>
        <v>2218.2999999999997</v>
      </c>
      <c r="N269" s="193" cm="1">
        <f t="array" ref="N269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69" s="192">
        <f>ROUND(IF((DivAndTax[[#This Row],[Taxable Dividend]]*DivAndTax[[#This Row],[Tax Rate
(If Applicable)]])&gt;0,DivAndTax[[#This Row],[Taxable Dividend]]*DivAndTax[[#This Row],[Tax Rate
(If Applicable)]],0),2)</f>
        <v>221.83</v>
      </c>
      <c r="P269" s="192">
        <f t="shared" si="75"/>
        <v>1996.4699999999998</v>
      </c>
      <c r="Q269" s="194" t="s">
        <v>1632</v>
      </c>
      <c r="R269" s="192" t="s">
        <v>1139</v>
      </c>
      <c r="S269" s="192"/>
      <c r="T269" s="192" t="str">
        <f>DivAndTax[[#This Row],[Investor ID]]&amp;"-"&amp;(RIGHT(DivAndTax[[#This Row],[Accounting Year]],2))</f>
        <v>BR0005-25</v>
      </c>
      <c r="U269" s="192" t="str">
        <f>IF(DivAndTax[[#This Row],[Dividend Option]]="CIP","11",IF(DivAndTax[[#This Row],[Dividend Option]]="CASH","22"))</f>
        <v>11</v>
      </c>
      <c r="V269" s="200"/>
    </row>
    <row r="270" spans="1:22">
      <c r="A270" s="188">
        <v>2026</v>
      </c>
      <c r="B270" s="188">
        <v>1</v>
      </c>
      <c r="C270" s="188">
        <v>1</v>
      </c>
      <c r="D270" s="189">
        <f t="shared" ref="D270:D271" si="76">IFERROR(DATE(A270,B270,C270)," ")</f>
        <v>46023</v>
      </c>
      <c r="E270" s="188">
        <v>2025</v>
      </c>
      <c r="F270" s="247">
        <v>46069</v>
      </c>
      <c r="G270" s="188" t="s">
        <v>1538</v>
      </c>
      <c r="H270" s="190" t="str">
        <f>_xlfn.XLOOKUP(DivAndTax[[#This Row],[Investor ID]],INVESTORS_LIST[INVESTOR CODE],INVESTORS_LIST[INVESTOR NAME])</f>
        <v>NAYEEM UDDIN</v>
      </c>
      <c r="I270" s="8" t="str">
        <f>_xlfn.XLOOKUP(DivAndTax[[#This Row],[Investor ID]],INVESTORS_LIST[INVESTOR CODE],INVESTORS_LIST[TYPE OF INVESTOR])</f>
        <v>Individual</v>
      </c>
      <c r="J270" s="191">
        <v>843</v>
      </c>
      <c r="K270" s="192">
        <v>0.35</v>
      </c>
      <c r="L270" s="192">
        <f>DivAndTax[[#This Row],[Total Units]]*DivAndTax[[#This Row],[Dividend Per Unit]]</f>
        <v>295.04999999999995</v>
      </c>
      <c r="M270" s="192">
        <f>DivAndTax[[#This Row],[Gross Dividend]]</f>
        <v>295.04999999999995</v>
      </c>
      <c r="N270" s="193" cm="1">
        <f t="array" ref="N270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70" s="192">
        <f>ROUND(IF((DivAndTax[[#This Row],[Taxable Dividend]]*DivAndTax[[#This Row],[Tax Rate
(If Applicable)]])&gt;0,DivAndTax[[#This Row],[Taxable Dividend]]*DivAndTax[[#This Row],[Tax Rate
(If Applicable)]],0),2)</f>
        <v>29.51</v>
      </c>
      <c r="P270" s="192">
        <f t="shared" ref="P270:P271" si="77">L270-O270</f>
        <v>265.53999999999996</v>
      </c>
      <c r="Q270" s="194" t="s">
        <v>1633</v>
      </c>
      <c r="R270" s="192" t="s">
        <v>1139</v>
      </c>
      <c r="S270" s="192"/>
      <c r="T270" s="192" t="str">
        <f>DivAndTax[[#This Row],[Investor ID]]&amp;"-"&amp;(RIGHT(DivAndTax[[#This Row],[Accounting Year]],2))</f>
        <v>A00672-25</v>
      </c>
      <c r="U270" s="192" t="str">
        <f>IF(DivAndTax[[#This Row],[Dividend Option]]="CIP","11",IF(DivAndTax[[#This Row],[Dividend Option]]="CASH","22"))</f>
        <v>11</v>
      </c>
      <c r="V270" s="200"/>
    </row>
    <row r="271" spans="1:22">
      <c r="A271" s="188">
        <v>2026</v>
      </c>
      <c r="B271" s="188">
        <v>1</v>
      </c>
      <c r="C271" s="188">
        <v>1</v>
      </c>
      <c r="D271" s="189">
        <f t="shared" si="76"/>
        <v>46023</v>
      </c>
      <c r="E271" s="188">
        <v>2025</v>
      </c>
      <c r="F271" s="247">
        <v>46097</v>
      </c>
      <c r="G271" s="188" t="s">
        <v>1534</v>
      </c>
      <c r="H271" s="190" t="str">
        <f>_xlfn.XLOOKUP(DivAndTax[[#This Row],[Investor ID]],INVESTORS_LIST[INVESTOR CODE],INVESTORS_LIST[INVESTOR NAME])</f>
        <v>SEML FBLSL GROWTH FUND</v>
      </c>
      <c r="I271" s="8" t="str">
        <f>_xlfn.XLOOKUP(DivAndTax[[#This Row],[Investor ID]],INVESTORS_LIST[INVESTOR CODE],INVESTORS_LIST[TYPE OF INVESTOR])</f>
        <v>Mutual Fund</v>
      </c>
      <c r="J271" s="191">
        <v>214371</v>
      </c>
      <c r="K271" s="192">
        <v>0.35</v>
      </c>
      <c r="L271" s="192">
        <f>DivAndTax[[#This Row],[Total Units]]*DivAndTax[[#This Row],[Dividend Per Unit]]</f>
        <v>75029.849999999991</v>
      </c>
      <c r="M271" s="192">
        <f>DivAndTax[[#This Row],[Gross Dividend]]</f>
        <v>75029.849999999991</v>
      </c>
      <c r="N271" s="193" cm="1">
        <f t="array" ref="N271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</v>
      </c>
      <c r="O271" s="192">
        <f>ROUND(IF((DivAndTax[[#This Row],[Taxable Dividend]]*DivAndTax[[#This Row],[Tax Rate
(If Applicable)]])&gt;0,DivAndTax[[#This Row],[Taxable Dividend]]*DivAndTax[[#This Row],[Tax Rate
(If Applicable)]],0),2)</f>
        <v>0</v>
      </c>
      <c r="P271" s="192">
        <f t="shared" si="77"/>
        <v>75029.849999999991</v>
      </c>
      <c r="Q271" s="194"/>
      <c r="R271" s="192" t="s">
        <v>1141</v>
      </c>
      <c r="S271" s="192"/>
      <c r="T271" s="192" t="str">
        <f>DivAndTax[[#This Row],[Investor ID]]&amp;"-"&amp;(RIGHT(DivAndTax[[#This Row],[Accounting Year]],2))</f>
        <v>A00673-25</v>
      </c>
      <c r="U271" s="192" t="str">
        <f>IF(DivAndTax[[#This Row],[Dividend Option]]="CIP","11",IF(DivAndTax[[#This Row],[Dividend Option]]="CASH","22"))</f>
        <v>22</v>
      </c>
      <c r="V271" s="200"/>
    </row>
    <row r="272" spans="1:22">
      <c r="A272" s="188">
        <v>2026</v>
      </c>
      <c r="B272" s="188">
        <v>1</v>
      </c>
      <c r="C272" s="188">
        <v>1</v>
      </c>
      <c r="D272" s="189">
        <f>IFERROR(DATE(A272,B272,C272)," ")</f>
        <v>46023</v>
      </c>
      <c r="E272" s="188">
        <v>2025</v>
      </c>
      <c r="F272" s="247">
        <v>46069</v>
      </c>
      <c r="G272" s="188" t="s">
        <v>1553</v>
      </c>
      <c r="H272" s="190" t="str">
        <f>_xlfn.XLOOKUP(DivAndTax[[#This Row],[Investor ID]],INVESTORS_LIST[INVESTOR CODE],INVESTORS_LIST[INVESTOR NAME])</f>
        <v>MD. KAMRUZZAMAN SHOVON</v>
      </c>
      <c r="I272" s="8" t="str">
        <f>_xlfn.XLOOKUP(DivAndTax[[#This Row],[Investor ID]],INVESTORS_LIST[INVESTOR CODE],INVESTORS_LIST[TYPE OF INVESTOR])</f>
        <v>Individual</v>
      </c>
      <c r="J272" s="191">
        <v>84</v>
      </c>
      <c r="K272" s="192">
        <v>0.35</v>
      </c>
      <c r="L272" s="192">
        <f>DivAndTax[[#This Row],[Total Units]]*DivAndTax[[#This Row],[Dividend Per Unit]]</f>
        <v>29.4</v>
      </c>
      <c r="M272" s="192">
        <f>DivAndTax[[#This Row],[Gross Dividend]]</f>
        <v>29.4</v>
      </c>
      <c r="N272" s="193" cm="1">
        <f t="array" ref="N272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</v>
      </c>
      <c r="O272" s="192">
        <f>ROUND(IF((DivAndTax[[#This Row],[Taxable Dividend]]*DivAndTax[[#This Row],[Tax Rate
(If Applicable)]])&gt;0,DivAndTax[[#This Row],[Taxable Dividend]]*DivAndTax[[#This Row],[Tax Rate
(If Applicable)]],0),2)</f>
        <v>2.94</v>
      </c>
      <c r="P272" s="192">
        <f>L272-O272</f>
        <v>26.459999999999997</v>
      </c>
      <c r="Q272" s="194" t="s">
        <v>1634</v>
      </c>
      <c r="R272" s="192" t="s">
        <v>1139</v>
      </c>
      <c r="S272" s="192"/>
      <c r="T272" s="192" t="str">
        <f>DivAndTax[[#This Row],[Investor ID]]&amp;"-"&amp;(RIGHT(DivAndTax[[#This Row],[Accounting Year]],2))</f>
        <v>A00680-25</v>
      </c>
      <c r="U272" s="192" t="str">
        <f>IF(DivAndTax[[#This Row],[Dividend Option]]="CIP","11",IF(DivAndTax[[#This Row],[Dividend Option]]="CASH","22"))</f>
        <v>11</v>
      </c>
      <c r="V272" s="200"/>
    </row>
    <row r="273" spans="1:22">
      <c r="A273" s="188">
        <v>2026</v>
      </c>
      <c r="B273" s="188">
        <v>1</v>
      </c>
      <c r="C273" s="188">
        <v>1</v>
      </c>
      <c r="D273" s="189">
        <f>IFERROR(DATE(A273,B273,C273)," ")</f>
        <v>46023</v>
      </c>
      <c r="E273" s="188">
        <v>2025</v>
      </c>
      <c r="F273" s="247">
        <v>46069</v>
      </c>
      <c r="G273" s="188" t="s">
        <v>1647</v>
      </c>
      <c r="H273" s="190" t="str">
        <f>_xlfn.XLOOKUP(DivAndTax[[#This Row],[Investor ID]],INVESTORS_LIST[INVESTOR CODE],INVESTORS_LIST[INVESTOR NAME])</f>
        <v>S.M.IMAM HOSSAIN CHISTY</v>
      </c>
      <c r="I273" s="8" t="str">
        <f>_xlfn.XLOOKUP(DivAndTax[[#This Row],[Investor ID]],INVESTORS_LIST[INVESTOR CODE],INVESTORS_LIST[TYPE OF INVESTOR])</f>
        <v>Individual</v>
      </c>
      <c r="J273" s="191">
        <v>420</v>
      </c>
      <c r="K273" s="192">
        <v>0.35</v>
      </c>
      <c r="L273" s="192">
        <f>DivAndTax[[#This Row],[Total Units]]*DivAndTax[[#This Row],[Dividend Per Unit]]</f>
        <v>147</v>
      </c>
      <c r="M273" s="192">
        <f>DivAndTax[[#This Row],[Gross Dividend]]</f>
        <v>147</v>
      </c>
      <c r="N273" s="193" cm="1">
        <f t="array" ref="N273">IF(DivAndTax[[#This Row],[MOD]]="YES",0,IF(DivAndTax[[#This Row],[Taxable Dividend]]=0,0,IF(AND(DivAndTax[[#This Row],[Investor Type]]="INDIVIDUAL",COUNTBLANK(DivAndTax[[#This Row],[TIN]])=1),15%,INDEX($Y$2:$Y$6,MATCH(DivAndTax[[#This Row],[Investor Type]],$X$2:$X$6,0),))))</f>
        <v>0.15</v>
      </c>
      <c r="O273" s="192">
        <f>ROUND(IF((DivAndTax[[#This Row],[Taxable Dividend]]*DivAndTax[[#This Row],[Tax Rate
(If Applicable)]])&gt;0,DivAndTax[[#This Row],[Taxable Dividend]]*DivAndTax[[#This Row],[Tax Rate
(If Applicable)]],0),2)</f>
        <v>22.05</v>
      </c>
      <c r="P273" s="192">
        <f>L273-O273</f>
        <v>124.95</v>
      </c>
      <c r="Q273" s="194"/>
      <c r="R273" s="192" t="s">
        <v>1139</v>
      </c>
      <c r="S273" s="192"/>
      <c r="T273" s="192" t="str">
        <f>DivAndTax[[#This Row],[Investor ID]]&amp;"-"&amp;(RIGHT(DivAndTax[[#This Row],[Accounting Year]],2))</f>
        <v>BR0004-25</v>
      </c>
      <c r="U273" s="192" t="str">
        <f>IF(DivAndTax[[#This Row],[Dividend Option]]="CIP","11",IF(DivAndTax[[#This Row],[Dividend Option]]="CASH","22"))</f>
        <v>11</v>
      </c>
      <c r="V273" s="200"/>
    </row>
  </sheetData>
  <sheetProtection selectLockedCells="1" selectUnlockedCells="1"/>
  <dataValidations count="8">
    <dataValidation type="custom" allowBlank="1" showInputMessage="1" showErrorMessage="1" sqref="P2:P273" xr:uid="{C29C4A15-1A46-46FF-91DD-99EB859773EA}">
      <formula1>#REF!-O2</formula1>
    </dataValidation>
    <dataValidation type="decimal" operator="greaterThanOrEqual" allowBlank="1" showInputMessage="1" showErrorMessage="1" sqref="K2:L273" xr:uid="{A34E029E-FAE7-4684-88D3-5594F7D3169D}">
      <formula1>0</formula1>
    </dataValidation>
    <dataValidation type="custom" allowBlank="1" showInputMessage="1" showErrorMessage="1" sqref="M2:M273" xr:uid="{53FC0C45-72E6-45A8-A116-7270FA80D903}">
      <formula1>#REF!-#REF!</formula1>
    </dataValidation>
    <dataValidation type="whole" operator="greaterThanOrEqual" allowBlank="1" showInputMessage="1" showErrorMessage="1" sqref="J2:J273" xr:uid="{967493FF-6778-41AC-AF9A-7436EED53F30}">
      <formula1>0</formula1>
    </dataValidation>
    <dataValidation type="whole" operator="greaterThanOrEqual" allowBlank="1" showInputMessage="1" showErrorMessage="1" sqref="A2:A273 E2:F273" xr:uid="{DCF04875-9C22-4680-82F2-9AEA73AC30ED}">
      <formula1>2020</formula1>
    </dataValidation>
    <dataValidation type="whole" operator="greaterThanOrEqual" allowBlank="1" showInputMessage="1" showErrorMessage="1" sqref="B2:C273" xr:uid="{7BDA4240-F6C7-4C63-B9F2-FED5C44DE946}">
      <formula1>1</formula1>
    </dataValidation>
    <dataValidation type="list" allowBlank="1" showInputMessage="1" showErrorMessage="1" sqref="R2:R273" xr:uid="{0168C4EA-0C69-41D1-82EA-C5B8F8D763F5}">
      <formula1>$XCV$2:$XCV$3</formula1>
    </dataValidation>
    <dataValidation type="decimal" allowBlank="1" showInputMessage="1" showErrorMessage="1" sqref="N2:N273" xr:uid="{7628B404-9227-4640-8488-4FB5286EA230}">
      <formula1>0</formula1>
      <formula2>1</formula2>
    </dataValidation>
  </dataValidations>
  <pageMargins left="0.25" right="0.25" top="0.75" bottom="0.75" header="0.3" footer="0.3"/>
  <pageSetup paperSize="9" scale="34" fitToHeight="0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DE04-85C7-48D5-9220-2526C5B0D65D}">
  <sheetPr codeName="Sheet5"/>
  <dimension ref="A1:AB582"/>
  <sheetViews>
    <sheetView topLeftCell="D1" zoomScale="85" zoomScaleNormal="85" workbookViewId="0">
      <pane ySplit="1" topLeftCell="A2" activePane="bottomLeft" state="frozen"/>
      <selection pane="bottomLeft" activeCell="J9" sqref="J9"/>
    </sheetView>
  </sheetViews>
  <sheetFormatPr defaultRowHeight="15"/>
  <cols>
    <col min="1" max="1" width="20" bestFit="1" customWidth="1"/>
    <col min="2" max="2" width="18.28515625" bestFit="1" customWidth="1"/>
    <col min="3" max="3" width="17.28515625" bestFit="1" customWidth="1"/>
    <col min="4" max="4" width="23.28515625" bestFit="1" customWidth="1"/>
    <col min="5" max="5" width="16.7109375" bestFit="1" customWidth="1"/>
    <col min="6" max="6" width="12.85546875" bestFit="1" customWidth="1"/>
    <col min="7" max="7" width="20" bestFit="1" customWidth="1"/>
    <col min="8" max="8" width="16.28515625" customWidth="1"/>
    <col min="9" max="9" width="19.85546875" bestFit="1" customWidth="1"/>
    <col min="10" max="10" width="17.140625" bestFit="1" customWidth="1"/>
    <col min="11" max="11" width="20.7109375" bestFit="1" customWidth="1"/>
    <col min="12" max="12" width="17.5703125" bestFit="1" customWidth="1"/>
    <col min="13" max="13" width="24.5703125" bestFit="1" customWidth="1"/>
    <col min="14" max="14" width="21.140625" bestFit="1" customWidth="1"/>
    <col min="15" max="15" width="13.85546875" bestFit="1" customWidth="1"/>
    <col min="16" max="16" width="17.85546875" bestFit="1" customWidth="1"/>
    <col min="17" max="18" width="15.140625" bestFit="1" customWidth="1"/>
    <col min="23" max="23" width="6.28515625" bestFit="1" customWidth="1"/>
    <col min="24" max="24" width="8" bestFit="1" customWidth="1"/>
    <col min="25" max="25" width="5.5703125" bestFit="1" customWidth="1"/>
    <col min="26" max="26" width="11.42578125" bestFit="1" customWidth="1"/>
    <col min="27" max="27" width="12" bestFit="1" customWidth="1"/>
  </cols>
  <sheetData>
    <row r="1" spans="1:28" s="15" customFormat="1" ht="60.75" thickBot="1">
      <c r="A1" s="15" t="s">
        <v>449</v>
      </c>
      <c r="B1" s="15" t="s">
        <v>474</v>
      </c>
      <c r="C1" s="15" t="s">
        <v>473</v>
      </c>
      <c r="D1" s="15" t="s">
        <v>475</v>
      </c>
      <c r="E1" s="15" t="s">
        <v>479</v>
      </c>
      <c r="F1" s="15" t="s">
        <v>476</v>
      </c>
      <c r="G1" s="15" t="s">
        <v>477</v>
      </c>
      <c r="H1" s="15" t="s">
        <v>478</v>
      </c>
      <c r="I1" s="15" t="s">
        <v>480</v>
      </c>
      <c r="J1" s="15" t="s">
        <v>490</v>
      </c>
      <c r="K1" s="15" t="s">
        <v>491</v>
      </c>
      <c r="L1" s="15" t="s">
        <v>492</v>
      </c>
      <c r="M1" s="15" t="s">
        <v>493</v>
      </c>
      <c r="N1" s="15" t="s">
        <v>484</v>
      </c>
      <c r="O1" s="15" t="s">
        <v>481</v>
      </c>
      <c r="P1" s="15" t="s">
        <v>482</v>
      </c>
      <c r="Q1" s="15" t="s">
        <v>483</v>
      </c>
      <c r="R1" s="15" t="s">
        <v>485</v>
      </c>
      <c r="W1" s="34" t="s">
        <v>486</v>
      </c>
      <c r="X1" s="35" t="s">
        <v>487</v>
      </c>
      <c r="Y1" s="36" t="s">
        <v>488</v>
      </c>
      <c r="Z1" s="36" t="s">
        <v>489</v>
      </c>
      <c r="AA1" s="37" t="s">
        <v>452</v>
      </c>
    </row>
    <row r="2" spans="1:28" ht="15.75" thickBot="1">
      <c r="A2" t="s">
        <v>1</v>
      </c>
      <c r="B2" s="2">
        <f>SUMIFS(LS[Unit],LS[Investor ID],TAX_CERTIFICATE[[#This Row],[INVESTOR CODE]],LS[Date Value],"&lt;"&amp;$Z$2)+SUMIFS(SIP[Unit],SIP[Investor ID],TAX_CERTIFICATE[[#This Row],[INVESTOR CODE]],SIP[Date Value],"&lt;"&amp;$Z$2)</f>
        <v>68001</v>
      </c>
      <c r="C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684517.76</v>
      </c>
      <c r="D2" s="4">
        <f>TAX_CERTIFICATE[[#This Row],[BEGINNING PERIOD UNITS]]*$AA$2</f>
        <v>677969.97000000009</v>
      </c>
      <c r="E2" s="4">
        <f>TAX_CERTIFICATE[[#This Row],[BEGINNING PERIOD MARKET VALUE]]-TAX_CERTIFICATE[[#This Row],[BEGINNING PERIOD COST VALUE]]</f>
        <v>-6547.7899999999208</v>
      </c>
      <c r="F2" s="2">
        <f>SUMIFS(LS[Unit],LS[Investor ID],TAX_CERTIFICATE[[#This Row],[INVESTOR CODE]],LS[Date Value],"&lt;="&amp;$Z$3)+SUMIFS(SIP[Unit],SIP[Investor ID],TAX_CERTIFICATE[[#This Row],[INVESTOR CODE]],SIP[Date Value],"&lt;="&amp;$Z$3)</f>
        <v>69467</v>
      </c>
      <c r="G2" s="4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698957.90827416943</v>
      </c>
      <c r="H2" s="4">
        <f>TAX_CERTIFICATE[[#This Row],[ENDING PERIOD UNITS]]*$AA$3</f>
        <v>690779.84800000011</v>
      </c>
      <c r="I2" s="4">
        <f>TAX_CERTIFICATE[[#This Row],[ENDING PERIOD MARKET VALUE]]-TAX_CERTIFICATE[[#This Row],[ENDING PERIOD COST VALUE]]</f>
        <v>-8178.0602741693147</v>
      </c>
      <c r="J2" s="2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1467</v>
      </c>
      <c r="K2" s="4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14450.21</v>
      </c>
      <c r="L2" s="2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</v>
      </c>
      <c r="M2" s="4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10.061725830598261</v>
      </c>
      <c r="N2" s="4">
        <f>TAX_CERTIFICATE[[#This Row],[TOTAL ADDITION AT COST DURING THE PERIOD]]-TAX_CERTIFICATE[[#This Row],[TOTAL REDEMPTION AT COST DURING THE PERIOD]]</f>
        <v>14440.148274169402</v>
      </c>
      <c r="O2" s="4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-6.7117258305982617</v>
      </c>
      <c r="P2" s="4"/>
      <c r="Q2" s="4"/>
      <c r="R2" s="4"/>
      <c r="W2" s="26">
        <v>2023</v>
      </c>
      <c r="X2" s="27">
        <v>7</v>
      </c>
      <c r="Y2" s="28">
        <v>1</v>
      </c>
      <c r="Z2" s="28">
        <f>DATE(W2,X2,Y2)</f>
        <v>45108</v>
      </c>
      <c r="AA2" s="208">
        <v>9.9700000000000006</v>
      </c>
      <c r="AB2" s="8"/>
    </row>
    <row r="3" spans="1:28" ht="15.75" thickBot="1">
      <c r="A3" t="s">
        <v>4</v>
      </c>
      <c r="B3" s="2">
        <f>SUMIFS(LS[Unit],LS[Investor ID],TAX_CERTIFICATE[[#This Row],[INVESTOR CODE]],LS[Date Value],"&lt;"&amp;$Z$2)+SUMIFS(SIP[Unit],SIP[Investor ID],TAX_CERTIFICATE[[#This Row],[INVESTOR CODE]],SIP[Date Value],"&lt;"&amp;$Z$2)</f>
        <v>651500</v>
      </c>
      <c r="C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6496535.7926284559</v>
      </c>
      <c r="D3" s="6">
        <f>TAX_CERTIFICATE[[#This Row],[BEGINNING PERIOD UNITS]]*$AA$2</f>
        <v>6495455</v>
      </c>
      <c r="E3" s="6">
        <f>TAX_CERTIFICATE[[#This Row],[BEGINNING PERIOD MARKET VALUE]]-TAX_CERTIFICATE[[#This Row],[BEGINNING PERIOD COST VALUE]]</f>
        <v>-1080.7926284559071</v>
      </c>
      <c r="F3" s="33">
        <f>SUMIFS(LS[Unit],LS[Investor ID],TAX_CERTIFICATE[[#This Row],[INVESTOR CODE]],LS[Date Value],"&lt;="&amp;$Z$3)+SUMIFS(SIP[Unit],SIP[Investor ID],TAX_CERTIFICATE[[#This Row],[INVESTOR CODE]],SIP[Date Value],"&lt;="&amp;$Z$3)</f>
        <v>1722605</v>
      </c>
      <c r="G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17176524.093873601</v>
      </c>
      <c r="H3" s="6">
        <f>TAX_CERTIFICATE[[#This Row],[ENDING PERIOD UNITS]]*$AA$3</f>
        <v>17129584.120000001</v>
      </c>
      <c r="I3" s="6">
        <f>TAX_CERTIFICATE[[#This Row],[ENDING PERIOD MARKET VALUE]]-TAX_CERTIFICATE[[#This Row],[ENDING PERIOD COST VALUE]]</f>
        <v>-46939.973873600364</v>
      </c>
      <c r="J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1409279</v>
      </c>
      <c r="K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14052005.6</v>
      </c>
      <c r="L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338174</v>
      </c>
      <c r="M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3372017.2987548551</v>
      </c>
      <c r="N3" s="6">
        <f>TAX_CERTIFICATE[[#This Row],[TOTAL ADDITION AT COST DURING THE PERIOD]]-TAX_CERTIFICATE[[#This Row],[TOTAL REDEMPTION AT COST DURING THE PERIOD]]</f>
        <v>10679988.301245145</v>
      </c>
      <c r="O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-50074.088754855547</v>
      </c>
      <c r="P3" s="6"/>
      <c r="Q3" s="6"/>
      <c r="R3" s="6"/>
      <c r="W3" s="29">
        <v>2024</v>
      </c>
      <c r="X3" s="30">
        <v>6</v>
      </c>
      <c r="Y3" s="31">
        <v>30</v>
      </c>
      <c r="Z3" s="31">
        <f>DATE(W3,X3,Y3)</f>
        <v>45473</v>
      </c>
      <c r="AA3" s="32">
        <v>9.9440000000000008</v>
      </c>
    </row>
    <row r="4" spans="1:28">
      <c r="A4" t="s">
        <v>7</v>
      </c>
      <c r="B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" s="6">
        <f>TAX_CERTIFICATE[[#This Row],[BEGINNING PERIOD UNITS]]*$AA$2</f>
        <v>0</v>
      </c>
      <c r="E4" s="6">
        <f>TAX_CERTIFICATE[[#This Row],[BEGINNING PERIOD MARKET VALUE]]-TAX_CERTIFICATE[[#This Row],[BEGINNING PERIOD COST VALUE]]</f>
        <v>0</v>
      </c>
      <c r="F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" s="6">
        <f>TAX_CERTIFICATE[[#This Row],[ENDING PERIOD UNITS]]*$AA$3</f>
        <v>0</v>
      </c>
      <c r="I4" s="6">
        <f>TAX_CERTIFICATE[[#This Row],[ENDING PERIOD MARKET VALUE]]-TAX_CERTIFICATE[[#This Row],[ENDING PERIOD COST VALUE]]</f>
        <v>0</v>
      </c>
      <c r="J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" s="6">
        <f>TAX_CERTIFICATE[[#This Row],[TOTAL ADDITION AT COST DURING THE PERIOD]]-TAX_CERTIFICATE[[#This Row],[TOTAL REDEMPTION AT COST DURING THE PERIOD]]</f>
        <v>0</v>
      </c>
      <c r="O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" s="6"/>
      <c r="Q4" s="6"/>
      <c r="R4" s="6"/>
    </row>
    <row r="5" spans="1:28">
      <c r="A5" t="s">
        <v>10</v>
      </c>
      <c r="B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" s="6">
        <f>TAX_CERTIFICATE[[#This Row],[BEGINNING PERIOD UNITS]]*$AA$2</f>
        <v>0</v>
      </c>
      <c r="E5" s="6">
        <f>TAX_CERTIFICATE[[#This Row],[BEGINNING PERIOD MARKET VALUE]]-TAX_CERTIFICATE[[#This Row],[BEGINNING PERIOD COST VALUE]]</f>
        <v>0</v>
      </c>
      <c r="F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" s="6">
        <f>TAX_CERTIFICATE[[#This Row],[ENDING PERIOD UNITS]]*$AA$3</f>
        <v>0</v>
      </c>
      <c r="I5" s="6">
        <f>TAX_CERTIFICATE[[#This Row],[ENDING PERIOD MARKET VALUE]]-TAX_CERTIFICATE[[#This Row],[ENDING PERIOD COST VALUE]]</f>
        <v>0</v>
      </c>
      <c r="J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" s="6">
        <f>TAX_CERTIFICATE[[#This Row],[TOTAL ADDITION AT COST DURING THE PERIOD]]-TAX_CERTIFICATE[[#This Row],[TOTAL REDEMPTION AT COST DURING THE PERIOD]]</f>
        <v>0</v>
      </c>
      <c r="O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" s="6"/>
      <c r="Q5" s="6"/>
      <c r="R5" s="6"/>
    </row>
    <row r="6" spans="1:28">
      <c r="A6" t="s">
        <v>12</v>
      </c>
      <c r="B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6" s="6">
        <f>TAX_CERTIFICATE[[#This Row],[BEGINNING PERIOD UNITS]]*$AA$2</f>
        <v>0</v>
      </c>
      <c r="E6" s="6">
        <f>TAX_CERTIFICATE[[#This Row],[BEGINNING PERIOD MARKET VALUE]]-TAX_CERTIFICATE[[#This Row],[BEGINNING PERIOD COST VALUE]]</f>
        <v>0</v>
      </c>
      <c r="F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6" s="6">
        <f>TAX_CERTIFICATE[[#This Row],[ENDING PERIOD UNITS]]*$AA$3</f>
        <v>0</v>
      </c>
      <c r="I6" s="6">
        <f>TAX_CERTIFICATE[[#This Row],[ENDING PERIOD MARKET VALUE]]-TAX_CERTIFICATE[[#This Row],[ENDING PERIOD COST VALUE]]</f>
        <v>0</v>
      </c>
      <c r="J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6" s="6">
        <f>TAX_CERTIFICATE[[#This Row],[TOTAL ADDITION AT COST DURING THE PERIOD]]-TAX_CERTIFICATE[[#This Row],[TOTAL REDEMPTION AT COST DURING THE PERIOD]]</f>
        <v>0</v>
      </c>
      <c r="O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6" s="6"/>
      <c r="Q6" s="6"/>
      <c r="R6" s="6"/>
    </row>
    <row r="7" spans="1:28">
      <c r="A7" t="s">
        <v>14</v>
      </c>
      <c r="B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7" s="6">
        <f>TAX_CERTIFICATE[[#This Row],[BEGINNING PERIOD UNITS]]*$AA$2</f>
        <v>0</v>
      </c>
      <c r="E7" s="6">
        <f>TAX_CERTIFICATE[[#This Row],[BEGINNING PERIOD MARKET VALUE]]-TAX_CERTIFICATE[[#This Row],[BEGINNING PERIOD COST VALUE]]</f>
        <v>0</v>
      </c>
      <c r="F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7" s="6">
        <f>TAX_CERTIFICATE[[#This Row],[ENDING PERIOD UNITS]]*$AA$3</f>
        <v>0</v>
      </c>
      <c r="I7" s="6">
        <f>TAX_CERTIFICATE[[#This Row],[ENDING PERIOD MARKET VALUE]]-TAX_CERTIFICATE[[#This Row],[ENDING PERIOD COST VALUE]]</f>
        <v>0</v>
      </c>
      <c r="J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7" s="6">
        <f>TAX_CERTIFICATE[[#This Row],[TOTAL ADDITION AT COST DURING THE PERIOD]]-TAX_CERTIFICATE[[#This Row],[TOTAL REDEMPTION AT COST DURING THE PERIOD]]</f>
        <v>0</v>
      </c>
      <c r="O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7" s="6"/>
      <c r="Q7" s="6"/>
      <c r="R7" s="6"/>
    </row>
    <row r="8" spans="1:28">
      <c r="A8" t="s">
        <v>15</v>
      </c>
      <c r="B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8" s="6">
        <f>TAX_CERTIFICATE[[#This Row],[BEGINNING PERIOD UNITS]]*$AA$2</f>
        <v>0</v>
      </c>
      <c r="E8" s="6">
        <f>TAX_CERTIFICATE[[#This Row],[BEGINNING PERIOD MARKET VALUE]]-TAX_CERTIFICATE[[#This Row],[BEGINNING PERIOD COST VALUE]]</f>
        <v>0</v>
      </c>
      <c r="F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8" s="6">
        <f>TAX_CERTIFICATE[[#This Row],[ENDING PERIOD UNITS]]*$AA$3</f>
        <v>0</v>
      </c>
      <c r="I8" s="6">
        <f>TAX_CERTIFICATE[[#This Row],[ENDING PERIOD MARKET VALUE]]-TAX_CERTIFICATE[[#This Row],[ENDING PERIOD COST VALUE]]</f>
        <v>0</v>
      </c>
      <c r="J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8" s="6">
        <f>TAX_CERTIFICATE[[#This Row],[TOTAL ADDITION AT COST DURING THE PERIOD]]-TAX_CERTIFICATE[[#This Row],[TOTAL REDEMPTION AT COST DURING THE PERIOD]]</f>
        <v>0</v>
      </c>
      <c r="O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8" s="6"/>
      <c r="Q8" s="6"/>
      <c r="R8" s="6"/>
    </row>
    <row r="9" spans="1:28">
      <c r="A9" t="s">
        <v>16</v>
      </c>
      <c r="B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9" s="6">
        <f>TAX_CERTIFICATE[[#This Row],[BEGINNING PERIOD UNITS]]*$AA$2</f>
        <v>0</v>
      </c>
      <c r="E9" s="6">
        <f>TAX_CERTIFICATE[[#This Row],[BEGINNING PERIOD MARKET VALUE]]-TAX_CERTIFICATE[[#This Row],[BEGINNING PERIOD COST VALUE]]</f>
        <v>0</v>
      </c>
      <c r="F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9" s="6">
        <f>TAX_CERTIFICATE[[#This Row],[ENDING PERIOD UNITS]]*$AA$3</f>
        <v>0</v>
      </c>
      <c r="I9" s="6">
        <f>TAX_CERTIFICATE[[#This Row],[ENDING PERIOD MARKET VALUE]]-TAX_CERTIFICATE[[#This Row],[ENDING PERIOD COST VALUE]]</f>
        <v>0</v>
      </c>
      <c r="J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9" s="6">
        <f>TAX_CERTIFICATE[[#This Row],[TOTAL ADDITION AT COST DURING THE PERIOD]]-TAX_CERTIFICATE[[#This Row],[TOTAL REDEMPTION AT COST DURING THE PERIOD]]</f>
        <v>0</v>
      </c>
      <c r="O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9" s="6"/>
      <c r="Q9" s="6"/>
      <c r="R9" s="6"/>
    </row>
    <row r="10" spans="1:28">
      <c r="A10" t="s">
        <v>17</v>
      </c>
      <c r="B1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0" s="6">
        <f>TAX_CERTIFICATE[[#This Row],[BEGINNING PERIOD UNITS]]*$AA$2</f>
        <v>0</v>
      </c>
      <c r="E10" s="6">
        <f>TAX_CERTIFICATE[[#This Row],[BEGINNING PERIOD MARKET VALUE]]-TAX_CERTIFICATE[[#This Row],[BEGINNING PERIOD COST VALUE]]</f>
        <v>0</v>
      </c>
      <c r="F1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0" s="6">
        <f>TAX_CERTIFICATE[[#This Row],[ENDING PERIOD UNITS]]*$AA$3</f>
        <v>0</v>
      </c>
      <c r="I10" s="6">
        <f>TAX_CERTIFICATE[[#This Row],[ENDING PERIOD MARKET VALUE]]-TAX_CERTIFICATE[[#This Row],[ENDING PERIOD COST VALUE]]</f>
        <v>0</v>
      </c>
      <c r="J1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0" s="6">
        <f>TAX_CERTIFICATE[[#This Row],[TOTAL ADDITION AT COST DURING THE PERIOD]]-TAX_CERTIFICATE[[#This Row],[TOTAL REDEMPTION AT COST DURING THE PERIOD]]</f>
        <v>0</v>
      </c>
      <c r="O1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0" s="6"/>
      <c r="Q10" s="6"/>
      <c r="R10" s="6"/>
    </row>
    <row r="11" spans="1:28">
      <c r="A11" t="s">
        <v>18</v>
      </c>
      <c r="B1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1" s="6">
        <f>TAX_CERTIFICATE[[#This Row],[BEGINNING PERIOD UNITS]]*$AA$2</f>
        <v>0</v>
      </c>
      <c r="E11" s="6">
        <f>TAX_CERTIFICATE[[#This Row],[BEGINNING PERIOD MARKET VALUE]]-TAX_CERTIFICATE[[#This Row],[BEGINNING PERIOD COST VALUE]]</f>
        <v>0</v>
      </c>
      <c r="F1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1" s="6">
        <f>TAX_CERTIFICATE[[#This Row],[ENDING PERIOD UNITS]]*$AA$3</f>
        <v>0</v>
      </c>
      <c r="I11" s="6">
        <f>TAX_CERTIFICATE[[#This Row],[ENDING PERIOD MARKET VALUE]]-TAX_CERTIFICATE[[#This Row],[ENDING PERIOD COST VALUE]]</f>
        <v>0</v>
      </c>
      <c r="J1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1" s="6">
        <f>TAX_CERTIFICATE[[#This Row],[TOTAL ADDITION AT COST DURING THE PERIOD]]-TAX_CERTIFICATE[[#This Row],[TOTAL REDEMPTION AT COST DURING THE PERIOD]]</f>
        <v>0</v>
      </c>
      <c r="O1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1" s="6"/>
      <c r="Q11" s="6"/>
      <c r="R11" s="6"/>
    </row>
    <row r="12" spans="1:28">
      <c r="A12" t="s">
        <v>19</v>
      </c>
      <c r="B1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2" s="6">
        <f>TAX_CERTIFICATE[[#This Row],[BEGINNING PERIOD UNITS]]*$AA$2</f>
        <v>0</v>
      </c>
      <c r="E12" s="6">
        <f>TAX_CERTIFICATE[[#This Row],[BEGINNING PERIOD MARKET VALUE]]-TAX_CERTIFICATE[[#This Row],[BEGINNING PERIOD COST VALUE]]</f>
        <v>0</v>
      </c>
      <c r="F1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2" s="6">
        <f>TAX_CERTIFICATE[[#This Row],[ENDING PERIOD UNITS]]*$AA$3</f>
        <v>0</v>
      </c>
      <c r="I12" s="6">
        <f>TAX_CERTIFICATE[[#This Row],[ENDING PERIOD MARKET VALUE]]-TAX_CERTIFICATE[[#This Row],[ENDING PERIOD COST VALUE]]</f>
        <v>0</v>
      </c>
      <c r="J1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2" s="6">
        <f>TAX_CERTIFICATE[[#This Row],[TOTAL ADDITION AT COST DURING THE PERIOD]]-TAX_CERTIFICATE[[#This Row],[TOTAL REDEMPTION AT COST DURING THE PERIOD]]</f>
        <v>0</v>
      </c>
      <c r="O1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2" s="6"/>
      <c r="Q12" s="6"/>
      <c r="R12" s="6"/>
    </row>
    <row r="13" spans="1:28">
      <c r="A13" t="s">
        <v>20</v>
      </c>
      <c r="B1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3" s="6">
        <f>TAX_CERTIFICATE[[#This Row],[BEGINNING PERIOD UNITS]]*$AA$2</f>
        <v>0</v>
      </c>
      <c r="E13" s="6">
        <f>TAX_CERTIFICATE[[#This Row],[BEGINNING PERIOD MARKET VALUE]]-TAX_CERTIFICATE[[#This Row],[BEGINNING PERIOD COST VALUE]]</f>
        <v>0</v>
      </c>
      <c r="F1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3" s="6">
        <f>TAX_CERTIFICATE[[#This Row],[ENDING PERIOD UNITS]]*$AA$3</f>
        <v>0</v>
      </c>
      <c r="I13" s="6">
        <f>TAX_CERTIFICATE[[#This Row],[ENDING PERIOD MARKET VALUE]]-TAX_CERTIFICATE[[#This Row],[ENDING PERIOD COST VALUE]]</f>
        <v>0</v>
      </c>
      <c r="J1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3" s="6">
        <f>TAX_CERTIFICATE[[#This Row],[TOTAL ADDITION AT COST DURING THE PERIOD]]-TAX_CERTIFICATE[[#This Row],[TOTAL REDEMPTION AT COST DURING THE PERIOD]]</f>
        <v>0</v>
      </c>
      <c r="O1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3" s="6"/>
      <c r="Q13" s="6"/>
      <c r="R13" s="6"/>
    </row>
    <row r="14" spans="1:28">
      <c r="A14" t="s">
        <v>21</v>
      </c>
      <c r="B14" s="2">
        <f>SUMIFS(LS[Unit],LS[Investor ID],TAX_CERTIFICATE[[#This Row],[INVESTOR CODE]],LS[Date Value],"&lt;"&amp;$Z$2)+SUMIFS(SIP[Unit],SIP[Investor ID],TAX_CERTIFICATE[[#This Row],[INVESTOR CODE]],SIP[Date Value],"&lt;"&amp;$Z$2)</f>
        <v>150000</v>
      </c>
      <c r="C1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1500000</v>
      </c>
      <c r="D14" s="6">
        <f>TAX_CERTIFICATE[[#This Row],[BEGINNING PERIOD UNITS]]*$AA$2</f>
        <v>1495500</v>
      </c>
      <c r="E14" s="6">
        <f>TAX_CERTIFICATE[[#This Row],[BEGINNING PERIOD MARKET VALUE]]-TAX_CERTIFICATE[[#This Row],[BEGINNING PERIOD COST VALUE]]</f>
        <v>-4500</v>
      </c>
      <c r="F1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4" s="6">
        <f>TAX_CERTIFICATE[[#This Row],[ENDING PERIOD UNITS]]*$AA$3</f>
        <v>0</v>
      </c>
      <c r="I14" s="6">
        <f>TAX_CERTIFICATE[[#This Row],[ENDING PERIOD MARKET VALUE]]-TAX_CERTIFICATE[[#This Row],[ENDING PERIOD COST VALUE]]</f>
        <v>0</v>
      </c>
      <c r="J1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150000</v>
      </c>
      <c r="M1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1500000</v>
      </c>
      <c r="N14" s="6">
        <f>TAX_CERTIFICATE[[#This Row],[TOTAL ADDITION AT COST DURING THE PERIOD]]-TAX_CERTIFICATE[[#This Row],[TOTAL REDEMPTION AT COST DURING THE PERIOD]]</f>
        <v>-1500000</v>
      </c>
      <c r="O1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46534.999999999905</v>
      </c>
      <c r="P14" s="6"/>
      <c r="Q14" s="6"/>
      <c r="R14" s="6"/>
    </row>
    <row r="15" spans="1:28">
      <c r="A15" t="s">
        <v>22</v>
      </c>
      <c r="B15" s="2">
        <f>SUMIFS(LS[Unit],LS[Investor ID],TAX_CERTIFICATE[[#This Row],[INVESTOR CODE]],LS[Date Value],"&lt;"&amp;$Z$2)+SUMIFS(SIP[Unit],SIP[Investor ID],TAX_CERTIFICATE[[#This Row],[INVESTOR CODE]],SIP[Date Value],"&lt;"&amp;$Z$2)</f>
        <v>20000</v>
      </c>
      <c r="C1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200000</v>
      </c>
      <c r="D15" s="6">
        <f>TAX_CERTIFICATE[[#This Row],[BEGINNING PERIOD UNITS]]*$AA$2</f>
        <v>199400</v>
      </c>
      <c r="E15" s="6">
        <f>TAX_CERTIFICATE[[#This Row],[BEGINNING PERIOD MARKET VALUE]]-TAX_CERTIFICATE[[#This Row],[BEGINNING PERIOD COST VALUE]]</f>
        <v>-600</v>
      </c>
      <c r="F15" s="33">
        <f>SUMIFS(LS[Unit],LS[Investor ID],TAX_CERTIFICATE[[#This Row],[INVESTOR CODE]],LS[Date Value],"&lt;="&amp;$Z$3)+SUMIFS(SIP[Unit],SIP[Investor ID],TAX_CERTIFICATE[[#This Row],[INVESTOR CODE]],SIP[Date Value],"&lt;="&amp;$Z$3)</f>
        <v>20457</v>
      </c>
      <c r="G1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204500</v>
      </c>
      <c r="H15" s="6">
        <f>TAX_CERTIFICATE[[#This Row],[ENDING PERIOD UNITS]]*$AA$3</f>
        <v>203424.40800000002</v>
      </c>
      <c r="I15" s="6">
        <f>TAX_CERTIFICATE[[#This Row],[ENDING PERIOD MARKET VALUE]]-TAX_CERTIFICATE[[#This Row],[ENDING PERIOD COST VALUE]]</f>
        <v>-1075.5919999999751</v>
      </c>
      <c r="J1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457</v>
      </c>
      <c r="K1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4500</v>
      </c>
      <c r="L1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5" s="6">
        <f>TAX_CERTIFICATE[[#This Row],[TOTAL ADDITION AT COST DURING THE PERIOD]]-TAX_CERTIFICATE[[#This Row],[TOTAL REDEMPTION AT COST DURING THE PERIOD]]</f>
        <v>4500</v>
      </c>
      <c r="O1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5" s="6"/>
      <c r="Q15" s="6"/>
      <c r="R15" s="6"/>
    </row>
    <row r="16" spans="1:28">
      <c r="A16" t="s">
        <v>23</v>
      </c>
      <c r="B1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6" s="6">
        <f>TAX_CERTIFICATE[[#This Row],[BEGINNING PERIOD UNITS]]*$AA$2</f>
        <v>0</v>
      </c>
      <c r="E16" s="6">
        <f>TAX_CERTIFICATE[[#This Row],[BEGINNING PERIOD MARKET VALUE]]-TAX_CERTIFICATE[[#This Row],[BEGINNING PERIOD COST VALUE]]</f>
        <v>0</v>
      </c>
      <c r="F1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6" s="6">
        <f>TAX_CERTIFICATE[[#This Row],[ENDING PERIOD UNITS]]*$AA$3</f>
        <v>0</v>
      </c>
      <c r="I16" s="6">
        <f>TAX_CERTIFICATE[[#This Row],[ENDING PERIOD MARKET VALUE]]-TAX_CERTIFICATE[[#This Row],[ENDING PERIOD COST VALUE]]</f>
        <v>0</v>
      </c>
      <c r="J1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6" s="6">
        <f>TAX_CERTIFICATE[[#This Row],[TOTAL ADDITION AT COST DURING THE PERIOD]]-TAX_CERTIFICATE[[#This Row],[TOTAL REDEMPTION AT COST DURING THE PERIOD]]</f>
        <v>0</v>
      </c>
      <c r="O1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6" s="6"/>
      <c r="Q16" s="6"/>
      <c r="R16" s="6"/>
    </row>
    <row r="17" spans="1:18">
      <c r="A17" t="s">
        <v>24</v>
      </c>
      <c r="B1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7" s="6">
        <f>TAX_CERTIFICATE[[#This Row],[BEGINNING PERIOD UNITS]]*$AA$2</f>
        <v>0</v>
      </c>
      <c r="E17" s="6">
        <f>TAX_CERTIFICATE[[#This Row],[BEGINNING PERIOD MARKET VALUE]]-TAX_CERTIFICATE[[#This Row],[BEGINNING PERIOD COST VALUE]]</f>
        <v>0</v>
      </c>
      <c r="F1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7" s="6">
        <f>TAX_CERTIFICATE[[#This Row],[ENDING PERIOD UNITS]]*$AA$3</f>
        <v>0</v>
      </c>
      <c r="I17" s="6">
        <f>TAX_CERTIFICATE[[#This Row],[ENDING PERIOD MARKET VALUE]]-TAX_CERTIFICATE[[#This Row],[ENDING PERIOD COST VALUE]]</f>
        <v>0</v>
      </c>
      <c r="J1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7" s="6">
        <f>TAX_CERTIFICATE[[#This Row],[TOTAL ADDITION AT COST DURING THE PERIOD]]-TAX_CERTIFICATE[[#This Row],[TOTAL REDEMPTION AT COST DURING THE PERIOD]]</f>
        <v>0</v>
      </c>
      <c r="O1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7" s="6"/>
      <c r="Q17" s="6"/>
      <c r="R17" s="6"/>
    </row>
    <row r="18" spans="1:18">
      <c r="A18" t="s">
        <v>25</v>
      </c>
      <c r="B1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8" s="6">
        <f>TAX_CERTIFICATE[[#This Row],[BEGINNING PERIOD UNITS]]*$AA$2</f>
        <v>0</v>
      </c>
      <c r="E18" s="6">
        <f>TAX_CERTIFICATE[[#This Row],[BEGINNING PERIOD MARKET VALUE]]-TAX_CERTIFICATE[[#This Row],[BEGINNING PERIOD COST VALUE]]</f>
        <v>0</v>
      </c>
      <c r="F1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8" s="6">
        <f>TAX_CERTIFICATE[[#This Row],[ENDING PERIOD UNITS]]*$AA$3</f>
        <v>0</v>
      </c>
      <c r="I18" s="6">
        <f>TAX_CERTIFICATE[[#This Row],[ENDING PERIOD MARKET VALUE]]-TAX_CERTIFICATE[[#This Row],[ENDING PERIOD COST VALUE]]</f>
        <v>0</v>
      </c>
      <c r="J1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8" s="6">
        <f>TAX_CERTIFICATE[[#This Row],[TOTAL ADDITION AT COST DURING THE PERIOD]]-TAX_CERTIFICATE[[#This Row],[TOTAL REDEMPTION AT COST DURING THE PERIOD]]</f>
        <v>0</v>
      </c>
      <c r="O1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8" s="6"/>
      <c r="Q18" s="6"/>
      <c r="R18" s="6"/>
    </row>
    <row r="19" spans="1:18">
      <c r="A19" t="s">
        <v>26</v>
      </c>
      <c r="B19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1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19" s="6">
        <f>TAX_CERTIFICATE[[#This Row],[BEGINNING PERIOD UNITS]]*$AA$2</f>
        <v>997000.00000000012</v>
      </c>
      <c r="E19" s="6">
        <f>TAX_CERTIFICATE[[#This Row],[BEGINNING PERIOD MARKET VALUE]]-TAX_CERTIFICATE[[#This Row],[BEGINNING PERIOD COST VALUE]]</f>
        <v>-2999.9999999998836</v>
      </c>
      <c r="F19" s="33">
        <f>SUMIFS(LS[Unit],LS[Investor ID],TAX_CERTIFICATE[[#This Row],[INVESTOR CODE]],LS[Date Value],"&lt;="&amp;$Z$3)+SUMIFS(SIP[Unit],SIP[Investor ID],TAX_CERTIFICATE[[#This Row],[INVESTOR CODE]],SIP[Date Value],"&lt;="&amp;$Z$3)</f>
        <v>102284</v>
      </c>
      <c r="G1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1022500</v>
      </c>
      <c r="H19" s="6">
        <f>TAX_CERTIFICATE[[#This Row],[ENDING PERIOD UNITS]]*$AA$3</f>
        <v>1017112.0960000001</v>
      </c>
      <c r="I19" s="6">
        <f>TAX_CERTIFICATE[[#This Row],[ENDING PERIOD MARKET VALUE]]-TAX_CERTIFICATE[[#This Row],[ENDING PERIOD COST VALUE]]</f>
        <v>-5387.903999999864</v>
      </c>
      <c r="J1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2284</v>
      </c>
      <c r="K1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22500</v>
      </c>
      <c r="L1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9" s="6">
        <f>TAX_CERTIFICATE[[#This Row],[TOTAL ADDITION AT COST DURING THE PERIOD]]-TAX_CERTIFICATE[[#This Row],[TOTAL REDEMPTION AT COST DURING THE PERIOD]]</f>
        <v>22500</v>
      </c>
      <c r="O1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9" s="6"/>
      <c r="Q19" s="6"/>
      <c r="R19" s="6"/>
    </row>
    <row r="20" spans="1:18">
      <c r="A20" t="s">
        <v>27</v>
      </c>
      <c r="B20" s="2">
        <f>SUMIFS(LS[Unit],LS[Investor ID],TAX_CERTIFICATE[[#This Row],[INVESTOR CODE]],LS[Date Value],"&lt;"&amp;$Z$2)+SUMIFS(SIP[Unit],SIP[Investor ID],TAX_CERTIFICATE[[#This Row],[INVESTOR CODE]],SIP[Date Value],"&lt;"&amp;$Z$2)</f>
        <v>7507</v>
      </c>
      <c r="C2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75000</v>
      </c>
      <c r="D20" s="6">
        <f>TAX_CERTIFICATE[[#This Row],[BEGINNING PERIOD UNITS]]*$AA$2</f>
        <v>74844.790000000008</v>
      </c>
      <c r="E20" s="6">
        <f>TAX_CERTIFICATE[[#This Row],[BEGINNING PERIOD MARKET VALUE]]-TAX_CERTIFICATE[[#This Row],[BEGINNING PERIOD COST VALUE]]</f>
        <v>-155.20999999999185</v>
      </c>
      <c r="F20" s="33">
        <f>SUMIFS(LS[Unit],LS[Investor ID],TAX_CERTIFICATE[[#This Row],[INVESTOR CODE]],LS[Date Value],"&lt;="&amp;$Z$3)+SUMIFS(SIP[Unit],SIP[Investor ID],TAX_CERTIFICATE[[#This Row],[INVESTOR CODE]],SIP[Date Value],"&lt;="&amp;$Z$3)</f>
        <v>13656</v>
      </c>
      <c r="G2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137343.82</v>
      </c>
      <c r="H20" s="6">
        <f>TAX_CERTIFICATE[[#This Row],[ENDING PERIOD UNITS]]*$AA$3</f>
        <v>135795.26400000002</v>
      </c>
      <c r="I20" s="6">
        <f>TAX_CERTIFICATE[[#This Row],[ENDING PERIOD MARKET VALUE]]-TAX_CERTIFICATE[[#This Row],[ENDING PERIOD COST VALUE]]</f>
        <v>-1548.5559999999823</v>
      </c>
      <c r="J2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6149</v>
      </c>
      <c r="K2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62343.82</v>
      </c>
      <c r="L2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0" s="6">
        <f>TAX_CERTIFICATE[[#This Row],[TOTAL ADDITION AT COST DURING THE PERIOD]]-TAX_CERTIFICATE[[#This Row],[TOTAL REDEMPTION AT COST DURING THE PERIOD]]</f>
        <v>62343.82</v>
      </c>
      <c r="O2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0" s="6"/>
      <c r="Q20" s="6"/>
      <c r="R20" s="6"/>
    </row>
    <row r="21" spans="1:18">
      <c r="A21" t="s">
        <v>28</v>
      </c>
      <c r="B2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1" s="6">
        <f>TAX_CERTIFICATE[[#This Row],[BEGINNING PERIOD UNITS]]*$AA$2</f>
        <v>0</v>
      </c>
      <c r="E21" s="6">
        <f>TAX_CERTIFICATE[[#This Row],[BEGINNING PERIOD MARKET VALUE]]-TAX_CERTIFICATE[[#This Row],[BEGINNING PERIOD COST VALUE]]</f>
        <v>0</v>
      </c>
      <c r="F2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1" s="6">
        <f>TAX_CERTIFICATE[[#This Row],[ENDING PERIOD UNITS]]*$AA$3</f>
        <v>0</v>
      </c>
      <c r="I21" s="6">
        <f>TAX_CERTIFICATE[[#This Row],[ENDING PERIOD MARKET VALUE]]-TAX_CERTIFICATE[[#This Row],[ENDING PERIOD COST VALUE]]</f>
        <v>0</v>
      </c>
      <c r="J2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1" s="6">
        <f>TAX_CERTIFICATE[[#This Row],[TOTAL ADDITION AT COST DURING THE PERIOD]]-TAX_CERTIFICATE[[#This Row],[TOTAL REDEMPTION AT COST DURING THE PERIOD]]</f>
        <v>0</v>
      </c>
      <c r="O2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1" s="6"/>
      <c r="Q21" s="6"/>
      <c r="R21" s="6"/>
    </row>
    <row r="22" spans="1:18">
      <c r="A22" t="s">
        <v>29</v>
      </c>
      <c r="B2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2" s="6">
        <f>TAX_CERTIFICATE[[#This Row],[BEGINNING PERIOD UNITS]]*$AA$2</f>
        <v>0</v>
      </c>
      <c r="E22" s="6">
        <f>TAX_CERTIFICATE[[#This Row],[BEGINNING PERIOD MARKET VALUE]]-TAX_CERTIFICATE[[#This Row],[BEGINNING PERIOD COST VALUE]]</f>
        <v>0</v>
      </c>
      <c r="F2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2" s="6">
        <f>TAX_CERTIFICATE[[#This Row],[ENDING PERIOD UNITS]]*$AA$3</f>
        <v>0</v>
      </c>
      <c r="I22" s="6">
        <f>TAX_CERTIFICATE[[#This Row],[ENDING PERIOD MARKET VALUE]]-TAX_CERTIFICATE[[#This Row],[ENDING PERIOD COST VALUE]]</f>
        <v>0</v>
      </c>
      <c r="J2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2" s="6">
        <f>TAX_CERTIFICATE[[#This Row],[TOTAL ADDITION AT COST DURING THE PERIOD]]-TAX_CERTIFICATE[[#This Row],[TOTAL REDEMPTION AT COST DURING THE PERIOD]]</f>
        <v>0</v>
      </c>
      <c r="O2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2" s="6"/>
      <c r="Q22" s="6"/>
      <c r="R22" s="6"/>
    </row>
    <row r="23" spans="1:18">
      <c r="A23" t="s">
        <v>30</v>
      </c>
      <c r="B2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3" s="6">
        <f>TAX_CERTIFICATE[[#This Row],[BEGINNING PERIOD UNITS]]*$AA$2</f>
        <v>0</v>
      </c>
      <c r="E23" s="6">
        <f>TAX_CERTIFICATE[[#This Row],[BEGINNING PERIOD MARKET VALUE]]-TAX_CERTIFICATE[[#This Row],[BEGINNING PERIOD COST VALUE]]</f>
        <v>0</v>
      </c>
      <c r="F2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3" s="6">
        <f>TAX_CERTIFICATE[[#This Row],[ENDING PERIOD UNITS]]*$AA$3</f>
        <v>0</v>
      </c>
      <c r="I23" s="6">
        <f>TAX_CERTIFICATE[[#This Row],[ENDING PERIOD MARKET VALUE]]-TAX_CERTIFICATE[[#This Row],[ENDING PERIOD COST VALUE]]</f>
        <v>0</v>
      </c>
      <c r="J2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3" s="6">
        <f>TAX_CERTIFICATE[[#This Row],[TOTAL ADDITION AT COST DURING THE PERIOD]]-TAX_CERTIFICATE[[#This Row],[TOTAL REDEMPTION AT COST DURING THE PERIOD]]</f>
        <v>0</v>
      </c>
      <c r="O2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3" s="6"/>
      <c r="Q23" s="6"/>
      <c r="R23" s="6"/>
    </row>
    <row r="24" spans="1:18">
      <c r="A24" t="s">
        <v>31</v>
      </c>
      <c r="B2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4" s="6">
        <f>TAX_CERTIFICATE[[#This Row],[BEGINNING PERIOD UNITS]]*$AA$2</f>
        <v>0</v>
      </c>
      <c r="E24" s="6">
        <f>TAX_CERTIFICATE[[#This Row],[BEGINNING PERIOD MARKET VALUE]]-TAX_CERTIFICATE[[#This Row],[BEGINNING PERIOD COST VALUE]]</f>
        <v>0</v>
      </c>
      <c r="F2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4" s="6">
        <f>TAX_CERTIFICATE[[#This Row],[ENDING PERIOD UNITS]]*$AA$3</f>
        <v>0</v>
      </c>
      <c r="I24" s="6">
        <f>TAX_CERTIFICATE[[#This Row],[ENDING PERIOD MARKET VALUE]]-TAX_CERTIFICATE[[#This Row],[ENDING PERIOD COST VALUE]]</f>
        <v>0</v>
      </c>
      <c r="J2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4" s="6">
        <f>TAX_CERTIFICATE[[#This Row],[TOTAL ADDITION AT COST DURING THE PERIOD]]-TAX_CERTIFICATE[[#This Row],[TOTAL REDEMPTION AT COST DURING THE PERIOD]]</f>
        <v>0</v>
      </c>
      <c r="O2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4" s="6"/>
      <c r="Q24" s="6"/>
      <c r="R24" s="6"/>
    </row>
    <row r="25" spans="1:18">
      <c r="A25" t="s">
        <v>32</v>
      </c>
      <c r="B2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5" s="6">
        <f>TAX_CERTIFICATE[[#This Row],[BEGINNING PERIOD UNITS]]*$AA$2</f>
        <v>0</v>
      </c>
      <c r="E25" s="6">
        <f>TAX_CERTIFICATE[[#This Row],[BEGINNING PERIOD MARKET VALUE]]-TAX_CERTIFICATE[[#This Row],[BEGINNING PERIOD COST VALUE]]</f>
        <v>0</v>
      </c>
      <c r="F2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5" s="6">
        <f>TAX_CERTIFICATE[[#This Row],[ENDING PERIOD UNITS]]*$AA$3</f>
        <v>0</v>
      </c>
      <c r="I25" s="6">
        <f>TAX_CERTIFICATE[[#This Row],[ENDING PERIOD MARKET VALUE]]-TAX_CERTIFICATE[[#This Row],[ENDING PERIOD COST VALUE]]</f>
        <v>0</v>
      </c>
      <c r="J2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5" s="6">
        <f>TAX_CERTIFICATE[[#This Row],[TOTAL ADDITION AT COST DURING THE PERIOD]]-TAX_CERTIFICATE[[#This Row],[TOTAL REDEMPTION AT COST DURING THE PERIOD]]</f>
        <v>0</v>
      </c>
      <c r="O2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5" s="6"/>
      <c r="Q25" s="6"/>
      <c r="R25" s="6"/>
    </row>
    <row r="26" spans="1:18">
      <c r="A26" t="s">
        <v>33</v>
      </c>
      <c r="B26" s="2">
        <f>SUMIFS(LS[Unit],LS[Investor ID],TAX_CERTIFICATE[[#This Row],[INVESTOR CODE]],LS[Date Value],"&lt;"&amp;$Z$2)+SUMIFS(SIP[Unit],SIP[Investor ID],TAX_CERTIFICATE[[#This Row],[INVESTOR CODE]],SIP[Date Value],"&lt;"&amp;$Z$2)</f>
        <v>50505</v>
      </c>
      <c r="C2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500000</v>
      </c>
      <c r="D26" s="6">
        <f>TAX_CERTIFICATE[[#This Row],[BEGINNING PERIOD UNITS]]*$AA$2</f>
        <v>503534.85000000003</v>
      </c>
      <c r="E26" s="6">
        <f>TAX_CERTIFICATE[[#This Row],[BEGINNING PERIOD MARKET VALUE]]-TAX_CERTIFICATE[[#This Row],[BEGINNING PERIOD COST VALUE]]</f>
        <v>3534.8500000000349</v>
      </c>
      <c r="F26" s="33">
        <f>SUMIFS(LS[Unit],LS[Investor ID],TAX_CERTIFICATE[[#This Row],[INVESTOR CODE]],LS[Date Value],"&lt;="&amp;$Z$3)+SUMIFS(SIP[Unit],SIP[Investor ID],TAX_CERTIFICATE[[#This Row],[INVESTOR CODE]],SIP[Date Value],"&lt;="&amp;$Z$3)</f>
        <v>51658</v>
      </c>
      <c r="G2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511363.62</v>
      </c>
      <c r="H26" s="6">
        <f>TAX_CERTIFICATE[[#This Row],[ENDING PERIOD UNITS]]*$AA$3</f>
        <v>513687.15200000006</v>
      </c>
      <c r="I26" s="6">
        <f>TAX_CERTIFICATE[[#This Row],[ENDING PERIOD MARKET VALUE]]-TAX_CERTIFICATE[[#This Row],[ENDING PERIOD COST VALUE]]</f>
        <v>2323.5320000000647</v>
      </c>
      <c r="J2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1153</v>
      </c>
      <c r="K2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11363.619999999999</v>
      </c>
      <c r="L2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6" s="6">
        <f>TAX_CERTIFICATE[[#This Row],[TOTAL ADDITION AT COST DURING THE PERIOD]]-TAX_CERTIFICATE[[#This Row],[TOTAL REDEMPTION AT COST DURING THE PERIOD]]</f>
        <v>11363.619999999999</v>
      </c>
      <c r="O2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6" s="6"/>
      <c r="Q26" s="6"/>
      <c r="R26" s="6"/>
    </row>
    <row r="27" spans="1:18">
      <c r="A27" t="s">
        <v>34</v>
      </c>
      <c r="B2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7" s="6">
        <f>TAX_CERTIFICATE[[#This Row],[BEGINNING PERIOD UNITS]]*$AA$2</f>
        <v>0</v>
      </c>
      <c r="E27" s="6">
        <f>TAX_CERTIFICATE[[#This Row],[BEGINNING PERIOD MARKET VALUE]]-TAX_CERTIFICATE[[#This Row],[BEGINNING PERIOD COST VALUE]]</f>
        <v>0</v>
      </c>
      <c r="F2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7" s="6">
        <f>TAX_CERTIFICATE[[#This Row],[ENDING PERIOD UNITS]]*$AA$3</f>
        <v>0</v>
      </c>
      <c r="I27" s="6">
        <f>TAX_CERTIFICATE[[#This Row],[ENDING PERIOD MARKET VALUE]]-TAX_CERTIFICATE[[#This Row],[ENDING PERIOD COST VALUE]]</f>
        <v>0</v>
      </c>
      <c r="J2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7" s="6">
        <f>TAX_CERTIFICATE[[#This Row],[TOTAL ADDITION AT COST DURING THE PERIOD]]-TAX_CERTIFICATE[[#This Row],[TOTAL REDEMPTION AT COST DURING THE PERIOD]]</f>
        <v>0</v>
      </c>
      <c r="O2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7" s="6"/>
      <c r="Q27" s="6"/>
      <c r="R27" s="6"/>
    </row>
    <row r="28" spans="1:18">
      <c r="A28" t="s">
        <v>35</v>
      </c>
      <c r="B2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8" s="6">
        <f>TAX_CERTIFICATE[[#This Row],[BEGINNING PERIOD UNITS]]*$AA$2</f>
        <v>0</v>
      </c>
      <c r="E28" s="6">
        <f>TAX_CERTIFICATE[[#This Row],[BEGINNING PERIOD MARKET VALUE]]-TAX_CERTIFICATE[[#This Row],[BEGINNING PERIOD COST VALUE]]</f>
        <v>0</v>
      </c>
      <c r="F2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8" s="6">
        <f>TAX_CERTIFICATE[[#This Row],[ENDING PERIOD UNITS]]*$AA$3</f>
        <v>0</v>
      </c>
      <c r="I28" s="6">
        <f>TAX_CERTIFICATE[[#This Row],[ENDING PERIOD MARKET VALUE]]-TAX_CERTIFICATE[[#This Row],[ENDING PERIOD COST VALUE]]</f>
        <v>0</v>
      </c>
      <c r="J2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8" s="6">
        <f>TAX_CERTIFICATE[[#This Row],[TOTAL ADDITION AT COST DURING THE PERIOD]]-TAX_CERTIFICATE[[#This Row],[TOTAL REDEMPTION AT COST DURING THE PERIOD]]</f>
        <v>0</v>
      </c>
      <c r="O2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8" s="6"/>
      <c r="Q28" s="6"/>
      <c r="R28" s="6"/>
    </row>
    <row r="29" spans="1:18">
      <c r="A29" t="s">
        <v>36</v>
      </c>
      <c r="B2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9" s="6">
        <f>TAX_CERTIFICATE[[#This Row],[BEGINNING PERIOD UNITS]]*$AA$2</f>
        <v>0</v>
      </c>
      <c r="E29" s="6">
        <f>TAX_CERTIFICATE[[#This Row],[BEGINNING PERIOD MARKET VALUE]]-TAX_CERTIFICATE[[#This Row],[BEGINNING PERIOD COST VALUE]]</f>
        <v>0</v>
      </c>
      <c r="F2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9" s="6">
        <f>TAX_CERTIFICATE[[#This Row],[ENDING PERIOD UNITS]]*$AA$3</f>
        <v>0</v>
      </c>
      <c r="I29" s="6">
        <f>TAX_CERTIFICATE[[#This Row],[ENDING PERIOD MARKET VALUE]]-TAX_CERTIFICATE[[#This Row],[ENDING PERIOD COST VALUE]]</f>
        <v>0</v>
      </c>
      <c r="J2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9" s="6">
        <f>TAX_CERTIFICATE[[#This Row],[TOTAL ADDITION AT COST DURING THE PERIOD]]-TAX_CERTIFICATE[[#This Row],[TOTAL REDEMPTION AT COST DURING THE PERIOD]]</f>
        <v>0</v>
      </c>
      <c r="O2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9" s="6"/>
      <c r="Q29" s="6"/>
      <c r="R29" s="6"/>
    </row>
    <row r="30" spans="1:18">
      <c r="A30" t="s">
        <v>37</v>
      </c>
      <c r="B3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0" s="6">
        <f>TAX_CERTIFICATE[[#This Row],[BEGINNING PERIOD UNITS]]*$AA$2</f>
        <v>0</v>
      </c>
      <c r="E30" s="6">
        <f>TAX_CERTIFICATE[[#This Row],[BEGINNING PERIOD MARKET VALUE]]-TAX_CERTIFICATE[[#This Row],[BEGINNING PERIOD COST VALUE]]</f>
        <v>0</v>
      </c>
      <c r="F3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0" s="6">
        <f>TAX_CERTIFICATE[[#This Row],[ENDING PERIOD UNITS]]*$AA$3</f>
        <v>0</v>
      </c>
      <c r="I30" s="6">
        <f>TAX_CERTIFICATE[[#This Row],[ENDING PERIOD MARKET VALUE]]-TAX_CERTIFICATE[[#This Row],[ENDING PERIOD COST VALUE]]</f>
        <v>0</v>
      </c>
      <c r="J3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0" s="6">
        <f>TAX_CERTIFICATE[[#This Row],[TOTAL ADDITION AT COST DURING THE PERIOD]]-TAX_CERTIFICATE[[#This Row],[TOTAL REDEMPTION AT COST DURING THE PERIOD]]</f>
        <v>0</v>
      </c>
      <c r="O3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0" s="6"/>
      <c r="Q30" s="6"/>
      <c r="R30" s="6"/>
    </row>
    <row r="31" spans="1:18">
      <c r="A31" t="s">
        <v>38</v>
      </c>
      <c r="B3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1" s="6">
        <f>TAX_CERTIFICATE[[#This Row],[BEGINNING PERIOD UNITS]]*$AA$2</f>
        <v>0</v>
      </c>
      <c r="E31" s="6">
        <f>TAX_CERTIFICATE[[#This Row],[BEGINNING PERIOD MARKET VALUE]]-TAX_CERTIFICATE[[#This Row],[BEGINNING PERIOD COST VALUE]]</f>
        <v>0</v>
      </c>
      <c r="F3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1" s="6">
        <f>TAX_CERTIFICATE[[#This Row],[ENDING PERIOD UNITS]]*$AA$3</f>
        <v>0</v>
      </c>
      <c r="I31" s="6">
        <f>TAX_CERTIFICATE[[#This Row],[ENDING PERIOD MARKET VALUE]]-TAX_CERTIFICATE[[#This Row],[ENDING PERIOD COST VALUE]]</f>
        <v>0</v>
      </c>
      <c r="J3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1" s="6">
        <f>TAX_CERTIFICATE[[#This Row],[TOTAL ADDITION AT COST DURING THE PERIOD]]-TAX_CERTIFICATE[[#This Row],[TOTAL REDEMPTION AT COST DURING THE PERIOD]]</f>
        <v>0</v>
      </c>
      <c r="O3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1" s="6"/>
      <c r="Q31" s="6"/>
      <c r="R31" s="6"/>
    </row>
    <row r="32" spans="1:18">
      <c r="A32" t="s">
        <v>39</v>
      </c>
      <c r="B32" s="2">
        <f>SUMIFS(LS[Unit],LS[Investor ID],TAX_CERTIFICATE[[#This Row],[INVESTOR CODE]],LS[Date Value],"&lt;"&amp;$Z$2)+SUMIFS(SIP[Unit],SIP[Investor ID],TAX_CERTIFICATE[[#This Row],[INVESTOR CODE]],SIP[Date Value],"&lt;"&amp;$Z$2)</f>
        <v>10035</v>
      </c>
      <c r="C3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</v>
      </c>
      <c r="D32" s="6">
        <f>TAX_CERTIFICATE[[#This Row],[BEGINNING PERIOD UNITS]]*$AA$2</f>
        <v>100048.95000000001</v>
      </c>
      <c r="E32" s="6">
        <f>TAX_CERTIFICATE[[#This Row],[BEGINNING PERIOD MARKET VALUE]]-TAX_CERTIFICATE[[#This Row],[BEGINNING PERIOD COST VALUE]]</f>
        <v>48.950000000011642</v>
      </c>
      <c r="F32" s="33">
        <f>SUMIFS(LS[Unit],LS[Investor ID],TAX_CERTIFICATE[[#This Row],[INVESTOR CODE]],LS[Date Value],"&lt;="&amp;$Z$3)+SUMIFS(SIP[Unit],SIP[Investor ID],TAX_CERTIFICATE[[#This Row],[INVESTOR CODE]],SIP[Date Value],"&lt;="&amp;$Z$3)</f>
        <v>25334</v>
      </c>
      <c r="G3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253162.85</v>
      </c>
      <c r="H32" s="6">
        <f>TAX_CERTIFICATE[[#This Row],[ENDING PERIOD UNITS]]*$AA$3</f>
        <v>251921.29600000003</v>
      </c>
      <c r="I32" s="6">
        <f>TAX_CERTIFICATE[[#This Row],[ENDING PERIOD MARKET VALUE]]-TAX_CERTIFICATE[[#This Row],[ENDING PERIOD COST VALUE]]</f>
        <v>-1241.5539999999746</v>
      </c>
      <c r="J3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15299</v>
      </c>
      <c r="K3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153162.85</v>
      </c>
      <c r="L3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2" s="6">
        <f>TAX_CERTIFICATE[[#This Row],[TOTAL ADDITION AT COST DURING THE PERIOD]]-TAX_CERTIFICATE[[#This Row],[TOTAL REDEMPTION AT COST DURING THE PERIOD]]</f>
        <v>153162.85</v>
      </c>
      <c r="O3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2" s="6"/>
      <c r="Q32" s="6"/>
      <c r="R32" s="6"/>
    </row>
    <row r="33" spans="1:18">
      <c r="A33" t="s">
        <v>40</v>
      </c>
      <c r="B3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3" s="6">
        <f>TAX_CERTIFICATE[[#This Row],[BEGINNING PERIOD UNITS]]*$AA$2</f>
        <v>0</v>
      </c>
      <c r="E33" s="6">
        <f>TAX_CERTIFICATE[[#This Row],[BEGINNING PERIOD MARKET VALUE]]-TAX_CERTIFICATE[[#This Row],[BEGINNING PERIOD COST VALUE]]</f>
        <v>0</v>
      </c>
      <c r="F3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3" s="6">
        <f>TAX_CERTIFICATE[[#This Row],[ENDING PERIOD UNITS]]*$AA$3</f>
        <v>0</v>
      </c>
      <c r="I33" s="6">
        <f>TAX_CERTIFICATE[[#This Row],[ENDING PERIOD MARKET VALUE]]-TAX_CERTIFICATE[[#This Row],[ENDING PERIOD COST VALUE]]</f>
        <v>0</v>
      </c>
      <c r="J3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3" s="6">
        <f>TAX_CERTIFICATE[[#This Row],[TOTAL ADDITION AT COST DURING THE PERIOD]]-TAX_CERTIFICATE[[#This Row],[TOTAL REDEMPTION AT COST DURING THE PERIOD]]</f>
        <v>0</v>
      </c>
      <c r="O3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3" s="6"/>
      <c r="Q33" s="6"/>
      <c r="R33" s="6"/>
    </row>
    <row r="34" spans="1:18">
      <c r="A34" t="s">
        <v>41</v>
      </c>
      <c r="B3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4" s="6">
        <f>TAX_CERTIFICATE[[#This Row],[BEGINNING PERIOD UNITS]]*$AA$2</f>
        <v>0</v>
      </c>
      <c r="E34" s="6">
        <f>TAX_CERTIFICATE[[#This Row],[BEGINNING PERIOD MARKET VALUE]]-TAX_CERTIFICATE[[#This Row],[BEGINNING PERIOD COST VALUE]]</f>
        <v>0</v>
      </c>
      <c r="F3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4" s="6">
        <f>TAX_CERTIFICATE[[#This Row],[ENDING PERIOD UNITS]]*$AA$3</f>
        <v>0</v>
      </c>
      <c r="I34" s="6">
        <f>TAX_CERTIFICATE[[#This Row],[ENDING PERIOD MARKET VALUE]]-TAX_CERTIFICATE[[#This Row],[ENDING PERIOD COST VALUE]]</f>
        <v>0</v>
      </c>
      <c r="J3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4" s="6">
        <f>TAX_CERTIFICATE[[#This Row],[TOTAL ADDITION AT COST DURING THE PERIOD]]-TAX_CERTIFICATE[[#This Row],[TOTAL REDEMPTION AT COST DURING THE PERIOD]]</f>
        <v>0</v>
      </c>
      <c r="O3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4" s="6"/>
      <c r="Q34" s="6"/>
      <c r="R34" s="6"/>
    </row>
    <row r="35" spans="1:18">
      <c r="A35" t="s">
        <v>42</v>
      </c>
      <c r="B3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5" s="6">
        <f>TAX_CERTIFICATE[[#This Row],[BEGINNING PERIOD UNITS]]*$AA$2</f>
        <v>0</v>
      </c>
      <c r="E35" s="6">
        <f>TAX_CERTIFICATE[[#This Row],[BEGINNING PERIOD MARKET VALUE]]-TAX_CERTIFICATE[[#This Row],[BEGINNING PERIOD COST VALUE]]</f>
        <v>0</v>
      </c>
      <c r="F3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5" s="6">
        <f>TAX_CERTIFICATE[[#This Row],[ENDING PERIOD UNITS]]*$AA$3</f>
        <v>0</v>
      </c>
      <c r="I35" s="6">
        <f>TAX_CERTIFICATE[[#This Row],[ENDING PERIOD MARKET VALUE]]-TAX_CERTIFICATE[[#This Row],[ENDING PERIOD COST VALUE]]</f>
        <v>0</v>
      </c>
      <c r="J3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5" s="6">
        <f>TAX_CERTIFICATE[[#This Row],[TOTAL ADDITION AT COST DURING THE PERIOD]]-TAX_CERTIFICATE[[#This Row],[TOTAL REDEMPTION AT COST DURING THE PERIOD]]</f>
        <v>0</v>
      </c>
      <c r="O3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5" s="6"/>
      <c r="Q35" s="6"/>
      <c r="R35" s="6"/>
    </row>
    <row r="36" spans="1:18">
      <c r="A36" t="s">
        <v>43</v>
      </c>
      <c r="B3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6" s="6">
        <f>TAX_CERTIFICATE[[#This Row],[BEGINNING PERIOD UNITS]]*$AA$2</f>
        <v>0</v>
      </c>
      <c r="E36" s="6">
        <f>TAX_CERTIFICATE[[#This Row],[BEGINNING PERIOD MARKET VALUE]]-TAX_CERTIFICATE[[#This Row],[BEGINNING PERIOD COST VALUE]]</f>
        <v>0</v>
      </c>
      <c r="F3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6" s="6">
        <f>TAX_CERTIFICATE[[#This Row],[ENDING PERIOD UNITS]]*$AA$3</f>
        <v>0</v>
      </c>
      <c r="I36" s="6">
        <f>TAX_CERTIFICATE[[#This Row],[ENDING PERIOD MARKET VALUE]]-TAX_CERTIFICATE[[#This Row],[ENDING PERIOD COST VALUE]]</f>
        <v>0</v>
      </c>
      <c r="J3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6" s="6">
        <f>TAX_CERTIFICATE[[#This Row],[TOTAL ADDITION AT COST DURING THE PERIOD]]-TAX_CERTIFICATE[[#This Row],[TOTAL REDEMPTION AT COST DURING THE PERIOD]]</f>
        <v>0</v>
      </c>
      <c r="O3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6" s="6"/>
      <c r="Q36" s="6"/>
      <c r="R36" s="6"/>
    </row>
    <row r="37" spans="1:18">
      <c r="A37" t="s">
        <v>44</v>
      </c>
      <c r="B3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7" s="6">
        <f>TAX_CERTIFICATE[[#This Row],[BEGINNING PERIOD UNITS]]*$AA$2</f>
        <v>0</v>
      </c>
      <c r="E37" s="6">
        <f>TAX_CERTIFICATE[[#This Row],[BEGINNING PERIOD MARKET VALUE]]-TAX_CERTIFICATE[[#This Row],[BEGINNING PERIOD COST VALUE]]</f>
        <v>0</v>
      </c>
      <c r="F3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7" s="6">
        <f>TAX_CERTIFICATE[[#This Row],[ENDING PERIOD UNITS]]*$AA$3</f>
        <v>0</v>
      </c>
      <c r="I37" s="6">
        <f>TAX_CERTIFICATE[[#This Row],[ENDING PERIOD MARKET VALUE]]-TAX_CERTIFICATE[[#This Row],[ENDING PERIOD COST VALUE]]</f>
        <v>0</v>
      </c>
      <c r="J3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7" s="6">
        <f>TAX_CERTIFICATE[[#This Row],[TOTAL ADDITION AT COST DURING THE PERIOD]]-TAX_CERTIFICATE[[#This Row],[TOTAL REDEMPTION AT COST DURING THE PERIOD]]</f>
        <v>0</v>
      </c>
      <c r="O3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7" s="6"/>
      <c r="Q37" s="6"/>
      <c r="R37" s="6"/>
    </row>
    <row r="38" spans="1:18">
      <c r="A38" t="s">
        <v>45</v>
      </c>
      <c r="B3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8" s="6">
        <f>TAX_CERTIFICATE[[#This Row],[BEGINNING PERIOD UNITS]]*$AA$2</f>
        <v>0</v>
      </c>
      <c r="E38" s="6">
        <f>TAX_CERTIFICATE[[#This Row],[BEGINNING PERIOD MARKET VALUE]]-TAX_CERTIFICATE[[#This Row],[BEGINNING PERIOD COST VALUE]]</f>
        <v>0</v>
      </c>
      <c r="F3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8" s="6">
        <f>TAX_CERTIFICATE[[#This Row],[ENDING PERIOD UNITS]]*$AA$3</f>
        <v>0</v>
      </c>
      <c r="I38" s="6">
        <f>TAX_CERTIFICATE[[#This Row],[ENDING PERIOD MARKET VALUE]]-TAX_CERTIFICATE[[#This Row],[ENDING PERIOD COST VALUE]]</f>
        <v>0</v>
      </c>
      <c r="J3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8" s="6">
        <f>TAX_CERTIFICATE[[#This Row],[TOTAL ADDITION AT COST DURING THE PERIOD]]-TAX_CERTIFICATE[[#This Row],[TOTAL REDEMPTION AT COST DURING THE PERIOD]]</f>
        <v>0</v>
      </c>
      <c r="O3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8" s="6"/>
      <c r="Q38" s="6"/>
      <c r="R38" s="6"/>
    </row>
    <row r="39" spans="1:18">
      <c r="A39" t="s">
        <v>46</v>
      </c>
      <c r="B3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9" s="6">
        <f>TAX_CERTIFICATE[[#This Row],[BEGINNING PERIOD UNITS]]*$AA$2</f>
        <v>0</v>
      </c>
      <c r="E39" s="6">
        <f>TAX_CERTIFICATE[[#This Row],[BEGINNING PERIOD MARKET VALUE]]-TAX_CERTIFICATE[[#This Row],[BEGINNING PERIOD COST VALUE]]</f>
        <v>0</v>
      </c>
      <c r="F3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9" s="6">
        <f>TAX_CERTIFICATE[[#This Row],[ENDING PERIOD UNITS]]*$AA$3</f>
        <v>0</v>
      </c>
      <c r="I39" s="6">
        <f>TAX_CERTIFICATE[[#This Row],[ENDING PERIOD MARKET VALUE]]-TAX_CERTIFICATE[[#This Row],[ENDING PERIOD COST VALUE]]</f>
        <v>0</v>
      </c>
      <c r="J3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9" s="6">
        <f>TAX_CERTIFICATE[[#This Row],[TOTAL ADDITION AT COST DURING THE PERIOD]]-TAX_CERTIFICATE[[#This Row],[TOTAL REDEMPTION AT COST DURING THE PERIOD]]</f>
        <v>0</v>
      </c>
      <c r="O3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9" s="6"/>
      <c r="Q39" s="6"/>
      <c r="R39" s="6"/>
    </row>
    <row r="40" spans="1:18">
      <c r="A40" t="s">
        <v>47</v>
      </c>
      <c r="B4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0" s="6">
        <f>TAX_CERTIFICATE[[#This Row],[BEGINNING PERIOD UNITS]]*$AA$2</f>
        <v>0</v>
      </c>
      <c r="E40" s="6">
        <f>TAX_CERTIFICATE[[#This Row],[BEGINNING PERIOD MARKET VALUE]]-TAX_CERTIFICATE[[#This Row],[BEGINNING PERIOD COST VALUE]]</f>
        <v>0</v>
      </c>
      <c r="F4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0" s="6">
        <f>TAX_CERTIFICATE[[#This Row],[ENDING PERIOD UNITS]]*$AA$3</f>
        <v>0</v>
      </c>
      <c r="I40" s="6">
        <f>TAX_CERTIFICATE[[#This Row],[ENDING PERIOD MARKET VALUE]]-TAX_CERTIFICATE[[#This Row],[ENDING PERIOD COST VALUE]]</f>
        <v>0</v>
      </c>
      <c r="J4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0" s="6">
        <f>TAX_CERTIFICATE[[#This Row],[TOTAL ADDITION AT COST DURING THE PERIOD]]-TAX_CERTIFICATE[[#This Row],[TOTAL REDEMPTION AT COST DURING THE PERIOD]]</f>
        <v>0</v>
      </c>
      <c r="O4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0" s="6"/>
      <c r="Q40" s="6"/>
      <c r="R40" s="6"/>
    </row>
    <row r="41" spans="1:18">
      <c r="A41" t="s">
        <v>48</v>
      </c>
      <c r="B41" s="2">
        <f>SUMIFS(LS[Unit],LS[Investor ID],TAX_CERTIFICATE[[#This Row],[INVESTOR CODE]],LS[Date Value],"&lt;"&amp;$Z$2)+SUMIFS(SIP[Unit],SIP[Investor ID],TAX_CERTIFICATE[[#This Row],[INVESTOR CODE]],SIP[Date Value],"&lt;"&amp;$Z$2)</f>
        <v>15000</v>
      </c>
      <c r="C4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150000</v>
      </c>
      <c r="D41" s="6">
        <f>TAX_CERTIFICATE[[#This Row],[BEGINNING PERIOD UNITS]]*$AA$2</f>
        <v>149550</v>
      </c>
      <c r="E41" s="6">
        <f>TAX_CERTIFICATE[[#This Row],[BEGINNING PERIOD MARKET VALUE]]-TAX_CERTIFICATE[[#This Row],[BEGINNING PERIOD COST VALUE]]</f>
        <v>-450</v>
      </c>
      <c r="F41" s="33">
        <f>SUMIFS(LS[Unit],LS[Investor ID],TAX_CERTIFICATE[[#This Row],[INVESTOR CODE]],LS[Date Value],"&lt;="&amp;$Z$3)+SUMIFS(SIP[Unit],SIP[Investor ID],TAX_CERTIFICATE[[#This Row],[INVESTOR CODE]],SIP[Date Value],"&lt;="&amp;$Z$3)</f>
        <v>15000</v>
      </c>
      <c r="G4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150000</v>
      </c>
      <c r="H41" s="6">
        <f>TAX_CERTIFICATE[[#This Row],[ENDING PERIOD UNITS]]*$AA$3</f>
        <v>149160</v>
      </c>
      <c r="I41" s="6">
        <f>TAX_CERTIFICATE[[#This Row],[ENDING PERIOD MARKET VALUE]]-TAX_CERTIFICATE[[#This Row],[ENDING PERIOD COST VALUE]]</f>
        <v>-840</v>
      </c>
      <c r="J4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1" s="6">
        <f>TAX_CERTIFICATE[[#This Row],[TOTAL ADDITION AT COST DURING THE PERIOD]]-TAX_CERTIFICATE[[#This Row],[TOTAL REDEMPTION AT COST DURING THE PERIOD]]</f>
        <v>0</v>
      </c>
      <c r="O4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1" s="6"/>
      <c r="Q41" s="6"/>
      <c r="R41" s="6"/>
    </row>
    <row r="42" spans="1:18">
      <c r="A42" t="s">
        <v>49</v>
      </c>
      <c r="B4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2" s="6">
        <f>TAX_CERTIFICATE[[#This Row],[BEGINNING PERIOD UNITS]]*$AA$2</f>
        <v>0</v>
      </c>
      <c r="E42" s="6">
        <f>TAX_CERTIFICATE[[#This Row],[BEGINNING PERIOD MARKET VALUE]]-TAX_CERTIFICATE[[#This Row],[BEGINNING PERIOD COST VALUE]]</f>
        <v>0</v>
      </c>
      <c r="F4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2" s="6">
        <f>TAX_CERTIFICATE[[#This Row],[ENDING PERIOD UNITS]]*$AA$3</f>
        <v>0</v>
      </c>
      <c r="I42" s="6">
        <f>TAX_CERTIFICATE[[#This Row],[ENDING PERIOD MARKET VALUE]]-TAX_CERTIFICATE[[#This Row],[ENDING PERIOD COST VALUE]]</f>
        <v>0</v>
      </c>
      <c r="J4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2" s="6">
        <f>TAX_CERTIFICATE[[#This Row],[TOTAL ADDITION AT COST DURING THE PERIOD]]-TAX_CERTIFICATE[[#This Row],[TOTAL REDEMPTION AT COST DURING THE PERIOD]]</f>
        <v>0</v>
      </c>
      <c r="O4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2" s="6"/>
      <c r="Q42" s="6"/>
      <c r="R42" s="6"/>
    </row>
    <row r="43" spans="1:18">
      <c r="A43" t="s">
        <v>50</v>
      </c>
      <c r="B43" s="2">
        <f>SUMIFS(LS[Unit],LS[Investor ID],TAX_CERTIFICATE[[#This Row],[INVESTOR CODE]],LS[Date Value],"&lt;"&amp;$Z$2)+SUMIFS(SIP[Unit],SIP[Investor ID],TAX_CERTIFICATE[[#This Row],[INVESTOR CODE]],SIP[Date Value],"&lt;"&amp;$Z$2)</f>
        <v>250000</v>
      </c>
      <c r="C4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2500000</v>
      </c>
      <c r="D43" s="6">
        <f>TAX_CERTIFICATE[[#This Row],[BEGINNING PERIOD UNITS]]*$AA$2</f>
        <v>2492500</v>
      </c>
      <c r="E43" s="6">
        <f>TAX_CERTIFICATE[[#This Row],[BEGINNING PERIOD MARKET VALUE]]-TAX_CERTIFICATE[[#This Row],[BEGINNING PERIOD COST VALUE]]</f>
        <v>-7500</v>
      </c>
      <c r="F43" s="33">
        <f>SUMIFS(LS[Unit],LS[Investor ID],TAX_CERTIFICATE[[#This Row],[INVESTOR CODE]],LS[Date Value],"&lt;="&amp;$Z$3)+SUMIFS(SIP[Unit],SIP[Investor ID],TAX_CERTIFICATE[[#This Row],[INVESTOR CODE]],SIP[Date Value],"&lt;="&amp;$Z$3)</f>
        <v>255075</v>
      </c>
      <c r="G4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2550000</v>
      </c>
      <c r="H43" s="6">
        <f>TAX_CERTIFICATE[[#This Row],[ENDING PERIOD UNITS]]*$AA$3</f>
        <v>2536465.8000000003</v>
      </c>
      <c r="I43" s="6">
        <f>TAX_CERTIFICATE[[#This Row],[ENDING PERIOD MARKET VALUE]]-TAX_CERTIFICATE[[#This Row],[ENDING PERIOD COST VALUE]]</f>
        <v>-13534.199999999721</v>
      </c>
      <c r="J4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5075</v>
      </c>
      <c r="K4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50000</v>
      </c>
      <c r="L4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3" s="6">
        <f>TAX_CERTIFICATE[[#This Row],[TOTAL ADDITION AT COST DURING THE PERIOD]]-TAX_CERTIFICATE[[#This Row],[TOTAL REDEMPTION AT COST DURING THE PERIOD]]</f>
        <v>50000</v>
      </c>
      <c r="O4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3" s="6"/>
      <c r="Q43" s="6"/>
      <c r="R43" s="6"/>
    </row>
    <row r="44" spans="1:18">
      <c r="A44" t="s">
        <v>51</v>
      </c>
      <c r="B44" s="2">
        <f>SUMIFS(LS[Unit],LS[Investor ID],TAX_CERTIFICATE[[#This Row],[INVESTOR CODE]],LS[Date Value],"&lt;"&amp;$Z$2)+SUMIFS(SIP[Unit],SIP[Investor ID],TAX_CERTIFICATE[[#This Row],[INVESTOR CODE]],SIP[Date Value],"&lt;"&amp;$Z$2)</f>
        <v>60000</v>
      </c>
      <c r="C4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600000</v>
      </c>
      <c r="D44" s="6">
        <f>TAX_CERTIFICATE[[#This Row],[BEGINNING PERIOD UNITS]]*$AA$2</f>
        <v>598200</v>
      </c>
      <c r="E44" s="6">
        <f>TAX_CERTIFICATE[[#This Row],[BEGINNING PERIOD MARKET VALUE]]-TAX_CERTIFICATE[[#This Row],[BEGINNING PERIOD COST VALUE]]</f>
        <v>-1800</v>
      </c>
      <c r="F4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4" s="6">
        <f>TAX_CERTIFICATE[[#This Row],[ENDING PERIOD UNITS]]*$AA$3</f>
        <v>0</v>
      </c>
      <c r="I44" s="6">
        <f>TAX_CERTIFICATE[[#This Row],[ENDING PERIOD MARKET VALUE]]-TAX_CERTIFICATE[[#This Row],[ENDING PERIOD COST VALUE]]</f>
        <v>0</v>
      </c>
      <c r="J4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60000</v>
      </c>
      <c r="M4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600000</v>
      </c>
      <c r="N44" s="6">
        <f>TAX_CERTIFICATE[[#This Row],[TOTAL ADDITION AT COST DURING THE PERIOD]]-TAX_CERTIFICATE[[#This Row],[TOTAL REDEMPTION AT COST DURING THE PERIOD]]</f>
        <v>-600000</v>
      </c>
      <c r="O4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18659.999999999996</v>
      </c>
      <c r="P44" s="6"/>
      <c r="Q44" s="6"/>
      <c r="R44" s="6"/>
    </row>
    <row r="45" spans="1:18">
      <c r="A45" t="s">
        <v>52</v>
      </c>
      <c r="B4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5" s="6">
        <f>TAX_CERTIFICATE[[#This Row],[BEGINNING PERIOD UNITS]]*$AA$2</f>
        <v>0</v>
      </c>
      <c r="E45" s="6">
        <f>TAX_CERTIFICATE[[#This Row],[BEGINNING PERIOD MARKET VALUE]]-TAX_CERTIFICATE[[#This Row],[BEGINNING PERIOD COST VALUE]]</f>
        <v>0</v>
      </c>
      <c r="F4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5" s="6">
        <f>TAX_CERTIFICATE[[#This Row],[ENDING PERIOD UNITS]]*$AA$3</f>
        <v>0</v>
      </c>
      <c r="I45" s="6">
        <f>TAX_CERTIFICATE[[#This Row],[ENDING PERIOD MARKET VALUE]]-TAX_CERTIFICATE[[#This Row],[ENDING PERIOD COST VALUE]]</f>
        <v>0</v>
      </c>
      <c r="J4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5" s="6">
        <f>TAX_CERTIFICATE[[#This Row],[TOTAL ADDITION AT COST DURING THE PERIOD]]-TAX_CERTIFICATE[[#This Row],[TOTAL REDEMPTION AT COST DURING THE PERIOD]]</f>
        <v>0</v>
      </c>
      <c r="O4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5" s="6"/>
      <c r="Q45" s="6"/>
      <c r="R45" s="6"/>
    </row>
    <row r="46" spans="1:18">
      <c r="A46" t="s">
        <v>53</v>
      </c>
      <c r="B4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6" s="6">
        <f>TAX_CERTIFICATE[[#This Row],[BEGINNING PERIOD UNITS]]*$AA$2</f>
        <v>0</v>
      </c>
      <c r="E46" s="6">
        <f>TAX_CERTIFICATE[[#This Row],[BEGINNING PERIOD MARKET VALUE]]-TAX_CERTIFICATE[[#This Row],[BEGINNING PERIOD COST VALUE]]</f>
        <v>0</v>
      </c>
      <c r="F4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6" s="6">
        <f>TAX_CERTIFICATE[[#This Row],[ENDING PERIOD UNITS]]*$AA$3</f>
        <v>0</v>
      </c>
      <c r="I46" s="6">
        <f>TAX_CERTIFICATE[[#This Row],[ENDING PERIOD MARKET VALUE]]-TAX_CERTIFICATE[[#This Row],[ENDING PERIOD COST VALUE]]</f>
        <v>0</v>
      </c>
      <c r="J4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6" s="6">
        <f>TAX_CERTIFICATE[[#This Row],[TOTAL ADDITION AT COST DURING THE PERIOD]]-TAX_CERTIFICATE[[#This Row],[TOTAL REDEMPTION AT COST DURING THE PERIOD]]</f>
        <v>0</v>
      </c>
      <c r="O4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6" s="6"/>
      <c r="Q46" s="6"/>
      <c r="R46" s="6"/>
    </row>
    <row r="47" spans="1:18">
      <c r="A47" t="s">
        <v>54</v>
      </c>
      <c r="B47" s="2">
        <f>SUMIFS(LS[Unit],LS[Investor ID],TAX_CERTIFICATE[[#This Row],[INVESTOR CODE]],LS[Date Value],"&lt;"&amp;$Z$2)+SUMIFS(SIP[Unit],SIP[Investor ID],TAX_CERTIFICATE[[#This Row],[INVESTOR CODE]],SIP[Date Value],"&lt;"&amp;$Z$2)</f>
        <v>250000</v>
      </c>
      <c r="C4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2500000</v>
      </c>
      <c r="D47" s="6">
        <f>TAX_CERTIFICATE[[#This Row],[BEGINNING PERIOD UNITS]]*$AA$2</f>
        <v>2492500</v>
      </c>
      <c r="E47" s="6">
        <f>TAX_CERTIFICATE[[#This Row],[BEGINNING PERIOD MARKET VALUE]]-TAX_CERTIFICATE[[#This Row],[BEGINNING PERIOD COST VALUE]]</f>
        <v>-7500</v>
      </c>
      <c r="F47" s="33">
        <f>SUMIFS(LS[Unit],LS[Investor ID],TAX_CERTIFICATE[[#This Row],[INVESTOR CODE]],LS[Date Value],"&lt;="&amp;$Z$3)+SUMIFS(SIP[Unit],SIP[Investor ID],TAX_CERTIFICATE[[#This Row],[INVESTOR CODE]],SIP[Date Value],"&lt;="&amp;$Z$3)</f>
        <v>250000</v>
      </c>
      <c r="G4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2500000</v>
      </c>
      <c r="H47" s="6">
        <f>TAX_CERTIFICATE[[#This Row],[ENDING PERIOD UNITS]]*$AA$3</f>
        <v>2486000</v>
      </c>
      <c r="I47" s="6">
        <f>TAX_CERTIFICATE[[#This Row],[ENDING PERIOD MARKET VALUE]]-TAX_CERTIFICATE[[#This Row],[ENDING PERIOD COST VALUE]]</f>
        <v>-14000</v>
      </c>
      <c r="J4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7" s="6">
        <f>TAX_CERTIFICATE[[#This Row],[TOTAL ADDITION AT COST DURING THE PERIOD]]-TAX_CERTIFICATE[[#This Row],[TOTAL REDEMPTION AT COST DURING THE PERIOD]]</f>
        <v>0</v>
      </c>
      <c r="O4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7" s="6"/>
      <c r="Q47" s="6"/>
      <c r="R47" s="6"/>
    </row>
    <row r="48" spans="1:18">
      <c r="A48" t="s">
        <v>55</v>
      </c>
      <c r="B4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8" s="6">
        <f>TAX_CERTIFICATE[[#This Row],[BEGINNING PERIOD UNITS]]*$AA$2</f>
        <v>0</v>
      </c>
      <c r="E48" s="6">
        <f>TAX_CERTIFICATE[[#This Row],[BEGINNING PERIOD MARKET VALUE]]-TAX_CERTIFICATE[[#This Row],[BEGINNING PERIOD COST VALUE]]</f>
        <v>0</v>
      </c>
      <c r="F4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8" s="6">
        <f>TAX_CERTIFICATE[[#This Row],[ENDING PERIOD UNITS]]*$AA$3</f>
        <v>0</v>
      </c>
      <c r="I48" s="6">
        <f>TAX_CERTIFICATE[[#This Row],[ENDING PERIOD MARKET VALUE]]-TAX_CERTIFICATE[[#This Row],[ENDING PERIOD COST VALUE]]</f>
        <v>0</v>
      </c>
      <c r="J4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8" s="6">
        <f>TAX_CERTIFICATE[[#This Row],[TOTAL ADDITION AT COST DURING THE PERIOD]]-TAX_CERTIFICATE[[#This Row],[TOTAL REDEMPTION AT COST DURING THE PERIOD]]</f>
        <v>0</v>
      </c>
      <c r="O4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8" s="6"/>
      <c r="Q48" s="6"/>
      <c r="R48" s="6"/>
    </row>
    <row r="49" spans="1:18">
      <c r="A49" t="s">
        <v>56</v>
      </c>
      <c r="B49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4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49" s="6">
        <f>TAX_CERTIFICATE[[#This Row],[BEGINNING PERIOD UNITS]]*$AA$2</f>
        <v>997000.00000000012</v>
      </c>
      <c r="E49" s="6">
        <f>TAX_CERTIFICATE[[#This Row],[BEGINNING PERIOD MARKET VALUE]]-TAX_CERTIFICATE[[#This Row],[BEGINNING PERIOD COST VALUE]]</f>
        <v>-2999.9999999998836</v>
      </c>
      <c r="F49" s="33">
        <f>SUMIFS(LS[Unit],LS[Investor ID],TAX_CERTIFICATE[[#This Row],[INVESTOR CODE]],LS[Date Value],"&lt;="&amp;$Z$3)+SUMIFS(SIP[Unit],SIP[Investor ID],TAX_CERTIFICATE[[#This Row],[INVESTOR CODE]],SIP[Date Value],"&lt;="&amp;$Z$3)</f>
        <v>102157</v>
      </c>
      <c r="G4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1021250</v>
      </c>
      <c r="H49" s="6">
        <f>TAX_CERTIFICATE[[#This Row],[ENDING PERIOD UNITS]]*$AA$3</f>
        <v>1015849.2080000001</v>
      </c>
      <c r="I49" s="6">
        <f>TAX_CERTIFICATE[[#This Row],[ENDING PERIOD MARKET VALUE]]-TAX_CERTIFICATE[[#This Row],[ENDING PERIOD COST VALUE]]</f>
        <v>-5400.7919999998994</v>
      </c>
      <c r="J4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2157</v>
      </c>
      <c r="K4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21250</v>
      </c>
      <c r="L4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9" s="6">
        <f>TAX_CERTIFICATE[[#This Row],[TOTAL ADDITION AT COST DURING THE PERIOD]]-TAX_CERTIFICATE[[#This Row],[TOTAL REDEMPTION AT COST DURING THE PERIOD]]</f>
        <v>21250</v>
      </c>
      <c r="O4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9" s="6"/>
      <c r="Q49" s="6"/>
      <c r="R49" s="6"/>
    </row>
    <row r="50" spans="1:18">
      <c r="A50" t="s">
        <v>57</v>
      </c>
      <c r="B5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0" s="6">
        <f>TAX_CERTIFICATE[[#This Row],[BEGINNING PERIOD UNITS]]*$AA$2</f>
        <v>0</v>
      </c>
      <c r="E50" s="6">
        <f>TAX_CERTIFICATE[[#This Row],[BEGINNING PERIOD MARKET VALUE]]-TAX_CERTIFICATE[[#This Row],[BEGINNING PERIOD COST VALUE]]</f>
        <v>0</v>
      </c>
      <c r="F5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0" s="6">
        <f>TAX_CERTIFICATE[[#This Row],[ENDING PERIOD UNITS]]*$AA$3</f>
        <v>0</v>
      </c>
      <c r="I50" s="6">
        <f>TAX_CERTIFICATE[[#This Row],[ENDING PERIOD MARKET VALUE]]-TAX_CERTIFICATE[[#This Row],[ENDING PERIOD COST VALUE]]</f>
        <v>0</v>
      </c>
      <c r="J5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0" s="6">
        <f>TAX_CERTIFICATE[[#This Row],[TOTAL ADDITION AT COST DURING THE PERIOD]]-TAX_CERTIFICATE[[#This Row],[TOTAL REDEMPTION AT COST DURING THE PERIOD]]</f>
        <v>0</v>
      </c>
      <c r="O5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0" s="6"/>
      <c r="Q50" s="6"/>
      <c r="R50" s="6"/>
    </row>
    <row r="51" spans="1:18">
      <c r="A51" t="s">
        <v>58</v>
      </c>
      <c r="B51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5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51" s="6">
        <f>TAX_CERTIFICATE[[#This Row],[BEGINNING PERIOD UNITS]]*$AA$2</f>
        <v>997000.00000000012</v>
      </c>
      <c r="E51" s="6">
        <f>TAX_CERTIFICATE[[#This Row],[BEGINNING PERIOD MARKET VALUE]]-TAX_CERTIFICATE[[#This Row],[BEGINNING PERIOD COST VALUE]]</f>
        <v>-2999.9999999998836</v>
      </c>
      <c r="F51" s="33">
        <f>SUMIFS(LS[Unit],LS[Investor ID],TAX_CERTIFICATE[[#This Row],[INVESTOR CODE]],LS[Date Value],"&lt;="&amp;$Z$3)+SUMIFS(SIP[Unit],SIP[Investor ID],TAX_CERTIFICATE[[#This Row],[INVESTOR CODE]],SIP[Date Value],"&lt;="&amp;$Z$3)</f>
        <v>102157</v>
      </c>
      <c r="G5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1021250</v>
      </c>
      <c r="H51" s="6">
        <f>TAX_CERTIFICATE[[#This Row],[ENDING PERIOD UNITS]]*$AA$3</f>
        <v>1015849.2080000001</v>
      </c>
      <c r="I51" s="6">
        <f>TAX_CERTIFICATE[[#This Row],[ENDING PERIOD MARKET VALUE]]-TAX_CERTIFICATE[[#This Row],[ENDING PERIOD COST VALUE]]</f>
        <v>-5400.7919999998994</v>
      </c>
      <c r="J5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2157</v>
      </c>
      <c r="K5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21250</v>
      </c>
      <c r="L5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1" s="6">
        <f>TAX_CERTIFICATE[[#This Row],[TOTAL ADDITION AT COST DURING THE PERIOD]]-TAX_CERTIFICATE[[#This Row],[TOTAL REDEMPTION AT COST DURING THE PERIOD]]</f>
        <v>21250</v>
      </c>
      <c r="O5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1" s="6"/>
      <c r="Q51" s="6"/>
      <c r="R51" s="6"/>
    </row>
    <row r="52" spans="1:18">
      <c r="A52" t="s">
        <v>59</v>
      </c>
      <c r="B52" s="2">
        <f>SUMIFS(LS[Unit],LS[Investor ID],TAX_CERTIFICATE[[#This Row],[INVESTOR CODE]],LS[Date Value],"&lt;"&amp;$Z$2)+SUMIFS(SIP[Unit],SIP[Investor ID],TAX_CERTIFICATE[[#This Row],[INVESTOR CODE]],SIP[Date Value],"&lt;"&amp;$Z$2)</f>
        <v>20000</v>
      </c>
      <c r="C5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200000</v>
      </c>
      <c r="D52" s="6">
        <f>TAX_CERTIFICATE[[#This Row],[BEGINNING PERIOD UNITS]]*$AA$2</f>
        <v>199400</v>
      </c>
      <c r="E52" s="6">
        <f>TAX_CERTIFICATE[[#This Row],[BEGINNING PERIOD MARKET VALUE]]-TAX_CERTIFICATE[[#This Row],[BEGINNING PERIOD COST VALUE]]</f>
        <v>-600</v>
      </c>
      <c r="F5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2" s="6">
        <f>TAX_CERTIFICATE[[#This Row],[ENDING PERIOD UNITS]]*$AA$3</f>
        <v>0</v>
      </c>
      <c r="I52" s="6">
        <f>TAX_CERTIFICATE[[#This Row],[ENDING PERIOD MARKET VALUE]]-TAX_CERTIFICATE[[#This Row],[ENDING PERIOD COST VALUE]]</f>
        <v>0</v>
      </c>
      <c r="J5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20000</v>
      </c>
      <c r="M5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200000</v>
      </c>
      <c r="N52" s="6">
        <f>TAX_CERTIFICATE[[#This Row],[TOTAL ADDITION AT COST DURING THE PERIOD]]-TAX_CERTIFICATE[[#This Row],[TOTAL REDEMPTION AT COST DURING THE PERIOD]]</f>
        <v>-200000</v>
      </c>
      <c r="O5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6219.9999999999991</v>
      </c>
      <c r="P52" s="6"/>
      <c r="Q52" s="6"/>
      <c r="R52" s="6"/>
    </row>
    <row r="53" spans="1:18">
      <c r="A53" t="s">
        <v>60</v>
      </c>
      <c r="B53" s="2">
        <f>SUMIFS(LS[Unit],LS[Investor ID],TAX_CERTIFICATE[[#This Row],[INVESTOR CODE]],LS[Date Value],"&lt;"&amp;$Z$2)+SUMIFS(SIP[Unit],SIP[Investor ID],TAX_CERTIFICATE[[#This Row],[INVESTOR CODE]],SIP[Date Value],"&lt;"&amp;$Z$2)</f>
        <v>196068</v>
      </c>
      <c r="C5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1945502.7985894782</v>
      </c>
      <c r="D53" s="6">
        <f>TAX_CERTIFICATE[[#This Row],[BEGINNING PERIOD UNITS]]*$AA$2</f>
        <v>1954797.9600000002</v>
      </c>
      <c r="E53" s="6">
        <f>TAX_CERTIFICATE[[#This Row],[BEGINNING PERIOD MARKET VALUE]]-TAX_CERTIFICATE[[#This Row],[BEGINNING PERIOD COST VALUE]]</f>
        <v>9295.1614105219487</v>
      </c>
      <c r="F53" s="33">
        <f>SUMIFS(LS[Unit],LS[Investor ID],TAX_CERTIFICATE[[#This Row],[INVESTOR CODE]],LS[Date Value],"&lt;="&amp;$Z$3)+SUMIFS(SIP[Unit],SIP[Investor ID],TAX_CERTIFICATE[[#This Row],[INVESTOR CODE]],SIP[Date Value],"&lt;="&amp;$Z$3)</f>
        <v>170080</v>
      </c>
      <c r="G5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1687364.725340313</v>
      </c>
      <c r="H53" s="6">
        <f>TAX_CERTIFICATE[[#This Row],[ENDING PERIOD UNITS]]*$AA$3</f>
        <v>1691275.5200000003</v>
      </c>
      <c r="I53" s="6">
        <f>TAX_CERTIFICATE[[#This Row],[ENDING PERIOD MARKET VALUE]]-TAX_CERTIFICATE[[#This Row],[ENDING PERIOD COST VALUE]]</f>
        <v>3910.7946596872061</v>
      </c>
      <c r="J5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4478</v>
      </c>
      <c r="K5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44115.3</v>
      </c>
      <c r="L5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30466</v>
      </c>
      <c r="M5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302253.37324916496</v>
      </c>
      <c r="N53" s="6">
        <f>TAX_CERTIFICATE[[#This Row],[TOTAL ADDITION AT COST DURING THE PERIOD]]-TAX_CERTIFICATE[[#This Row],[TOTAL REDEMPTION AT COST DURING THE PERIOD]]</f>
        <v>-258138.07324916497</v>
      </c>
      <c r="O5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-2253.3732491649857</v>
      </c>
      <c r="P53" s="6"/>
      <c r="Q53" s="6"/>
      <c r="R53" s="6"/>
    </row>
    <row r="54" spans="1:18">
      <c r="A54" t="s">
        <v>61</v>
      </c>
      <c r="B5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4" s="6">
        <f>TAX_CERTIFICATE[[#This Row],[BEGINNING PERIOD UNITS]]*$AA$2</f>
        <v>0</v>
      </c>
      <c r="E54" s="6">
        <f>TAX_CERTIFICATE[[#This Row],[BEGINNING PERIOD MARKET VALUE]]-TAX_CERTIFICATE[[#This Row],[BEGINNING PERIOD COST VALUE]]</f>
        <v>0</v>
      </c>
      <c r="F5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4" s="6">
        <f>TAX_CERTIFICATE[[#This Row],[ENDING PERIOD UNITS]]*$AA$3</f>
        <v>0</v>
      </c>
      <c r="I54" s="6">
        <f>TAX_CERTIFICATE[[#This Row],[ENDING PERIOD MARKET VALUE]]-TAX_CERTIFICATE[[#This Row],[ENDING PERIOD COST VALUE]]</f>
        <v>0</v>
      </c>
      <c r="J5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4" s="6">
        <f>TAX_CERTIFICATE[[#This Row],[TOTAL ADDITION AT COST DURING THE PERIOD]]-TAX_CERTIFICATE[[#This Row],[TOTAL REDEMPTION AT COST DURING THE PERIOD]]</f>
        <v>0</v>
      </c>
      <c r="O5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4" s="6"/>
      <c r="Q54" s="6"/>
      <c r="R54" s="6"/>
    </row>
    <row r="55" spans="1:18">
      <c r="A55" t="s">
        <v>62</v>
      </c>
      <c r="B55" s="2">
        <f>SUMIFS(LS[Unit],LS[Investor ID],TAX_CERTIFICATE[[#This Row],[INVESTOR CODE]],LS[Date Value],"&lt;"&amp;$Z$2)+SUMIFS(SIP[Unit],SIP[Investor ID],TAX_CERTIFICATE[[#This Row],[INVESTOR CODE]],SIP[Date Value],"&lt;"&amp;$Z$2)</f>
        <v>108851</v>
      </c>
      <c r="C5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1075000</v>
      </c>
      <c r="D55" s="6">
        <f>TAX_CERTIFICATE[[#This Row],[BEGINNING PERIOD UNITS]]*$AA$2</f>
        <v>1085244.47</v>
      </c>
      <c r="E55" s="6">
        <f>TAX_CERTIFICATE[[#This Row],[BEGINNING PERIOD MARKET VALUE]]-TAX_CERTIFICATE[[#This Row],[BEGINNING PERIOD COST VALUE]]</f>
        <v>10244.469999999972</v>
      </c>
      <c r="F55" s="33">
        <f>SUMIFS(LS[Unit],LS[Investor ID],TAX_CERTIFICATE[[#This Row],[INVESTOR CODE]],LS[Date Value],"&lt;="&amp;$Z$3)+SUMIFS(SIP[Unit],SIP[Investor ID],TAX_CERTIFICATE[[#This Row],[INVESTOR CODE]],SIP[Date Value],"&lt;="&amp;$Z$3)</f>
        <v>29564</v>
      </c>
      <c r="G5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299222.87744687696</v>
      </c>
      <c r="H55" s="6">
        <f>TAX_CERTIFICATE[[#This Row],[ENDING PERIOD UNITS]]*$AA$3</f>
        <v>293984.41600000003</v>
      </c>
      <c r="I55" s="6">
        <f>TAX_CERTIFICATE[[#This Row],[ENDING PERIOD MARKET VALUE]]-TAX_CERTIFICATE[[#This Row],[ENDING PERIOD COST VALUE]]</f>
        <v>-5238.4614468769287</v>
      </c>
      <c r="J5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23033</v>
      </c>
      <c r="K5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234723.47</v>
      </c>
      <c r="L5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102320</v>
      </c>
      <c r="M5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1010500.592553123</v>
      </c>
      <c r="N55" s="6">
        <f>TAX_CERTIFICATE[[#This Row],[TOTAL ADDITION AT COST DURING THE PERIOD]]-TAX_CERTIFICATE[[#This Row],[TOTAL REDEMPTION AT COST DURING THE PERIOD]]</f>
        <v>-775777.12255312304</v>
      </c>
      <c r="O5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47589.907446877085</v>
      </c>
      <c r="P55" s="6"/>
      <c r="Q55" s="6"/>
      <c r="R55" s="6"/>
    </row>
    <row r="56" spans="1:18">
      <c r="A56" t="s">
        <v>63</v>
      </c>
      <c r="B5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6" s="6">
        <f>TAX_CERTIFICATE[[#This Row],[BEGINNING PERIOD UNITS]]*$AA$2</f>
        <v>0</v>
      </c>
      <c r="E56" s="6">
        <f>TAX_CERTIFICATE[[#This Row],[BEGINNING PERIOD MARKET VALUE]]-TAX_CERTIFICATE[[#This Row],[BEGINNING PERIOD COST VALUE]]</f>
        <v>0</v>
      </c>
      <c r="F5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6" s="6">
        <f>TAX_CERTIFICATE[[#This Row],[ENDING PERIOD UNITS]]*$AA$3</f>
        <v>0</v>
      </c>
      <c r="I56" s="6">
        <f>TAX_CERTIFICATE[[#This Row],[ENDING PERIOD MARKET VALUE]]-TAX_CERTIFICATE[[#This Row],[ENDING PERIOD COST VALUE]]</f>
        <v>0</v>
      </c>
      <c r="J5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6" s="6">
        <f>TAX_CERTIFICATE[[#This Row],[TOTAL ADDITION AT COST DURING THE PERIOD]]-TAX_CERTIFICATE[[#This Row],[TOTAL REDEMPTION AT COST DURING THE PERIOD]]</f>
        <v>0</v>
      </c>
      <c r="O5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6" s="6"/>
      <c r="Q56" s="6"/>
      <c r="R56" s="6"/>
    </row>
    <row r="57" spans="1:18">
      <c r="A57" t="s">
        <v>64</v>
      </c>
      <c r="B5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7" s="6">
        <f>TAX_CERTIFICATE[[#This Row],[BEGINNING PERIOD UNITS]]*$AA$2</f>
        <v>0</v>
      </c>
      <c r="E57" s="6">
        <f>TAX_CERTIFICATE[[#This Row],[BEGINNING PERIOD MARKET VALUE]]-TAX_CERTIFICATE[[#This Row],[BEGINNING PERIOD COST VALUE]]</f>
        <v>0</v>
      </c>
      <c r="F5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7" s="6">
        <f>TAX_CERTIFICATE[[#This Row],[ENDING PERIOD UNITS]]*$AA$3</f>
        <v>0</v>
      </c>
      <c r="I57" s="6">
        <f>TAX_CERTIFICATE[[#This Row],[ENDING PERIOD MARKET VALUE]]-TAX_CERTIFICATE[[#This Row],[ENDING PERIOD COST VALUE]]</f>
        <v>0</v>
      </c>
      <c r="J5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7" s="6">
        <f>TAX_CERTIFICATE[[#This Row],[TOTAL ADDITION AT COST DURING THE PERIOD]]-TAX_CERTIFICATE[[#This Row],[TOTAL REDEMPTION AT COST DURING THE PERIOD]]</f>
        <v>0</v>
      </c>
      <c r="O5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7" s="6"/>
      <c r="Q57" s="6"/>
      <c r="R57" s="6"/>
    </row>
    <row r="58" spans="1:18">
      <c r="A58" t="s">
        <v>65</v>
      </c>
      <c r="B5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8" s="6">
        <f>TAX_CERTIFICATE[[#This Row],[BEGINNING PERIOD UNITS]]*$AA$2</f>
        <v>0</v>
      </c>
      <c r="E58" s="6">
        <f>TAX_CERTIFICATE[[#This Row],[BEGINNING PERIOD MARKET VALUE]]-TAX_CERTIFICATE[[#This Row],[BEGINNING PERIOD COST VALUE]]</f>
        <v>0</v>
      </c>
      <c r="F5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8" s="6">
        <f>TAX_CERTIFICATE[[#This Row],[ENDING PERIOD UNITS]]*$AA$3</f>
        <v>0</v>
      </c>
      <c r="I58" s="6">
        <f>TAX_CERTIFICATE[[#This Row],[ENDING PERIOD MARKET VALUE]]-TAX_CERTIFICATE[[#This Row],[ENDING PERIOD COST VALUE]]</f>
        <v>0</v>
      </c>
      <c r="J5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8" s="6">
        <f>TAX_CERTIFICATE[[#This Row],[TOTAL ADDITION AT COST DURING THE PERIOD]]-TAX_CERTIFICATE[[#This Row],[TOTAL REDEMPTION AT COST DURING THE PERIOD]]</f>
        <v>0</v>
      </c>
      <c r="O5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8" s="6"/>
      <c r="Q58" s="6"/>
      <c r="R58" s="6"/>
    </row>
    <row r="59" spans="1:18">
      <c r="A59" t="s">
        <v>66</v>
      </c>
      <c r="B5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9" s="6">
        <f>TAX_CERTIFICATE[[#This Row],[BEGINNING PERIOD UNITS]]*$AA$2</f>
        <v>0</v>
      </c>
      <c r="E59" s="6">
        <f>TAX_CERTIFICATE[[#This Row],[BEGINNING PERIOD MARKET VALUE]]-TAX_CERTIFICATE[[#This Row],[BEGINNING PERIOD COST VALUE]]</f>
        <v>0</v>
      </c>
      <c r="F5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9" s="6">
        <f>TAX_CERTIFICATE[[#This Row],[ENDING PERIOD UNITS]]*$AA$3</f>
        <v>0</v>
      </c>
      <c r="I59" s="6">
        <f>TAX_CERTIFICATE[[#This Row],[ENDING PERIOD MARKET VALUE]]-TAX_CERTIFICATE[[#This Row],[ENDING PERIOD COST VALUE]]</f>
        <v>0</v>
      </c>
      <c r="J5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9" s="6">
        <f>TAX_CERTIFICATE[[#This Row],[TOTAL ADDITION AT COST DURING THE PERIOD]]-TAX_CERTIFICATE[[#This Row],[TOTAL REDEMPTION AT COST DURING THE PERIOD]]</f>
        <v>0</v>
      </c>
      <c r="O5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9" s="6"/>
      <c r="Q59" s="6"/>
      <c r="R59" s="6"/>
    </row>
    <row r="60" spans="1:18">
      <c r="A60" t="s">
        <v>67</v>
      </c>
      <c r="B60" s="2">
        <f>SUMIFS(LS[Unit],LS[Investor ID],TAX_CERTIFICATE[[#This Row],[INVESTOR CODE]],LS[Date Value],"&lt;"&amp;$Z$2)+SUMIFS(SIP[Unit],SIP[Investor ID],TAX_CERTIFICATE[[#This Row],[INVESTOR CODE]],SIP[Date Value],"&lt;"&amp;$Z$2)</f>
        <v>50348</v>
      </c>
      <c r="C6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503480</v>
      </c>
      <c r="D60" s="6">
        <f>TAX_CERTIFICATE[[#This Row],[BEGINNING PERIOD UNITS]]*$AA$2</f>
        <v>501969.56000000006</v>
      </c>
      <c r="E60" s="6">
        <f>TAX_CERTIFICATE[[#This Row],[BEGINNING PERIOD MARKET VALUE]]-TAX_CERTIFICATE[[#This Row],[BEGINNING PERIOD COST VALUE]]</f>
        <v>-1510.4399999999441</v>
      </c>
      <c r="F60" s="33">
        <f>SUMIFS(LS[Unit],LS[Investor ID],TAX_CERTIFICATE[[#This Row],[INVESTOR CODE]],LS[Date Value],"&lt;="&amp;$Z$3)+SUMIFS(SIP[Unit],SIP[Investor ID],TAX_CERTIFICATE[[#This Row],[INVESTOR CODE]],SIP[Date Value],"&lt;="&amp;$Z$3)</f>
        <v>51434</v>
      </c>
      <c r="G6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514178.94999999995</v>
      </c>
      <c r="H60" s="6">
        <f>TAX_CERTIFICATE[[#This Row],[ENDING PERIOD UNITS]]*$AA$3</f>
        <v>511459.69600000005</v>
      </c>
      <c r="I60" s="6">
        <f>TAX_CERTIFICATE[[#This Row],[ENDING PERIOD MARKET VALUE]]-TAX_CERTIFICATE[[#This Row],[ENDING PERIOD COST VALUE]]</f>
        <v>-2719.253999999899</v>
      </c>
      <c r="J6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1086</v>
      </c>
      <c r="K6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10698.95</v>
      </c>
      <c r="L6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6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60" s="6">
        <f>TAX_CERTIFICATE[[#This Row],[TOTAL ADDITION AT COST DURING THE PERIOD]]-TAX_CERTIFICATE[[#This Row],[TOTAL REDEMPTION AT COST DURING THE PERIOD]]</f>
        <v>10698.95</v>
      </c>
      <c r="O6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60" s="6"/>
      <c r="Q60" s="6"/>
      <c r="R60" s="6"/>
    </row>
    <row r="61" spans="1:18">
      <c r="A61" t="s">
        <v>68</v>
      </c>
      <c r="B6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6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61" s="6">
        <f>TAX_CERTIFICATE[[#This Row],[BEGINNING PERIOD UNITS]]*$AA$2</f>
        <v>0</v>
      </c>
      <c r="E61" s="6">
        <f>TAX_CERTIFICATE[[#This Row],[BEGINNING PERIOD MARKET VALUE]]-TAX_CERTIFICATE[[#This Row],[BEGINNING PERIOD COST VALUE]]</f>
        <v>0</v>
      </c>
      <c r="F6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6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61" s="6">
        <f>TAX_CERTIFICATE[[#This Row],[ENDING PERIOD UNITS]]*$AA$3</f>
        <v>0</v>
      </c>
      <c r="I61" s="6">
        <f>TAX_CERTIFICATE[[#This Row],[ENDING PERIOD MARKET VALUE]]-TAX_CERTIFICATE[[#This Row],[ENDING PERIOD COST VALUE]]</f>
        <v>0</v>
      </c>
      <c r="J6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6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6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6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61" s="6">
        <f>TAX_CERTIFICATE[[#This Row],[TOTAL ADDITION AT COST DURING THE PERIOD]]-TAX_CERTIFICATE[[#This Row],[TOTAL REDEMPTION AT COST DURING THE PERIOD]]</f>
        <v>0</v>
      </c>
      <c r="O6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61" s="6"/>
      <c r="Q61" s="6"/>
      <c r="R61" s="6"/>
    </row>
    <row r="62" spans="1:18">
      <c r="A62" t="s">
        <v>69</v>
      </c>
      <c r="B6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6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62" s="6">
        <f>TAX_CERTIFICATE[[#This Row],[BEGINNING PERIOD UNITS]]*$AA$2</f>
        <v>0</v>
      </c>
      <c r="E62" s="6">
        <f>TAX_CERTIFICATE[[#This Row],[BEGINNING PERIOD MARKET VALUE]]-TAX_CERTIFICATE[[#This Row],[BEGINNING PERIOD COST VALUE]]</f>
        <v>0</v>
      </c>
      <c r="F6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6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62" s="6">
        <f>TAX_CERTIFICATE[[#This Row],[ENDING PERIOD UNITS]]*$AA$3</f>
        <v>0</v>
      </c>
      <c r="I62" s="6">
        <f>TAX_CERTIFICATE[[#This Row],[ENDING PERIOD MARKET VALUE]]-TAX_CERTIFICATE[[#This Row],[ENDING PERIOD COST VALUE]]</f>
        <v>0</v>
      </c>
      <c r="J6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6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6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6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62" s="6">
        <f>TAX_CERTIFICATE[[#This Row],[TOTAL ADDITION AT COST DURING THE PERIOD]]-TAX_CERTIFICATE[[#This Row],[TOTAL REDEMPTION AT COST DURING THE PERIOD]]</f>
        <v>0</v>
      </c>
      <c r="O6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62" s="6"/>
      <c r="Q62" s="6"/>
      <c r="R62" s="6"/>
    </row>
    <row r="63" spans="1:18">
      <c r="A63" t="s">
        <v>70</v>
      </c>
      <c r="B6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6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63" s="6">
        <f>TAX_CERTIFICATE[[#This Row],[BEGINNING PERIOD UNITS]]*$AA$2</f>
        <v>0</v>
      </c>
      <c r="E63" s="6">
        <f>TAX_CERTIFICATE[[#This Row],[BEGINNING PERIOD MARKET VALUE]]-TAX_CERTIFICATE[[#This Row],[BEGINNING PERIOD COST VALUE]]</f>
        <v>0</v>
      </c>
      <c r="F6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6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63" s="6">
        <f>TAX_CERTIFICATE[[#This Row],[ENDING PERIOD UNITS]]*$AA$3</f>
        <v>0</v>
      </c>
      <c r="I63" s="6">
        <f>TAX_CERTIFICATE[[#This Row],[ENDING PERIOD MARKET VALUE]]-TAX_CERTIFICATE[[#This Row],[ENDING PERIOD COST VALUE]]</f>
        <v>0</v>
      </c>
      <c r="J6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6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6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6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63" s="6">
        <f>TAX_CERTIFICATE[[#This Row],[TOTAL ADDITION AT COST DURING THE PERIOD]]-TAX_CERTIFICATE[[#This Row],[TOTAL REDEMPTION AT COST DURING THE PERIOD]]</f>
        <v>0</v>
      </c>
      <c r="O6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63" s="6"/>
      <c r="Q63" s="6"/>
      <c r="R63" s="6"/>
    </row>
    <row r="64" spans="1:18">
      <c r="A64" t="s">
        <v>72</v>
      </c>
      <c r="B6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6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64" s="6">
        <f>TAX_CERTIFICATE[[#This Row],[BEGINNING PERIOD UNITS]]*$AA$2</f>
        <v>0</v>
      </c>
      <c r="E64" s="6">
        <f>TAX_CERTIFICATE[[#This Row],[BEGINNING PERIOD MARKET VALUE]]-TAX_CERTIFICATE[[#This Row],[BEGINNING PERIOD COST VALUE]]</f>
        <v>0</v>
      </c>
      <c r="F6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6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64" s="6">
        <f>TAX_CERTIFICATE[[#This Row],[ENDING PERIOD UNITS]]*$AA$3</f>
        <v>0</v>
      </c>
      <c r="I64" s="6">
        <f>TAX_CERTIFICATE[[#This Row],[ENDING PERIOD MARKET VALUE]]-TAX_CERTIFICATE[[#This Row],[ENDING PERIOD COST VALUE]]</f>
        <v>0</v>
      </c>
      <c r="J6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6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6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6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64" s="6">
        <f>TAX_CERTIFICATE[[#This Row],[TOTAL ADDITION AT COST DURING THE PERIOD]]-TAX_CERTIFICATE[[#This Row],[TOTAL REDEMPTION AT COST DURING THE PERIOD]]</f>
        <v>0</v>
      </c>
      <c r="O6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64" s="6"/>
      <c r="Q64" s="6"/>
      <c r="R64" s="6"/>
    </row>
    <row r="65" spans="1:18">
      <c r="A65" t="s">
        <v>73</v>
      </c>
      <c r="B65" s="2">
        <f>SUMIFS(LS[Unit],LS[Investor ID],TAX_CERTIFICATE[[#This Row],[INVESTOR CODE]],LS[Date Value],"&lt;"&amp;$Z$2)+SUMIFS(SIP[Unit],SIP[Investor ID],TAX_CERTIFICATE[[#This Row],[INVESTOR CODE]],SIP[Date Value],"&lt;"&amp;$Z$2)</f>
        <v>1000</v>
      </c>
      <c r="C6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9900</v>
      </c>
      <c r="D65" s="6">
        <f>TAX_CERTIFICATE[[#This Row],[BEGINNING PERIOD UNITS]]*$AA$2</f>
        <v>9970</v>
      </c>
      <c r="E65" s="6">
        <f>TAX_CERTIFICATE[[#This Row],[BEGINNING PERIOD MARKET VALUE]]-TAX_CERTIFICATE[[#This Row],[BEGINNING PERIOD COST VALUE]]</f>
        <v>70</v>
      </c>
      <c r="F65" s="33">
        <f>SUMIFS(LS[Unit],LS[Investor ID],TAX_CERTIFICATE[[#This Row],[INVESTOR CODE]],LS[Date Value],"&lt;="&amp;$Z$3)+SUMIFS(SIP[Unit],SIP[Investor ID],TAX_CERTIFICATE[[#This Row],[INVESTOR CODE]],SIP[Date Value],"&lt;="&amp;$Z$3)</f>
        <v>1000</v>
      </c>
      <c r="G6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9900</v>
      </c>
      <c r="H65" s="6">
        <f>TAX_CERTIFICATE[[#This Row],[ENDING PERIOD UNITS]]*$AA$3</f>
        <v>9944</v>
      </c>
      <c r="I65" s="6">
        <f>TAX_CERTIFICATE[[#This Row],[ENDING PERIOD MARKET VALUE]]-TAX_CERTIFICATE[[#This Row],[ENDING PERIOD COST VALUE]]</f>
        <v>44</v>
      </c>
      <c r="J6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6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6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6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65" s="6">
        <f>TAX_CERTIFICATE[[#This Row],[TOTAL ADDITION AT COST DURING THE PERIOD]]-TAX_CERTIFICATE[[#This Row],[TOTAL REDEMPTION AT COST DURING THE PERIOD]]</f>
        <v>0</v>
      </c>
      <c r="O6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65" s="6"/>
      <c r="Q65" s="6"/>
      <c r="R65" s="6"/>
    </row>
    <row r="66" spans="1:18">
      <c r="A66" t="s">
        <v>74</v>
      </c>
      <c r="B66" s="2">
        <f>SUMIFS(LS[Unit],LS[Investor ID],TAX_CERTIFICATE[[#This Row],[INVESTOR CODE]],LS[Date Value],"&lt;"&amp;$Z$2)+SUMIFS(SIP[Unit],SIP[Investor ID],TAX_CERTIFICATE[[#This Row],[INVESTOR CODE]],SIP[Date Value],"&lt;"&amp;$Z$2)</f>
        <v>10000</v>
      </c>
      <c r="C6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</v>
      </c>
      <c r="D66" s="6">
        <f>TAX_CERTIFICATE[[#This Row],[BEGINNING PERIOD UNITS]]*$AA$2</f>
        <v>99700</v>
      </c>
      <c r="E66" s="6">
        <f>TAX_CERTIFICATE[[#This Row],[BEGINNING PERIOD MARKET VALUE]]-TAX_CERTIFICATE[[#This Row],[BEGINNING PERIOD COST VALUE]]</f>
        <v>-300</v>
      </c>
      <c r="F6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6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66" s="6">
        <f>TAX_CERTIFICATE[[#This Row],[ENDING PERIOD UNITS]]*$AA$3</f>
        <v>0</v>
      </c>
      <c r="I66" s="6">
        <f>TAX_CERTIFICATE[[#This Row],[ENDING PERIOD MARKET VALUE]]-TAX_CERTIFICATE[[#This Row],[ENDING PERIOD COST VALUE]]</f>
        <v>0</v>
      </c>
      <c r="J6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6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6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10000</v>
      </c>
      <c r="M6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100000</v>
      </c>
      <c r="N66" s="6">
        <f>TAX_CERTIFICATE[[#This Row],[TOTAL ADDITION AT COST DURING THE PERIOD]]-TAX_CERTIFICATE[[#This Row],[TOTAL REDEMPTION AT COST DURING THE PERIOD]]</f>
        <v>-100000</v>
      </c>
      <c r="O6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2129.9999999999918</v>
      </c>
      <c r="P66" s="6"/>
      <c r="Q66" s="6"/>
      <c r="R66" s="6"/>
    </row>
    <row r="67" spans="1:18">
      <c r="A67" t="s">
        <v>75</v>
      </c>
      <c r="B6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6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67" s="6">
        <f>TAX_CERTIFICATE[[#This Row],[BEGINNING PERIOD UNITS]]*$AA$2</f>
        <v>0</v>
      </c>
      <c r="E67" s="6">
        <f>TAX_CERTIFICATE[[#This Row],[BEGINNING PERIOD MARKET VALUE]]-TAX_CERTIFICATE[[#This Row],[BEGINNING PERIOD COST VALUE]]</f>
        <v>0</v>
      </c>
      <c r="F6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6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67" s="6">
        <f>TAX_CERTIFICATE[[#This Row],[ENDING PERIOD UNITS]]*$AA$3</f>
        <v>0</v>
      </c>
      <c r="I67" s="6">
        <f>TAX_CERTIFICATE[[#This Row],[ENDING PERIOD MARKET VALUE]]-TAX_CERTIFICATE[[#This Row],[ENDING PERIOD COST VALUE]]</f>
        <v>0</v>
      </c>
      <c r="J6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6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6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6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67" s="6">
        <f>TAX_CERTIFICATE[[#This Row],[TOTAL ADDITION AT COST DURING THE PERIOD]]-TAX_CERTIFICATE[[#This Row],[TOTAL REDEMPTION AT COST DURING THE PERIOD]]</f>
        <v>0</v>
      </c>
      <c r="O6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67" s="6"/>
      <c r="Q67" s="6"/>
      <c r="R67" s="6"/>
    </row>
    <row r="68" spans="1:18">
      <c r="A68" t="s">
        <v>76</v>
      </c>
      <c r="B68" s="2">
        <f>SUMIFS(LS[Unit],LS[Investor ID],TAX_CERTIFICATE[[#This Row],[INVESTOR CODE]],LS[Date Value],"&lt;"&amp;$Z$2)+SUMIFS(SIP[Unit],SIP[Investor ID],TAX_CERTIFICATE[[#This Row],[INVESTOR CODE]],SIP[Date Value],"&lt;"&amp;$Z$2)</f>
        <v>200000</v>
      </c>
      <c r="C6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2000000</v>
      </c>
      <c r="D68" s="6">
        <f>TAX_CERTIFICATE[[#This Row],[BEGINNING PERIOD UNITS]]*$AA$2</f>
        <v>1994000.0000000002</v>
      </c>
      <c r="E68" s="6">
        <f>TAX_CERTIFICATE[[#This Row],[BEGINNING PERIOD MARKET VALUE]]-TAX_CERTIFICATE[[#This Row],[BEGINNING PERIOD COST VALUE]]</f>
        <v>-5999.9999999997672</v>
      </c>
      <c r="F68" s="33">
        <f>SUMIFS(LS[Unit],LS[Investor ID],TAX_CERTIFICATE[[#This Row],[INVESTOR CODE]],LS[Date Value],"&lt;="&amp;$Z$3)+SUMIFS(SIP[Unit],SIP[Investor ID],TAX_CERTIFICATE[[#This Row],[INVESTOR CODE]],SIP[Date Value],"&lt;="&amp;$Z$3)</f>
        <v>204060</v>
      </c>
      <c r="G6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2040000</v>
      </c>
      <c r="H68" s="6">
        <f>TAX_CERTIFICATE[[#This Row],[ENDING PERIOD UNITS]]*$AA$3</f>
        <v>2029172.6400000001</v>
      </c>
      <c r="I68" s="6">
        <f>TAX_CERTIFICATE[[#This Row],[ENDING PERIOD MARKET VALUE]]-TAX_CERTIFICATE[[#This Row],[ENDING PERIOD COST VALUE]]</f>
        <v>-10827.35999999987</v>
      </c>
      <c r="J6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4060</v>
      </c>
      <c r="K6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40000</v>
      </c>
      <c r="L6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6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68" s="6">
        <f>TAX_CERTIFICATE[[#This Row],[TOTAL ADDITION AT COST DURING THE PERIOD]]-TAX_CERTIFICATE[[#This Row],[TOTAL REDEMPTION AT COST DURING THE PERIOD]]</f>
        <v>40000</v>
      </c>
      <c r="O6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68" s="6"/>
      <c r="Q68" s="6"/>
      <c r="R68" s="6"/>
    </row>
    <row r="69" spans="1:18">
      <c r="A69" t="s">
        <v>77</v>
      </c>
      <c r="B69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6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69" s="6">
        <f>TAX_CERTIFICATE[[#This Row],[BEGINNING PERIOD UNITS]]*$AA$2</f>
        <v>997000.00000000012</v>
      </c>
      <c r="E69" s="6">
        <f>TAX_CERTIFICATE[[#This Row],[BEGINNING PERIOD MARKET VALUE]]-TAX_CERTIFICATE[[#This Row],[BEGINNING PERIOD COST VALUE]]</f>
        <v>-2999.9999999998836</v>
      </c>
      <c r="F69" s="33">
        <f>SUMIFS(LS[Unit],LS[Investor ID],TAX_CERTIFICATE[[#This Row],[INVESTOR CODE]],LS[Date Value],"&lt;="&amp;$Z$3)+SUMIFS(SIP[Unit],SIP[Investor ID],TAX_CERTIFICATE[[#This Row],[INVESTOR CODE]],SIP[Date Value],"&lt;="&amp;$Z$3)</f>
        <v>102030</v>
      </c>
      <c r="G6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1020000</v>
      </c>
      <c r="H69" s="6">
        <f>TAX_CERTIFICATE[[#This Row],[ENDING PERIOD UNITS]]*$AA$3</f>
        <v>1014586.3200000001</v>
      </c>
      <c r="I69" s="6">
        <f>TAX_CERTIFICATE[[#This Row],[ENDING PERIOD MARKET VALUE]]-TAX_CERTIFICATE[[#This Row],[ENDING PERIOD COST VALUE]]</f>
        <v>-5413.6799999999348</v>
      </c>
      <c r="J6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2030</v>
      </c>
      <c r="K6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20000</v>
      </c>
      <c r="L6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6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69" s="6">
        <f>TAX_CERTIFICATE[[#This Row],[TOTAL ADDITION AT COST DURING THE PERIOD]]-TAX_CERTIFICATE[[#This Row],[TOTAL REDEMPTION AT COST DURING THE PERIOD]]</f>
        <v>20000</v>
      </c>
      <c r="O6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69" s="6"/>
      <c r="Q69" s="6"/>
      <c r="R69" s="6"/>
    </row>
    <row r="70" spans="1:18">
      <c r="A70" t="s">
        <v>78</v>
      </c>
      <c r="B70" s="2">
        <f>SUMIFS(LS[Unit],LS[Investor ID],TAX_CERTIFICATE[[#This Row],[INVESTOR CODE]],LS[Date Value],"&lt;"&amp;$Z$2)+SUMIFS(SIP[Unit],SIP[Investor ID],TAX_CERTIFICATE[[#This Row],[INVESTOR CODE]],SIP[Date Value],"&lt;"&amp;$Z$2)</f>
        <v>5000</v>
      </c>
      <c r="C7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</v>
      </c>
      <c r="D70" s="6">
        <f>TAX_CERTIFICATE[[#This Row],[BEGINNING PERIOD UNITS]]*$AA$2</f>
        <v>49850</v>
      </c>
      <c r="E70" s="6">
        <f>TAX_CERTIFICATE[[#This Row],[BEGINNING PERIOD MARKET VALUE]]-TAX_CERTIFICATE[[#This Row],[BEGINNING PERIOD COST VALUE]]</f>
        <v>-150</v>
      </c>
      <c r="F7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7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-7.2759576141834259E-12</v>
      </c>
      <c r="H70" s="6">
        <f>TAX_CERTIFICATE[[#This Row],[ENDING PERIOD UNITS]]*$AA$3</f>
        <v>0</v>
      </c>
      <c r="I70" s="6">
        <f>TAX_CERTIFICATE[[#This Row],[ENDING PERIOD MARKET VALUE]]-TAX_CERTIFICATE[[#This Row],[ENDING PERIOD COST VALUE]]</f>
        <v>7.2759576141834259E-12</v>
      </c>
      <c r="J7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108</v>
      </c>
      <c r="K7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1062.5</v>
      </c>
      <c r="L7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5108</v>
      </c>
      <c r="M7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51062.500000000007</v>
      </c>
      <c r="N70" s="6">
        <f>TAX_CERTIFICATE[[#This Row],[TOTAL ADDITION AT COST DURING THE PERIOD]]-TAX_CERTIFICATE[[#This Row],[TOTAL REDEMPTION AT COST DURING THE PERIOD]]</f>
        <v>-50000.000000000007</v>
      </c>
      <c r="O7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-1152.2300000000059</v>
      </c>
      <c r="P70" s="6"/>
      <c r="Q70" s="6"/>
      <c r="R70" s="6"/>
    </row>
    <row r="71" spans="1:18">
      <c r="A71" t="s">
        <v>79</v>
      </c>
      <c r="B7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7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71" s="6">
        <f>TAX_CERTIFICATE[[#This Row],[BEGINNING PERIOD UNITS]]*$AA$2</f>
        <v>0</v>
      </c>
      <c r="E71" s="6">
        <f>TAX_CERTIFICATE[[#This Row],[BEGINNING PERIOD MARKET VALUE]]-TAX_CERTIFICATE[[#This Row],[BEGINNING PERIOD COST VALUE]]</f>
        <v>0</v>
      </c>
      <c r="F7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7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71" s="6">
        <f>TAX_CERTIFICATE[[#This Row],[ENDING PERIOD UNITS]]*$AA$3</f>
        <v>0</v>
      </c>
      <c r="I71" s="6">
        <f>TAX_CERTIFICATE[[#This Row],[ENDING PERIOD MARKET VALUE]]-TAX_CERTIFICATE[[#This Row],[ENDING PERIOD COST VALUE]]</f>
        <v>0</v>
      </c>
      <c r="J7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7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7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7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71" s="6">
        <f>TAX_CERTIFICATE[[#This Row],[TOTAL ADDITION AT COST DURING THE PERIOD]]-TAX_CERTIFICATE[[#This Row],[TOTAL REDEMPTION AT COST DURING THE PERIOD]]</f>
        <v>0</v>
      </c>
      <c r="O7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71" s="6"/>
      <c r="Q71" s="6"/>
      <c r="R71" s="6"/>
    </row>
    <row r="72" spans="1:18">
      <c r="A72" t="s">
        <v>80</v>
      </c>
      <c r="B7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7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72" s="6">
        <f>TAX_CERTIFICATE[[#This Row],[BEGINNING PERIOD UNITS]]*$AA$2</f>
        <v>0</v>
      </c>
      <c r="E72" s="6">
        <f>TAX_CERTIFICATE[[#This Row],[BEGINNING PERIOD MARKET VALUE]]-TAX_CERTIFICATE[[#This Row],[BEGINNING PERIOD COST VALUE]]</f>
        <v>0</v>
      </c>
      <c r="F7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7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72" s="6">
        <f>TAX_CERTIFICATE[[#This Row],[ENDING PERIOD UNITS]]*$AA$3</f>
        <v>0</v>
      </c>
      <c r="I72" s="6">
        <f>TAX_CERTIFICATE[[#This Row],[ENDING PERIOD MARKET VALUE]]-TAX_CERTIFICATE[[#This Row],[ENDING PERIOD COST VALUE]]</f>
        <v>0</v>
      </c>
      <c r="J7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7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7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7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72" s="6">
        <f>TAX_CERTIFICATE[[#This Row],[TOTAL ADDITION AT COST DURING THE PERIOD]]-TAX_CERTIFICATE[[#This Row],[TOTAL REDEMPTION AT COST DURING THE PERIOD]]</f>
        <v>0</v>
      </c>
      <c r="O7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72" s="6"/>
      <c r="Q72" s="6"/>
      <c r="R72" s="6"/>
    </row>
    <row r="73" spans="1:18">
      <c r="A73" t="s">
        <v>81</v>
      </c>
      <c r="B7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7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73" s="6">
        <f>TAX_CERTIFICATE[[#This Row],[BEGINNING PERIOD UNITS]]*$AA$2</f>
        <v>0</v>
      </c>
      <c r="E73" s="6">
        <f>TAX_CERTIFICATE[[#This Row],[BEGINNING PERIOD MARKET VALUE]]-TAX_CERTIFICATE[[#This Row],[BEGINNING PERIOD COST VALUE]]</f>
        <v>0</v>
      </c>
      <c r="F7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7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73" s="6">
        <f>TAX_CERTIFICATE[[#This Row],[ENDING PERIOD UNITS]]*$AA$3</f>
        <v>0</v>
      </c>
      <c r="I73" s="6">
        <f>TAX_CERTIFICATE[[#This Row],[ENDING PERIOD MARKET VALUE]]-TAX_CERTIFICATE[[#This Row],[ENDING PERIOD COST VALUE]]</f>
        <v>0</v>
      </c>
      <c r="J7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7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7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7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73" s="6">
        <f>TAX_CERTIFICATE[[#This Row],[TOTAL ADDITION AT COST DURING THE PERIOD]]-TAX_CERTIFICATE[[#This Row],[TOTAL REDEMPTION AT COST DURING THE PERIOD]]</f>
        <v>0</v>
      </c>
      <c r="O7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73" s="6"/>
      <c r="Q73" s="6"/>
      <c r="R73" s="6"/>
    </row>
    <row r="74" spans="1:18">
      <c r="A74" t="s">
        <v>82</v>
      </c>
      <c r="B7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7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74" s="6">
        <f>TAX_CERTIFICATE[[#This Row],[BEGINNING PERIOD UNITS]]*$AA$2</f>
        <v>0</v>
      </c>
      <c r="E74" s="6">
        <f>TAX_CERTIFICATE[[#This Row],[BEGINNING PERIOD MARKET VALUE]]-TAX_CERTIFICATE[[#This Row],[BEGINNING PERIOD COST VALUE]]</f>
        <v>0</v>
      </c>
      <c r="F7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7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74" s="6">
        <f>TAX_CERTIFICATE[[#This Row],[ENDING PERIOD UNITS]]*$AA$3</f>
        <v>0</v>
      </c>
      <c r="I74" s="6">
        <f>TAX_CERTIFICATE[[#This Row],[ENDING PERIOD MARKET VALUE]]-TAX_CERTIFICATE[[#This Row],[ENDING PERIOD COST VALUE]]</f>
        <v>0</v>
      </c>
      <c r="J7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7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7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7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74" s="6">
        <f>TAX_CERTIFICATE[[#This Row],[TOTAL ADDITION AT COST DURING THE PERIOD]]-TAX_CERTIFICATE[[#This Row],[TOTAL REDEMPTION AT COST DURING THE PERIOD]]</f>
        <v>0</v>
      </c>
      <c r="O7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74" s="6"/>
      <c r="Q74" s="6"/>
      <c r="R74" s="6"/>
    </row>
    <row r="75" spans="1:18">
      <c r="A75" t="s">
        <v>83</v>
      </c>
      <c r="B75" s="2">
        <f>SUMIFS(LS[Unit],LS[Investor ID],TAX_CERTIFICATE[[#This Row],[INVESTOR CODE]],LS[Date Value],"&lt;"&amp;$Z$2)+SUMIFS(SIP[Unit],SIP[Investor ID],TAX_CERTIFICATE[[#This Row],[INVESTOR CODE]],SIP[Date Value],"&lt;"&amp;$Z$2)</f>
        <v>250000</v>
      </c>
      <c r="C7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2500000</v>
      </c>
      <c r="D75" s="6">
        <f>TAX_CERTIFICATE[[#This Row],[BEGINNING PERIOD UNITS]]*$AA$2</f>
        <v>2492500</v>
      </c>
      <c r="E75" s="6">
        <f>TAX_CERTIFICATE[[#This Row],[BEGINNING PERIOD MARKET VALUE]]-TAX_CERTIFICATE[[#This Row],[BEGINNING PERIOD COST VALUE]]</f>
        <v>-7500</v>
      </c>
      <c r="F75" s="33">
        <f>SUMIFS(LS[Unit],LS[Investor ID],TAX_CERTIFICATE[[#This Row],[INVESTOR CODE]],LS[Date Value],"&lt;="&amp;$Z$3)+SUMIFS(SIP[Unit],SIP[Investor ID],TAX_CERTIFICATE[[#This Row],[INVESTOR CODE]],SIP[Date Value],"&lt;="&amp;$Z$3)</f>
        <v>250000</v>
      </c>
      <c r="G7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2500000</v>
      </c>
      <c r="H75" s="6">
        <f>TAX_CERTIFICATE[[#This Row],[ENDING PERIOD UNITS]]*$AA$3</f>
        <v>2486000</v>
      </c>
      <c r="I75" s="6">
        <f>TAX_CERTIFICATE[[#This Row],[ENDING PERIOD MARKET VALUE]]-TAX_CERTIFICATE[[#This Row],[ENDING PERIOD COST VALUE]]</f>
        <v>-14000</v>
      </c>
      <c r="J7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7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7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7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75" s="6">
        <f>TAX_CERTIFICATE[[#This Row],[TOTAL ADDITION AT COST DURING THE PERIOD]]-TAX_CERTIFICATE[[#This Row],[TOTAL REDEMPTION AT COST DURING THE PERIOD]]</f>
        <v>0</v>
      </c>
      <c r="O7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75" s="6"/>
      <c r="Q75" s="6"/>
      <c r="R75" s="6"/>
    </row>
    <row r="76" spans="1:18">
      <c r="A76" t="s">
        <v>84</v>
      </c>
      <c r="B76" s="2">
        <f>SUMIFS(LS[Unit],LS[Investor ID],TAX_CERTIFICATE[[#This Row],[INVESTOR CODE]],LS[Date Value],"&lt;"&amp;$Z$2)+SUMIFS(SIP[Unit],SIP[Investor ID],TAX_CERTIFICATE[[#This Row],[INVESTOR CODE]],SIP[Date Value],"&lt;"&amp;$Z$2)</f>
        <v>30000</v>
      </c>
      <c r="C7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300000</v>
      </c>
      <c r="D76" s="6">
        <f>TAX_CERTIFICATE[[#This Row],[BEGINNING PERIOD UNITS]]*$AA$2</f>
        <v>299100</v>
      </c>
      <c r="E76" s="6">
        <f>TAX_CERTIFICATE[[#This Row],[BEGINNING PERIOD MARKET VALUE]]-TAX_CERTIFICATE[[#This Row],[BEGINNING PERIOD COST VALUE]]</f>
        <v>-900</v>
      </c>
      <c r="F76" s="33">
        <f>SUMIFS(LS[Unit],LS[Investor ID],TAX_CERTIFICATE[[#This Row],[INVESTOR CODE]],LS[Date Value],"&lt;="&amp;$Z$3)+SUMIFS(SIP[Unit],SIP[Investor ID],TAX_CERTIFICATE[[#This Row],[INVESTOR CODE]],SIP[Date Value],"&lt;="&amp;$Z$3)</f>
        <v>30685</v>
      </c>
      <c r="G7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306750</v>
      </c>
      <c r="H76" s="6">
        <f>TAX_CERTIFICATE[[#This Row],[ENDING PERIOD UNITS]]*$AA$3</f>
        <v>305131.64</v>
      </c>
      <c r="I76" s="6">
        <f>TAX_CERTIFICATE[[#This Row],[ENDING PERIOD MARKET VALUE]]-TAX_CERTIFICATE[[#This Row],[ENDING PERIOD COST VALUE]]</f>
        <v>-1618.359999999986</v>
      </c>
      <c r="J7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685</v>
      </c>
      <c r="K7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6750</v>
      </c>
      <c r="L7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7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76" s="6">
        <f>TAX_CERTIFICATE[[#This Row],[TOTAL ADDITION AT COST DURING THE PERIOD]]-TAX_CERTIFICATE[[#This Row],[TOTAL REDEMPTION AT COST DURING THE PERIOD]]</f>
        <v>6750</v>
      </c>
      <c r="O7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76" s="6"/>
      <c r="Q76" s="6"/>
      <c r="R76" s="6"/>
    </row>
    <row r="77" spans="1:18">
      <c r="A77" t="s">
        <v>85</v>
      </c>
      <c r="B77" s="2">
        <f>SUMIFS(LS[Unit],LS[Investor ID],TAX_CERTIFICATE[[#This Row],[INVESTOR CODE]],LS[Date Value],"&lt;"&amp;$Z$2)+SUMIFS(SIP[Unit],SIP[Investor ID],TAX_CERTIFICATE[[#This Row],[INVESTOR CODE]],SIP[Date Value],"&lt;"&amp;$Z$2)</f>
        <v>15000</v>
      </c>
      <c r="C7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150000</v>
      </c>
      <c r="D77" s="6">
        <f>TAX_CERTIFICATE[[#This Row],[BEGINNING PERIOD UNITS]]*$AA$2</f>
        <v>149550</v>
      </c>
      <c r="E77" s="6">
        <f>TAX_CERTIFICATE[[#This Row],[BEGINNING PERIOD MARKET VALUE]]-TAX_CERTIFICATE[[#This Row],[BEGINNING PERIOD COST VALUE]]</f>
        <v>-450</v>
      </c>
      <c r="F77" s="33">
        <f>SUMIFS(LS[Unit],LS[Investor ID],TAX_CERTIFICATE[[#This Row],[INVESTOR CODE]],LS[Date Value],"&lt;="&amp;$Z$3)+SUMIFS(SIP[Unit],SIP[Investor ID],TAX_CERTIFICATE[[#This Row],[INVESTOR CODE]],SIP[Date Value],"&lt;="&amp;$Z$3)</f>
        <v>15343</v>
      </c>
      <c r="G7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153375</v>
      </c>
      <c r="H77" s="6">
        <f>TAX_CERTIFICATE[[#This Row],[ENDING PERIOD UNITS]]*$AA$3</f>
        <v>152570.79200000002</v>
      </c>
      <c r="I77" s="6">
        <f>TAX_CERTIFICATE[[#This Row],[ENDING PERIOD MARKET VALUE]]-TAX_CERTIFICATE[[#This Row],[ENDING PERIOD COST VALUE]]</f>
        <v>-804.20799999998417</v>
      </c>
      <c r="J7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343</v>
      </c>
      <c r="K7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3375</v>
      </c>
      <c r="L7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7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77" s="6">
        <f>TAX_CERTIFICATE[[#This Row],[TOTAL ADDITION AT COST DURING THE PERIOD]]-TAX_CERTIFICATE[[#This Row],[TOTAL REDEMPTION AT COST DURING THE PERIOD]]</f>
        <v>3375</v>
      </c>
      <c r="O7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77" s="6"/>
      <c r="Q77" s="6"/>
      <c r="R77" s="6"/>
    </row>
    <row r="78" spans="1:18">
      <c r="A78" t="s">
        <v>86</v>
      </c>
      <c r="B7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7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78" s="6">
        <f>TAX_CERTIFICATE[[#This Row],[BEGINNING PERIOD UNITS]]*$AA$2</f>
        <v>0</v>
      </c>
      <c r="E78" s="6">
        <f>TAX_CERTIFICATE[[#This Row],[BEGINNING PERIOD MARKET VALUE]]-TAX_CERTIFICATE[[#This Row],[BEGINNING PERIOD COST VALUE]]</f>
        <v>0</v>
      </c>
      <c r="F7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7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78" s="6">
        <f>TAX_CERTIFICATE[[#This Row],[ENDING PERIOD UNITS]]*$AA$3</f>
        <v>0</v>
      </c>
      <c r="I78" s="6">
        <f>TAX_CERTIFICATE[[#This Row],[ENDING PERIOD MARKET VALUE]]-TAX_CERTIFICATE[[#This Row],[ENDING PERIOD COST VALUE]]</f>
        <v>0</v>
      </c>
      <c r="J7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7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7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7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78" s="6">
        <f>TAX_CERTIFICATE[[#This Row],[TOTAL ADDITION AT COST DURING THE PERIOD]]-TAX_CERTIFICATE[[#This Row],[TOTAL REDEMPTION AT COST DURING THE PERIOD]]</f>
        <v>0</v>
      </c>
      <c r="O7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78" s="6"/>
      <c r="Q78" s="6"/>
      <c r="R78" s="6"/>
    </row>
    <row r="79" spans="1:18">
      <c r="A79" t="s">
        <v>87</v>
      </c>
      <c r="B7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7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79" s="6">
        <f>TAX_CERTIFICATE[[#This Row],[BEGINNING PERIOD UNITS]]*$AA$2</f>
        <v>0</v>
      </c>
      <c r="E79" s="6">
        <f>TAX_CERTIFICATE[[#This Row],[BEGINNING PERIOD MARKET VALUE]]-TAX_CERTIFICATE[[#This Row],[BEGINNING PERIOD COST VALUE]]</f>
        <v>0</v>
      </c>
      <c r="F7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7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79" s="6">
        <f>TAX_CERTIFICATE[[#This Row],[ENDING PERIOD UNITS]]*$AA$3</f>
        <v>0</v>
      </c>
      <c r="I79" s="6">
        <f>TAX_CERTIFICATE[[#This Row],[ENDING PERIOD MARKET VALUE]]-TAX_CERTIFICATE[[#This Row],[ENDING PERIOD COST VALUE]]</f>
        <v>0</v>
      </c>
      <c r="J7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7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7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7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79" s="6">
        <f>TAX_CERTIFICATE[[#This Row],[TOTAL ADDITION AT COST DURING THE PERIOD]]-TAX_CERTIFICATE[[#This Row],[TOTAL REDEMPTION AT COST DURING THE PERIOD]]</f>
        <v>0</v>
      </c>
      <c r="O7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79" s="6"/>
      <c r="Q79" s="6"/>
      <c r="R79" s="6"/>
    </row>
    <row r="80" spans="1:18">
      <c r="A80" t="s">
        <v>88</v>
      </c>
      <c r="B8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8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80" s="6">
        <f>TAX_CERTIFICATE[[#This Row],[BEGINNING PERIOD UNITS]]*$AA$2</f>
        <v>0</v>
      </c>
      <c r="E80" s="6">
        <f>TAX_CERTIFICATE[[#This Row],[BEGINNING PERIOD MARKET VALUE]]-TAX_CERTIFICATE[[#This Row],[BEGINNING PERIOD COST VALUE]]</f>
        <v>0</v>
      </c>
      <c r="F8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8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80" s="6">
        <f>TAX_CERTIFICATE[[#This Row],[ENDING PERIOD UNITS]]*$AA$3</f>
        <v>0</v>
      </c>
      <c r="I80" s="6">
        <f>TAX_CERTIFICATE[[#This Row],[ENDING PERIOD MARKET VALUE]]-TAX_CERTIFICATE[[#This Row],[ENDING PERIOD COST VALUE]]</f>
        <v>0</v>
      </c>
      <c r="J8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8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8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8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80" s="6">
        <f>TAX_CERTIFICATE[[#This Row],[TOTAL ADDITION AT COST DURING THE PERIOD]]-TAX_CERTIFICATE[[#This Row],[TOTAL REDEMPTION AT COST DURING THE PERIOD]]</f>
        <v>0</v>
      </c>
      <c r="O8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80" s="6"/>
      <c r="Q80" s="6"/>
      <c r="R80" s="6"/>
    </row>
    <row r="81" spans="1:18">
      <c r="A81" t="s">
        <v>89</v>
      </c>
      <c r="B81" s="2">
        <f>SUMIFS(LS[Unit],LS[Investor ID],TAX_CERTIFICATE[[#This Row],[INVESTOR CODE]],LS[Date Value],"&lt;"&amp;$Z$2)+SUMIFS(SIP[Unit],SIP[Investor ID],TAX_CERTIFICATE[[#This Row],[INVESTOR CODE]],SIP[Date Value],"&lt;"&amp;$Z$2)</f>
        <v>500000</v>
      </c>
      <c r="C8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5000000</v>
      </c>
      <c r="D81" s="6">
        <f>TAX_CERTIFICATE[[#This Row],[BEGINNING PERIOD UNITS]]*$AA$2</f>
        <v>4985000</v>
      </c>
      <c r="E81" s="6">
        <f>TAX_CERTIFICATE[[#This Row],[BEGINNING PERIOD MARKET VALUE]]-TAX_CERTIFICATE[[#This Row],[BEGINNING PERIOD COST VALUE]]</f>
        <v>-15000</v>
      </c>
      <c r="F81" s="33">
        <f>SUMIFS(LS[Unit],LS[Investor ID],TAX_CERTIFICATE[[#This Row],[INVESTOR CODE]],LS[Date Value],"&lt;="&amp;$Z$3)+SUMIFS(SIP[Unit],SIP[Investor ID],TAX_CERTIFICATE[[#This Row],[INVESTOR CODE]],SIP[Date Value],"&lt;="&amp;$Z$3)</f>
        <v>500000</v>
      </c>
      <c r="G8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5000000</v>
      </c>
      <c r="H81" s="6">
        <f>TAX_CERTIFICATE[[#This Row],[ENDING PERIOD UNITS]]*$AA$3</f>
        <v>4972000</v>
      </c>
      <c r="I81" s="6">
        <f>TAX_CERTIFICATE[[#This Row],[ENDING PERIOD MARKET VALUE]]-TAX_CERTIFICATE[[#This Row],[ENDING PERIOD COST VALUE]]</f>
        <v>-28000</v>
      </c>
      <c r="J8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8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8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8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81" s="6">
        <f>TAX_CERTIFICATE[[#This Row],[TOTAL ADDITION AT COST DURING THE PERIOD]]-TAX_CERTIFICATE[[#This Row],[TOTAL REDEMPTION AT COST DURING THE PERIOD]]</f>
        <v>0</v>
      </c>
      <c r="O8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81" s="6"/>
      <c r="Q81" s="6"/>
      <c r="R81" s="6"/>
    </row>
    <row r="82" spans="1:18">
      <c r="A82" t="s">
        <v>90</v>
      </c>
      <c r="B8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8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82" s="6">
        <f>TAX_CERTIFICATE[[#This Row],[BEGINNING PERIOD UNITS]]*$AA$2</f>
        <v>0</v>
      </c>
      <c r="E82" s="6">
        <f>TAX_CERTIFICATE[[#This Row],[BEGINNING PERIOD MARKET VALUE]]-TAX_CERTIFICATE[[#This Row],[BEGINNING PERIOD COST VALUE]]</f>
        <v>0</v>
      </c>
      <c r="F8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8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82" s="6">
        <f>TAX_CERTIFICATE[[#This Row],[ENDING PERIOD UNITS]]*$AA$3</f>
        <v>0</v>
      </c>
      <c r="I82" s="6">
        <f>TAX_CERTIFICATE[[#This Row],[ENDING PERIOD MARKET VALUE]]-TAX_CERTIFICATE[[#This Row],[ENDING PERIOD COST VALUE]]</f>
        <v>0</v>
      </c>
      <c r="J8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8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8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8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82" s="6">
        <f>TAX_CERTIFICATE[[#This Row],[TOTAL ADDITION AT COST DURING THE PERIOD]]-TAX_CERTIFICATE[[#This Row],[TOTAL REDEMPTION AT COST DURING THE PERIOD]]</f>
        <v>0</v>
      </c>
      <c r="O8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82" s="6"/>
      <c r="Q82" s="6"/>
      <c r="R82" s="6"/>
    </row>
    <row r="83" spans="1:18">
      <c r="A83" t="s">
        <v>91</v>
      </c>
      <c r="B8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8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83" s="6">
        <f>TAX_CERTIFICATE[[#This Row],[BEGINNING PERIOD UNITS]]*$AA$2</f>
        <v>0</v>
      </c>
      <c r="E83" s="6">
        <f>TAX_CERTIFICATE[[#This Row],[BEGINNING PERIOD MARKET VALUE]]-TAX_CERTIFICATE[[#This Row],[BEGINNING PERIOD COST VALUE]]</f>
        <v>0</v>
      </c>
      <c r="F8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8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83" s="6">
        <f>TAX_CERTIFICATE[[#This Row],[ENDING PERIOD UNITS]]*$AA$3</f>
        <v>0</v>
      </c>
      <c r="I83" s="6">
        <f>TAX_CERTIFICATE[[#This Row],[ENDING PERIOD MARKET VALUE]]-TAX_CERTIFICATE[[#This Row],[ENDING PERIOD COST VALUE]]</f>
        <v>0</v>
      </c>
      <c r="J8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8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8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8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83" s="6">
        <f>TAX_CERTIFICATE[[#This Row],[TOTAL ADDITION AT COST DURING THE PERIOD]]-TAX_CERTIFICATE[[#This Row],[TOTAL REDEMPTION AT COST DURING THE PERIOD]]</f>
        <v>0</v>
      </c>
      <c r="O8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83" s="6"/>
      <c r="Q83" s="6"/>
      <c r="R83" s="6"/>
    </row>
    <row r="84" spans="1:18">
      <c r="A84" t="s">
        <v>92</v>
      </c>
      <c r="B8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8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84" s="6">
        <f>TAX_CERTIFICATE[[#This Row],[BEGINNING PERIOD UNITS]]*$AA$2</f>
        <v>0</v>
      </c>
      <c r="E84" s="6">
        <f>TAX_CERTIFICATE[[#This Row],[BEGINNING PERIOD MARKET VALUE]]-TAX_CERTIFICATE[[#This Row],[BEGINNING PERIOD COST VALUE]]</f>
        <v>0</v>
      </c>
      <c r="F8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8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84" s="6">
        <f>TAX_CERTIFICATE[[#This Row],[ENDING PERIOD UNITS]]*$AA$3</f>
        <v>0</v>
      </c>
      <c r="I84" s="6">
        <f>TAX_CERTIFICATE[[#This Row],[ENDING PERIOD MARKET VALUE]]-TAX_CERTIFICATE[[#This Row],[ENDING PERIOD COST VALUE]]</f>
        <v>0</v>
      </c>
      <c r="J8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8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8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8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84" s="6">
        <f>TAX_CERTIFICATE[[#This Row],[TOTAL ADDITION AT COST DURING THE PERIOD]]-TAX_CERTIFICATE[[#This Row],[TOTAL REDEMPTION AT COST DURING THE PERIOD]]</f>
        <v>0</v>
      </c>
      <c r="O8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84" s="6"/>
      <c r="Q84" s="6"/>
      <c r="R84" s="6"/>
    </row>
    <row r="85" spans="1:18">
      <c r="A85" t="s">
        <v>93</v>
      </c>
      <c r="B8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8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85" s="6">
        <f>TAX_CERTIFICATE[[#This Row],[BEGINNING PERIOD UNITS]]*$AA$2</f>
        <v>0</v>
      </c>
      <c r="E85" s="6">
        <f>TAX_CERTIFICATE[[#This Row],[BEGINNING PERIOD MARKET VALUE]]-TAX_CERTIFICATE[[#This Row],[BEGINNING PERIOD COST VALUE]]</f>
        <v>0</v>
      </c>
      <c r="F8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8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85" s="6">
        <f>TAX_CERTIFICATE[[#This Row],[ENDING PERIOD UNITS]]*$AA$3</f>
        <v>0</v>
      </c>
      <c r="I85" s="6">
        <f>TAX_CERTIFICATE[[#This Row],[ENDING PERIOD MARKET VALUE]]-TAX_CERTIFICATE[[#This Row],[ENDING PERIOD COST VALUE]]</f>
        <v>0</v>
      </c>
      <c r="J8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8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8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8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85" s="6">
        <f>TAX_CERTIFICATE[[#This Row],[TOTAL ADDITION AT COST DURING THE PERIOD]]-TAX_CERTIFICATE[[#This Row],[TOTAL REDEMPTION AT COST DURING THE PERIOD]]</f>
        <v>0</v>
      </c>
      <c r="O8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85" s="6"/>
      <c r="Q85" s="6"/>
      <c r="R85" s="6"/>
    </row>
    <row r="86" spans="1:18">
      <c r="A86" t="s">
        <v>94</v>
      </c>
      <c r="B8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8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86" s="6">
        <f>TAX_CERTIFICATE[[#This Row],[BEGINNING PERIOD UNITS]]*$AA$2</f>
        <v>0</v>
      </c>
      <c r="E86" s="6">
        <f>TAX_CERTIFICATE[[#This Row],[BEGINNING PERIOD MARKET VALUE]]-TAX_CERTIFICATE[[#This Row],[BEGINNING PERIOD COST VALUE]]</f>
        <v>0</v>
      </c>
      <c r="F8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8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86" s="6">
        <f>TAX_CERTIFICATE[[#This Row],[ENDING PERIOD UNITS]]*$AA$3</f>
        <v>0</v>
      </c>
      <c r="I86" s="6">
        <f>TAX_CERTIFICATE[[#This Row],[ENDING PERIOD MARKET VALUE]]-TAX_CERTIFICATE[[#This Row],[ENDING PERIOD COST VALUE]]</f>
        <v>0</v>
      </c>
      <c r="J8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8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8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8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86" s="6">
        <f>TAX_CERTIFICATE[[#This Row],[TOTAL ADDITION AT COST DURING THE PERIOD]]-TAX_CERTIFICATE[[#This Row],[TOTAL REDEMPTION AT COST DURING THE PERIOD]]</f>
        <v>0</v>
      </c>
      <c r="O8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86" s="6"/>
      <c r="Q86" s="6"/>
      <c r="R86" s="6"/>
    </row>
    <row r="87" spans="1:18">
      <c r="A87" t="s">
        <v>95</v>
      </c>
      <c r="B87" s="2">
        <f>SUMIFS(LS[Unit],LS[Investor ID],TAX_CERTIFICATE[[#This Row],[INVESTOR CODE]],LS[Date Value],"&lt;"&amp;$Z$2)+SUMIFS(SIP[Unit],SIP[Investor ID],TAX_CERTIFICATE[[#This Row],[INVESTOR CODE]],SIP[Date Value],"&lt;"&amp;$Z$2)</f>
        <v>500000</v>
      </c>
      <c r="C8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5000000</v>
      </c>
      <c r="D87" s="6">
        <f>TAX_CERTIFICATE[[#This Row],[BEGINNING PERIOD UNITS]]*$AA$2</f>
        <v>4985000</v>
      </c>
      <c r="E87" s="6">
        <f>TAX_CERTIFICATE[[#This Row],[BEGINNING PERIOD MARKET VALUE]]-TAX_CERTIFICATE[[#This Row],[BEGINNING PERIOD COST VALUE]]</f>
        <v>-15000</v>
      </c>
      <c r="F87" s="33">
        <f>SUMIFS(LS[Unit],LS[Investor ID],TAX_CERTIFICATE[[#This Row],[INVESTOR CODE]],LS[Date Value],"&lt;="&amp;$Z$3)+SUMIFS(SIP[Unit],SIP[Investor ID],TAX_CERTIFICATE[[#This Row],[INVESTOR CODE]],SIP[Date Value],"&lt;="&amp;$Z$3)</f>
        <v>483334</v>
      </c>
      <c r="G8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4831741.95</v>
      </c>
      <c r="H87" s="6">
        <f>TAX_CERTIFICATE[[#This Row],[ENDING PERIOD UNITS]]*$AA$3</f>
        <v>4806273.2960000001</v>
      </c>
      <c r="I87" s="6">
        <f>TAX_CERTIFICATE[[#This Row],[ENDING PERIOD MARKET VALUE]]-TAX_CERTIFICATE[[#This Row],[ENDING PERIOD COST VALUE]]</f>
        <v>-25468.654000000097</v>
      </c>
      <c r="J8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10792</v>
      </c>
      <c r="K8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106321.95</v>
      </c>
      <c r="L8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27458</v>
      </c>
      <c r="M8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274580</v>
      </c>
      <c r="N87" s="6">
        <f>TAX_CERTIFICATE[[#This Row],[TOTAL ADDITION AT COST DURING THE PERIOD]]-TAX_CERTIFICATE[[#This Row],[TOTAL REDEMPTION AT COST DURING THE PERIOD]]</f>
        <v>-168258.05</v>
      </c>
      <c r="O8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8511.979999999965</v>
      </c>
      <c r="P87" s="6"/>
      <c r="Q87" s="6"/>
      <c r="R87" s="6"/>
    </row>
    <row r="88" spans="1:18">
      <c r="A88" t="s">
        <v>96</v>
      </c>
      <c r="B88" s="2">
        <f>SUMIFS(LS[Unit],LS[Investor ID],TAX_CERTIFICATE[[#This Row],[INVESTOR CODE]],LS[Date Value],"&lt;"&amp;$Z$2)+SUMIFS(SIP[Unit],SIP[Investor ID],TAX_CERTIFICATE[[#This Row],[INVESTOR CODE]],SIP[Date Value],"&lt;"&amp;$Z$2)</f>
        <v>200000</v>
      </c>
      <c r="C8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2000000</v>
      </c>
      <c r="D88" s="6">
        <f>TAX_CERTIFICATE[[#This Row],[BEGINNING PERIOD UNITS]]*$AA$2</f>
        <v>1994000.0000000002</v>
      </c>
      <c r="E88" s="6">
        <f>TAX_CERTIFICATE[[#This Row],[BEGINNING PERIOD MARKET VALUE]]-TAX_CERTIFICATE[[#This Row],[BEGINNING PERIOD COST VALUE]]</f>
        <v>-5999.9999999997672</v>
      </c>
      <c r="F88" s="33">
        <f>SUMIFS(LS[Unit],LS[Investor ID],TAX_CERTIFICATE[[#This Row],[INVESTOR CODE]],LS[Date Value],"&lt;="&amp;$Z$3)+SUMIFS(SIP[Unit],SIP[Investor ID],TAX_CERTIFICATE[[#This Row],[INVESTOR CODE]],SIP[Date Value],"&lt;="&amp;$Z$3)</f>
        <v>100146</v>
      </c>
      <c r="G8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1001129.75</v>
      </c>
      <c r="H88" s="6">
        <f>TAX_CERTIFICATE[[#This Row],[ENDING PERIOD UNITS]]*$AA$3</f>
        <v>995851.82400000014</v>
      </c>
      <c r="I88" s="6">
        <f>TAX_CERTIFICATE[[#This Row],[ENDING PERIOD MARKET VALUE]]-TAX_CERTIFICATE[[#This Row],[ENDING PERIOD COST VALUE]]</f>
        <v>-5277.9259999998612</v>
      </c>
      <c r="J8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2236</v>
      </c>
      <c r="K8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22029.75</v>
      </c>
      <c r="L8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102090</v>
      </c>
      <c r="M8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1020900</v>
      </c>
      <c r="N88" s="6">
        <f>TAX_CERTIFICATE[[#This Row],[TOTAL ADDITION AT COST DURING THE PERIOD]]-TAX_CERTIFICATE[[#This Row],[TOTAL REDEMPTION AT COST DURING THE PERIOD]]</f>
        <v>-998870.25</v>
      </c>
      <c r="O8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29100.00000000004</v>
      </c>
      <c r="P88" s="6"/>
      <c r="Q88" s="6"/>
      <c r="R88" s="6"/>
    </row>
    <row r="89" spans="1:18">
      <c r="A89" t="s">
        <v>97</v>
      </c>
      <c r="B8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8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89" s="6">
        <f>TAX_CERTIFICATE[[#This Row],[BEGINNING PERIOD UNITS]]*$AA$2</f>
        <v>0</v>
      </c>
      <c r="E89" s="6">
        <f>TAX_CERTIFICATE[[#This Row],[BEGINNING PERIOD MARKET VALUE]]-TAX_CERTIFICATE[[#This Row],[BEGINNING PERIOD COST VALUE]]</f>
        <v>0</v>
      </c>
      <c r="F8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8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89" s="6">
        <f>TAX_CERTIFICATE[[#This Row],[ENDING PERIOD UNITS]]*$AA$3</f>
        <v>0</v>
      </c>
      <c r="I89" s="6">
        <f>TAX_CERTIFICATE[[#This Row],[ENDING PERIOD MARKET VALUE]]-TAX_CERTIFICATE[[#This Row],[ENDING PERIOD COST VALUE]]</f>
        <v>0</v>
      </c>
      <c r="J8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8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8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8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89" s="6">
        <f>TAX_CERTIFICATE[[#This Row],[TOTAL ADDITION AT COST DURING THE PERIOD]]-TAX_CERTIFICATE[[#This Row],[TOTAL REDEMPTION AT COST DURING THE PERIOD]]</f>
        <v>0</v>
      </c>
      <c r="O8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89" s="6"/>
      <c r="Q89" s="6"/>
      <c r="R89" s="6"/>
    </row>
    <row r="90" spans="1:18">
      <c r="A90" t="s">
        <v>98</v>
      </c>
      <c r="B9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9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90" s="6">
        <f>TAX_CERTIFICATE[[#This Row],[BEGINNING PERIOD UNITS]]*$AA$2</f>
        <v>0</v>
      </c>
      <c r="E90" s="6">
        <f>TAX_CERTIFICATE[[#This Row],[BEGINNING PERIOD MARKET VALUE]]-TAX_CERTIFICATE[[#This Row],[BEGINNING PERIOD COST VALUE]]</f>
        <v>0</v>
      </c>
      <c r="F9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9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90" s="6">
        <f>TAX_CERTIFICATE[[#This Row],[ENDING PERIOD UNITS]]*$AA$3</f>
        <v>0</v>
      </c>
      <c r="I90" s="6">
        <f>TAX_CERTIFICATE[[#This Row],[ENDING PERIOD MARKET VALUE]]-TAX_CERTIFICATE[[#This Row],[ENDING PERIOD COST VALUE]]</f>
        <v>0</v>
      </c>
      <c r="J9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9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9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9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90" s="6">
        <f>TAX_CERTIFICATE[[#This Row],[TOTAL ADDITION AT COST DURING THE PERIOD]]-TAX_CERTIFICATE[[#This Row],[TOTAL REDEMPTION AT COST DURING THE PERIOD]]</f>
        <v>0</v>
      </c>
      <c r="O9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90" s="6"/>
      <c r="Q90" s="6"/>
      <c r="R90" s="6"/>
    </row>
    <row r="91" spans="1:18">
      <c r="A91" t="s">
        <v>100</v>
      </c>
      <c r="B9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9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-7322.9400000000023</v>
      </c>
      <c r="D91" s="6">
        <f>TAX_CERTIFICATE[[#This Row],[BEGINNING PERIOD UNITS]]*$AA$2</f>
        <v>0</v>
      </c>
      <c r="E91" s="6">
        <f>TAX_CERTIFICATE[[#This Row],[BEGINNING PERIOD MARKET VALUE]]-TAX_CERTIFICATE[[#This Row],[BEGINNING PERIOD COST VALUE]]</f>
        <v>7322.9400000000023</v>
      </c>
      <c r="F9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9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-7322.9400000000023</v>
      </c>
      <c r="H91" s="6">
        <f>TAX_CERTIFICATE[[#This Row],[ENDING PERIOD UNITS]]*$AA$3</f>
        <v>0</v>
      </c>
      <c r="I91" s="6">
        <f>TAX_CERTIFICATE[[#This Row],[ENDING PERIOD MARKET VALUE]]-TAX_CERTIFICATE[[#This Row],[ENDING PERIOD COST VALUE]]</f>
        <v>7322.9400000000023</v>
      </c>
      <c r="J9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9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9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9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91" s="6">
        <f>TAX_CERTIFICATE[[#This Row],[TOTAL ADDITION AT COST DURING THE PERIOD]]-TAX_CERTIFICATE[[#This Row],[TOTAL REDEMPTION AT COST DURING THE PERIOD]]</f>
        <v>0</v>
      </c>
      <c r="O9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91" s="6"/>
      <c r="Q91" s="6"/>
      <c r="R91" s="6"/>
    </row>
    <row r="92" spans="1:18">
      <c r="A92" t="s">
        <v>102</v>
      </c>
      <c r="B9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9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92" s="6">
        <f>TAX_CERTIFICATE[[#This Row],[BEGINNING PERIOD UNITS]]*$AA$2</f>
        <v>0</v>
      </c>
      <c r="E92" s="6">
        <f>TAX_CERTIFICATE[[#This Row],[BEGINNING PERIOD MARKET VALUE]]-TAX_CERTIFICATE[[#This Row],[BEGINNING PERIOD COST VALUE]]</f>
        <v>0</v>
      </c>
      <c r="F9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9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92" s="6">
        <f>TAX_CERTIFICATE[[#This Row],[ENDING PERIOD UNITS]]*$AA$3</f>
        <v>0</v>
      </c>
      <c r="I92" s="6">
        <f>TAX_CERTIFICATE[[#This Row],[ENDING PERIOD MARKET VALUE]]-TAX_CERTIFICATE[[#This Row],[ENDING PERIOD COST VALUE]]</f>
        <v>0</v>
      </c>
      <c r="J9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9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9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9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92" s="6">
        <f>TAX_CERTIFICATE[[#This Row],[TOTAL ADDITION AT COST DURING THE PERIOD]]-TAX_CERTIFICATE[[#This Row],[TOTAL REDEMPTION AT COST DURING THE PERIOD]]</f>
        <v>0</v>
      </c>
      <c r="O9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92" s="6"/>
      <c r="Q92" s="6"/>
      <c r="R92" s="6"/>
    </row>
    <row r="93" spans="1:18">
      <c r="A93" t="s">
        <v>104</v>
      </c>
      <c r="B9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9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93" s="6">
        <f>TAX_CERTIFICATE[[#This Row],[BEGINNING PERIOD UNITS]]*$AA$2</f>
        <v>0</v>
      </c>
      <c r="E93" s="6">
        <f>TAX_CERTIFICATE[[#This Row],[BEGINNING PERIOD MARKET VALUE]]-TAX_CERTIFICATE[[#This Row],[BEGINNING PERIOD COST VALUE]]</f>
        <v>0</v>
      </c>
      <c r="F9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9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93" s="6">
        <f>TAX_CERTIFICATE[[#This Row],[ENDING PERIOD UNITS]]*$AA$3</f>
        <v>0</v>
      </c>
      <c r="I93" s="6">
        <f>TAX_CERTIFICATE[[#This Row],[ENDING PERIOD MARKET VALUE]]-TAX_CERTIFICATE[[#This Row],[ENDING PERIOD COST VALUE]]</f>
        <v>0</v>
      </c>
      <c r="J9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9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9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9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93" s="6">
        <f>TAX_CERTIFICATE[[#This Row],[TOTAL ADDITION AT COST DURING THE PERIOD]]-TAX_CERTIFICATE[[#This Row],[TOTAL REDEMPTION AT COST DURING THE PERIOD]]</f>
        <v>0</v>
      </c>
      <c r="O9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93" s="6"/>
      <c r="Q93" s="6"/>
      <c r="R93" s="6"/>
    </row>
    <row r="94" spans="1:18">
      <c r="A94" t="s">
        <v>106</v>
      </c>
      <c r="B94" s="2">
        <f>SUMIFS(LS[Unit],LS[Investor ID],TAX_CERTIFICATE[[#This Row],[INVESTOR CODE]],LS[Date Value],"&lt;"&amp;$Z$2)+SUMIFS(SIP[Unit],SIP[Investor ID],TAX_CERTIFICATE[[#This Row],[INVESTOR CODE]],SIP[Date Value],"&lt;"&amp;$Z$2)</f>
        <v>300000</v>
      </c>
      <c r="C9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3000000</v>
      </c>
      <c r="D94" s="6">
        <f>TAX_CERTIFICATE[[#This Row],[BEGINNING PERIOD UNITS]]*$AA$2</f>
        <v>2991000</v>
      </c>
      <c r="E94" s="6">
        <f>TAX_CERTIFICATE[[#This Row],[BEGINNING PERIOD MARKET VALUE]]-TAX_CERTIFICATE[[#This Row],[BEGINNING PERIOD COST VALUE]]</f>
        <v>-9000</v>
      </c>
      <c r="F94" s="33">
        <f>SUMIFS(LS[Unit],LS[Investor ID],TAX_CERTIFICATE[[#This Row],[INVESTOR CODE]],LS[Date Value],"&lt;="&amp;$Z$3)+SUMIFS(SIP[Unit],SIP[Investor ID],TAX_CERTIFICATE[[#This Row],[INVESTOR CODE]],SIP[Date Value],"&lt;="&amp;$Z$3)</f>
        <v>306851</v>
      </c>
      <c r="G9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3067500</v>
      </c>
      <c r="H94" s="6">
        <f>TAX_CERTIFICATE[[#This Row],[ENDING PERIOD UNITS]]*$AA$3</f>
        <v>3051326.344</v>
      </c>
      <c r="I94" s="6">
        <f>TAX_CERTIFICATE[[#This Row],[ENDING PERIOD MARKET VALUE]]-TAX_CERTIFICATE[[#This Row],[ENDING PERIOD COST VALUE]]</f>
        <v>-16173.655999999959</v>
      </c>
      <c r="J9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6851</v>
      </c>
      <c r="K9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67500</v>
      </c>
      <c r="L9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9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94" s="6">
        <f>TAX_CERTIFICATE[[#This Row],[TOTAL ADDITION AT COST DURING THE PERIOD]]-TAX_CERTIFICATE[[#This Row],[TOTAL REDEMPTION AT COST DURING THE PERIOD]]</f>
        <v>67500</v>
      </c>
      <c r="O9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94" s="6"/>
      <c r="Q94" s="6"/>
      <c r="R94" s="6"/>
    </row>
    <row r="95" spans="1:18">
      <c r="A95" t="s">
        <v>108</v>
      </c>
      <c r="B9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9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95" s="6">
        <f>TAX_CERTIFICATE[[#This Row],[BEGINNING PERIOD UNITS]]*$AA$2</f>
        <v>0</v>
      </c>
      <c r="E95" s="6">
        <f>TAX_CERTIFICATE[[#This Row],[BEGINNING PERIOD MARKET VALUE]]-TAX_CERTIFICATE[[#This Row],[BEGINNING PERIOD COST VALUE]]</f>
        <v>0</v>
      </c>
      <c r="F9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9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95" s="6">
        <f>TAX_CERTIFICATE[[#This Row],[ENDING PERIOD UNITS]]*$AA$3</f>
        <v>0</v>
      </c>
      <c r="I95" s="6">
        <f>TAX_CERTIFICATE[[#This Row],[ENDING PERIOD MARKET VALUE]]-TAX_CERTIFICATE[[#This Row],[ENDING PERIOD COST VALUE]]</f>
        <v>0</v>
      </c>
      <c r="J9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9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9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9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95" s="6">
        <f>TAX_CERTIFICATE[[#This Row],[TOTAL ADDITION AT COST DURING THE PERIOD]]-TAX_CERTIFICATE[[#This Row],[TOTAL REDEMPTION AT COST DURING THE PERIOD]]</f>
        <v>0</v>
      </c>
      <c r="O9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95" s="6"/>
      <c r="Q95" s="6"/>
      <c r="R95" s="6"/>
    </row>
    <row r="96" spans="1:18">
      <c r="A96" t="s">
        <v>110</v>
      </c>
      <c r="B9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9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96" s="6">
        <f>TAX_CERTIFICATE[[#This Row],[BEGINNING PERIOD UNITS]]*$AA$2</f>
        <v>0</v>
      </c>
      <c r="E96" s="6">
        <f>TAX_CERTIFICATE[[#This Row],[BEGINNING PERIOD MARKET VALUE]]-TAX_CERTIFICATE[[#This Row],[BEGINNING PERIOD COST VALUE]]</f>
        <v>0</v>
      </c>
      <c r="F9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9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96" s="6">
        <f>TAX_CERTIFICATE[[#This Row],[ENDING PERIOD UNITS]]*$AA$3</f>
        <v>0</v>
      </c>
      <c r="I96" s="6">
        <f>TAX_CERTIFICATE[[#This Row],[ENDING PERIOD MARKET VALUE]]-TAX_CERTIFICATE[[#This Row],[ENDING PERIOD COST VALUE]]</f>
        <v>0</v>
      </c>
      <c r="J9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9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9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9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96" s="6">
        <f>TAX_CERTIFICATE[[#This Row],[TOTAL ADDITION AT COST DURING THE PERIOD]]-TAX_CERTIFICATE[[#This Row],[TOTAL REDEMPTION AT COST DURING THE PERIOD]]</f>
        <v>0</v>
      </c>
      <c r="O9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96" s="6"/>
      <c r="Q96" s="6"/>
      <c r="R96" s="6"/>
    </row>
    <row r="97" spans="1:18">
      <c r="A97" t="s">
        <v>111</v>
      </c>
      <c r="B97" s="2">
        <f>SUMIFS(LS[Unit],LS[Investor ID],TAX_CERTIFICATE[[#This Row],[INVESTOR CODE]],LS[Date Value],"&lt;"&amp;$Z$2)+SUMIFS(SIP[Unit],SIP[Investor ID],TAX_CERTIFICATE[[#This Row],[INVESTOR CODE]],SIP[Date Value],"&lt;"&amp;$Z$2)</f>
        <v>100705</v>
      </c>
      <c r="C9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97" s="6">
        <f>TAX_CERTIFICATE[[#This Row],[BEGINNING PERIOD UNITS]]*$AA$2</f>
        <v>1004028.8500000001</v>
      </c>
      <c r="E97" s="6">
        <f>TAX_CERTIFICATE[[#This Row],[BEGINNING PERIOD MARKET VALUE]]-TAX_CERTIFICATE[[#This Row],[BEGINNING PERIOD COST VALUE]]</f>
        <v>4028.8500000000931</v>
      </c>
      <c r="F9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9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-1.1641532182693481E-10</v>
      </c>
      <c r="H97" s="6">
        <f>TAX_CERTIFICATE[[#This Row],[ENDING PERIOD UNITS]]*$AA$3</f>
        <v>0</v>
      </c>
      <c r="I97" s="6">
        <f>TAX_CERTIFICATE[[#This Row],[ENDING PERIOD MARKET VALUE]]-TAX_CERTIFICATE[[#This Row],[ENDING PERIOD COST VALUE]]</f>
        <v>1.1641532182693481E-10</v>
      </c>
      <c r="J9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2172</v>
      </c>
      <c r="K9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21399.81</v>
      </c>
      <c r="L9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102877</v>
      </c>
      <c r="M9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1021399.8100000002</v>
      </c>
      <c r="N97" s="6">
        <f>TAX_CERTIFICATE[[#This Row],[TOTAL ADDITION AT COST DURING THE PERIOD]]-TAX_CERTIFICATE[[#This Row],[TOTAL REDEMPTION AT COST DURING THE PERIOD]]</f>
        <v>-1000000.0000000001</v>
      </c>
      <c r="O9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5312.649999999916</v>
      </c>
      <c r="P97" s="6"/>
      <c r="Q97" s="6"/>
      <c r="R97" s="6"/>
    </row>
    <row r="98" spans="1:18">
      <c r="A98" t="s">
        <v>112</v>
      </c>
      <c r="B9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9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98" s="6">
        <f>TAX_CERTIFICATE[[#This Row],[BEGINNING PERIOD UNITS]]*$AA$2</f>
        <v>0</v>
      </c>
      <c r="E98" s="6">
        <f>TAX_CERTIFICATE[[#This Row],[BEGINNING PERIOD MARKET VALUE]]-TAX_CERTIFICATE[[#This Row],[BEGINNING PERIOD COST VALUE]]</f>
        <v>0</v>
      </c>
      <c r="F9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9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98" s="6">
        <f>TAX_CERTIFICATE[[#This Row],[ENDING PERIOD UNITS]]*$AA$3</f>
        <v>0</v>
      </c>
      <c r="I98" s="6">
        <f>TAX_CERTIFICATE[[#This Row],[ENDING PERIOD MARKET VALUE]]-TAX_CERTIFICATE[[#This Row],[ENDING PERIOD COST VALUE]]</f>
        <v>0</v>
      </c>
      <c r="J9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9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9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9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98" s="6">
        <f>TAX_CERTIFICATE[[#This Row],[TOTAL ADDITION AT COST DURING THE PERIOD]]-TAX_CERTIFICATE[[#This Row],[TOTAL REDEMPTION AT COST DURING THE PERIOD]]</f>
        <v>0</v>
      </c>
      <c r="O9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98" s="6"/>
      <c r="Q98" s="6"/>
      <c r="R98" s="6"/>
    </row>
    <row r="99" spans="1:18">
      <c r="A99" t="s">
        <v>114</v>
      </c>
      <c r="B9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9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99" s="6">
        <f>TAX_CERTIFICATE[[#This Row],[BEGINNING PERIOD UNITS]]*$AA$2</f>
        <v>0</v>
      </c>
      <c r="E99" s="6">
        <f>TAX_CERTIFICATE[[#This Row],[BEGINNING PERIOD MARKET VALUE]]-TAX_CERTIFICATE[[#This Row],[BEGINNING PERIOD COST VALUE]]</f>
        <v>0</v>
      </c>
      <c r="F9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9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99" s="6">
        <f>TAX_CERTIFICATE[[#This Row],[ENDING PERIOD UNITS]]*$AA$3</f>
        <v>0</v>
      </c>
      <c r="I99" s="6">
        <f>TAX_CERTIFICATE[[#This Row],[ENDING PERIOD MARKET VALUE]]-TAX_CERTIFICATE[[#This Row],[ENDING PERIOD COST VALUE]]</f>
        <v>0</v>
      </c>
      <c r="J9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9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9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9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99" s="6">
        <f>TAX_CERTIFICATE[[#This Row],[TOTAL ADDITION AT COST DURING THE PERIOD]]-TAX_CERTIFICATE[[#This Row],[TOTAL REDEMPTION AT COST DURING THE PERIOD]]</f>
        <v>0</v>
      </c>
      <c r="O9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99" s="6"/>
      <c r="Q99" s="6"/>
      <c r="R99" s="6"/>
    </row>
    <row r="100" spans="1:18">
      <c r="A100" t="s">
        <v>116</v>
      </c>
      <c r="B10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0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00" s="6">
        <f>TAX_CERTIFICATE[[#This Row],[BEGINNING PERIOD UNITS]]*$AA$2</f>
        <v>0</v>
      </c>
      <c r="E100" s="6">
        <f>TAX_CERTIFICATE[[#This Row],[BEGINNING PERIOD MARKET VALUE]]-TAX_CERTIFICATE[[#This Row],[BEGINNING PERIOD COST VALUE]]</f>
        <v>0</v>
      </c>
      <c r="F10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0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00" s="6">
        <f>TAX_CERTIFICATE[[#This Row],[ENDING PERIOD UNITS]]*$AA$3</f>
        <v>0</v>
      </c>
      <c r="I100" s="6">
        <f>TAX_CERTIFICATE[[#This Row],[ENDING PERIOD MARKET VALUE]]-TAX_CERTIFICATE[[#This Row],[ENDING PERIOD COST VALUE]]</f>
        <v>0</v>
      </c>
      <c r="J10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0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0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0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00" s="6">
        <f>TAX_CERTIFICATE[[#This Row],[TOTAL ADDITION AT COST DURING THE PERIOD]]-TAX_CERTIFICATE[[#This Row],[TOTAL REDEMPTION AT COST DURING THE PERIOD]]</f>
        <v>0</v>
      </c>
      <c r="O10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00" s="6"/>
      <c r="Q100" s="6"/>
      <c r="R100" s="6"/>
    </row>
    <row r="101" spans="1:18">
      <c r="A101" t="s">
        <v>118</v>
      </c>
      <c r="B10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0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01" s="6">
        <f>TAX_CERTIFICATE[[#This Row],[BEGINNING PERIOD UNITS]]*$AA$2</f>
        <v>0</v>
      </c>
      <c r="E101" s="6">
        <f>TAX_CERTIFICATE[[#This Row],[BEGINNING PERIOD MARKET VALUE]]-TAX_CERTIFICATE[[#This Row],[BEGINNING PERIOD COST VALUE]]</f>
        <v>0</v>
      </c>
      <c r="F10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0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01" s="6">
        <f>TAX_CERTIFICATE[[#This Row],[ENDING PERIOD UNITS]]*$AA$3</f>
        <v>0</v>
      </c>
      <c r="I101" s="6">
        <f>TAX_CERTIFICATE[[#This Row],[ENDING PERIOD MARKET VALUE]]-TAX_CERTIFICATE[[#This Row],[ENDING PERIOD COST VALUE]]</f>
        <v>0</v>
      </c>
      <c r="J10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0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0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0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01" s="6">
        <f>TAX_CERTIFICATE[[#This Row],[TOTAL ADDITION AT COST DURING THE PERIOD]]-TAX_CERTIFICATE[[#This Row],[TOTAL REDEMPTION AT COST DURING THE PERIOD]]</f>
        <v>0</v>
      </c>
      <c r="O10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01" s="6"/>
      <c r="Q101" s="6"/>
      <c r="R101" s="6"/>
    </row>
    <row r="102" spans="1:18">
      <c r="A102" t="s">
        <v>120</v>
      </c>
      <c r="B10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0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02" s="6">
        <f>TAX_CERTIFICATE[[#This Row],[BEGINNING PERIOD UNITS]]*$AA$2</f>
        <v>0</v>
      </c>
      <c r="E102" s="6">
        <f>TAX_CERTIFICATE[[#This Row],[BEGINNING PERIOD MARKET VALUE]]-TAX_CERTIFICATE[[#This Row],[BEGINNING PERIOD COST VALUE]]</f>
        <v>0</v>
      </c>
      <c r="F10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0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02" s="6">
        <f>TAX_CERTIFICATE[[#This Row],[ENDING PERIOD UNITS]]*$AA$3</f>
        <v>0</v>
      </c>
      <c r="I102" s="6">
        <f>TAX_CERTIFICATE[[#This Row],[ENDING PERIOD MARKET VALUE]]-TAX_CERTIFICATE[[#This Row],[ENDING PERIOD COST VALUE]]</f>
        <v>0</v>
      </c>
      <c r="J10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0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0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0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02" s="6">
        <f>TAX_CERTIFICATE[[#This Row],[TOTAL ADDITION AT COST DURING THE PERIOD]]-TAX_CERTIFICATE[[#This Row],[TOTAL REDEMPTION AT COST DURING THE PERIOD]]</f>
        <v>0</v>
      </c>
      <c r="O10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02" s="6"/>
      <c r="Q102" s="6"/>
      <c r="R102" s="6"/>
    </row>
    <row r="103" spans="1:18">
      <c r="A103" t="s">
        <v>122</v>
      </c>
      <c r="B10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0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03" s="6">
        <f>TAX_CERTIFICATE[[#This Row],[BEGINNING PERIOD UNITS]]*$AA$2</f>
        <v>0</v>
      </c>
      <c r="E103" s="6">
        <f>TAX_CERTIFICATE[[#This Row],[BEGINNING PERIOD MARKET VALUE]]-TAX_CERTIFICATE[[#This Row],[BEGINNING PERIOD COST VALUE]]</f>
        <v>0</v>
      </c>
      <c r="F10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0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03" s="6">
        <f>TAX_CERTIFICATE[[#This Row],[ENDING PERIOD UNITS]]*$AA$3</f>
        <v>0</v>
      </c>
      <c r="I103" s="6">
        <f>TAX_CERTIFICATE[[#This Row],[ENDING PERIOD MARKET VALUE]]-TAX_CERTIFICATE[[#This Row],[ENDING PERIOD COST VALUE]]</f>
        <v>0</v>
      </c>
      <c r="J10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0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0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0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03" s="6">
        <f>TAX_CERTIFICATE[[#This Row],[TOTAL ADDITION AT COST DURING THE PERIOD]]-TAX_CERTIFICATE[[#This Row],[TOTAL REDEMPTION AT COST DURING THE PERIOD]]</f>
        <v>0</v>
      </c>
      <c r="O10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03" s="6"/>
      <c r="Q103" s="6"/>
      <c r="R103" s="6"/>
    </row>
    <row r="104" spans="1:18">
      <c r="A104" t="s">
        <v>124</v>
      </c>
      <c r="B10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0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04" s="6">
        <f>TAX_CERTIFICATE[[#This Row],[BEGINNING PERIOD UNITS]]*$AA$2</f>
        <v>0</v>
      </c>
      <c r="E104" s="6">
        <f>TAX_CERTIFICATE[[#This Row],[BEGINNING PERIOD MARKET VALUE]]-TAX_CERTIFICATE[[#This Row],[BEGINNING PERIOD COST VALUE]]</f>
        <v>0</v>
      </c>
      <c r="F10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0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04" s="6">
        <f>TAX_CERTIFICATE[[#This Row],[ENDING PERIOD UNITS]]*$AA$3</f>
        <v>0</v>
      </c>
      <c r="I104" s="6">
        <f>TAX_CERTIFICATE[[#This Row],[ENDING PERIOD MARKET VALUE]]-TAX_CERTIFICATE[[#This Row],[ENDING PERIOD COST VALUE]]</f>
        <v>0</v>
      </c>
      <c r="J10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0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0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0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04" s="6">
        <f>TAX_CERTIFICATE[[#This Row],[TOTAL ADDITION AT COST DURING THE PERIOD]]-TAX_CERTIFICATE[[#This Row],[TOTAL REDEMPTION AT COST DURING THE PERIOD]]</f>
        <v>0</v>
      </c>
      <c r="O10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04" s="6"/>
      <c r="Q104" s="6"/>
      <c r="R104" s="6"/>
    </row>
    <row r="105" spans="1:18">
      <c r="A105" t="s">
        <v>126</v>
      </c>
      <c r="B10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0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05" s="6">
        <f>TAX_CERTIFICATE[[#This Row],[BEGINNING PERIOD UNITS]]*$AA$2</f>
        <v>0</v>
      </c>
      <c r="E105" s="6">
        <f>TAX_CERTIFICATE[[#This Row],[BEGINNING PERIOD MARKET VALUE]]-TAX_CERTIFICATE[[#This Row],[BEGINNING PERIOD COST VALUE]]</f>
        <v>0</v>
      </c>
      <c r="F10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0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05" s="6">
        <f>TAX_CERTIFICATE[[#This Row],[ENDING PERIOD UNITS]]*$AA$3</f>
        <v>0</v>
      </c>
      <c r="I105" s="6">
        <f>TAX_CERTIFICATE[[#This Row],[ENDING PERIOD MARKET VALUE]]-TAX_CERTIFICATE[[#This Row],[ENDING PERIOD COST VALUE]]</f>
        <v>0</v>
      </c>
      <c r="J10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0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0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0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05" s="6">
        <f>TAX_CERTIFICATE[[#This Row],[TOTAL ADDITION AT COST DURING THE PERIOD]]-TAX_CERTIFICATE[[#This Row],[TOTAL REDEMPTION AT COST DURING THE PERIOD]]</f>
        <v>0</v>
      </c>
      <c r="O10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05" s="6"/>
      <c r="Q105" s="6"/>
      <c r="R105" s="6"/>
    </row>
    <row r="106" spans="1:18">
      <c r="A106" t="s">
        <v>128</v>
      </c>
      <c r="B10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0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06" s="6">
        <f>TAX_CERTIFICATE[[#This Row],[BEGINNING PERIOD UNITS]]*$AA$2</f>
        <v>0</v>
      </c>
      <c r="E106" s="6">
        <f>TAX_CERTIFICATE[[#This Row],[BEGINNING PERIOD MARKET VALUE]]-TAX_CERTIFICATE[[#This Row],[BEGINNING PERIOD COST VALUE]]</f>
        <v>0</v>
      </c>
      <c r="F10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0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06" s="6">
        <f>TAX_CERTIFICATE[[#This Row],[ENDING PERIOD UNITS]]*$AA$3</f>
        <v>0</v>
      </c>
      <c r="I106" s="6">
        <f>TAX_CERTIFICATE[[#This Row],[ENDING PERIOD MARKET VALUE]]-TAX_CERTIFICATE[[#This Row],[ENDING PERIOD COST VALUE]]</f>
        <v>0</v>
      </c>
      <c r="J10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0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0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0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06" s="6">
        <f>TAX_CERTIFICATE[[#This Row],[TOTAL ADDITION AT COST DURING THE PERIOD]]-TAX_CERTIFICATE[[#This Row],[TOTAL REDEMPTION AT COST DURING THE PERIOD]]</f>
        <v>0</v>
      </c>
      <c r="O10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06" s="6"/>
      <c r="Q106" s="6"/>
      <c r="R106" s="6"/>
    </row>
    <row r="107" spans="1:18">
      <c r="A107" t="s">
        <v>130</v>
      </c>
      <c r="B10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0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07" s="6">
        <f>TAX_CERTIFICATE[[#This Row],[BEGINNING PERIOD UNITS]]*$AA$2</f>
        <v>0</v>
      </c>
      <c r="E107" s="6">
        <f>TAX_CERTIFICATE[[#This Row],[BEGINNING PERIOD MARKET VALUE]]-TAX_CERTIFICATE[[#This Row],[BEGINNING PERIOD COST VALUE]]</f>
        <v>0</v>
      </c>
      <c r="F10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0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07" s="6">
        <f>TAX_CERTIFICATE[[#This Row],[ENDING PERIOD UNITS]]*$AA$3</f>
        <v>0</v>
      </c>
      <c r="I107" s="6">
        <f>TAX_CERTIFICATE[[#This Row],[ENDING PERIOD MARKET VALUE]]-TAX_CERTIFICATE[[#This Row],[ENDING PERIOD COST VALUE]]</f>
        <v>0</v>
      </c>
      <c r="J10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0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0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0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07" s="6">
        <f>TAX_CERTIFICATE[[#This Row],[TOTAL ADDITION AT COST DURING THE PERIOD]]-TAX_CERTIFICATE[[#This Row],[TOTAL REDEMPTION AT COST DURING THE PERIOD]]</f>
        <v>0</v>
      </c>
      <c r="O10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07" s="6"/>
      <c r="Q107" s="6"/>
      <c r="R107" s="6"/>
    </row>
    <row r="108" spans="1:18">
      <c r="A108" t="s">
        <v>132</v>
      </c>
      <c r="B10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0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08" s="6">
        <f>TAX_CERTIFICATE[[#This Row],[BEGINNING PERIOD UNITS]]*$AA$2</f>
        <v>0</v>
      </c>
      <c r="E108" s="6">
        <f>TAX_CERTIFICATE[[#This Row],[BEGINNING PERIOD MARKET VALUE]]-TAX_CERTIFICATE[[#This Row],[BEGINNING PERIOD COST VALUE]]</f>
        <v>0</v>
      </c>
      <c r="F10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0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08" s="6">
        <f>TAX_CERTIFICATE[[#This Row],[ENDING PERIOD UNITS]]*$AA$3</f>
        <v>0</v>
      </c>
      <c r="I108" s="6">
        <f>TAX_CERTIFICATE[[#This Row],[ENDING PERIOD MARKET VALUE]]-TAX_CERTIFICATE[[#This Row],[ENDING PERIOD COST VALUE]]</f>
        <v>0</v>
      </c>
      <c r="J10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0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0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0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08" s="6">
        <f>TAX_CERTIFICATE[[#This Row],[TOTAL ADDITION AT COST DURING THE PERIOD]]-TAX_CERTIFICATE[[#This Row],[TOTAL REDEMPTION AT COST DURING THE PERIOD]]</f>
        <v>0</v>
      </c>
      <c r="O10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08" s="6"/>
      <c r="Q108" s="6"/>
      <c r="R108" s="6"/>
    </row>
    <row r="109" spans="1:18">
      <c r="A109" t="s">
        <v>134</v>
      </c>
      <c r="B10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0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09" s="6">
        <f>TAX_CERTIFICATE[[#This Row],[BEGINNING PERIOD UNITS]]*$AA$2</f>
        <v>0</v>
      </c>
      <c r="E109" s="6">
        <f>TAX_CERTIFICATE[[#This Row],[BEGINNING PERIOD MARKET VALUE]]-TAX_CERTIFICATE[[#This Row],[BEGINNING PERIOD COST VALUE]]</f>
        <v>0</v>
      </c>
      <c r="F10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0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09" s="6">
        <f>TAX_CERTIFICATE[[#This Row],[ENDING PERIOD UNITS]]*$AA$3</f>
        <v>0</v>
      </c>
      <c r="I109" s="6">
        <f>TAX_CERTIFICATE[[#This Row],[ENDING PERIOD MARKET VALUE]]-TAX_CERTIFICATE[[#This Row],[ENDING PERIOD COST VALUE]]</f>
        <v>0</v>
      </c>
      <c r="J10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0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0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0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09" s="6">
        <f>TAX_CERTIFICATE[[#This Row],[TOTAL ADDITION AT COST DURING THE PERIOD]]-TAX_CERTIFICATE[[#This Row],[TOTAL REDEMPTION AT COST DURING THE PERIOD]]</f>
        <v>0</v>
      </c>
      <c r="O10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09" s="6"/>
      <c r="Q109" s="6"/>
      <c r="R109" s="6"/>
    </row>
    <row r="110" spans="1:18">
      <c r="A110" t="s">
        <v>136</v>
      </c>
      <c r="B11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1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10" s="6">
        <f>TAX_CERTIFICATE[[#This Row],[BEGINNING PERIOD UNITS]]*$AA$2</f>
        <v>0</v>
      </c>
      <c r="E110" s="6">
        <f>TAX_CERTIFICATE[[#This Row],[BEGINNING PERIOD MARKET VALUE]]-TAX_CERTIFICATE[[#This Row],[BEGINNING PERIOD COST VALUE]]</f>
        <v>0</v>
      </c>
      <c r="F11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1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10" s="6">
        <f>TAX_CERTIFICATE[[#This Row],[ENDING PERIOD UNITS]]*$AA$3</f>
        <v>0</v>
      </c>
      <c r="I110" s="6">
        <f>TAX_CERTIFICATE[[#This Row],[ENDING PERIOD MARKET VALUE]]-TAX_CERTIFICATE[[#This Row],[ENDING PERIOD COST VALUE]]</f>
        <v>0</v>
      </c>
      <c r="J11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1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1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1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10" s="6">
        <f>TAX_CERTIFICATE[[#This Row],[TOTAL ADDITION AT COST DURING THE PERIOD]]-TAX_CERTIFICATE[[#This Row],[TOTAL REDEMPTION AT COST DURING THE PERIOD]]</f>
        <v>0</v>
      </c>
      <c r="O11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10" s="6"/>
      <c r="Q110" s="6"/>
      <c r="R110" s="6"/>
    </row>
    <row r="111" spans="1:18">
      <c r="A111" t="s">
        <v>138</v>
      </c>
      <c r="B11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1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11" s="6">
        <f>TAX_CERTIFICATE[[#This Row],[BEGINNING PERIOD UNITS]]*$AA$2</f>
        <v>0</v>
      </c>
      <c r="E111" s="6">
        <f>TAX_CERTIFICATE[[#This Row],[BEGINNING PERIOD MARKET VALUE]]-TAX_CERTIFICATE[[#This Row],[BEGINNING PERIOD COST VALUE]]</f>
        <v>0</v>
      </c>
      <c r="F11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1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11" s="6">
        <f>TAX_CERTIFICATE[[#This Row],[ENDING PERIOD UNITS]]*$AA$3</f>
        <v>0</v>
      </c>
      <c r="I111" s="6">
        <f>TAX_CERTIFICATE[[#This Row],[ENDING PERIOD MARKET VALUE]]-TAX_CERTIFICATE[[#This Row],[ENDING PERIOD COST VALUE]]</f>
        <v>0</v>
      </c>
      <c r="J11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1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1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1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11" s="6">
        <f>TAX_CERTIFICATE[[#This Row],[TOTAL ADDITION AT COST DURING THE PERIOD]]-TAX_CERTIFICATE[[#This Row],[TOTAL REDEMPTION AT COST DURING THE PERIOD]]</f>
        <v>0</v>
      </c>
      <c r="O11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11" s="6"/>
      <c r="Q111" s="6"/>
      <c r="R111" s="6"/>
    </row>
    <row r="112" spans="1:18">
      <c r="A112" t="s">
        <v>140</v>
      </c>
      <c r="B11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1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12" s="6">
        <f>TAX_CERTIFICATE[[#This Row],[BEGINNING PERIOD UNITS]]*$AA$2</f>
        <v>0</v>
      </c>
      <c r="E112" s="6">
        <f>TAX_CERTIFICATE[[#This Row],[BEGINNING PERIOD MARKET VALUE]]-TAX_CERTIFICATE[[#This Row],[BEGINNING PERIOD COST VALUE]]</f>
        <v>0</v>
      </c>
      <c r="F11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1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12" s="6">
        <f>TAX_CERTIFICATE[[#This Row],[ENDING PERIOD UNITS]]*$AA$3</f>
        <v>0</v>
      </c>
      <c r="I112" s="6">
        <f>TAX_CERTIFICATE[[#This Row],[ENDING PERIOD MARKET VALUE]]-TAX_CERTIFICATE[[#This Row],[ENDING PERIOD COST VALUE]]</f>
        <v>0</v>
      </c>
      <c r="J11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1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1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1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12" s="6">
        <f>TAX_CERTIFICATE[[#This Row],[TOTAL ADDITION AT COST DURING THE PERIOD]]-TAX_CERTIFICATE[[#This Row],[TOTAL REDEMPTION AT COST DURING THE PERIOD]]</f>
        <v>0</v>
      </c>
      <c r="O11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12" s="6"/>
      <c r="Q112" s="6"/>
      <c r="R112" s="6"/>
    </row>
    <row r="113" spans="1:18">
      <c r="A113" t="s">
        <v>142</v>
      </c>
      <c r="B113" s="2">
        <f>SUMIFS(LS[Unit],LS[Investor ID],TAX_CERTIFICATE[[#This Row],[INVESTOR CODE]],LS[Date Value],"&lt;"&amp;$Z$2)+SUMIFS(SIP[Unit],SIP[Investor ID],TAX_CERTIFICATE[[#This Row],[INVESTOR CODE]],SIP[Date Value],"&lt;"&amp;$Z$2)</f>
        <v>20000</v>
      </c>
      <c r="C11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200000</v>
      </c>
      <c r="D113" s="6">
        <f>TAX_CERTIFICATE[[#This Row],[BEGINNING PERIOD UNITS]]*$AA$2</f>
        <v>199400</v>
      </c>
      <c r="E113" s="6">
        <f>TAX_CERTIFICATE[[#This Row],[BEGINNING PERIOD MARKET VALUE]]-TAX_CERTIFICATE[[#This Row],[BEGINNING PERIOD COST VALUE]]</f>
        <v>-600</v>
      </c>
      <c r="F113" s="33">
        <f>SUMIFS(LS[Unit],LS[Investor ID],TAX_CERTIFICATE[[#This Row],[INVESTOR CODE]],LS[Date Value],"&lt;="&amp;$Z$3)+SUMIFS(SIP[Unit],SIP[Investor ID],TAX_CERTIFICATE[[#This Row],[INVESTOR CODE]],SIP[Date Value],"&lt;="&amp;$Z$3)</f>
        <v>20431</v>
      </c>
      <c r="G11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204250</v>
      </c>
      <c r="H113" s="6">
        <f>TAX_CERTIFICATE[[#This Row],[ENDING PERIOD UNITS]]*$AA$3</f>
        <v>203165.86400000003</v>
      </c>
      <c r="I113" s="6">
        <f>TAX_CERTIFICATE[[#This Row],[ENDING PERIOD MARKET VALUE]]-TAX_CERTIFICATE[[#This Row],[ENDING PERIOD COST VALUE]]</f>
        <v>-1084.1359999999695</v>
      </c>
      <c r="J11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431</v>
      </c>
      <c r="K11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4250</v>
      </c>
      <c r="L11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1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13" s="6">
        <f>TAX_CERTIFICATE[[#This Row],[TOTAL ADDITION AT COST DURING THE PERIOD]]-TAX_CERTIFICATE[[#This Row],[TOTAL REDEMPTION AT COST DURING THE PERIOD]]</f>
        <v>4250</v>
      </c>
      <c r="O11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13" s="6"/>
      <c r="Q113" s="6"/>
      <c r="R113" s="6"/>
    </row>
    <row r="114" spans="1:18">
      <c r="A114" t="s">
        <v>144</v>
      </c>
      <c r="B11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1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14" s="6">
        <f>TAX_CERTIFICATE[[#This Row],[BEGINNING PERIOD UNITS]]*$AA$2</f>
        <v>0</v>
      </c>
      <c r="E114" s="6">
        <f>TAX_CERTIFICATE[[#This Row],[BEGINNING PERIOD MARKET VALUE]]-TAX_CERTIFICATE[[#This Row],[BEGINNING PERIOD COST VALUE]]</f>
        <v>0</v>
      </c>
      <c r="F11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1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14" s="6">
        <f>TAX_CERTIFICATE[[#This Row],[ENDING PERIOD UNITS]]*$AA$3</f>
        <v>0</v>
      </c>
      <c r="I114" s="6">
        <f>TAX_CERTIFICATE[[#This Row],[ENDING PERIOD MARKET VALUE]]-TAX_CERTIFICATE[[#This Row],[ENDING PERIOD COST VALUE]]</f>
        <v>0</v>
      </c>
      <c r="J11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1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1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1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14" s="6">
        <f>TAX_CERTIFICATE[[#This Row],[TOTAL ADDITION AT COST DURING THE PERIOD]]-TAX_CERTIFICATE[[#This Row],[TOTAL REDEMPTION AT COST DURING THE PERIOD]]</f>
        <v>0</v>
      </c>
      <c r="O11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14" s="6"/>
      <c r="Q114" s="6"/>
      <c r="R114" s="6"/>
    </row>
    <row r="115" spans="1:18">
      <c r="A115" t="s">
        <v>145</v>
      </c>
      <c r="B115" s="2">
        <f>SUMIFS(LS[Unit],LS[Investor ID],TAX_CERTIFICATE[[#This Row],[INVESTOR CODE]],LS[Date Value],"&lt;"&amp;$Z$2)+SUMIFS(SIP[Unit],SIP[Investor ID],TAX_CERTIFICATE[[#This Row],[INVESTOR CODE]],SIP[Date Value],"&lt;"&amp;$Z$2)</f>
        <v>10030</v>
      </c>
      <c r="C11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</v>
      </c>
      <c r="D115" s="6">
        <f>TAX_CERTIFICATE[[#This Row],[BEGINNING PERIOD UNITS]]*$AA$2</f>
        <v>99999.1</v>
      </c>
      <c r="E115" s="6">
        <f>TAX_CERTIFICATE[[#This Row],[BEGINNING PERIOD MARKET VALUE]]-TAX_CERTIFICATE[[#This Row],[BEGINNING PERIOD COST VALUE]]</f>
        <v>-0.89999999999417923</v>
      </c>
      <c r="F115" s="33">
        <f>SUMIFS(LS[Unit],LS[Investor ID],TAX_CERTIFICATE[[#This Row],[INVESTOR CODE]],LS[Date Value],"&lt;="&amp;$Z$3)+SUMIFS(SIP[Unit],SIP[Investor ID],TAX_CERTIFICATE[[#This Row],[INVESTOR CODE]],SIP[Date Value],"&lt;="&amp;$Z$3)</f>
        <v>10259</v>
      </c>
      <c r="G11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102256.75</v>
      </c>
      <c r="H115" s="6">
        <f>TAX_CERTIFICATE[[#This Row],[ENDING PERIOD UNITS]]*$AA$3</f>
        <v>102015.49600000001</v>
      </c>
      <c r="I115" s="6">
        <f>TAX_CERTIFICATE[[#This Row],[ENDING PERIOD MARKET VALUE]]-TAX_CERTIFICATE[[#This Row],[ENDING PERIOD COST VALUE]]</f>
        <v>-241.25399999998626</v>
      </c>
      <c r="J11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229</v>
      </c>
      <c r="K11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2256.75</v>
      </c>
      <c r="L11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1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15" s="6">
        <f>TAX_CERTIFICATE[[#This Row],[TOTAL ADDITION AT COST DURING THE PERIOD]]-TAX_CERTIFICATE[[#This Row],[TOTAL REDEMPTION AT COST DURING THE PERIOD]]</f>
        <v>2256.75</v>
      </c>
      <c r="O11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15" s="6"/>
      <c r="Q115" s="6"/>
      <c r="R115" s="6"/>
    </row>
    <row r="116" spans="1:18">
      <c r="A116" t="s">
        <v>147</v>
      </c>
      <c r="B11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1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16" s="6">
        <f>TAX_CERTIFICATE[[#This Row],[BEGINNING PERIOD UNITS]]*$AA$2</f>
        <v>0</v>
      </c>
      <c r="E116" s="6">
        <f>TAX_CERTIFICATE[[#This Row],[BEGINNING PERIOD MARKET VALUE]]-TAX_CERTIFICATE[[#This Row],[BEGINNING PERIOD COST VALUE]]</f>
        <v>0</v>
      </c>
      <c r="F11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1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16" s="6">
        <f>TAX_CERTIFICATE[[#This Row],[ENDING PERIOD UNITS]]*$AA$3</f>
        <v>0</v>
      </c>
      <c r="I116" s="6">
        <f>TAX_CERTIFICATE[[#This Row],[ENDING PERIOD MARKET VALUE]]-TAX_CERTIFICATE[[#This Row],[ENDING PERIOD COST VALUE]]</f>
        <v>0</v>
      </c>
      <c r="J11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1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1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1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16" s="6">
        <f>TAX_CERTIFICATE[[#This Row],[TOTAL ADDITION AT COST DURING THE PERIOD]]-TAX_CERTIFICATE[[#This Row],[TOTAL REDEMPTION AT COST DURING THE PERIOD]]</f>
        <v>0</v>
      </c>
      <c r="O11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16" s="6"/>
      <c r="Q116" s="6"/>
      <c r="R116" s="6"/>
    </row>
    <row r="117" spans="1:18">
      <c r="A117" t="s">
        <v>149</v>
      </c>
      <c r="B11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1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17" s="6">
        <f>TAX_CERTIFICATE[[#This Row],[BEGINNING PERIOD UNITS]]*$AA$2</f>
        <v>0</v>
      </c>
      <c r="E117" s="6">
        <f>TAX_CERTIFICATE[[#This Row],[BEGINNING PERIOD MARKET VALUE]]-TAX_CERTIFICATE[[#This Row],[BEGINNING PERIOD COST VALUE]]</f>
        <v>0</v>
      </c>
      <c r="F11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1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17" s="6">
        <f>TAX_CERTIFICATE[[#This Row],[ENDING PERIOD UNITS]]*$AA$3</f>
        <v>0</v>
      </c>
      <c r="I117" s="6">
        <f>TAX_CERTIFICATE[[#This Row],[ENDING PERIOD MARKET VALUE]]-TAX_CERTIFICATE[[#This Row],[ENDING PERIOD COST VALUE]]</f>
        <v>0</v>
      </c>
      <c r="J11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1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1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1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17" s="6">
        <f>TAX_CERTIFICATE[[#This Row],[TOTAL ADDITION AT COST DURING THE PERIOD]]-TAX_CERTIFICATE[[#This Row],[TOTAL REDEMPTION AT COST DURING THE PERIOD]]</f>
        <v>0</v>
      </c>
      <c r="O11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17" s="6"/>
      <c r="Q117" s="6"/>
      <c r="R117" s="6"/>
    </row>
    <row r="118" spans="1:18">
      <c r="A118" t="s">
        <v>151</v>
      </c>
      <c r="B11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1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18" s="6">
        <f>TAX_CERTIFICATE[[#This Row],[BEGINNING PERIOD UNITS]]*$AA$2</f>
        <v>0</v>
      </c>
      <c r="E118" s="6">
        <f>TAX_CERTIFICATE[[#This Row],[BEGINNING PERIOD MARKET VALUE]]-TAX_CERTIFICATE[[#This Row],[BEGINNING PERIOD COST VALUE]]</f>
        <v>0</v>
      </c>
      <c r="F11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1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18" s="6">
        <f>TAX_CERTIFICATE[[#This Row],[ENDING PERIOD UNITS]]*$AA$3</f>
        <v>0</v>
      </c>
      <c r="I118" s="6">
        <f>TAX_CERTIFICATE[[#This Row],[ENDING PERIOD MARKET VALUE]]-TAX_CERTIFICATE[[#This Row],[ENDING PERIOD COST VALUE]]</f>
        <v>0</v>
      </c>
      <c r="J11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1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1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1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18" s="6">
        <f>TAX_CERTIFICATE[[#This Row],[TOTAL ADDITION AT COST DURING THE PERIOD]]-TAX_CERTIFICATE[[#This Row],[TOTAL REDEMPTION AT COST DURING THE PERIOD]]</f>
        <v>0</v>
      </c>
      <c r="O11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18" s="6"/>
      <c r="Q118" s="6"/>
      <c r="R118" s="6"/>
    </row>
    <row r="119" spans="1:18">
      <c r="A119" t="s">
        <v>152</v>
      </c>
      <c r="B11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1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19" s="6">
        <f>TAX_CERTIFICATE[[#This Row],[BEGINNING PERIOD UNITS]]*$AA$2</f>
        <v>0</v>
      </c>
      <c r="E119" s="6">
        <f>TAX_CERTIFICATE[[#This Row],[BEGINNING PERIOD MARKET VALUE]]-TAX_CERTIFICATE[[#This Row],[BEGINNING PERIOD COST VALUE]]</f>
        <v>0</v>
      </c>
      <c r="F11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1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19" s="6">
        <f>TAX_CERTIFICATE[[#This Row],[ENDING PERIOD UNITS]]*$AA$3</f>
        <v>0</v>
      </c>
      <c r="I119" s="6">
        <f>TAX_CERTIFICATE[[#This Row],[ENDING PERIOD MARKET VALUE]]-TAX_CERTIFICATE[[#This Row],[ENDING PERIOD COST VALUE]]</f>
        <v>0</v>
      </c>
      <c r="J11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1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1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1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19" s="6">
        <f>TAX_CERTIFICATE[[#This Row],[TOTAL ADDITION AT COST DURING THE PERIOD]]-TAX_CERTIFICATE[[#This Row],[TOTAL REDEMPTION AT COST DURING THE PERIOD]]</f>
        <v>0</v>
      </c>
      <c r="O11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19" s="6"/>
      <c r="Q119" s="6"/>
      <c r="R119" s="6"/>
    </row>
    <row r="120" spans="1:18">
      <c r="A120" t="s">
        <v>153</v>
      </c>
      <c r="B12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2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20" s="6">
        <f>TAX_CERTIFICATE[[#This Row],[BEGINNING PERIOD UNITS]]*$AA$2</f>
        <v>0</v>
      </c>
      <c r="E120" s="6">
        <f>TAX_CERTIFICATE[[#This Row],[BEGINNING PERIOD MARKET VALUE]]-TAX_CERTIFICATE[[#This Row],[BEGINNING PERIOD COST VALUE]]</f>
        <v>0</v>
      </c>
      <c r="F12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2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20" s="6">
        <f>TAX_CERTIFICATE[[#This Row],[ENDING PERIOD UNITS]]*$AA$3</f>
        <v>0</v>
      </c>
      <c r="I120" s="6">
        <f>TAX_CERTIFICATE[[#This Row],[ENDING PERIOD MARKET VALUE]]-TAX_CERTIFICATE[[#This Row],[ENDING PERIOD COST VALUE]]</f>
        <v>0</v>
      </c>
      <c r="J12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2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2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2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20" s="6">
        <f>TAX_CERTIFICATE[[#This Row],[TOTAL ADDITION AT COST DURING THE PERIOD]]-TAX_CERTIFICATE[[#This Row],[TOTAL REDEMPTION AT COST DURING THE PERIOD]]</f>
        <v>0</v>
      </c>
      <c r="O12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20" s="6"/>
      <c r="Q120" s="6"/>
      <c r="R120" s="6"/>
    </row>
    <row r="121" spans="1:18">
      <c r="A121" t="s">
        <v>154</v>
      </c>
      <c r="B12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2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21" s="6">
        <f>TAX_CERTIFICATE[[#This Row],[BEGINNING PERIOD UNITS]]*$AA$2</f>
        <v>0</v>
      </c>
      <c r="E121" s="6">
        <f>TAX_CERTIFICATE[[#This Row],[BEGINNING PERIOD MARKET VALUE]]-TAX_CERTIFICATE[[#This Row],[BEGINNING PERIOD COST VALUE]]</f>
        <v>0</v>
      </c>
      <c r="F12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2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21" s="6">
        <f>TAX_CERTIFICATE[[#This Row],[ENDING PERIOD UNITS]]*$AA$3</f>
        <v>0</v>
      </c>
      <c r="I121" s="6">
        <f>TAX_CERTIFICATE[[#This Row],[ENDING PERIOD MARKET VALUE]]-TAX_CERTIFICATE[[#This Row],[ENDING PERIOD COST VALUE]]</f>
        <v>0</v>
      </c>
      <c r="J12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2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2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2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21" s="6">
        <f>TAX_CERTIFICATE[[#This Row],[TOTAL ADDITION AT COST DURING THE PERIOD]]-TAX_CERTIFICATE[[#This Row],[TOTAL REDEMPTION AT COST DURING THE PERIOD]]</f>
        <v>0</v>
      </c>
      <c r="O12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21" s="6"/>
      <c r="Q121" s="6"/>
      <c r="R121" s="6"/>
    </row>
    <row r="122" spans="1:18">
      <c r="A122" t="s">
        <v>155</v>
      </c>
      <c r="B12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2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22" s="6">
        <f>TAX_CERTIFICATE[[#This Row],[BEGINNING PERIOD UNITS]]*$AA$2</f>
        <v>0</v>
      </c>
      <c r="E122" s="6">
        <f>TAX_CERTIFICATE[[#This Row],[BEGINNING PERIOD MARKET VALUE]]-TAX_CERTIFICATE[[#This Row],[BEGINNING PERIOD COST VALUE]]</f>
        <v>0</v>
      </c>
      <c r="F12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2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22" s="6">
        <f>TAX_CERTIFICATE[[#This Row],[ENDING PERIOD UNITS]]*$AA$3</f>
        <v>0</v>
      </c>
      <c r="I122" s="6">
        <f>TAX_CERTIFICATE[[#This Row],[ENDING PERIOD MARKET VALUE]]-TAX_CERTIFICATE[[#This Row],[ENDING PERIOD COST VALUE]]</f>
        <v>0</v>
      </c>
      <c r="J12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2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2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2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22" s="6">
        <f>TAX_CERTIFICATE[[#This Row],[TOTAL ADDITION AT COST DURING THE PERIOD]]-TAX_CERTIFICATE[[#This Row],[TOTAL REDEMPTION AT COST DURING THE PERIOD]]</f>
        <v>0</v>
      </c>
      <c r="O12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22" s="6"/>
      <c r="Q122" s="6"/>
      <c r="R122" s="6"/>
    </row>
    <row r="123" spans="1:18">
      <c r="A123" t="s">
        <v>156</v>
      </c>
      <c r="B12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2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23" s="6">
        <f>TAX_CERTIFICATE[[#This Row],[BEGINNING PERIOD UNITS]]*$AA$2</f>
        <v>0</v>
      </c>
      <c r="E123" s="6">
        <f>TAX_CERTIFICATE[[#This Row],[BEGINNING PERIOD MARKET VALUE]]-TAX_CERTIFICATE[[#This Row],[BEGINNING PERIOD COST VALUE]]</f>
        <v>0</v>
      </c>
      <c r="F12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2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23" s="6">
        <f>TAX_CERTIFICATE[[#This Row],[ENDING PERIOD UNITS]]*$AA$3</f>
        <v>0</v>
      </c>
      <c r="I123" s="6">
        <f>TAX_CERTIFICATE[[#This Row],[ENDING PERIOD MARKET VALUE]]-TAX_CERTIFICATE[[#This Row],[ENDING PERIOD COST VALUE]]</f>
        <v>0</v>
      </c>
      <c r="J12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2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2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2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23" s="6">
        <f>TAX_CERTIFICATE[[#This Row],[TOTAL ADDITION AT COST DURING THE PERIOD]]-TAX_CERTIFICATE[[#This Row],[TOTAL REDEMPTION AT COST DURING THE PERIOD]]</f>
        <v>0</v>
      </c>
      <c r="O12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23" s="6"/>
      <c r="Q123" s="6"/>
      <c r="R123" s="6"/>
    </row>
    <row r="124" spans="1:18">
      <c r="A124" t="s">
        <v>157</v>
      </c>
      <c r="B12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2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24" s="6">
        <f>TAX_CERTIFICATE[[#This Row],[BEGINNING PERIOD UNITS]]*$AA$2</f>
        <v>0</v>
      </c>
      <c r="E124" s="6">
        <f>TAX_CERTIFICATE[[#This Row],[BEGINNING PERIOD MARKET VALUE]]-TAX_CERTIFICATE[[#This Row],[BEGINNING PERIOD COST VALUE]]</f>
        <v>0</v>
      </c>
      <c r="F12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2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24" s="6">
        <f>TAX_CERTIFICATE[[#This Row],[ENDING PERIOD UNITS]]*$AA$3</f>
        <v>0</v>
      </c>
      <c r="I124" s="6">
        <f>TAX_CERTIFICATE[[#This Row],[ENDING PERIOD MARKET VALUE]]-TAX_CERTIFICATE[[#This Row],[ENDING PERIOD COST VALUE]]</f>
        <v>0</v>
      </c>
      <c r="J12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2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2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2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24" s="6">
        <f>TAX_CERTIFICATE[[#This Row],[TOTAL ADDITION AT COST DURING THE PERIOD]]-TAX_CERTIFICATE[[#This Row],[TOTAL REDEMPTION AT COST DURING THE PERIOD]]</f>
        <v>0</v>
      </c>
      <c r="O12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24" s="6"/>
      <c r="Q124" s="6"/>
      <c r="R124" s="6"/>
    </row>
    <row r="125" spans="1:18">
      <c r="A125" t="s">
        <v>158</v>
      </c>
      <c r="B125" s="2">
        <f>SUMIFS(LS[Unit],LS[Investor ID],TAX_CERTIFICATE[[#This Row],[INVESTOR CODE]],LS[Date Value],"&lt;"&amp;$Z$2)+SUMIFS(SIP[Unit],SIP[Investor ID],TAX_CERTIFICATE[[#This Row],[INVESTOR CODE]],SIP[Date Value],"&lt;"&amp;$Z$2)</f>
        <v>15000</v>
      </c>
      <c r="C12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150000</v>
      </c>
      <c r="D125" s="6">
        <f>TAX_CERTIFICATE[[#This Row],[BEGINNING PERIOD UNITS]]*$AA$2</f>
        <v>149550</v>
      </c>
      <c r="E125" s="6">
        <f>TAX_CERTIFICATE[[#This Row],[BEGINNING PERIOD MARKET VALUE]]-TAX_CERTIFICATE[[#This Row],[BEGINNING PERIOD COST VALUE]]</f>
        <v>-450</v>
      </c>
      <c r="F125" s="33">
        <f>SUMIFS(LS[Unit],LS[Investor ID],TAX_CERTIFICATE[[#This Row],[INVESTOR CODE]],LS[Date Value],"&lt;="&amp;$Z$3)+SUMIFS(SIP[Unit],SIP[Investor ID],TAX_CERTIFICATE[[#This Row],[INVESTOR CODE]],SIP[Date Value],"&lt;="&amp;$Z$3)</f>
        <v>15343</v>
      </c>
      <c r="G12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153375</v>
      </c>
      <c r="H125" s="6">
        <f>TAX_CERTIFICATE[[#This Row],[ENDING PERIOD UNITS]]*$AA$3</f>
        <v>152570.79200000002</v>
      </c>
      <c r="I125" s="6">
        <f>TAX_CERTIFICATE[[#This Row],[ENDING PERIOD MARKET VALUE]]-TAX_CERTIFICATE[[#This Row],[ENDING PERIOD COST VALUE]]</f>
        <v>-804.20799999998417</v>
      </c>
      <c r="J12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343</v>
      </c>
      <c r="K12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3375</v>
      </c>
      <c r="L12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2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25" s="6">
        <f>TAX_CERTIFICATE[[#This Row],[TOTAL ADDITION AT COST DURING THE PERIOD]]-TAX_CERTIFICATE[[#This Row],[TOTAL REDEMPTION AT COST DURING THE PERIOD]]</f>
        <v>3375</v>
      </c>
      <c r="O12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25" s="6"/>
      <c r="Q125" s="6"/>
      <c r="R125" s="6"/>
    </row>
    <row r="126" spans="1:18">
      <c r="A126" t="s">
        <v>159</v>
      </c>
      <c r="B12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2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26" s="6">
        <f>TAX_CERTIFICATE[[#This Row],[BEGINNING PERIOD UNITS]]*$AA$2</f>
        <v>0</v>
      </c>
      <c r="E126" s="6">
        <f>TAX_CERTIFICATE[[#This Row],[BEGINNING PERIOD MARKET VALUE]]-TAX_CERTIFICATE[[#This Row],[BEGINNING PERIOD COST VALUE]]</f>
        <v>0</v>
      </c>
      <c r="F12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2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26" s="6">
        <f>TAX_CERTIFICATE[[#This Row],[ENDING PERIOD UNITS]]*$AA$3</f>
        <v>0</v>
      </c>
      <c r="I126" s="6">
        <f>TAX_CERTIFICATE[[#This Row],[ENDING PERIOD MARKET VALUE]]-TAX_CERTIFICATE[[#This Row],[ENDING PERIOD COST VALUE]]</f>
        <v>0</v>
      </c>
      <c r="J12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2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2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2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26" s="6">
        <f>TAX_CERTIFICATE[[#This Row],[TOTAL ADDITION AT COST DURING THE PERIOD]]-TAX_CERTIFICATE[[#This Row],[TOTAL REDEMPTION AT COST DURING THE PERIOD]]</f>
        <v>0</v>
      </c>
      <c r="O12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26" s="6"/>
      <c r="Q126" s="6"/>
      <c r="R126" s="6"/>
    </row>
    <row r="127" spans="1:18">
      <c r="A127" t="s">
        <v>160</v>
      </c>
      <c r="B12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2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27" s="6">
        <f>TAX_CERTIFICATE[[#This Row],[BEGINNING PERIOD UNITS]]*$AA$2</f>
        <v>0</v>
      </c>
      <c r="E127" s="6">
        <f>TAX_CERTIFICATE[[#This Row],[BEGINNING PERIOD MARKET VALUE]]-TAX_CERTIFICATE[[#This Row],[BEGINNING PERIOD COST VALUE]]</f>
        <v>0</v>
      </c>
      <c r="F12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2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27" s="6">
        <f>TAX_CERTIFICATE[[#This Row],[ENDING PERIOD UNITS]]*$AA$3</f>
        <v>0</v>
      </c>
      <c r="I127" s="6">
        <f>TAX_CERTIFICATE[[#This Row],[ENDING PERIOD MARKET VALUE]]-TAX_CERTIFICATE[[#This Row],[ENDING PERIOD COST VALUE]]</f>
        <v>0</v>
      </c>
      <c r="J12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2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2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2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27" s="6">
        <f>TAX_CERTIFICATE[[#This Row],[TOTAL ADDITION AT COST DURING THE PERIOD]]-TAX_CERTIFICATE[[#This Row],[TOTAL REDEMPTION AT COST DURING THE PERIOD]]</f>
        <v>0</v>
      </c>
      <c r="O12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27" s="6"/>
      <c r="Q127" s="6"/>
      <c r="R127" s="6"/>
    </row>
    <row r="128" spans="1:18">
      <c r="A128" t="s">
        <v>161</v>
      </c>
      <c r="B12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2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28" s="6">
        <f>TAX_CERTIFICATE[[#This Row],[BEGINNING PERIOD UNITS]]*$AA$2</f>
        <v>0</v>
      </c>
      <c r="E128" s="6">
        <f>TAX_CERTIFICATE[[#This Row],[BEGINNING PERIOD MARKET VALUE]]-TAX_CERTIFICATE[[#This Row],[BEGINNING PERIOD COST VALUE]]</f>
        <v>0</v>
      </c>
      <c r="F12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2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28" s="6">
        <f>TAX_CERTIFICATE[[#This Row],[ENDING PERIOD UNITS]]*$AA$3</f>
        <v>0</v>
      </c>
      <c r="I128" s="6">
        <f>TAX_CERTIFICATE[[#This Row],[ENDING PERIOD MARKET VALUE]]-TAX_CERTIFICATE[[#This Row],[ENDING PERIOD COST VALUE]]</f>
        <v>0</v>
      </c>
      <c r="J12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2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2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2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28" s="6">
        <f>TAX_CERTIFICATE[[#This Row],[TOTAL ADDITION AT COST DURING THE PERIOD]]-TAX_CERTIFICATE[[#This Row],[TOTAL REDEMPTION AT COST DURING THE PERIOD]]</f>
        <v>0</v>
      </c>
      <c r="O12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28" s="6"/>
      <c r="Q128" s="6"/>
      <c r="R128" s="6"/>
    </row>
    <row r="129" spans="1:18">
      <c r="A129" t="s">
        <v>162</v>
      </c>
      <c r="B12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2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29" s="6">
        <f>TAX_CERTIFICATE[[#This Row],[BEGINNING PERIOD UNITS]]*$AA$2</f>
        <v>0</v>
      </c>
      <c r="E129" s="6">
        <f>TAX_CERTIFICATE[[#This Row],[BEGINNING PERIOD MARKET VALUE]]-TAX_CERTIFICATE[[#This Row],[BEGINNING PERIOD COST VALUE]]</f>
        <v>0</v>
      </c>
      <c r="F12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2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29" s="6">
        <f>TAX_CERTIFICATE[[#This Row],[ENDING PERIOD UNITS]]*$AA$3</f>
        <v>0</v>
      </c>
      <c r="I129" s="6">
        <f>TAX_CERTIFICATE[[#This Row],[ENDING PERIOD MARKET VALUE]]-TAX_CERTIFICATE[[#This Row],[ENDING PERIOD COST VALUE]]</f>
        <v>0</v>
      </c>
      <c r="J12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2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2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2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29" s="6">
        <f>TAX_CERTIFICATE[[#This Row],[TOTAL ADDITION AT COST DURING THE PERIOD]]-TAX_CERTIFICATE[[#This Row],[TOTAL REDEMPTION AT COST DURING THE PERIOD]]</f>
        <v>0</v>
      </c>
      <c r="O12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29" s="6"/>
      <c r="Q129" s="6"/>
      <c r="R129" s="6"/>
    </row>
    <row r="130" spans="1:18">
      <c r="A130" t="s">
        <v>163</v>
      </c>
      <c r="B13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3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30" s="6">
        <f>TAX_CERTIFICATE[[#This Row],[BEGINNING PERIOD UNITS]]*$AA$2</f>
        <v>0</v>
      </c>
      <c r="E130" s="6">
        <f>TAX_CERTIFICATE[[#This Row],[BEGINNING PERIOD MARKET VALUE]]-TAX_CERTIFICATE[[#This Row],[BEGINNING PERIOD COST VALUE]]</f>
        <v>0</v>
      </c>
      <c r="F13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3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30" s="6">
        <f>TAX_CERTIFICATE[[#This Row],[ENDING PERIOD UNITS]]*$AA$3</f>
        <v>0</v>
      </c>
      <c r="I130" s="6">
        <f>TAX_CERTIFICATE[[#This Row],[ENDING PERIOD MARKET VALUE]]-TAX_CERTIFICATE[[#This Row],[ENDING PERIOD COST VALUE]]</f>
        <v>0</v>
      </c>
      <c r="J13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3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3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3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30" s="6">
        <f>TAX_CERTIFICATE[[#This Row],[TOTAL ADDITION AT COST DURING THE PERIOD]]-TAX_CERTIFICATE[[#This Row],[TOTAL REDEMPTION AT COST DURING THE PERIOD]]</f>
        <v>0</v>
      </c>
      <c r="O13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30" s="6"/>
      <c r="Q130" s="6"/>
      <c r="R130" s="6"/>
    </row>
    <row r="131" spans="1:18">
      <c r="A131" t="s">
        <v>164</v>
      </c>
      <c r="B13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3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31" s="6">
        <f>TAX_CERTIFICATE[[#This Row],[BEGINNING PERIOD UNITS]]*$AA$2</f>
        <v>0</v>
      </c>
      <c r="E131" s="6">
        <f>TAX_CERTIFICATE[[#This Row],[BEGINNING PERIOD MARKET VALUE]]-TAX_CERTIFICATE[[#This Row],[BEGINNING PERIOD COST VALUE]]</f>
        <v>0</v>
      </c>
      <c r="F13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3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31" s="6">
        <f>TAX_CERTIFICATE[[#This Row],[ENDING PERIOD UNITS]]*$AA$3</f>
        <v>0</v>
      </c>
      <c r="I131" s="6">
        <f>TAX_CERTIFICATE[[#This Row],[ENDING PERIOD MARKET VALUE]]-TAX_CERTIFICATE[[#This Row],[ENDING PERIOD COST VALUE]]</f>
        <v>0</v>
      </c>
      <c r="J13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3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3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3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31" s="6">
        <f>TAX_CERTIFICATE[[#This Row],[TOTAL ADDITION AT COST DURING THE PERIOD]]-TAX_CERTIFICATE[[#This Row],[TOTAL REDEMPTION AT COST DURING THE PERIOD]]</f>
        <v>0</v>
      </c>
      <c r="O13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31" s="6"/>
      <c r="Q131" s="6"/>
      <c r="R131" s="6"/>
    </row>
    <row r="132" spans="1:18">
      <c r="A132" t="s">
        <v>165</v>
      </c>
      <c r="B13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3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32" s="6">
        <f>TAX_CERTIFICATE[[#This Row],[BEGINNING PERIOD UNITS]]*$AA$2</f>
        <v>0</v>
      </c>
      <c r="E132" s="6">
        <f>TAX_CERTIFICATE[[#This Row],[BEGINNING PERIOD MARKET VALUE]]-TAX_CERTIFICATE[[#This Row],[BEGINNING PERIOD COST VALUE]]</f>
        <v>0</v>
      </c>
      <c r="F13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3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32" s="6">
        <f>TAX_CERTIFICATE[[#This Row],[ENDING PERIOD UNITS]]*$AA$3</f>
        <v>0</v>
      </c>
      <c r="I132" s="6">
        <f>TAX_CERTIFICATE[[#This Row],[ENDING PERIOD MARKET VALUE]]-TAX_CERTIFICATE[[#This Row],[ENDING PERIOD COST VALUE]]</f>
        <v>0</v>
      </c>
      <c r="J13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3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3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3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32" s="6">
        <f>TAX_CERTIFICATE[[#This Row],[TOTAL ADDITION AT COST DURING THE PERIOD]]-TAX_CERTIFICATE[[#This Row],[TOTAL REDEMPTION AT COST DURING THE PERIOD]]</f>
        <v>0</v>
      </c>
      <c r="O13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32" s="6"/>
      <c r="Q132" s="6"/>
      <c r="R132" s="6"/>
    </row>
    <row r="133" spans="1:18">
      <c r="A133" t="s">
        <v>166</v>
      </c>
      <c r="B13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3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33" s="6">
        <f>TAX_CERTIFICATE[[#This Row],[BEGINNING PERIOD UNITS]]*$AA$2</f>
        <v>0</v>
      </c>
      <c r="E133" s="6">
        <f>TAX_CERTIFICATE[[#This Row],[BEGINNING PERIOD MARKET VALUE]]-TAX_CERTIFICATE[[#This Row],[BEGINNING PERIOD COST VALUE]]</f>
        <v>0</v>
      </c>
      <c r="F13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3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33" s="6">
        <f>TAX_CERTIFICATE[[#This Row],[ENDING PERIOD UNITS]]*$AA$3</f>
        <v>0</v>
      </c>
      <c r="I133" s="6">
        <f>TAX_CERTIFICATE[[#This Row],[ENDING PERIOD MARKET VALUE]]-TAX_CERTIFICATE[[#This Row],[ENDING PERIOD COST VALUE]]</f>
        <v>0</v>
      </c>
      <c r="J13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3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3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3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33" s="6">
        <f>TAX_CERTIFICATE[[#This Row],[TOTAL ADDITION AT COST DURING THE PERIOD]]-TAX_CERTIFICATE[[#This Row],[TOTAL REDEMPTION AT COST DURING THE PERIOD]]</f>
        <v>0</v>
      </c>
      <c r="O13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33" s="6"/>
      <c r="Q133" s="6"/>
      <c r="R133" s="6"/>
    </row>
    <row r="134" spans="1:18">
      <c r="A134" t="s">
        <v>167</v>
      </c>
      <c r="B13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3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34" s="6">
        <f>TAX_CERTIFICATE[[#This Row],[BEGINNING PERIOD UNITS]]*$AA$2</f>
        <v>0</v>
      </c>
      <c r="E134" s="6">
        <f>TAX_CERTIFICATE[[#This Row],[BEGINNING PERIOD MARKET VALUE]]-TAX_CERTIFICATE[[#This Row],[BEGINNING PERIOD COST VALUE]]</f>
        <v>0</v>
      </c>
      <c r="F13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3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34" s="6">
        <f>TAX_CERTIFICATE[[#This Row],[ENDING PERIOD UNITS]]*$AA$3</f>
        <v>0</v>
      </c>
      <c r="I134" s="6">
        <f>TAX_CERTIFICATE[[#This Row],[ENDING PERIOD MARKET VALUE]]-TAX_CERTIFICATE[[#This Row],[ENDING PERIOD COST VALUE]]</f>
        <v>0</v>
      </c>
      <c r="J13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3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3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3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34" s="6">
        <f>TAX_CERTIFICATE[[#This Row],[TOTAL ADDITION AT COST DURING THE PERIOD]]-TAX_CERTIFICATE[[#This Row],[TOTAL REDEMPTION AT COST DURING THE PERIOD]]</f>
        <v>0</v>
      </c>
      <c r="O13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34" s="6"/>
      <c r="Q134" s="6"/>
      <c r="R134" s="6"/>
    </row>
    <row r="135" spans="1:18">
      <c r="A135" t="s">
        <v>168</v>
      </c>
      <c r="B13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3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35" s="6">
        <f>TAX_CERTIFICATE[[#This Row],[BEGINNING PERIOD UNITS]]*$AA$2</f>
        <v>0</v>
      </c>
      <c r="E135" s="6">
        <f>TAX_CERTIFICATE[[#This Row],[BEGINNING PERIOD MARKET VALUE]]-TAX_CERTIFICATE[[#This Row],[BEGINNING PERIOD COST VALUE]]</f>
        <v>0</v>
      </c>
      <c r="F13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3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35" s="6">
        <f>TAX_CERTIFICATE[[#This Row],[ENDING PERIOD UNITS]]*$AA$3</f>
        <v>0</v>
      </c>
      <c r="I135" s="6">
        <f>TAX_CERTIFICATE[[#This Row],[ENDING PERIOD MARKET VALUE]]-TAX_CERTIFICATE[[#This Row],[ENDING PERIOD COST VALUE]]</f>
        <v>0</v>
      </c>
      <c r="J13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3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3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3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35" s="6">
        <f>TAX_CERTIFICATE[[#This Row],[TOTAL ADDITION AT COST DURING THE PERIOD]]-TAX_CERTIFICATE[[#This Row],[TOTAL REDEMPTION AT COST DURING THE PERIOD]]</f>
        <v>0</v>
      </c>
      <c r="O13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35" s="6"/>
      <c r="Q135" s="6"/>
      <c r="R135" s="6"/>
    </row>
    <row r="136" spans="1:18">
      <c r="A136" t="s">
        <v>169</v>
      </c>
      <c r="B13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3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7.2759576141834259E-12</v>
      </c>
      <c r="D136" s="6">
        <f>TAX_CERTIFICATE[[#This Row],[BEGINNING PERIOD UNITS]]*$AA$2</f>
        <v>0</v>
      </c>
      <c r="E136" s="6">
        <f>TAX_CERTIFICATE[[#This Row],[BEGINNING PERIOD MARKET VALUE]]-TAX_CERTIFICATE[[#This Row],[BEGINNING PERIOD COST VALUE]]</f>
        <v>-7.2759576141834259E-12</v>
      </c>
      <c r="F13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3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7.2759576141834259E-12</v>
      </c>
      <c r="H136" s="6">
        <f>TAX_CERTIFICATE[[#This Row],[ENDING PERIOD UNITS]]*$AA$3</f>
        <v>0</v>
      </c>
      <c r="I136" s="6">
        <f>TAX_CERTIFICATE[[#This Row],[ENDING PERIOD MARKET VALUE]]-TAX_CERTIFICATE[[#This Row],[ENDING PERIOD COST VALUE]]</f>
        <v>-7.2759576141834259E-12</v>
      </c>
      <c r="J13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3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3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3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36" s="6">
        <f>TAX_CERTIFICATE[[#This Row],[TOTAL ADDITION AT COST DURING THE PERIOD]]-TAX_CERTIFICATE[[#This Row],[TOTAL REDEMPTION AT COST DURING THE PERIOD]]</f>
        <v>0</v>
      </c>
      <c r="O13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36" s="6"/>
      <c r="Q136" s="6"/>
      <c r="R136" s="6"/>
    </row>
    <row r="137" spans="1:18">
      <c r="A137" t="s">
        <v>170</v>
      </c>
      <c r="B13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3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37" s="6">
        <f>TAX_CERTIFICATE[[#This Row],[BEGINNING PERIOD UNITS]]*$AA$2</f>
        <v>0</v>
      </c>
      <c r="E137" s="6">
        <f>TAX_CERTIFICATE[[#This Row],[BEGINNING PERIOD MARKET VALUE]]-TAX_CERTIFICATE[[#This Row],[BEGINNING PERIOD COST VALUE]]</f>
        <v>0</v>
      </c>
      <c r="F13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3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37" s="6">
        <f>TAX_CERTIFICATE[[#This Row],[ENDING PERIOD UNITS]]*$AA$3</f>
        <v>0</v>
      </c>
      <c r="I137" s="6">
        <f>TAX_CERTIFICATE[[#This Row],[ENDING PERIOD MARKET VALUE]]-TAX_CERTIFICATE[[#This Row],[ENDING PERIOD COST VALUE]]</f>
        <v>0</v>
      </c>
      <c r="J13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3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3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3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37" s="6">
        <f>TAX_CERTIFICATE[[#This Row],[TOTAL ADDITION AT COST DURING THE PERIOD]]-TAX_CERTIFICATE[[#This Row],[TOTAL REDEMPTION AT COST DURING THE PERIOD]]</f>
        <v>0</v>
      </c>
      <c r="O13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37" s="6"/>
      <c r="Q137" s="6"/>
      <c r="R137" s="6"/>
    </row>
    <row r="138" spans="1:18">
      <c r="A138" t="s">
        <v>171</v>
      </c>
      <c r="B13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3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38" s="6">
        <f>TAX_CERTIFICATE[[#This Row],[BEGINNING PERIOD UNITS]]*$AA$2</f>
        <v>0</v>
      </c>
      <c r="E138" s="6">
        <f>TAX_CERTIFICATE[[#This Row],[BEGINNING PERIOD MARKET VALUE]]-TAX_CERTIFICATE[[#This Row],[BEGINNING PERIOD COST VALUE]]</f>
        <v>0</v>
      </c>
      <c r="F13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3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38" s="6">
        <f>TAX_CERTIFICATE[[#This Row],[ENDING PERIOD UNITS]]*$AA$3</f>
        <v>0</v>
      </c>
      <c r="I138" s="6">
        <f>TAX_CERTIFICATE[[#This Row],[ENDING PERIOD MARKET VALUE]]-TAX_CERTIFICATE[[#This Row],[ENDING PERIOD COST VALUE]]</f>
        <v>0</v>
      </c>
      <c r="J13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3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3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3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38" s="6">
        <f>TAX_CERTIFICATE[[#This Row],[TOTAL ADDITION AT COST DURING THE PERIOD]]-TAX_CERTIFICATE[[#This Row],[TOTAL REDEMPTION AT COST DURING THE PERIOD]]</f>
        <v>0</v>
      </c>
      <c r="O13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38" s="6"/>
      <c r="Q138" s="6"/>
      <c r="R138" s="6"/>
    </row>
    <row r="139" spans="1:18">
      <c r="A139" t="s">
        <v>172</v>
      </c>
      <c r="B13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3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39" s="6">
        <f>TAX_CERTIFICATE[[#This Row],[BEGINNING PERIOD UNITS]]*$AA$2</f>
        <v>0</v>
      </c>
      <c r="E139" s="6">
        <f>TAX_CERTIFICATE[[#This Row],[BEGINNING PERIOD MARKET VALUE]]-TAX_CERTIFICATE[[#This Row],[BEGINNING PERIOD COST VALUE]]</f>
        <v>0</v>
      </c>
      <c r="F13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3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39" s="6">
        <f>TAX_CERTIFICATE[[#This Row],[ENDING PERIOD UNITS]]*$AA$3</f>
        <v>0</v>
      </c>
      <c r="I139" s="6">
        <f>TAX_CERTIFICATE[[#This Row],[ENDING PERIOD MARKET VALUE]]-TAX_CERTIFICATE[[#This Row],[ENDING PERIOD COST VALUE]]</f>
        <v>0</v>
      </c>
      <c r="J13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3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3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3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39" s="6">
        <f>TAX_CERTIFICATE[[#This Row],[TOTAL ADDITION AT COST DURING THE PERIOD]]-TAX_CERTIFICATE[[#This Row],[TOTAL REDEMPTION AT COST DURING THE PERIOD]]</f>
        <v>0</v>
      </c>
      <c r="O13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39" s="6"/>
      <c r="Q139" s="6"/>
      <c r="R139" s="6"/>
    </row>
    <row r="140" spans="1:18">
      <c r="A140" t="s">
        <v>173</v>
      </c>
      <c r="B14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4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40" s="6">
        <f>TAX_CERTIFICATE[[#This Row],[BEGINNING PERIOD UNITS]]*$AA$2</f>
        <v>0</v>
      </c>
      <c r="E140" s="6">
        <f>TAX_CERTIFICATE[[#This Row],[BEGINNING PERIOD MARKET VALUE]]-TAX_CERTIFICATE[[#This Row],[BEGINNING PERIOD COST VALUE]]</f>
        <v>0</v>
      </c>
      <c r="F14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4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40" s="6">
        <f>TAX_CERTIFICATE[[#This Row],[ENDING PERIOD UNITS]]*$AA$3</f>
        <v>0</v>
      </c>
      <c r="I140" s="6">
        <f>TAX_CERTIFICATE[[#This Row],[ENDING PERIOD MARKET VALUE]]-TAX_CERTIFICATE[[#This Row],[ENDING PERIOD COST VALUE]]</f>
        <v>0</v>
      </c>
      <c r="J14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4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4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4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40" s="6">
        <f>TAX_CERTIFICATE[[#This Row],[TOTAL ADDITION AT COST DURING THE PERIOD]]-TAX_CERTIFICATE[[#This Row],[TOTAL REDEMPTION AT COST DURING THE PERIOD]]</f>
        <v>0</v>
      </c>
      <c r="O14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40" s="6"/>
      <c r="Q140" s="6"/>
      <c r="R140" s="6"/>
    </row>
    <row r="141" spans="1:18">
      <c r="A141" t="s">
        <v>174</v>
      </c>
      <c r="B14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4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41" s="6">
        <f>TAX_CERTIFICATE[[#This Row],[BEGINNING PERIOD UNITS]]*$AA$2</f>
        <v>0</v>
      </c>
      <c r="E141" s="6">
        <f>TAX_CERTIFICATE[[#This Row],[BEGINNING PERIOD MARKET VALUE]]-TAX_CERTIFICATE[[#This Row],[BEGINNING PERIOD COST VALUE]]</f>
        <v>0</v>
      </c>
      <c r="F14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4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41" s="6">
        <f>TAX_CERTIFICATE[[#This Row],[ENDING PERIOD UNITS]]*$AA$3</f>
        <v>0</v>
      </c>
      <c r="I141" s="6">
        <f>TAX_CERTIFICATE[[#This Row],[ENDING PERIOD MARKET VALUE]]-TAX_CERTIFICATE[[#This Row],[ENDING PERIOD COST VALUE]]</f>
        <v>0</v>
      </c>
      <c r="J14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4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4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4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41" s="6">
        <f>TAX_CERTIFICATE[[#This Row],[TOTAL ADDITION AT COST DURING THE PERIOD]]-TAX_CERTIFICATE[[#This Row],[TOTAL REDEMPTION AT COST DURING THE PERIOD]]</f>
        <v>0</v>
      </c>
      <c r="O14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41" s="6"/>
      <c r="Q141" s="6"/>
      <c r="R141" s="6"/>
    </row>
    <row r="142" spans="1:18">
      <c r="A142" t="s">
        <v>175</v>
      </c>
      <c r="B142" s="2">
        <f>SUMIFS(LS[Unit],LS[Investor ID],TAX_CERTIFICATE[[#This Row],[INVESTOR CODE]],LS[Date Value],"&lt;"&amp;$Z$2)+SUMIFS(SIP[Unit],SIP[Investor ID],TAX_CERTIFICATE[[#This Row],[INVESTOR CODE]],SIP[Date Value],"&lt;"&amp;$Z$2)</f>
        <v>502</v>
      </c>
      <c r="C14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</v>
      </c>
      <c r="D142" s="6">
        <f>TAX_CERTIFICATE[[#This Row],[BEGINNING PERIOD UNITS]]*$AA$2</f>
        <v>5004.9400000000005</v>
      </c>
      <c r="E142" s="6">
        <f>TAX_CERTIFICATE[[#This Row],[BEGINNING PERIOD MARKET VALUE]]-TAX_CERTIFICATE[[#This Row],[BEGINNING PERIOD COST VALUE]]</f>
        <v>4.9400000000005093</v>
      </c>
      <c r="F142" s="33">
        <f>SUMIFS(LS[Unit],LS[Investor ID],TAX_CERTIFICATE[[#This Row],[INVESTOR CODE]],LS[Date Value],"&lt;="&amp;$Z$3)+SUMIFS(SIP[Unit],SIP[Investor ID],TAX_CERTIFICATE[[#This Row],[INVESTOR CODE]],SIP[Date Value],"&lt;="&amp;$Z$3)</f>
        <v>501</v>
      </c>
      <c r="G14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4990.0398406374507</v>
      </c>
      <c r="H142" s="6">
        <f>TAX_CERTIFICATE[[#This Row],[ENDING PERIOD UNITS]]*$AA$3</f>
        <v>4981.9440000000004</v>
      </c>
      <c r="I142" s="6">
        <f>TAX_CERTIFICATE[[#This Row],[ENDING PERIOD MARKET VALUE]]-TAX_CERTIFICATE[[#This Row],[ENDING PERIOD COST VALUE]]</f>
        <v>-8.0958406374502374</v>
      </c>
      <c r="J14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4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4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</v>
      </c>
      <c r="M14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9.9601593625498008</v>
      </c>
      <c r="N142" s="6">
        <f>TAX_CERTIFICATE[[#This Row],[TOTAL ADDITION AT COST DURING THE PERIOD]]-TAX_CERTIFICATE[[#This Row],[TOTAL REDEMPTION AT COST DURING THE PERIOD]]</f>
        <v>-9.9601593625498008</v>
      </c>
      <c r="O14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-3.6801593625498006</v>
      </c>
      <c r="P142" s="6"/>
      <c r="Q142" s="6"/>
      <c r="R142" s="6"/>
    </row>
    <row r="143" spans="1:18">
      <c r="A143" t="s">
        <v>176</v>
      </c>
      <c r="B14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4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43" s="6">
        <f>TAX_CERTIFICATE[[#This Row],[BEGINNING PERIOD UNITS]]*$AA$2</f>
        <v>0</v>
      </c>
      <c r="E143" s="6">
        <f>TAX_CERTIFICATE[[#This Row],[BEGINNING PERIOD MARKET VALUE]]-TAX_CERTIFICATE[[#This Row],[BEGINNING PERIOD COST VALUE]]</f>
        <v>0</v>
      </c>
      <c r="F14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4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43" s="6">
        <f>TAX_CERTIFICATE[[#This Row],[ENDING PERIOD UNITS]]*$AA$3</f>
        <v>0</v>
      </c>
      <c r="I143" s="6">
        <f>TAX_CERTIFICATE[[#This Row],[ENDING PERIOD MARKET VALUE]]-TAX_CERTIFICATE[[#This Row],[ENDING PERIOD COST VALUE]]</f>
        <v>0</v>
      </c>
      <c r="J14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4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4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4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43" s="6">
        <f>TAX_CERTIFICATE[[#This Row],[TOTAL ADDITION AT COST DURING THE PERIOD]]-TAX_CERTIFICATE[[#This Row],[TOTAL REDEMPTION AT COST DURING THE PERIOD]]</f>
        <v>0</v>
      </c>
      <c r="O14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43" s="6"/>
      <c r="Q143" s="6"/>
      <c r="R143" s="6"/>
    </row>
    <row r="144" spans="1:18">
      <c r="A144" t="s">
        <v>177</v>
      </c>
      <c r="B144" s="2">
        <f>SUMIFS(LS[Unit],LS[Investor ID],TAX_CERTIFICATE[[#This Row],[INVESTOR CODE]],LS[Date Value],"&lt;"&amp;$Z$2)+SUMIFS(SIP[Unit],SIP[Investor ID],TAX_CERTIFICATE[[#This Row],[INVESTOR CODE]],SIP[Date Value],"&lt;"&amp;$Z$2)</f>
        <v>12998</v>
      </c>
      <c r="C14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130000</v>
      </c>
      <c r="D144" s="6">
        <f>TAX_CERTIFICATE[[#This Row],[BEGINNING PERIOD UNITS]]*$AA$2</f>
        <v>129590.06000000001</v>
      </c>
      <c r="E144" s="6">
        <f>TAX_CERTIFICATE[[#This Row],[BEGINNING PERIOD MARKET VALUE]]-TAX_CERTIFICATE[[#This Row],[BEGINNING PERIOD COST VALUE]]</f>
        <v>-409.93999999998778</v>
      </c>
      <c r="F144" s="33">
        <f>SUMIFS(LS[Unit],LS[Investor ID],TAX_CERTIFICATE[[#This Row],[INVESTOR CODE]],LS[Date Value],"&lt;="&amp;$Z$3)+SUMIFS(SIP[Unit],SIP[Investor ID],TAX_CERTIFICATE[[#This Row],[INVESTOR CODE]],SIP[Date Value],"&lt;="&amp;$Z$3)</f>
        <v>3574</v>
      </c>
      <c r="G14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35687.061556346074</v>
      </c>
      <c r="H144" s="6">
        <f>TAX_CERTIFICATE[[#This Row],[ENDING PERIOD UNITS]]*$AA$3</f>
        <v>35539.856</v>
      </c>
      <c r="I144" s="6">
        <f>TAX_CERTIFICATE[[#This Row],[ENDING PERIOD MARKET VALUE]]-TAX_CERTIFICATE[[#This Row],[ENDING PERIOD COST VALUE]]</f>
        <v>-147.20555634607445</v>
      </c>
      <c r="J14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10808</v>
      </c>
      <c r="K14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110000</v>
      </c>
      <c r="L14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20232</v>
      </c>
      <c r="M14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204312.93844365393</v>
      </c>
      <c r="N144" s="6">
        <f>TAX_CERTIFICATE[[#This Row],[TOTAL ADDITION AT COST DURING THE PERIOD]]-TAX_CERTIFICATE[[#This Row],[TOTAL REDEMPTION AT COST DURING THE PERIOD]]</f>
        <v>-94312.938443653926</v>
      </c>
      <c r="O14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1186.0615563460447</v>
      </c>
      <c r="P144" s="6"/>
      <c r="Q144" s="6"/>
      <c r="R144" s="6"/>
    </row>
    <row r="145" spans="1:18">
      <c r="A145" t="s">
        <v>178</v>
      </c>
      <c r="B145" s="2">
        <f>SUMIFS(LS[Unit],LS[Investor ID],TAX_CERTIFICATE[[#This Row],[INVESTOR CODE]],LS[Date Value],"&lt;"&amp;$Z$2)+SUMIFS(SIP[Unit],SIP[Investor ID],TAX_CERTIFICATE[[#This Row],[INVESTOR CODE]],SIP[Date Value],"&lt;"&amp;$Z$2)</f>
        <v>10443</v>
      </c>
      <c r="C14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102551.26090030637</v>
      </c>
      <c r="D145" s="6">
        <f>TAX_CERTIFICATE[[#This Row],[BEGINNING PERIOD UNITS]]*$AA$2</f>
        <v>104116.71</v>
      </c>
      <c r="E145" s="6">
        <f>TAX_CERTIFICATE[[#This Row],[BEGINNING PERIOD MARKET VALUE]]-TAX_CERTIFICATE[[#This Row],[BEGINNING PERIOD COST VALUE]]</f>
        <v>1565.4490996936365</v>
      </c>
      <c r="F145" s="33">
        <f>SUMIFS(LS[Unit],LS[Investor ID],TAX_CERTIFICATE[[#This Row],[INVESTOR CODE]],LS[Date Value],"&lt;="&amp;$Z$3)+SUMIFS(SIP[Unit],SIP[Investor ID],TAX_CERTIFICATE[[#This Row],[INVESTOR CODE]],SIP[Date Value],"&lt;="&amp;$Z$3)</f>
        <v>10443</v>
      </c>
      <c r="G14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102551.26090030637</v>
      </c>
      <c r="H145" s="6">
        <f>TAX_CERTIFICATE[[#This Row],[ENDING PERIOD UNITS]]*$AA$3</f>
        <v>103845.19200000001</v>
      </c>
      <c r="I145" s="6">
        <f>TAX_CERTIFICATE[[#This Row],[ENDING PERIOD MARKET VALUE]]-TAX_CERTIFICATE[[#This Row],[ENDING PERIOD COST VALUE]]</f>
        <v>1293.9310996936401</v>
      </c>
      <c r="J14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4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4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4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45" s="6">
        <f>TAX_CERTIFICATE[[#This Row],[TOTAL ADDITION AT COST DURING THE PERIOD]]-TAX_CERTIFICATE[[#This Row],[TOTAL REDEMPTION AT COST DURING THE PERIOD]]</f>
        <v>0</v>
      </c>
      <c r="O14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45" s="6"/>
      <c r="Q145" s="6"/>
      <c r="R145" s="6"/>
    </row>
    <row r="146" spans="1:18">
      <c r="A146" t="s">
        <v>179</v>
      </c>
      <c r="B14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4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46" s="6">
        <f>TAX_CERTIFICATE[[#This Row],[BEGINNING PERIOD UNITS]]*$AA$2</f>
        <v>0</v>
      </c>
      <c r="E146" s="6">
        <f>TAX_CERTIFICATE[[#This Row],[BEGINNING PERIOD MARKET VALUE]]-TAX_CERTIFICATE[[#This Row],[BEGINNING PERIOD COST VALUE]]</f>
        <v>0</v>
      </c>
      <c r="F14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4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46" s="6">
        <f>TAX_CERTIFICATE[[#This Row],[ENDING PERIOD UNITS]]*$AA$3</f>
        <v>0</v>
      </c>
      <c r="I146" s="6">
        <f>TAX_CERTIFICATE[[#This Row],[ENDING PERIOD MARKET VALUE]]-TAX_CERTIFICATE[[#This Row],[ENDING PERIOD COST VALUE]]</f>
        <v>0</v>
      </c>
      <c r="J14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4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4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4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46" s="6">
        <f>TAX_CERTIFICATE[[#This Row],[TOTAL ADDITION AT COST DURING THE PERIOD]]-TAX_CERTIFICATE[[#This Row],[TOTAL REDEMPTION AT COST DURING THE PERIOD]]</f>
        <v>0</v>
      </c>
      <c r="O14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46" s="6"/>
      <c r="Q146" s="6"/>
      <c r="R146" s="6"/>
    </row>
    <row r="147" spans="1:18">
      <c r="A147" t="s">
        <v>180</v>
      </c>
      <c r="B14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4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47" s="6">
        <f>TAX_CERTIFICATE[[#This Row],[BEGINNING PERIOD UNITS]]*$AA$2</f>
        <v>0</v>
      </c>
      <c r="E147" s="6">
        <f>TAX_CERTIFICATE[[#This Row],[BEGINNING PERIOD MARKET VALUE]]-TAX_CERTIFICATE[[#This Row],[BEGINNING PERIOD COST VALUE]]</f>
        <v>0</v>
      </c>
      <c r="F14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4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47" s="6">
        <f>TAX_CERTIFICATE[[#This Row],[ENDING PERIOD UNITS]]*$AA$3</f>
        <v>0</v>
      </c>
      <c r="I147" s="6">
        <f>TAX_CERTIFICATE[[#This Row],[ENDING PERIOD MARKET VALUE]]-TAX_CERTIFICATE[[#This Row],[ENDING PERIOD COST VALUE]]</f>
        <v>0</v>
      </c>
      <c r="J14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4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4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4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47" s="6">
        <f>TAX_CERTIFICATE[[#This Row],[TOTAL ADDITION AT COST DURING THE PERIOD]]-TAX_CERTIFICATE[[#This Row],[TOTAL REDEMPTION AT COST DURING THE PERIOD]]</f>
        <v>0</v>
      </c>
      <c r="O14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47" s="6"/>
      <c r="Q147" s="6"/>
      <c r="R147" s="6"/>
    </row>
    <row r="148" spans="1:18">
      <c r="A148" t="s">
        <v>181</v>
      </c>
      <c r="B14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4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48" s="6">
        <f>TAX_CERTIFICATE[[#This Row],[BEGINNING PERIOD UNITS]]*$AA$2</f>
        <v>0</v>
      </c>
      <c r="E148" s="6">
        <f>TAX_CERTIFICATE[[#This Row],[BEGINNING PERIOD MARKET VALUE]]-TAX_CERTIFICATE[[#This Row],[BEGINNING PERIOD COST VALUE]]</f>
        <v>0</v>
      </c>
      <c r="F14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4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48" s="6">
        <f>TAX_CERTIFICATE[[#This Row],[ENDING PERIOD UNITS]]*$AA$3</f>
        <v>0</v>
      </c>
      <c r="I148" s="6">
        <f>TAX_CERTIFICATE[[#This Row],[ENDING PERIOD MARKET VALUE]]-TAX_CERTIFICATE[[#This Row],[ENDING PERIOD COST VALUE]]</f>
        <v>0</v>
      </c>
      <c r="J14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4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4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4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48" s="6">
        <f>TAX_CERTIFICATE[[#This Row],[TOTAL ADDITION AT COST DURING THE PERIOD]]-TAX_CERTIFICATE[[#This Row],[TOTAL REDEMPTION AT COST DURING THE PERIOD]]</f>
        <v>0</v>
      </c>
      <c r="O14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48" s="6"/>
      <c r="Q148" s="6"/>
      <c r="R148" s="6"/>
    </row>
    <row r="149" spans="1:18">
      <c r="A149" t="s">
        <v>182</v>
      </c>
      <c r="B14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4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49" s="6">
        <f>TAX_CERTIFICATE[[#This Row],[BEGINNING PERIOD UNITS]]*$AA$2</f>
        <v>0</v>
      </c>
      <c r="E149" s="6">
        <f>TAX_CERTIFICATE[[#This Row],[BEGINNING PERIOD MARKET VALUE]]-TAX_CERTIFICATE[[#This Row],[BEGINNING PERIOD COST VALUE]]</f>
        <v>0</v>
      </c>
      <c r="F14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4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49" s="6">
        <f>TAX_CERTIFICATE[[#This Row],[ENDING PERIOD UNITS]]*$AA$3</f>
        <v>0</v>
      </c>
      <c r="I149" s="6">
        <f>TAX_CERTIFICATE[[#This Row],[ENDING PERIOD MARKET VALUE]]-TAX_CERTIFICATE[[#This Row],[ENDING PERIOD COST VALUE]]</f>
        <v>0</v>
      </c>
      <c r="J14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4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4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4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49" s="6">
        <f>TAX_CERTIFICATE[[#This Row],[TOTAL ADDITION AT COST DURING THE PERIOD]]-TAX_CERTIFICATE[[#This Row],[TOTAL REDEMPTION AT COST DURING THE PERIOD]]</f>
        <v>0</v>
      </c>
      <c r="O14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49" s="6"/>
      <c r="Q149" s="6"/>
      <c r="R149" s="6"/>
    </row>
    <row r="150" spans="1:18">
      <c r="A150" t="s">
        <v>183</v>
      </c>
      <c r="B15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5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50" s="6">
        <f>TAX_CERTIFICATE[[#This Row],[BEGINNING PERIOD UNITS]]*$AA$2</f>
        <v>0</v>
      </c>
      <c r="E150" s="6">
        <f>TAX_CERTIFICATE[[#This Row],[BEGINNING PERIOD MARKET VALUE]]-TAX_CERTIFICATE[[#This Row],[BEGINNING PERIOD COST VALUE]]</f>
        <v>0</v>
      </c>
      <c r="F15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5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50" s="6">
        <f>TAX_CERTIFICATE[[#This Row],[ENDING PERIOD UNITS]]*$AA$3</f>
        <v>0</v>
      </c>
      <c r="I150" s="6">
        <f>TAX_CERTIFICATE[[#This Row],[ENDING PERIOD MARKET VALUE]]-TAX_CERTIFICATE[[#This Row],[ENDING PERIOD COST VALUE]]</f>
        <v>0</v>
      </c>
      <c r="J15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5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5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5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50" s="6">
        <f>TAX_CERTIFICATE[[#This Row],[TOTAL ADDITION AT COST DURING THE PERIOD]]-TAX_CERTIFICATE[[#This Row],[TOTAL REDEMPTION AT COST DURING THE PERIOD]]</f>
        <v>0</v>
      </c>
      <c r="O15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50" s="6"/>
      <c r="Q150" s="6"/>
      <c r="R150" s="6"/>
    </row>
    <row r="151" spans="1:18">
      <c r="A151" t="s">
        <v>184</v>
      </c>
      <c r="B15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5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51" s="6">
        <f>TAX_CERTIFICATE[[#This Row],[BEGINNING PERIOD UNITS]]*$AA$2</f>
        <v>0</v>
      </c>
      <c r="E151" s="6">
        <f>TAX_CERTIFICATE[[#This Row],[BEGINNING PERIOD MARKET VALUE]]-TAX_CERTIFICATE[[#This Row],[BEGINNING PERIOD COST VALUE]]</f>
        <v>0</v>
      </c>
      <c r="F15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5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51" s="6">
        <f>TAX_CERTIFICATE[[#This Row],[ENDING PERIOD UNITS]]*$AA$3</f>
        <v>0</v>
      </c>
      <c r="I151" s="6">
        <f>TAX_CERTIFICATE[[#This Row],[ENDING PERIOD MARKET VALUE]]-TAX_CERTIFICATE[[#This Row],[ENDING PERIOD COST VALUE]]</f>
        <v>0</v>
      </c>
      <c r="J15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5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5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5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51" s="6">
        <f>TAX_CERTIFICATE[[#This Row],[TOTAL ADDITION AT COST DURING THE PERIOD]]-TAX_CERTIFICATE[[#This Row],[TOTAL REDEMPTION AT COST DURING THE PERIOD]]</f>
        <v>0</v>
      </c>
      <c r="O15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51" s="6"/>
      <c r="Q151" s="6"/>
      <c r="R151" s="6"/>
    </row>
    <row r="152" spans="1:18">
      <c r="A152" t="s">
        <v>185</v>
      </c>
      <c r="B15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5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52" s="6">
        <f>TAX_CERTIFICATE[[#This Row],[BEGINNING PERIOD UNITS]]*$AA$2</f>
        <v>0</v>
      </c>
      <c r="E152" s="6">
        <f>TAX_CERTIFICATE[[#This Row],[BEGINNING PERIOD MARKET VALUE]]-TAX_CERTIFICATE[[#This Row],[BEGINNING PERIOD COST VALUE]]</f>
        <v>0</v>
      </c>
      <c r="F15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5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52" s="6">
        <f>TAX_CERTIFICATE[[#This Row],[ENDING PERIOD UNITS]]*$AA$3</f>
        <v>0</v>
      </c>
      <c r="I152" s="6">
        <f>TAX_CERTIFICATE[[#This Row],[ENDING PERIOD MARKET VALUE]]-TAX_CERTIFICATE[[#This Row],[ENDING PERIOD COST VALUE]]</f>
        <v>0</v>
      </c>
      <c r="J15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5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5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5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52" s="6">
        <f>TAX_CERTIFICATE[[#This Row],[TOTAL ADDITION AT COST DURING THE PERIOD]]-TAX_CERTIFICATE[[#This Row],[TOTAL REDEMPTION AT COST DURING THE PERIOD]]</f>
        <v>0</v>
      </c>
      <c r="O15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52" s="6"/>
      <c r="Q152" s="6"/>
      <c r="R152" s="6"/>
    </row>
    <row r="153" spans="1:18">
      <c r="A153" t="s">
        <v>186</v>
      </c>
      <c r="B15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5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53" s="6">
        <f>TAX_CERTIFICATE[[#This Row],[BEGINNING PERIOD UNITS]]*$AA$2</f>
        <v>0</v>
      </c>
      <c r="E153" s="6">
        <f>TAX_CERTIFICATE[[#This Row],[BEGINNING PERIOD MARKET VALUE]]-TAX_CERTIFICATE[[#This Row],[BEGINNING PERIOD COST VALUE]]</f>
        <v>0</v>
      </c>
      <c r="F15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5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53" s="6">
        <f>TAX_CERTIFICATE[[#This Row],[ENDING PERIOD UNITS]]*$AA$3</f>
        <v>0</v>
      </c>
      <c r="I153" s="6">
        <f>TAX_CERTIFICATE[[#This Row],[ENDING PERIOD MARKET VALUE]]-TAX_CERTIFICATE[[#This Row],[ENDING PERIOD COST VALUE]]</f>
        <v>0</v>
      </c>
      <c r="J15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5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5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5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53" s="6">
        <f>TAX_CERTIFICATE[[#This Row],[TOTAL ADDITION AT COST DURING THE PERIOD]]-TAX_CERTIFICATE[[#This Row],[TOTAL REDEMPTION AT COST DURING THE PERIOD]]</f>
        <v>0</v>
      </c>
      <c r="O15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53" s="6"/>
      <c r="Q153" s="6"/>
      <c r="R153" s="6"/>
    </row>
    <row r="154" spans="1:18">
      <c r="A154" t="s">
        <v>187</v>
      </c>
      <c r="B15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5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54" s="6">
        <f>TAX_CERTIFICATE[[#This Row],[BEGINNING PERIOD UNITS]]*$AA$2</f>
        <v>0</v>
      </c>
      <c r="E154" s="6">
        <f>TAX_CERTIFICATE[[#This Row],[BEGINNING PERIOD MARKET VALUE]]-TAX_CERTIFICATE[[#This Row],[BEGINNING PERIOD COST VALUE]]</f>
        <v>0</v>
      </c>
      <c r="F15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5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54" s="6">
        <f>TAX_CERTIFICATE[[#This Row],[ENDING PERIOD UNITS]]*$AA$3</f>
        <v>0</v>
      </c>
      <c r="I154" s="6">
        <f>TAX_CERTIFICATE[[#This Row],[ENDING PERIOD MARKET VALUE]]-TAX_CERTIFICATE[[#This Row],[ENDING PERIOD COST VALUE]]</f>
        <v>0</v>
      </c>
      <c r="J15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5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5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5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54" s="6">
        <f>TAX_CERTIFICATE[[#This Row],[TOTAL ADDITION AT COST DURING THE PERIOD]]-TAX_CERTIFICATE[[#This Row],[TOTAL REDEMPTION AT COST DURING THE PERIOD]]</f>
        <v>0</v>
      </c>
      <c r="O15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54" s="6"/>
      <c r="Q154" s="6"/>
      <c r="R154" s="6"/>
    </row>
    <row r="155" spans="1:18">
      <c r="A155" t="s">
        <v>188</v>
      </c>
      <c r="B15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5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55" s="6">
        <f>TAX_CERTIFICATE[[#This Row],[BEGINNING PERIOD UNITS]]*$AA$2</f>
        <v>0</v>
      </c>
      <c r="E155" s="6">
        <f>TAX_CERTIFICATE[[#This Row],[BEGINNING PERIOD MARKET VALUE]]-TAX_CERTIFICATE[[#This Row],[BEGINNING PERIOD COST VALUE]]</f>
        <v>0</v>
      </c>
      <c r="F15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5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55" s="6">
        <f>TAX_CERTIFICATE[[#This Row],[ENDING PERIOD UNITS]]*$AA$3</f>
        <v>0</v>
      </c>
      <c r="I155" s="6">
        <f>TAX_CERTIFICATE[[#This Row],[ENDING PERIOD MARKET VALUE]]-TAX_CERTIFICATE[[#This Row],[ENDING PERIOD COST VALUE]]</f>
        <v>0</v>
      </c>
      <c r="J15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5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5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5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55" s="6">
        <f>TAX_CERTIFICATE[[#This Row],[TOTAL ADDITION AT COST DURING THE PERIOD]]-TAX_CERTIFICATE[[#This Row],[TOTAL REDEMPTION AT COST DURING THE PERIOD]]</f>
        <v>0</v>
      </c>
      <c r="O15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55" s="6"/>
      <c r="Q155" s="6"/>
      <c r="R155" s="6"/>
    </row>
    <row r="156" spans="1:18">
      <c r="A156" t="s">
        <v>189</v>
      </c>
      <c r="B15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5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56" s="6">
        <f>TAX_CERTIFICATE[[#This Row],[BEGINNING PERIOD UNITS]]*$AA$2</f>
        <v>0</v>
      </c>
      <c r="E156" s="6">
        <f>TAX_CERTIFICATE[[#This Row],[BEGINNING PERIOD MARKET VALUE]]-TAX_CERTIFICATE[[#This Row],[BEGINNING PERIOD COST VALUE]]</f>
        <v>0</v>
      </c>
      <c r="F15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5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56" s="6">
        <f>TAX_CERTIFICATE[[#This Row],[ENDING PERIOD UNITS]]*$AA$3</f>
        <v>0</v>
      </c>
      <c r="I156" s="6">
        <f>TAX_CERTIFICATE[[#This Row],[ENDING PERIOD MARKET VALUE]]-TAX_CERTIFICATE[[#This Row],[ENDING PERIOD COST VALUE]]</f>
        <v>0</v>
      </c>
      <c r="J15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5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5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5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56" s="6">
        <f>TAX_CERTIFICATE[[#This Row],[TOTAL ADDITION AT COST DURING THE PERIOD]]-TAX_CERTIFICATE[[#This Row],[TOTAL REDEMPTION AT COST DURING THE PERIOD]]</f>
        <v>0</v>
      </c>
      <c r="O15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56" s="6"/>
      <c r="Q156" s="6"/>
      <c r="R156" s="6"/>
    </row>
    <row r="157" spans="1:18">
      <c r="A157" t="s">
        <v>190</v>
      </c>
      <c r="B15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5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57" s="6">
        <f>TAX_CERTIFICATE[[#This Row],[BEGINNING PERIOD UNITS]]*$AA$2</f>
        <v>0</v>
      </c>
      <c r="E157" s="6">
        <f>TAX_CERTIFICATE[[#This Row],[BEGINNING PERIOD MARKET VALUE]]-TAX_CERTIFICATE[[#This Row],[BEGINNING PERIOD COST VALUE]]</f>
        <v>0</v>
      </c>
      <c r="F15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5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57" s="6">
        <f>TAX_CERTIFICATE[[#This Row],[ENDING PERIOD UNITS]]*$AA$3</f>
        <v>0</v>
      </c>
      <c r="I157" s="6">
        <f>TAX_CERTIFICATE[[#This Row],[ENDING PERIOD MARKET VALUE]]-TAX_CERTIFICATE[[#This Row],[ENDING PERIOD COST VALUE]]</f>
        <v>0</v>
      </c>
      <c r="J15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5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5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5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57" s="6">
        <f>TAX_CERTIFICATE[[#This Row],[TOTAL ADDITION AT COST DURING THE PERIOD]]-TAX_CERTIFICATE[[#This Row],[TOTAL REDEMPTION AT COST DURING THE PERIOD]]</f>
        <v>0</v>
      </c>
      <c r="O15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57" s="6"/>
      <c r="Q157" s="6"/>
      <c r="R157" s="6"/>
    </row>
    <row r="158" spans="1:18">
      <c r="A158" t="s">
        <v>191</v>
      </c>
      <c r="B158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15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158" s="6">
        <f>TAX_CERTIFICATE[[#This Row],[BEGINNING PERIOD UNITS]]*$AA$2</f>
        <v>997000.00000000012</v>
      </c>
      <c r="E158" s="6">
        <f>TAX_CERTIFICATE[[#This Row],[BEGINNING PERIOD MARKET VALUE]]-TAX_CERTIFICATE[[#This Row],[BEGINNING PERIOD COST VALUE]]</f>
        <v>-2999.9999999998836</v>
      </c>
      <c r="F15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5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58" s="6">
        <f>TAX_CERTIFICATE[[#This Row],[ENDING PERIOD UNITS]]*$AA$3</f>
        <v>0</v>
      </c>
      <c r="I158" s="6">
        <f>TAX_CERTIFICATE[[#This Row],[ENDING PERIOD MARKET VALUE]]-TAX_CERTIFICATE[[#This Row],[ENDING PERIOD COST VALUE]]</f>
        <v>0</v>
      </c>
      <c r="J15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5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5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100000</v>
      </c>
      <c r="M15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1000000</v>
      </c>
      <c r="N158" s="6">
        <f>TAX_CERTIFICATE[[#This Row],[TOTAL ADDITION AT COST DURING THE PERIOD]]-TAX_CERTIFICATE[[#This Row],[TOTAL REDEMPTION AT COST DURING THE PERIOD]]</f>
        <v>-1000000</v>
      </c>
      <c r="O15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33000.000000000007</v>
      </c>
      <c r="P158" s="6"/>
      <c r="Q158" s="6"/>
      <c r="R158" s="6"/>
    </row>
    <row r="159" spans="1:18">
      <c r="A159" t="s">
        <v>192</v>
      </c>
      <c r="B15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5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59" s="6">
        <f>TAX_CERTIFICATE[[#This Row],[BEGINNING PERIOD UNITS]]*$AA$2</f>
        <v>0</v>
      </c>
      <c r="E159" s="6">
        <f>TAX_CERTIFICATE[[#This Row],[BEGINNING PERIOD MARKET VALUE]]-TAX_CERTIFICATE[[#This Row],[BEGINNING PERIOD COST VALUE]]</f>
        <v>0</v>
      </c>
      <c r="F15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5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59" s="6">
        <f>TAX_CERTIFICATE[[#This Row],[ENDING PERIOD UNITS]]*$AA$3</f>
        <v>0</v>
      </c>
      <c r="I159" s="6">
        <f>TAX_CERTIFICATE[[#This Row],[ENDING PERIOD MARKET VALUE]]-TAX_CERTIFICATE[[#This Row],[ENDING PERIOD COST VALUE]]</f>
        <v>0</v>
      </c>
      <c r="J15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5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5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5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59" s="6">
        <f>TAX_CERTIFICATE[[#This Row],[TOTAL ADDITION AT COST DURING THE PERIOD]]-TAX_CERTIFICATE[[#This Row],[TOTAL REDEMPTION AT COST DURING THE PERIOD]]</f>
        <v>0</v>
      </c>
      <c r="O15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59" s="6"/>
      <c r="Q159" s="6"/>
      <c r="R159" s="6"/>
    </row>
    <row r="160" spans="1:18">
      <c r="A160" t="s">
        <v>193</v>
      </c>
      <c r="B160" s="2">
        <f>SUMIFS(LS[Unit],LS[Investor ID],TAX_CERTIFICATE[[#This Row],[INVESTOR CODE]],LS[Date Value],"&lt;"&amp;$Z$2)+SUMIFS(SIP[Unit],SIP[Investor ID],TAX_CERTIFICATE[[#This Row],[INVESTOR CODE]],SIP[Date Value],"&lt;"&amp;$Z$2)</f>
        <v>10000</v>
      </c>
      <c r="C16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</v>
      </c>
      <c r="D160" s="6">
        <f>TAX_CERTIFICATE[[#This Row],[BEGINNING PERIOD UNITS]]*$AA$2</f>
        <v>99700</v>
      </c>
      <c r="E160" s="6">
        <f>TAX_CERTIFICATE[[#This Row],[BEGINNING PERIOD MARKET VALUE]]-TAX_CERTIFICATE[[#This Row],[BEGINNING PERIOD COST VALUE]]</f>
        <v>-300</v>
      </c>
      <c r="F160" s="33">
        <f>SUMIFS(LS[Unit],LS[Investor ID],TAX_CERTIFICATE[[#This Row],[INVESTOR CODE]],LS[Date Value],"&lt;="&amp;$Z$3)+SUMIFS(SIP[Unit],SIP[Investor ID],TAX_CERTIFICATE[[#This Row],[INVESTOR CODE]],SIP[Date Value],"&lt;="&amp;$Z$3)</f>
        <v>10000</v>
      </c>
      <c r="G16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100000</v>
      </c>
      <c r="H160" s="6">
        <f>TAX_CERTIFICATE[[#This Row],[ENDING PERIOD UNITS]]*$AA$3</f>
        <v>99440.000000000015</v>
      </c>
      <c r="I160" s="6">
        <f>TAX_CERTIFICATE[[#This Row],[ENDING PERIOD MARKET VALUE]]-TAX_CERTIFICATE[[#This Row],[ENDING PERIOD COST VALUE]]</f>
        <v>-559.99999999998545</v>
      </c>
      <c r="J16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6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6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6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60" s="6">
        <f>TAX_CERTIFICATE[[#This Row],[TOTAL ADDITION AT COST DURING THE PERIOD]]-TAX_CERTIFICATE[[#This Row],[TOTAL REDEMPTION AT COST DURING THE PERIOD]]</f>
        <v>0</v>
      </c>
      <c r="O16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60" s="6"/>
      <c r="Q160" s="6"/>
      <c r="R160" s="6"/>
    </row>
    <row r="161" spans="1:18">
      <c r="A161" t="s">
        <v>194</v>
      </c>
      <c r="B16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6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61" s="6">
        <f>TAX_CERTIFICATE[[#This Row],[BEGINNING PERIOD UNITS]]*$AA$2</f>
        <v>0</v>
      </c>
      <c r="E161" s="6">
        <f>TAX_CERTIFICATE[[#This Row],[BEGINNING PERIOD MARKET VALUE]]-TAX_CERTIFICATE[[#This Row],[BEGINNING PERIOD COST VALUE]]</f>
        <v>0</v>
      </c>
      <c r="F16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6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61" s="6">
        <f>TAX_CERTIFICATE[[#This Row],[ENDING PERIOD UNITS]]*$AA$3</f>
        <v>0</v>
      </c>
      <c r="I161" s="6">
        <f>TAX_CERTIFICATE[[#This Row],[ENDING PERIOD MARKET VALUE]]-TAX_CERTIFICATE[[#This Row],[ENDING PERIOD COST VALUE]]</f>
        <v>0</v>
      </c>
      <c r="J16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6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6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6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61" s="6">
        <f>TAX_CERTIFICATE[[#This Row],[TOTAL ADDITION AT COST DURING THE PERIOD]]-TAX_CERTIFICATE[[#This Row],[TOTAL REDEMPTION AT COST DURING THE PERIOD]]</f>
        <v>0</v>
      </c>
      <c r="O16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61" s="6"/>
      <c r="Q161" s="6"/>
      <c r="R161" s="6"/>
    </row>
    <row r="162" spans="1:18">
      <c r="A162" t="s">
        <v>195</v>
      </c>
      <c r="B16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6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62" s="6">
        <f>TAX_CERTIFICATE[[#This Row],[BEGINNING PERIOD UNITS]]*$AA$2</f>
        <v>0</v>
      </c>
      <c r="E162" s="6">
        <f>TAX_CERTIFICATE[[#This Row],[BEGINNING PERIOD MARKET VALUE]]-TAX_CERTIFICATE[[#This Row],[BEGINNING PERIOD COST VALUE]]</f>
        <v>0</v>
      </c>
      <c r="F16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6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62" s="6">
        <f>TAX_CERTIFICATE[[#This Row],[ENDING PERIOD UNITS]]*$AA$3</f>
        <v>0</v>
      </c>
      <c r="I162" s="6">
        <f>TAX_CERTIFICATE[[#This Row],[ENDING PERIOD MARKET VALUE]]-TAX_CERTIFICATE[[#This Row],[ENDING PERIOD COST VALUE]]</f>
        <v>0</v>
      </c>
      <c r="J16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6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6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6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62" s="6">
        <f>TAX_CERTIFICATE[[#This Row],[TOTAL ADDITION AT COST DURING THE PERIOD]]-TAX_CERTIFICATE[[#This Row],[TOTAL REDEMPTION AT COST DURING THE PERIOD]]</f>
        <v>0</v>
      </c>
      <c r="O16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62" s="6"/>
      <c r="Q162" s="6"/>
      <c r="R162" s="6"/>
    </row>
    <row r="163" spans="1:18">
      <c r="A163" t="s">
        <v>196</v>
      </c>
      <c r="B16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6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63" s="6">
        <f>TAX_CERTIFICATE[[#This Row],[BEGINNING PERIOD UNITS]]*$AA$2</f>
        <v>0</v>
      </c>
      <c r="E163" s="6">
        <f>TAX_CERTIFICATE[[#This Row],[BEGINNING PERIOD MARKET VALUE]]-TAX_CERTIFICATE[[#This Row],[BEGINNING PERIOD COST VALUE]]</f>
        <v>0</v>
      </c>
      <c r="F16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6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63" s="6">
        <f>TAX_CERTIFICATE[[#This Row],[ENDING PERIOD UNITS]]*$AA$3</f>
        <v>0</v>
      </c>
      <c r="I163" s="6">
        <f>TAX_CERTIFICATE[[#This Row],[ENDING PERIOD MARKET VALUE]]-TAX_CERTIFICATE[[#This Row],[ENDING PERIOD COST VALUE]]</f>
        <v>0</v>
      </c>
      <c r="J16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6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6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6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63" s="6">
        <f>TAX_CERTIFICATE[[#This Row],[TOTAL ADDITION AT COST DURING THE PERIOD]]-TAX_CERTIFICATE[[#This Row],[TOTAL REDEMPTION AT COST DURING THE PERIOD]]</f>
        <v>0</v>
      </c>
      <c r="O16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63" s="6"/>
      <c r="Q163" s="6"/>
      <c r="R163" s="6"/>
    </row>
    <row r="164" spans="1:18">
      <c r="A164" t="s">
        <v>197</v>
      </c>
      <c r="B16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6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64" s="6">
        <f>TAX_CERTIFICATE[[#This Row],[BEGINNING PERIOD UNITS]]*$AA$2</f>
        <v>0</v>
      </c>
      <c r="E164" s="6">
        <f>TAX_CERTIFICATE[[#This Row],[BEGINNING PERIOD MARKET VALUE]]-TAX_CERTIFICATE[[#This Row],[BEGINNING PERIOD COST VALUE]]</f>
        <v>0</v>
      </c>
      <c r="F16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6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64" s="6">
        <f>TAX_CERTIFICATE[[#This Row],[ENDING PERIOD UNITS]]*$AA$3</f>
        <v>0</v>
      </c>
      <c r="I164" s="6">
        <f>TAX_CERTIFICATE[[#This Row],[ENDING PERIOD MARKET VALUE]]-TAX_CERTIFICATE[[#This Row],[ENDING PERIOD COST VALUE]]</f>
        <v>0</v>
      </c>
      <c r="J16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6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6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6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64" s="6">
        <f>TAX_CERTIFICATE[[#This Row],[TOTAL ADDITION AT COST DURING THE PERIOD]]-TAX_CERTIFICATE[[#This Row],[TOTAL REDEMPTION AT COST DURING THE PERIOD]]</f>
        <v>0</v>
      </c>
      <c r="O16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64" s="6"/>
      <c r="Q164" s="6"/>
      <c r="R164" s="6"/>
    </row>
    <row r="165" spans="1:18">
      <c r="A165" t="s">
        <v>198</v>
      </c>
      <c r="B16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6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65" s="6">
        <f>TAX_CERTIFICATE[[#This Row],[BEGINNING PERIOD UNITS]]*$AA$2</f>
        <v>0</v>
      </c>
      <c r="E165" s="6">
        <f>TAX_CERTIFICATE[[#This Row],[BEGINNING PERIOD MARKET VALUE]]-TAX_CERTIFICATE[[#This Row],[BEGINNING PERIOD COST VALUE]]</f>
        <v>0</v>
      </c>
      <c r="F16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6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65" s="6">
        <f>TAX_CERTIFICATE[[#This Row],[ENDING PERIOD UNITS]]*$AA$3</f>
        <v>0</v>
      </c>
      <c r="I165" s="6">
        <f>TAX_CERTIFICATE[[#This Row],[ENDING PERIOD MARKET VALUE]]-TAX_CERTIFICATE[[#This Row],[ENDING PERIOD COST VALUE]]</f>
        <v>0</v>
      </c>
      <c r="J16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6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6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6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65" s="6">
        <f>TAX_CERTIFICATE[[#This Row],[TOTAL ADDITION AT COST DURING THE PERIOD]]-TAX_CERTIFICATE[[#This Row],[TOTAL REDEMPTION AT COST DURING THE PERIOD]]</f>
        <v>0</v>
      </c>
      <c r="O16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65" s="6"/>
      <c r="Q165" s="6"/>
      <c r="R165" s="6"/>
    </row>
    <row r="166" spans="1:18">
      <c r="A166" t="s">
        <v>199</v>
      </c>
      <c r="B16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6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66" s="6">
        <f>TAX_CERTIFICATE[[#This Row],[BEGINNING PERIOD UNITS]]*$AA$2</f>
        <v>0</v>
      </c>
      <c r="E166" s="6">
        <f>TAX_CERTIFICATE[[#This Row],[BEGINNING PERIOD MARKET VALUE]]-TAX_CERTIFICATE[[#This Row],[BEGINNING PERIOD COST VALUE]]</f>
        <v>0</v>
      </c>
      <c r="F16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6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66" s="6">
        <f>TAX_CERTIFICATE[[#This Row],[ENDING PERIOD UNITS]]*$AA$3</f>
        <v>0</v>
      </c>
      <c r="I166" s="6">
        <f>TAX_CERTIFICATE[[#This Row],[ENDING PERIOD MARKET VALUE]]-TAX_CERTIFICATE[[#This Row],[ENDING PERIOD COST VALUE]]</f>
        <v>0</v>
      </c>
      <c r="J16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6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6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6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66" s="6">
        <f>TAX_CERTIFICATE[[#This Row],[TOTAL ADDITION AT COST DURING THE PERIOD]]-TAX_CERTIFICATE[[#This Row],[TOTAL REDEMPTION AT COST DURING THE PERIOD]]</f>
        <v>0</v>
      </c>
      <c r="O16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66" s="6"/>
      <c r="Q166" s="6"/>
      <c r="R166" s="6"/>
    </row>
    <row r="167" spans="1:18">
      <c r="A167" t="s">
        <v>200</v>
      </c>
      <c r="B16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6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67" s="6">
        <f>TAX_CERTIFICATE[[#This Row],[BEGINNING PERIOD UNITS]]*$AA$2</f>
        <v>0</v>
      </c>
      <c r="E167" s="6">
        <f>TAX_CERTIFICATE[[#This Row],[BEGINNING PERIOD MARKET VALUE]]-TAX_CERTIFICATE[[#This Row],[BEGINNING PERIOD COST VALUE]]</f>
        <v>0</v>
      </c>
      <c r="F16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6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67" s="6">
        <f>TAX_CERTIFICATE[[#This Row],[ENDING PERIOD UNITS]]*$AA$3</f>
        <v>0</v>
      </c>
      <c r="I167" s="6">
        <f>TAX_CERTIFICATE[[#This Row],[ENDING PERIOD MARKET VALUE]]-TAX_CERTIFICATE[[#This Row],[ENDING PERIOD COST VALUE]]</f>
        <v>0</v>
      </c>
      <c r="J16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6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6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6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67" s="6">
        <f>TAX_CERTIFICATE[[#This Row],[TOTAL ADDITION AT COST DURING THE PERIOD]]-TAX_CERTIFICATE[[#This Row],[TOTAL REDEMPTION AT COST DURING THE PERIOD]]</f>
        <v>0</v>
      </c>
      <c r="O16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67" s="6"/>
      <c r="Q167" s="6"/>
      <c r="R167" s="6"/>
    </row>
    <row r="168" spans="1:18">
      <c r="A168" t="s">
        <v>201</v>
      </c>
      <c r="B16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6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68" s="6">
        <f>TAX_CERTIFICATE[[#This Row],[BEGINNING PERIOD UNITS]]*$AA$2</f>
        <v>0</v>
      </c>
      <c r="E168" s="6">
        <f>TAX_CERTIFICATE[[#This Row],[BEGINNING PERIOD MARKET VALUE]]-TAX_CERTIFICATE[[#This Row],[BEGINNING PERIOD COST VALUE]]</f>
        <v>0</v>
      </c>
      <c r="F16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6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68" s="6">
        <f>TAX_CERTIFICATE[[#This Row],[ENDING PERIOD UNITS]]*$AA$3</f>
        <v>0</v>
      </c>
      <c r="I168" s="6">
        <f>TAX_CERTIFICATE[[#This Row],[ENDING PERIOD MARKET VALUE]]-TAX_CERTIFICATE[[#This Row],[ENDING PERIOD COST VALUE]]</f>
        <v>0</v>
      </c>
      <c r="J16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6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6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6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68" s="6">
        <f>TAX_CERTIFICATE[[#This Row],[TOTAL ADDITION AT COST DURING THE PERIOD]]-TAX_CERTIFICATE[[#This Row],[TOTAL REDEMPTION AT COST DURING THE PERIOD]]</f>
        <v>0</v>
      </c>
      <c r="O16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68" s="6"/>
      <c r="Q168" s="6"/>
      <c r="R168" s="6"/>
    </row>
    <row r="169" spans="1:18">
      <c r="A169" t="s">
        <v>202</v>
      </c>
      <c r="B16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6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69" s="6">
        <f>TAX_CERTIFICATE[[#This Row],[BEGINNING PERIOD UNITS]]*$AA$2</f>
        <v>0</v>
      </c>
      <c r="E169" s="6">
        <f>TAX_CERTIFICATE[[#This Row],[BEGINNING PERIOD MARKET VALUE]]-TAX_CERTIFICATE[[#This Row],[BEGINNING PERIOD COST VALUE]]</f>
        <v>0</v>
      </c>
      <c r="F16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6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69" s="6">
        <f>TAX_CERTIFICATE[[#This Row],[ENDING PERIOD UNITS]]*$AA$3</f>
        <v>0</v>
      </c>
      <c r="I169" s="6">
        <f>TAX_CERTIFICATE[[#This Row],[ENDING PERIOD MARKET VALUE]]-TAX_CERTIFICATE[[#This Row],[ENDING PERIOD COST VALUE]]</f>
        <v>0</v>
      </c>
      <c r="J16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6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6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6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69" s="6">
        <f>TAX_CERTIFICATE[[#This Row],[TOTAL ADDITION AT COST DURING THE PERIOD]]-TAX_CERTIFICATE[[#This Row],[TOTAL REDEMPTION AT COST DURING THE PERIOD]]</f>
        <v>0</v>
      </c>
      <c r="O16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69" s="6"/>
      <c r="Q169" s="6"/>
      <c r="R169" s="6"/>
    </row>
    <row r="170" spans="1:18">
      <c r="A170" t="s">
        <v>203</v>
      </c>
      <c r="B17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7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70" s="6">
        <f>TAX_CERTIFICATE[[#This Row],[BEGINNING PERIOD UNITS]]*$AA$2</f>
        <v>0</v>
      </c>
      <c r="E170" s="6">
        <f>TAX_CERTIFICATE[[#This Row],[BEGINNING PERIOD MARKET VALUE]]-TAX_CERTIFICATE[[#This Row],[BEGINNING PERIOD COST VALUE]]</f>
        <v>0</v>
      </c>
      <c r="F17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7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70" s="6">
        <f>TAX_CERTIFICATE[[#This Row],[ENDING PERIOD UNITS]]*$AA$3</f>
        <v>0</v>
      </c>
      <c r="I170" s="6">
        <f>TAX_CERTIFICATE[[#This Row],[ENDING PERIOD MARKET VALUE]]-TAX_CERTIFICATE[[#This Row],[ENDING PERIOD COST VALUE]]</f>
        <v>0</v>
      </c>
      <c r="J17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7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7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7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70" s="6">
        <f>TAX_CERTIFICATE[[#This Row],[TOTAL ADDITION AT COST DURING THE PERIOD]]-TAX_CERTIFICATE[[#This Row],[TOTAL REDEMPTION AT COST DURING THE PERIOD]]</f>
        <v>0</v>
      </c>
      <c r="O17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70" s="6"/>
      <c r="Q170" s="6"/>
      <c r="R170" s="6"/>
    </row>
    <row r="171" spans="1:18">
      <c r="A171" t="s">
        <v>204</v>
      </c>
      <c r="B17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7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71" s="6">
        <f>TAX_CERTIFICATE[[#This Row],[BEGINNING PERIOD UNITS]]*$AA$2</f>
        <v>0</v>
      </c>
      <c r="E171" s="6">
        <f>TAX_CERTIFICATE[[#This Row],[BEGINNING PERIOD MARKET VALUE]]-TAX_CERTIFICATE[[#This Row],[BEGINNING PERIOD COST VALUE]]</f>
        <v>0</v>
      </c>
      <c r="F17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7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71" s="6">
        <f>TAX_CERTIFICATE[[#This Row],[ENDING PERIOD UNITS]]*$AA$3</f>
        <v>0</v>
      </c>
      <c r="I171" s="6">
        <f>TAX_CERTIFICATE[[#This Row],[ENDING PERIOD MARKET VALUE]]-TAX_CERTIFICATE[[#This Row],[ENDING PERIOD COST VALUE]]</f>
        <v>0</v>
      </c>
      <c r="J17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7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7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7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71" s="6">
        <f>TAX_CERTIFICATE[[#This Row],[TOTAL ADDITION AT COST DURING THE PERIOD]]-TAX_CERTIFICATE[[#This Row],[TOTAL REDEMPTION AT COST DURING THE PERIOD]]</f>
        <v>0</v>
      </c>
      <c r="O17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71" s="6"/>
      <c r="Q171" s="6"/>
      <c r="R171" s="6"/>
    </row>
    <row r="172" spans="1:18">
      <c r="A172" t="s">
        <v>205</v>
      </c>
      <c r="B172" s="2">
        <f>SUMIFS(LS[Unit],LS[Investor ID],TAX_CERTIFICATE[[#This Row],[INVESTOR CODE]],LS[Date Value],"&lt;"&amp;$Z$2)+SUMIFS(SIP[Unit],SIP[Investor ID],TAX_CERTIFICATE[[#This Row],[INVESTOR CODE]],SIP[Date Value],"&lt;"&amp;$Z$2)</f>
        <v>1000000</v>
      </c>
      <c r="C17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10000000</v>
      </c>
      <c r="D172" s="6">
        <f>TAX_CERTIFICATE[[#This Row],[BEGINNING PERIOD UNITS]]*$AA$2</f>
        <v>9970000</v>
      </c>
      <c r="E172" s="6">
        <f>TAX_CERTIFICATE[[#This Row],[BEGINNING PERIOD MARKET VALUE]]-TAX_CERTIFICATE[[#This Row],[BEGINNING PERIOD COST VALUE]]</f>
        <v>-30000</v>
      </c>
      <c r="F172" s="33">
        <f>SUMIFS(LS[Unit],LS[Investor ID],TAX_CERTIFICATE[[#This Row],[INVESTOR CODE]],LS[Date Value],"&lt;="&amp;$Z$3)+SUMIFS(SIP[Unit],SIP[Investor ID],TAX_CERTIFICATE[[#This Row],[INVESTOR CODE]],SIP[Date Value],"&lt;="&amp;$Z$3)</f>
        <v>533898</v>
      </c>
      <c r="G17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5335980</v>
      </c>
      <c r="H172" s="6">
        <f>TAX_CERTIFICATE[[#This Row],[ENDING PERIOD UNITS]]*$AA$3</f>
        <v>5309081.7120000003</v>
      </c>
      <c r="I172" s="6">
        <f>TAX_CERTIFICATE[[#This Row],[ENDING PERIOD MARKET VALUE]]-TAX_CERTIFICATE[[#This Row],[ENDING PERIOD COST VALUE]]</f>
        <v>-26898.287999999709</v>
      </c>
      <c r="J17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20300</v>
      </c>
      <c r="K17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200000</v>
      </c>
      <c r="L17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486402</v>
      </c>
      <c r="M17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4864020</v>
      </c>
      <c r="N172" s="6">
        <f>TAX_CERTIFICATE[[#This Row],[TOTAL ADDITION AT COST DURING THE PERIOD]]-TAX_CERTIFICATE[[#This Row],[TOTAL REDEMPTION AT COST DURING THE PERIOD]]</f>
        <v>-4664020</v>
      </c>
      <c r="O17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135979.99999999977</v>
      </c>
      <c r="P172" s="6"/>
      <c r="Q172" s="6"/>
      <c r="R172" s="6"/>
    </row>
    <row r="173" spans="1:18">
      <c r="A173" t="s">
        <v>206</v>
      </c>
      <c r="B17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7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73" s="6">
        <f>TAX_CERTIFICATE[[#This Row],[BEGINNING PERIOD UNITS]]*$AA$2</f>
        <v>0</v>
      </c>
      <c r="E173" s="6">
        <f>TAX_CERTIFICATE[[#This Row],[BEGINNING PERIOD MARKET VALUE]]-TAX_CERTIFICATE[[#This Row],[BEGINNING PERIOD COST VALUE]]</f>
        <v>0</v>
      </c>
      <c r="F17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7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73" s="6">
        <f>TAX_CERTIFICATE[[#This Row],[ENDING PERIOD UNITS]]*$AA$3</f>
        <v>0</v>
      </c>
      <c r="I173" s="6">
        <f>TAX_CERTIFICATE[[#This Row],[ENDING PERIOD MARKET VALUE]]-TAX_CERTIFICATE[[#This Row],[ENDING PERIOD COST VALUE]]</f>
        <v>0</v>
      </c>
      <c r="J17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7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7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7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73" s="6">
        <f>TAX_CERTIFICATE[[#This Row],[TOTAL ADDITION AT COST DURING THE PERIOD]]-TAX_CERTIFICATE[[#This Row],[TOTAL REDEMPTION AT COST DURING THE PERIOD]]</f>
        <v>0</v>
      </c>
      <c r="O17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73" s="6"/>
      <c r="Q173" s="6"/>
      <c r="R173" s="6"/>
    </row>
    <row r="174" spans="1:18">
      <c r="A174" t="s">
        <v>207</v>
      </c>
      <c r="B17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7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74" s="6">
        <f>TAX_CERTIFICATE[[#This Row],[BEGINNING PERIOD UNITS]]*$AA$2</f>
        <v>0</v>
      </c>
      <c r="E174" s="6">
        <f>TAX_CERTIFICATE[[#This Row],[BEGINNING PERIOD MARKET VALUE]]-TAX_CERTIFICATE[[#This Row],[BEGINNING PERIOD COST VALUE]]</f>
        <v>0</v>
      </c>
      <c r="F17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7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74" s="6">
        <f>TAX_CERTIFICATE[[#This Row],[ENDING PERIOD UNITS]]*$AA$3</f>
        <v>0</v>
      </c>
      <c r="I174" s="6">
        <f>TAX_CERTIFICATE[[#This Row],[ENDING PERIOD MARKET VALUE]]-TAX_CERTIFICATE[[#This Row],[ENDING PERIOD COST VALUE]]</f>
        <v>0</v>
      </c>
      <c r="J17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7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7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7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74" s="6">
        <f>TAX_CERTIFICATE[[#This Row],[TOTAL ADDITION AT COST DURING THE PERIOD]]-TAX_CERTIFICATE[[#This Row],[TOTAL REDEMPTION AT COST DURING THE PERIOD]]</f>
        <v>0</v>
      </c>
      <c r="O17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74" s="6"/>
      <c r="Q174" s="6"/>
      <c r="R174" s="6"/>
    </row>
    <row r="175" spans="1:18">
      <c r="A175" t="s">
        <v>208</v>
      </c>
      <c r="B17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7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75" s="6">
        <f>TAX_CERTIFICATE[[#This Row],[BEGINNING PERIOD UNITS]]*$AA$2</f>
        <v>0</v>
      </c>
      <c r="E175" s="6">
        <f>TAX_CERTIFICATE[[#This Row],[BEGINNING PERIOD MARKET VALUE]]-TAX_CERTIFICATE[[#This Row],[BEGINNING PERIOD COST VALUE]]</f>
        <v>0</v>
      </c>
      <c r="F17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7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75" s="6">
        <f>TAX_CERTIFICATE[[#This Row],[ENDING PERIOD UNITS]]*$AA$3</f>
        <v>0</v>
      </c>
      <c r="I175" s="6">
        <f>TAX_CERTIFICATE[[#This Row],[ENDING PERIOD MARKET VALUE]]-TAX_CERTIFICATE[[#This Row],[ENDING PERIOD COST VALUE]]</f>
        <v>0</v>
      </c>
      <c r="J17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7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7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7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75" s="6">
        <f>TAX_CERTIFICATE[[#This Row],[TOTAL ADDITION AT COST DURING THE PERIOD]]-TAX_CERTIFICATE[[#This Row],[TOTAL REDEMPTION AT COST DURING THE PERIOD]]</f>
        <v>0</v>
      </c>
      <c r="O17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75" s="6"/>
      <c r="Q175" s="6"/>
      <c r="R175" s="6"/>
    </row>
    <row r="176" spans="1:18">
      <c r="A176" t="s">
        <v>209</v>
      </c>
      <c r="B17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7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76" s="6">
        <f>TAX_CERTIFICATE[[#This Row],[BEGINNING PERIOD UNITS]]*$AA$2</f>
        <v>0</v>
      </c>
      <c r="E176" s="6">
        <f>TAX_CERTIFICATE[[#This Row],[BEGINNING PERIOD MARKET VALUE]]-TAX_CERTIFICATE[[#This Row],[BEGINNING PERIOD COST VALUE]]</f>
        <v>0</v>
      </c>
      <c r="F17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7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76" s="6">
        <f>TAX_CERTIFICATE[[#This Row],[ENDING PERIOD UNITS]]*$AA$3</f>
        <v>0</v>
      </c>
      <c r="I176" s="6">
        <f>TAX_CERTIFICATE[[#This Row],[ENDING PERIOD MARKET VALUE]]-TAX_CERTIFICATE[[#This Row],[ENDING PERIOD COST VALUE]]</f>
        <v>0</v>
      </c>
      <c r="J17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7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7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7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76" s="6">
        <f>TAX_CERTIFICATE[[#This Row],[TOTAL ADDITION AT COST DURING THE PERIOD]]-TAX_CERTIFICATE[[#This Row],[TOTAL REDEMPTION AT COST DURING THE PERIOD]]</f>
        <v>0</v>
      </c>
      <c r="O17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76" s="6"/>
      <c r="Q176" s="6"/>
      <c r="R176" s="6"/>
    </row>
    <row r="177" spans="1:18">
      <c r="A177" t="s">
        <v>210</v>
      </c>
      <c r="B17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7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77" s="6">
        <f>TAX_CERTIFICATE[[#This Row],[BEGINNING PERIOD UNITS]]*$AA$2</f>
        <v>0</v>
      </c>
      <c r="E177" s="6">
        <f>TAX_CERTIFICATE[[#This Row],[BEGINNING PERIOD MARKET VALUE]]-TAX_CERTIFICATE[[#This Row],[BEGINNING PERIOD COST VALUE]]</f>
        <v>0</v>
      </c>
      <c r="F17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7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77" s="6">
        <f>TAX_CERTIFICATE[[#This Row],[ENDING PERIOD UNITS]]*$AA$3</f>
        <v>0</v>
      </c>
      <c r="I177" s="6">
        <f>TAX_CERTIFICATE[[#This Row],[ENDING PERIOD MARKET VALUE]]-TAX_CERTIFICATE[[#This Row],[ENDING PERIOD COST VALUE]]</f>
        <v>0</v>
      </c>
      <c r="J17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7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7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7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77" s="6">
        <f>TAX_CERTIFICATE[[#This Row],[TOTAL ADDITION AT COST DURING THE PERIOD]]-TAX_CERTIFICATE[[#This Row],[TOTAL REDEMPTION AT COST DURING THE PERIOD]]</f>
        <v>0</v>
      </c>
      <c r="O17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77" s="6"/>
      <c r="Q177" s="6"/>
      <c r="R177" s="6"/>
    </row>
    <row r="178" spans="1:18">
      <c r="A178" t="s">
        <v>211</v>
      </c>
      <c r="B17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7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78" s="6">
        <f>TAX_CERTIFICATE[[#This Row],[BEGINNING PERIOD UNITS]]*$AA$2</f>
        <v>0</v>
      </c>
      <c r="E178" s="6">
        <f>TAX_CERTIFICATE[[#This Row],[BEGINNING PERIOD MARKET VALUE]]-TAX_CERTIFICATE[[#This Row],[BEGINNING PERIOD COST VALUE]]</f>
        <v>0</v>
      </c>
      <c r="F17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7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78" s="6">
        <f>TAX_CERTIFICATE[[#This Row],[ENDING PERIOD UNITS]]*$AA$3</f>
        <v>0</v>
      </c>
      <c r="I178" s="6">
        <f>TAX_CERTIFICATE[[#This Row],[ENDING PERIOD MARKET VALUE]]-TAX_CERTIFICATE[[#This Row],[ENDING PERIOD COST VALUE]]</f>
        <v>0</v>
      </c>
      <c r="J17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7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7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7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78" s="6">
        <f>TAX_CERTIFICATE[[#This Row],[TOTAL ADDITION AT COST DURING THE PERIOD]]-TAX_CERTIFICATE[[#This Row],[TOTAL REDEMPTION AT COST DURING THE PERIOD]]</f>
        <v>0</v>
      </c>
      <c r="O17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78" s="6"/>
      <c r="Q178" s="6"/>
      <c r="R178" s="6"/>
    </row>
    <row r="179" spans="1:18">
      <c r="A179" t="s">
        <v>212</v>
      </c>
      <c r="B17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7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79" s="6">
        <f>TAX_CERTIFICATE[[#This Row],[BEGINNING PERIOD UNITS]]*$AA$2</f>
        <v>0</v>
      </c>
      <c r="E179" s="6">
        <f>TAX_CERTIFICATE[[#This Row],[BEGINNING PERIOD MARKET VALUE]]-TAX_CERTIFICATE[[#This Row],[BEGINNING PERIOD COST VALUE]]</f>
        <v>0</v>
      </c>
      <c r="F17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7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79" s="6">
        <f>TAX_CERTIFICATE[[#This Row],[ENDING PERIOD UNITS]]*$AA$3</f>
        <v>0</v>
      </c>
      <c r="I179" s="6">
        <f>TAX_CERTIFICATE[[#This Row],[ENDING PERIOD MARKET VALUE]]-TAX_CERTIFICATE[[#This Row],[ENDING PERIOD COST VALUE]]</f>
        <v>0</v>
      </c>
      <c r="J17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7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7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7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79" s="6">
        <f>TAX_CERTIFICATE[[#This Row],[TOTAL ADDITION AT COST DURING THE PERIOD]]-TAX_CERTIFICATE[[#This Row],[TOTAL REDEMPTION AT COST DURING THE PERIOD]]</f>
        <v>0</v>
      </c>
      <c r="O17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79" s="6"/>
      <c r="Q179" s="6"/>
      <c r="R179" s="6"/>
    </row>
    <row r="180" spans="1:18">
      <c r="A180" t="s">
        <v>213</v>
      </c>
      <c r="B18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8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80" s="6">
        <f>TAX_CERTIFICATE[[#This Row],[BEGINNING PERIOD UNITS]]*$AA$2</f>
        <v>0</v>
      </c>
      <c r="E180" s="6">
        <f>TAX_CERTIFICATE[[#This Row],[BEGINNING PERIOD MARKET VALUE]]-TAX_CERTIFICATE[[#This Row],[BEGINNING PERIOD COST VALUE]]</f>
        <v>0</v>
      </c>
      <c r="F18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8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80" s="6">
        <f>TAX_CERTIFICATE[[#This Row],[ENDING PERIOD UNITS]]*$AA$3</f>
        <v>0</v>
      </c>
      <c r="I180" s="6">
        <f>TAX_CERTIFICATE[[#This Row],[ENDING PERIOD MARKET VALUE]]-TAX_CERTIFICATE[[#This Row],[ENDING PERIOD COST VALUE]]</f>
        <v>0</v>
      </c>
      <c r="J18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8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8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8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80" s="6">
        <f>TAX_CERTIFICATE[[#This Row],[TOTAL ADDITION AT COST DURING THE PERIOD]]-TAX_CERTIFICATE[[#This Row],[TOTAL REDEMPTION AT COST DURING THE PERIOD]]</f>
        <v>0</v>
      </c>
      <c r="O18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80" s="6"/>
      <c r="Q180" s="6"/>
      <c r="R180" s="6"/>
    </row>
    <row r="181" spans="1:18">
      <c r="A181" t="s">
        <v>214</v>
      </c>
      <c r="B18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8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81" s="6">
        <f>TAX_CERTIFICATE[[#This Row],[BEGINNING PERIOD UNITS]]*$AA$2</f>
        <v>0</v>
      </c>
      <c r="E181" s="6">
        <f>TAX_CERTIFICATE[[#This Row],[BEGINNING PERIOD MARKET VALUE]]-TAX_CERTIFICATE[[#This Row],[BEGINNING PERIOD COST VALUE]]</f>
        <v>0</v>
      </c>
      <c r="F18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8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81" s="6">
        <f>TAX_CERTIFICATE[[#This Row],[ENDING PERIOD UNITS]]*$AA$3</f>
        <v>0</v>
      </c>
      <c r="I181" s="6">
        <f>TAX_CERTIFICATE[[#This Row],[ENDING PERIOD MARKET VALUE]]-TAX_CERTIFICATE[[#This Row],[ENDING PERIOD COST VALUE]]</f>
        <v>0</v>
      </c>
      <c r="J18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8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8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8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81" s="6">
        <f>TAX_CERTIFICATE[[#This Row],[TOTAL ADDITION AT COST DURING THE PERIOD]]-TAX_CERTIFICATE[[#This Row],[TOTAL REDEMPTION AT COST DURING THE PERIOD]]</f>
        <v>0</v>
      </c>
      <c r="O18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81" s="6"/>
      <c r="Q181" s="6"/>
      <c r="R181" s="6"/>
    </row>
    <row r="182" spans="1:18">
      <c r="A182" t="s">
        <v>215</v>
      </c>
      <c r="B18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8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82" s="6">
        <f>TAX_CERTIFICATE[[#This Row],[BEGINNING PERIOD UNITS]]*$AA$2</f>
        <v>0</v>
      </c>
      <c r="E182" s="6">
        <f>TAX_CERTIFICATE[[#This Row],[BEGINNING PERIOD MARKET VALUE]]-TAX_CERTIFICATE[[#This Row],[BEGINNING PERIOD COST VALUE]]</f>
        <v>0</v>
      </c>
      <c r="F18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8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82" s="6">
        <f>TAX_CERTIFICATE[[#This Row],[ENDING PERIOD UNITS]]*$AA$3</f>
        <v>0</v>
      </c>
      <c r="I182" s="6">
        <f>TAX_CERTIFICATE[[#This Row],[ENDING PERIOD MARKET VALUE]]-TAX_CERTIFICATE[[#This Row],[ENDING PERIOD COST VALUE]]</f>
        <v>0</v>
      </c>
      <c r="J18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8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8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8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82" s="6">
        <f>TAX_CERTIFICATE[[#This Row],[TOTAL ADDITION AT COST DURING THE PERIOD]]-TAX_CERTIFICATE[[#This Row],[TOTAL REDEMPTION AT COST DURING THE PERIOD]]</f>
        <v>0</v>
      </c>
      <c r="O18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82" s="6"/>
      <c r="Q182" s="6"/>
      <c r="R182" s="6"/>
    </row>
    <row r="183" spans="1:18">
      <c r="A183" t="s">
        <v>216</v>
      </c>
      <c r="B183" s="2">
        <f>SUMIFS(LS[Unit],LS[Investor ID],TAX_CERTIFICATE[[#This Row],[INVESTOR CODE]],LS[Date Value],"&lt;"&amp;$Z$2)+SUMIFS(SIP[Unit],SIP[Investor ID],TAX_CERTIFICATE[[#This Row],[INVESTOR CODE]],SIP[Date Value],"&lt;"&amp;$Z$2)</f>
        <v>399092</v>
      </c>
      <c r="C18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3990920</v>
      </c>
      <c r="D183" s="6">
        <f>TAX_CERTIFICATE[[#This Row],[BEGINNING PERIOD UNITS]]*$AA$2</f>
        <v>3978947.24</v>
      </c>
      <c r="E183" s="6">
        <f>TAX_CERTIFICATE[[#This Row],[BEGINNING PERIOD MARKET VALUE]]-TAX_CERTIFICATE[[#This Row],[BEGINNING PERIOD COST VALUE]]</f>
        <v>-11972.759999999776</v>
      </c>
      <c r="F183" s="33">
        <f>SUMIFS(LS[Unit],LS[Investor ID],TAX_CERTIFICATE[[#This Row],[INVESTOR CODE]],LS[Date Value],"&lt;="&amp;$Z$3)+SUMIFS(SIP[Unit],SIP[Investor ID],TAX_CERTIFICATE[[#This Row],[INVESTOR CODE]],SIP[Date Value],"&lt;="&amp;$Z$3)</f>
        <v>159188</v>
      </c>
      <c r="G18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1591382.38650198</v>
      </c>
      <c r="H183" s="6">
        <f>TAX_CERTIFICATE[[#This Row],[ENDING PERIOD UNITS]]*$AA$3</f>
        <v>1582965.4720000001</v>
      </c>
      <c r="I183" s="6">
        <f>TAX_CERTIFICATE[[#This Row],[ENDING PERIOD MARKET VALUE]]-TAX_CERTIFICATE[[#This Row],[ENDING PERIOD COST VALUE]]</f>
        <v>-8416.9145019799471</v>
      </c>
      <c r="J18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4424</v>
      </c>
      <c r="K18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43585.020000000004</v>
      </c>
      <c r="L18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244328</v>
      </c>
      <c r="M18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2443122.6334980195</v>
      </c>
      <c r="N183" s="6">
        <f>TAX_CERTIFICATE[[#This Row],[TOTAL ADDITION AT COST DURING THE PERIOD]]-TAX_CERTIFICATE[[#This Row],[TOTAL REDEMPTION AT COST DURING THE PERIOD]]</f>
        <v>-2399537.6134980195</v>
      </c>
      <c r="O18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56877.366501980621</v>
      </c>
      <c r="P183" s="6"/>
      <c r="Q183" s="6"/>
      <c r="R183" s="6"/>
    </row>
    <row r="184" spans="1:18">
      <c r="A184" t="s">
        <v>217</v>
      </c>
      <c r="B18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8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84" s="6">
        <f>TAX_CERTIFICATE[[#This Row],[BEGINNING PERIOD UNITS]]*$AA$2</f>
        <v>0</v>
      </c>
      <c r="E184" s="6">
        <f>TAX_CERTIFICATE[[#This Row],[BEGINNING PERIOD MARKET VALUE]]-TAX_CERTIFICATE[[#This Row],[BEGINNING PERIOD COST VALUE]]</f>
        <v>0</v>
      </c>
      <c r="F18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8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84" s="6">
        <f>TAX_CERTIFICATE[[#This Row],[ENDING PERIOD UNITS]]*$AA$3</f>
        <v>0</v>
      </c>
      <c r="I184" s="6">
        <f>TAX_CERTIFICATE[[#This Row],[ENDING PERIOD MARKET VALUE]]-TAX_CERTIFICATE[[#This Row],[ENDING PERIOD COST VALUE]]</f>
        <v>0</v>
      </c>
      <c r="J18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8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8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8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84" s="6">
        <f>TAX_CERTIFICATE[[#This Row],[TOTAL ADDITION AT COST DURING THE PERIOD]]-TAX_CERTIFICATE[[#This Row],[TOTAL REDEMPTION AT COST DURING THE PERIOD]]</f>
        <v>0</v>
      </c>
      <c r="O18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84" s="6"/>
      <c r="Q184" s="6"/>
      <c r="R184" s="6"/>
    </row>
    <row r="185" spans="1:18">
      <c r="A185" t="s">
        <v>218</v>
      </c>
      <c r="B18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8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85" s="6">
        <f>TAX_CERTIFICATE[[#This Row],[BEGINNING PERIOD UNITS]]*$AA$2</f>
        <v>0</v>
      </c>
      <c r="E185" s="6">
        <f>TAX_CERTIFICATE[[#This Row],[BEGINNING PERIOD MARKET VALUE]]-TAX_CERTIFICATE[[#This Row],[BEGINNING PERIOD COST VALUE]]</f>
        <v>0</v>
      </c>
      <c r="F18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8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85" s="6">
        <f>TAX_CERTIFICATE[[#This Row],[ENDING PERIOD UNITS]]*$AA$3</f>
        <v>0</v>
      </c>
      <c r="I185" s="6">
        <f>TAX_CERTIFICATE[[#This Row],[ENDING PERIOD MARKET VALUE]]-TAX_CERTIFICATE[[#This Row],[ENDING PERIOD COST VALUE]]</f>
        <v>0</v>
      </c>
      <c r="J18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8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8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8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85" s="6">
        <f>TAX_CERTIFICATE[[#This Row],[TOTAL ADDITION AT COST DURING THE PERIOD]]-TAX_CERTIFICATE[[#This Row],[TOTAL REDEMPTION AT COST DURING THE PERIOD]]</f>
        <v>0</v>
      </c>
      <c r="O18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85" s="6"/>
      <c r="Q185" s="6"/>
      <c r="R185" s="6"/>
    </row>
    <row r="186" spans="1:18">
      <c r="A186" t="s">
        <v>219</v>
      </c>
      <c r="B18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8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86" s="6">
        <f>TAX_CERTIFICATE[[#This Row],[BEGINNING PERIOD UNITS]]*$AA$2</f>
        <v>0</v>
      </c>
      <c r="E186" s="6">
        <f>TAX_CERTIFICATE[[#This Row],[BEGINNING PERIOD MARKET VALUE]]-TAX_CERTIFICATE[[#This Row],[BEGINNING PERIOD COST VALUE]]</f>
        <v>0</v>
      </c>
      <c r="F18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8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86" s="6">
        <f>TAX_CERTIFICATE[[#This Row],[ENDING PERIOD UNITS]]*$AA$3</f>
        <v>0</v>
      </c>
      <c r="I186" s="6">
        <f>TAX_CERTIFICATE[[#This Row],[ENDING PERIOD MARKET VALUE]]-TAX_CERTIFICATE[[#This Row],[ENDING PERIOD COST VALUE]]</f>
        <v>0</v>
      </c>
      <c r="J18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8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8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8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86" s="6">
        <f>TAX_CERTIFICATE[[#This Row],[TOTAL ADDITION AT COST DURING THE PERIOD]]-TAX_CERTIFICATE[[#This Row],[TOTAL REDEMPTION AT COST DURING THE PERIOD]]</f>
        <v>0</v>
      </c>
      <c r="O18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86" s="6"/>
      <c r="Q186" s="6"/>
      <c r="R186" s="6"/>
    </row>
    <row r="187" spans="1:18">
      <c r="A187" t="s">
        <v>497</v>
      </c>
      <c r="B18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8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87" s="6">
        <f>TAX_CERTIFICATE[[#This Row],[BEGINNING PERIOD UNITS]]*$AA$2</f>
        <v>0</v>
      </c>
      <c r="E187" s="6">
        <f>TAX_CERTIFICATE[[#This Row],[BEGINNING PERIOD MARKET VALUE]]-TAX_CERTIFICATE[[#This Row],[BEGINNING PERIOD COST VALUE]]</f>
        <v>0</v>
      </c>
      <c r="F18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8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87" s="6">
        <f>TAX_CERTIFICATE[[#This Row],[ENDING PERIOD UNITS]]*$AA$3</f>
        <v>0</v>
      </c>
      <c r="I187" s="6">
        <f>TAX_CERTIFICATE[[#This Row],[ENDING PERIOD MARKET VALUE]]-TAX_CERTIFICATE[[#This Row],[ENDING PERIOD COST VALUE]]</f>
        <v>0</v>
      </c>
      <c r="J18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8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8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8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87" s="6">
        <f>TAX_CERTIFICATE[[#This Row],[TOTAL ADDITION AT COST DURING THE PERIOD]]-TAX_CERTIFICATE[[#This Row],[TOTAL REDEMPTION AT COST DURING THE PERIOD]]</f>
        <v>0</v>
      </c>
      <c r="O18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87" s="6"/>
      <c r="Q187" s="6"/>
      <c r="R187" s="6"/>
    </row>
    <row r="188" spans="1:18">
      <c r="A188" t="s">
        <v>220</v>
      </c>
      <c r="B18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8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88" s="6">
        <f>TAX_CERTIFICATE[[#This Row],[BEGINNING PERIOD UNITS]]*$AA$2</f>
        <v>0</v>
      </c>
      <c r="E188" s="6">
        <f>TAX_CERTIFICATE[[#This Row],[BEGINNING PERIOD MARKET VALUE]]-TAX_CERTIFICATE[[#This Row],[BEGINNING PERIOD COST VALUE]]</f>
        <v>0</v>
      </c>
      <c r="F18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8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88" s="6">
        <f>TAX_CERTIFICATE[[#This Row],[ENDING PERIOD UNITS]]*$AA$3</f>
        <v>0</v>
      </c>
      <c r="I188" s="6">
        <f>TAX_CERTIFICATE[[#This Row],[ENDING PERIOD MARKET VALUE]]-TAX_CERTIFICATE[[#This Row],[ENDING PERIOD COST VALUE]]</f>
        <v>0</v>
      </c>
      <c r="J18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8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8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8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88" s="6">
        <f>TAX_CERTIFICATE[[#This Row],[TOTAL ADDITION AT COST DURING THE PERIOD]]-TAX_CERTIFICATE[[#This Row],[TOTAL REDEMPTION AT COST DURING THE PERIOD]]</f>
        <v>0</v>
      </c>
      <c r="O18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88" s="6"/>
      <c r="Q188" s="6"/>
      <c r="R188" s="6"/>
    </row>
    <row r="189" spans="1:18">
      <c r="A189" t="s">
        <v>221</v>
      </c>
      <c r="B189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18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189" s="6">
        <f>TAX_CERTIFICATE[[#This Row],[BEGINNING PERIOD UNITS]]*$AA$2</f>
        <v>997000.00000000012</v>
      </c>
      <c r="E189" s="6">
        <f>TAX_CERTIFICATE[[#This Row],[BEGINNING PERIOD MARKET VALUE]]-TAX_CERTIFICATE[[#This Row],[BEGINNING PERIOD COST VALUE]]</f>
        <v>-2999.9999999998836</v>
      </c>
      <c r="F189" s="33">
        <f>SUMIFS(LS[Unit],LS[Investor ID],TAX_CERTIFICATE[[#This Row],[INVESTOR CODE]],LS[Date Value],"&lt;="&amp;$Z$3)+SUMIFS(SIP[Unit],SIP[Investor ID],TAX_CERTIFICATE[[#This Row],[INVESTOR CODE]],SIP[Date Value],"&lt;="&amp;$Z$3)</f>
        <v>6000</v>
      </c>
      <c r="G18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60000</v>
      </c>
      <c r="H189" s="6">
        <f>TAX_CERTIFICATE[[#This Row],[ENDING PERIOD UNITS]]*$AA$3</f>
        <v>59664.000000000007</v>
      </c>
      <c r="I189" s="6">
        <f>TAX_CERTIFICATE[[#This Row],[ENDING PERIOD MARKET VALUE]]-TAX_CERTIFICATE[[#This Row],[ENDING PERIOD COST VALUE]]</f>
        <v>-335.99999999999272</v>
      </c>
      <c r="J18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8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8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94000</v>
      </c>
      <c r="M18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940000</v>
      </c>
      <c r="N189" s="6">
        <f>TAX_CERTIFICATE[[#This Row],[TOTAL ADDITION AT COST DURING THE PERIOD]]-TAX_CERTIFICATE[[#This Row],[TOTAL REDEMPTION AT COST DURING THE PERIOD]]</f>
        <v>-940000</v>
      </c>
      <c r="O18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32053.999999999935</v>
      </c>
      <c r="P189" s="6"/>
      <c r="Q189" s="6"/>
      <c r="R189" s="6"/>
    </row>
    <row r="190" spans="1:18">
      <c r="A190" t="s">
        <v>223</v>
      </c>
      <c r="B19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9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90" s="6">
        <f>TAX_CERTIFICATE[[#This Row],[BEGINNING PERIOD UNITS]]*$AA$2</f>
        <v>0</v>
      </c>
      <c r="E190" s="6">
        <f>TAX_CERTIFICATE[[#This Row],[BEGINNING PERIOD MARKET VALUE]]-TAX_CERTIFICATE[[#This Row],[BEGINNING PERIOD COST VALUE]]</f>
        <v>0</v>
      </c>
      <c r="F19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9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90" s="6">
        <f>TAX_CERTIFICATE[[#This Row],[ENDING PERIOD UNITS]]*$AA$3</f>
        <v>0</v>
      </c>
      <c r="I190" s="6">
        <f>TAX_CERTIFICATE[[#This Row],[ENDING PERIOD MARKET VALUE]]-TAX_CERTIFICATE[[#This Row],[ENDING PERIOD COST VALUE]]</f>
        <v>0</v>
      </c>
      <c r="J19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9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9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9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90" s="6">
        <f>TAX_CERTIFICATE[[#This Row],[TOTAL ADDITION AT COST DURING THE PERIOD]]-TAX_CERTIFICATE[[#This Row],[TOTAL REDEMPTION AT COST DURING THE PERIOD]]</f>
        <v>0</v>
      </c>
      <c r="O19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90" s="6"/>
      <c r="Q190" s="6"/>
      <c r="R190" s="6"/>
    </row>
    <row r="191" spans="1:18">
      <c r="A191" t="s">
        <v>225</v>
      </c>
      <c r="B19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9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91" s="6">
        <f>TAX_CERTIFICATE[[#This Row],[BEGINNING PERIOD UNITS]]*$AA$2</f>
        <v>0</v>
      </c>
      <c r="E191" s="6">
        <f>TAX_CERTIFICATE[[#This Row],[BEGINNING PERIOD MARKET VALUE]]-TAX_CERTIFICATE[[#This Row],[BEGINNING PERIOD COST VALUE]]</f>
        <v>0</v>
      </c>
      <c r="F19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9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91" s="6">
        <f>TAX_CERTIFICATE[[#This Row],[ENDING PERIOD UNITS]]*$AA$3</f>
        <v>0</v>
      </c>
      <c r="I191" s="6">
        <f>TAX_CERTIFICATE[[#This Row],[ENDING PERIOD MARKET VALUE]]-TAX_CERTIFICATE[[#This Row],[ENDING PERIOD COST VALUE]]</f>
        <v>0</v>
      </c>
      <c r="J19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9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9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9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91" s="6">
        <f>TAX_CERTIFICATE[[#This Row],[TOTAL ADDITION AT COST DURING THE PERIOD]]-TAX_CERTIFICATE[[#This Row],[TOTAL REDEMPTION AT COST DURING THE PERIOD]]</f>
        <v>0</v>
      </c>
      <c r="O19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91" s="6"/>
      <c r="Q191" s="6"/>
      <c r="R191" s="6"/>
    </row>
    <row r="192" spans="1:18">
      <c r="A192" t="s">
        <v>227</v>
      </c>
      <c r="B19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9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92" s="6">
        <f>TAX_CERTIFICATE[[#This Row],[BEGINNING PERIOD UNITS]]*$AA$2</f>
        <v>0</v>
      </c>
      <c r="E192" s="6">
        <f>TAX_CERTIFICATE[[#This Row],[BEGINNING PERIOD MARKET VALUE]]-TAX_CERTIFICATE[[#This Row],[BEGINNING PERIOD COST VALUE]]</f>
        <v>0</v>
      </c>
      <c r="F19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9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92" s="6">
        <f>TAX_CERTIFICATE[[#This Row],[ENDING PERIOD UNITS]]*$AA$3</f>
        <v>0</v>
      </c>
      <c r="I192" s="6">
        <f>TAX_CERTIFICATE[[#This Row],[ENDING PERIOD MARKET VALUE]]-TAX_CERTIFICATE[[#This Row],[ENDING PERIOD COST VALUE]]</f>
        <v>0</v>
      </c>
      <c r="J19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9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9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9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92" s="6">
        <f>TAX_CERTIFICATE[[#This Row],[TOTAL ADDITION AT COST DURING THE PERIOD]]-TAX_CERTIFICATE[[#This Row],[TOTAL REDEMPTION AT COST DURING THE PERIOD]]</f>
        <v>0</v>
      </c>
      <c r="O19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92" s="6"/>
      <c r="Q192" s="6"/>
      <c r="R192" s="6"/>
    </row>
    <row r="193" spans="1:18">
      <c r="A193" t="s">
        <v>228</v>
      </c>
      <c r="B19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9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93" s="6">
        <f>TAX_CERTIFICATE[[#This Row],[BEGINNING PERIOD UNITS]]*$AA$2</f>
        <v>0</v>
      </c>
      <c r="E193" s="6">
        <f>TAX_CERTIFICATE[[#This Row],[BEGINNING PERIOD MARKET VALUE]]-TAX_CERTIFICATE[[#This Row],[BEGINNING PERIOD COST VALUE]]</f>
        <v>0</v>
      </c>
      <c r="F19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9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93" s="6">
        <f>TAX_CERTIFICATE[[#This Row],[ENDING PERIOD UNITS]]*$AA$3</f>
        <v>0</v>
      </c>
      <c r="I193" s="6">
        <f>TAX_CERTIFICATE[[#This Row],[ENDING PERIOD MARKET VALUE]]-TAX_CERTIFICATE[[#This Row],[ENDING PERIOD COST VALUE]]</f>
        <v>0</v>
      </c>
      <c r="J19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9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9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9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93" s="6">
        <f>TAX_CERTIFICATE[[#This Row],[TOTAL ADDITION AT COST DURING THE PERIOD]]-TAX_CERTIFICATE[[#This Row],[TOTAL REDEMPTION AT COST DURING THE PERIOD]]</f>
        <v>0</v>
      </c>
      <c r="O19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93" s="6"/>
      <c r="Q193" s="6"/>
      <c r="R193" s="6"/>
    </row>
    <row r="194" spans="1:18">
      <c r="A194" t="s">
        <v>230</v>
      </c>
      <c r="B194" s="2">
        <f>SUMIFS(LS[Unit],LS[Investor ID],TAX_CERTIFICATE[[#This Row],[INVESTOR CODE]],LS[Date Value],"&lt;"&amp;$Z$2)+SUMIFS(SIP[Unit],SIP[Investor ID],TAX_CERTIFICATE[[#This Row],[INVESTOR CODE]],SIP[Date Value],"&lt;"&amp;$Z$2)</f>
        <v>199598</v>
      </c>
      <c r="C19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1995980</v>
      </c>
      <c r="D194" s="6">
        <f>TAX_CERTIFICATE[[#This Row],[BEGINNING PERIOD UNITS]]*$AA$2</f>
        <v>1989992.06</v>
      </c>
      <c r="E194" s="6">
        <f>TAX_CERTIFICATE[[#This Row],[BEGINNING PERIOD MARKET VALUE]]-TAX_CERTIFICATE[[#This Row],[BEGINNING PERIOD COST VALUE]]</f>
        <v>-5987.9399999999441</v>
      </c>
      <c r="F194" s="33">
        <f>SUMIFS(LS[Unit],LS[Investor ID],TAX_CERTIFICATE[[#This Row],[INVESTOR CODE]],LS[Date Value],"&lt;="&amp;$Z$3)+SUMIFS(SIP[Unit],SIP[Investor ID],TAX_CERTIFICATE[[#This Row],[INVESTOR CODE]],SIP[Date Value],"&lt;="&amp;$Z$3)</f>
        <v>203903</v>
      </c>
      <c r="G19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2038394.5699999998</v>
      </c>
      <c r="H194" s="6">
        <f>TAX_CERTIFICATE[[#This Row],[ENDING PERIOD UNITS]]*$AA$3</f>
        <v>2027611.4320000003</v>
      </c>
      <c r="I194" s="6">
        <f>TAX_CERTIFICATE[[#This Row],[ENDING PERIOD MARKET VALUE]]-TAX_CERTIFICATE[[#This Row],[ENDING PERIOD COST VALUE]]</f>
        <v>-10783.13799999957</v>
      </c>
      <c r="J19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4305</v>
      </c>
      <c r="K19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42414.57</v>
      </c>
      <c r="L19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9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94" s="6">
        <f>TAX_CERTIFICATE[[#This Row],[TOTAL ADDITION AT COST DURING THE PERIOD]]-TAX_CERTIFICATE[[#This Row],[TOTAL REDEMPTION AT COST DURING THE PERIOD]]</f>
        <v>42414.57</v>
      </c>
      <c r="O19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94" s="6"/>
      <c r="Q194" s="6"/>
      <c r="R194" s="6"/>
    </row>
    <row r="195" spans="1:18">
      <c r="A195" t="s">
        <v>232</v>
      </c>
      <c r="B19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9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95" s="6">
        <f>TAX_CERTIFICATE[[#This Row],[BEGINNING PERIOD UNITS]]*$AA$2</f>
        <v>0</v>
      </c>
      <c r="E195" s="6">
        <f>TAX_CERTIFICATE[[#This Row],[BEGINNING PERIOD MARKET VALUE]]-TAX_CERTIFICATE[[#This Row],[BEGINNING PERIOD COST VALUE]]</f>
        <v>0</v>
      </c>
      <c r="F19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9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95" s="6">
        <f>TAX_CERTIFICATE[[#This Row],[ENDING PERIOD UNITS]]*$AA$3</f>
        <v>0</v>
      </c>
      <c r="I195" s="6">
        <f>TAX_CERTIFICATE[[#This Row],[ENDING PERIOD MARKET VALUE]]-TAX_CERTIFICATE[[#This Row],[ENDING PERIOD COST VALUE]]</f>
        <v>0</v>
      </c>
      <c r="J19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9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9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9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95" s="6">
        <f>TAX_CERTIFICATE[[#This Row],[TOTAL ADDITION AT COST DURING THE PERIOD]]-TAX_CERTIFICATE[[#This Row],[TOTAL REDEMPTION AT COST DURING THE PERIOD]]</f>
        <v>0</v>
      </c>
      <c r="O19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95" s="6"/>
      <c r="Q195" s="6"/>
      <c r="R195" s="6"/>
    </row>
    <row r="196" spans="1:18">
      <c r="A196" t="s">
        <v>234</v>
      </c>
      <c r="B19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9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96" s="6">
        <f>TAX_CERTIFICATE[[#This Row],[BEGINNING PERIOD UNITS]]*$AA$2</f>
        <v>0</v>
      </c>
      <c r="E196" s="6">
        <f>TAX_CERTIFICATE[[#This Row],[BEGINNING PERIOD MARKET VALUE]]-TAX_CERTIFICATE[[#This Row],[BEGINNING PERIOD COST VALUE]]</f>
        <v>0</v>
      </c>
      <c r="F19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9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96" s="6">
        <f>TAX_CERTIFICATE[[#This Row],[ENDING PERIOD UNITS]]*$AA$3</f>
        <v>0</v>
      </c>
      <c r="I196" s="6">
        <f>TAX_CERTIFICATE[[#This Row],[ENDING PERIOD MARKET VALUE]]-TAX_CERTIFICATE[[#This Row],[ENDING PERIOD COST VALUE]]</f>
        <v>0</v>
      </c>
      <c r="J19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9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9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9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96" s="6">
        <f>TAX_CERTIFICATE[[#This Row],[TOTAL ADDITION AT COST DURING THE PERIOD]]-TAX_CERTIFICATE[[#This Row],[TOTAL REDEMPTION AT COST DURING THE PERIOD]]</f>
        <v>0</v>
      </c>
      <c r="O19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96" s="6"/>
      <c r="Q196" s="6"/>
      <c r="R196" s="6"/>
    </row>
    <row r="197" spans="1:18">
      <c r="A197" t="s">
        <v>236</v>
      </c>
      <c r="B197" s="2">
        <f>SUMIFS(LS[Unit],LS[Investor ID],TAX_CERTIFICATE[[#This Row],[INVESTOR CODE]],LS[Date Value],"&lt;"&amp;$Z$2)+SUMIFS(SIP[Unit],SIP[Investor ID],TAX_CERTIFICATE[[#This Row],[INVESTOR CODE]],SIP[Date Value],"&lt;"&amp;$Z$2)</f>
        <v>10000</v>
      </c>
      <c r="C19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</v>
      </c>
      <c r="D197" s="6">
        <f>TAX_CERTIFICATE[[#This Row],[BEGINNING PERIOD UNITS]]*$AA$2</f>
        <v>99700</v>
      </c>
      <c r="E197" s="6">
        <f>TAX_CERTIFICATE[[#This Row],[BEGINNING PERIOD MARKET VALUE]]-TAX_CERTIFICATE[[#This Row],[BEGINNING PERIOD COST VALUE]]</f>
        <v>-300</v>
      </c>
      <c r="F197" s="33">
        <f>SUMIFS(LS[Unit],LS[Investor ID],TAX_CERTIFICATE[[#This Row],[INVESTOR CODE]],LS[Date Value],"&lt;="&amp;$Z$3)+SUMIFS(SIP[Unit],SIP[Investor ID],TAX_CERTIFICATE[[#This Row],[INVESTOR CODE]],SIP[Date Value],"&lt;="&amp;$Z$3)</f>
        <v>10216</v>
      </c>
      <c r="G19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102125</v>
      </c>
      <c r="H197" s="6">
        <f>TAX_CERTIFICATE[[#This Row],[ENDING PERIOD UNITS]]*$AA$3</f>
        <v>101587.90400000001</v>
      </c>
      <c r="I197" s="6">
        <f>TAX_CERTIFICATE[[#This Row],[ENDING PERIOD MARKET VALUE]]-TAX_CERTIFICATE[[#This Row],[ENDING PERIOD COST VALUE]]</f>
        <v>-537.09599999999045</v>
      </c>
      <c r="J19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216</v>
      </c>
      <c r="K19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2125</v>
      </c>
      <c r="L19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9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97" s="6">
        <f>TAX_CERTIFICATE[[#This Row],[TOTAL ADDITION AT COST DURING THE PERIOD]]-TAX_CERTIFICATE[[#This Row],[TOTAL REDEMPTION AT COST DURING THE PERIOD]]</f>
        <v>2125</v>
      </c>
      <c r="O19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97" s="6"/>
      <c r="Q197" s="6"/>
      <c r="R197" s="6"/>
    </row>
    <row r="198" spans="1:18">
      <c r="A198" t="s">
        <v>238</v>
      </c>
      <c r="B198" s="2">
        <f>SUMIFS(LS[Unit],LS[Investor ID],TAX_CERTIFICATE[[#This Row],[INVESTOR CODE]],LS[Date Value],"&lt;"&amp;$Z$2)+SUMIFS(SIP[Unit],SIP[Investor ID],TAX_CERTIFICATE[[#This Row],[INVESTOR CODE]],SIP[Date Value],"&lt;"&amp;$Z$2)</f>
        <v>41558</v>
      </c>
      <c r="C19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408102.30998171959</v>
      </c>
      <c r="D198" s="6">
        <f>TAX_CERTIFICATE[[#This Row],[BEGINNING PERIOD UNITS]]*$AA$2</f>
        <v>414333.26</v>
      </c>
      <c r="E198" s="6">
        <f>TAX_CERTIFICATE[[#This Row],[BEGINNING PERIOD MARKET VALUE]]-TAX_CERTIFICATE[[#This Row],[BEGINNING PERIOD COST VALUE]]</f>
        <v>6230.9500182804186</v>
      </c>
      <c r="F198" s="33">
        <f>SUMIFS(LS[Unit],LS[Investor ID],TAX_CERTIFICATE[[#This Row],[INVESTOR CODE]],LS[Date Value],"&lt;="&amp;$Z$3)+SUMIFS(SIP[Unit],SIP[Investor ID],TAX_CERTIFICATE[[#This Row],[INVESTOR CODE]],SIP[Date Value],"&lt;="&amp;$Z$3)</f>
        <v>42507</v>
      </c>
      <c r="G19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417452.85998171964</v>
      </c>
      <c r="H198" s="6">
        <f>TAX_CERTIFICATE[[#This Row],[ENDING PERIOD UNITS]]*$AA$3</f>
        <v>422689.60800000001</v>
      </c>
      <c r="I198" s="6">
        <f>TAX_CERTIFICATE[[#This Row],[ENDING PERIOD MARKET VALUE]]-TAX_CERTIFICATE[[#This Row],[ENDING PERIOD COST VALUE]]</f>
        <v>5236.7480182803702</v>
      </c>
      <c r="J19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949</v>
      </c>
      <c r="K19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9350.5499999999993</v>
      </c>
      <c r="L19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9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98" s="6">
        <f>TAX_CERTIFICATE[[#This Row],[TOTAL ADDITION AT COST DURING THE PERIOD]]-TAX_CERTIFICATE[[#This Row],[TOTAL REDEMPTION AT COST DURING THE PERIOD]]</f>
        <v>9350.5499999999993</v>
      </c>
      <c r="O19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98" s="6"/>
      <c r="Q198" s="6"/>
      <c r="R198" s="6"/>
    </row>
    <row r="199" spans="1:18">
      <c r="A199" t="s">
        <v>240</v>
      </c>
      <c r="B19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19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199" s="6">
        <f>TAX_CERTIFICATE[[#This Row],[BEGINNING PERIOD UNITS]]*$AA$2</f>
        <v>0</v>
      </c>
      <c r="E199" s="6">
        <f>TAX_CERTIFICATE[[#This Row],[BEGINNING PERIOD MARKET VALUE]]-TAX_CERTIFICATE[[#This Row],[BEGINNING PERIOD COST VALUE]]</f>
        <v>0</v>
      </c>
      <c r="F19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19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199" s="6">
        <f>TAX_CERTIFICATE[[#This Row],[ENDING PERIOD UNITS]]*$AA$3</f>
        <v>0</v>
      </c>
      <c r="I199" s="6">
        <f>TAX_CERTIFICATE[[#This Row],[ENDING PERIOD MARKET VALUE]]-TAX_CERTIFICATE[[#This Row],[ENDING PERIOD COST VALUE]]</f>
        <v>0</v>
      </c>
      <c r="J19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19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19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19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199" s="6">
        <f>TAX_CERTIFICATE[[#This Row],[TOTAL ADDITION AT COST DURING THE PERIOD]]-TAX_CERTIFICATE[[#This Row],[TOTAL REDEMPTION AT COST DURING THE PERIOD]]</f>
        <v>0</v>
      </c>
      <c r="O19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199" s="6"/>
      <c r="Q199" s="6"/>
      <c r="R199" s="6"/>
    </row>
    <row r="200" spans="1:18">
      <c r="A200" t="s">
        <v>242</v>
      </c>
      <c r="B20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0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00" s="6">
        <f>TAX_CERTIFICATE[[#This Row],[BEGINNING PERIOD UNITS]]*$AA$2</f>
        <v>0</v>
      </c>
      <c r="E200" s="6">
        <f>TAX_CERTIFICATE[[#This Row],[BEGINNING PERIOD MARKET VALUE]]-TAX_CERTIFICATE[[#This Row],[BEGINNING PERIOD COST VALUE]]</f>
        <v>0</v>
      </c>
      <c r="F20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0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00" s="6">
        <f>TAX_CERTIFICATE[[#This Row],[ENDING PERIOD UNITS]]*$AA$3</f>
        <v>0</v>
      </c>
      <c r="I200" s="6">
        <f>TAX_CERTIFICATE[[#This Row],[ENDING PERIOD MARKET VALUE]]-TAX_CERTIFICATE[[#This Row],[ENDING PERIOD COST VALUE]]</f>
        <v>0</v>
      </c>
      <c r="J20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0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0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0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00" s="6">
        <f>TAX_CERTIFICATE[[#This Row],[TOTAL ADDITION AT COST DURING THE PERIOD]]-TAX_CERTIFICATE[[#This Row],[TOTAL REDEMPTION AT COST DURING THE PERIOD]]</f>
        <v>0</v>
      </c>
      <c r="O20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00" s="6"/>
      <c r="Q200" s="6"/>
      <c r="R200" s="6"/>
    </row>
    <row r="201" spans="1:18">
      <c r="A201" t="s">
        <v>244</v>
      </c>
      <c r="B20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0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01" s="6">
        <f>TAX_CERTIFICATE[[#This Row],[BEGINNING PERIOD UNITS]]*$AA$2</f>
        <v>0</v>
      </c>
      <c r="E201" s="6">
        <f>TAX_CERTIFICATE[[#This Row],[BEGINNING PERIOD MARKET VALUE]]-TAX_CERTIFICATE[[#This Row],[BEGINNING PERIOD COST VALUE]]</f>
        <v>0</v>
      </c>
      <c r="F20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0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01" s="6">
        <f>TAX_CERTIFICATE[[#This Row],[ENDING PERIOD UNITS]]*$AA$3</f>
        <v>0</v>
      </c>
      <c r="I201" s="6">
        <f>TAX_CERTIFICATE[[#This Row],[ENDING PERIOD MARKET VALUE]]-TAX_CERTIFICATE[[#This Row],[ENDING PERIOD COST VALUE]]</f>
        <v>0</v>
      </c>
      <c r="J20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0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0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0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01" s="6">
        <f>TAX_CERTIFICATE[[#This Row],[TOTAL ADDITION AT COST DURING THE PERIOD]]-TAX_CERTIFICATE[[#This Row],[TOTAL REDEMPTION AT COST DURING THE PERIOD]]</f>
        <v>0</v>
      </c>
      <c r="O20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01" s="6"/>
      <c r="Q201" s="6"/>
      <c r="R201" s="6"/>
    </row>
    <row r="202" spans="1:18">
      <c r="A202" t="s">
        <v>245</v>
      </c>
      <c r="B20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0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02" s="6">
        <f>TAX_CERTIFICATE[[#This Row],[BEGINNING PERIOD UNITS]]*$AA$2</f>
        <v>0</v>
      </c>
      <c r="E202" s="6">
        <f>TAX_CERTIFICATE[[#This Row],[BEGINNING PERIOD MARKET VALUE]]-TAX_CERTIFICATE[[#This Row],[BEGINNING PERIOD COST VALUE]]</f>
        <v>0</v>
      </c>
      <c r="F20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0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02" s="6">
        <f>TAX_CERTIFICATE[[#This Row],[ENDING PERIOD UNITS]]*$AA$3</f>
        <v>0</v>
      </c>
      <c r="I202" s="6">
        <f>TAX_CERTIFICATE[[#This Row],[ENDING PERIOD MARKET VALUE]]-TAX_CERTIFICATE[[#This Row],[ENDING PERIOD COST VALUE]]</f>
        <v>0</v>
      </c>
      <c r="J20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0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0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0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02" s="6">
        <f>TAX_CERTIFICATE[[#This Row],[TOTAL ADDITION AT COST DURING THE PERIOD]]-TAX_CERTIFICATE[[#This Row],[TOTAL REDEMPTION AT COST DURING THE PERIOD]]</f>
        <v>0</v>
      </c>
      <c r="O20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02" s="6"/>
      <c r="Q202" s="6"/>
      <c r="R202" s="6"/>
    </row>
    <row r="203" spans="1:18">
      <c r="A203" t="s">
        <v>247</v>
      </c>
      <c r="B203" s="2">
        <f>SUMIFS(LS[Unit],LS[Investor ID],TAX_CERTIFICATE[[#This Row],[INVESTOR CODE]],LS[Date Value],"&lt;"&amp;$Z$2)+SUMIFS(SIP[Unit],SIP[Investor ID],TAX_CERTIFICATE[[#This Row],[INVESTOR CODE]],SIP[Date Value],"&lt;"&amp;$Z$2)</f>
        <v>162767</v>
      </c>
      <c r="C20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1600000</v>
      </c>
      <c r="D203" s="6">
        <f>TAX_CERTIFICATE[[#This Row],[BEGINNING PERIOD UNITS]]*$AA$2</f>
        <v>1622786.99</v>
      </c>
      <c r="E203" s="6">
        <f>TAX_CERTIFICATE[[#This Row],[BEGINNING PERIOD MARKET VALUE]]-TAX_CERTIFICATE[[#This Row],[BEGINNING PERIOD COST VALUE]]</f>
        <v>22786.989999999991</v>
      </c>
      <c r="F203" s="33">
        <f>SUMIFS(LS[Unit],LS[Investor ID],TAX_CERTIFICATE[[#This Row],[INVESTOR CODE]],LS[Date Value],"&lt;="&amp;$Z$3)+SUMIFS(SIP[Unit],SIP[Investor ID],TAX_CERTIFICATE[[#This Row],[INVESTOR CODE]],SIP[Date Value],"&lt;="&amp;$Z$3)</f>
        <v>166278</v>
      </c>
      <c r="G20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1634587.99</v>
      </c>
      <c r="H203" s="6">
        <f>TAX_CERTIFICATE[[#This Row],[ENDING PERIOD UNITS]]*$AA$3</f>
        <v>1653468.432</v>
      </c>
      <c r="I203" s="6">
        <f>TAX_CERTIFICATE[[#This Row],[ENDING PERIOD MARKET VALUE]]-TAX_CERTIFICATE[[#This Row],[ENDING PERIOD COST VALUE]]</f>
        <v>18880.442000000039</v>
      </c>
      <c r="J20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3511</v>
      </c>
      <c r="K20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34587.99</v>
      </c>
      <c r="L20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0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03" s="6">
        <f>TAX_CERTIFICATE[[#This Row],[TOTAL ADDITION AT COST DURING THE PERIOD]]-TAX_CERTIFICATE[[#This Row],[TOTAL REDEMPTION AT COST DURING THE PERIOD]]</f>
        <v>34587.99</v>
      </c>
      <c r="O20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03" s="6"/>
      <c r="Q203" s="6"/>
      <c r="R203" s="6"/>
    </row>
    <row r="204" spans="1:18">
      <c r="A204" t="s">
        <v>249</v>
      </c>
      <c r="B20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0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04" s="6">
        <f>TAX_CERTIFICATE[[#This Row],[BEGINNING PERIOD UNITS]]*$AA$2</f>
        <v>0</v>
      </c>
      <c r="E204" s="6">
        <f>TAX_CERTIFICATE[[#This Row],[BEGINNING PERIOD MARKET VALUE]]-TAX_CERTIFICATE[[#This Row],[BEGINNING PERIOD COST VALUE]]</f>
        <v>0</v>
      </c>
      <c r="F20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0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04" s="6">
        <f>TAX_CERTIFICATE[[#This Row],[ENDING PERIOD UNITS]]*$AA$3</f>
        <v>0</v>
      </c>
      <c r="I204" s="6">
        <f>TAX_CERTIFICATE[[#This Row],[ENDING PERIOD MARKET VALUE]]-TAX_CERTIFICATE[[#This Row],[ENDING PERIOD COST VALUE]]</f>
        <v>0</v>
      </c>
      <c r="J20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0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0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0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04" s="6">
        <f>TAX_CERTIFICATE[[#This Row],[TOTAL ADDITION AT COST DURING THE PERIOD]]-TAX_CERTIFICATE[[#This Row],[TOTAL REDEMPTION AT COST DURING THE PERIOD]]</f>
        <v>0</v>
      </c>
      <c r="O20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04" s="6"/>
      <c r="Q204" s="6"/>
      <c r="R204" s="6"/>
    </row>
    <row r="205" spans="1:18">
      <c r="A205" t="s">
        <v>251</v>
      </c>
      <c r="B20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0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05" s="6">
        <f>TAX_CERTIFICATE[[#This Row],[BEGINNING PERIOD UNITS]]*$AA$2</f>
        <v>0</v>
      </c>
      <c r="E205" s="6">
        <f>TAX_CERTIFICATE[[#This Row],[BEGINNING PERIOD MARKET VALUE]]-TAX_CERTIFICATE[[#This Row],[BEGINNING PERIOD COST VALUE]]</f>
        <v>0</v>
      </c>
      <c r="F20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0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05" s="6">
        <f>TAX_CERTIFICATE[[#This Row],[ENDING PERIOD UNITS]]*$AA$3</f>
        <v>0</v>
      </c>
      <c r="I205" s="6">
        <f>TAX_CERTIFICATE[[#This Row],[ENDING PERIOD MARKET VALUE]]-TAX_CERTIFICATE[[#This Row],[ENDING PERIOD COST VALUE]]</f>
        <v>0</v>
      </c>
      <c r="J20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0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0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0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05" s="6">
        <f>TAX_CERTIFICATE[[#This Row],[TOTAL ADDITION AT COST DURING THE PERIOD]]-TAX_CERTIFICATE[[#This Row],[TOTAL REDEMPTION AT COST DURING THE PERIOD]]</f>
        <v>0</v>
      </c>
      <c r="O20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05" s="6"/>
      <c r="Q205" s="6"/>
      <c r="R205" s="6"/>
    </row>
    <row r="206" spans="1:18">
      <c r="A206" t="s">
        <v>252</v>
      </c>
      <c r="B206" s="2">
        <f>SUMIFS(LS[Unit],LS[Investor ID],TAX_CERTIFICATE[[#This Row],[INVESTOR CODE]],LS[Date Value],"&lt;"&amp;$Z$2)+SUMIFS(SIP[Unit],SIP[Investor ID],TAX_CERTIFICATE[[#This Row],[INVESTOR CODE]],SIP[Date Value],"&lt;"&amp;$Z$2)</f>
        <v>5092</v>
      </c>
      <c r="C20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</v>
      </c>
      <c r="D206" s="6">
        <f>TAX_CERTIFICATE[[#This Row],[BEGINNING PERIOD UNITS]]*$AA$2</f>
        <v>50767.240000000005</v>
      </c>
      <c r="E206" s="6">
        <f>TAX_CERTIFICATE[[#This Row],[BEGINNING PERIOD MARKET VALUE]]-TAX_CERTIFICATE[[#This Row],[BEGINNING PERIOD COST VALUE]]</f>
        <v>767.24000000000524</v>
      </c>
      <c r="F206" s="33">
        <f>SUMIFS(LS[Unit],LS[Investor ID],TAX_CERTIFICATE[[#This Row],[INVESTOR CODE]],LS[Date Value],"&lt;="&amp;$Z$3)+SUMIFS(SIP[Unit],SIP[Investor ID],TAX_CERTIFICATE[[#This Row],[INVESTOR CODE]],SIP[Date Value],"&lt;="&amp;$Z$3)</f>
        <v>5202</v>
      </c>
      <c r="G20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51082.05</v>
      </c>
      <c r="H206" s="6">
        <f>TAX_CERTIFICATE[[#This Row],[ENDING PERIOD UNITS]]*$AA$3</f>
        <v>51728.688000000002</v>
      </c>
      <c r="I206" s="6">
        <f>TAX_CERTIFICATE[[#This Row],[ENDING PERIOD MARKET VALUE]]-TAX_CERTIFICATE[[#This Row],[ENDING PERIOD COST VALUE]]</f>
        <v>646.63799999999901</v>
      </c>
      <c r="J20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110</v>
      </c>
      <c r="K20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1082.05</v>
      </c>
      <c r="L20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0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06" s="6">
        <f>TAX_CERTIFICATE[[#This Row],[TOTAL ADDITION AT COST DURING THE PERIOD]]-TAX_CERTIFICATE[[#This Row],[TOTAL REDEMPTION AT COST DURING THE PERIOD]]</f>
        <v>1082.05</v>
      </c>
      <c r="O20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06" s="6"/>
      <c r="Q206" s="6"/>
      <c r="R206" s="6"/>
    </row>
    <row r="207" spans="1:18">
      <c r="A207" t="s">
        <v>254</v>
      </c>
      <c r="B20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0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07" s="6">
        <f>TAX_CERTIFICATE[[#This Row],[BEGINNING PERIOD UNITS]]*$AA$2</f>
        <v>0</v>
      </c>
      <c r="E207" s="6">
        <f>TAX_CERTIFICATE[[#This Row],[BEGINNING PERIOD MARKET VALUE]]-TAX_CERTIFICATE[[#This Row],[BEGINNING PERIOD COST VALUE]]</f>
        <v>0</v>
      </c>
      <c r="F20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0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07" s="6">
        <f>TAX_CERTIFICATE[[#This Row],[ENDING PERIOD UNITS]]*$AA$3</f>
        <v>0</v>
      </c>
      <c r="I207" s="6">
        <f>TAX_CERTIFICATE[[#This Row],[ENDING PERIOD MARKET VALUE]]-TAX_CERTIFICATE[[#This Row],[ENDING PERIOD COST VALUE]]</f>
        <v>0</v>
      </c>
      <c r="J20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0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0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0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07" s="6">
        <f>TAX_CERTIFICATE[[#This Row],[TOTAL ADDITION AT COST DURING THE PERIOD]]-TAX_CERTIFICATE[[#This Row],[TOTAL REDEMPTION AT COST DURING THE PERIOD]]</f>
        <v>0</v>
      </c>
      <c r="O20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07" s="6"/>
      <c r="Q207" s="6"/>
      <c r="R207" s="6"/>
    </row>
    <row r="208" spans="1:18">
      <c r="A208" t="s">
        <v>256</v>
      </c>
      <c r="B20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0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08" s="6">
        <f>TAX_CERTIFICATE[[#This Row],[BEGINNING PERIOD UNITS]]*$AA$2</f>
        <v>0</v>
      </c>
      <c r="E208" s="6">
        <f>TAX_CERTIFICATE[[#This Row],[BEGINNING PERIOD MARKET VALUE]]-TAX_CERTIFICATE[[#This Row],[BEGINNING PERIOD COST VALUE]]</f>
        <v>0</v>
      </c>
      <c r="F20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0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08" s="6">
        <f>TAX_CERTIFICATE[[#This Row],[ENDING PERIOD UNITS]]*$AA$3</f>
        <v>0</v>
      </c>
      <c r="I208" s="6">
        <f>TAX_CERTIFICATE[[#This Row],[ENDING PERIOD MARKET VALUE]]-TAX_CERTIFICATE[[#This Row],[ENDING PERIOD COST VALUE]]</f>
        <v>0</v>
      </c>
      <c r="J20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0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0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0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08" s="6">
        <f>TAX_CERTIFICATE[[#This Row],[TOTAL ADDITION AT COST DURING THE PERIOD]]-TAX_CERTIFICATE[[#This Row],[TOTAL REDEMPTION AT COST DURING THE PERIOD]]</f>
        <v>0</v>
      </c>
      <c r="O20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08" s="6"/>
      <c r="Q208" s="6"/>
      <c r="R208" s="6"/>
    </row>
    <row r="209" spans="1:18">
      <c r="A209" t="s">
        <v>258</v>
      </c>
      <c r="B20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0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09" s="6">
        <f>TAX_CERTIFICATE[[#This Row],[BEGINNING PERIOD UNITS]]*$AA$2</f>
        <v>0</v>
      </c>
      <c r="E209" s="6">
        <f>TAX_CERTIFICATE[[#This Row],[BEGINNING PERIOD MARKET VALUE]]-TAX_CERTIFICATE[[#This Row],[BEGINNING PERIOD COST VALUE]]</f>
        <v>0</v>
      </c>
      <c r="F20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0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09" s="6">
        <f>TAX_CERTIFICATE[[#This Row],[ENDING PERIOD UNITS]]*$AA$3</f>
        <v>0</v>
      </c>
      <c r="I209" s="6">
        <f>TAX_CERTIFICATE[[#This Row],[ENDING PERIOD MARKET VALUE]]-TAX_CERTIFICATE[[#This Row],[ENDING PERIOD COST VALUE]]</f>
        <v>0</v>
      </c>
      <c r="J20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0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0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0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09" s="6">
        <f>TAX_CERTIFICATE[[#This Row],[TOTAL ADDITION AT COST DURING THE PERIOD]]-TAX_CERTIFICATE[[#This Row],[TOTAL REDEMPTION AT COST DURING THE PERIOD]]</f>
        <v>0</v>
      </c>
      <c r="O20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09" s="6"/>
      <c r="Q209" s="6"/>
      <c r="R209" s="6"/>
    </row>
    <row r="210" spans="1:18">
      <c r="A210" t="s">
        <v>260</v>
      </c>
      <c r="B210" s="2">
        <f>SUMIFS(LS[Unit],LS[Investor ID],TAX_CERTIFICATE[[#This Row],[INVESTOR CODE]],LS[Date Value],"&lt;"&amp;$Z$2)+SUMIFS(SIP[Unit],SIP[Investor ID],TAX_CERTIFICATE[[#This Row],[INVESTOR CODE]],SIP[Date Value],"&lt;"&amp;$Z$2)</f>
        <v>100931</v>
      </c>
      <c r="C21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1014008.3380499999</v>
      </c>
      <c r="D210" s="6">
        <f>TAX_CERTIFICATE[[#This Row],[BEGINNING PERIOD UNITS]]*$AA$2</f>
        <v>1006282.0700000001</v>
      </c>
      <c r="E210" s="6">
        <f>TAX_CERTIFICATE[[#This Row],[BEGINNING PERIOD MARKET VALUE]]-TAX_CERTIFICATE[[#This Row],[BEGINNING PERIOD COST VALUE]]</f>
        <v>-7726.2680499998387</v>
      </c>
      <c r="F210" s="33">
        <f>SUMIFS(LS[Unit],LS[Investor ID],TAX_CERTIFICATE[[#This Row],[INVESTOR CODE]],LS[Date Value],"&lt;="&amp;$Z$3)+SUMIFS(SIP[Unit],SIP[Investor ID],TAX_CERTIFICATE[[#This Row],[INVESTOR CODE]],SIP[Date Value],"&lt;="&amp;$Z$3)</f>
        <v>100931</v>
      </c>
      <c r="G21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1014008.3380499999</v>
      </c>
      <c r="H210" s="6">
        <f>TAX_CERTIFICATE[[#This Row],[ENDING PERIOD UNITS]]*$AA$3</f>
        <v>1003657.8640000001</v>
      </c>
      <c r="I210" s="6">
        <f>TAX_CERTIFICATE[[#This Row],[ENDING PERIOD MARKET VALUE]]-TAX_CERTIFICATE[[#This Row],[ENDING PERIOD COST VALUE]]</f>
        <v>-10350.474049999844</v>
      </c>
      <c r="J21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1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1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1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10" s="6">
        <f>TAX_CERTIFICATE[[#This Row],[TOTAL ADDITION AT COST DURING THE PERIOD]]-TAX_CERTIFICATE[[#This Row],[TOTAL REDEMPTION AT COST DURING THE PERIOD]]</f>
        <v>0</v>
      </c>
      <c r="O21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10" s="6"/>
      <c r="Q210" s="6"/>
      <c r="R210" s="6"/>
    </row>
    <row r="211" spans="1:18">
      <c r="A211" t="s">
        <v>262</v>
      </c>
      <c r="B21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1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11" s="6">
        <f>TAX_CERTIFICATE[[#This Row],[BEGINNING PERIOD UNITS]]*$AA$2</f>
        <v>0</v>
      </c>
      <c r="E211" s="6">
        <f>TAX_CERTIFICATE[[#This Row],[BEGINNING PERIOD MARKET VALUE]]-TAX_CERTIFICATE[[#This Row],[BEGINNING PERIOD COST VALUE]]</f>
        <v>0</v>
      </c>
      <c r="F21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1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11" s="6">
        <f>TAX_CERTIFICATE[[#This Row],[ENDING PERIOD UNITS]]*$AA$3</f>
        <v>0</v>
      </c>
      <c r="I211" s="6">
        <f>TAX_CERTIFICATE[[#This Row],[ENDING PERIOD MARKET VALUE]]-TAX_CERTIFICATE[[#This Row],[ENDING PERIOD COST VALUE]]</f>
        <v>0</v>
      </c>
      <c r="J21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1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1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1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11" s="6">
        <f>TAX_CERTIFICATE[[#This Row],[TOTAL ADDITION AT COST DURING THE PERIOD]]-TAX_CERTIFICATE[[#This Row],[TOTAL REDEMPTION AT COST DURING THE PERIOD]]</f>
        <v>0</v>
      </c>
      <c r="O21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11" s="6"/>
      <c r="Q211" s="6"/>
      <c r="R211" s="6"/>
    </row>
    <row r="212" spans="1:18">
      <c r="A212" t="s">
        <v>264</v>
      </c>
      <c r="B21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1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12" s="6">
        <f>TAX_CERTIFICATE[[#This Row],[BEGINNING PERIOD UNITS]]*$AA$2</f>
        <v>0</v>
      </c>
      <c r="E212" s="6">
        <f>TAX_CERTIFICATE[[#This Row],[BEGINNING PERIOD MARKET VALUE]]-TAX_CERTIFICATE[[#This Row],[BEGINNING PERIOD COST VALUE]]</f>
        <v>0</v>
      </c>
      <c r="F21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1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12" s="6">
        <f>TAX_CERTIFICATE[[#This Row],[ENDING PERIOD UNITS]]*$AA$3</f>
        <v>0</v>
      </c>
      <c r="I212" s="6">
        <f>TAX_CERTIFICATE[[#This Row],[ENDING PERIOD MARKET VALUE]]-TAX_CERTIFICATE[[#This Row],[ENDING PERIOD COST VALUE]]</f>
        <v>0</v>
      </c>
      <c r="J21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1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1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1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12" s="6">
        <f>TAX_CERTIFICATE[[#This Row],[TOTAL ADDITION AT COST DURING THE PERIOD]]-TAX_CERTIFICATE[[#This Row],[TOTAL REDEMPTION AT COST DURING THE PERIOD]]</f>
        <v>0</v>
      </c>
      <c r="O21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12" s="6"/>
      <c r="Q212" s="6"/>
      <c r="R212" s="6"/>
    </row>
    <row r="213" spans="1:18">
      <c r="A213" t="s">
        <v>266</v>
      </c>
      <c r="B21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1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13" s="6">
        <f>TAX_CERTIFICATE[[#This Row],[BEGINNING PERIOD UNITS]]*$AA$2</f>
        <v>0</v>
      </c>
      <c r="E213" s="6">
        <f>TAX_CERTIFICATE[[#This Row],[BEGINNING PERIOD MARKET VALUE]]-TAX_CERTIFICATE[[#This Row],[BEGINNING PERIOD COST VALUE]]</f>
        <v>0</v>
      </c>
      <c r="F21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1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13" s="6">
        <f>TAX_CERTIFICATE[[#This Row],[ENDING PERIOD UNITS]]*$AA$3</f>
        <v>0</v>
      </c>
      <c r="I213" s="6">
        <f>TAX_CERTIFICATE[[#This Row],[ENDING PERIOD MARKET VALUE]]-TAX_CERTIFICATE[[#This Row],[ENDING PERIOD COST VALUE]]</f>
        <v>0</v>
      </c>
      <c r="J21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1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1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1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13" s="6">
        <f>TAX_CERTIFICATE[[#This Row],[TOTAL ADDITION AT COST DURING THE PERIOD]]-TAX_CERTIFICATE[[#This Row],[TOTAL REDEMPTION AT COST DURING THE PERIOD]]</f>
        <v>0</v>
      </c>
      <c r="O21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13" s="6"/>
      <c r="Q213" s="6"/>
      <c r="R213" s="6"/>
    </row>
    <row r="214" spans="1:18">
      <c r="A214" t="s">
        <v>268</v>
      </c>
      <c r="B21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1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14" s="6">
        <f>TAX_CERTIFICATE[[#This Row],[BEGINNING PERIOD UNITS]]*$AA$2</f>
        <v>0</v>
      </c>
      <c r="E214" s="6">
        <f>TAX_CERTIFICATE[[#This Row],[BEGINNING PERIOD MARKET VALUE]]-TAX_CERTIFICATE[[#This Row],[BEGINNING PERIOD COST VALUE]]</f>
        <v>0</v>
      </c>
      <c r="F21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1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14" s="6">
        <f>TAX_CERTIFICATE[[#This Row],[ENDING PERIOD UNITS]]*$AA$3</f>
        <v>0</v>
      </c>
      <c r="I214" s="6">
        <f>TAX_CERTIFICATE[[#This Row],[ENDING PERIOD MARKET VALUE]]-TAX_CERTIFICATE[[#This Row],[ENDING PERIOD COST VALUE]]</f>
        <v>0</v>
      </c>
      <c r="J21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1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1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1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14" s="6">
        <f>TAX_CERTIFICATE[[#This Row],[TOTAL ADDITION AT COST DURING THE PERIOD]]-TAX_CERTIFICATE[[#This Row],[TOTAL REDEMPTION AT COST DURING THE PERIOD]]</f>
        <v>0</v>
      </c>
      <c r="O21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14" s="6"/>
      <c r="Q214" s="6"/>
      <c r="R214" s="6"/>
    </row>
    <row r="215" spans="1:18">
      <c r="A215" t="s">
        <v>270</v>
      </c>
      <c r="B21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1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15" s="6">
        <f>TAX_CERTIFICATE[[#This Row],[BEGINNING PERIOD UNITS]]*$AA$2</f>
        <v>0</v>
      </c>
      <c r="E215" s="6">
        <f>TAX_CERTIFICATE[[#This Row],[BEGINNING PERIOD MARKET VALUE]]-TAX_CERTIFICATE[[#This Row],[BEGINNING PERIOD COST VALUE]]</f>
        <v>0</v>
      </c>
      <c r="F21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1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15" s="6">
        <f>TAX_CERTIFICATE[[#This Row],[ENDING PERIOD UNITS]]*$AA$3</f>
        <v>0</v>
      </c>
      <c r="I215" s="6">
        <f>TAX_CERTIFICATE[[#This Row],[ENDING PERIOD MARKET VALUE]]-TAX_CERTIFICATE[[#This Row],[ENDING PERIOD COST VALUE]]</f>
        <v>0</v>
      </c>
      <c r="J21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1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1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1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15" s="6">
        <f>TAX_CERTIFICATE[[#This Row],[TOTAL ADDITION AT COST DURING THE PERIOD]]-TAX_CERTIFICATE[[#This Row],[TOTAL REDEMPTION AT COST DURING THE PERIOD]]</f>
        <v>0</v>
      </c>
      <c r="O21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15" s="6"/>
      <c r="Q215" s="6"/>
      <c r="R215" s="6"/>
    </row>
    <row r="216" spans="1:18">
      <c r="A216" t="s">
        <v>272</v>
      </c>
      <c r="B21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1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16" s="6">
        <f>TAX_CERTIFICATE[[#This Row],[BEGINNING PERIOD UNITS]]*$AA$2</f>
        <v>0</v>
      </c>
      <c r="E216" s="6">
        <f>TAX_CERTIFICATE[[#This Row],[BEGINNING PERIOD MARKET VALUE]]-TAX_CERTIFICATE[[#This Row],[BEGINNING PERIOD COST VALUE]]</f>
        <v>0</v>
      </c>
      <c r="F21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1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16" s="6">
        <f>TAX_CERTIFICATE[[#This Row],[ENDING PERIOD UNITS]]*$AA$3</f>
        <v>0</v>
      </c>
      <c r="I216" s="6">
        <f>TAX_CERTIFICATE[[#This Row],[ENDING PERIOD MARKET VALUE]]-TAX_CERTIFICATE[[#This Row],[ENDING PERIOD COST VALUE]]</f>
        <v>0</v>
      </c>
      <c r="J21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1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1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1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16" s="6">
        <f>TAX_CERTIFICATE[[#This Row],[TOTAL ADDITION AT COST DURING THE PERIOD]]-TAX_CERTIFICATE[[#This Row],[TOTAL REDEMPTION AT COST DURING THE PERIOD]]</f>
        <v>0</v>
      </c>
      <c r="O21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16" s="6"/>
      <c r="Q216" s="6"/>
      <c r="R216" s="6"/>
    </row>
    <row r="217" spans="1:18">
      <c r="A217" t="s">
        <v>274</v>
      </c>
      <c r="B21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1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17" s="6">
        <f>TAX_CERTIFICATE[[#This Row],[BEGINNING PERIOD UNITS]]*$AA$2</f>
        <v>0</v>
      </c>
      <c r="E217" s="6">
        <f>TAX_CERTIFICATE[[#This Row],[BEGINNING PERIOD MARKET VALUE]]-TAX_CERTIFICATE[[#This Row],[BEGINNING PERIOD COST VALUE]]</f>
        <v>0</v>
      </c>
      <c r="F21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1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17" s="6">
        <f>TAX_CERTIFICATE[[#This Row],[ENDING PERIOD UNITS]]*$AA$3</f>
        <v>0</v>
      </c>
      <c r="I217" s="6">
        <f>TAX_CERTIFICATE[[#This Row],[ENDING PERIOD MARKET VALUE]]-TAX_CERTIFICATE[[#This Row],[ENDING PERIOD COST VALUE]]</f>
        <v>0</v>
      </c>
      <c r="J21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1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1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1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17" s="6">
        <f>TAX_CERTIFICATE[[#This Row],[TOTAL ADDITION AT COST DURING THE PERIOD]]-TAX_CERTIFICATE[[#This Row],[TOTAL REDEMPTION AT COST DURING THE PERIOD]]</f>
        <v>0</v>
      </c>
      <c r="O21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17" s="6"/>
      <c r="Q217" s="6"/>
      <c r="R217" s="6"/>
    </row>
    <row r="218" spans="1:18">
      <c r="A218" t="s">
        <v>276</v>
      </c>
      <c r="B21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1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18" s="6">
        <f>TAX_CERTIFICATE[[#This Row],[BEGINNING PERIOD UNITS]]*$AA$2</f>
        <v>0</v>
      </c>
      <c r="E218" s="6">
        <f>TAX_CERTIFICATE[[#This Row],[BEGINNING PERIOD MARKET VALUE]]-TAX_CERTIFICATE[[#This Row],[BEGINNING PERIOD COST VALUE]]</f>
        <v>0</v>
      </c>
      <c r="F21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1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18" s="6">
        <f>TAX_CERTIFICATE[[#This Row],[ENDING PERIOD UNITS]]*$AA$3</f>
        <v>0</v>
      </c>
      <c r="I218" s="6">
        <f>TAX_CERTIFICATE[[#This Row],[ENDING PERIOD MARKET VALUE]]-TAX_CERTIFICATE[[#This Row],[ENDING PERIOD COST VALUE]]</f>
        <v>0</v>
      </c>
      <c r="J21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1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1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1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18" s="6">
        <f>TAX_CERTIFICATE[[#This Row],[TOTAL ADDITION AT COST DURING THE PERIOD]]-TAX_CERTIFICATE[[#This Row],[TOTAL REDEMPTION AT COST DURING THE PERIOD]]</f>
        <v>0</v>
      </c>
      <c r="O21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18" s="6"/>
      <c r="Q218" s="6"/>
      <c r="R218" s="6"/>
    </row>
    <row r="219" spans="1:18">
      <c r="A219" t="s">
        <v>278</v>
      </c>
      <c r="B21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1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19" s="6">
        <f>TAX_CERTIFICATE[[#This Row],[BEGINNING PERIOD UNITS]]*$AA$2</f>
        <v>0</v>
      </c>
      <c r="E219" s="6">
        <f>TAX_CERTIFICATE[[#This Row],[BEGINNING PERIOD MARKET VALUE]]-TAX_CERTIFICATE[[#This Row],[BEGINNING PERIOD COST VALUE]]</f>
        <v>0</v>
      </c>
      <c r="F21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1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19" s="6">
        <f>TAX_CERTIFICATE[[#This Row],[ENDING PERIOD UNITS]]*$AA$3</f>
        <v>0</v>
      </c>
      <c r="I219" s="6">
        <f>TAX_CERTIFICATE[[#This Row],[ENDING PERIOD MARKET VALUE]]-TAX_CERTIFICATE[[#This Row],[ENDING PERIOD COST VALUE]]</f>
        <v>0</v>
      </c>
      <c r="J21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1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1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1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19" s="6">
        <f>TAX_CERTIFICATE[[#This Row],[TOTAL ADDITION AT COST DURING THE PERIOD]]-TAX_CERTIFICATE[[#This Row],[TOTAL REDEMPTION AT COST DURING THE PERIOD]]</f>
        <v>0</v>
      </c>
      <c r="O21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19" s="6"/>
      <c r="Q219" s="6"/>
      <c r="R219" s="6"/>
    </row>
    <row r="220" spans="1:18">
      <c r="A220" t="s">
        <v>495</v>
      </c>
      <c r="B22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2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20" s="6">
        <f>TAX_CERTIFICATE[[#This Row],[BEGINNING PERIOD UNITS]]*$AA$2</f>
        <v>0</v>
      </c>
      <c r="E220" s="6">
        <f>TAX_CERTIFICATE[[#This Row],[BEGINNING PERIOD MARKET VALUE]]-TAX_CERTIFICATE[[#This Row],[BEGINNING PERIOD COST VALUE]]</f>
        <v>0</v>
      </c>
      <c r="F22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2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20" s="6">
        <f>TAX_CERTIFICATE[[#This Row],[ENDING PERIOD UNITS]]*$AA$3</f>
        <v>0</v>
      </c>
      <c r="I220" s="6">
        <f>TAX_CERTIFICATE[[#This Row],[ENDING PERIOD MARKET VALUE]]-TAX_CERTIFICATE[[#This Row],[ENDING PERIOD COST VALUE]]</f>
        <v>0</v>
      </c>
      <c r="J22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2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2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2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20" s="6">
        <f>TAX_CERTIFICATE[[#This Row],[TOTAL ADDITION AT COST DURING THE PERIOD]]-TAX_CERTIFICATE[[#This Row],[TOTAL REDEMPTION AT COST DURING THE PERIOD]]</f>
        <v>0</v>
      </c>
      <c r="O22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20" s="6"/>
      <c r="Q220" s="6"/>
      <c r="R220" s="6"/>
    </row>
    <row r="221" spans="1:18">
      <c r="A221" t="s">
        <v>280</v>
      </c>
      <c r="B22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2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21" s="6">
        <f>TAX_CERTIFICATE[[#This Row],[BEGINNING PERIOD UNITS]]*$AA$2</f>
        <v>0</v>
      </c>
      <c r="E221" s="6">
        <f>TAX_CERTIFICATE[[#This Row],[BEGINNING PERIOD MARKET VALUE]]-TAX_CERTIFICATE[[#This Row],[BEGINNING PERIOD COST VALUE]]</f>
        <v>0</v>
      </c>
      <c r="F22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2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21" s="6">
        <f>TAX_CERTIFICATE[[#This Row],[ENDING PERIOD UNITS]]*$AA$3</f>
        <v>0</v>
      </c>
      <c r="I221" s="6">
        <f>TAX_CERTIFICATE[[#This Row],[ENDING PERIOD MARKET VALUE]]-TAX_CERTIFICATE[[#This Row],[ENDING PERIOD COST VALUE]]</f>
        <v>0</v>
      </c>
      <c r="J22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2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2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2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21" s="6">
        <f>TAX_CERTIFICATE[[#This Row],[TOTAL ADDITION AT COST DURING THE PERIOD]]-TAX_CERTIFICATE[[#This Row],[TOTAL REDEMPTION AT COST DURING THE PERIOD]]</f>
        <v>0</v>
      </c>
      <c r="O22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21" s="6"/>
      <c r="Q221" s="6"/>
      <c r="R221" s="6"/>
    </row>
    <row r="222" spans="1:18">
      <c r="A222" t="s">
        <v>282</v>
      </c>
      <c r="B222" s="2">
        <f>SUMIFS(LS[Unit],LS[Investor ID],TAX_CERTIFICATE[[#This Row],[INVESTOR CODE]],LS[Date Value],"&lt;"&amp;$Z$2)+SUMIFS(SIP[Unit],SIP[Investor ID],TAX_CERTIFICATE[[#This Row],[INVESTOR CODE]],SIP[Date Value],"&lt;"&amp;$Z$2)</f>
        <v>2000000</v>
      </c>
      <c r="C22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20000000</v>
      </c>
      <c r="D222" s="6">
        <f>TAX_CERTIFICATE[[#This Row],[BEGINNING PERIOD UNITS]]*$AA$2</f>
        <v>19940000</v>
      </c>
      <c r="E222" s="6">
        <f>TAX_CERTIFICATE[[#This Row],[BEGINNING PERIOD MARKET VALUE]]-TAX_CERTIFICATE[[#This Row],[BEGINNING PERIOD COST VALUE]]</f>
        <v>-60000</v>
      </c>
      <c r="F222" s="33">
        <f>SUMIFS(LS[Unit],LS[Investor ID],TAX_CERTIFICATE[[#This Row],[INVESTOR CODE]],LS[Date Value],"&lt;="&amp;$Z$3)+SUMIFS(SIP[Unit],SIP[Investor ID],TAX_CERTIFICATE[[#This Row],[INVESTOR CODE]],SIP[Date Value],"&lt;="&amp;$Z$3)</f>
        <v>2000000</v>
      </c>
      <c r="G22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20000000</v>
      </c>
      <c r="H222" s="6">
        <f>TAX_CERTIFICATE[[#This Row],[ENDING PERIOD UNITS]]*$AA$3</f>
        <v>19888000</v>
      </c>
      <c r="I222" s="6">
        <f>TAX_CERTIFICATE[[#This Row],[ENDING PERIOD MARKET VALUE]]-TAX_CERTIFICATE[[#This Row],[ENDING PERIOD COST VALUE]]</f>
        <v>-112000</v>
      </c>
      <c r="J22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2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2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2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22" s="6">
        <f>TAX_CERTIFICATE[[#This Row],[TOTAL ADDITION AT COST DURING THE PERIOD]]-TAX_CERTIFICATE[[#This Row],[TOTAL REDEMPTION AT COST DURING THE PERIOD]]</f>
        <v>0</v>
      </c>
      <c r="O22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22" s="6"/>
      <c r="Q222" s="6"/>
      <c r="R222" s="6"/>
    </row>
    <row r="223" spans="1:18">
      <c r="A223" t="s">
        <v>284</v>
      </c>
      <c r="B22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2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23" s="6">
        <f>TAX_CERTIFICATE[[#This Row],[BEGINNING PERIOD UNITS]]*$AA$2</f>
        <v>0</v>
      </c>
      <c r="E223" s="6">
        <f>TAX_CERTIFICATE[[#This Row],[BEGINNING PERIOD MARKET VALUE]]-TAX_CERTIFICATE[[#This Row],[BEGINNING PERIOD COST VALUE]]</f>
        <v>0</v>
      </c>
      <c r="F22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2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23" s="6">
        <f>TAX_CERTIFICATE[[#This Row],[ENDING PERIOD UNITS]]*$AA$3</f>
        <v>0</v>
      </c>
      <c r="I223" s="6">
        <f>TAX_CERTIFICATE[[#This Row],[ENDING PERIOD MARKET VALUE]]-TAX_CERTIFICATE[[#This Row],[ENDING PERIOD COST VALUE]]</f>
        <v>0</v>
      </c>
      <c r="J22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2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2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2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23" s="6">
        <f>TAX_CERTIFICATE[[#This Row],[TOTAL ADDITION AT COST DURING THE PERIOD]]-TAX_CERTIFICATE[[#This Row],[TOTAL REDEMPTION AT COST DURING THE PERIOD]]</f>
        <v>0</v>
      </c>
      <c r="O22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23" s="6"/>
      <c r="Q223" s="6"/>
      <c r="R223" s="6"/>
    </row>
    <row r="224" spans="1:18">
      <c r="A224" t="s">
        <v>305</v>
      </c>
      <c r="B224" s="2">
        <f>SUMIFS(LS[Unit],LS[Investor ID],TAX_CERTIFICATE[[#This Row],[INVESTOR CODE]],LS[Date Value],"&lt;"&amp;$Z$2)+SUMIFS(SIP[Unit],SIP[Investor ID],TAX_CERTIFICATE[[#This Row],[INVESTOR CODE]],SIP[Date Value],"&lt;"&amp;$Z$2)</f>
        <v>10000</v>
      </c>
      <c r="C22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</v>
      </c>
      <c r="D224" s="6">
        <f>TAX_CERTIFICATE[[#This Row],[BEGINNING PERIOD UNITS]]*$AA$2</f>
        <v>99700</v>
      </c>
      <c r="E224" s="6">
        <f>TAX_CERTIFICATE[[#This Row],[BEGINNING PERIOD MARKET VALUE]]-TAX_CERTIFICATE[[#This Row],[BEGINNING PERIOD COST VALUE]]</f>
        <v>-300</v>
      </c>
      <c r="F224" s="33">
        <f>SUMIFS(LS[Unit],LS[Investor ID],TAX_CERTIFICATE[[#This Row],[INVESTOR CODE]],LS[Date Value],"&lt;="&amp;$Z$3)+SUMIFS(SIP[Unit],SIP[Investor ID],TAX_CERTIFICATE[[#This Row],[INVESTOR CODE]],SIP[Date Value],"&lt;="&amp;$Z$3)</f>
        <v>10228</v>
      </c>
      <c r="G22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102250</v>
      </c>
      <c r="H224" s="6">
        <f>TAX_CERTIFICATE[[#This Row],[ENDING PERIOD UNITS]]*$AA$3</f>
        <v>101707.232</v>
      </c>
      <c r="I224" s="6">
        <f>TAX_CERTIFICATE[[#This Row],[ENDING PERIOD MARKET VALUE]]-TAX_CERTIFICATE[[#This Row],[ENDING PERIOD COST VALUE]]</f>
        <v>-542.76799999999639</v>
      </c>
      <c r="J22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228</v>
      </c>
      <c r="K22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2250</v>
      </c>
      <c r="L22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2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24" s="6">
        <f>TAX_CERTIFICATE[[#This Row],[TOTAL ADDITION AT COST DURING THE PERIOD]]-TAX_CERTIFICATE[[#This Row],[TOTAL REDEMPTION AT COST DURING THE PERIOD]]</f>
        <v>2250</v>
      </c>
      <c r="O22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24" s="6"/>
      <c r="Q224" s="6"/>
      <c r="R224" s="6"/>
    </row>
    <row r="225" spans="1:18">
      <c r="A225" t="s">
        <v>307</v>
      </c>
      <c r="B22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2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25" s="6">
        <f>TAX_CERTIFICATE[[#This Row],[BEGINNING PERIOD UNITS]]*$AA$2</f>
        <v>0</v>
      </c>
      <c r="E225" s="6">
        <f>TAX_CERTIFICATE[[#This Row],[BEGINNING PERIOD MARKET VALUE]]-TAX_CERTIFICATE[[#This Row],[BEGINNING PERIOD COST VALUE]]</f>
        <v>0</v>
      </c>
      <c r="F22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2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25" s="6">
        <f>TAX_CERTIFICATE[[#This Row],[ENDING PERIOD UNITS]]*$AA$3</f>
        <v>0</v>
      </c>
      <c r="I225" s="6">
        <f>TAX_CERTIFICATE[[#This Row],[ENDING PERIOD MARKET VALUE]]-TAX_CERTIFICATE[[#This Row],[ENDING PERIOD COST VALUE]]</f>
        <v>0</v>
      </c>
      <c r="J22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2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2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2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25" s="6">
        <f>TAX_CERTIFICATE[[#This Row],[TOTAL ADDITION AT COST DURING THE PERIOD]]-TAX_CERTIFICATE[[#This Row],[TOTAL REDEMPTION AT COST DURING THE PERIOD]]</f>
        <v>0</v>
      </c>
      <c r="O22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25" s="6"/>
      <c r="Q225" s="6"/>
      <c r="R225" s="6"/>
    </row>
    <row r="226" spans="1:18">
      <c r="A226" t="s">
        <v>309</v>
      </c>
      <c r="B226" s="2">
        <f>SUMIFS(LS[Unit],LS[Investor ID],TAX_CERTIFICATE[[#This Row],[INVESTOR CODE]],LS[Date Value],"&lt;"&amp;$Z$2)+SUMIFS(SIP[Unit],SIP[Investor ID],TAX_CERTIFICATE[[#This Row],[INVESTOR CODE]],SIP[Date Value],"&lt;"&amp;$Z$2)</f>
        <v>20000</v>
      </c>
      <c r="C22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200000</v>
      </c>
      <c r="D226" s="6">
        <f>TAX_CERTIFICATE[[#This Row],[BEGINNING PERIOD UNITS]]*$AA$2</f>
        <v>199400</v>
      </c>
      <c r="E226" s="6">
        <f>TAX_CERTIFICATE[[#This Row],[BEGINNING PERIOD MARKET VALUE]]-TAX_CERTIFICATE[[#This Row],[BEGINNING PERIOD COST VALUE]]</f>
        <v>-600</v>
      </c>
      <c r="F226" s="33">
        <f>SUMIFS(LS[Unit],LS[Investor ID],TAX_CERTIFICATE[[#This Row],[INVESTOR CODE]],LS[Date Value],"&lt;="&amp;$Z$3)+SUMIFS(SIP[Unit],SIP[Investor ID],TAX_CERTIFICATE[[#This Row],[INVESTOR CODE]],SIP[Date Value],"&lt;="&amp;$Z$3)</f>
        <v>20431</v>
      </c>
      <c r="G22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204250</v>
      </c>
      <c r="H226" s="6">
        <f>TAX_CERTIFICATE[[#This Row],[ENDING PERIOD UNITS]]*$AA$3</f>
        <v>203165.86400000003</v>
      </c>
      <c r="I226" s="6">
        <f>TAX_CERTIFICATE[[#This Row],[ENDING PERIOD MARKET VALUE]]-TAX_CERTIFICATE[[#This Row],[ENDING PERIOD COST VALUE]]</f>
        <v>-1084.1359999999695</v>
      </c>
      <c r="J22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431</v>
      </c>
      <c r="K22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4250</v>
      </c>
      <c r="L22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2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26" s="6">
        <f>TAX_CERTIFICATE[[#This Row],[TOTAL ADDITION AT COST DURING THE PERIOD]]-TAX_CERTIFICATE[[#This Row],[TOTAL REDEMPTION AT COST DURING THE PERIOD]]</f>
        <v>4250</v>
      </c>
      <c r="O22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26" s="6"/>
      <c r="Q226" s="6"/>
      <c r="R226" s="6"/>
    </row>
    <row r="227" spans="1:18">
      <c r="A227" t="s">
        <v>310</v>
      </c>
      <c r="B227" s="2">
        <f>SUMIFS(LS[Unit],LS[Investor ID],TAX_CERTIFICATE[[#This Row],[INVESTOR CODE]],LS[Date Value],"&lt;"&amp;$Z$2)+SUMIFS(SIP[Unit],SIP[Investor ID],TAX_CERTIFICATE[[#This Row],[INVESTOR CODE]],SIP[Date Value],"&lt;"&amp;$Z$2)</f>
        <v>150000</v>
      </c>
      <c r="C22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1500000</v>
      </c>
      <c r="D227" s="6">
        <f>TAX_CERTIFICATE[[#This Row],[BEGINNING PERIOD UNITS]]*$AA$2</f>
        <v>1495500</v>
      </c>
      <c r="E227" s="6">
        <f>TAX_CERTIFICATE[[#This Row],[BEGINNING PERIOD MARKET VALUE]]-TAX_CERTIFICATE[[#This Row],[BEGINNING PERIOD COST VALUE]]</f>
        <v>-4500</v>
      </c>
      <c r="F227" s="33">
        <f>SUMIFS(LS[Unit],LS[Investor ID],TAX_CERTIFICATE[[#This Row],[INVESTOR CODE]],LS[Date Value],"&lt;="&amp;$Z$3)+SUMIFS(SIP[Unit],SIP[Investor ID],TAX_CERTIFICATE[[#This Row],[INVESTOR CODE]],SIP[Date Value],"&lt;="&amp;$Z$3)</f>
        <v>150000</v>
      </c>
      <c r="G22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1500000</v>
      </c>
      <c r="H227" s="6">
        <f>TAX_CERTIFICATE[[#This Row],[ENDING PERIOD UNITS]]*$AA$3</f>
        <v>1491600.0000000002</v>
      </c>
      <c r="I227" s="6">
        <f>TAX_CERTIFICATE[[#This Row],[ENDING PERIOD MARKET VALUE]]-TAX_CERTIFICATE[[#This Row],[ENDING PERIOD COST VALUE]]</f>
        <v>-8399.9999999997672</v>
      </c>
      <c r="J22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2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2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2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27" s="6">
        <f>TAX_CERTIFICATE[[#This Row],[TOTAL ADDITION AT COST DURING THE PERIOD]]-TAX_CERTIFICATE[[#This Row],[TOTAL REDEMPTION AT COST DURING THE PERIOD]]</f>
        <v>0</v>
      </c>
      <c r="O22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27" s="6"/>
      <c r="Q227" s="6"/>
      <c r="R227" s="6"/>
    </row>
    <row r="228" spans="1:18">
      <c r="A228" t="s">
        <v>314</v>
      </c>
      <c r="B22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2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28" s="6">
        <f>TAX_CERTIFICATE[[#This Row],[BEGINNING PERIOD UNITS]]*$AA$2</f>
        <v>0</v>
      </c>
      <c r="E228" s="6">
        <f>TAX_CERTIFICATE[[#This Row],[BEGINNING PERIOD MARKET VALUE]]-TAX_CERTIFICATE[[#This Row],[BEGINNING PERIOD COST VALUE]]</f>
        <v>0</v>
      </c>
      <c r="F22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2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28" s="6">
        <f>TAX_CERTIFICATE[[#This Row],[ENDING PERIOD UNITS]]*$AA$3</f>
        <v>0</v>
      </c>
      <c r="I228" s="6">
        <f>TAX_CERTIFICATE[[#This Row],[ENDING PERIOD MARKET VALUE]]-TAX_CERTIFICATE[[#This Row],[ENDING PERIOD COST VALUE]]</f>
        <v>0</v>
      </c>
      <c r="J22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2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2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2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28" s="6">
        <f>TAX_CERTIFICATE[[#This Row],[TOTAL ADDITION AT COST DURING THE PERIOD]]-TAX_CERTIFICATE[[#This Row],[TOTAL REDEMPTION AT COST DURING THE PERIOD]]</f>
        <v>0</v>
      </c>
      <c r="O22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28" s="6"/>
      <c r="Q228" s="6"/>
      <c r="R228" s="6"/>
    </row>
    <row r="229" spans="1:18">
      <c r="A229" t="s">
        <v>316</v>
      </c>
      <c r="B22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2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29" s="6">
        <f>TAX_CERTIFICATE[[#This Row],[BEGINNING PERIOD UNITS]]*$AA$2</f>
        <v>0</v>
      </c>
      <c r="E229" s="6">
        <f>TAX_CERTIFICATE[[#This Row],[BEGINNING PERIOD MARKET VALUE]]-TAX_CERTIFICATE[[#This Row],[BEGINNING PERIOD COST VALUE]]</f>
        <v>0</v>
      </c>
      <c r="F22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2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29" s="6">
        <f>TAX_CERTIFICATE[[#This Row],[ENDING PERIOD UNITS]]*$AA$3</f>
        <v>0</v>
      </c>
      <c r="I229" s="6">
        <f>TAX_CERTIFICATE[[#This Row],[ENDING PERIOD MARKET VALUE]]-TAX_CERTIFICATE[[#This Row],[ENDING PERIOD COST VALUE]]</f>
        <v>0</v>
      </c>
      <c r="J22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2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2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2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29" s="6">
        <f>TAX_CERTIFICATE[[#This Row],[TOTAL ADDITION AT COST DURING THE PERIOD]]-TAX_CERTIFICATE[[#This Row],[TOTAL REDEMPTION AT COST DURING THE PERIOD]]</f>
        <v>0</v>
      </c>
      <c r="O22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29" s="6"/>
      <c r="Q229" s="6"/>
      <c r="R229" s="6"/>
    </row>
    <row r="230" spans="1:18">
      <c r="A230" t="s">
        <v>318</v>
      </c>
      <c r="B23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3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30" s="6">
        <f>TAX_CERTIFICATE[[#This Row],[BEGINNING PERIOD UNITS]]*$AA$2</f>
        <v>0</v>
      </c>
      <c r="E230" s="6">
        <f>TAX_CERTIFICATE[[#This Row],[BEGINNING PERIOD MARKET VALUE]]-TAX_CERTIFICATE[[#This Row],[BEGINNING PERIOD COST VALUE]]</f>
        <v>0</v>
      </c>
      <c r="F23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3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30" s="6">
        <f>TAX_CERTIFICATE[[#This Row],[ENDING PERIOD UNITS]]*$AA$3</f>
        <v>0</v>
      </c>
      <c r="I230" s="6">
        <f>TAX_CERTIFICATE[[#This Row],[ENDING PERIOD MARKET VALUE]]-TAX_CERTIFICATE[[#This Row],[ENDING PERIOD COST VALUE]]</f>
        <v>0</v>
      </c>
      <c r="J23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3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3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3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30" s="6">
        <f>TAX_CERTIFICATE[[#This Row],[TOTAL ADDITION AT COST DURING THE PERIOD]]-TAX_CERTIFICATE[[#This Row],[TOTAL REDEMPTION AT COST DURING THE PERIOD]]</f>
        <v>0</v>
      </c>
      <c r="O23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30" s="6"/>
      <c r="Q230" s="6"/>
      <c r="R230" s="6"/>
    </row>
    <row r="231" spans="1:18">
      <c r="A231" t="s">
        <v>320</v>
      </c>
      <c r="B23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3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31" s="6">
        <f>TAX_CERTIFICATE[[#This Row],[BEGINNING PERIOD UNITS]]*$AA$2</f>
        <v>0</v>
      </c>
      <c r="E231" s="6">
        <f>TAX_CERTIFICATE[[#This Row],[BEGINNING PERIOD MARKET VALUE]]-TAX_CERTIFICATE[[#This Row],[BEGINNING PERIOD COST VALUE]]</f>
        <v>0</v>
      </c>
      <c r="F23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3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31" s="6">
        <f>TAX_CERTIFICATE[[#This Row],[ENDING PERIOD UNITS]]*$AA$3</f>
        <v>0</v>
      </c>
      <c r="I231" s="6">
        <f>TAX_CERTIFICATE[[#This Row],[ENDING PERIOD MARKET VALUE]]-TAX_CERTIFICATE[[#This Row],[ENDING PERIOD COST VALUE]]</f>
        <v>0</v>
      </c>
      <c r="J23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3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3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3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31" s="6">
        <f>TAX_CERTIFICATE[[#This Row],[TOTAL ADDITION AT COST DURING THE PERIOD]]-TAX_CERTIFICATE[[#This Row],[TOTAL REDEMPTION AT COST DURING THE PERIOD]]</f>
        <v>0</v>
      </c>
      <c r="O23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31" s="6"/>
      <c r="Q231" s="6"/>
      <c r="R231" s="6"/>
    </row>
    <row r="232" spans="1:18">
      <c r="A232" t="s">
        <v>322</v>
      </c>
      <c r="B23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3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32" s="6">
        <f>TAX_CERTIFICATE[[#This Row],[BEGINNING PERIOD UNITS]]*$AA$2</f>
        <v>0</v>
      </c>
      <c r="E232" s="6">
        <f>TAX_CERTIFICATE[[#This Row],[BEGINNING PERIOD MARKET VALUE]]-TAX_CERTIFICATE[[#This Row],[BEGINNING PERIOD COST VALUE]]</f>
        <v>0</v>
      </c>
      <c r="F23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3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32" s="6">
        <f>TAX_CERTIFICATE[[#This Row],[ENDING PERIOD UNITS]]*$AA$3</f>
        <v>0</v>
      </c>
      <c r="I232" s="6">
        <f>TAX_CERTIFICATE[[#This Row],[ENDING PERIOD MARKET VALUE]]-TAX_CERTIFICATE[[#This Row],[ENDING PERIOD COST VALUE]]</f>
        <v>0</v>
      </c>
      <c r="J23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3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3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3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32" s="6">
        <f>TAX_CERTIFICATE[[#This Row],[TOTAL ADDITION AT COST DURING THE PERIOD]]-TAX_CERTIFICATE[[#This Row],[TOTAL REDEMPTION AT COST DURING THE PERIOD]]</f>
        <v>0</v>
      </c>
      <c r="O23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32" s="6"/>
      <c r="Q232" s="6"/>
      <c r="R232" s="6"/>
    </row>
    <row r="233" spans="1:18">
      <c r="A233" t="s">
        <v>324</v>
      </c>
      <c r="B23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3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33" s="6">
        <f>TAX_CERTIFICATE[[#This Row],[BEGINNING PERIOD UNITS]]*$AA$2</f>
        <v>0</v>
      </c>
      <c r="E233" s="6">
        <f>TAX_CERTIFICATE[[#This Row],[BEGINNING PERIOD MARKET VALUE]]-TAX_CERTIFICATE[[#This Row],[BEGINNING PERIOD COST VALUE]]</f>
        <v>0</v>
      </c>
      <c r="F23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3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33" s="6">
        <f>TAX_CERTIFICATE[[#This Row],[ENDING PERIOD UNITS]]*$AA$3</f>
        <v>0</v>
      </c>
      <c r="I233" s="6">
        <f>TAX_CERTIFICATE[[#This Row],[ENDING PERIOD MARKET VALUE]]-TAX_CERTIFICATE[[#This Row],[ENDING PERIOD COST VALUE]]</f>
        <v>0</v>
      </c>
      <c r="J23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3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3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3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33" s="6">
        <f>TAX_CERTIFICATE[[#This Row],[TOTAL ADDITION AT COST DURING THE PERIOD]]-TAX_CERTIFICATE[[#This Row],[TOTAL REDEMPTION AT COST DURING THE PERIOD]]</f>
        <v>0</v>
      </c>
      <c r="O23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33" s="6"/>
      <c r="Q233" s="6"/>
      <c r="R233" s="6"/>
    </row>
    <row r="234" spans="1:18">
      <c r="A234" t="s">
        <v>325</v>
      </c>
      <c r="B23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3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34" s="6">
        <f>TAX_CERTIFICATE[[#This Row],[BEGINNING PERIOD UNITS]]*$AA$2</f>
        <v>0</v>
      </c>
      <c r="E234" s="6">
        <f>TAX_CERTIFICATE[[#This Row],[BEGINNING PERIOD MARKET VALUE]]-TAX_CERTIFICATE[[#This Row],[BEGINNING PERIOD COST VALUE]]</f>
        <v>0</v>
      </c>
      <c r="F23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3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34" s="6">
        <f>TAX_CERTIFICATE[[#This Row],[ENDING PERIOD UNITS]]*$AA$3</f>
        <v>0</v>
      </c>
      <c r="I234" s="6">
        <f>TAX_CERTIFICATE[[#This Row],[ENDING PERIOD MARKET VALUE]]-TAX_CERTIFICATE[[#This Row],[ENDING PERIOD COST VALUE]]</f>
        <v>0</v>
      </c>
      <c r="J23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3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3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3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34" s="6">
        <f>TAX_CERTIFICATE[[#This Row],[TOTAL ADDITION AT COST DURING THE PERIOD]]-TAX_CERTIFICATE[[#This Row],[TOTAL REDEMPTION AT COST DURING THE PERIOD]]</f>
        <v>0</v>
      </c>
      <c r="O23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34" s="6"/>
      <c r="Q234" s="6"/>
      <c r="R234" s="6"/>
    </row>
    <row r="235" spans="1:18">
      <c r="A235" t="s">
        <v>327</v>
      </c>
      <c r="B23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3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35" s="6">
        <f>TAX_CERTIFICATE[[#This Row],[BEGINNING PERIOD UNITS]]*$AA$2</f>
        <v>0</v>
      </c>
      <c r="E235" s="6">
        <f>TAX_CERTIFICATE[[#This Row],[BEGINNING PERIOD MARKET VALUE]]-TAX_CERTIFICATE[[#This Row],[BEGINNING PERIOD COST VALUE]]</f>
        <v>0</v>
      </c>
      <c r="F23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3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35" s="6">
        <f>TAX_CERTIFICATE[[#This Row],[ENDING PERIOD UNITS]]*$AA$3</f>
        <v>0</v>
      </c>
      <c r="I235" s="6">
        <f>TAX_CERTIFICATE[[#This Row],[ENDING PERIOD MARKET VALUE]]-TAX_CERTIFICATE[[#This Row],[ENDING PERIOD COST VALUE]]</f>
        <v>0</v>
      </c>
      <c r="J23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3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3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3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35" s="6">
        <f>TAX_CERTIFICATE[[#This Row],[TOTAL ADDITION AT COST DURING THE PERIOD]]-TAX_CERTIFICATE[[#This Row],[TOTAL REDEMPTION AT COST DURING THE PERIOD]]</f>
        <v>0</v>
      </c>
      <c r="O23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35" s="6"/>
      <c r="Q235" s="6"/>
      <c r="R235" s="6"/>
    </row>
    <row r="236" spans="1:18">
      <c r="A236" t="s">
        <v>329</v>
      </c>
      <c r="B23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3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36" s="6">
        <f>TAX_CERTIFICATE[[#This Row],[BEGINNING PERIOD UNITS]]*$AA$2</f>
        <v>0</v>
      </c>
      <c r="E236" s="6">
        <f>TAX_CERTIFICATE[[#This Row],[BEGINNING PERIOD MARKET VALUE]]-TAX_CERTIFICATE[[#This Row],[BEGINNING PERIOD COST VALUE]]</f>
        <v>0</v>
      </c>
      <c r="F23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3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36" s="6">
        <f>TAX_CERTIFICATE[[#This Row],[ENDING PERIOD UNITS]]*$AA$3</f>
        <v>0</v>
      </c>
      <c r="I236" s="6">
        <f>TAX_CERTIFICATE[[#This Row],[ENDING PERIOD MARKET VALUE]]-TAX_CERTIFICATE[[#This Row],[ENDING PERIOD COST VALUE]]</f>
        <v>0</v>
      </c>
      <c r="J23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3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3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3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36" s="6">
        <f>TAX_CERTIFICATE[[#This Row],[TOTAL ADDITION AT COST DURING THE PERIOD]]-TAX_CERTIFICATE[[#This Row],[TOTAL REDEMPTION AT COST DURING THE PERIOD]]</f>
        <v>0</v>
      </c>
      <c r="O23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36" s="6"/>
      <c r="Q236" s="6"/>
      <c r="R236" s="6"/>
    </row>
    <row r="237" spans="1:18">
      <c r="A237" t="s">
        <v>330</v>
      </c>
      <c r="B23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3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37" s="6">
        <f>TAX_CERTIFICATE[[#This Row],[BEGINNING PERIOD UNITS]]*$AA$2</f>
        <v>0</v>
      </c>
      <c r="E237" s="6">
        <f>TAX_CERTIFICATE[[#This Row],[BEGINNING PERIOD MARKET VALUE]]-TAX_CERTIFICATE[[#This Row],[BEGINNING PERIOD COST VALUE]]</f>
        <v>0</v>
      </c>
      <c r="F23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3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37" s="6">
        <f>TAX_CERTIFICATE[[#This Row],[ENDING PERIOD UNITS]]*$AA$3</f>
        <v>0</v>
      </c>
      <c r="I237" s="6">
        <f>TAX_CERTIFICATE[[#This Row],[ENDING PERIOD MARKET VALUE]]-TAX_CERTIFICATE[[#This Row],[ENDING PERIOD COST VALUE]]</f>
        <v>0</v>
      </c>
      <c r="J23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3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3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3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37" s="6">
        <f>TAX_CERTIFICATE[[#This Row],[TOTAL ADDITION AT COST DURING THE PERIOD]]-TAX_CERTIFICATE[[#This Row],[TOTAL REDEMPTION AT COST DURING THE PERIOD]]</f>
        <v>0</v>
      </c>
      <c r="O23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37" s="6"/>
      <c r="Q237" s="6"/>
      <c r="R237" s="6"/>
    </row>
    <row r="238" spans="1:18">
      <c r="A238" t="s">
        <v>333</v>
      </c>
      <c r="B23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3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38" s="6">
        <f>TAX_CERTIFICATE[[#This Row],[BEGINNING PERIOD UNITS]]*$AA$2</f>
        <v>0</v>
      </c>
      <c r="E238" s="6">
        <f>TAX_CERTIFICATE[[#This Row],[BEGINNING PERIOD MARKET VALUE]]-TAX_CERTIFICATE[[#This Row],[BEGINNING PERIOD COST VALUE]]</f>
        <v>0</v>
      </c>
      <c r="F23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3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38" s="6">
        <f>TAX_CERTIFICATE[[#This Row],[ENDING PERIOD UNITS]]*$AA$3</f>
        <v>0</v>
      </c>
      <c r="I238" s="6">
        <f>TAX_CERTIFICATE[[#This Row],[ENDING PERIOD MARKET VALUE]]-TAX_CERTIFICATE[[#This Row],[ENDING PERIOD COST VALUE]]</f>
        <v>0</v>
      </c>
      <c r="J23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3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3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3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38" s="6">
        <f>TAX_CERTIFICATE[[#This Row],[TOTAL ADDITION AT COST DURING THE PERIOD]]-TAX_CERTIFICATE[[#This Row],[TOTAL REDEMPTION AT COST DURING THE PERIOD]]</f>
        <v>0</v>
      </c>
      <c r="O23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38" s="6"/>
      <c r="Q238" s="6"/>
      <c r="R238" s="6"/>
    </row>
    <row r="239" spans="1:18">
      <c r="A239" t="s">
        <v>335</v>
      </c>
      <c r="B23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3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39" s="6">
        <f>TAX_CERTIFICATE[[#This Row],[BEGINNING PERIOD UNITS]]*$AA$2</f>
        <v>0</v>
      </c>
      <c r="E239" s="6">
        <f>TAX_CERTIFICATE[[#This Row],[BEGINNING PERIOD MARKET VALUE]]-TAX_CERTIFICATE[[#This Row],[BEGINNING PERIOD COST VALUE]]</f>
        <v>0</v>
      </c>
      <c r="F23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3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39" s="6">
        <f>TAX_CERTIFICATE[[#This Row],[ENDING PERIOD UNITS]]*$AA$3</f>
        <v>0</v>
      </c>
      <c r="I239" s="6">
        <f>TAX_CERTIFICATE[[#This Row],[ENDING PERIOD MARKET VALUE]]-TAX_CERTIFICATE[[#This Row],[ENDING PERIOD COST VALUE]]</f>
        <v>0</v>
      </c>
      <c r="J23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3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3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3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39" s="6">
        <f>TAX_CERTIFICATE[[#This Row],[TOTAL ADDITION AT COST DURING THE PERIOD]]-TAX_CERTIFICATE[[#This Row],[TOTAL REDEMPTION AT COST DURING THE PERIOD]]</f>
        <v>0</v>
      </c>
      <c r="O23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39" s="6"/>
      <c r="Q239" s="6"/>
      <c r="R239" s="6"/>
    </row>
    <row r="240" spans="1:18">
      <c r="A240" t="s">
        <v>337</v>
      </c>
      <c r="B240" s="2">
        <f>SUMIFS(LS[Unit],LS[Investor ID],TAX_CERTIFICATE[[#This Row],[INVESTOR CODE]],LS[Date Value],"&lt;"&amp;$Z$2)+SUMIFS(SIP[Unit],SIP[Investor ID],TAX_CERTIFICATE[[#This Row],[INVESTOR CODE]],SIP[Date Value],"&lt;"&amp;$Z$2)</f>
        <v>50000</v>
      </c>
      <c r="C24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500000</v>
      </c>
      <c r="D240" s="6">
        <f>TAX_CERTIFICATE[[#This Row],[BEGINNING PERIOD UNITS]]*$AA$2</f>
        <v>498500.00000000006</v>
      </c>
      <c r="E240" s="6">
        <f>TAX_CERTIFICATE[[#This Row],[BEGINNING PERIOD MARKET VALUE]]-TAX_CERTIFICATE[[#This Row],[BEGINNING PERIOD COST VALUE]]</f>
        <v>-1499.9999999999418</v>
      </c>
      <c r="F24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4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40" s="6">
        <f>TAX_CERTIFICATE[[#This Row],[ENDING PERIOD UNITS]]*$AA$3</f>
        <v>0</v>
      </c>
      <c r="I240" s="6">
        <f>TAX_CERTIFICATE[[#This Row],[ENDING PERIOD MARKET VALUE]]-TAX_CERTIFICATE[[#This Row],[ENDING PERIOD COST VALUE]]</f>
        <v>0</v>
      </c>
      <c r="J24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4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4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50000</v>
      </c>
      <c r="M24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500000</v>
      </c>
      <c r="N240" s="6">
        <f>TAX_CERTIFICATE[[#This Row],[TOTAL ADDITION AT COST DURING THE PERIOD]]-TAX_CERTIFICATE[[#This Row],[TOTAL REDEMPTION AT COST DURING THE PERIOD]]</f>
        <v>-500000</v>
      </c>
      <c r="O24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15399.999999999991</v>
      </c>
      <c r="P240" s="6"/>
      <c r="Q240" s="6"/>
      <c r="R240" s="6"/>
    </row>
    <row r="241" spans="1:18">
      <c r="A241" t="s">
        <v>338</v>
      </c>
      <c r="B24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4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41" s="6">
        <f>TAX_CERTIFICATE[[#This Row],[BEGINNING PERIOD UNITS]]*$AA$2</f>
        <v>0</v>
      </c>
      <c r="E241" s="6">
        <f>TAX_CERTIFICATE[[#This Row],[BEGINNING PERIOD MARKET VALUE]]-TAX_CERTIFICATE[[#This Row],[BEGINNING PERIOD COST VALUE]]</f>
        <v>0</v>
      </c>
      <c r="F24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4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41" s="6">
        <f>TAX_CERTIFICATE[[#This Row],[ENDING PERIOD UNITS]]*$AA$3</f>
        <v>0</v>
      </c>
      <c r="I241" s="6">
        <f>TAX_CERTIFICATE[[#This Row],[ENDING PERIOD MARKET VALUE]]-TAX_CERTIFICATE[[#This Row],[ENDING PERIOD COST VALUE]]</f>
        <v>0</v>
      </c>
      <c r="J24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4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4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4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41" s="6">
        <f>TAX_CERTIFICATE[[#This Row],[TOTAL ADDITION AT COST DURING THE PERIOD]]-TAX_CERTIFICATE[[#This Row],[TOTAL REDEMPTION AT COST DURING THE PERIOD]]</f>
        <v>0</v>
      </c>
      <c r="O24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41" s="6"/>
      <c r="Q241" s="6"/>
      <c r="R241" s="6"/>
    </row>
    <row r="242" spans="1:18">
      <c r="A242" t="s">
        <v>340</v>
      </c>
      <c r="B24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4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42" s="6">
        <f>TAX_CERTIFICATE[[#This Row],[BEGINNING PERIOD UNITS]]*$AA$2</f>
        <v>0</v>
      </c>
      <c r="E242" s="6">
        <f>TAX_CERTIFICATE[[#This Row],[BEGINNING PERIOD MARKET VALUE]]-TAX_CERTIFICATE[[#This Row],[BEGINNING PERIOD COST VALUE]]</f>
        <v>0</v>
      </c>
      <c r="F24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4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42" s="6">
        <f>TAX_CERTIFICATE[[#This Row],[ENDING PERIOD UNITS]]*$AA$3</f>
        <v>0</v>
      </c>
      <c r="I242" s="6">
        <f>TAX_CERTIFICATE[[#This Row],[ENDING PERIOD MARKET VALUE]]-TAX_CERTIFICATE[[#This Row],[ENDING PERIOD COST VALUE]]</f>
        <v>0</v>
      </c>
      <c r="J24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4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4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4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42" s="6">
        <f>TAX_CERTIFICATE[[#This Row],[TOTAL ADDITION AT COST DURING THE PERIOD]]-TAX_CERTIFICATE[[#This Row],[TOTAL REDEMPTION AT COST DURING THE PERIOD]]</f>
        <v>0</v>
      </c>
      <c r="O24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42" s="6"/>
      <c r="Q242" s="6"/>
      <c r="R242" s="6"/>
    </row>
    <row r="243" spans="1:18">
      <c r="A243" t="s">
        <v>343</v>
      </c>
      <c r="B24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4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43" s="6">
        <f>TAX_CERTIFICATE[[#This Row],[BEGINNING PERIOD UNITS]]*$AA$2</f>
        <v>0</v>
      </c>
      <c r="E243" s="6">
        <f>TAX_CERTIFICATE[[#This Row],[BEGINNING PERIOD MARKET VALUE]]-TAX_CERTIFICATE[[#This Row],[BEGINNING PERIOD COST VALUE]]</f>
        <v>0</v>
      </c>
      <c r="F24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4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43" s="6">
        <f>TAX_CERTIFICATE[[#This Row],[ENDING PERIOD UNITS]]*$AA$3</f>
        <v>0</v>
      </c>
      <c r="I243" s="6">
        <f>TAX_CERTIFICATE[[#This Row],[ENDING PERIOD MARKET VALUE]]-TAX_CERTIFICATE[[#This Row],[ENDING PERIOD COST VALUE]]</f>
        <v>0</v>
      </c>
      <c r="J24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4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4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4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43" s="6">
        <f>TAX_CERTIFICATE[[#This Row],[TOTAL ADDITION AT COST DURING THE PERIOD]]-TAX_CERTIFICATE[[#This Row],[TOTAL REDEMPTION AT COST DURING THE PERIOD]]</f>
        <v>0</v>
      </c>
      <c r="O24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43" s="6"/>
      <c r="Q243" s="6"/>
      <c r="R243" s="6"/>
    </row>
    <row r="244" spans="1:18">
      <c r="A244" t="s">
        <v>345</v>
      </c>
      <c r="B244" s="2">
        <f>SUMIFS(LS[Unit],LS[Investor ID],TAX_CERTIFICATE[[#This Row],[INVESTOR CODE]],LS[Date Value],"&lt;"&amp;$Z$2)+SUMIFS(SIP[Unit],SIP[Investor ID],TAX_CERTIFICATE[[#This Row],[INVESTOR CODE]],SIP[Date Value],"&lt;"&amp;$Z$2)</f>
        <v>50000</v>
      </c>
      <c r="C24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500000</v>
      </c>
      <c r="D244" s="6">
        <f>TAX_CERTIFICATE[[#This Row],[BEGINNING PERIOD UNITS]]*$AA$2</f>
        <v>498500.00000000006</v>
      </c>
      <c r="E244" s="6">
        <f>TAX_CERTIFICATE[[#This Row],[BEGINNING PERIOD MARKET VALUE]]-TAX_CERTIFICATE[[#This Row],[BEGINNING PERIOD COST VALUE]]</f>
        <v>-1499.9999999999418</v>
      </c>
      <c r="F244" s="33">
        <f>SUMIFS(LS[Unit],LS[Investor ID],TAX_CERTIFICATE[[#This Row],[INVESTOR CODE]],LS[Date Value],"&lt;="&amp;$Z$3)+SUMIFS(SIP[Unit],SIP[Investor ID],TAX_CERTIFICATE[[#This Row],[INVESTOR CODE]],SIP[Date Value],"&lt;="&amp;$Z$3)</f>
        <v>3000</v>
      </c>
      <c r="G24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30000</v>
      </c>
      <c r="H244" s="6">
        <f>TAX_CERTIFICATE[[#This Row],[ENDING PERIOD UNITS]]*$AA$3</f>
        <v>29832.000000000004</v>
      </c>
      <c r="I244" s="6">
        <f>TAX_CERTIFICATE[[#This Row],[ENDING PERIOD MARKET VALUE]]-TAX_CERTIFICATE[[#This Row],[ENDING PERIOD COST VALUE]]</f>
        <v>-167.99999999999636</v>
      </c>
      <c r="J24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4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4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47000</v>
      </c>
      <c r="M24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470000</v>
      </c>
      <c r="N244" s="6">
        <f>TAX_CERTIFICATE[[#This Row],[TOTAL ADDITION AT COST DURING THE PERIOD]]-TAX_CERTIFICATE[[#This Row],[TOTAL REDEMPTION AT COST DURING THE PERIOD]]</f>
        <v>-470000</v>
      </c>
      <c r="O24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16308.999999999978</v>
      </c>
      <c r="P244" s="6"/>
      <c r="Q244" s="6"/>
      <c r="R244" s="6"/>
    </row>
    <row r="245" spans="1:18">
      <c r="A245" t="s">
        <v>347</v>
      </c>
      <c r="B24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4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45" s="6">
        <f>TAX_CERTIFICATE[[#This Row],[BEGINNING PERIOD UNITS]]*$AA$2</f>
        <v>0</v>
      </c>
      <c r="E245" s="6">
        <f>TAX_CERTIFICATE[[#This Row],[BEGINNING PERIOD MARKET VALUE]]-TAX_CERTIFICATE[[#This Row],[BEGINNING PERIOD COST VALUE]]</f>
        <v>0</v>
      </c>
      <c r="F24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4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45" s="6">
        <f>TAX_CERTIFICATE[[#This Row],[ENDING PERIOD UNITS]]*$AA$3</f>
        <v>0</v>
      </c>
      <c r="I245" s="6">
        <f>TAX_CERTIFICATE[[#This Row],[ENDING PERIOD MARKET VALUE]]-TAX_CERTIFICATE[[#This Row],[ENDING PERIOD COST VALUE]]</f>
        <v>0</v>
      </c>
      <c r="J24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4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4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4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45" s="6">
        <f>TAX_CERTIFICATE[[#This Row],[TOTAL ADDITION AT COST DURING THE PERIOD]]-TAX_CERTIFICATE[[#This Row],[TOTAL REDEMPTION AT COST DURING THE PERIOD]]</f>
        <v>0</v>
      </c>
      <c r="O24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45" s="6"/>
      <c r="Q245" s="6"/>
      <c r="R245" s="6"/>
    </row>
    <row r="246" spans="1:18">
      <c r="A246" t="s">
        <v>349</v>
      </c>
      <c r="B24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4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46" s="6">
        <f>TAX_CERTIFICATE[[#This Row],[BEGINNING PERIOD UNITS]]*$AA$2</f>
        <v>0</v>
      </c>
      <c r="E246" s="6">
        <f>TAX_CERTIFICATE[[#This Row],[BEGINNING PERIOD MARKET VALUE]]-TAX_CERTIFICATE[[#This Row],[BEGINNING PERIOD COST VALUE]]</f>
        <v>0</v>
      </c>
      <c r="F24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4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46" s="6">
        <f>TAX_CERTIFICATE[[#This Row],[ENDING PERIOD UNITS]]*$AA$3</f>
        <v>0</v>
      </c>
      <c r="I246" s="6">
        <f>TAX_CERTIFICATE[[#This Row],[ENDING PERIOD MARKET VALUE]]-TAX_CERTIFICATE[[#This Row],[ENDING PERIOD COST VALUE]]</f>
        <v>0</v>
      </c>
      <c r="J24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4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4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4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46" s="6">
        <f>TAX_CERTIFICATE[[#This Row],[TOTAL ADDITION AT COST DURING THE PERIOD]]-TAX_CERTIFICATE[[#This Row],[TOTAL REDEMPTION AT COST DURING THE PERIOD]]</f>
        <v>0</v>
      </c>
      <c r="O24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46" s="6"/>
      <c r="Q246" s="6"/>
      <c r="R246" s="6"/>
    </row>
    <row r="247" spans="1:18">
      <c r="A247" t="s">
        <v>351</v>
      </c>
      <c r="B247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24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247" s="6">
        <f>TAX_CERTIFICATE[[#This Row],[BEGINNING PERIOD UNITS]]*$AA$2</f>
        <v>997000.00000000012</v>
      </c>
      <c r="E247" s="6">
        <f>TAX_CERTIFICATE[[#This Row],[BEGINNING PERIOD MARKET VALUE]]-TAX_CERTIFICATE[[#This Row],[BEGINNING PERIOD COST VALUE]]</f>
        <v>-2999.9999999998836</v>
      </c>
      <c r="F247" s="33">
        <f>SUMIFS(LS[Unit],LS[Investor ID],TAX_CERTIFICATE[[#This Row],[INVESTOR CODE]],LS[Date Value],"&lt;="&amp;$Z$3)+SUMIFS(SIP[Unit],SIP[Investor ID],TAX_CERTIFICATE[[#This Row],[INVESTOR CODE]],SIP[Date Value],"&lt;="&amp;$Z$3)</f>
        <v>102284</v>
      </c>
      <c r="G24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1022500</v>
      </c>
      <c r="H247" s="6">
        <f>TAX_CERTIFICATE[[#This Row],[ENDING PERIOD UNITS]]*$AA$3</f>
        <v>1017112.0960000001</v>
      </c>
      <c r="I247" s="6">
        <f>TAX_CERTIFICATE[[#This Row],[ENDING PERIOD MARKET VALUE]]-TAX_CERTIFICATE[[#This Row],[ENDING PERIOD COST VALUE]]</f>
        <v>-5387.903999999864</v>
      </c>
      <c r="J24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2284</v>
      </c>
      <c r="K24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22500</v>
      </c>
      <c r="L24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4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47" s="6">
        <f>TAX_CERTIFICATE[[#This Row],[TOTAL ADDITION AT COST DURING THE PERIOD]]-TAX_CERTIFICATE[[#This Row],[TOTAL REDEMPTION AT COST DURING THE PERIOD]]</f>
        <v>22500</v>
      </c>
      <c r="O24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47" s="6"/>
      <c r="Q247" s="6"/>
      <c r="R247" s="6"/>
    </row>
    <row r="248" spans="1:18">
      <c r="A248" t="s">
        <v>353</v>
      </c>
      <c r="B248" s="2">
        <f>SUMIFS(LS[Unit],LS[Investor ID],TAX_CERTIFICATE[[#This Row],[INVESTOR CODE]],LS[Date Value],"&lt;"&amp;$Z$2)+SUMIFS(SIP[Unit],SIP[Investor ID],TAX_CERTIFICATE[[#This Row],[INVESTOR CODE]],SIP[Date Value],"&lt;"&amp;$Z$2)</f>
        <v>250000</v>
      </c>
      <c r="C24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2500000</v>
      </c>
      <c r="D248" s="6">
        <f>TAX_CERTIFICATE[[#This Row],[BEGINNING PERIOD UNITS]]*$AA$2</f>
        <v>2492500</v>
      </c>
      <c r="E248" s="6">
        <f>TAX_CERTIFICATE[[#This Row],[BEGINNING PERIOD MARKET VALUE]]-TAX_CERTIFICATE[[#This Row],[BEGINNING PERIOD COST VALUE]]</f>
        <v>-7500</v>
      </c>
      <c r="F248" s="33">
        <f>SUMIFS(LS[Unit],LS[Investor ID],TAX_CERTIFICATE[[#This Row],[INVESTOR CODE]],LS[Date Value],"&lt;="&amp;$Z$3)+SUMIFS(SIP[Unit],SIP[Investor ID],TAX_CERTIFICATE[[#This Row],[INVESTOR CODE]],SIP[Date Value],"&lt;="&amp;$Z$3)</f>
        <v>255710</v>
      </c>
      <c r="G24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2556250</v>
      </c>
      <c r="H248" s="6">
        <f>TAX_CERTIFICATE[[#This Row],[ENDING PERIOD UNITS]]*$AA$3</f>
        <v>2542780.2400000002</v>
      </c>
      <c r="I248" s="6">
        <f>TAX_CERTIFICATE[[#This Row],[ENDING PERIOD MARKET VALUE]]-TAX_CERTIFICATE[[#This Row],[ENDING PERIOD COST VALUE]]</f>
        <v>-13469.759999999776</v>
      </c>
      <c r="J24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5710</v>
      </c>
      <c r="K24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56250</v>
      </c>
      <c r="L24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4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48" s="6">
        <f>TAX_CERTIFICATE[[#This Row],[TOTAL ADDITION AT COST DURING THE PERIOD]]-TAX_CERTIFICATE[[#This Row],[TOTAL REDEMPTION AT COST DURING THE PERIOD]]</f>
        <v>56250</v>
      </c>
      <c r="O24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48" s="6"/>
      <c r="Q248" s="6"/>
      <c r="R248" s="6"/>
    </row>
    <row r="249" spans="1:18">
      <c r="A249" t="s">
        <v>355</v>
      </c>
      <c r="B24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4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49" s="6">
        <f>TAX_CERTIFICATE[[#This Row],[BEGINNING PERIOD UNITS]]*$AA$2</f>
        <v>0</v>
      </c>
      <c r="E249" s="6">
        <f>TAX_CERTIFICATE[[#This Row],[BEGINNING PERIOD MARKET VALUE]]-TAX_CERTIFICATE[[#This Row],[BEGINNING PERIOD COST VALUE]]</f>
        <v>0</v>
      </c>
      <c r="F24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4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49" s="6">
        <f>TAX_CERTIFICATE[[#This Row],[ENDING PERIOD UNITS]]*$AA$3</f>
        <v>0</v>
      </c>
      <c r="I249" s="6">
        <f>TAX_CERTIFICATE[[#This Row],[ENDING PERIOD MARKET VALUE]]-TAX_CERTIFICATE[[#This Row],[ENDING PERIOD COST VALUE]]</f>
        <v>0</v>
      </c>
      <c r="J24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4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4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4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49" s="6">
        <f>TAX_CERTIFICATE[[#This Row],[TOTAL ADDITION AT COST DURING THE PERIOD]]-TAX_CERTIFICATE[[#This Row],[TOTAL REDEMPTION AT COST DURING THE PERIOD]]</f>
        <v>0</v>
      </c>
      <c r="O24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49" s="6"/>
      <c r="Q249" s="6"/>
      <c r="R249" s="6"/>
    </row>
    <row r="250" spans="1:18">
      <c r="A250" t="s">
        <v>357</v>
      </c>
      <c r="B250" s="2">
        <f>SUMIFS(LS[Unit],LS[Investor ID],TAX_CERTIFICATE[[#This Row],[INVESTOR CODE]],LS[Date Value],"&lt;"&amp;$Z$2)+SUMIFS(SIP[Unit],SIP[Investor ID],TAX_CERTIFICATE[[#This Row],[INVESTOR CODE]],SIP[Date Value],"&lt;"&amp;$Z$2)</f>
        <v>10000</v>
      </c>
      <c r="C25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</v>
      </c>
      <c r="D250" s="6">
        <f>TAX_CERTIFICATE[[#This Row],[BEGINNING PERIOD UNITS]]*$AA$2</f>
        <v>99700</v>
      </c>
      <c r="E250" s="6">
        <f>TAX_CERTIFICATE[[#This Row],[BEGINNING PERIOD MARKET VALUE]]-TAX_CERTIFICATE[[#This Row],[BEGINNING PERIOD COST VALUE]]</f>
        <v>-300</v>
      </c>
      <c r="F250" s="33">
        <f>SUMIFS(LS[Unit],LS[Investor ID],TAX_CERTIFICATE[[#This Row],[INVESTOR CODE]],LS[Date Value],"&lt;="&amp;$Z$3)+SUMIFS(SIP[Unit],SIP[Investor ID],TAX_CERTIFICATE[[#This Row],[INVESTOR CODE]],SIP[Date Value],"&lt;="&amp;$Z$3)</f>
        <v>9987</v>
      </c>
      <c r="G25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99870</v>
      </c>
      <c r="H250" s="6">
        <f>TAX_CERTIFICATE[[#This Row],[ENDING PERIOD UNITS]]*$AA$3</f>
        <v>99310.728000000003</v>
      </c>
      <c r="I250" s="6">
        <f>TAX_CERTIFICATE[[#This Row],[ENDING PERIOD MARKET VALUE]]-TAX_CERTIFICATE[[#This Row],[ENDING PERIOD COST VALUE]]</f>
        <v>-559.27199999999721</v>
      </c>
      <c r="J25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5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5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13</v>
      </c>
      <c r="M25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130</v>
      </c>
      <c r="N250" s="6">
        <f>TAX_CERTIFICATE[[#This Row],[TOTAL ADDITION AT COST DURING THE PERIOD]]-TAX_CERTIFICATE[[#This Row],[TOTAL REDEMPTION AT COST DURING THE PERIOD]]</f>
        <v>-130</v>
      </c>
      <c r="O25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-5.0000000000000053</v>
      </c>
      <c r="P250" s="6"/>
      <c r="Q250" s="6"/>
      <c r="R250" s="6"/>
    </row>
    <row r="251" spans="1:18">
      <c r="A251" t="s">
        <v>358</v>
      </c>
      <c r="B251" s="2">
        <f>SUMIFS(LS[Unit],LS[Investor ID],TAX_CERTIFICATE[[#This Row],[INVESTOR CODE]],LS[Date Value],"&lt;"&amp;$Z$2)+SUMIFS(SIP[Unit],SIP[Investor ID],TAX_CERTIFICATE[[#This Row],[INVESTOR CODE]],SIP[Date Value],"&lt;"&amp;$Z$2)</f>
        <v>17000</v>
      </c>
      <c r="C25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170000</v>
      </c>
      <c r="D251" s="6">
        <f>TAX_CERTIFICATE[[#This Row],[BEGINNING PERIOD UNITS]]*$AA$2</f>
        <v>169490</v>
      </c>
      <c r="E251" s="6">
        <f>TAX_CERTIFICATE[[#This Row],[BEGINNING PERIOD MARKET VALUE]]-TAX_CERTIFICATE[[#This Row],[BEGINNING PERIOD COST VALUE]]</f>
        <v>-510</v>
      </c>
      <c r="F25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5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-2.9103830456733704E-11</v>
      </c>
      <c r="H251" s="6">
        <f>TAX_CERTIFICATE[[#This Row],[ENDING PERIOD UNITS]]*$AA$3</f>
        <v>0</v>
      </c>
      <c r="I251" s="6">
        <f>TAX_CERTIFICATE[[#This Row],[ENDING PERIOD MARKET VALUE]]-TAX_CERTIFICATE[[#This Row],[ENDING PERIOD COST VALUE]]</f>
        <v>2.9103830456733704E-11</v>
      </c>
      <c r="J25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412</v>
      </c>
      <c r="K25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4250</v>
      </c>
      <c r="L25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17412</v>
      </c>
      <c r="M25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174250.00000000003</v>
      </c>
      <c r="N251" s="6">
        <f>TAX_CERTIFICATE[[#This Row],[TOTAL ADDITION AT COST DURING THE PERIOD]]-TAX_CERTIFICATE[[#This Row],[TOTAL REDEMPTION AT COST DURING THE PERIOD]]</f>
        <v>-170000.00000000003</v>
      </c>
      <c r="O25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1546.9999999999807</v>
      </c>
      <c r="P251" s="6"/>
      <c r="Q251" s="6"/>
      <c r="R251" s="6"/>
    </row>
    <row r="252" spans="1:18">
      <c r="A252" t="s">
        <v>360</v>
      </c>
      <c r="B25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5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52" s="6">
        <f>TAX_CERTIFICATE[[#This Row],[BEGINNING PERIOD UNITS]]*$AA$2</f>
        <v>0</v>
      </c>
      <c r="E252" s="6">
        <f>TAX_CERTIFICATE[[#This Row],[BEGINNING PERIOD MARKET VALUE]]-TAX_CERTIFICATE[[#This Row],[BEGINNING PERIOD COST VALUE]]</f>
        <v>0</v>
      </c>
      <c r="F25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5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52" s="6">
        <f>TAX_CERTIFICATE[[#This Row],[ENDING PERIOD UNITS]]*$AA$3</f>
        <v>0</v>
      </c>
      <c r="I252" s="6">
        <f>TAX_CERTIFICATE[[#This Row],[ENDING PERIOD MARKET VALUE]]-TAX_CERTIFICATE[[#This Row],[ENDING PERIOD COST VALUE]]</f>
        <v>0</v>
      </c>
      <c r="J25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5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5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5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52" s="6">
        <f>TAX_CERTIFICATE[[#This Row],[TOTAL ADDITION AT COST DURING THE PERIOD]]-TAX_CERTIFICATE[[#This Row],[TOTAL REDEMPTION AT COST DURING THE PERIOD]]</f>
        <v>0</v>
      </c>
      <c r="O25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52" s="6"/>
      <c r="Q252" s="6"/>
      <c r="R252" s="6"/>
    </row>
    <row r="253" spans="1:18">
      <c r="A253" t="s">
        <v>362</v>
      </c>
      <c r="B25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5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53" s="6">
        <f>TAX_CERTIFICATE[[#This Row],[BEGINNING PERIOD UNITS]]*$AA$2</f>
        <v>0</v>
      </c>
      <c r="E253" s="6">
        <f>TAX_CERTIFICATE[[#This Row],[BEGINNING PERIOD MARKET VALUE]]-TAX_CERTIFICATE[[#This Row],[BEGINNING PERIOD COST VALUE]]</f>
        <v>0</v>
      </c>
      <c r="F25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5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53" s="6">
        <f>TAX_CERTIFICATE[[#This Row],[ENDING PERIOD UNITS]]*$AA$3</f>
        <v>0</v>
      </c>
      <c r="I253" s="6">
        <f>TAX_CERTIFICATE[[#This Row],[ENDING PERIOD MARKET VALUE]]-TAX_CERTIFICATE[[#This Row],[ENDING PERIOD COST VALUE]]</f>
        <v>0</v>
      </c>
      <c r="J25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5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5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5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53" s="6">
        <f>TAX_CERTIFICATE[[#This Row],[TOTAL ADDITION AT COST DURING THE PERIOD]]-TAX_CERTIFICATE[[#This Row],[TOTAL REDEMPTION AT COST DURING THE PERIOD]]</f>
        <v>0</v>
      </c>
      <c r="O25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53" s="6"/>
      <c r="Q253" s="6"/>
      <c r="R253" s="6"/>
    </row>
    <row r="254" spans="1:18">
      <c r="A254" t="s">
        <v>364</v>
      </c>
      <c r="B25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5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54" s="6">
        <f>TAX_CERTIFICATE[[#This Row],[BEGINNING PERIOD UNITS]]*$AA$2</f>
        <v>0</v>
      </c>
      <c r="E254" s="6">
        <f>TAX_CERTIFICATE[[#This Row],[BEGINNING PERIOD MARKET VALUE]]-TAX_CERTIFICATE[[#This Row],[BEGINNING PERIOD COST VALUE]]</f>
        <v>0</v>
      </c>
      <c r="F25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5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54" s="6">
        <f>TAX_CERTIFICATE[[#This Row],[ENDING PERIOD UNITS]]*$AA$3</f>
        <v>0</v>
      </c>
      <c r="I254" s="6">
        <f>TAX_CERTIFICATE[[#This Row],[ENDING PERIOD MARKET VALUE]]-TAX_CERTIFICATE[[#This Row],[ENDING PERIOD COST VALUE]]</f>
        <v>0</v>
      </c>
      <c r="J25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5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5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5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54" s="6">
        <f>TAX_CERTIFICATE[[#This Row],[TOTAL ADDITION AT COST DURING THE PERIOD]]-TAX_CERTIFICATE[[#This Row],[TOTAL REDEMPTION AT COST DURING THE PERIOD]]</f>
        <v>0</v>
      </c>
      <c r="O25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54" s="6"/>
      <c r="Q254" s="6"/>
      <c r="R254" s="6"/>
    </row>
    <row r="255" spans="1:18">
      <c r="A255" t="s">
        <v>366</v>
      </c>
      <c r="B25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5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55" s="6">
        <f>TAX_CERTIFICATE[[#This Row],[BEGINNING PERIOD UNITS]]*$AA$2</f>
        <v>0</v>
      </c>
      <c r="E255" s="6">
        <f>TAX_CERTIFICATE[[#This Row],[BEGINNING PERIOD MARKET VALUE]]-TAX_CERTIFICATE[[#This Row],[BEGINNING PERIOD COST VALUE]]</f>
        <v>0</v>
      </c>
      <c r="F25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5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55" s="6">
        <f>TAX_CERTIFICATE[[#This Row],[ENDING PERIOD UNITS]]*$AA$3</f>
        <v>0</v>
      </c>
      <c r="I255" s="6">
        <f>TAX_CERTIFICATE[[#This Row],[ENDING PERIOD MARKET VALUE]]-TAX_CERTIFICATE[[#This Row],[ENDING PERIOD COST VALUE]]</f>
        <v>0</v>
      </c>
      <c r="J25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5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5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5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55" s="6">
        <f>TAX_CERTIFICATE[[#This Row],[TOTAL ADDITION AT COST DURING THE PERIOD]]-TAX_CERTIFICATE[[#This Row],[TOTAL REDEMPTION AT COST DURING THE PERIOD]]</f>
        <v>0</v>
      </c>
      <c r="O25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55" s="6"/>
      <c r="Q255" s="6"/>
      <c r="R255" s="6"/>
    </row>
    <row r="256" spans="1:18">
      <c r="A256" t="s">
        <v>368</v>
      </c>
      <c r="B25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5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56" s="6">
        <f>TAX_CERTIFICATE[[#This Row],[BEGINNING PERIOD UNITS]]*$AA$2</f>
        <v>0</v>
      </c>
      <c r="E256" s="6">
        <f>TAX_CERTIFICATE[[#This Row],[BEGINNING PERIOD MARKET VALUE]]-TAX_CERTIFICATE[[#This Row],[BEGINNING PERIOD COST VALUE]]</f>
        <v>0</v>
      </c>
      <c r="F25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5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56" s="6">
        <f>TAX_CERTIFICATE[[#This Row],[ENDING PERIOD UNITS]]*$AA$3</f>
        <v>0</v>
      </c>
      <c r="I256" s="6">
        <f>TAX_CERTIFICATE[[#This Row],[ENDING PERIOD MARKET VALUE]]-TAX_CERTIFICATE[[#This Row],[ENDING PERIOD COST VALUE]]</f>
        <v>0</v>
      </c>
      <c r="J25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5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5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5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56" s="6">
        <f>TAX_CERTIFICATE[[#This Row],[TOTAL ADDITION AT COST DURING THE PERIOD]]-TAX_CERTIFICATE[[#This Row],[TOTAL REDEMPTION AT COST DURING THE PERIOD]]</f>
        <v>0</v>
      </c>
      <c r="O25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56" s="6"/>
      <c r="Q256" s="6"/>
      <c r="R256" s="6"/>
    </row>
    <row r="257" spans="1:18">
      <c r="A257" t="s">
        <v>370</v>
      </c>
      <c r="B25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5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57" s="6">
        <f>TAX_CERTIFICATE[[#This Row],[BEGINNING PERIOD UNITS]]*$AA$2</f>
        <v>0</v>
      </c>
      <c r="E257" s="6">
        <f>TAX_CERTIFICATE[[#This Row],[BEGINNING PERIOD MARKET VALUE]]-TAX_CERTIFICATE[[#This Row],[BEGINNING PERIOD COST VALUE]]</f>
        <v>0</v>
      </c>
      <c r="F25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5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57" s="6">
        <f>TAX_CERTIFICATE[[#This Row],[ENDING PERIOD UNITS]]*$AA$3</f>
        <v>0</v>
      </c>
      <c r="I257" s="6">
        <f>TAX_CERTIFICATE[[#This Row],[ENDING PERIOD MARKET VALUE]]-TAX_CERTIFICATE[[#This Row],[ENDING PERIOD COST VALUE]]</f>
        <v>0</v>
      </c>
      <c r="J25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5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5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5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57" s="6">
        <f>TAX_CERTIFICATE[[#This Row],[TOTAL ADDITION AT COST DURING THE PERIOD]]-TAX_CERTIFICATE[[#This Row],[TOTAL REDEMPTION AT COST DURING THE PERIOD]]</f>
        <v>0</v>
      </c>
      <c r="O25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57" s="6"/>
      <c r="Q257" s="6"/>
      <c r="R257" s="6"/>
    </row>
    <row r="258" spans="1:18">
      <c r="A258" t="s">
        <v>372</v>
      </c>
      <c r="B25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5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58" s="6">
        <f>TAX_CERTIFICATE[[#This Row],[BEGINNING PERIOD UNITS]]*$AA$2</f>
        <v>0</v>
      </c>
      <c r="E258" s="6">
        <f>TAX_CERTIFICATE[[#This Row],[BEGINNING PERIOD MARKET VALUE]]-TAX_CERTIFICATE[[#This Row],[BEGINNING PERIOD COST VALUE]]</f>
        <v>0</v>
      </c>
      <c r="F25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5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58" s="6">
        <f>TAX_CERTIFICATE[[#This Row],[ENDING PERIOD UNITS]]*$AA$3</f>
        <v>0</v>
      </c>
      <c r="I258" s="6">
        <f>TAX_CERTIFICATE[[#This Row],[ENDING PERIOD MARKET VALUE]]-TAX_CERTIFICATE[[#This Row],[ENDING PERIOD COST VALUE]]</f>
        <v>0</v>
      </c>
      <c r="J25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5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5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5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58" s="6">
        <f>TAX_CERTIFICATE[[#This Row],[TOTAL ADDITION AT COST DURING THE PERIOD]]-TAX_CERTIFICATE[[#This Row],[TOTAL REDEMPTION AT COST DURING THE PERIOD]]</f>
        <v>0</v>
      </c>
      <c r="O25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58" s="6"/>
      <c r="Q258" s="6"/>
      <c r="R258" s="6"/>
    </row>
    <row r="259" spans="1:18">
      <c r="A259" t="s">
        <v>374</v>
      </c>
      <c r="B259" s="2">
        <f>SUMIFS(LS[Unit],LS[Investor ID],TAX_CERTIFICATE[[#This Row],[INVESTOR CODE]],LS[Date Value],"&lt;"&amp;$Z$2)+SUMIFS(SIP[Unit],SIP[Investor ID],TAX_CERTIFICATE[[#This Row],[INVESTOR CODE]],SIP[Date Value],"&lt;"&amp;$Z$2)</f>
        <v>29283</v>
      </c>
      <c r="C25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300000</v>
      </c>
      <c r="D259" s="6">
        <f>TAX_CERTIFICATE[[#This Row],[BEGINNING PERIOD UNITS]]*$AA$2</f>
        <v>291951.51</v>
      </c>
      <c r="E259" s="6">
        <f>TAX_CERTIFICATE[[#This Row],[BEGINNING PERIOD MARKET VALUE]]-TAX_CERTIFICATE[[#This Row],[BEGINNING PERIOD COST VALUE]]</f>
        <v>-8048.4899999999907</v>
      </c>
      <c r="F25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5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59" s="6">
        <f>TAX_CERTIFICATE[[#This Row],[ENDING PERIOD UNITS]]*$AA$3</f>
        <v>0</v>
      </c>
      <c r="I259" s="6">
        <f>TAX_CERTIFICATE[[#This Row],[ENDING PERIOD MARKET VALUE]]-TAX_CERTIFICATE[[#This Row],[ENDING PERIOD COST VALUE]]</f>
        <v>0</v>
      </c>
      <c r="J25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5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5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29283</v>
      </c>
      <c r="M25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300000</v>
      </c>
      <c r="N259" s="6">
        <f>TAX_CERTIFICATE[[#This Row],[TOTAL ADDITION AT COST DURING THE PERIOD]]-TAX_CERTIFICATE[[#This Row],[TOTAL REDEMPTION AT COST DURING THE PERIOD]]</f>
        <v>-300000</v>
      </c>
      <c r="O25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912.10999999999501</v>
      </c>
      <c r="P259" s="6"/>
      <c r="Q259" s="6"/>
      <c r="R259" s="6"/>
    </row>
    <row r="260" spans="1:18">
      <c r="A260" t="s">
        <v>376</v>
      </c>
      <c r="B26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6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60" s="6">
        <f>TAX_CERTIFICATE[[#This Row],[BEGINNING PERIOD UNITS]]*$AA$2</f>
        <v>0</v>
      </c>
      <c r="E260" s="6">
        <f>TAX_CERTIFICATE[[#This Row],[BEGINNING PERIOD MARKET VALUE]]-TAX_CERTIFICATE[[#This Row],[BEGINNING PERIOD COST VALUE]]</f>
        <v>0</v>
      </c>
      <c r="F26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6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60" s="6">
        <f>TAX_CERTIFICATE[[#This Row],[ENDING PERIOD UNITS]]*$AA$3</f>
        <v>0</v>
      </c>
      <c r="I260" s="6">
        <f>TAX_CERTIFICATE[[#This Row],[ENDING PERIOD MARKET VALUE]]-TAX_CERTIFICATE[[#This Row],[ENDING PERIOD COST VALUE]]</f>
        <v>0</v>
      </c>
      <c r="J26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6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6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6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60" s="6">
        <f>TAX_CERTIFICATE[[#This Row],[TOTAL ADDITION AT COST DURING THE PERIOD]]-TAX_CERTIFICATE[[#This Row],[TOTAL REDEMPTION AT COST DURING THE PERIOD]]</f>
        <v>0</v>
      </c>
      <c r="O26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60" s="6"/>
      <c r="Q260" s="6"/>
      <c r="R260" s="6"/>
    </row>
    <row r="261" spans="1:18">
      <c r="A261" t="s">
        <v>379</v>
      </c>
      <c r="B26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6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61" s="6">
        <f>TAX_CERTIFICATE[[#This Row],[BEGINNING PERIOD UNITS]]*$AA$2</f>
        <v>0</v>
      </c>
      <c r="E261" s="6">
        <f>TAX_CERTIFICATE[[#This Row],[BEGINNING PERIOD MARKET VALUE]]-TAX_CERTIFICATE[[#This Row],[BEGINNING PERIOD COST VALUE]]</f>
        <v>0</v>
      </c>
      <c r="F26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6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61" s="6">
        <f>TAX_CERTIFICATE[[#This Row],[ENDING PERIOD UNITS]]*$AA$3</f>
        <v>0</v>
      </c>
      <c r="I261" s="6">
        <f>TAX_CERTIFICATE[[#This Row],[ENDING PERIOD MARKET VALUE]]-TAX_CERTIFICATE[[#This Row],[ENDING PERIOD COST VALUE]]</f>
        <v>0</v>
      </c>
      <c r="J26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6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6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6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61" s="6">
        <f>TAX_CERTIFICATE[[#This Row],[TOTAL ADDITION AT COST DURING THE PERIOD]]-TAX_CERTIFICATE[[#This Row],[TOTAL REDEMPTION AT COST DURING THE PERIOD]]</f>
        <v>0</v>
      </c>
      <c r="O26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61" s="6"/>
      <c r="Q261" s="6"/>
      <c r="R261" s="6"/>
    </row>
    <row r="262" spans="1:18">
      <c r="A262" t="s">
        <v>381</v>
      </c>
      <c r="B262" s="2">
        <f>SUMIFS(LS[Unit],LS[Investor ID],TAX_CERTIFICATE[[#This Row],[INVESTOR CODE]],LS[Date Value],"&lt;"&amp;$Z$2)+SUMIFS(SIP[Unit],SIP[Investor ID],TAX_CERTIFICATE[[#This Row],[INVESTOR CODE]],SIP[Date Value],"&lt;"&amp;$Z$2)</f>
        <v>19522</v>
      </c>
      <c r="C26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200000</v>
      </c>
      <c r="D262" s="6">
        <f>TAX_CERTIFICATE[[#This Row],[BEGINNING PERIOD UNITS]]*$AA$2</f>
        <v>194634.34000000003</v>
      </c>
      <c r="E262" s="6">
        <f>TAX_CERTIFICATE[[#This Row],[BEGINNING PERIOD MARKET VALUE]]-TAX_CERTIFICATE[[#This Row],[BEGINNING PERIOD COST VALUE]]</f>
        <v>-5365.6599999999744</v>
      </c>
      <c r="F262" s="33">
        <f>SUMIFS(LS[Unit],LS[Investor ID],TAX_CERTIFICATE[[#This Row],[INVESTOR CODE]],LS[Date Value],"&lt;="&amp;$Z$3)+SUMIFS(SIP[Unit],SIP[Investor ID],TAX_CERTIFICATE[[#This Row],[INVESTOR CODE]],SIP[Date Value],"&lt;="&amp;$Z$3)</f>
        <v>934</v>
      </c>
      <c r="G26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9391.9377574019309</v>
      </c>
      <c r="H262" s="6">
        <f>TAX_CERTIFICATE[[#This Row],[ENDING PERIOD UNITS]]*$AA$3</f>
        <v>9287.6959999999999</v>
      </c>
      <c r="I262" s="6">
        <f>TAX_CERTIFICATE[[#This Row],[ENDING PERIOD MARKET VALUE]]-TAX_CERTIFICATE[[#This Row],[ENDING PERIOD COST VALUE]]</f>
        <v>-104.24175740193095</v>
      </c>
      <c r="J26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446</v>
      </c>
      <c r="K26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4392.45</v>
      </c>
      <c r="L26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19034</v>
      </c>
      <c r="M26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195000.51224259808</v>
      </c>
      <c r="N262" s="6">
        <f>TAX_CERTIFICATE[[#This Row],[TOTAL ADDITION AT COST DURING THE PERIOD]]-TAX_CERTIFICATE[[#This Row],[TOTAL REDEMPTION AT COST DURING THE PERIOD]]</f>
        <v>-190608.06224259807</v>
      </c>
      <c r="O26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2400.5877574019214</v>
      </c>
      <c r="P262" s="6"/>
      <c r="Q262" s="6"/>
      <c r="R262" s="6"/>
    </row>
    <row r="263" spans="1:18">
      <c r="A263" t="s">
        <v>383</v>
      </c>
      <c r="B263" s="2">
        <f>SUMIFS(LS[Unit],LS[Investor ID],TAX_CERTIFICATE[[#This Row],[INVESTOR CODE]],LS[Date Value],"&lt;"&amp;$Z$2)+SUMIFS(SIP[Unit],SIP[Investor ID],TAX_CERTIFICATE[[#This Row],[INVESTOR CODE]],SIP[Date Value],"&lt;"&amp;$Z$2)</f>
        <v>222200</v>
      </c>
      <c r="C26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2198000</v>
      </c>
      <c r="D263" s="6">
        <f>TAX_CERTIFICATE[[#This Row],[BEGINNING PERIOD UNITS]]*$AA$2</f>
        <v>2215334</v>
      </c>
      <c r="E263" s="6">
        <f>TAX_CERTIFICATE[[#This Row],[BEGINNING PERIOD MARKET VALUE]]-TAX_CERTIFICATE[[#This Row],[BEGINNING PERIOD COST VALUE]]</f>
        <v>17334</v>
      </c>
      <c r="F26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6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63" s="6">
        <f>TAX_CERTIFICATE[[#This Row],[ENDING PERIOD UNITS]]*$AA$3</f>
        <v>0</v>
      </c>
      <c r="I263" s="6">
        <f>TAX_CERTIFICATE[[#This Row],[ENDING PERIOD MARKET VALUE]]-TAX_CERTIFICATE[[#This Row],[ENDING PERIOD COST VALUE]]</f>
        <v>0</v>
      </c>
      <c r="J26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6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6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222200</v>
      </c>
      <c r="M26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2197999.9999999995</v>
      </c>
      <c r="N263" s="6">
        <f>TAX_CERTIFICATE[[#This Row],[TOTAL ADDITION AT COST DURING THE PERIOD]]-TAX_CERTIFICATE[[#This Row],[TOTAL REDEMPTION AT COST DURING THE PERIOD]]</f>
        <v>-2197999.9999999995</v>
      </c>
      <c r="O26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75550.400000000081</v>
      </c>
      <c r="P263" s="6"/>
      <c r="Q263" s="6"/>
      <c r="R263" s="6"/>
    </row>
    <row r="264" spans="1:18">
      <c r="A264" t="s">
        <v>385</v>
      </c>
      <c r="B26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6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64" s="6">
        <f>TAX_CERTIFICATE[[#This Row],[BEGINNING PERIOD UNITS]]*$AA$2</f>
        <v>0</v>
      </c>
      <c r="E264" s="6">
        <f>TAX_CERTIFICATE[[#This Row],[BEGINNING PERIOD MARKET VALUE]]-TAX_CERTIFICATE[[#This Row],[BEGINNING PERIOD COST VALUE]]</f>
        <v>0</v>
      </c>
      <c r="F26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6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64" s="6">
        <f>TAX_CERTIFICATE[[#This Row],[ENDING PERIOD UNITS]]*$AA$3</f>
        <v>0</v>
      </c>
      <c r="I264" s="6">
        <f>TAX_CERTIFICATE[[#This Row],[ENDING PERIOD MARKET VALUE]]-TAX_CERTIFICATE[[#This Row],[ENDING PERIOD COST VALUE]]</f>
        <v>0</v>
      </c>
      <c r="J26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6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6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6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64" s="6">
        <f>TAX_CERTIFICATE[[#This Row],[TOTAL ADDITION AT COST DURING THE PERIOD]]-TAX_CERTIFICATE[[#This Row],[TOTAL REDEMPTION AT COST DURING THE PERIOD]]</f>
        <v>0</v>
      </c>
      <c r="O26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64" s="6"/>
      <c r="Q264" s="6"/>
      <c r="R264" s="6"/>
    </row>
    <row r="265" spans="1:18">
      <c r="A265" t="s">
        <v>387</v>
      </c>
      <c r="B26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6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65" s="6">
        <f>TAX_CERTIFICATE[[#This Row],[BEGINNING PERIOD UNITS]]*$AA$2</f>
        <v>0</v>
      </c>
      <c r="E265" s="6">
        <f>TAX_CERTIFICATE[[#This Row],[BEGINNING PERIOD MARKET VALUE]]-TAX_CERTIFICATE[[#This Row],[BEGINNING PERIOD COST VALUE]]</f>
        <v>0</v>
      </c>
      <c r="F26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6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65" s="6">
        <f>TAX_CERTIFICATE[[#This Row],[ENDING PERIOD UNITS]]*$AA$3</f>
        <v>0</v>
      </c>
      <c r="I265" s="6">
        <f>TAX_CERTIFICATE[[#This Row],[ENDING PERIOD MARKET VALUE]]-TAX_CERTIFICATE[[#This Row],[ENDING PERIOD COST VALUE]]</f>
        <v>0</v>
      </c>
      <c r="J26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6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6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6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65" s="6">
        <f>TAX_CERTIFICATE[[#This Row],[TOTAL ADDITION AT COST DURING THE PERIOD]]-TAX_CERTIFICATE[[#This Row],[TOTAL REDEMPTION AT COST DURING THE PERIOD]]</f>
        <v>0</v>
      </c>
      <c r="O26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65" s="6"/>
      <c r="Q265" s="6"/>
      <c r="R265" s="6"/>
    </row>
    <row r="266" spans="1:18">
      <c r="A266" t="s">
        <v>389</v>
      </c>
      <c r="B26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6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66" s="6">
        <f>TAX_CERTIFICATE[[#This Row],[BEGINNING PERIOD UNITS]]*$AA$2</f>
        <v>0</v>
      </c>
      <c r="E266" s="6">
        <f>TAX_CERTIFICATE[[#This Row],[BEGINNING PERIOD MARKET VALUE]]-TAX_CERTIFICATE[[#This Row],[BEGINNING PERIOD COST VALUE]]</f>
        <v>0</v>
      </c>
      <c r="F26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6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66" s="6">
        <f>TAX_CERTIFICATE[[#This Row],[ENDING PERIOD UNITS]]*$AA$3</f>
        <v>0</v>
      </c>
      <c r="I266" s="6">
        <f>TAX_CERTIFICATE[[#This Row],[ENDING PERIOD MARKET VALUE]]-TAX_CERTIFICATE[[#This Row],[ENDING PERIOD COST VALUE]]</f>
        <v>0</v>
      </c>
      <c r="J26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6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6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6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66" s="6">
        <f>TAX_CERTIFICATE[[#This Row],[TOTAL ADDITION AT COST DURING THE PERIOD]]-TAX_CERTIFICATE[[#This Row],[TOTAL REDEMPTION AT COST DURING THE PERIOD]]</f>
        <v>0</v>
      </c>
      <c r="O26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66" s="6"/>
      <c r="Q266" s="6"/>
      <c r="R266" s="6"/>
    </row>
    <row r="267" spans="1:18">
      <c r="A267" t="s">
        <v>391</v>
      </c>
      <c r="B26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6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67" s="6">
        <f>TAX_CERTIFICATE[[#This Row],[BEGINNING PERIOD UNITS]]*$AA$2</f>
        <v>0</v>
      </c>
      <c r="E267" s="6">
        <f>TAX_CERTIFICATE[[#This Row],[BEGINNING PERIOD MARKET VALUE]]-TAX_CERTIFICATE[[#This Row],[BEGINNING PERIOD COST VALUE]]</f>
        <v>0</v>
      </c>
      <c r="F26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6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67" s="6">
        <f>TAX_CERTIFICATE[[#This Row],[ENDING PERIOD UNITS]]*$AA$3</f>
        <v>0</v>
      </c>
      <c r="I267" s="6">
        <f>TAX_CERTIFICATE[[#This Row],[ENDING PERIOD MARKET VALUE]]-TAX_CERTIFICATE[[#This Row],[ENDING PERIOD COST VALUE]]</f>
        <v>0</v>
      </c>
      <c r="J26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6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6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6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67" s="6">
        <f>TAX_CERTIFICATE[[#This Row],[TOTAL ADDITION AT COST DURING THE PERIOD]]-TAX_CERTIFICATE[[#This Row],[TOTAL REDEMPTION AT COST DURING THE PERIOD]]</f>
        <v>0</v>
      </c>
      <c r="O26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67" s="6"/>
      <c r="Q267" s="6"/>
      <c r="R267" s="6"/>
    </row>
    <row r="268" spans="1:18">
      <c r="A268" t="s">
        <v>393</v>
      </c>
      <c r="B26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6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68" s="6">
        <f>TAX_CERTIFICATE[[#This Row],[BEGINNING PERIOD UNITS]]*$AA$2</f>
        <v>0</v>
      </c>
      <c r="E268" s="6">
        <f>TAX_CERTIFICATE[[#This Row],[BEGINNING PERIOD MARKET VALUE]]-TAX_CERTIFICATE[[#This Row],[BEGINNING PERIOD COST VALUE]]</f>
        <v>0</v>
      </c>
      <c r="F26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6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68" s="6">
        <f>TAX_CERTIFICATE[[#This Row],[ENDING PERIOD UNITS]]*$AA$3</f>
        <v>0</v>
      </c>
      <c r="I268" s="6">
        <f>TAX_CERTIFICATE[[#This Row],[ENDING PERIOD MARKET VALUE]]-TAX_CERTIFICATE[[#This Row],[ENDING PERIOD COST VALUE]]</f>
        <v>0</v>
      </c>
      <c r="J26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6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6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6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68" s="6">
        <f>TAX_CERTIFICATE[[#This Row],[TOTAL ADDITION AT COST DURING THE PERIOD]]-TAX_CERTIFICATE[[#This Row],[TOTAL REDEMPTION AT COST DURING THE PERIOD]]</f>
        <v>0</v>
      </c>
      <c r="O26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68" s="6"/>
      <c r="Q268" s="6"/>
      <c r="R268" s="6"/>
    </row>
    <row r="269" spans="1:18">
      <c r="A269" t="s">
        <v>394</v>
      </c>
      <c r="B26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6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5.8207660913467407E-11</v>
      </c>
      <c r="D269" s="6">
        <f>TAX_CERTIFICATE[[#This Row],[BEGINNING PERIOD UNITS]]*$AA$2</f>
        <v>0</v>
      </c>
      <c r="E269" s="6">
        <f>TAX_CERTIFICATE[[#This Row],[BEGINNING PERIOD MARKET VALUE]]-TAX_CERTIFICATE[[#This Row],[BEGINNING PERIOD COST VALUE]]</f>
        <v>-5.8207660913467407E-11</v>
      </c>
      <c r="F26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6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5.8207660913467407E-11</v>
      </c>
      <c r="H269" s="6">
        <f>TAX_CERTIFICATE[[#This Row],[ENDING PERIOD UNITS]]*$AA$3</f>
        <v>0</v>
      </c>
      <c r="I269" s="6">
        <f>TAX_CERTIFICATE[[#This Row],[ENDING PERIOD MARKET VALUE]]-TAX_CERTIFICATE[[#This Row],[ENDING PERIOD COST VALUE]]</f>
        <v>-5.8207660913467407E-11</v>
      </c>
      <c r="J26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6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6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6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69" s="6">
        <f>TAX_CERTIFICATE[[#This Row],[TOTAL ADDITION AT COST DURING THE PERIOD]]-TAX_CERTIFICATE[[#This Row],[TOTAL REDEMPTION AT COST DURING THE PERIOD]]</f>
        <v>0</v>
      </c>
      <c r="O26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69" s="6"/>
      <c r="Q269" s="6"/>
      <c r="R269" s="6"/>
    </row>
    <row r="270" spans="1:18">
      <c r="A270" t="s">
        <v>395</v>
      </c>
      <c r="B27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7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5.8207660913467407E-11</v>
      </c>
      <c r="D270" s="6">
        <f>TAX_CERTIFICATE[[#This Row],[BEGINNING PERIOD UNITS]]*$AA$2</f>
        <v>0</v>
      </c>
      <c r="E270" s="6">
        <f>TAX_CERTIFICATE[[#This Row],[BEGINNING PERIOD MARKET VALUE]]-TAX_CERTIFICATE[[#This Row],[BEGINNING PERIOD COST VALUE]]</f>
        <v>-5.8207660913467407E-11</v>
      </c>
      <c r="F27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7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5.8207660913467407E-11</v>
      </c>
      <c r="H270" s="6">
        <f>TAX_CERTIFICATE[[#This Row],[ENDING PERIOD UNITS]]*$AA$3</f>
        <v>0</v>
      </c>
      <c r="I270" s="6">
        <f>TAX_CERTIFICATE[[#This Row],[ENDING PERIOD MARKET VALUE]]-TAX_CERTIFICATE[[#This Row],[ENDING PERIOD COST VALUE]]</f>
        <v>-5.8207660913467407E-11</v>
      </c>
      <c r="J27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7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7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7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70" s="6">
        <f>TAX_CERTIFICATE[[#This Row],[TOTAL ADDITION AT COST DURING THE PERIOD]]-TAX_CERTIFICATE[[#This Row],[TOTAL REDEMPTION AT COST DURING THE PERIOD]]</f>
        <v>0</v>
      </c>
      <c r="O27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70" s="6"/>
      <c r="Q270" s="6"/>
      <c r="R270" s="6"/>
    </row>
    <row r="271" spans="1:18">
      <c r="A271" t="s">
        <v>400</v>
      </c>
      <c r="B27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7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71" s="6">
        <f>TAX_CERTIFICATE[[#This Row],[BEGINNING PERIOD UNITS]]*$AA$2</f>
        <v>0</v>
      </c>
      <c r="E271" s="6">
        <f>TAX_CERTIFICATE[[#This Row],[BEGINNING PERIOD MARKET VALUE]]-TAX_CERTIFICATE[[#This Row],[BEGINNING PERIOD COST VALUE]]</f>
        <v>0</v>
      </c>
      <c r="F27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7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71" s="6">
        <f>TAX_CERTIFICATE[[#This Row],[ENDING PERIOD UNITS]]*$AA$3</f>
        <v>0</v>
      </c>
      <c r="I271" s="6">
        <f>TAX_CERTIFICATE[[#This Row],[ENDING PERIOD MARKET VALUE]]-TAX_CERTIFICATE[[#This Row],[ENDING PERIOD COST VALUE]]</f>
        <v>0</v>
      </c>
      <c r="J27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7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7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7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71" s="6">
        <f>TAX_CERTIFICATE[[#This Row],[TOTAL ADDITION AT COST DURING THE PERIOD]]-TAX_CERTIFICATE[[#This Row],[TOTAL REDEMPTION AT COST DURING THE PERIOD]]</f>
        <v>0</v>
      </c>
      <c r="O27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71" s="6"/>
      <c r="Q271" s="6"/>
      <c r="R271" s="6"/>
    </row>
    <row r="272" spans="1:18">
      <c r="A272" t="s">
        <v>402</v>
      </c>
      <c r="B27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7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72" s="6">
        <f>TAX_CERTIFICATE[[#This Row],[BEGINNING PERIOD UNITS]]*$AA$2</f>
        <v>0</v>
      </c>
      <c r="E272" s="6">
        <f>TAX_CERTIFICATE[[#This Row],[BEGINNING PERIOD MARKET VALUE]]-TAX_CERTIFICATE[[#This Row],[BEGINNING PERIOD COST VALUE]]</f>
        <v>0</v>
      </c>
      <c r="F27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7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72" s="6">
        <f>TAX_CERTIFICATE[[#This Row],[ENDING PERIOD UNITS]]*$AA$3</f>
        <v>0</v>
      </c>
      <c r="I272" s="6">
        <f>TAX_CERTIFICATE[[#This Row],[ENDING PERIOD MARKET VALUE]]-TAX_CERTIFICATE[[#This Row],[ENDING PERIOD COST VALUE]]</f>
        <v>0</v>
      </c>
      <c r="J27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7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7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7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72" s="6">
        <f>TAX_CERTIFICATE[[#This Row],[TOTAL ADDITION AT COST DURING THE PERIOD]]-TAX_CERTIFICATE[[#This Row],[TOTAL REDEMPTION AT COST DURING THE PERIOD]]</f>
        <v>0</v>
      </c>
      <c r="O27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72" s="6"/>
      <c r="Q272" s="6"/>
      <c r="R272" s="6"/>
    </row>
    <row r="273" spans="1:18">
      <c r="A273" t="s">
        <v>404</v>
      </c>
      <c r="B27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7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73" s="6">
        <f>TAX_CERTIFICATE[[#This Row],[BEGINNING PERIOD UNITS]]*$AA$2</f>
        <v>0</v>
      </c>
      <c r="E273" s="6">
        <f>TAX_CERTIFICATE[[#This Row],[BEGINNING PERIOD MARKET VALUE]]-TAX_CERTIFICATE[[#This Row],[BEGINNING PERIOD COST VALUE]]</f>
        <v>0</v>
      </c>
      <c r="F27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7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73" s="6">
        <f>TAX_CERTIFICATE[[#This Row],[ENDING PERIOD UNITS]]*$AA$3</f>
        <v>0</v>
      </c>
      <c r="I273" s="6">
        <f>TAX_CERTIFICATE[[#This Row],[ENDING PERIOD MARKET VALUE]]-TAX_CERTIFICATE[[#This Row],[ENDING PERIOD COST VALUE]]</f>
        <v>0</v>
      </c>
      <c r="J27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7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7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7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73" s="6">
        <f>TAX_CERTIFICATE[[#This Row],[TOTAL ADDITION AT COST DURING THE PERIOD]]-TAX_CERTIFICATE[[#This Row],[TOTAL REDEMPTION AT COST DURING THE PERIOD]]</f>
        <v>0</v>
      </c>
      <c r="O27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73" s="6"/>
      <c r="Q273" s="6"/>
      <c r="R273" s="6"/>
    </row>
    <row r="274" spans="1:18">
      <c r="A274" t="s">
        <v>406</v>
      </c>
      <c r="B27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7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74" s="6">
        <f>TAX_CERTIFICATE[[#This Row],[BEGINNING PERIOD UNITS]]*$AA$2</f>
        <v>0</v>
      </c>
      <c r="E274" s="6">
        <f>TAX_CERTIFICATE[[#This Row],[BEGINNING PERIOD MARKET VALUE]]-TAX_CERTIFICATE[[#This Row],[BEGINNING PERIOD COST VALUE]]</f>
        <v>0</v>
      </c>
      <c r="F27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7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74" s="6">
        <f>TAX_CERTIFICATE[[#This Row],[ENDING PERIOD UNITS]]*$AA$3</f>
        <v>0</v>
      </c>
      <c r="I274" s="6">
        <f>TAX_CERTIFICATE[[#This Row],[ENDING PERIOD MARKET VALUE]]-TAX_CERTIFICATE[[#This Row],[ENDING PERIOD COST VALUE]]</f>
        <v>0</v>
      </c>
      <c r="J27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7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7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7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74" s="6">
        <f>TAX_CERTIFICATE[[#This Row],[TOTAL ADDITION AT COST DURING THE PERIOD]]-TAX_CERTIFICATE[[#This Row],[TOTAL REDEMPTION AT COST DURING THE PERIOD]]</f>
        <v>0</v>
      </c>
      <c r="O27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74" s="6"/>
      <c r="Q274" s="6"/>
      <c r="R274" s="6"/>
    </row>
    <row r="275" spans="1:18">
      <c r="A275" t="s">
        <v>408</v>
      </c>
      <c r="B27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7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75" s="6">
        <f>TAX_CERTIFICATE[[#This Row],[BEGINNING PERIOD UNITS]]*$AA$2</f>
        <v>0</v>
      </c>
      <c r="E275" s="6">
        <f>TAX_CERTIFICATE[[#This Row],[BEGINNING PERIOD MARKET VALUE]]-TAX_CERTIFICATE[[#This Row],[BEGINNING PERIOD COST VALUE]]</f>
        <v>0</v>
      </c>
      <c r="F27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7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75" s="6">
        <f>TAX_CERTIFICATE[[#This Row],[ENDING PERIOD UNITS]]*$AA$3</f>
        <v>0</v>
      </c>
      <c r="I275" s="6">
        <f>TAX_CERTIFICATE[[#This Row],[ENDING PERIOD MARKET VALUE]]-TAX_CERTIFICATE[[#This Row],[ENDING PERIOD COST VALUE]]</f>
        <v>0</v>
      </c>
      <c r="J27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7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7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7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75" s="6">
        <f>TAX_CERTIFICATE[[#This Row],[TOTAL ADDITION AT COST DURING THE PERIOD]]-TAX_CERTIFICATE[[#This Row],[TOTAL REDEMPTION AT COST DURING THE PERIOD]]</f>
        <v>0</v>
      </c>
      <c r="O27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75" s="6"/>
      <c r="Q275" s="6"/>
      <c r="R275" s="6"/>
    </row>
    <row r="276" spans="1:18">
      <c r="A276" t="s">
        <v>410</v>
      </c>
      <c r="B27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7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76" s="6">
        <f>TAX_CERTIFICATE[[#This Row],[BEGINNING PERIOD UNITS]]*$AA$2</f>
        <v>0</v>
      </c>
      <c r="E276" s="6">
        <f>TAX_CERTIFICATE[[#This Row],[BEGINNING PERIOD MARKET VALUE]]-TAX_CERTIFICATE[[#This Row],[BEGINNING PERIOD COST VALUE]]</f>
        <v>0</v>
      </c>
      <c r="F27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7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76" s="6">
        <f>TAX_CERTIFICATE[[#This Row],[ENDING PERIOD UNITS]]*$AA$3</f>
        <v>0</v>
      </c>
      <c r="I276" s="6">
        <f>TAX_CERTIFICATE[[#This Row],[ENDING PERIOD MARKET VALUE]]-TAX_CERTIFICATE[[#This Row],[ENDING PERIOD COST VALUE]]</f>
        <v>0</v>
      </c>
      <c r="J27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7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7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7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76" s="6">
        <f>TAX_CERTIFICATE[[#This Row],[TOTAL ADDITION AT COST DURING THE PERIOD]]-TAX_CERTIFICATE[[#This Row],[TOTAL REDEMPTION AT COST DURING THE PERIOD]]</f>
        <v>0</v>
      </c>
      <c r="O27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76" s="6"/>
      <c r="Q276" s="6"/>
      <c r="R276" s="6"/>
    </row>
    <row r="277" spans="1:18">
      <c r="A277" t="s">
        <v>412</v>
      </c>
      <c r="B27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7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77" s="6">
        <f>TAX_CERTIFICATE[[#This Row],[BEGINNING PERIOD UNITS]]*$AA$2</f>
        <v>0</v>
      </c>
      <c r="E277" s="6">
        <f>TAX_CERTIFICATE[[#This Row],[BEGINNING PERIOD MARKET VALUE]]-TAX_CERTIFICATE[[#This Row],[BEGINNING PERIOD COST VALUE]]</f>
        <v>0</v>
      </c>
      <c r="F27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7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77" s="6">
        <f>TAX_CERTIFICATE[[#This Row],[ENDING PERIOD UNITS]]*$AA$3</f>
        <v>0</v>
      </c>
      <c r="I277" s="6">
        <f>TAX_CERTIFICATE[[#This Row],[ENDING PERIOD MARKET VALUE]]-TAX_CERTIFICATE[[#This Row],[ENDING PERIOD COST VALUE]]</f>
        <v>0</v>
      </c>
      <c r="J27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7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7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7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77" s="6">
        <f>TAX_CERTIFICATE[[#This Row],[TOTAL ADDITION AT COST DURING THE PERIOD]]-TAX_CERTIFICATE[[#This Row],[TOTAL REDEMPTION AT COST DURING THE PERIOD]]</f>
        <v>0</v>
      </c>
      <c r="O27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77" s="6"/>
      <c r="Q277" s="6"/>
      <c r="R277" s="6"/>
    </row>
    <row r="278" spans="1:18">
      <c r="A278" t="s">
        <v>413</v>
      </c>
      <c r="B27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7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78" s="6">
        <f>TAX_CERTIFICATE[[#This Row],[BEGINNING PERIOD UNITS]]*$AA$2</f>
        <v>0</v>
      </c>
      <c r="E278" s="6">
        <f>TAX_CERTIFICATE[[#This Row],[BEGINNING PERIOD MARKET VALUE]]-TAX_CERTIFICATE[[#This Row],[BEGINNING PERIOD COST VALUE]]</f>
        <v>0</v>
      </c>
      <c r="F27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7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78" s="6">
        <f>TAX_CERTIFICATE[[#This Row],[ENDING PERIOD UNITS]]*$AA$3</f>
        <v>0</v>
      </c>
      <c r="I278" s="6">
        <f>TAX_CERTIFICATE[[#This Row],[ENDING PERIOD MARKET VALUE]]-TAX_CERTIFICATE[[#This Row],[ENDING PERIOD COST VALUE]]</f>
        <v>0</v>
      </c>
      <c r="J27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7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7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7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78" s="6">
        <f>TAX_CERTIFICATE[[#This Row],[TOTAL ADDITION AT COST DURING THE PERIOD]]-TAX_CERTIFICATE[[#This Row],[TOTAL REDEMPTION AT COST DURING THE PERIOD]]</f>
        <v>0</v>
      </c>
      <c r="O27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78" s="6"/>
      <c r="Q278" s="6"/>
      <c r="R278" s="6"/>
    </row>
    <row r="279" spans="1:18">
      <c r="A279" t="s">
        <v>416</v>
      </c>
      <c r="B27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7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79" s="6">
        <f>TAX_CERTIFICATE[[#This Row],[BEGINNING PERIOD UNITS]]*$AA$2</f>
        <v>0</v>
      </c>
      <c r="E279" s="6">
        <f>TAX_CERTIFICATE[[#This Row],[BEGINNING PERIOD MARKET VALUE]]-TAX_CERTIFICATE[[#This Row],[BEGINNING PERIOD COST VALUE]]</f>
        <v>0</v>
      </c>
      <c r="F27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7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79" s="6">
        <f>TAX_CERTIFICATE[[#This Row],[ENDING PERIOD UNITS]]*$AA$3</f>
        <v>0</v>
      </c>
      <c r="I279" s="6">
        <f>TAX_CERTIFICATE[[#This Row],[ENDING PERIOD MARKET VALUE]]-TAX_CERTIFICATE[[#This Row],[ENDING PERIOD COST VALUE]]</f>
        <v>0</v>
      </c>
      <c r="J27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7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7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7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79" s="6">
        <f>TAX_CERTIFICATE[[#This Row],[TOTAL ADDITION AT COST DURING THE PERIOD]]-TAX_CERTIFICATE[[#This Row],[TOTAL REDEMPTION AT COST DURING THE PERIOD]]</f>
        <v>0</v>
      </c>
      <c r="O27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79" s="6"/>
      <c r="Q279" s="6"/>
      <c r="R279" s="6"/>
    </row>
    <row r="280" spans="1:18">
      <c r="A280" t="s">
        <v>418</v>
      </c>
      <c r="B28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8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80" s="6">
        <f>TAX_CERTIFICATE[[#This Row],[BEGINNING PERIOD UNITS]]*$AA$2</f>
        <v>0</v>
      </c>
      <c r="E280" s="6">
        <f>TAX_CERTIFICATE[[#This Row],[BEGINNING PERIOD MARKET VALUE]]-TAX_CERTIFICATE[[#This Row],[BEGINNING PERIOD COST VALUE]]</f>
        <v>0</v>
      </c>
      <c r="F28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8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80" s="6">
        <f>TAX_CERTIFICATE[[#This Row],[ENDING PERIOD UNITS]]*$AA$3</f>
        <v>0</v>
      </c>
      <c r="I280" s="6">
        <f>TAX_CERTIFICATE[[#This Row],[ENDING PERIOD MARKET VALUE]]-TAX_CERTIFICATE[[#This Row],[ENDING PERIOD COST VALUE]]</f>
        <v>0</v>
      </c>
      <c r="J28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8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8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8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80" s="6">
        <f>TAX_CERTIFICATE[[#This Row],[TOTAL ADDITION AT COST DURING THE PERIOD]]-TAX_CERTIFICATE[[#This Row],[TOTAL REDEMPTION AT COST DURING THE PERIOD]]</f>
        <v>0</v>
      </c>
      <c r="O28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80" s="6"/>
      <c r="Q280" s="6"/>
      <c r="R280" s="6"/>
    </row>
    <row r="281" spans="1:18">
      <c r="A281" t="s">
        <v>420</v>
      </c>
      <c r="B28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8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81" s="6">
        <f>TAX_CERTIFICATE[[#This Row],[BEGINNING PERIOD UNITS]]*$AA$2</f>
        <v>0</v>
      </c>
      <c r="E281" s="6">
        <f>TAX_CERTIFICATE[[#This Row],[BEGINNING PERIOD MARKET VALUE]]-TAX_CERTIFICATE[[#This Row],[BEGINNING PERIOD COST VALUE]]</f>
        <v>0</v>
      </c>
      <c r="F28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8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81" s="6">
        <f>TAX_CERTIFICATE[[#This Row],[ENDING PERIOD UNITS]]*$AA$3</f>
        <v>0</v>
      </c>
      <c r="I281" s="6">
        <f>TAX_CERTIFICATE[[#This Row],[ENDING PERIOD MARKET VALUE]]-TAX_CERTIFICATE[[#This Row],[ENDING PERIOD COST VALUE]]</f>
        <v>0</v>
      </c>
      <c r="J28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8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8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8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81" s="6">
        <f>TAX_CERTIFICATE[[#This Row],[TOTAL ADDITION AT COST DURING THE PERIOD]]-TAX_CERTIFICATE[[#This Row],[TOTAL REDEMPTION AT COST DURING THE PERIOD]]</f>
        <v>0</v>
      </c>
      <c r="O28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81" s="6"/>
      <c r="Q281" s="6"/>
      <c r="R281" s="6"/>
    </row>
    <row r="282" spans="1:18">
      <c r="A282" t="s">
        <v>422</v>
      </c>
      <c r="B28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8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82" s="6">
        <f>TAX_CERTIFICATE[[#This Row],[BEGINNING PERIOD UNITS]]*$AA$2</f>
        <v>0</v>
      </c>
      <c r="E282" s="6">
        <f>TAX_CERTIFICATE[[#This Row],[BEGINNING PERIOD MARKET VALUE]]-TAX_CERTIFICATE[[#This Row],[BEGINNING PERIOD COST VALUE]]</f>
        <v>0</v>
      </c>
      <c r="F28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8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82" s="6">
        <f>TAX_CERTIFICATE[[#This Row],[ENDING PERIOD UNITS]]*$AA$3</f>
        <v>0</v>
      </c>
      <c r="I282" s="6">
        <f>TAX_CERTIFICATE[[#This Row],[ENDING PERIOD MARKET VALUE]]-TAX_CERTIFICATE[[#This Row],[ENDING PERIOD COST VALUE]]</f>
        <v>0</v>
      </c>
      <c r="J28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8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8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8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82" s="6">
        <f>TAX_CERTIFICATE[[#This Row],[TOTAL ADDITION AT COST DURING THE PERIOD]]-TAX_CERTIFICATE[[#This Row],[TOTAL REDEMPTION AT COST DURING THE PERIOD]]</f>
        <v>0</v>
      </c>
      <c r="O28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82" s="6"/>
      <c r="Q282" s="6"/>
      <c r="R282" s="6"/>
    </row>
    <row r="283" spans="1:18">
      <c r="A283" t="s">
        <v>424</v>
      </c>
      <c r="B28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8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83" s="6">
        <f>TAX_CERTIFICATE[[#This Row],[BEGINNING PERIOD UNITS]]*$AA$2</f>
        <v>0</v>
      </c>
      <c r="E283" s="6">
        <f>TAX_CERTIFICATE[[#This Row],[BEGINNING PERIOD MARKET VALUE]]-TAX_CERTIFICATE[[#This Row],[BEGINNING PERIOD COST VALUE]]</f>
        <v>0</v>
      </c>
      <c r="F28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8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83" s="6">
        <f>TAX_CERTIFICATE[[#This Row],[ENDING PERIOD UNITS]]*$AA$3</f>
        <v>0</v>
      </c>
      <c r="I283" s="6">
        <f>TAX_CERTIFICATE[[#This Row],[ENDING PERIOD MARKET VALUE]]-TAX_CERTIFICATE[[#This Row],[ENDING PERIOD COST VALUE]]</f>
        <v>0</v>
      </c>
      <c r="J28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8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8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8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83" s="6">
        <f>TAX_CERTIFICATE[[#This Row],[TOTAL ADDITION AT COST DURING THE PERIOD]]-TAX_CERTIFICATE[[#This Row],[TOTAL REDEMPTION AT COST DURING THE PERIOD]]</f>
        <v>0</v>
      </c>
      <c r="O28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83" s="6"/>
      <c r="Q283" s="6"/>
      <c r="R283" s="6"/>
    </row>
    <row r="284" spans="1:18">
      <c r="A284" t="s">
        <v>426</v>
      </c>
      <c r="B28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8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84" s="6">
        <f>TAX_CERTIFICATE[[#This Row],[BEGINNING PERIOD UNITS]]*$AA$2</f>
        <v>0</v>
      </c>
      <c r="E284" s="6">
        <f>TAX_CERTIFICATE[[#This Row],[BEGINNING PERIOD MARKET VALUE]]-TAX_CERTIFICATE[[#This Row],[BEGINNING PERIOD COST VALUE]]</f>
        <v>0</v>
      </c>
      <c r="F28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8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84" s="6">
        <f>TAX_CERTIFICATE[[#This Row],[ENDING PERIOD UNITS]]*$AA$3</f>
        <v>0</v>
      </c>
      <c r="I284" s="6">
        <f>TAX_CERTIFICATE[[#This Row],[ENDING PERIOD MARKET VALUE]]-TAX_CERTIFICATE[[#This Row],[ENDING PERIOD COST VALUE]]</f>
        <v>0</v>
      </c>
      <c r="J28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8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8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8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84" s="6">
        <f>TAX_CERTIFICATE[[#This Row],[TOTAL ADDITION AT COST DURING THE PERIOD]]-TAX_CERTIFICATE[[#This Row],[TOTAL REDEMPTION AT COST DURING THE PERIOD]]</f>
        <v>0</v>
      </c>
      <c r="O28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84" s="6"/>
      <c r="Q284" s="6"/>
      <c r="R284" s="6"/>
    </row>
    <row r="285" spans="1:18">
      <c r="A285" t="s">
        <v>428</v>
      </c>
      <c r="B28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8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85" s="6">
        <f>TAX_CERTIFICATE[[#This Row],[BEGINNING PERIOD UNITS]]*$AA$2</f>
        <v>0</v>
      </c>
      <c r="E285" s="6">
        <f>TAX_CERTIFICATE[[#This Row],[BEGINNING PERIOD MARKET VALUE]]-TAX_CERTIFICATE[[#This Row],[BEGINNING PERIOD COST VALUE]]</f>
        <v>0</v>
      </c>
      <c r="F28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8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85" s="6">
        <f>TAX_CERTIFICATE[[#This Row],[ENDING PERIOD UNITS]]*$AA$3</f>
        <v>0</v>
      </c>
      <c r="I285" s="6">
        <f>TAX_CERTIFICATE[[#This Row],[ENDING PERIOD MARKET VALUE]]-TAX_CERTIFICATE[[#This Row],[ENDING PERIOD COST VALUE]]</f>
        <v>0</v>
      </c>
      <c r="J28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8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8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8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85" s="6">
        <f>TAX_CERTIFICATE[[#This Row],[TOTAL ADDITION AT COST DURING THE PERIOD]]-TAX_CERTIFICATE[[#This Row],[TOTAL REDEMPTION AT COST DURING THE PERIOD]]</f>
        <v>0</v>
      </c>
      <c r="O28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85" s="6"/>
      <c r="Q285" s="6"/>
      <c r="R285" s="6"/>
    </row>
    <row r="286" spans="1:18">
      <c r="A286" t="s">
        <v>430</v>
      </c>
      <c r="B28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8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86" s="6">
        <f>TAX_CERTIFICATE[[#This Row],[BEGINNING PERIOD UNITS]]*$AA$2</f>
        <v>0</v>
      </c>
      <c r="E286" s="6">
        <f>TAX_CERTIFICATE[[#This Row],[BEGINNING PERIOD MARKET VALUE]]-TAX_CERTIFICATE[[#This Row],[BEGINNING PERIOD COST VALUE]]</f>
        <v>0</v>
      </c>
      <c r="F28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8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86" s="6">
        <f>TAX_CERTIFICATE[[#This Row],[ENDING PERIOD UNITS]]*$AA$3</f>
        <v>0</v>
      </c>
      <c r="I286" s="6">
        <f>TAX_CERTIFICATE[[#This Row],[ENDING PERIOD MARKET VALUE]]-TAX_CERTIFICATE[[#This Row],[ENDING PERIOD COST VALUE]]</f>
        <v>0</v>
      </c>
      <c r="J28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8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8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8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86" s="6">
        <f>TAX_CERTIFICATE[[#This Row],[TOTAL ADDITION AT COST DURING THE PERIOD]]-TAX_CERTIFICATE[[#This Row],[TOTAL REDEMPTION AT COST DURING THE PERIOD]]</f>
        <v>0</v>
      </c>
      <c r="O28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86" s="6"/>
      <c r="Q286" s="6"/>
      <c r="R286" s="6"/>
    </row>
    <row r="287" spans="1:18">
      <c r="A287" t="s">
        <v>432</v>
      </c>
      <c r="B28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8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87" s="6">
        <f>TAX_CERTIFICATE[[#This Row],[BEGINNING PERIOD UNITS]]*$AA$2</f>
        <v>0</v>
      </c>
      <c r="E287" s="6">
        <f>TAX_CERTIFICATE[[#This Row],[BEGINNING PERIOD MARKET VALUE]]-TAX_CERTIFICATE[[#This Row],[BEGINNING PERIOD COST VALUE]]</f>
        <v>0</v>
      </c>
      <c r="F28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8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87" s="6">
        <f>TAX_CERTIFICATE[[#This Row],[ENDING PERIOD UNITS]]*$AA$3</f>
        <v>0</v>
      </c>
      <c r="I287" s="6">
        <f>TAX_CERTIFICATE[[#This Row],[ENDING PERIOD MARKET VALUE]]-TAX_CERTIFICATE[[#This Row],[ENDING PERIOD COST VALUE]]</f>
        <v>0</v>
      </c>
      <c r="J28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8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8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8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87" s="6">
        <f>TAX_CERTIFICATE[[#This Row],[TOTAL ADDITION AT COST DURING THE PERIOD]]-TAX_CERTIFICATE[[#This Row],[TOTAL REDEMPTION AT COST DURING THE PERIOD]]</f>
        <v>0</v>
      </c>
      <c r="O28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87" s="6"/>
      <c r="Q287" s="6"/>
      <c r="R287" s="6"/>
    </row>
    <row r="288" spans="1:18">
      <c r="A288" t="s">
        <v>434</v>
      </c>
      <c r="B28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8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88" s="6">
        <f>TAX_CERTIFICATE[[#This Row],[BEGINNING PERIOD UNITS]]*$AA$2</f>
        <v>0</v>
      </c>
      <c r="E288" s="6">
        <f>TAX_CERTIFICATE[[#This Row],[BEGINNING PERIOD MARKET VALUE]]-TAX_CERTIFICATE[[#This Row],[BEGINNING PERIOD COST VALUE]]</f>
        <v>0</v>
      </c>
      <c r="F28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8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88" s="6">
        <f>TAX_CERTIFICATE[[#This Row],[ENDING PERIOD UNITS]]*$AA$3</f>
        <v>0</v>
      </c>
      <c r="I288" s="6">
        <f>TAX_CERTIFICATE[[#This Row],[ENDING PERIOD MARKET VALUE]]-TAX_CERTIFICATE[[#This Row],[ENDING PERIOD COST VALUE]]</f>
        <v>0</v>
      </c>
      <c r="J28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8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8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8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88" s="6">
        <f>TAX_CERTIFICATE[[#This Row],[TOTAL ADDITION AT COST DURING THE PERIOD]]-TAX_CERTIFICATE[[#This Row],[TOTAL REDEMPTION AT COST DURING THE PERIOD]]</f>
        <v>0</v>
      </c>
      <c r="O28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88" s="6"/>
      <c r="Q288" s="6"/>
      <c r="R288" s="6"/>
    </row>
    <row r="289" spans="1:18">
      <c r="A289" t="s">
        <v>436</v>
      </c>
      <c r="B28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8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89" s="6">
        <f>TAX_CERTIFICATE[[#This Row],[BEGINNING PERIOD UNITS]]*$AA$2</f>
        <v>0</v>
      </c>
      <c r="E289" s="6">
        <f>TAX_CERTIFICATE[[#This Row],[BEGINNING PERIOD MARKET VALUE]]-TAX_CERTIFICATE[[#This Row],[BEGINNING PERIOD COST VALUE]]</f>
        <v>0</v>
      </c>
      <c r="F28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8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89" s="6">
        <f>TAX_CERTIFICATE[[#This Row],[ENDING PERIOD UNITS]]*$AA$3</f>
        <v>0</v>
      </c>
      <c r="I289" s="6">
        <f>TAX_CERTIFICATE[[#This Row],[ENDING PERIOD MARKET VALUE]]-TAX_CERTIFICATE[[#This Row],[ENDING PERIOD COST VALUE]]</f>
        <v>0</v>
      </c>
      <c r="J28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8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8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8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89" s="6">
        <f>TAX_CERTIFICATE[[#This Row],[TOTAL ADDITION AT COST DURING THE PERIOD]]-TAX_CERTIFICATE[[#This Row],[TOTAL REDEMPTION AT COST DURING THE PERIOD]]</f>
        <v>0</v>
      </c>
      <c r="O28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89" s="6"/>
      <c r="Q289" s="6"/>
      <c r="R289" s="6"/>
    </row>
    <row r="290" spans="1:18">
      <c r="A290" t="s">
        <v>438</v>
      </c>
      <c r="B29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9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90" s="6">
        <f>TAX_CERTIFICATE[[#This Row],[BEGINNING PERIOD UNITS]]*$AA$2</f>
        <v>0</v>
      </c>
      <c r="E290" s="6">
        <f>TAX_CERTIFICATE[[#This Row],[BEGINNING PERIOD MARKET VALUE]]-TAX_CERTIFICATE[[#This Row],[BEGINNING PERIOD COST VALUE]]</f>
        <v>0</v>
      </c>
      <c r="F29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9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90" s="6">
        <f>TAX_CERTIFICATE[[#This Row],[ENDING PERIOD UNITS]]*$AA$3</f>
        <v>0</v>
      </c>
      <c r="I290" s="6">
        <f>TAX_CERTIFICATE[[#This Row],[ENDING PERIOD MARKET VALUE]]-TAX_CERTIFICATE[[#This Row],[ENDING PERIOD COST VALUE]]</f>
        <v>0</v>
      </c>
      <c r="J29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9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9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9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90" s="6">
        <f>TAX_CERTIFICATE[[#This Row],[TOTAL ADDITION AT COST DURING THE PERIOD]]-TAX_CERTIFICATE[[#This Row],[TOTAL REDEMPTION AT COST DURING THE PERIOD]]</f>
        <v>0</v>
      </c>
      <c r="O29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90" s="6"/>
      <c r="Q290" s="6"/>
      <c r="R290" s="6"/>
    </row>
    <row r="291" spans="1:18">
      <c r="A291" t="s">
        <v>440</v>
      </c>
      <c r="B29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9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91" s="6">
        <f>TAX_CERTIFICATE[[#This Row],[BEGINNING PERIOD UNITS]]*$AA$2</f>
        <v>0</v>
      </c>
      <c r="E291" s="6">
        <f>TAX_CERTIFICATE[[#This Row],[BEGINNING PERIOD MARKET VALUE]]-TAX_CERTIFICATE[[#This Row],[BEGINNING PERIOD COST VALUE]]</f>
        <v>0</v>
      </c>
      <c r="F29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9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91" s="6">
        <f>TAX_CERTIFICATE[[#This Row],[ENDING PERIOD UNITS]]*$AA$3</f>
        <v>0</v>
      </c>
      <c r="I291" s="6">
        <f>TAX_CERTIFICATE[[#This Row],[ENDING PERIOD MARKET VALUE]]-TAX_CERTIFICATE[[#This Row],[ENDING PERIOD COST VALUE]]</f>
        <v>0</v>
      </c>
      <c r="J29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9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9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9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91" s="6">
        <f>TAX_CERTIFICATE[[#This Row],[TOTAL ADDITION AT COST DURING THE PERIOD]]-TAX_CERTIFICATE[[#This Row],[TOTAL REDEMPTION AT COST DURING THE PERIOD]]</f>
        <v>0</v>
      </c>
      <c r="O29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91" s="6"/>
      <c r="Q291" s="6"/>
      <c r="R291" s="6"/>
    </row>
    <row r="292" spans="1:18">
      <c r="A292" t="s">
        <v>442</v>
      </c>
      <c r="B29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9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92" s="6">
        <f>TAX_CERTIFICATE[[#This Row],[BEGINNING PERIOD UNITS]]*$AA$2</f>
        <v>0</v>
      </c>
      <c r="E292" s="6">
        <f>TAX_CERTIFICATE[[#This Row],[BEGINNING PERIOD MARKET VALUE]]-TAX_CERTIFICATE[[#This Row],[BEGINNING PERIOD COST VALUE]]</f>
        <v>0</v>
      </c>
      <c r="F29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9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92" s="6">
        <f>TAX_CERTIFICATE[[#This Row],[ENDING PERIOD UNITS]]*$AA$3</f>
        <v>0</v>
      </c>
      <c r="I292" s="6">
        <f>TAX_CERTIFICATE[[#This Row],[ENDING PERIOD MARKET VALUE]]-TAX_CERTIFICATE[[#This Row],[ENDING PERIOD COST VALUE]]</f>
        <v>0</v>
      </c>
      <c r="J29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9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9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9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92" s="6">
        <f>TAX_CERTIFICATE[[#This Row],[TOTAL ADDITION AT COST DURING THE PERIOD]]-TAX_CERTIFICATE[[#This Row],[TOTAL REDEMPTION AT COST DURING THE PERIOD]]</f>
        <v>0</v>
      </c>
      <c r="O29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92" s="6"/>
      <c r="Q292" s="6"/>
      <c r="R292" s="6"/>
    </row>
    <row r="293" spans="1:18">
      <c r="A293" t="s">
        <v>444</v>
      </c>
      <c r="B29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9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93" s="6">
        <f>TAX_CERTIFICATE[[#This Row],[BEGINNING PERIOD UNITS]]*$AA$2</f>
        <v>0</v>
      </c>
      <c r="E293" s="6">
        <f>TAX_CERTIFICATE[[#This Row],[BEGINNING PERIOD MARKET VALUE]]-TAX_CERTIFICATE[[#This Row],[BEGINNING PERIOD COST VALUE]]</f>
        <v>0</v>
      </c>
      <c r="F29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9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93" s="6">
        <f>TAX_CERTIFICATE[[#This Row],[ENDING PERIOD UNITS]]*$AA$3</f>
        <v>0</v>
      </c>
      <c r="I293" s="6">
        <f>TAX_CERTIFICATE[[#This Row],[ENDING PERIOD MARKET VALUE]]-TAX_CERTIFICATE[[#This Row],[ENDING PERIOD COST VALUE]]</f>
        <v>0</v>
      </c>
      <c r="J29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9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9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9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93" s="6">
        <f>TAX_CERTIFICATE[[#This Row],[TOTAL ADDITION AT COST DURING THE PERIOD]]-TAX_CERTIFICATE[[#This Row],[TOTAL REDEMPTION AT COST DURING THE PERIOD]]</f>
        <v>0</v>
      </c>
      <c r="O29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93" s="6"/>
      <c r="Q293" s="6"/>
      <c r="R293" s="6"/>
    </row>
    <row r="294" spans="1:18">
      <c r="A294" t="s">
        <v>446</v>
      </c>
      <c r="B29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9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94" s="6">
        <f>TAX_CERTIFICATE[[#This Row],[BEGINNING PERIOD UNITS]]*$AA$2</f>
        <v>0</v>
      </c>
      <c r="E294" s="6">
        <f>TAX_CERTIFICATE[[#This Row],[BEGINNING PERIOD MARKET VALUE]]-TAX_CERTIFICATE[[#This Row],[BEGINNING PERIOD COST VALUE]]</f>
        <v>0</v>
      </c>
      <c r="F29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9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94" s="6">
        <f>TAX_CERTIFICATE[[#This Row],[ENDING PERIOD UNITS]]*$AA$3</f>
        <v>0</v>
      </c>
      <c r="I294" s="6">
        <f>TAX_CERTIFICATE[[#This Row],[ENDING PERIOD MARKET VALUE]]-TAX_CERTIFICATE[[#This Row],[ENDING PERIOD COST VALUE]]</f>
        <v>0</v>
      </c>
      <c r="J29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9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9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9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94" s="6">
        <f>TAX_CERTIFICATE[[#This Row],[TOTAL ADDITION AT COST DURING THE PERIOD]]-TAX_CERTIFICATE[[#This Row],[TOTAL REDEMPTION AT COST DURING THE PERIOD]]</f>
        <v>0</v>
      </c>
      <c r="O29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94" s="6"/>
      <c r="Q294" s="6"/>
      <c r="R294" s="6"/>
    </row>
    <row r="295" spans="1:18">
      <c r="A295" t="s">
        <v>451</v>
      </c>
      <c r="B29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9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95" s="6">
        <f>TAX_CERTIFICATE[[#This Row],[BEGINNING PERIOD UNITS]]*$AA$2</f>
        <v>0</v>
      </c>
      <c r="E295" s="6">
        <f>TAX_CERTIFICATE[[#This Row],[BEGINNING PERIOD MARKET VALUE]]-TAX_CERTIFICATE[[#This Row],[BEGINNING PERIOD COST VALUE]]</f>
        <v>0</v>
      </c>
      <c r="F29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9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95" s="6">
        <f>TAX_CERTIFICATE[[#This Row],[ENDING PERIOD UNITS]]*$AA$3</f>
        <v>0</v>
      </c>
      <c r="I295" s="6">
        <f>TAX_CERTIFICATE[[#This Row],[ENDING PERIOD MARKET VALUE]]-TAX_CERTIFICATE[[#This Row],[ENDING PERIOD COST VALUE]]</f>
        <v>0</v>
      </c>
      <c r="J29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9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9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9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95" s="6">
        <f>TAX_CERTIFICATE[[#This Row],[TOTAL ADDITION AT COST DURING THE PERIOD]]-TAX_CERTIFICATE[[#This Row],[TOTAL REDEMPTION AT COST DURING THE PERIOD]]</f>
        <v>0</v>
      </c>
      <c r="O29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95" s="6"/>
      <c r="Q295" s="6"/>
      <c r="R295" s="6"/>
    </row>
    <row r="296" spans="1:18">
      <c r="A296" t="s">
        <v>455</v>
      </c>
      <c r="B29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9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96" s="6">
        <f>TAX_CERTIFICATE[[#This Row],[BEGINNING PERIOD UNITS]]*$AA$2</f>
        <v>0</v>
      </c>
      <c r="E296" s="6">
        <f>TAX_CERTIFICATE[[#This Row],[BEGINNING PERIOD MARKET VALUE]]-TAX_CERTIFICATE[[#This Row],[BEGINNING PERIOD COST VALUE]]</f>
        <v>0</v>
      </c>
      <c r="F29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9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96" s="6">
        <f>TAX_CERTIFICATE[[#This Row],[ENDING PERIOD UNITS]]*$AA$3</f>
        <v>0</v>
      </c>
      <c r="I296" s="6">
        <f>TAX_CERTIFICATE[[#This Row],[ENDING PERIOD MARKET VALUE]]-TAX_CERTIFICATE[[#This Row],[ENDING PERIOD COST VALUE]]</f>
        <v>0</v>
      </c>
      <c r="J29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9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9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9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96" s="6">
        <f>TAX_CERTIFICATE[[#This Row],[TOTAL ADDITION AT COST DURING THE PERIOD]]-TAX_CERTIFICATE[[#This Row],[TOTAL REDEMPTION AT COST DURING THE PERIOD]]</f>
        <v>0</v>
      </c>
      <c r="O29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96" s="6"/>
      <c r="Q296" s="6"/>
      <c r="R296" s="6"/>
    </row>
    <row r="297" spans="1:18">
      <c r="A297" t="s">
        <v>457</v>
      </c>
      <c r="B29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9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97" s="6">
        <f>TAX_CERTIFICATE[[#This Row],[BEGINNING PERIOD UNITS]]*$AA$2</f>
        <v>0</v>
      </c>
      <c r="E297" s="6">
        <f>TAX_CERTIFICATE[[#This Row],[BEGINNING PERIOD MARKET VALUE]]-TAX_CERTIFICATE[[#This Row],[BEGINNING PERIOD COST VALUE]]</f>
        <v>0</v>
      </c>
      <c r="F29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9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97" s="6">
        <f>TAX_CERTIFICATE[[#This Row],[ENDING PERIOD UNITS]]*$AA$3</f>
        <v>0</v>
      </c>
      <c r="I297" s="6">
        <f>TAX_CERTIFICATE[[#This Row],[ENDING PERIOD MARKET VALUE]]-TAX_CERTIFICATE[[#This Row],[ENDING PERIOD COST VALUE]]</f>
        <v>0</v>
      </c>
      <c r="J29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9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9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9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97" s="6">
        <f>TAX_CERTIFICATE[[#This Row],[TOTAL ADDITION AT COST DURING THE PERIOD]]-TAX_CERTIFICATE[[#This Row],[TOTAL REDEMPTION AT COST DURING THE PERIOD]]</f>
        <v>0</v>
      </c>
      <c r="O29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97" s="6"/>
      <c r="Q297" s="6"/>
      <c r="R297" s="6"/>
    </row>
    <row r="298" spans="1:18">
      <c r="A298" t="s">
        <v>459</v>
      </c>
      <c r="B29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9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98" s="6">
        <f>TAX_CERTIFICATE[[#This Row],[BEGINNING PERIOD UNITS]]*$AA$2</f>
        <v>0</v>
      </c>
      <c r="E298" s="6">
        <f>TAX_CERTIFICATE[[#This Row],[BEGINNING PERIOD MARKET VALUE]]-TAX_CERTIFICATE[[#This Row],[BEGINNING PERIOD COST VALUE]]</f>
        <v>0</v>
      </c>
      <c r="F29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9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98" s="6">
        <f>TAX_CERTIFICATE[[#This Row],[ENDING PERIOD UNITS]]*$AA$3</f>
        <v>0</v>
      </c>
      <c r="I298" s="6">
        <f>TAX_CERTIFICATE[[#This Row],[ENDING PERIOD MARKET VALUE]]-TAX_CERTIFICATE[[#This Row],[ENDING PERIOD COST VALUE]]</f>
        <v>0</v>
      </c>
      <c r="J29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9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9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9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98" s="6">
        <f>TAX_CERTIFICATE[[#This Row],[TOTAL ADDITION AT COST DURING THE PERIOD]]-TAX_CERTIFICATE[[#This Row],[TOTAL REDEMPTION AT COST DURING THE PERIOD]]</f>
        <v>0</v>
      </c>
      <c r="O29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98" s="6"/>
      <c r="Q298" s="6"/>
      <c r="R298" s="6"/>
    </row>
    <row r="299" spans="1:18">
      <c r="A299" t="s">
        <v>462</v>
      </c>
      <c r="B29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29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299" s="6">
        <f>TAX_CERTIFICATE[[#This Row],[BEGINNING PERIOD UNITS]]*$AA$2</f>
        <v>0</v>
      </c>
      <c r="E299" s="6">
        <f>TAX_CERTIFICATE[[#This Row],[BEGINNING PERIOD MARKET VALUE]]-TAX_CERTIFICATE[[#This Row],[BEGINNING PERIOD COST VALUE]]</f>
        <v>0</v>
      </c>
      <c r="F29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29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299" s="6">
        <f>TAX_CERTIFICATE[[#This Row],[ENDING PERIOD UNITS]]*$AA$3</f>
        <v>0</v>
      </c>
      <c r="I299" s="6">
        <f>TAX_CERTIFICATE[[#This Row],[ENDING PERIOD MARKET VALUE]]-TAX_CERTIFICATE[[#This Row],[ENDING PERIOD COST VALUE]]</f>
        <v>0</v>
      </c>
      <c r="J29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29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29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29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299" s="6">
        <f>TAX_CERTIFICATE[[#This Row],[TOTAL ADDITION AT COST DURING THE PERIOD]]-TAX_CERTIFICATE[[#This Row],[TOTAL REDEMPTION AT COST DURING THE PERIOD]]</f>
        <v>0</v>
      </c>
      <c r="O29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299" s="6"/>
      <c r="Q299" s="6"/>
      <c r="R299" s="6"/>
    </row>
    <row r="300" spans="1:18">
      <c r="A300" t="s">
        <v>464</v>
      </c>
      <c r="B30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0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00" s="6">
        <f>TAX_CERTIFICATE[[#This Row],[BEGINNING PERIOD UNITS]]*$AA$2</f>
        <v>0</v>
      </c>
      <c r="E300" s="6">
        <f>TAX_CERTIFICATE[[#This Row],[BEGINNING PERIOD MARKET VALUE]]-TAX_CERTIFICATE[[#This Row],[BEGINNING PERIOD COST VALUE]]</f>
        <v>0</v>
      </c>
      <c r="F30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0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00" s="6">
        <f>TAX_CERTIFICATE[[#This Row],[ENDING PERIOD UNITS]]*$AA$3</f>
        <v>0</v>
      </c>
      <c r="I300" s="6">
        <f>TAX_CERTIFICATE[[#This Row],[ENDING PERIOD MARKET VALUE]]-TAX_CERTIFICATE[[#This Row],[ENDING PERIOD COST VALUE]]</f>
        <v>0</v>
      </c>
      <c r="J30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0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0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0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00" s="6">
        <f>TAX_CERTIFICATE[[#This Row],[TOTAL ADDITION AT COST DURING THE PERIOD]]-TAX_CERTIFICATE[[#This Row],[TOTAL REDEMPTION AT COST DURING THE PERIOD]]</f>
        <v>0</v>
      </c>
      <c r="O30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00" s="6"/>
      <c r="Q300" s="6"/>
      <c r="R300" s="6"/>
    </row>
    <row r="301" spans="1:18">
      <c r="A301" t="s">
        <v>466</v>
      </c>
      <c r="B30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0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01" s="6">
        <f>TAX_CERTIFICATE[[#This Row],[BEGINNING PERIOD UNITS]]*$AA$2</f>
        <v>0</v>
      </c>
      <c r="E301" s="6">
        <f>TAX_CERTIFICATE[[#This Row],[BEGINNING PERIOD MARKET VALUE]]-TAX_CERTIFICATE[[#This Row],[BEGINNING PERIOD COST VALUE]]</f>
        <v>0</v>
      </c>
      <c r="F30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0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01" s="6">
        <f>TAX_CERTIFICATE[[#This Row],[ENDING PERIOD UNITS]]*$AA$3</f>
        <v>0</v>
      </c>
      <c r="I301" s="6">
        <f>TAX_CERTIFICATE[[#This Row],[ENDING PERIOD MARKET VALUE]]-TAX_CERTIFICATE[[#This Row],[ENDING PERIOD COST VALUE]]</f>
        <v>0</v>
      </c>
      <c r="J30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0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0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0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01" s="6">
        <f>TAX_CERTIFICATE[[#This Row],[TOTAL ADDITION AT COST DURING THE PERIOD]]-TAX_CERTIFICATE[[#This Row],[TOTAL REDEMPTION AT COST DURING THE PERIOD]]</f>
        <v>0</v>
      </c>
      <c r="O30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01" s="6"/>
      <c r="Q301" s="6"/>
      <c r="R301" s="6"/>
    </row>
    <row r="302" spans="1:18">
      <c r="A302" t="s">
        <v>468</v>
      </c>
      <c r="B30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0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02" s="6">
        <f>TAX_CERTIFICATE[[#This Row],[BEGINNING PERIOD UNITS]]*$AA$2</f>
        <v>0</v>
      </c>
      <c r="E302" s="6">
        <f>TAX_CERTIFICATE[[#This Row],[BEGINNING PERIOD MARKET VALUE]]-TAX_CERTIFICATE[[#This Row],[BEGINNING PERIOD COST VALUE]]</f>
        <v>0</v>
      </c>
      <c r="F30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0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02" s="6">
        <f>TAX_CERTIFICATE[[#This Row],[ENDING PERIOD UNITS]]*$AA$3</f>
        <v>0</v>
      </c>
      <c r="I302" s="6">
        <f>TAX_CERTIFICATE[[#This Row],[ENDING PERIOD MARKET VALUE]]-TAX_CERTIFICATE[[#This Row],[ENDING PERIOD COST VALUE]]</f>
        <v>0</v>
      </c>
      <c r="J30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0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0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0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02" s="6">
        <f>TAX_CERTIFICATE[[#This Row],[TOTAL ADDITION AT COST DURING THE PERIOD]]-TAX_CERTIFICATE[[#This Row],[TOTAL REDEMPTION AT COST DURING THE PERIOD]]</f>
        <v>0</v>
      </c>
      <c r="O30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02" s="6"/>
      <c r="Q302" s="6"/>
      <c r="R302" s="6"/>
    </row>
    <row r="303" spans="1:18">
      <c r="A303" t="s">
        <v>470</v>
      </c>
      <c r="B30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0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03" s="6">
        <f>TAX_CERTIFICATE[[#This Row],[BEGINNING PERIOD UNITS]]*$AA$2</f>
        <v>0</v>
      </c>
      <c r="E303" s="6">
        <f>TAX_CERTIFICATE[[#This Row],[BEGINNING PERIOD MARKET VALUE]]-TAX_CERTIFICATE[[#This Row],[BEGINNING PERIOD COST VALUE]]</f>
        <v>0</v>
      </c>
      <c r="F30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0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03" s="6">
        <f>TAX_CERTIFICATE[[#This Row],[ENDING PERIOD UNITS]]*$AA$3</f>
        <v>0</v>
      </c>
      <c r="I303" s="6">
        <f>TAX_CERTIFICATE[[#This Row],[ENDING PERIOD MARKET VALUE]]-TAX_CERTIFICATE[[#This Row],[ENDING PERIOD COST VALUE]]</f>
        <v>0</v>
      </c>
      <c r="J30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0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0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0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03" s="6">
        <f>TAX_CERTIFICATE[[#This Row],[TOTAL ADDITION AT COST DURING THE PERIOD]]-TAX_CERTIFICATE[[#This Row],[TOTAL REDEMPTION AT COST DURING THE PERIOD]]</f>
        <v>0</v>
      </c>
      <c r="O30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03" s="6"/>
      <c r="Q303" s="6"/>
      <c r="R303" s="6"/>
    </row>
    <row r="304" spans="1:18">
      <c r="A304" t="s">
        <v>472</v>
      </c>
      <c r="B30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0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04" s="6">
        <f>TAX_CERTIFICATE[[#This Row],[BEGINNING PERIOD UNITS]]*$AA$2</f>
        <v>0</v>
      </c>
      <c r="E304" s="6">
        <f>TAX_CERTIFICATE[[#This Row],[BEGINNING PERIOD MARKET VALUE]]-TAX_CERTIFICATE[[#This Row],[BEGINNING PERIOD COST VALUE]]</f>
        <v>0</v>
      </c>
      <c r="F30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0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04" s="6">
        <f>TAX_CERTIFICATE[[#This Row],[ENDING PERIOD UNITS]]*$AA$3</f>
        <v>0</v>
      </c>
      <c r="I304" s="6">
        <f>TAX_CERTIFICATE[[#This Row],[ENDING PERIOD MARKET VALUE]]-TAX_CERTIFICATE[[#This Row],[ENDING PERIOD COST VALUE]]</f>
        <v>0</v>
      </c>
      <c r="J30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0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0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0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04" s="6">
        <f>TAX_CERTIFICATE[[#This Row],[TOTAL ADDITION AT COST DURING THE PERIOD]]-TAX_CERTIFICATE[[#This Row],[TOTAL REDEMPTION AT COST DURING THE PERIOD]]</f>
        <v>0</v>
      </c>
      <c r="O30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04" s="6"/>
      <c r="Q304" s="6"/>
      <c r="R304" s="6"/>
    </row>
    <row r="305" spans="1:18">
      <c r="A305" t="s">
        <v>499</v>
      </c>
      <c r="B30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0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05" s="6">
        <f>TAX_CERTIFICATE[[#This Row],[BEGINNING PERIOD UNITS]]*$AA$2</f>
        <v>0</v>
      </c>
      <c r="E305" s="6">
        <f>TAX_CERTIFICATE[[#This Row],[BEGINNING PERIOD MARKET VALUE]]-TAX_CERTIFICATE[[#This Row],[BEGINNING PERIOD COST VALUE]]</f>
        <v>0</v>
      </c>
      <c r="F30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0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05" s="6">
        <f>TAX_CERTIFICATE[[#This Row],[ENDING PERIOD UNITS]]*$AA$3</f>
        <v>0</v>
      </c>
      <c r="I305" s="6">
        <f>TAX_CERTIFICATE[[#This Row],[ENDING PERIOD MARKET VALUE]]-TAX_CERTIFICATE[[#This Row],[ENDING PERIOD COST VALUE]]</f>
        <v>0</v>
      </c>
      <c r="J30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0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0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0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05" s="6">
        <f>TAX_CERTIFICATE[[#This Row],[TOTAL ADDITION AT COST DURING THE PERIOD]]-TAX_CERTIFICATE[[#This Row],[TOTAL REDEMPTION AT COST DURING THE PERIOD]]</f>
        <v>0</v>
      </c>
      <c r="O30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05" s="6"/>
      <c r="Q305" s="6"/>
      <c r="R305" s="6"/>
    </row>
    <row r="306" spans="1:18">
      <c r="A306" t="s">
        <v>501</v>
      </c>
      <c r="B30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0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06" s="6">
        <f>TAX_CERTIFICATE[[#This Row],[BEGINNING PERIOD UNITS]]*$AA$2</f>
        <v>0</v>
      </c>
      <c r="E306" s="6">
        <f>TAX_CERTIFICATE[[#This Row],[BEGINNING PERIOD MARKET VALUE]]-TAX_CERTIFICATE[[#This Row],[BEGINNING PERIOD COST VALUE]]</f>
        <v>0</v>
      </c>
      <c r="F30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0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06" s="6">
        <f>TAX_CERTIFICATE[[#This Row],[ENDING PERIOD UNITS]]*$AA$3</f>
        <v>0</v>
      </c>
      <c r="I306" s="6">
        <f>TAX_CERTIFICATE[[#This Row],[ENDING PERIOD MARKET VALUE]]-TAX_CERTIFICATE[[#This Row],[ENDING PERIOD COST VALUE]]</f>
        <v>0</v>
      </c>
      <c r="J30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0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0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0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06" s="6">
        <f>TAX_CERTIFICATE[[#This Row],[TOTAL ADDITION AT COST DURING THE PERIOD]]-TAX_CERTIFICATE[[#This Row],[TOTAL REDEMPTION AT COST DURING THE PERIOD]]</f>
        <v>0</v>
      </c>
      <c r="O30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06" s="6"/>
      <c r="Q306" s="6"/>
      <c r="R306" s="6"/>
    </row>
    <row r="307" spans="1:18">
      <c r="A307" t="s">
        <v>502</v>
      </c>
      <c r="B30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0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07" s="6">
        <f>TAX_CERTIFICATE[[#This Row],[BEGINNING PERIOD UNITS]]*$AA$2</f>
        <v>0</v>
      </c>
      <c r="E307" s="6">
        <f>TAX_CERTIFICATE[[#This Row],[BEGINNING PERIOD MARKET VALUE]]-TAX_CERTIFICATE[[#This Row],[BEGINNING PERIOD COST VALUE]]</f>
        <v>0</v>
      </c>
      <c r="F30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0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07" s="6">
        <f>TAX_CERTIFICATE[[#This Row],[ENDING PERIOD UNITS]]*$AA$3</f>
        <v>0</v>
      </c>
      <c r="I307" s="6">
        <f>TAX_CERTIFICATE[[#This Row],[ENDING PERIOD MARKET VALUE]]-TAX_CERTIFICATE[[#This Row],[ENDING PERIOD COST VALUE]]</f>
        <v>0</v>
      </c>
      <c r="J30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0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0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0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07" s="6">
        <f>TAX_CERTIFICATE[[#This Row],[TOTAL ADDITION AT COST DURING THE PERIOD]]-TAX_CERTIFICATE[[#This Row],[TOTAL REDEMPTION AT COST DURING THE PERIOD]]</f>
        <v>0</v>
      </c>
      <c r="O30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07" s="6"/>
      <c r="Q307" s="6"/>
      <c r="R307" s="6"/>
    </row>
    <row r="308" spans="1:18">
      <c r="A308" t="s">
        <v>505</v>
      </c>
      <c r="B30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0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08" s="6">
        <f>TAX_CERTIFICATE[[#This Row],[BEGINNING PERIOD UNITS]]*$AA$2</f>
        <v>0</v>
      </c>
      <c r="E308" s="6">
        <f>TAX_CERTIFICATE[[#This Row],[BEGINNING PERIOD MARKET VALUE]]-TAX_CERTIFICATE[[#This Row],[BEGINNING PERIOD COST VALUE]]</f>
        <v>0</v>
      </c>
      <c r="F30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0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08" s="6">
        <f>TAX_CERTIFICATE[[#This Row],[ENDING PERIOD UNITS]]*$AA$3</f>
        <v>0</v>
      </c>
      <c r="I308" s="6">
        <f>TAX_CERTIFICATE[[#This Row],[ENDING PERIOD MARKET VALUE]]-TAX_CERTIFICATE[[#This Row],[ENDING PERIOD COST VALUE]]</f>
        <v>0</v>
      </c>
      <c r="J30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0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0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0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08" s="6">
        <f>TAX_CERTIFICATE[[#This Row],[TOTAL ADDITION AT COST DURING THE PERIOD]]-TAX_CERTIFICATE[[#This Row],[TOTAL REDEMPTION AT COST DURING THE PERIOD]]</f>
        <v>0</v>
      </c>
      <c r="O30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08" s="6"/>
      <c r="Q308" s="6"/>
      <c r="R308" s="6"/>
    </row>
    <row r="309" spans="1:18">
      <c r="A309" t="s">
        <v>507</v>
      </c>
      <c r="B30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0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09" s="6">
        <f>TAX_CERTIFICATE[[#This Row],[BEGINNING PERIOD UNITS]]*$AA$2</f>
        <v>0</v>
      </c>
      <c r="E309" s="6">
        <f>TAX_CERTIFICATE[[#This Row],[BEGINNING PERIOD MARKET VALUE]]-TAX_CERTIFICATE[[#This Row],[BEGINNING PERIOD COST VALUE]]</f>
        <v>0</v>
      </c>
      <c r="F30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0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09" s="6">
        <f>TAX_CERTIFICATE[[#This Row],[ENDING PERIOD UNITS]]*$AA$3</f>
        <v>0</v>
      </c>
      <c r="I309" s="6">
        <f>TAX_CERTIFICATE[[#This Row],[ENDING PERIOD MARKET VALUE]]-TAX_CERTIFICATE[[#This Row],[ENDING PERIOD COST VALUE]]</f>
        <v>0</v>
      </c>
      <c r="J30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0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0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0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09" s="6">
        <f>TAX_CERTIFICATE[[#This Row],[TOTAL ADDITION AT COST DURING THE PERIOD]]-TAX_CERTIFICATE[[#This Row],[TOTAL REDEMPTION AT COST DURING THE PERIOD]]</f>
        <v>0</v>
      </c>
      <c r="O30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09" s="6"/>
      <c r="Q309" s="6"/>
      <c r="R309" s="6"/>
    </row>
    <row r="310" spans="1:18">
      <c r="A310" t="s">
        <v>546</v>
      </c>
      <c r="B31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1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10" s="6">
        <f>TAX_CERTIFICATE[[#This Row],[BEGINNING PERIOD UNITS]]*$AA$2</f>
        <v>0</v>
      </c>
      <c r="E310" s="6">
        <f>TAX_CERTIFICATE[[#This Row],[BEGINNING PERIOD MARKET VALUE]]-TAX_CERTIFICATE[[#This Row],[BEGINNING PERIOD COST VALUE]]</f>
        <v>0</v>
      </c>
      <c r="F31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1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10" s="6">
        <f>TAX_CERTIFICATE[[#This Row],[ENDING PERIOD UNITS]]*$AA$3</f>
        <v>0</v>
      </c>
      <c r="I310" s="6">
        <f>TAX_CERTIFICATE[[#This Row],[ENDING PERIOD MARKET VALUE]]-TAX_CERTIFICATE[[#This Row],[ENDING PERIOD COST VALUE]]</f>
        <v>0</v>
      </c>
      <c r="J31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1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1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1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10" s="6">
        <f>TAX_CERTIFICATE[[#This Row],[TOTAL ADDITION AT COST DURING THE PERIOD]]-TAX_CERTIFICATE[[#This Row],[TOTAL REDEMPTION AT COST DURING THE PERIOD]]</f>
        <v>0</v>
      </c>
      <c r="O31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10" s="6"/>
      <c r="Q310" s="6"/>
      <c r="R310" s="6"/>
    </row>
    <row r="311" spans="1:18">
      <c r="A311" t="s">
        <v>548</v>
      </c>
      <c r="B31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1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11" s="6">
        <f>TAX_CERTIFICATE[[#This Row],[BEGINNING PERIOD UNITS]]*$AA$2</f>
        <v>0</v>
      </c>
      <c r="E311" s="6">
        <f>TAX_CERTIFICATE[[#This Row],[BEGINNING PERIOD MARKET VALUE]]-TAX_CERTIFICATE[[#This Row],[BEGINNING PERIOD COST VALUE]]</f>
        <v>0</v>
      </c>
      <c r="F31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1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11" s="6">
        <f>TAX_CERTIFICATE[[#This Row],[ENDING PERIOD UNITS]]*$AA$3</f>
        <v>0</v>
      </c>
      <c r="I311" s="6">
        <f>TAX_CERTIFICATE[[#This Row],[ENDING PERIOD MARKET VALUE]]-TAX_CERTIFICATE[[#This Row],[ENDING PERIOD COST VALUE]]</f>
        <v>0</v>
      </c>
      <c r="J31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1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1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1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11" s="6">
        <f>TAX_CERTIFICATE[[#This Row],[TOTAL ADDITION AT COST DURING THE PERIOD]]-TAX_CERTIFICATE[[#This Row],[TOTAL REDEMPTION AT COST DURING THE PERIOD]]</f>
        <v>0</v>
      </c>
      <c r="O31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11" s="6"/>
      <c r="Q311" s="6"/>
      <c r="R311" s="6"/>
    </row>
    <row r="312" spans="1:18">
      <c r="A312" t="s">
        <v>550</v>
      </c>
      <c r="B31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1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12" s="6">
        <f>TAX_CERTIFICATE[[#This Row],[BEGINNING PERIOD UNITS]]*$AA$2</f>
        <v>0</v>
      </c>
      <c r="E312" s="6">
        <f>TAX_CERTIFICATE[[#This Row],[BEGINNING PERIOD MARKET VALUE]]-TAX_CERTIFICATE[[#This Row],[BEGINNING PERIOD COST VALUE]]</f>
        <v>0</v>
      </c>
      <c r="F31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1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12" s="6">
        <f>TAX_CERTIFICATE[[#This Row],[ENDING PERIOD UNITS]]*$AA$3</f>
        <v>0</v>
      </c>
      <c r="I312" s="6">
        <f>TAX_CERTIFICATE[[#This Row],[ENDING PERIOD MARKET VALUE]]-TAX_CERTIFICATE[[#This Row],[ENDING PERIOD COST VALUE]]</f>
        <v>0</v>
      </c>
      <c r="J31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1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1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1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12" s="6">
        <f>TAX_CERTIFICATE[[#This Row],[TOTAL ADDITION AT COST DURING THE PERIOD]]-TAX_CERTIFICATE[[#This Row],[TOTAL REDEMPTION AT COST DURING THE PERIOD]]</f>
        <v>0</v>
      </c>
      <c r="O31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12" s="6"/>
      <c r="Q312" s="6"/>
      <c r="R312" s="6"/>
    </row>
    <row r="313" spans="1:18">
      <c r="A313" t="s">
        <v>552</v>
      </c>
      <c r="B31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1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13" s="6">
        <f>TAX_CERTIFICATE[[#This Row],[BEGINNING PERIOD UNITS]]*$AA$2</f>
        <v>0</v>
      </c>
      <c r="E313" s="6">
        <f>TAX_CERTIFICATE[[#This Row],[BEGINNING PERIOD MARKET VALUE]]-TAX_CERTIFICATE[[#This Row],[BEGINNING PERIOD COST VALUE]]</f>
        <v>0</v>
      </c>
      <c r="F31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1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13" s="6">
        <f>TAX_CERTIFICATE[[#This Row],[ENDING PERIOD UNITS]]*$AA$3</f>
        <v>0</v>
      </c>
      <c r="I313" s="6">
        <f>TAX_CERTIFICATE[[#This Row],[ENDING PERIOD MARKET VALUE]]-TAX_CERTIFICATE[[#This Row],[ENDING PERIOD COST VALUE]]</f>
        <v>0</v>
      </c>
      <c r="J31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1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1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1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13" s="6">
        <f>TAX_CERTIFICATE[[#This Row],[TOTAL ADDITION AT COST DURING THE PERIOD]]-TAX_CERTIFICATE[[#This Row],[TOTAL REDEMPTION AT COST DURING THE PERIOD]]</f>
        <v>0</v>
      </c>
      <c r="O31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13" s="6"/>
      <c r="Q313" s="6"/>
      <c r="R313" s="6"/>
    </row>
    <row r="314" spans="1:18">
      <c r="A314" t="s">
        <v>555</v>
      </c>
      <c r="B31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1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14" s="6">
        <f>TAX_CERTIFICATE[[#This Row],[BEGINNING PERIOD UNITS]]*$AA$2</f>
        <v>0</v>
      </c>
      <c r="E314" s="6">
        <f>TAX_CERTIFICATE[[#This Row],[BEGINNING PERIOD MARKET VALUE]]-TAX_CERTIFICATE[[#This Row],[BEGINNING PERIOD COST VALUE]]</f>
        <v>0</v>
      </c>
      <c r="F31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1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14" s="6">
        <f>TAX_CERTIFICATE[[#This Row],[ENDING PERIOD UNITS]]*$AA$3</f>
        <v>0</v>
      </c>
      <c r="I314" s="6">
        <f>TAX_CERTIFICATE[[#This Row],[ENDING PERIOD MARKET VALUE]]-TAX_CERTIFICATE[[#This Row],[ENDING PERIOD COST VALUE]]</f>
        <v>0</v>
      </c>
      <c r="J31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1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1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1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14" s="6">
        <f>TAX_CERTIFICATE[[#This Row],[TOTAL ADDITION AT COST DURING THE PERIOD]]-TAX_CERTIFICATE[[#This Row],[TOTAL REDEMPTION AT COST DURING THE PERIOD]]</f>
        <v>0</v>
      </c>
      <c r="O31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14" s="6"/>
      <c r="Q314" s="6"/>
      <c r="R314" s="6"/>
    </row>
    <row r="315" spans="1:18">
      <c r="A315" t="s">
        <v>557</v>
      </c>
      <c r="B31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1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15" s="6">
        <f>TAX_CERTIFICATE[[#This Row],[BEGINNING PERIOD UNITS]]*$AA$2</f>
        <v>0</v>
      </c>
      <c r="E315" s="6">
        <f>TAX_CERTIFICATE[[#This Row],[BEGINNING PERIOD MARKET VALUE]]-TAX_CERTIFICATE[[#This Row],[BEGINNING PERIOD COST VALUE]]</f>
        <v>0</v>
      </c>
      <c r="F31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1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15" s="6">
        <f>TAX_CERTIFICATE[[#This Row],[ENDING PERIOD UNITS]]*$AA$3</f>
        <v>0</v>
      </c>
      <c r="I315" s="6">
        <f>TAX_CERTIFICATE[[#This Row],[ENDING PERIOD MARKET VALUE]]-TAX_CERTIFICATE[[#This Row],[ENDING PERIOD COST VALUE]]</f>
        <v>0</v>
      </c>
      <c r="J31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1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1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1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15" s="6">
        <f>TAX_CERTIFICATE[[#This Row],[TOTAL ADDITION AT COST DURING THE PERIOD]]-TAX_CERTIFICATE[[#This Row],[TOTAL REDEMPTION AT COST DURING THE PERIOD]]</f>
        <v>0</v>
      </c>
      <c r="O31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15" s="6"/>
      <c r="Q315" s="6"/>
      <c r="R315" s="6"/>
    </row>
    <row r="316" spans="1:18">
      <c r="A316" t="s">
        <v>559</v>
      </c>
      <c r="B31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1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16" s="6">
        <f>TAX_CERTIFICATE[[#This Row],[BEGINNING PERIOD UNITS]]*$AA$2</f>
        <v>0</v>
      </c>
      <c r="E316" s="6">
        <f>TAX_CERTIFICATE[[#This Row],[BEGINNING PERIOD MARKET VALUE]]-TAX_CERTIFICATE[[#This Row],[BEGINNING PERIOD COST VALUE]]</f>
        <v>0</v>
      </c>
      <c r="F31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1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16" s="6">
        <f>TAX_CERTIFICATE[[#This Row],[ENDING PERIOD UNITS]]*$AA$3</f>
        <v>0</v>
      </c>
      <c r="I316" s="6">
        <f>TAX_CERTIFICATE[[#This Row],[ENDING PERIOD MARKET VALUE]]-TAX_CERTIFICATE[[#This Row],[ENDING PERIOD COST VALUE]]</f>
        <v>0</v>
      </c>
      <c r="J31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1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1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1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16" s="6">
        <f>TAX_CERTIFICATE[[#This Row],[TOTAL ADDITION AT COST DURING THE PERIOD]]-TAX_CERTIFICATE[[#This Row],[TOTAL REDEMPTION AT COST DURING THE PERIOD]]</f>
        <v>0</v>
      </c>
      <c r="O31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16" s="6"/>
      <c r="Q316" s="6"/>
      <c r="R316" s="6"/>
    </row>
    <row r="317" spans="1:18">
      <c r="A317" t="s">
        <v>561</v>
      </c>
      <c r="B31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1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17" s="6">
        <f>TAX_CERTIFICATE[[#This Row],[BEGINNING PERIOD UNITS]]*$AA$2</f>
        <v>0</v>
      </c>
      <c r="E317" s="6">
        <f>TAX_CERTIFICATE[[#This Row],[BEGINNING PERIOD MARKET VALUE]]-TAX_CERTIFICATE[[#This Row],[BEGINNING PERIOD COST VALUE]]</f>
        <v>0</v>
      </c>
      <c r="F31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1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17" s="6">
        <f>TAX_CERTIFICATE[[#This Row],[ENDING PERIOD UNITS]]*$AA$3</f>
        <v>0</v>
      </c>
      <c r="I317" s="6">
        <f>TAX_CERTIFICATE[[#This Row],[ENDING PERIOD MARKET VALUE]]-TAX_CERTIFICATE[[#This Row],[ENDING PERIOD COST VALUE]]</f>
        <v>0</v>
      </c>
      <c r="J31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1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1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1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17" s="6">
        <f>TAX_CERTIFICATE[[#This Row],[TOTAL ADDITION AT COST DURING THE PERIOD]]-TAX_CERTIFICATE[[#This Row],[TOTAL REDEMPTION AT COST DURING THE PERIOD]]</f>
        <v>0</v>
      </c>
      <c r="O31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17" s="6"/>
      <c r="Q317" s="6"/>
      <c r="R317" s="6"/>
    </row>
    <row r="318" spans="1:18">
      <c r="A318" t="s">
        <v>564</v>
      </c>
      <c r="B31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1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18" s="6">
        <f>TAX_CERTIFICATE[[#This Row],[BEGINNING PERIOD UNITS]]*$AA$2</f>
        <v>0</v>
      </c>
      <c r="E318" s="6">
        <f>TAX_CERTIFICATE[[#This Row],[BEGINNING PERIOD MARKET VALUE]]-TAX_CERTIFICATE[[#This Row],[BEGINNING PERIOD COST VALUE]]</f>
        <v>0</v>
      </c>
      <c r="F31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1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18" s="6">
        <f>TAX_CERTIFICATE[[#This Row],[ENDING PERIOD UNITS]]*$AA$3</f>
        <v>0</v>
      </c>
      <c r="I318" s="6">
        <f>TAX_CERTIFICATE[[#This Row],[ENDING PERIOD MARKET VALUE]]-TAX_CERTIFICATE[[#This Row],[ENDING PERIOD COST VALUE]]</f>
        <v>0</v>
      </c>
      <c r="J31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1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1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1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18" s="6">
        <f>TAX_CERTIFICATE[[#This Row],[TOTAL ADDITION AT COST DURING THE PERIOD]]-TAX_CERTIFICATE[[#This Row],[TOTAL REDEMPTION AT COST DURING THE PERIOD]]</f>
        <v>0</v>
      </c>
      <c r="O31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18" s="6"/>
      <c r="Q318" s="6"/>
      <c r="R318" s="6"/>
    </row>
    <row r="319" spans="1:18">
      <c r="A319" t="s">
        <v>566</v>
      </c>
      <c r="B319" s="2">
        <f>SUMIFS(LS[Unit],LS[Investor ID],TAX_CERTIFICATE[[#This Row],[INVESTOR CODE]],LS[Date Value],"&lt;"&amp;$Z$2)+SUMIFS(SIP[Unit],SIP[Investor ID],TAX_CERTIFICATE[[#This Row],[INVESTOR CODE]],SIP[Date Value],"&lt;"&amp;$Z$2)</f>
        <v>20000</v>
      </c>
      <c r="C31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200000</v>
      </c>
      <c r="D319" s="6">
        <f>TAX_CERTIFICATE[[#This Row],[BEGINNING PERIOD UNITS]]*$AA$2</f>
        <v>199400</v>
      </c>
      <c r="E319" s="6">
        <f>TAX_CERTIFICATE[[#This Row],[BEGINNING PERIOD MARKET VALUE]]-TAX_CERTIFICATE[[#This Row],[BEGINNING PERIOD COST VALUE]]</f>
        <v>-600</v>
      </c>
      <c r="F31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1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19" s="6">
        <f>TAX_CERTIFICATE[[#This Row],[ENDING PERIOD UNITS]]*$AA$3</f>
        <v>0</v>
      </c>
      <c r="I319" s="6">
        <f>TAX_CERTIFICATE[[#This Row],[ENDING PERIOD MARKET VALUE]]-TAX_CERTIFICATE[[#This Row],[ENDING PERIOD COST VALUE]]</f>
        <v>0</v>
      </c>
      <c r="J31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1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1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20000</v>
      </c>
      <c r="M31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200000</v>
      </c>
      <c r="N319" s="6">
        <f>TAX_CERTIFICATE[[#This Row],[TOTAL ADDITION AT COST DURING THE PERIOD]]-TAX_CERTIFICATE[[#This Row],[TOTAL REDEMPTION AT COST DURING THE PERIOD]]</f>
        <v>-200000</v>
      </c>
      <c r="O31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5339.9999999999891</v>
      </c>
      <c r="P319" s="6"/>
      <c r="Q319" s="6"/>
      <c r="R319" s="6"/>
    </row>
    <row r="320" spans="1:18">
      <c r="A320" t="s">
        <v>568</v>
      </c>
      <c r="B32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2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20" s="6">
        <f>TAX_CERTIFICATE[[#This Row],[BEGINNING PERIOD UNITS]]*$AA$2</f>
        <v>0</v>
      </c>
      <c r="E320" s="6">
        <f>TAX_CERTIFICATE[[#This Row],[BEGINNING PERIOD MARKET VALUE]]-TAX_CERTIFICATE[[#This Row],[BEGINNING PERIOD COST VALUE]]</f>
        <v>0</v>
      </c>
      <c r="F32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2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20" s="6">
        <f>TAX_CERTIFICATE[[#This Row],[ENDING PERIOD UNITS]]*$AA$3</f>
        <v>0</v>
      </c>
      <c r="I320" s="6">
        <f>TAX_CERTIFICATE[[#This Row],[ENDING PERIOD MARKET VALUE]]-TAX_CERTIFICATE[[#This Row],[ENDING PERIOD COST VALUE]]</f>
        <v>0</v>
      </c>
      <c r="J32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2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2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2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20" s="6">
        <f>TAX_CERTIFICATE[[#This Row],[TOTAL ADDITION AT COST DURING THE PERIOD]]-TAX_CERTIFICATE[[#This Row],[TOTAL REDEMPTION AT COST DURING THE PERIOD]]</f>
        <v>0</v>
      </c>
      <c r="O32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20" s="6"/>
      <c r="Q320" s="6"/>
      <c r="R320" s="6"/>
    </row>
    <row r="321" spans="1:18">
      <c r="A321" t="s">
        <v>570</v>
      </c>
      <c r="B32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2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21" s="6">
        <f>TAX_CERTIFICATE[[#This Row],[BEGINNING PERIOD UNITS]]*$AA$2</f>
        <v>0</v>
      </c>
      <c r="E321" s="6">
        <f>TAX_CERTIFICATE[[#This Row],[BEGINNING PERIOD MARKET VALUE]]-TAX_CERTIFICATE[[#This Row],[BEGINNING PERIOD COST VALUE]]</f>
        <v>0</v>
      </c>
      <c r="F32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2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21" s="6">
        <f>TAX_CERTIFICATE[[#This Row],[ENDING PERIOD UNITS]]*$AA$3</f>
        <v>0</v>
      </c>
      <c r="I321" s="6">
        <f>TAX_CERTIFICATE[[#This Row],[ENDING PERIOD MARKET VALUE]]-TAX_CERTIFICATE[[#This Row],[ENDING PERIOD COST VALUE]]</f>
        <v>0</v>
      </c>
      <c r="J32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2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2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2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21" s="6">
        <f>TAX_CERTIFICATE[[#This Row],[TOTAL ADDITION AT COST DURING THE PERIOD]]-TAX_CERTIFICATE[[#This Row],[TOTAL REDEMPTION AT COST DURING THE PERIOD]]</f>
        <v>0</v>
      </c>
      <c r="O32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21" s="6"/>
      <c r="Q321" s="6"/>
      <c r="R321" s="6"/>
    </row>
    <row r="322" spans="1:18">
      <c r="A322" t="s">
        <v>562</v>
      </c>
      <c r="B32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2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22" s="6">
        <f>TAX_CERTIFICATE[[#This Row],[BEGINNING PERIOD UNITS]]*$AA$2</f>
        <v>0</v>
      </c>
      <c r="E322" s="6">
        <f>TAX_CERTIFICATE[[#This Row],[BEGINNING PERIOD MARKET VALUE]]-TAX_CERTIFICATE[[#This Row],[BEGINNING PERIOD COST VALUE]]</f>
        <v>0</v>
      </c>
      <c r="F32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2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22" s="6">
        <f>TAX_CERTIFICATE[[#This Row],[ENDING PERIOD UNITS]]*$AA$3</f>
        <v>0</v>
      </c>
      <c r="I322" s="6">
        <f>TAX_CERTIFICATE[[#This Row],[ENDING PERIOD MARKET VALUE]]-TAX_CERTIFICATE[[#This Row],[ENDING PERIOD COST VALUE]]</f>
        <v>0</v>
      </c>
      <c r="J32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2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2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2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22" s="6">
        <f>TAX_CERTIFICATE[[#This Row],[TOTAL ADDITION AT COST DURING THE PERIOD]]-TAX_CERTIFICATE[[#This Row],[TOTAL REDEMPTION AT COST DURING THE PERIOD]]</f>
        <v>0</v>
      </c>
      <c r="O32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22" s="6"/>
      <c r="Q322" s="6"/>
      <c r="R322" s="6"/>
    </row>
    <row r="323" spans="1:18">
      <c r="A323" t="s">
        <v>573</v>
      </c>
      <c r="B32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2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23" s="6">
        <f>TAX_CERTIFICATE[[#This Row],[BEGINNING PERIOD UNITS]]*$AA$2</f>
        <v>0</v>
      </c>
      <c r="E323" s="6">
        <f>TAX_CERTIFICATE[[#This Row],[BEGINNING PERIOD MARKET VALUE]]-TAX_CERTIFICATE[[#This Row],[BEGINNING PERIOD COST VALUE]]</f>
        <v>0</v>
      </c>
      <c r="F32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2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23" s="6">
        <f>TAX_CERTIFICATE[[#This Row],[ENDING PERIOD UNITS]]*$AA$3</f>
        <v>0</v>
      </c>
      <c r="I323" s="6">
        <f>TAX_CERTIFICATE[[#This Row],[ENDING PERIOD MARKET VALUE]]-TAX_CERTIFICATE[[#This Row],[ENDING PERIOD COST VALUE]]</f>
        <v>0</v>
      </c>
      <c r="J32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2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2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2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23" s="6">
        <f>TAX_CERTIFICATE[[#This Row],[TOTAL ADDITION AT COST DURING THE PERIOD]]-TAX_CERTIFICATE[[#This Row],[TOTAL REDEMPTION AT COST DURING THE PERIOD]]</f>
        <v>0</v>
      </c>
      <c r="O32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23" s="6"/>
      <c r="Q323" s="6"/>
      <c r="R323" s="6"/>
    </row>
    <row r="324" spans="1:18">
      <c r="A324" t="s">
        <v>575</v>
      </c>
      <c r="B32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2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24" s="6">
        <f>TAX_CERTIFICATE[[#This Row],[BEGINNING PERIOD UNITS]]*$AA$2</f>
        <v>0</v>
      </c>
      <c r="E324" s="6">
        <f>TAX_CERTIFICATE[[#This Row],[BEGINNING PERIOD MARKET VALUE]]-TAX_CERTIFICATE[[#This Row],[BEGINNING PERIOD COST VALUE]]</f>
        <v>0</v>
      </c>
      <c r="F32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2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24" s="6">
        <f>TAX_CERTIFICATE[[#This Row],[ENDING PERIOD UNITS]]*$AA$3</f>
        <v>0</v>
      </c>
      <c r="I324" s="6">
        <f>TAX_CERTIFICATE[[#This Row],[ENDING PERIOD MARKET VALUE]]-TAX_CERTIFICATE[[#This Row],[ENDING PERIOD COST VALUE]]</f>
        <v>0</v>
      </c>
      <c r="J32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2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2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2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24" s="6">
        <f>TAX_CERTIFICATE[[#This Row],[TOTAL ADDITION AT COST DURING THE PERIOD]]-TAX_CERTIFICATE[[#This Row],[TOTAL REDEMPTION AT COST DURING THE PERIOD]]</f>
        <v>0</v>
      </c>
      <c r="O32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24" s="6"/>
      <c r="Q324" s="6"/>
      <c r="R324" s="6"/>
    </row>
    <row r="325" spans="1:18">
      <c r="A325" t="s">
        <v>577</v>
      </c>
      <c r="B32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2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25" s="6">
        <f>TAX_CERTIFICATE[[#This Row],[BEGINNING PERIOD UNITS]]*$AA$2</f>
        <v>0</v>
      </c>
      <c r="E325" s="6">
        <f>TAX_CERTIFICATE[[#This Row],[BEGINNING PERIOD MARKET VALUE]]-TAX_CERTIFICATE[[#This Row],[BEGINNING PERIOD COST VALUE]]</f>
        <v>0</v>
      </c>
      <c r="F32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2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25" s="6">
        <f>TAX_CERTIFICATE[[#This Row],[ENDING PERIOD UNITS]]*$AA$3</f>
        <v>0</v>
      </c>
      <c r="I325" s="6">
        <f>TAX_CERTIFICATE[[#This Row],[ENDING PERIOD MARKET VALUE]]-TAX_CERTIFICATE[[#This Row],[ENDING PERIOD COST VALUE]]</f>
        <v>0</v>
      </c>
      <c r="J32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2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2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2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25" s="6">
        <f>TAX_CERTIFICATE[[#This Row],[TOTAL ADDITION AT COST DURING THE PERIOD]]-TAX_CERTIFICATE[[#This Row],[TOTAL REDEMPTION AT COST DURING THE PERIOD]]</f>
        <v>0</v>
      </c>
      <c r="O32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25" s="6"/>
      <c r="Q325" s="6"/>
      <c r="R325" s="6"/>
    </row>
    <row r="326" spans="1:18">
      <c r="A326" t="s">
        <v>579</v>
      </c>
      <c r="B326" s="2">
        <f>SUMIFS(LS[Unit],LS[Investor ID],TAX_CERTIFICATE[[#This Row],[INVESTOR CODE]],LS[Date Value],"&lt;"&amp;$Z$2)+SUMIFS(SIP[Unit],SIP[Investor ID],TAX_CERTIFICATE[[#This Row],[INVESTOR CODE]],SIP[Date Value],"&lt;"&amp;$Z$2)</f>
        <v>300000</v>
      </c>
      <c r="C32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3000000</v>
      </c>
      <c r="D326" s="6">
        <f>TAX_CERTIFICATE[[#This Row],[BEGINNING PERIOD UNITS]]*$AA$2</f>
        <v>2991000</v>
      </c>
      <c r="E326" s="6">
        <f>TAX_CERTIFICATE[[#This Row],[BEGINNING PERIOD MARKET VALUE]]-TAX_CERTIFICATE[[#This Row],[BEGINNING PERIOD COST VALUE]]</f>
        <v>-9000</v>
      </c>
      <c r="F326" s="33">
        <f>SUMIFS(LS[Unit],LS[Investor ID],TAX_CERTIFICATE[[#This Row],[INVESTOR CODE]],LS[Date Value],"&lt;="&amp;$Z$3)+SUMIFS(SIP[Unit],SIP[Investor ID],TAX_CERTIFICATE[[#This Row],[INVESTOR CODE]],SIP[Date Value],"&lt;="&amp;$Z$3)</f>
        <v>300000</v>
      </c>
      <c r="G32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3000000</v>
      </c>
      <c r="H326" s="6">
        <f>TAX_CERTIFICATE[[#This Row],[ENDING PERIOD UNITS]]*$AA$3</f>
        <v>2983200.0000000005</v>
      </c>
      <c r="I326" s="6">
        <f>TAX_CERTIFICATE[[#This Row],[ENDING PERIOD MARKET VALUE]]-TAX_CERTIFICATE[[#This Row],[ENDING PERIOD COST VALUE]]</f>
        <v>-16799.999999999534</v>
      </c>
      <c r="J32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2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2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2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26" s="6">
        <f>TAX_CERTIFICATE[[#This Row],[TOTAL ADDITION AT COST DURING THE PERIOD]]-TAX_CERTIFICATE[[#This Row],[TOTAL REDEMPTION AT COST DURING THE PERIOD]]</f>
        <v>0</v>
      </c>
      <c r="O32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26" s="6"/>
      <c r="Q326" s="6"/>
      <c r="R326" s="6"/>
    </row>
    <row r="327" spans="1:18">
      <c r="A327" t="s">
        <v>580</v>
      </c>
      <c r="B32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2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27" s="6">
        <f>TAX_CERTIFICATE[[#This Row],[BEGINNING PERIOD UNITS]]*$AA$2</f>
        <v>0</v>
      </c>
      <c r="E327" s="6">
        <f>TAX_CERTIFICATE[[#This Row],[BEGINNING PERIOD MARKET VALUE]]-TAX_CERTIFICATE[[#This Row],[BEGINNING PERIOD COST VALUE]]</f>
        <v>0</v>
      </c>
      <c r="F32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2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27" s="6">
        <f>TAX_CERTIFICATE[[#This Row],[ENDING PERIOD UNITS]]*$AA$3</f>
        <v>0</v>
      </c>
      <c r="I327" s="6">
        <f>TAX_CERTIFICATE[[#This Row],[ENDING PERIOD MARKET VALUE]]-TAX_CERTIFICATE[[#This Row],[ENDING PERIOD COST VALUE]]</f>
        <v>0</v>
      </c>
      <c r="J32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2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2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2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27" s="6">
        <f>TAX_CERTIFICATE[[#This Row],[TOTAL ADDITION AT COST DURING THE PERIOD]]-TAX_CERTIFICATE[[#This Row],[TOTAL REDEMPTION AT COST DURING THE PERIOD]]</f>
        <v>0</v>
      </c>
      <c r="O32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27" s="6"/>
      <c r="Q327" s="6"/>
      <c r="R327" s="6"/>
    </row>
    <row r="328" spans="1:18">
      <c r="A328" t="s">
        <v>581</v>
      </c>
      <c r="B328" s="2">
        <f>SUMIFS(LS[Unit],LS[Investor ID],TAX_CERTIFICATE[[#This Row],[INVESTOR CODE]],LS[Date Value],"&lt;"&amp;$Z$2)+SUMIFS(SIP[Unit],SIP[Investor ID],TAX_CERTIFICATE[[#This Row],[INVESTOR CODE]],SIP[Date Value],"&lt;"&amp;$Z$2)</f>
        <v>40000</v>
      </c>
      <c r="C32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400000</v>
      </c>
      <c r="D328" s="6">
        <f>TAX_CERTIFICATE[[#This Row],[BEGINNING PERIOD UNITS]]*$AA$2</f>
        <v>398800</v>
      </c>
      <c r="E328" s="6">
        <f>TAX_CERTIFICATE[[#This Row],[BEGINNING PERIOD MARKET VALUE]]-TAX_CERTIFICATE[[#This Row],[BEGINNING PERIOD COST VALUE]]</f>
        <v>-1200</v>
      </c>
      <c r="F328" s="33">
        <f>SUMIFS(LS[Unit],LS[Investor ID],TAX_CERTIFICATE[[#This Row],[INVESTOR CODE]],LS[Date Value],"&lt;="&amp;$Z$3)+SUMIFS(SIP[Unit],SIP[Investor ID],TAX_CERTIFICATE[[#This Row],[INVESTOR CODE]],SIP[Date Value],"&lt;="&amp;$Z$3)</f>
        <v>40914</v>
      </c>
      <c r="G32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409000</v>
      </c>
      <c r="H328" s="6">
        <f>TAX_CERTIFICATE[[#This Row],[ENDING PERIOD UNITS]]*$AA$3</f>
        <v>406848.81600000005</v>
      </c>
      <c r="I328" s="6">
        <f>TAX_CERTIFICATE[[#This Row],[ENDING PERIOD MARKET VALUE]]-TAX_CERTIFICATE[[#This Row],[ENDING PERIOD COST VALUE]]</f>
        <v>-2151.1839999999502</v>
      </c>
      <c r="J32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914</v>
      </c>
      <c r="K32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9000</v>
      </c>
      <c r="L32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2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28" s="6">
        <f>TAX_CERTIFICATE[[#This Row],[TOTAL ADDITION AT COST DURING THE PERIOD]]-TAX_CERTIFICATE[[#This Row],[TOTAL REDEMPTION AT COST DURING THE PERIOD]]</f>
        <v>9000</v>
      </c>
      <c r="O32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28" s="6"/>
      <c r="Q328" s="6"/>
      <c r="R328" s="6"/>
    </row>
    <row r="329" spans="1:18">
      <c r="A329" t="s">
        <v>585</v>
      </c>
      <c r="B32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2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29" s="6">
        <f>TAX_CERTIFICATE[[#This Row],[BEGINNING PERIOD UNITS]]*$AA$2</f>
        <v>0</v>
      </c>
      <c r="E329" s="6">
        <f>TAX_CERTIFICATE[[#This Row],[BEGINNING PERIOD MARKET VALUE]]-TAX_CERTIFICATE[[#This Row],[BEGINNING PERIOD COST VALUE]]</f>
        <v>0</v>
      </c>
      <c r="F32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2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29" s="6">
        <f>TAX_CERTIFICATE[[#This Row],[ENDING PERIOD UNITS]]*$AA$3</f>
        <v>0</v>
      </c>
      <c r="I329" s="6">
        <f>TAX_CERTIFICATE[[#This Row],[ENDING PERIOD MARKET VALUE]]-TAX_CERTIFICATE[[#This Row],[ENDING PERIOD COST VALUE]]</f>
        <v>0</v>
      </c>
      <c r="J32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2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2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2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29" s="6">
        <f>TAX_CERTIFICATE[[#This Row],[TOTAL ADDITION AT COST DURING THE PERIOD]]-TAX_CERTIFICATE[[#This Row],[TOTAL REDEMPTION AT COST DURING THE PERIOD]]</f>
        <v>0</v>
      </c>
      <c r="O32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29" s="6"/>
      <c r="Q329" s="6"/>
      <c r="R329" s="6"/>
    </row>
    <row r="330" spans="1:18">
      <c r="A330" t="s">
        <v>587</v>
      </c>
      <c r="B33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3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30" s="6">
        <f>TAX_CERTIFICATE[[#This Row],[BEGINNING PERIOD UNITS]]*$AA$2</f>
        <v>0</v>
      </c>
      <c r="E330" s="6">
        <f>TAX_CERTIFICATE[[#This Row],[BEGINNING PERIOD MARKET VALUE]]-TAX_CERTIFICATE[[#This Row],[BEGINNING PERIOD COST VALUE]]</f>
        <v>0</v>
      </c>
      <c r="F33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3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30" s="6">
        <f>TAX_CERTIFICATE[[#This Row],[ENDING PERIOD UNITS]]*$AA$3</f>
        <v>0</v>
      </c>
      <c r="I330" s="6">
        <f>TAX_CERTIFICATE[[#This Row],[ENDING PERIOD MARKET VALUE]]-TAX_CERTIFICATE[[#This Row],[ENDING PERIOD COST VALUE]]</f>
        <v>0</v>
      </c>
      <c r="J33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3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3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3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30" s="6">
        <f>TAX_CERTIFICATE[[#This Row],[TOTAL ADDITION AT COST DURING THE PERIOD]]-TAX_CERTIFICATE[[#This Row],[TOTAL REDEMPTION AT COST DURING THE PERIOD]]</f>
        <v>0</v>
      </c>
      <c r="O33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30" s="6"/>
      <c r="Q330" s="6"/>
      <c r="R330" s="6"/>
    </row>
    <row r="331" spans="1:18">
      <c r="A331" t="s">
        <v>589</v>
      </c>
      <c r="B33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3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31" s="6">
        <f>TAX_CERTIFICATE[[#This Row],[BEGINNING PERIOD UNITS]]*$AA$2</f>
        <v>0</v>
      </c>
      <c r="E331" s="6">
        <f>TAX_CERTIFICATE[[#This Row],[BEGINNING PERIOD MARKET VALUE]]-TAX_CERTIFICATE[[#This Row],[BEGINNING PERIOD COST VALUE]]</f>
        <v>0</v>
      </c>
      <c r="F33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3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31" s="6">
        <f>TAX_CERTIFICATE[[#This Row],[ENDING PERIOD UNITS]]*$AA$3</f>
        <v>0</v>
      </c>
      <c r="I331" s="6">
        <f>TAX_CERTIFICATE[[#This Row],[ENDING PERIOD MARKET VALUE]]-TAX_CERTIFICATE[[#This Row],[ENDING PERIOD COST VALUE]]</f>
        <v>0</v>
      </c>
      <c r="J33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3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3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3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31" s="6">
        <f>TAX_CERTIFICATE[[#This Row],[TOTAL ADDITION AT COST DURING THE PERIOD]]-TAX_CERTIFICATE[[#This Row],[TOTAL REDEMPTION AT COST DURING THE PERIOD]]</f>
        <v>0</v>
      </c>
      <c r="O33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31" s="6"/>
      <c r="Q331" s="6"/>
      <c r="R331" s="6"/>
    </row>
    <row r="332" spans="1:18">
      <c r="A332" t="s">
        <v>591</v>
      </c>
      <c r="B33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3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32" s="6">
        <f>TAX_CERTIFICATE[[#This Row],[BEGINNING PERIOD UNITS]]*$AA$2</f>
        <v>0</v>
      </c>
      <c r="E332" s="6">
        <f>TAX_CERTIFICATE[[#This Row],[BEGINNING PERIOD MARKET VALUE]]-TAX_CERTIFICATE[[#This Row],[BEGINNING PERIOD COST VALUE]]</f>
        <v>0</v>
      </c>
      <c r="F33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3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32" s="6">
        <f>TAX_CERTIFICATE[[#This Row],[ENDING PERIOD UNITS]]*$AA$3</f>
        <v>0</v>
      </c>
      <c r="I332" s="6">
        <f>TAX_CERTIFICATE[[#This Row],[ENDING PERIOD MARKET VALUE]]-TAX_CERTIFICATE[[#This Row],[ENDING PERIOD COST VALUE]]</f>
        <v>0</v>
      </c>
      <c r="J33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3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3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3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32" s="6">
        <f>TAX_CERTIFICATE[[#This Row],[TOTAL ADDITION AT COST DURING THE PERIOD]]-TAX_CERTIFICATE[[#This Row],[TOTAL REDEMPTION AT COST DURING THE PERIOD]]</f>
        <v>0</v>
      </c>
      <c r="O33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32" s="6"/>
      <c r="Q332" s="6"/>
      <c r="R332" s="6"/>
    </row>
    <row r="333" spans="1:18">
      <c r="A333" t="s">
        <v>593</v>
      </c>
      <c r="B333" s="2">
        <f>SUMIFS(LS[Unit],LS[Investor ID],TAX_CERTIFICATE[[#This Row],[INVESTOR CODE]],LS[Date Value],"&lt;"&amp;$Z$2)+SUMIFS(SIP[Unit],SIP[Investor ID],TAX_CERTIFICATE[[#This Row],[INVESTOR CODE]],SIP[Date Value],"&lt;"&amp;$Z$2)</f>
        <v>50000</v>
      </c>
      <c r="C33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500000</v>
      </c>
      <c r="D333" s="6">
        <f>TAX_CERTIFICATE[[#This Row],[BEGINNING PERIOD UNITS]]*$AA$2</f>
        <v>498500.00000000006</v>
      </c>
      <c r="E333" s="6">
        <f>TAX_CERTIFICATE[[#This Row],[BEGINNING PERIOD MARKET VALUE]]-TAX_CERTIFICATE[[#This Row],[BEGINNING PERIOD COST VALUE]]</f>
        <v>-1499.9999999999418</v>
      </c>
      <c r="F333" s="33">
        <f>SUMIFS(LS[Unit],LS[Investor ID],TAX_CERTIFICATE[[#This Row],[INVESTOR CODE]],LS[Date Value],"&lt;="&amp;$Z$3)+SUMIFS(SIP[Unit],SIP[Investor ID],TAX_CERTIFICATE[[#This Row],[INVESTOR CODE]],SIP[Date Value],"&lt;="&amp;$Z$3)</f>
        <v>50000</v>
      </c>
      <c r="G33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500000</v>
      </c>
      <c r="H333" s="6">
        <f>TAX_CERTIFICATE[[#This Row],[ENDING PERIOD UNITS]]*$AA$3</f>
        <v>497200.00000000006</v>
      </c>
      <c r="I333" s="6">
        <f>TAX_CERTIFICATE[[#This Row],[ENDING PERIOD MARKET VALUE]]-TAX_CERTIFICATE[[#This Row],[ENDING PERIOD COST VALUE]]</f>
        <v>-2799.9999999999418</v>
      </c>
      <c r="J33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3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3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3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33" s="6">
        <f>TAX_CERTIFICATE[[#This Row],[TOTAL ADDITION AT COST DURING THE PERIOD]]-TAX_CERTIFICATE[[#This Row],[TOTAL REDEMPTION AT COST DURING THE PERIOD]]</f>
        <v>0</v>
      </c>
      <c r="O33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33" s="6"/>
      <c r="Q333" s="6"/>
      <c r="R333" s="6"/>
    </row>
    <row r="334" spans="1:18">
      <c r="A334" t="s">
        <v>595</v>
      </c>
      <c r="B334" s="2">
        <f>SUMIFS(LS[Unit],LS[Investor ID],TAX_CERTIFICATE[[#This Row],[INVESTOR CODE]],LS[Date Value],"&lt;"&amp;$Z$2)+SUMIFS(SIP[Unit],SIP[Investor ID],TAX_CERTIFICATE[[#This Row],[INVESTOR CODE]],SIP[Date Value],"&lt;"&amp;$Z$2)</f>
        <v>5000</v>
      </c>
      <c r="C33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</v>
      </c>
      <c r="D334" s="6">
        <f>TAX_CERTIFICATE[[#This Row],[BEGINNING PERIOD UNITS]]*$AA$2</f>
        <v>49850</v>
      </c>
      <c r="E334" s="6">
        <f>TAX_CERTIFICATE[[#This Row],[BEGINNING PERIOD MARKET VALUE]]-TAX_CERTIFICATE[[#This Row],[BEGINNING PERIOD COST VALUE]]</f>
        <v>-150</v>
      </c>
      <c r="F33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3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34" s="6">
        <f>TAX_CERTIFICATE[[#This Row],[ENDING PERIOD UNITS]]*$AA$3</f>
        <v>0</v>
      </c>
      <c r="I334" s="6">
        <f>TAX_CERTIFICATE[[#This Row],[ENDING PERIOD MARKET VALUE]]-TAX_CERTIFICATE[[#This Row],[ENDING PERIOD COST VALUE]]</f>
        <v>0</v>
      </c>
      <c r="J33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114</v>
      </c>
      <c r="K33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1062.5</v>
      </c>
      <c r="L33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5114</v>
      </c>
      <c r="M33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51062.5</v>
      </c>
      <c r="N334" s="6">
        <f>TAX_CERTIFICATE[[#This Row],[TOTAL ADDITION AT COST DURING THE PERIOD]]-TAX_CERTIFICATE[[#This Row],[TOTAL REDEMPTION AT COST DURING THE PERIOD]]</f>
        <v>-50000</v>
      </c>
      <c r="O33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-878.81999999999618</v>
      </c>
      <c r="P334" s="6"/>
      <c r="Q334" s="6"/>
      <c r="R334" s="6"/>
    </row>
    <row r="335" spans="1:18">
      <c r="A335" t="s">
        <v>597</v>
      </c>
      <c r="B335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33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335" s="6">
        <f>TAX_CERTIFICATE[[#This Row],[BEGINNING PERIOD UNITS]]*$AA$2</f>
        <v>997000.00000000012</v>
      </c>
      <c r="E335" s="6">
        <f>TAX_CERTIFICATE[[#This Row],[BEGINNING PERIOD MARKET VALUE]]-TAX_CERTIFICATE[[#This Row],[BEGINNING PERIOD COST VALUE]]</f>
        <v>-2999.9999999998836</v>
      </c>
      <c r="F33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3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35" s="6">
        <f>TAX_CERTIFICATE[[#This Row],[ENDING PERIOD UNITS]]*$AA$3</f>
        <v>0</v>
      </c>
      <c r="I335" s="6">
        <f>TAX_CERTIFICATE[[#This Row],[ENDING PERIOD MARKET VALUE]]-TAX_CERTIFICATE[[#This Row],[ENDING PERIOD COST VALUE]]</f>
        <v>0</v>
      </c>
      <c r="J33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3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3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100000</v>
      </c>
      <c r="M33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1000000</v>
      </c>
      <c r="N335" s="6">
        <f>TAX_CERTIFICATE[[#This Row],[TOTAL ADDITION AT COST DURING THE PERIOD]]-TAX_CERTIFICATE[[#This Row],[TOTAL REDEMPTION AT COST DURING THE PERIOD]]</f>
        <v>-1000000</v>
      </c>
      <c r="O33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21299.99999999992</v>
      </c>
      <c r="P335" s="6"/>
      <c r="Q335" s="6"/>
      <c r="R335" s="6"/>
    </row>
    <row r="336" spans="1:18">
      <c r="A336" t="s">
        <v>598</v>
      </c>
      <c r="B336" s="2">
        <f>SUMIFS(LS[Unit],LS[Investor ID],TAX_CERTIFICATE[[#This Row],[INVESTOR CODE]],LS[Date Value],"&lt;"&amp;$Z$2)+SUMIFS(SIP[Unit],SIP[Investor ID],TAX_CERTIFICATE[[#This Row],[INVESTOR CODE]],SIP[Date Value],"&lt;"&amp;$Z$2)</f>
        <v>120000</v>
      </c>
      <c r="C33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1200000</v>
      </c>
      <c r="D336" s="6">
        <f>TAX_CERTIFICATE[[#This Row],[BEGINNING PERIOD UNITS]]*$AA$2</f>
        <v>1196400</v>
      </c>
      <c r="E336" s="6">
        <f>TAX_CERTIFICATE[[#This Row],[BEGINNING PERIOD MARKET VALUE]]-TAX_CERTIFICATE[[#This Row],[BEGINNING PERIOD COST VALUE]]</f>
        <v>-3600</v>
      </c>
      <c r="F336" s="33">
        <f>SUMIFS(LS[Unit],LS[Investor ID],TAX_CERTIFICATE[[#This Row],[INVESTOR CODE]],LS[Date Value],"&lt;="&amp;$Z$3)+SUMIFS(SIP[Unit],SIP[Investor ID],TAX_CERTIFICATE[[#This Row],[INVESTOR CODE]],SIP[Date Value],"&lt;="&amp;$Z$3)</f>
        <v>122741</v>
      </c>
      <c r="G33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1225500</v>
      </c>
      <c r="H336" s="6">
        <f>TAX_CERTIFICATE[[#This Row],[ENDING PERIOD UNITS]]*$AA$3</f>
        <v>1220536.5040000002</v>
      </c>
      <c r="I336" s="6">
        <f>TAX_CERTIFICATE[[#This Row],[ENDING PERIOD MARKET VALUE]]-TAX_CERTIFICATE[[#This Row],[ENDING PERIOD COST VALUE]]</f>
        <v>-4963.49599999981</v>
      </c>
      <c r="J33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2741</v>
      </c>
      <c r="K33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25500</v>
      </c>
      <c r="L33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3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36" s="6">
        <f>TAX_CERTIFICATE[[#This Row],[TOTAL ADDITION AT COST DURING THE PERIOD]]-TAX_CERTIFICATE[[#This Row],[TOTAL REDEMPTION AT COST DURING THE PERIOD]]</f>
        <v>25500</v>
      </c>
      <c r="O33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36" s="6"/>
      <c r="Q336" s="6"/>
      <c r="R336" s="6"/>
    </row>
    <row r="337" spans="1:18">
      <c r="A337" t="s">
        <v>599</v>
      </c>
      <c r="B33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3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37" s="6">
        <f>TAX_CERTIFICATE[[#This Row],[BEGINNING PERIOD UNITS]]*$AA$2</f>
        <v>0</v>
      </c>
      <c r="E337" s="6">
        <f>TAX_CERTIFICATE[[#This Row],[BEGINNING PERIOD MARKET VALUE]]-TAX_CERTIFICATE[[#This Row],[BEGINNING PERIOD COST VALUE]]</f>
        <v>0</v>
      </c>
      <c r="F33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3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37" s="6">
        <f>TAX_CERTIFICATE[[#This Row],[ENDING PERIOD UNITS]]*$AA$3</f>
        <v>0</v>
      </c>
      <c r="I337" s="6">
        <f>TAX_CERTIFICATE[[#This Row],[ENDING PERIOD MARKET VALUE]]-TAX_CERTIFICATE[[#This Row],[ENDING PERIOD COST VALUE]]</f>
        <v>0</v>
      </c>
      <c r="J33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3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3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3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37" s="6">
        <f>TAX_CERTIFICATE[[#This Row],[TOTAL ADDITION AT COST DURING THE PERIOD]]-TAX_CERTIFICATE[[#This Row],[TOTAL REDEMPTION AT COST DURING THE PERIOD]]</f>
        <v>0</v>
      </c>
      <c r="O33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37" s="6"/>
      <c r="Q337" s="6"/>
      <c r="R337" s="6"/>
    </row>
    <row r="338" spans="1:18">
      <c r="A338" t="s">
        <v>602</v>
      </c>
      <c r="B33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3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38" s="6">
        <f>TAX_CERTIFICATE[[#This Row],[BEGINNING PERIOD UNITS]]*$AA$2</f>
        <v>0</v>
      </c>
      <c r="E338" s="6">
        <f>TAX_CERTIFICATE[[#This Row],[BEGINNING PERIOD MARKET VALUE]]-TAX_CERTIFICATE[[#This Row],[BEGINNING PERIOD COST VALUE]]</f>
        <v>0</v>
      </c>
      <c r="F33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3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38" s="6">
        <f>TAX_CERTIFICATE[[#This Row],[ENDING PERIOD UNITS]]*$AA$3</f>
        <v>0</v>
      </c>
      <c r="I338" s="6">
        <f>TAX_CERTIFICATE[[#This Row],[ENDING PERIOD MARKET VALUE]]-TAX_CERTIFICATE[[#This Row],[ENDING PERIOD COST VALUE]]</f>
        <v>0</v>
      </c>
      <c r="J33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3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3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3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38" s="6">
        <f>TAX_CERTIFICATE[[#This Row],[TOTAL ADDITION AT COST DURING THE PERIOD]]-TAX_CERTIFICATE[[#This Row],[TOTAL REDEMPTION AT COST DURING THE PERIOD]]</f>
        <v>0</v>
      </c>
      <c r="O33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38" s="6"/>
      <c r="Q338" s="6"/>
      <c r="R338" s="6"/>
    </row>
    <row r="339" spans="1:18">
      <c r="A339" t="s">
        <v>603</v>
      </c>
      <c r="B33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3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39" s="6">
        <f>TAX_CERTIFICATE[[#This Row],[BEGINNING PERIOD UNITS]]*$AA$2</f>
        <v>0</v>
      </c>
      <c r="E339" s="6">
        <f>TAX_CERTIFICATE[[#This Row],[BEGINNING PERIOD MARKET VALUE]]-TAX_CERTIFICATE[[#This Row],[BEGINNING PERIOD COST VALUE]]</f>
        <v>0</v>
      </c>
      <c r="F33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3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39" s="6">
        <f>TAX_CERTIFICATE[[#This Row],[ENDING PERIOD UNITS]]*$AA$3</f>
        <v>0</v>
      </c>
      <c r="I339" s="6">
        <f>TAX_CERTIFICATE[[#This Row],[ENDING PERIOD MARKET VALUE]]-TAX_CERTIFICATE[[#This Row],[ENDING PERIOD COST VALUE]]</f>
        <v>0</v>
      </c>
      <c r="J33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3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3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3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39" s="6">
        <f>TAX_CERTIFICATE[[#This Row],[TOTAL ADDITION AT COST DURING THE PERIOD]]-TAX_CERTIFICATE[[#This Row],[TOTAL REDEMPTION AT COST DURING THE PERIOD]]</f>
        <v>0</v>
      </c>
      <c r="O33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39" s="6"/>
      <c r="Q339" s="6"/>
      <c r="R339" s="6"/>
    </row>
    <row r="340" spans="1:18">
      <c r="A340" t="s">
        <v>605</v>
      </c>
      <c r="B340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34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340" s="6">
        <f>TAX_CERTIFICATE[[#This Row],[BEGINNING PERIOD UNITS]]*$AA$2</f>
        <v>997000.00000000012</v>
      </c>
      <c r="E340" s="6">
        <f>TAX_CERTIFICATE[[#This Row],[BEGINNING PERIOD MARKET VALUE]]-TAX_CERTIFICATE[[#This Row],[BEGINNING PERIOD COST VALUE]]</f>
        <v>-2999.9999999998836</v>
      </c>
      <c r="F34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4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40" s="6">
        <f>TAX_CERTIFICATE[[#This Row],[ENDING PERIOD UNITS]]*$AA$3</f>
        <v>0</v>
      </c>
      <c r="I340" s="6">
        <f>TAX_CERTIFICATE[[#This Row],[ENDING PERIOD MARKET VALUE]]-TAX_CERTIFICATE[[#This Row],[ENDING PERIOD COST VALUE]]</f>
        <v>0</v>
      </c>
      <c r="J34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4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4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100000</v>
      </c>
      <c r="M34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1000000</v>
      </c>
      <c r="N340" s="6">
        <f>TAX_CERTIFICATE[[#This Row],[TOTAL ADDITION AT COST DURING THE PERIOD]]-TAX_CERTIFICATE[[#This Row],[TOTAL REDEMPTION AT COST DURING THE PERIOD]]</f>
        <v>-1000000</v>
      </c>
      <c r="O34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30799.999999999982</v>
      </c>
      <c r="P340" s="6"/>
      <c r="Q340" s="6"/>
      <c r="R340" s="6"/>
    </row>
    <row r="341" spans="1:18">
      <c r="A341" t="s">
        <v>606</v>
      </c>
      <c r="B34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4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41" s="6">
        <f>TAX_CERTIFICATE[[#This Row],[BEGINNING PERIOD UNITS]]*$AA$2</f>
        <v>0</v>
      </c>
      <c r="E341" s="6">
        <f>TAX_CERTIFICATE[[#This Row],[BEGINNING PERIOD MARKET VALUE]]-TAX_CERTIFICATE[[#This Row],[BEGINNING PERIOD COST VALUE]]</f>
        <v>0</v>
      </c>
      <c r="F34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4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41" s="6">
        <f>TAX_CERTIFICATE[[#This Row],[ENDING PERIOD UNITS]]*$AA$3</f>
        <v>0</v>
      </c>
      <c r="I341" s="6">
        <f>TAX_CERTIFICATE[[#This Row],[ENDING PERIOD MARKET VALUE]]-TAX_CERTIFICATE[[#This Row],[ENDING PERIOD COST VALUE]]</f>
        <v>0</v>
      </c>
      <c r="J34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4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4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4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41" s="6">
        <f>TAX_CERTIFICATE[[#This Row],[TOTAL ADDITION AT COST DURING THE PERIOD]]-TAX_CERTIFICATE[[#This Row],[TOTAL REDEMPTION AT COST DURING THE PERIOD]]</f>
        <v>0</v>
      </c>
      <c r="O34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41" s="6"/>
      <c r="Q341" s="6"/>
      <c r="R341" s="6"/>
    </row>
    <row r="342" spans="1:18">
      <c r="A342" t="s">
        <v>608</v>
      </c>
      <c r="B34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4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42" s="6">
        <f>TAX_CERTIFICATE[[#This Row],[BEGINNING PERIOD UNITS]]*$AA$2</f>
        <v>0</v>
      </c>
      <c r="E342" s="6">
        <f>TAX_CERTIFICATE[[#This Row],[BEGINNING PERIOD MARKET VALUE]]-TAX_CERTIFICATE[[#This Row],[BEGINNING PERIOD COST VALUE]]</f>
        <v>0</v>
      </c>
      <c r="F34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4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42" s="6">
        <f>TAX_CERTIFICATE[[#This Row],[ENDING PERIOD UNITS]]*$AA$3</f>
        <v>0</v>
      </c>
      <c r="I342" s="6">
        <f>TAX_CERTIFICATE[[#This Row],[ENDING PERIOD MARKET VALUE]]-TAX_CERTIFICATE[[#This Row],[ENDING PERIOD COST VALUE]]</f>
        <v>0</v>
      </c>
      <c r="J34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4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4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4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42" s="6">
        <f>TAX_CERTIFICATE[[#This Row],[TOTAL ADDITION AT COST DURING THE PERIOD]]-TAX_CERTIFICATE[[#This Row],[TOTAL REDEMPTION AT COST DURING THE PERIOD]]</f>
        <v>0</v>
      </c>
      <c r="O34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42" s="6"/>
      <c r="Q342" s="6"/>
      <c r="R342" s="6"/>
    </row>
    <row r="343" spans="1:18">
      <c r="A343" t="s">
        <v>610</v>
      </c>
      <c r="B34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4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43" s="6">
        <f>TAX_CERTIFICATE[[#This Row],[BEGINNING PERIOD UNITS]]*$AA$2</f>
        <v>0</v>
      </c>
      <c r="E343" s="6">
        <f>TAX_CERTIFICATE[[#This Row],[BEGINNING PERIOD MARKET VALUE]]-TAX_CERTIFICATE[[#This Row],[BEGINNING PERIOD COST VALUE]]</f>
        <v>0</v>
      </c>
      <c r="F34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4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43" s="6">
        <f>TAX_CERTIFICATE[[#This Row],[ENDING PERIOD UNITS]]*$AA$3</f>
        <v>0</v>
      </c>
      <c r="I343" s="6">
        <f>TAX_CERTIFICATE[[#This Row],[ENDING PERIOD MARKET VALUE]]-TAX_CERTIFICATE[[#This Row],[ENDING PERIOD COST VALUE]]</f>
        <v>0</v>
      </c>
      <c r="J34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4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4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4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43" s="6">
        <f>TAX_CERTIFICATE[[#This Row],[TOTAL ADDITION AT COST DURING THE PERIOD]]-TAX_CERTIFICATE[[#This Row],[TOTAL REDEMPTION AT COST DURING THE PERIOD]]</f>
        <v>0</v>
      </c>
      <c r="O34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43" s="6"/>
      <c r="Q343" s="6"/>
      <c r="R343" s="6"/>
    </row>
    <row r="344" spans="1:18">
      <c r="A344" t="s">
        <v>611</v>
      </c>
      <c r="B34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4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-3000</v>
      </c>
      <c r="D344" s="6">
        <f>TAX_CERTIFICATE[[#This Row],[BEGINNING PERIOD UNITS]]*$AA$2</f>
        <v>0</v>
      </c>
      <c r="E344" s="6">
        <f>TAX_CERTIFICATE[[#This Row],[BEGINNING PERIOD MARKET VALUE]]-TAX_CERTIFICATE[[#This Row],[BEGINNING PERIOD COST VALUE]]</f>
        <v>3000</v>
      </c>
      <c r="F34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4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-3000</v>
      </c>
      <c r="H344" s="6">
        <f>TAX_CERTIFICATE[[#This Row],[ENDING PERIOD UNITS]]*$AA$3</f>
        <v>0</v>
      </c>
      <c r="I344" s="6">
        <f>TAX_CERTIFICATE[[#This Row],[ENDING PERIOD MARKET VALUE]]-TAX_CERTIFICATE[[#This Row],[ENDING PERIOD COST VALUE]]</f>
        <v>3000</v>
      </c>
      <c r="J34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4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4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4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44" s="6">
        <f>TAX_CERTIFICATE[[#This Row],[TOTAL ADDITION AT COST DURING THE PERIOD]]-TAX_CERTIFICATE[[#This Row],[TOTAL REDEMPTION AT COST DURING THE PERIOD]]</f>
        <v>0</v>
      </c>
      <c r="O34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44" s="6"/>
      <c r="Q344" s="6"/>
      <c r="R344" s="6"/>
    </row>
    <row r="345" spans="1:18">
      <c r="A345" t="s">
        <v>613</v>
      </c>
      <c r="B34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4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45" s="6">
        <f>TAX_CERTIFICATE[[#This Row],[BEGINNING PERIOD UNITS]]*$AA$2</f>
        <v>0</v>
      </c>
      <c r="E345" s="6">
        <f>TAX_CERTIFICATE[[#This Row],[BEGINNING PERIOD MARKET VALUE]]-TAX_CERTIFICATE[[#This Row],[BEGINNING PERIOD COST VALUE]]</f>
        <v>0</v>
      </c>
      <c r="F34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4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45" s="6">
        <f>TAX_CERTIFICATE[[#This Row],[ENDING PERIOD UNITS]]*$AA$3</f>
        <v>0</v>
      </c>
      <c r="I345" s="6">
        <f>TAX_CERTIFICATE[[#This Row],[ENDING PERIOD MARKET VALUE]]-TAX_CERTIFICATE[[#This Row],[ENDING PERIOD COST VALUE]]</f>
        <v>0</v>
      </c>
      <c r="J34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4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4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4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45" s="6">
        <f>TAX_CERTIFICATE[[#This Row],[TOTAL ADDITION AT COST DURING THE PERIOD]]-TAX_CERTIFICATE[[#This Row],[TOTAL REDEMPTION AT COST DURING THE PERIOD]]</f>
        <v>0</v>
      </c>
      <c r="O34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45" s="6"/>
      <c r="Q345" s="6"/>
      <c r="R345" s="6"/>
    </row>
    <row r="346" spans="1:18">
      <c r="A346" t="s">
        <v>639</v>
      </c>
      <c r="B346" s="2">
        <f>SUMIFS(LS[Unit],LS[Investor ID],TAX_CERTIFICATE[[#This Row],[INVESTOR CODE]],LS[Date Value],"&lt;"&amp;$Z$2)+SUMIFS(SIP[Unit],SIP[Investor ID],TAX_CERTIFICATE[[#This Row],[INVESTOR CODE]],SIP[Date Value],"&lt;"&amp;$Z$2)</f>
        <v>200000</v>
      </c>
      <c r="C34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2000000</v>
      </c>
      <c r="D346" s="6">
        <f>TAX_CERTIFICATE[[#This Row],[BEGINNING PERIOD UNITS]]*$AA$2</f>
        <v>1994000.0000000002</v>
      </c>
      <c r="E346" s="6">
        <f>TAX_CERTIFICATE[[#This Row],[BEGINNING PERIOD MARKET VALUE]]-TAX_CERTIFICATE[[#This Row],[BEGINNING PERIOD COST VALUE]]</f>
        <v>-5999.9999999997672</v>
      </c>
      <c r="F346" s="33">
        <f>SUMIFS(LS[Unit],LS[Investor ID],TAX_CERTIFICATE[[#This Row],[INVESTOR CODE]],LS[Date Value],"&lt;="&amp;$Z$3)+SUMIFS(SIP[Unit],SIP[Investor ID],TAX_CERTIFICATE[[#This Row],[INVESTOR CODE]],SIP[Date Value],"&lt;="&amp;$Z$3)</f>
        <v>200000</v>
      </c>
      <c r="G34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2000000</v>
      </c>
      <c r="H346" s="6">
        <f>TAX_CERTIFICATE[[#This Row],[ENDING PERIOD UNITS]]*$AA$3</f>
        <v>1988800.0000000002</v>
      </c>
      <c r="I346" s="6">
        <f>TAX_CERTIFICATE[[#This Row],[ENDING PERIOD MARKET VALUE]]-TAX_CERTIFICATE[[#This Row],[ENDING PERIOD COST VALUE]]</f>
        <v>-11199.999999999767</v>
      </c>
      <c r="J34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4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4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4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46" s="6">
        <f>TAX_CERTIFICATE[[#This Row],[TOTAL ADDITION AT COST DURING THE PERIOD]]-TAX_CERTIFICATE[[#This Row],[TOTAL REDEMPTION AT COST DURING THE PERIOD]]</f>
        <v>0</v>
      </c>
      <c r="O34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46" s="6"/>
      <c r="Q346" s="6"/>
      <c r="R346" s="6"/>
    </row>
    <row r="347" spans="1:18">
      <c r="A347" t="s">
        <v>641</v>
      </c>
      <c r="B347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34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347" s="6">
        <f>TAX_CERTIFICATE[[#This Row],[BEGINNING PERIOD UNITS]]*$AA$2</f>
        <v>997000.00000000012</v>
      </c>
      <c r="E347" s="6">
        <f>TAX_CERTIFICATE[[#This Row],[BEGINNING PERIOD MARKET VALUE]]-TAX_CERTIFICATE[[#This Row],[BEGINNING PERIOD COST VALUE]]</f>
        <v>-2999.9999999998836</v>
      </c>
      <c r="F347" s="33">
        <f>SUMIFS(LS[Unit],LS[Investor ID],TAX_CERTIFICATE[[#This Row],[INVESTOR CODE]],LS[Date Value],"&lt;="&amp;$Z$3)+SUMIFS(SIP[Unit],SIP[Investor ID],TAX_CERTIFICATE[[#This Row],[INVESTOR CODE]],SIP[Date Value],"&lt;="&amp;$Z$3)</f>
        <v>100000</v>
      </c>
      <c r="G34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1000000</v>
      </c>
      <c r="H347" s="6">
        <f>TAX_CERTIFICATE[[#This Row],[ENDING PERIOD UNITS]]*$AA$3</f>
        <v>994400.00000000012</v>
      </c>
      <c r="I347" s="6">
        <f>TAX_CERTIFICATE[[#This Row],[ENDING PERIOD MARKET VALUE]]-TAX_CERTIFICATE[[#This Row],[ENDING PERIOD COST VALUE]]</f>
        <v>-5599.9999999998836</v>
      </c>
      <c r="J34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4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4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4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47" s="6">
        <f>TAX_CERTIFICATE[[#This Row],[TOTAL ADDITION AT COST DURING THE PERIOD]]-TAX_CERTIFICATE[[#This Row],[TOTAL REDEMPTION AT COST DURING THE PERIOD]]</f>
        <v>0</v>
      </c>
      <c r="O34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47" s="6"/>
      <c r="Q347" s="6"/>
      <c r="R347" s="6"/>
    </row>
    <row r="348" spans="1:18">
      <c r="A348" t="s">
        <v>643</v>
      </c>
      <c r="B348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34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348" s="6">
        <f>TAX_CERTIFICATE[[#This Row],[BEGINNING PERIOD UNITS]]*$AA$2</f>
        <v>997000.00000000012</v>
      </c>
      <c r="E348" s="6">
        <f>TAX_CERTIFICATE[[#This Row],[BEGINNING PERIOD MARKET VALUE]]-TAX_CERTIFICATE[[#This Row],[BEGINNING PERIOD COST VALUE]]</f>
        <v>-2999.9999999998836</v>
      </c>
      <c r="F348" s="33">
        <f>SUMIFS(LS[Unit],LS[Investor ID],TAX_CERTIFICATE[[#This Row],[INVESTOR CODE]],LS[Date Value],"&lt;="&amp;$Z$3)+SUMIFS(SIP[Unit],SIP[Investor ID],TAX_CERTIFICATE[[#This Row],[INVESTOR CODE]],SIP[Date Value],"&lt;="&amp;$Z$3)</f>
        <v>100000</v>
      </c>
      <c r="G34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1000000</v>
      </c>
      <c r="H348" s="6">
        <f>TAX_CERTIFICATE[[#This Row],[ENDING PERIOD UNITS]]*$AA$3</f>
        <v>994400.00000000012</v>
      </c>
      <c r="I348" s="6">
        <f>TAX_CERTIFICATE[[#This Row],[ENDING PERIOD MARKET VALUE]]-TAX_CERTIFICATE[[#This Row],[ENDING PERIOD COST VALUE]]</f>
        <v>-5599.9999999998836</v>
      </c>
      <c r="J34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4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4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4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48" s="6">
        <f>TAX_CERTIFICATE[[#This Row],[TOTAL ADDITION AT COST DURING THE PERIOD]]-TAX_CERTIFICATE[[#This Row],[TOTAL REDEMPTION AT COST DURING THE PERIOD]]</f>
        <v>0</v>
      </c>
      <c r="O34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48" s="6"/>
      <c r="Q348" s="6"/>
      <c r="R348" s="6"/>
    </row>
    <row r="349" spans="1:18">
      <c r="A349" t="s">
        <v>645</v>
      </c>
      <c r="B349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34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349" s="6">
        <f>TAX_CERTIFICATE[[#This Row],[BEGINNING PERIOD UNITS]]*$AA$2</f>
        <v>997000.00000000012</v>
      </c>
      <c r="E349" s="6">
        <f>TAX_CERTIFICATE[[#This Row],[BEGINNING PERIOD MARKET VALUE]]-TAX_CERTIFICATE[[#This Row],[BEGINNING PERIOD COST VALUE]]</f>
        <v>-2999.9999999998836</v>
      </c>
      <c r="F349" s="33">
        <f>SUMIFS(LS[Unit],LS[Investor ID],TAX_CERTIFICATE[[#This Row],[INVESTOR CODE]],LS[Date Value],"&lt;="&amp;$Z$3)+SUMIFS(SIP[Unit],SIP[Investor ID],TAX_CERTIFICATE[[#This Row],[INVESTOR CODE]],SIP[Date Value],"&lt;="&amp;$Z$3)</f>
        <v>100000</v>
      </c>
      <c r="G34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1000000</v>
      </c>
      <c r="H349" s="6">
        <f>TAX_CERTIFICATE[[#This Row],[ENDING PERIOD UNITS]]*$AA$3</f>
        <v>994400.00000000012</v>
      </c>
      <c r="I349" s="6">
        <f>TAX_CERTIFICATE[[#This Row],[ENDING PERIOD MARKET VALUE]]-TAX_CERTIFICATE[[#This Row],[ENDING PERIOD COST VALUE]]</f>
        <v>-5599.9999999998836</v>
      </c>
      <c r="J34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4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4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4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49" s="6">
        <f>TAX_CERTIFICATE[[#This Row],[TOTAL ADDITION AT COST DURING THE PERIOD]]-TAX_CERTIFICATE[[#This Row],[TOTAL REDEMPTION AT COST DURING THE PERIOD]]</f>
        <v>0</v>
      </c>
      <c r="O34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49" s="6"/>
      <c r="Q349" s="6"/>
      <c r="R349" s="6"/>
    </row>
    <row r="350" spans="1:18">
      <c r="A350" t="s">
        <v>647</v>
      </c>
      <c r="B350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35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350" s="6">
        <f>TAX_CERTIFICATE[[#This Row],[BEGINNING PERIOD UNITS]]*$AA$2</f>
        <v>997000.00000000012</v>
      </c>
      <c r="E350" s="6">
        <f>TAX_CERTIFICATE[[#This Row],[BEGINNING PERIOD MARKET VALUE]]-TAX_CERTIFICATE[[#This Row],[BEGINNING PERIOD COST VALUE]]</f>
        <v>-2999.9999999998836</v>
      </c>
      <c r="F350" s="33">
        <f>SUMIFS(LS[Unit],LS[Investor ID],TAX_CERTIFICATE[[#This Row],[INVESTOR CODE]],LS[Date Value],"&lt;="&amp;$Z$3)+SUMIFS(SIP[Unit],SIP[Investor ID],TAX_CERTIFICATE[[#This Row],[INVESTOR CODE]],SIP[Date Value],"&lt;="&amp;$Z$3)</f>
        <v>102284</v>
      </c>
      <c r="G35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1022500</v>
      </c>
      <c r="H350" s="6">
        <f>TAX_CERTIFICATE[[#This Row],[ENDING PERIOD UNITS]]*$AA$3</f>
        <v>1017112.0960000001</v>
      </c>
      <c r="I350" s="6">
        <f>TAX_CERTIFICATE[[#This Row],[ENDING PERIOD MARKET VALUE]]-TAX_CERTIFICATE[[#This Row],[ENDING PERIOD COST VALUE]]</f>
        <v>-5387.903999999864</v>
      </c>
      <c r="J35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2284</v>
      </c>
      <c r="K35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22500</v>
      </c>
      <c r="L35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5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50" s="6">
        <f>TAX_CERTIFICATE[[#This Row],[TOTAL ADDITION AT COST DURING THE PERIOD]]-TAX_CERTIFICATE[[#This Row],[TOTAL REDEMPTION AT COST DURING THE PERIOD]]</f>
        <v>22500</v>
      </c>
      <c r="O35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50" s="6"/>
      <c r="Q350" s="6"/>
      <c r="R350" s="6"/>
    </row>
    <row r="351" spans="1:18">
      <c r="A351" t="s">
        <v>649</v>
      </c>
      <c r="B351" s="2">
        <f>SUMIFS(LS[Unit],LS[Investor ID],TAX_CERTIFICATE[[#This Row],[INVESTOR CODE]],LS[Date Value],"&lt;"&amp;$Z$2)+SUMIFS(SIP[Unit],SIP[Investor ID],TAX_CERTIFICATE[[#This Row],[INVESTOR CODE]],SIP[Date Value],"&lt;"&amp;$Z$2)</f>
        <v>100000</v>
      </c>
      <c r="C35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</v>
      </c>
      <c r="D351" s="6">
        <f>TAX_CERTIFICATE[[#This Row],[BEGINNING PERIOD UNITS]]*$AA$2</f>
        <v>997000.00000000012</v>
      </c>
      <c r="E351" s="6">
        <f>TAX_CERTIFICATE[[#This Row],[BEGINNING PERIOD MARKET VALUE]]-TAX_CERTIFICATE[[#This Row],[BEGINNING PERIOD COST VALUE]]</f>
        <v>-2999.9999999998836</v>
      </c>
      <c r="F351" s="33">
        <f>SUMIFS(LS[Unit],LS[Investor ID],TAX_CERTIFICATE[[#This Row],[INVESTOR CODE]],LS[Date Value],"&lt;="&amp;$Z$3)+SUMIFS(SIP[Unit],SIP[Investor ID],TAX_CERTIFICATE[[#This Row],[INVESTOR CODE]],SIP[Date Value],"&lt;="&amp;$Z$3)</f>
        <v>100000</v>
      </c>
      <c r="G35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1000000</v>
      </c>
      <c r="H351" s="6">
        <f>TAX_CERTIFICATE[[#This Row],[ENDING PERIOD UNITS]]*$AA$3</f>
        <v>994400.00000000012</v>
      </c>
      <c r="I351" s="6">
        <f>TAX_CERTIFICATE[[#This Row],[ENDING PERIOD MARKET VALUE]]-TAX_CERTIFICATE[[#This Row],[ENDING PERIOD COST VALUE]]</f>
        <v>-5599.9999999998836</v>
      </c>
      <c r="J35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5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5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5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51" s="6">
        <f>TAX_CERTIFICATE[[#This Row],[TOTAL ADDITION AT COST DURING THE PERIOD]]-TAX_CERTIFICATE[[#This Row],[TOTAL REDEMPTION AT COST DURING THE PERIOD]]</f>
        <v>0</v>
      </c>
      <c r="O35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51" s="6"/>
      <c r="Q351" s="6"/>
      <c r="R351" s="6"/>
    </row>
    <row r="352" spans="1:18">
      <c r="A352" t="s">
        <v>651</v>
      </c>
      <c r="B352" s="2">
        <f>SUMIFS(LS[Unit],LS[Investor ID],TAX_CERTIFICATE[[#This Row],[INVESTOR CODE]],LS[Date Value],"&lt;"&amp;$Z$2)+SUMIFS(SIP[Unit],SIP[Investor ID],TAX_CERTIFICATE[[#This Row],[INVESTOR CODE]],SIP[Date Value],"&lt;"&amp;$Z$2)</f>
        <v>10000</v>
      </c>
      <c r="C35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</v>
      </c>
      <c r="D352" s="6">
        <f>TAX_CERTIFICATE[[#This Row],[BEGINNING PERIOD UNITS]]*$AA$2</f>
        <v>99700</v>
      </c>
      <c r="E352" s="6">
        <f>TAX_CERTIFICATE[[#This Row],[BEGINNING PERIOD MARKET VALUE]]-TAX_CERTIFICATE[[#This Row],[BEGINNING PERIOD COST VALUE]]</f>
        <v>-300</v>
      </c>
      <c r="F35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5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52" s="6">
        <f>TAX_CERTIFICATE[[#This Row],[ENDING PERIOD UNITS]]*$AA$3</f>
        <v>0</v>
      </c>
      <c r="I352" s="6">
        <f>TAX_CERTIFICATE[[#This Row],[ENDING PERIOD MARKET VALUE]]-TAX_CERTIFICATE[[#This Row],[ENDING PERIOD COST VALUE]]</f>
        <v>0</v>
      </c>
      <c r="J35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5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5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10000</v>
      </c>
      <c r="M35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100000</v>
      </c>
      <c r="N352" s="6">
        <f>TAX_CERTIFICATE[[#This Row],[TOTAL ADDITION AT COST DURING THE PERIOD]]-TAX_CERTIFICATE[[#This Row],[TOTAL REDEMPTION AT COST DURING THE PERIOD]]</f>
        <v>-100000</v>
      </c>
      <c r="O35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3100.000000000005</v>
      </c>
      <c r="P352" s="6"/>
      <c r="Q352" s="6"/>
      <c r="R352" s="6"/>
    </row>
    <row r="353" spans="1:18">
      <c r="A353" t="s">
        <v>653</v>
      </c>
      <c r="B353" s="2">
        <f>SUMIFS(LS[Unit],LS[Investor ID],TAX_CERTIFICATE[[#This Row],[INVESTOR CODE]],LS[Date Value],"&lt;"&amp;$Z$2)+SUMIFS(SIP[Unit],SIP[Investor ID],TAX_CERTIFICATE[[#This Row],[INVESTOR CODE]],SIP[Date Value],"&lt;"&amp;$Z$2)</f>
        <v>600000</v>
      </c>
      <c r="C35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6023000</v>
      </c>
      <c r="D353" s="6">
        <f>TAX_CERTIFICATE[[#This Row],[BEGINNING PERIOD UNITS]]*$AA$2</f>
        <v>5982000</v>
      </c>
      <c r="E353" s="6">
        <f>TAX_CERTIFICATE[[#This Row],[BEGINNING PERIOD MARKET VALUE]]-TAX_CERTIFICATE[[#This Row],[BEGINNING PERIOD COST VALUE]]</f>
        <v>-41000</v>
      </c>
      <c r="F353" s="33">
        <f>SUMIFS(LS[Unit],LS[Investor ID],TAX_CERTIFICATE[[#This Row],[INVESTOR CODE]],LS[Date Value],"&lt;="&amp;$Z$3)+SUMIFS(SIP[Unit],SIP[Investor ID],TAX_CERTIFICATE[[#This Row],[INVESTOR CODE]],SIP[Date Value],"&lt;="&amp;$Z$3)</f>
        <v>615225</v>
      </c>
      <c r="G35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6173000</v>
      </c>
      <c r="H353" s="6">
        <f>TAX_CERTIFICATE[[#This Row],[ENDING PERIOD UNITS]]*$AA$3</f>
        <v>6117797.4000000004</v>
      </c>
      <c r="I353" s="6">
        <f>TAX_CERTIFICATE[[#This Row],[ENDING PERIOD MARKET VALUE]]-TAX_CERTIFICATE[[#This Row],[ENDING PERIOD COST VALUE]]</f>
        <v>-55202.599999999627</v>
      </c>
      <c r="J35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15225</v>
      </c>
      <c r="K35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150000</v>
      </c>
      <c r="L35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5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53" s="6">
        <f>TAX_CERTIFICATE[[#This Row],[TOTAL ADDITION AT COST DURING THE PERIOD]]-TAX_CERTIFICATE[[#This Row],[TOTAL REDEMPTION AT COST DURING THE PERIOD]]</f>
        <v>150000</v>
      </c>
      <c r="O35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53" s="6"/>
      <c r="Q353" s="6"/>
      <c r="R353" s="6"/>
    </row>
    <row r="354" spans="1:18">
      <c r="A354" t="s">
        <v>655</v>
      </c>
      <c r="B354" s="2">
        <f>SUMIFS(LS[Unit],LS[Investor ID],TAX_CERTIFICATE[[#This Row],[INVESTOR CODE]],LS[Date Value],"&lt;"&amp;$Z$2)+SUMIFS(SIP[Unit],SIP[Investor ID],TAX_CERTIFICATE[[#This Row],[INVESTOR CODE]],SIP[Date Value],"&lt;"&amp;$Z$2)</f>
        <v>2500000</v>
      </c>
      <c r="C35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25000000</v>
      </c>
      <c r="D354" s="6">
        <f>TAX_CERTIFICATE[[#This Row],[BEGINNING PERIOD UNITS]]*$AA$2</f>
        <v>24925000</v>
      </c>
      <c r="E354" s="6">
        <f>TAX_CERTIFICATE[[#This Row],[BEGINNING PERIOD MARKET VALUE]]-TAX_CERTIFICATE[[#This Row],[BEGINNING PERIOD COST VALUE]]</f>
        <v>-75000</v>
      </c>
      <c r="F354" s="33">
        <f>SUMIFS(LS[Unit],LS[Investor ID],TAX_CERTIFICATE[[#This Row],[INVESTOR CODE]],LS[Date Value],"&lt;="&amp;$Z$3)+SUMIFS(SIP[Unit],SIP[Investor ID],TAX_CERTIFICATE[[#This Row],[INVESTOR CODE]],SIP[Date Value],"&lt;="&amp;$Z$3)</f>
        <v>2250000</v>
      </c>
      <c r="G35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22500000</v>
      </c>
      <c r="H354" s="6">
        <f>TAX_CERTIFICATE[[#This Row],[ENDING PERIOD UNITS]]*$AA$3</f>
        <v>22374000.000000004</v>
      </c>
      <c r="I354" s="6">
        <f>TAX_CERTIFICATE[[#This Row],[ENDING PERIOD MARKET VALUE]]-TAX_CERTIFICATE[[#This Row],[ENDING PERIOD COST VALUE]]</f>
        <v>-125999.99999999627</v>
      </c>
      <c r="J35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5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5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250000</v>
      </c>
      <c r="M35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2500000</v>
      </c>
      <c r="N354" s="6">
        <f>TAX_CERTIFICATE[[#This Row],[TOTAL ADDITION AT COST DURING THE PERIOD]]-TAX_CERTIFICATE[[#This Row],[TOTAL REDEMPTION AT COST DURING THE PERIOD]]</f>
        <v>-2500000</v>
      </c>
      <c r="O35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68999.999999999956</v>
      </c>
      <c r="P354" s="6"/>
      <c r="Q354" s="6"/>
      <c r="R354" s="6"/>
    </row>
    <row r="355" spans="1:18">
      <c r="A355" t="s">
        <v>657</v>
      </c>
      <c r="B355" s="2">
        <f>SUMIFS(LS[Unit],LS[Investor ID],TAX_CERTIFICATE[[#This Row],[INVESTOR CODE]],LS[Date Value],"&lt;"&amp;$Z$2)+SUMIFS(SIP[Unit],SIP[Investor ID],TAX_CERTIFICATE[[#This Row],[INVESTOR CODE]],SIP[Date Value],"&lt;"&amp;$Z$2)</f>
        <v>1000000</v>
      </c>
      <c r="C35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10000000</v>
      </c>
      <c r="D355" s="6">
        <f>TAX_CERTIFICATE[[#This Row],[BEGINNING PERIOD UNITS]]*$AA$2</f>
        <v>9970000</v>
      </c>
      <c r="E355" s="6">
        <f>TAX_CERTIFICATE[[#This Row],[BEGINNING PERIOD MARKET VALUE]]-TAX_CERTIFICATE[[#This Row],[BEGINNING PERIOD COST VALUE]]</f>
        <v>-30000</v>
      </c>
      <c r="F355" s="33">
        <f>SUMIFS(LS[Unit],LS[Investor ID],TAX_CERTIFICATE[[#This Row],[INVESTOR CODE]],LS[Date Value],"&lt;="&amp;$Z$3)+SUMIFS(SIP[Unit],SIP[Investor ID],TAX_CERTIFICATE[[#This Row],[INVESTOR CODE]],SIP[Date Value],"&lt;="&amp;$Z$3)</f>
        <v>1000000</v>
      </c>
      <c r="G35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10000000</v>
      </c>
      <c r="H355" s="6">
        <f>TAX_CERTIFICATE[[#This Row],[ENDING PERIOD UNITS]]*$AA$3</f>
        <v>9944000</v>
      </c>
      <c r="I355" s="6">
        <f>TAX_CERTIFICATE[[#This Row],[ENDING PERIOD MARKET VALUE]]-TAX_CERTIFICATE[[#This Row],[ENDING PERIOD COST VALUE]]</f>
        <v>-56000</v>
      </c>
      <c r="J35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5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5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5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55" s="6">
        <f>TAX_CERTIFICATE[[#This Row],[TOTAL ADDITION AT COST DURING THE PERIOD]]-TAX_CERTIFICATE[[#This Row],[TOTAL REDEMPTION AT COST DURING THE PERIOD]]</f>
        <v>0</v>
      </c>
      <c r="O35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55" s="6"/>
      <c r="Q355" s="6"/>
      <c r="R355" s="6"/>
    </row>
    <row r="356" spans="1:18">
      <c r="A356" t="s">
        <v>659</v>
      </c>
      <c r="B356" s="2">
        <f>SUMIFS(LS[Unit],LS[Investor ID],TAX_CERTIFICATE[[#This Row],[INVESTOR CODE]],LS[Date Value],"&lt;"&amp;$Z$2)+SUMIFS(SIP[Unit],SIP[Investor ID],TAX_CERTIFICATE[[#This Row],[INVESTOR CODE]],SIP[Date Value],"&lt;"&amp;$Z$2)</f>
        <v>450000</v>
      </c>
      <c r="C35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4500000</v>
      </c>
      <c r="D356" s="6">
        <f>TAX_CERTIFICATE[[#This Row],[BEGINNING PERIOD UNITS]]*$AA$2</f>
        <v>4486500</v>
      </c>
      <c r="E356" s="6">
        <f>TAX_CERTIFICATE[[#This Row],[BEGINNING PERIOD MARKET VALUE]]-TAX_CERTIFICATE[[#This Row],[BEGINNING PERIOD COST VALUE]]</f>
        <v>-13500</v>
      </c>
      <c r="F35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5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56" s="6">
        <f>TAX_CERTIFICATE[[#This Row],[ENDING PERIOD UNITS]]*$AA$3</f>
        <v>0</v>
      </c>
      <c r="I356" s="6">
        <f>TAX_CERTIFICATE[[#This Row],[ENDING PERIOD MARKET VALUE]]-TAX_CERTIFICATE[[#This Row],[ENDING PERIOD COST VALUE]]</f>
        <v>0</v>
      </c>
      <c r="J35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5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5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450000</v>
      </c>
      <c r="M35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4500000</v>
      </c>
      <c r="N356" s="6">
        <f>TAX_CERTIFICATE[[#This Row],[TOTAL ADDITION AT COST DURING THE PERIOD]]-TAX_CERTIFICATE[[#This Row],[TOTAL REDEMPTION AT COST DURING THE PERIOD]]</f>
        <v>-4500000</v>
      </c>
      <c r="O35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95849.999999999636</v>
      </c>
      <c r="P356" s="6"/>
      <c r="Q356" s="6"/>
      <c r="R356" s="6"/>
    </row>
    <row r="357" spans="1:18">
      <c r="A357" t="s">
        <v>661</v>
      </c>
      <c r="B357" s="2">
        <f>SUMIFS(LS[Unit],LS[Investor ID],TAX_CERTIFICATE[[#This Row],[INVESTOR CODE]],LS[Date Value],"&lt;"&amp;$Z$2)+SUMIFS(SIP[Unit],SIP[Investor ID],TAX_CERTIFICATE[[#This Row],[INVESTOR CODE]],SIP[Date Value],"&lt;"&amp;$Z$2)</f>
        <v>50000</v>
      </c>
      <c r="C35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500000</v>
      </c>
      <c r="D357" s="6">
        <f>TAX_CERTIFICATE[[#This Row],[BEGINNING PERIOD UNITS]]*$AA$2</f>
        <v>498500.00000000006</v>
      </c>
      <c r="E357" s="6">
        <f>TAX_CERTIFICATE[[#This Row],[BEGINNING PERIOD MARKET VALUE]]-TAX_CERTIFICATE[[#This Row],[BEGINNING PERIOD COST VALUE]]</f>
        <v>-1499.9999999999418</v>
      </c>
      <c r="F35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5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57" s="6">
        <f>TAX_CERTIFICATE[[#This Row],[ENDING PERIOD UNITS]]*$AA$3</f>
        <v>0</v>
      </c>
      <c r="I357" s="6">
        <f>TAX_CERTIFICATE[[#This Row],[ENDING PERIOD MARKET VALUE]]-TAX_CERTIFICATE[[#This Row],[ENDING PERIOD COST VALUE]]</f>
        <v>0</v>
      </c>
      <c r="J35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5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5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50000</v>
      </c>
      <c r="M35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500000</v>
      </c>
      <c r="N357" s="6">
        <f>TAX_CERTIFICATE[[#This Row],[TOTAL ADDITION AT COST DURING THE PERIOD]]-TAX_CERTIFICATE[[#This Row],[TOTAL REDEMPTION AT COST DURING THE PERIOD]]</f>
        <v>-500000</v>
      </c>
      <c r="O35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10649.99999999996</v>
      </c>
      <c r="P357" s="6"/>
      <c r="Q357" s="6"/>
      <c r="R357" s="6"/>
    </row>
    <row r="358" spans="1:18">
      <c r="A358" t="s">
        <v>663</v>
      </c>
      <c r="B35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5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58" s="6">
        <f>TAX_CERTIFICATE[[#This Row],[BEGINNING PERIOD UNITS]]*$AA$2</f>
        <v>0</v>
      </c>
      <c r="E358" s="6">
        <f>TAX_CERTIFICATE[[#This Row],[BEGINNING PERIOD MARKET VALUE]]-TAX_CERTIFICATE[[#This Row],[BEGINNING PERIOD COST VALUE]]</f>
        <v>0</v>
      </c>
      <c r="F35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5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58" s="6">
        <f>TAX_CERTIFICATE[[#This Row],[ENDING PERIOD UNITS]]*$AA$3</f>
        <v>0</v>
      </c>
      <c r="I358" s="6">
        <f>TAX_CERTIFICATE[[#This Row],[ENDING PERIOD MARKET VALUE]]-TAX_CERTIFICATE[[#This Row],[ENDING PERIOD COST VALUE]]</f>
        <v>0</v>
      </c>
      <c r="J35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5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5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5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58" s="6">
        <f>TAX_CERTIFICATE[[#This Row],[TOTAL ADDITION AT COST DURING THE PERIOD]]-TAX_CERTIFICATE[[#This Row],[TOTAL REDEMPTION AT COST DURING THE PERIOD]]</f>
        <v>0</v>
      </c>
      <c r="O35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58" s="6"/>
      <c r="Q358" s="6"/>
      <c r="R358" s="6"/>
    </row>
    <row r="359" spans="1:18">
      <c r="A359" t="s">
        <v>665</v>
      </c>
      <c r="B35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5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59" s="6">
        <f>TAX_CERTIFICATE[[#This Row],[BEGINNING PERIOD UNITS]]*$AA$2</f>
        <v>0</v>
      </c>
      <c r="E359" s="6">
        <f>TAX_CERTIFICATE[[#This Row],[BEGINNING PERIOD MARKET VALUE]]-TAX_CERTIFICATE[[#This Row],[BEGINNING PERIOD COST VALUE]]</f>
        <v>0</v>
      </c>
      <c r="F35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5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59" s="6">
        <f>TAX_CERTIFICATE[[#This Row],[ENDING PERIOD UNITS]]*$AA$3</f>
        <v>0</v>
      </c>
      <c r="I359" s="6">
        <f>TAX_CERTIFICATE[[#This Row],[ENDING PERIOD MARKET VALUE]]-TAX_CERTIFICATE[[#This Row],[ENDING PERIOD COST VALUE]]</f>
        <v>0</v>
      </c>
      <c r="J35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5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5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5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59" s="6">
        <f>TAX_CERTIFICATE[[#This Row],[TOTAL ADDITION AT COST DURING THE PERIOD]]-TAX_CERTIFICATE[[#This Row],[TOTAL REDEMPTION AT COST DURING THE PERIOD]]</f>
        <v>0</v>
      </c>
      <c r="O35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59" s="6"/>
      <c r="Q359" s="6"/>
      <c r="R359" s="6"/>
    </row>
    <row r="360" spans="1:18">
      <c r="A360" t="s">
        <v>667</v>
      </c>
      <c r="B360" s="2">
        <f>SUMIFS(LS[Unit],LS[Investor ID],TAX_CERTIFICATE[[#This Row],[INVESTOR CODE]],LS[Date Value],"&lt;"&amp;$Z$2)+SUMIFS(SIP[Unit],SIP[Investor ID],TAX_CERTIFICATE[[#This Row],[INVESTOR CODE]],SIP[Date Value],"&lt;"&amp;$Z$2)</f>
        <v>50000</v>
      </c>
      <c r="C36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500000</v>
      </c>
      <c r="D360" s="6">
        <f>TAX_CERTIFICATE[[#This Row],[BEGINNING PERIOD UNITS]]*$AA$2</f>
        <v>498500.00000000006</v>
      </c>
      <c r="E360" s="6">
        <f>TAX_CERTIFICATE[[#This Row],[BEGINNING PERIOD MARKET VALUE]]-TAX_CERTIFICATE[[#This Row],[BEGINNING PERIOD COST VALUE]]</f>
        <v>-1499.9999999999418</v>
      </c>
      <c r="F360" s="33">
        <f>SUMIFS(LS[Unit],LS[Investor ID],TAX_CERTIFICATE[[#This Row],[INVESTOR CODE]],LS[Date Value],"&lt;="&amp;$Z$3)+SUMIFS(SIP[Unit],SIP[Investor ID],TAX_CERTIFICATE[[#This Row],[INVESTOR CODE]],SIP[Date Value],"&lt;="&amp;$Z$3)</f>
        <v>50000</v>
      </c>
      <c r="G36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500000</v>
      </c>
      <c r="H360" s="6">
        <f>TAX_CERTIFICATE[[#This Row],[ENDING PERIOD UNITS]]*$AA$3</f>
        <v>497200.00000000006</v>
      </c>
      <c r="I360" s="6">
        <f>TAX_CERTIFICATE[[#This Row],[ENDING PERIOD MARKET VALUE]]-TAX_CERTIFICATE[[#This Row],[ENDING PERIOD COST VALUE]]</f>
        <v>-2799.9999999999418</v>
      </c>
      <c r="J36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6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6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6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60" s="6">
        <f>TAX_CERTIFICATE[[#This Row],[TOTAL ADDITION AT COST DURING THE PERIOD]]-TAX_CERTIFICATE[[#This Row],[TOTAL REDEMPTION AT COST DURING THE PERIOD]]</f>
        <v>0</v>
      </c>
      <c r="O36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60" s="6"/>
      <c r="Q360" s="6"/>
      <c r="R360" s="6"/>
    </row>
    <row r="361" spans="1:18">
      <c r="A361" t="s">
        <v>669</v>
      </c>
      <c r="B36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6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61" s="6">
        <f>TAX_CERTIFICATE[[#This Row],[BEGINNING PERIOD UNITS]]*$AA$2</f>
        <v>0</v>
      </c>
      <c r="E361" s="6">
        <f>TAX_CERTIFICATE[[#This Row],[BEGINNING PERIOD MARKET VALUE]]-TAX_CERTIFICATE[[#This Row],[BEGINNING PERIOD COST VALUE]]</f>
        <v>0</v>
      </c>
      <c r="F36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6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61" s="6">
        <f>TAX_CERTIFICATE[[#This Row],[ENDING PERIOD UNITS]]*$AA$3</f>
        <v>0</v>
      </c>
      <c r="I361" s="6">
        <f>TAX_CERTIFICATE[[#This Row],[ENDING PERIOD MARKET VALUE]]-TAX_CERTIFICATE[[#This Row],[ENDING PERIOD COST VALUE]]</f>
        <v>0</v>
      </c>
      <c r="J36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6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6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6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61" s="6">
        <f>TAX_CERTIFICATE[[#This Row],[TOTAL ADDITION AT COST DURING THE PERIOD]]-TAX_CERTIFICATE[[#This Row],[TOTAL REDEMPTION AT COST DURING THE PERIOD]]</f>
        <v>0</v>
      </c>
      <c r="O36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61" s="6"/>
      <c r="Q361" s="6"/>
      <c r="R361" s="6"/>
    </row>
    <row r="362" spans="1:18">
      <c r="A362" t="s">
        <v>671</v>
      </c>
      <c r="B362" s="2">
        <f>SUMIFS(LS[Unit],LS[Investor ID],TAX_CERTIFICATE[[#This Row],[INVESTOR CODE]],LS[Date Value],"&lt;"&amp;$Z$2)+SUMIFS(SIP[Unit],SIP[Investor ID],TAX_CERTIFICATE[[#This Row],[INVESTOR CODE]],SIP[Date Value],"&lt;"&amp;$Z$2)</f>
        <v>2000</v>
      </c>
      <c r="C36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</v>
      </c>
      <c r="D362" s="6">
        <f>TAX_CERTIFICATE[[#This Row],[BEGINNING PERIOD UNITS]]*$AA$2</f>
        <v>19940</v>
      </c>
      <c r="E362" s="6">
        <f>TAX_CERTIFICATE[[#This Row],[BEGINNING PERIOD MARKET VALUE]]-TAX_CERTIFICATE[[#This Row],[BEGINNING PERIOD COST VALUE]]</f>
        <v>-60</v>
      </c>
      <c r="F362" s="33">
        <f>SUMIFS(LS[Unit],LS[Investor ID],TAX_CERTIFICATE[[#This Row],[INVESTOR CODE]],LS[Date Value],"&lt;="&amp;$Z$3)+SUMIFS(SIP[Unit],SIP[Investor ID],TAX_CERTIFICATE[[#This Row],[INVESTOR CODE]],SIP[Date Value],"&lt;="&amp;$Z$3)</f>
        <v>2000</v>
      </c>
      <c r="G36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20000</v>
      </c>
      <c r="H362" s="6">
        <f>TAX_CERTIFICATE[[#This Row],[ENDING PERIOD UNITS]]*$AA$3</f>
        <v>19888</v>
      </c>
      <c r="I362" s="6">
        <f>TAX_CERTIFICATE[[#This Row],[ENDING PERIOD MARKET VALUE]]-TAX_CERTIFICATE[[#This Row],[ENDING PERIOD COST VALUE]]</f>
        <v>-112</v>
      </c>
      <c r="J36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6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6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6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62" s="6">
        <f>TAX_CERTIFICATE[[#This Row],[TOTAL ADDITION AT COST DURING THE PERIOD]]-TAX_CERTIFICATE[[#This Row],[TOTAL REDEMPTION AT COST DURING THE PERIOD]]</f>
        <v>0</v>
      </c>
      <c r="O36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62" s="6"/>
      <c r="Q362" s="6"/>
      <c r="R362" s="6"/>
    </row>
    <row r="363" spans="1:18">
      <c r="A363" t="s">
        <v>673</v>
      </c>
      <c r="B363" s="2">
        <f>SUMIFS(LS[Unit],LS[Investor ID],TAX_CERTIFICATE[[#This Row],[INVESTOR CODE]],LS[Date Value],"&lt;"&amp;$Z$2)+SUMIFS(SIP[Unit],SIP[Investor ID],TAX_CERTIFICATE[[#This Row],[INVESTOR CODE]],SIP[Date Value],"&lt;"&amp;$Z$2)</f>
        <v>2000</v>
      </c>
      <c r="C36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</v>
      </c>
      <c r="D363" s="6">
        <f>TAX_CERTIFICATE[[#This Row],[BEGINNING PERIOD UNITS]]*$AA$2</f>
        <v>19940</v>
      </c>
      <c r="E363" s="6">
        <f>TAX_CERTIFICATE[[#This Row],[BEGINNING PERIOD MARKET VALUE]]-TAX_CERTIFICATE[[#This Row],[BEGINNING PERIOD COST VALUE]]</f>
        <v>-60</v>
      </c>
      <c r="F363" s="33">
        <f>SUMIFS(LS[Unit],LS[Investor ID],TAX_CERTIFICATE[[#This Row],[INVESTOR CODE]],LS[Date Value],"&lt;="&amp;$Z$3)+SUMIFS(SIP[Unit],SIP[Investor ID],TAX_CERTIFICATE[[#This Row],[INVESTOR CODE]],SIP[Date Value],"&lt;="&amp;$Z$3)</f>
        <v>2000</v>
      </c>
      <c r="G36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20000</v>
      </c>
      <c r="H363" s="6">
        <f>TAX_CERTIFICATE[[#This Row],[ENDING PERIOD UNITS]]*$AA$3</f>
        <v>19888</v>
      </c>
      <c r="I363" s="6">
        <f>TAX_CERTIFICATE[[#This Row],[ENDING PERIOD MARKET VALUE]]-TAX_CERTIFICATE[[#This Row],[ENDING PERIOD COST VALUE]]</f>
        <v>-112</v>
      </c>
      <c r="J36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6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6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6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63" s="6">
        <f>TAX_CERTIFICATE[[#This Row],[TOTAL ADDITION AT COST DURING THE PERIOD]]-TAX_CERTIFICATE[[#This Row],[TOTAL REDEMPTION AT COST DURING THE PERIOD]]</f>
        <v>0</v>
      </c>
      <c r="O36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63" s="6"/>
      <c r="Q363" s="6"/>
      <c r="R363" s="6"/>
    </row>
    <row r="364" spans="1:18">
      <c r="A364" t="s">
        <v>675</v>
      </c>
      <c r="B364" s="2">
        <f>SUMIFS(LS[Unit],LS[Investor ID],TAX_CERTIFICATE[[#This Row],[INVESTOR CODE]],LS[Date Value],"&lt;"&amp;$Z$2)+SUMIFS(SIP[Unit],SIP[Investor ID],TAX_CERTIFICATE[[#This Row],[INVESTOR CODE]],SIP[Date Value],"&lt;"&amp;$Z$2)</f>
        <v>2000</v>
      </c>
      <c r="C36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</v>
      </c>
      <c r="D364" s="6">
        <f>TAX_CERTIFICATE[[#This Row],[BEGINNING PERIOD UNITS]]*$AA$2</f>
        <v>19940</v>
      </c>
      <c r="E364" s="6">
        <f>TAX_CERTIFICATE[[#This Row],[BEGINNING PERIOD MARKET VALUE]]-TAX_CERTIFICATE[[#This Row],[BEGINNING PERIOD COST VALUE]]</f>
        <v>-60</v>
      </c>
      <c r="F364" s="33">
        <f>SUMIFS(LS[Unit],LS[Investor ID],TAX_CERTIFICATE[[#This Row],[INVESTOR CODE]],LS[Date Value],"&lt;="&amp;$Z$3)+SUMIFS(SIP[Unit],SIP[Investor ID],TAX_CERTIFICATE[[#This Row],[INVESTOR CODE]],SIP[Date Value],"&lt;="&amp;$Z$3)</f>
        <v>2000</v>
      </c>
      <c r="G36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20000</v>
      </c>
      <c r="H364" s="6">
        <f>TAX_CERTIFICATE[[#This Row],[ENDING PERIOD UNITS]]*$AA$3</f>
        <v>19888</v>
      </c>
      <c r="I364" s="6">
        <f>TAX_CERTIFICATE[[#This Row],[ENDING PERIOD MARKET VALUE]]-TAX_CERTIFICATE[[#This Row],[ENDING PERIOD COST VALUE]]</f>
        <v>-112</v>
      </c>
      <c r="J36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6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6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6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64" s="6">
        <f>TAX_CERTIFICATE[[#This Row],[TOTAL ADDITION AT COST DURING THE PERIOD]]-TAX_CERTIFICATE[[#This Row],[TOTAL REDEMPTION AT COST DURING THE PERIOD]]</f>
        <v>0</v>
      </c>
      <c r="O36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64" s="6"/>
      <c r="Q364" s="6"/>
      <c r="R364" s="6"/>
    </row>
    <row r="365" spans="1:18">
      <c r="A365" t="s">
        <v>677</v>
      </c>
      <c r="B365" s="2">
        <f>SUMIFS(LS[Unit],LS[Investor ID],TAX_CERTIFICATE[[#This Row],[INVESTOR CODE]],LS[Date Value],"&lt;"&amp;$Z$2)+SUMIFS(SIP[Unit],SIP[Investor ID],TAX_CERTIFICATE[[#This Row],[INVESTOR CODE]],SIP[Date Value],"&lt;"&amp;$Z$2)</f>
        <v>500000</v>
      </c>
      <c r="C36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5000000</v>
      </c>
      <c r="D365" s="6">
        <f>TAX_CERTIFICATE[[#This Row],[BEGINNING PERIOD UNITS]]*$AA$2</f>
        <v>4985000</v>
      </c>
      <c r="E365" s="6">
        <f>TAX_CERTIFICATE[[#This Row],[BEGINNING PERIOD MARKET VALUE]]-TAX_CERTIFICATE[[#This Row],[BEGINNING PERIOD COST VALUE]]</f>
        <v>-15000</v>
      </c>
      <c r="F365" s="33">
        <f>SUMIFS(LS[Unit],LS[Investor ID],TAX_CERTIFICATE[[#This Row],[INVESTOR CODE]],LS[Date Value],"&lt;="&amp;$Z$3)+SUMIFS(SIP[Unit],SIP[Investor ID],TAX_CERTIFICATE[[#This Row],[INVESTOR CODE]],SIP[Date Value],"&lt;="&amp;$Z$3)</f>
        <v>500000</v>
      </c>
      <c r="G36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5000000</v>
      </c>
      <c r="H365" s="6">
        <f>TAX_CERTIFICATE[[#This Row],[ENDING PERIOD UNITS]]*$AA$3</f>
        <v>4972000</v>
      </c>
      <c r="I365" s="6">
        <f>TAX_CERTIFICATE[[#This Row],[ENDING PERIOD MARKET VALUE]]-TAX_CERTIFICATE[[#This Row],[ENDING PERIOD COST VALUE]]</f>
        <v>-28000</v>
      </c>
      <c r="J36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6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6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6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65" s="6">
        <f>TAX_CERTIFICATE[[#This Row],[TOTAL ADDITION AT COST DURING THE PERIOD]]-TAX_CERTIFICATE[[#This Row],[TOTAL REDEMPTION AT COST DURING THE PERIOD]]</f>
        <v>0</v>
      </c>
      <c r="O36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65" s="6"/>
      <c r="Q365" s="6"/>
      <c r="R365" s="6"/>
    </row>
    <row r="366" spans="1:18">
      <c r="A366" t="s">
        <v>679</v>
      </c>
      <c r="B366" s="2">
        <f>SUMIFS(LS[Unit],LS[Investor ID],TAX_CERTIFICATE[[#This Row],[INVESTOR CODE]],LS[Date Value],"&lt;"&amp;$Z$2)+SUMIFS(SIP[Unit],SIP[Investor ID],TAX_CERTIFICATE[[#This Row],[INVESTOR CODE]],SIP[Date Value],"&lt;"&amp;$Z$2)</f>
        <v>14029</v>
      </c>
      <c r="C36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140290</v>
      </c>
      <c r="D366" s="6">
        <f>TAX_CERTIFICATE[[#This Row],[BEGINNING PERIOD UNITS]]*$AA$2</f>
        <v>139869.13</v>
      </c>
      <c r="E366" s="6">
        <f>TAX_CERTIFICATE[[#This Row],[BEGINNING PERIOD MARKET VALUE]]-TAX_CERTIFICATE[[#This Row],[BEGINNING PERIOD COST VALUE]]</f>
        <v>-420.86999999999534</v>
      </c>
      <c r="F366" s="33">
        <f>SUMIFS(LS[Unit],LS[Investor ID],TAX_CERTIFICATE[[#This Row],[INVESTOR CODE]],LS[Date Value],"&lt;="&amp;$Z$3)+SUMIFS(SIP[Unit],SIP[Investor ID],TAX_CERTIFICATE[[#This Row],[INVESTOR CODE]],SIP[Date Value],"&lt;="&amp;$Z$3)</f>
        <v>2348</v>
      </c>
      <c r="G36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23480</v>
      </c>
      <c r="H366" s="6">
        <f>TAX_CERTIFICATE[[#This Row],[ENDING PERIOD UNITS]]*$AA$3</f>
        <v>23348.512000000002</v>
      </c>
      <c r="I366" s="6">
        <f>TAX_CERTIFICATE[[#This Row],[ENDING PERIOD MARKET VALUE]]-TAX_CERTIFICATE[[#This Row],[ENDING PERIOD COST VALUE]]</f>
        <v>-131.48799999999756</v>
      </c>
      <c r="J36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6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6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11681</v>
      </c>
      <c r="M36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116810</v>
      </c>
      <c r="N366" s="6">
        <f>TAX_CERTIFICATE[[#This Row],[TOTAL ADDITION AT COST DURING THE PERIOD]]-TAX_CERTIFICATE[[#This Row],[TOTAL REDEMPTION AT COST DURING THE PERIOD]]</f>
        <v>-116810</v>
      </c>
      <c r="O36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3219.3800000000033</v>
      </c>
      <c r="P366" s="6"/>
      <c r="Q366" s="6"/>
      <c r="R366" s="6"/>
    </row>
    <row r="367" spans="1:18">
      <c r="A367" t="s">
        <v>680</v>
      </c>
      <c r="B36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6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67" s="6">
        <f>TAX_CERTIFICATE[[#This Row],[BEGINNING PERIOD UNITS]]*$AA$2</f>
        <v>0</v>
      </c>
      <c r="E367" s="6">
        <f>TAX_CERTIFICATE[[#This Row],[BEGINNING PERIOD MARKET VALUE]]-TAX_CERTIFICATE[[#This Row],[BEGINNING PERIOD COST VALUE]]</f>
        <v>0</v>
      </c>
      <c r="F36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6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67" s="6">
        <f>TAX_CERTIFICATE[[#This Row],[ENDING PERIOD UNITS]]*$AA$3</f>
        <v>0</v>
      </c>
      <c r="I367" s="6">
        <f>TAX_CERTIFICATE[[#This Row],[ENDING PERIOD MARKET VALUE]]-TAX_CERTIFICATE[[#This Row],[ENDING PERIOD COST VALUE]]</f>
        <v>0</v>
      </c>
      <c r="J36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6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6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6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67" s="6">
        <f>TAX_CERTIFICATE[[#This Row],[TOTAL ADDITION AT COST DURING THE PERIOD]]-TAX_CERTIFICATE[[#This Row],[TOTAL REDEMPTION AT COST DURING THE PERIOD]]</f>
        <v>0</v>
      </c>
      <c r="O36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67" s="6"/>
      <c r="Q367" s="6"/>
      <c r="R367" s="6"/>
    </row>
    <row r="368" spans="1:18">
      <c r="A368" t="s">
        <v>682</v>
      </c>
      <c r="B36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6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68" s="6">
        <f>TAX_CERTIFICATE[[#This Row],[BEGINNING PERIOD UNITS]]*$AA$2</f>
        <v>0</v>
      </c>
      <c r="E368" s="6">
        <f>TAX_CERTIFICATE[[#This Row],[BEGINNING PERIOD MARKET VALUE]]-TAX_CERTIFICATE[[#This Row],[BEGINNING PERIOD COST VALUE]]</f>
        <v>0</v>
      </c>
      <c r="F36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6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68" s="6">
        <f>TAX_CERTIFICATE[[#This Row],[ENDING PERIOD UNITS]]*$AA$3</f>
        <v>0</v>
      </c>
      <c r="I368" s="6">
        <f>TAX_CERTIFICATE[[#This Row],[ENDING PERIOD MARKET VALUE]]-TAX_CERTIFICATE[[#This Row],[ENDING PERIOD COST VALUE]]</f>
        <v>0</v>
      </c>
      <c r="J36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6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6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6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68" s="6">
        <f>TAX_CERTIFICATE[[#This Row],[TOTAL ADDITION AT COST DURING THE PERIOD]]-TAX_CERTIFICATE[[#This Row],[TOTAL REDEMPTION AT COST DURING THE PERIOD]]</f>
        <v>0</v>
      </c>
      <c r="O36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68" s="6"/>
      <c r="Q368" s="6"/>
      <c r="R368" s="6"/>
    </row>
    <row r="369" spans="1:18">
      <c r="A369" t="s">
        <v>684</v>
      </c>
      <c r="B369" s="2">
        <f>SUMIFS(LS[Unit],LS[Investor ID],TAX_CERTIFICATE[[#This Row],[INVESTOR CODE]],LS[Date Value],"&lt;"&amp;$Z$2)+SUMIFS(SIP[Unit],SIP[Investor ID],TAX_CERTIFICATE[[#This Row],[INVESTOR CODE]],SIP[Date Value],"&lt;"&amp;$Z$2)</f>
        <v>2000</v>
      </c>
      <c r="C36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</v>
      </c>
      <c r="D369" s="6">
        <f>TAX_CERTIFICATE[[#This Row],[BEGINNING PERIOD UNITS]]*$AA$2</f>
        <v>19940</v>
      </c>
      <c r="E369" s="6">
        <f>TAX_CERTIFICATE[[#This Row],[BEGINNING PERIOD MARKET VALUE]]-TAX_CERTIFICATE[[#This Row],[BEGINNING PERIOD COST VALUE]]</f>
        <v>-60</v>
      </c>
      <c r="F369" s="33">
        <f>SUMIFS(LS[Unit],LS[Investor ID],TAX_CERTIFICATE[[#This Row],[INVESTOR CODE]],LS[Date Value],"&lt;="&amp;$Z$3)+SUMIFS(SIP[Unit],SIP[Investor ID],TAX_CERTIFICATE[[#This Row],[INVESTOR CODE]],SIP[Date Value],"&lt;="&amp;$Z$3)</f>
        <v>167</v>
      </c>
      <c r="G36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1660</v>
      </c>
      <c r="H369" s="6">
        <f>TAX_CERTIFICATE[[#This Row],[ENDING PERIOD UNITS]]*$AA$3</f>
        <v>1660.6480000000001</v>
      </c>
      <c r="I369" s="6">
        <f>TAX_CERTIFICATE[[#This Row],[ENDING PERIOD MARKET VALUE]]-TAX_CERTIFICATE[[#This Row],[ENDING PERIOD COST VALUE]]</f>
        <v>0.64800000000013824</v>
      </c>
      <c r="J36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46</v>
      </c>
      <c r="K36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450</v>
      </c>
      <c r="L36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1879</v>
      </c>
      <c r="M36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18790</v>
      </c>
      <c r="N369" s="6">
        <f>TAX_CERTIFICATE[[#This Row],[TOTAL ADDITION AT COST DURING THE PERIOD]]-TAX_CERTIFICATE[[#This Row],[TOTAL REDEMPTION AT COST DURING THE PERIOD]]</f>
        <v>-18340</v>
      </c>
      <c r="O36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662.36000000000138</v>
      </c>
      <c r="P369" s="6"/>
      <c r="Q369" s="6"/>
      <c r="R369" s="6"/>
    </row>
    <row r="370" spans="1:18">
      <c r="A370" t="s">
        <v>686</v>
      </c>
      <c r="B370" s="2">
        <f>SUMIFS(LS[Unit],LS[Investor ID],TAX_CERTIFICATE[[#This Row],[INVESTOR CODE]],LS[Date Value],"&lt;"&amp;$Z$2)+SUMIFS(SIP[Unit],SIP[Investor ID],TAX_CERTIFICATE[[#This Row],[INVESTOR CODE]],SIP[Date Value],"&lt;"&amp;$Z$2)</f>
        <v>3111</v>
      </c>
      <c r="C37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31111</v>
      </c>
      <c r="D370" s="6">
        <f>TAX_CERTIFICATE[[#This Row],[BEGINNING PERIOD UNITS]]*$AA$2</f>
        <v>31016.670000000002</v>
      </c>
      <c r="E370" s="6">
        <f>TAX_CERTIFICATE[[#This Row],[BEGINNING PERIOD MARKET VALUE]]-TAX_CERTIFICATE[[#This Row],[BEGINNING PERIOD COST VALUE]]</f>
        <v>-94.329999999998108</v>
      </c>
      <c r="F370" s="33">
        <f>SUMIFS(LS[Unit],LS[Investor ID],TAX_CERTIFICATE[[#This Row],[INVESTOR CODE]],LS[Date Value],"&lt;="&amp;$Z$3)+SUMIFS(SIP[Unit],SIP[Investor ID],TAX_CERTIFICATE[[#This Row],[INVESTOR CODE]],SIP[Date Value],"&lt;="&amp;$Z$3)</f>
        <v>3182</v>
      </c>
      <c r="G37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31810.97</v>
      </c>
      <c r="H370" s="6">
        <f>TAX_CERTIFICATE[[#This Row],[ENDING PERIOD UNITS]]*$AA$3</f>
        <v>31641.808000000001</v>
      </c>
      <c r="I370" s="6">
        <f>TAX_CERTIFICATE[[#This Row],[ENDING PERIOD MARKET VALUE]]-TAX_CERTIFICATE[[#This Row],[ENDING PERIOD COST VALUE]]</f>
        <v>-169.16200000000026</v>
      </c>
      <c r="J37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71</v>
      </c>
      <c r="K37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699.97</v>
      </c>
      <c r="L37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7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70" s="6">
        <f>TAX_CERTIFICATE[[#This Row],[TOTAL ADDITION AT COST DURING THE PERIOD]]-TAX_CERTIFICATE[[#This Row],[TOTAL REDEMPTION AT COST DURING THE PERIOD]]</f>
        <v>699.97</v>
      </c>
      <c r="O37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70" s="6"/>
      <c r="Q370" s="6"/>
      <c r="R370" s="6"/>
    </row>
    <row r="371" spans="1:18">
      <c r="A371" t="s">
        <v>688</v>
      </c>
      <c r="B371" s="2">
        <f>SUMIFS(LS[Unit],LS[Investor ID],TAX_CERTIFICATE[[#This Row],[INVESTOR CODE]],LS[Date Value],"&lt;"&amp;$Z$2)+SUMIFS(SIP[Unit],SIP[Investor ID],TAX_CERTIFICATE[[#This Row],[INVESTOR CODE]],SIP[Date Value],"&lt;"&amp;$Z$2)</f>
        <v>60000</v>
      </c>
      <c r="C37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600000</v>
      </c>
      <c r="D371" s="6">
        <f>TAX_CERTIFICATE[[#This Row],[BEGINNING PERIOD UNITS]]*$AA$2</f>
        <v>598200</v>
      </c>
      <c r="E371" s="6">
        <f>TAX_CERTIFICATE[[#This Row],[BEGINNING PERIOD MARKET VALUE]]-TAX_CERTIFICATE[[#This Row],[BEGINNING PERIOD COST VALUE]]</f>
        <v>-1800</v>
      </c>
      <c r="F371" s="33">
        <f>SUMIFS(LS[Unit],LS[Investor ID],TAX_CERTIFICATE[[#This Row],[INVESTOR CODE]],LS[Date Value],"&lt;="&amp;$Z$3)+SUMIFS(SIP[Unit],SIP[Investor ID],TAX_CERTIFICATE[[#This Row],[INVESTOR CODE]],SIP[Date Value],"&lt;="&amp;$Z$3)</f>
        <v>61370</v>
      </c>
      <c r="G37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613500</v>
      </c>
      <c r="H371" s="6">
        <f>TAX_CERTIFICATE[[#This Row],[ENDING PERIOD UNITS]]*$AA$3</f>
        <v>610263.28</v>
      </c>
      <c r="I371" s="6">
        <f>TAX_CERTIFICATE[[#This Row],[ENDING PERIOD MARKET VALUE]]-TAX_CERTIFICATE[[#This Row],[ENDING PERIOD COST VALUE]]</f>
        <v>-3236.7199999999721</v>
      </c>
      <c r="J37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1370</v>
      </c>
      <c r="K37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13500</v>
      </c>
      <c r="L37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7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71" s="6">
        <f>TAX_CERTIFICATE[[#This Row],[TOTAL ADDITION AT COST DURING THE PERIOD]]-TAX_CERTIFICATE[[#This Row],[TOTAL REDEMPTION AT COST DURING THE PERIOD]]</f>
        <v>13500</v>
      </c>
      <c r="O37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71" s="6"/>
      <c r="Q371" s="6"/>
      <c r="R371" s="6"/>
    </row>
    <row r="372" spans="1:18">
      <c r="A372" t="s">
        <v>690</v>
      </c>
      <c r="B372" s="2">
        <f>SUMIFS(LS[Unit],LS[Investor ID],TAX_CERTIFICATE[[#This Row],[INVESTOR CODE]],LS[Date Value],"&lt;"&amp;$Z$2)+SUMIFS(SIP[Unit],SIP[Investor ID],TAX_CERTIFICATE[[#This Row],[INVESTOR CODE]],SIP[Date Value],"&lt;"&amp;$Z$2)</f>
        <v>10000</v>
      </c>
      <c r="C37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</v>
      </c>
      <c r="D372" s="6">
        <f>TAX_CERTIFICATE[[#This Row],[BEGINNING PERIOD UNITS]]*$AA$2</f>
        <v>99700</v>
      </c>
      <c r="E372" s="6">
        <f>TAX_CERTIFICATE[[#This Row],[BEGINNING PERIOD MARKET VALUE]]-TAX_CERTIFICATE[[#This Row],[BEGINNING PERIOD COST VALUE]]</f>
        <v>-300</v>
      </c>
      <c r="F372" s="33">
        <f>SUMIFS(LS[Unit],LS[Investor ID],TAX_CERTIFICATE[[#This Row],[INVESTOR CODE]],LS[Date Value],"&lt;="&amp;$Z$3)+SUMIFS(SIP[Unit],SIP[Investor ID],TAX_CERTIFICATE[[#This Row],[INVESTOR CODE]],SIP[Date Value],"&lt;="&amp;$Z$3)</f>
        <v>10000</v>
      </c>
      <c r="G37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100000</v>
      </c>
      <c r="H372" s="6">
        <f>TAX_CERTIFICATE[[#This Row],[ENDING PERIOD UNITS]]*$AA$3</f>
        <v>99440.000000000015</v>
      </c>
      <c r="I372" s="6">
        <f>TAX_CERTIFICATE[[#This Row],[ENDING PERIOD MARKET VALUE]]-TAX_CERTIFICATE[[#This Row],[ENDING PERIOD COST VALUE]]</f>
        <v>-559.99999999998545</v>
      </c>
      <c r="J37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7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7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7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72" s="6">
        <f>TAX_CERTIFICATE[[#This Row],[TOTAL ADDITION AT COST DURING THE PERIOD]]-TAX_CERTIFICATE[[#This Row],[TOTAL REDEMPTION AT COST DURING THE PERIOD]]</f>
        <v>0</v>
      </c>
      <c r="O37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72" s="6"/>
      <c r="Q372" s="6"/>
      <c r="R372" s="6"/>
    </row>
    <row r="373" spans="1:18">
      <c r="A373" t="s">
        <v>692</v>
      </c>
      <c r="B373" s="2">
        <f>SUMIFS(LS[Unit],LS[Investor ID],TAX_CERTIFICATE[[#This Row],[INVESTOR CODE]],LS[Date Value],"&lt;"&amp;$Z$2)+SUMIFS(SIP[Unit],SIP[Investor ID],TAX_CERTIFICATE[[#This Row],[INVESTOR CODE]],SIP[Date Value],"&lt;"&amp;$Z$2)</f>
        <v>20000</v>
      </c>
      <c r="C37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200000</v>
      </c>
      <c r="D373" s="6">
        <f>TAX_CERTIFICATE[[#This Row],[BEGINNING PERIOD UNITS]]*$AA$2</f>
        <v>199400</v>
      </c>
      <c r="E373" s="6">
        <f>TAX_CERTIFICATE[[#This Row],[BEGINNING PERIOD MARKET VALUE]]-TAX_CERTIFICATE[[#This Row],[BEGINNING PERIOD COST VALUE]]</f>
        <v>-600</v>
      </c>
      <c r="F37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7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73" s="6">
        <f>TAX_CERTIFICATE[[#This Row],[ENDING PERIOD UNITS]]*$AA$3</f>
        <v>0</v>
      </c>
      <c r="I373" s="6">
        <f>TAX_CERTIFICATE[[#This Row],[ENDING PERIOD MARKET VALUE]]-TAX_CERTIFICATE[[#This Row],[ENDING PERIOD COST VALUE]]</f>
        <v>0</v>
      </c>
      <c r="J37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484</v>
      </c>
      <c r="K37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5000</v>
      </c>
      <c r="L37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20484</v>
      </c>
      <c r="M37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205000</v>
      </c>
      <c r="N373" s="6">
        <f>TAX_CERTIFICATE[[#This Row],[TOTAL ADDITION AT COST DURING THE PERIOD]]-TAX_CERTIFICATE[[#This Row],[TOTAL REDEMPTION AT COST DURING THE PERIOD]]</f>
        <v>-200000</v>
      </c>
      <c r="O37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1400.0000000000095</v>
      </c>
      <c r="P373" s="6"/>
      <c r="Q373" s="6"/>
      <c r="R373" s="6"/>
    </row>
    <row r="374" spans="1:18">
      <c r="A374" t="s">
        <v>694</v>
      </c>
      <c r="B37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7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74" s="6">
        <f>TAX_CERTIFICATE[[#This Row],[BEGINNING PERIOD UNITS]]*$AA$2</f>
        <v>0</v>
      </c>
      <c r="E374" s="6">
        <f>TAX_CERTIFICATE[[#This Row],[BEGINNING PERIOD MARKET VALUE]]-TAX_CERTIFICATE[[#This Row],[BEGINNING PERIOD COST VALUE]]</f>
        <v>0</v>
      </c>
      <c r="F37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7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74" s="6">
        <f>TAX_CERTIFICATE[[#This Row],[ENDING PERIOD UNITS]]*$AA$3</f>
        <v>0</v>
      </c>
      <c r="I374" s="6">
        <f>TAX_CERTIFICATE[[#This Row],[ENDING PERIOD MARKET VALUE]]-TAX_CERTIFICATE[[#This Row],[ENDING PERIOD COST VALUE]]</f>
        <v>0</v>
      </c>
      <c r="J37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7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7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7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74" s="6">
        <f>TAX_CERTIFICATE[[#This Row],[TOTAL ADDITION AT COST DURING THE PERIOD]]-TAX_CERTIFICATE[[#This Row],[TOTAL REDEMPTION AT COST DURING THE PERIOD]]</f>
        <v>0</v>
      </c>
      <c r="O37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74" s="6"/>
      <c r="Q374" s="6"/>
      <c r="R374" s="6"/>
    </row>
    <row r="375" spans="1:18">
      <c r="A375" t="s">
        <v>696</v>
      </c>
      <c r="B375" s="2">
        <f>SUMIFS(LS[Unit],LS[Investor ID],TAX_CERTIFICATE[[#This Row],[INVESTOR CODE]],LS[Date Value],"&lt;"&amp;$Z$2)+SUMIFS(SIP[Unit],SIP[Investor ID],TAX_CERTIFICATE[[#This Row],[INVESTOR CODE]],SIP[Date Value],"&lt;"&amp;$Z$2)</f>
        <v>1000000</v>
      </c>
      <c r="C37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10000000</v>
      </c>
      <c r="D375" s="6">
        <f>TAX_CERTIFICATE[[#This Row],[BEGINNING PERIOD UNITS]]*$AA$2</f>
        <v>9970000</v>
      </c>
      <c r="E375" s="6">
        <f>TAX_CERTIFICATE[[#This Row],[BEGINNING PERIOD MARKET VALUE]]-TAX_CERTIFICATE[[#This Row],[BEGINNING PERIOD COST VALUE]]</f>
        <v>-30000</v>
      </c>
      <c r="F375" s="33">
        <f>SUMIFS(LS[Unit],LS[Investor ID],TAX_CERTIFICATE[[#This Row],[INVESTOR CODE]],LS[Date Value],"&lt;="&amp;$Z$3)+SUMIFS(SIP[Unit],SIP[Investor ID],TAX_CERTIFICATE[[#This Row],[INVESTOR CODE]],SIP[Date Value],"&lt;="&amp;$Z$3)</f>
        <v>1000000</v>
      </c>
      <c r="G37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10000000</v>
      </c>
      <c r="H375" s="6">
        <f>TAX_CERTIFICATE[[#This Row],[ENDING PERIOD UNITS]]*$AA$3</f>
        <v>9944000</v>
      </c>
      <c r="I375" s="6">
        <f>TAX_CERTIFICATE[[#This Row],[ENDING PERIOD MARKET VALUE]]-TAX_CERTIFICATE[[#This Row],[ENDING PERIOD COST VALUE]]</f>
        <v>-56000</v>
      </c>
      <c r="J37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7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7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7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75" s="6">
        <f>TAX_CERTIFICATE[[#This Row],[TOTAL ADDITION AT COST DURING THE PERIOD]]-TAX_CERTIFICATE[[#This Row],[TOTAL REDEMPTION AT COST DURING THE PERIOD]]</f>
        <v>0</v>
      </c>
      <c r="O37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75" s="6"/>
      <c r="Q375" s="6"/>
      <c r="R375" s="6"/>
    </row>
    <row r="376" spans="1:18">
      <c r="A376" t="s">
        <v>698</v>
      </c>
      <c r="B37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7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76" s="6">
        <f>TAX_CERTIFICATE[[#This Row],[BEGINNING PERIOD UNITS]]*$AA$2</f>
        <v>0</v>
      </c>
      <c r="E376" s="6">
        <f>TAX_CERTIFICATE[[#This Row],[BEGINNING PERIOD MARKET VALUE]]-TAX_CERTIFICATE[[#This Row],[BEGINNING PERIOD COST VALUE]]</f>
        <v>0</v>
      </c>
      <c r="F37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7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76" s="6">
        <f>TAX_CERTIFICATE[[#This Row],[ENDING PERIOD UNITS]]*$AA$3</f>
        <v>0</v>
      </c>
      <c r="I376" s="6">
        <f>TAX_CERTIFICATE[[#This Row],[ENDING PERIOD MARKET VALUE]]-TAX_CERTIFICATE[[#This Row],[ENDING PERIOD COST VALUE]]</f>
        <v>0</v>
      </c>
      <c r="J37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7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7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7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76" s="6">
        <f>TAX_CERTIFICATE[[#This Row],[TOTAL ADDITION AT COST DURING THE PERIOD]]-TAX_CERTIFICATE[[#This Row],[TOTAL REDEMPTION AT COST DURING THE PERIOD]]</f>
        <v>0</v>
      </c>
      <c r="O37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76" s="6"/>
      <c r="Q376" s="6"/>
      <c r="R376" s="6"/>
    </row>
    <row r="377" spans="1:18">
      <c r="A377" t="s">
        <v>700</v>
      </c>
      <c r="B37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7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77" s="6">
        <f>TAX_CERTIFICATE[[#This Row],[BEGINNING PERIOD UNITS]]*$AA$2</f>
        <v>0</v>
      </c>
      <c r="E377" s="6">
        <f>TAX_CERTIFICATE[[#This Row],[BEGINNING PERIOD MARKET VALUE]]-TAX_CERTIFICATE[[#This Row],[BEGINNING PERIOD COST VALUE]]</f>
        <v>0</v>
      </c>
      <c r="F37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7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77" s="6">
        <f>TAX_CERTIFICATE[[#This Row],[ENDING PERIOD UNITS]]*$AA$3</f>
        <v>0</v>
      </c>
      <c r="I377" s="6">
        <f>TAX_CERTIFICATE[[#This Row],[ENDING PERIOD MARKET VALUE]]-TAX_CERTIFICATE[[#This Row],[ENDING PERIOD COST VALUE]]</f>
        <v>0</v>
      </c>
      <c r="J37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7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7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7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77" s="6">
        <f>TAX_CERTIFICATE[[#This Row],[TOTAL ADDITION AT COST DURING THE PERIOD]]-TAX_CERTIFICATE[[#This Row],[TOTAL REDEMPTION AT COST DURING THE PERIOD]]</f>
        <v>0</v>
      </c>
      <c r="O37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77" s="6"/>
      <c r="Q377" s="6"/>
      <c r="R377" s="6"/>
    </row>
    <row r="378" spans="1:18">
      <c r="A378" t="s">
        <v>702</v>
      </c>
      <c r="B37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7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78" s="6">
        <f>TAX_CERTIFICATE[[#This Row],[BEGINNING PERIOD UNITS]]*$AA$2</f>
        <v>0</v>
      </c>
      <c r="E378" s="6">
        <f>TAX_CERTIFICATE[[#This Row],[BEGINNING PERIOD MARKET VALUE]]-TAX_CERTIFICATE[[#This Row],[BEGINNING PERIOD COST VALUE]]</f>
        <v>0</v>
      </c>
      <c r="F37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7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78" s="6">
        <f>TAX_CERTIFICATE[[#This Row],[ENDING PERIOD UNITS]]*$AA$3</f>
        <v>0</v>
      </c>
      <c r="I378" s="6">
        <f>TAX_CERTIFICATE[[#This Row],[ENDING PERIOD MARKET VALUE]]-TAX_CERTIFICATE[[#This Row],[ENDING PERIOD COST VALUE]]</f>
        <v>0</v>
      </c>
      <c r="J37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7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7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7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78" s="6">
        <f>TAX_CERTIFICATE[[#This Row],[TOTAL ADDITION AT COST DURING THE PERIOD]]-TAX_CERTIFICATE[[#This Row],[TOTAL REDEMPTION AT COST DURING THE PERIOD]]</f>
        <v>0</v>
      </c>
      <c r="O37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78" s="6"/>
      <c r="Q378" s="6"/>
      <c r="R378" s="6"/>
    </row>
    <row r="379" spans="1:18">
      <c r="A379" t="s">
        <v>704</v>
      </c>
      <c r="B37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7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79" s="6">
        <f>TAX_CERTIFICATE[[#This Row],[BEGINNING PERIOD UNITS]]*$AA$2</f>
        <v>0</v>
      </c>
      <c r="E379" s="6">
        <f>TAX_CERTIFICATE[[#This Row],[BEGINNING PERIOD MARKET VALUE]]-TAX_CERTIFICATE[[#This Row],[BEGINNING PERIOD COST VALUE]]</f>
        <v>0</v>
      </c>
      <c r="F37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7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79" s="6">
        <f>TAX_CERTIFICATE[[#This Row],[ENDING PERIOD UNITS]]*$AA$3</f>
        <v>0</v>
      </c>
      <c r="I379" s="6">
        <f>TAX_CERTIFICATE[[#This Row],[ENDING PERIOD MARKET VALUE]]-TAX_CERTIFICATE[[#This Row],[ENDING PERIOD COST VALUE]]</f>
        <v>0</v>
      </c>
      <c r="J37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7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7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7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79" s="6">
        <f>TAX_CERTIFICATE[[#This Row],[TOTAL ADDITION AT COST DURING THE PERIOD]]-TAX_CERTIFICATE[[#This Row],[TOTAL REDEMPTION AT COST DURING THE PERIOD]]</f>
        <v>0</v>
      </c>
      <c r="O37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79" s="6"/>
      <c r="Q379" s="6"/>
      <c r="R379" s="6"/>
    </row>
    <row r="380" spans="1:18">
      <c r="A380" t="s">
        <v>706</v>
      </c>
      <c r="B38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8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80" s="6">
        <f>TAX_CERTIFICATE[[#This Row],[BEGINNING PERIOD UNITS]]*$AA$2</f>
        <v>0</v>
      </c>
      <c r="E380" s="6">
        <f>TAX_CERTIFICATE[[#This Row],[BEGINNING PERIOD MARKET VALUE]]-TAX_CERTIFICATE[[#This Row],[BEGINNING PERIOD COST VALUE]]</f>
        <v>0</v>
      </c>
      <c r="F38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8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80" s="6">
        <f>TAX_CERTIFICATE[[#This Row],[ENDING PERIOD UNITS]]*$AA$3</f>
        <v>0</v>
      </c>
      <c r="I380" s="6">
        <f>TAX_CERTIFICATE[[#This Row],[ENDING PERIOD MARKET VALUE]]-TAX_CERTIFICATE[[#This Row],[ENDING PERIOD COST VALUE]]</f>
        <v>0</v>
      </c>
      <c r="J38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8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8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8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80" s="6">
        <f>TAX_CERTIFICATE[[#This Row],[TOTAL ADDITION AT COST DURING THE PERIOD]]-TAX_CERTIFICATE[[#This Row],[TOTAL REDEMPTION AT COST DURING THE PERIOD]]</f>
        <v>0</v>
      </c>
      <c r="O38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80" s="6"/>
      <c r="Q380" s="6"/>
      <c r="R380" s="6"/>
    </row>
    <row r="381" spans="1:18">
      <c r="A381" t="s">
        <v>708</v>
      </c>
      <c r="B381" s="2">
        <f>SUMIFS(LS[Unit],LS[Investor ID],TAX_CERTIFICATE[[#This Row],[INVESTOR CODE]],LS[Date Value],"&lt;"&amp;$Z$2)+SUMIFS(SIP[Unit],SIP[Investor ID],TAX_CERTIFICATE[[#This Row],[INVESTOR CODE]],SIP[Date Value],"&lt;"&amp;$Z$2)</f>
        <v>402</v>
      </c>
      <c r="C38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4000.0000000000018</v>
      </c>
      <c r="D381" s="6">
        <f>TAX_CERTIFICATE[[#This Row],[BEGINNING PERIOD UNITS]]*$AA$2</f>
        <v>4007.94</v>
      </c>
      <c r="E381" s="6">
        <f>TAX_CERTIFICATE[[#This Row],[BEGINNING PERIOD MARKET VALUE]]-TAX_CERTIFICATE[[#This Row],[BEGINNING PERIOD COST VALUE]]</f>
        <v>7.9399999999982356</v>
      </c>
      <c r="F381" s="33">
        <f>SUMIFS(LS[Unit],LS[Investor ID],TAX_CERTIFICATE[[#This Row],[INVESTOR CODE]],LS[Date Value],"&lt;="&amp;$Z$3)+SUMIFS(SIP[Unit],SIP[Investor ID],TAX_CERTIFICATE[[#This Row],[INVESTOR CODE]],SIP[Date Value],"&lt;="&amp;$Z$3)</f>
        <v>402</v>
      </c>
      <c r="G38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4000.0000000000018</v>
      </c>
      <c r="H381" s="6">
        <f>TAX_CERTIFICATE[[#This Row],[ENDING PERIOD UNITS]]*$AA$3</f>
        <v>3997.4880000000003</v>
      </c>
      <c r="I381" s="6">
        <f>TAX_CERTIFICATE[[#This Row],[ENDING PERIOD MARKET VALUE]]-TAX_CERTIFICATE[[#This Row],[ENDING PERIOD COST VALUE]]</f>
        <v>-2.5120000000015352</v>
      </c>
      <c r="J38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8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8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8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81" s="6">
        <f>TAX_CERTIFICATE[[#This Row],[TOTAL ADDITION AT COST DURING THE PERIOD]]-TAX_CERTIFICATE[[#This Row],[TOTAL REDEMPTION AT COST DURING THE PERIOD]]</f>
        <v>0</v>
      </c>
      <c r="O38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81" s="6"/>
      <c r="Q381" s="6"/>
      <c r="R381" s="6"/>
    </row>
    <row r="382" spans="1:18">
      <c r="A382" t="s">
        <v>709</v>
      </c>
      <c r="B382" s="2">
        <f>SUMIFS(LS[Unit],LS[Investor ID],TAX_CERTIFICATE[[#This Row],[INVESTOR CODE]],LS[Date Value],"&lt;"&amp;$Z$2)+SUMIFS(SIP[Unit],SIP[Investor ID],TAX_CERTIFICATE[[#This Row],[INVESTOR CODE]],SIP[Date Value],"&lt;"&amp;$Z$2)</f>
        <v>200</v>
      </c>
      <c r="C38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</v>
      </c>
      <c r="D382" s="6">
        <f>TAX_CERTIFICATE[[#This Row],[BEGINNING PERIOD UNITS]]*$AA$2</f>
        <v>1994.0000000000002</v>
      </c>
      <c r="E382" s="6">
        <f>TAX_CERTIFICATE[[#This Row],[BEGINNING PERIOD MARKET VALUE]]-TAX_CERTIFICATE[[#This Row],[BEGINNING PERIOD COST VALUE]]</f>
        <v>-5.9999999999997726</v>
      </c>
      <c r="F382" s="33">
        <f>SUMIFS(LS[Unit],LS[Investor ID],TAX_CERTIFICATE[[#This Row],[INVESTOR CODE]],LS[Date Value],"&lt;="&amp;$Z$3)+SUMIFS(SIP[Unit],SIP[Investor ID],TAX_CERTIFICATE[[#This Row],[INVESTOR CODE]],SIP[Date Value],"&lt;="&amp;$Z$3)</f>
        <v>205</v>
      </c>
      <c r="G38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2045</v>
      </c>
      <c r="H382" s="6">
        <f>TAX_CERTIFICATE[[#This Row],[ENDING PERIOD UNITS]]*$AA$3</f>
        <v>2038.5200000000002</v>
      </c>
      <c r="I382" s="6">
        <f>TAX_CERTIFICATE[[#This Row],[ENDING PERIOD MARKET VALUE]]-TAX_CERTIFICATE[[#This Row],[ENDING PERIOD COST VALUE]]</f>
        <v>-6.4799999999997908</v>
      </c>
      <c r="J38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5</v>
      </c>
      <c r="K38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45</v>
      </c>
      <c r="L38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8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82" s="6">
        <f>TAX_CERTIFICATE[[#This Row],[TOTAL ADDITION AT COST DURING THE PERIOD]]-TAX_CERTIFICATE[[#This Row],[TOTAL REDEMPTION AT COST DURING THE PERIOD]]</f>
        <v>45</v>
      </c>
      <c r="O38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82" s="6"/>
      <c r="Q382" s="6"/>
      <c r="R382" s="6"/>
    </row>
    <row r="383" spans="1:18">
      <c r="A383" t="s">
        <v>711</v>
      </c>
      <c r="B38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8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83" s="6">
        <f>TAX_CERTIFICATE[[#This Row],[BEGINNING PERIOD UNITS]]*$AA$2</f>
        <v>0</v>
      </c>
      <c r="E383" s="6">
        <f>TAX_CERTIFICATE[[#This Row],[BEGINNING PERIOD MARKET VALUE]]-TAX_CERTIFICATE[[#This Row],[BEGINNING PERIOD COST VALUE]]</f>
        <v>0</v>
      </c>
      <c r="F38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8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83" s="6">
        <f>TAX_CERTIFICATE[[#This Row],[ENDING PERIOD UNITS]]*$AA$3</f>
        <v>0</v>
      </c>
      <c r="I383" s="6">
        <f>TAX_CERTIFICATE[[#This Row],[ENDING PERIOD MARKET VALUE]]-TAX_CERTIFICATE[[#This Row],[ENDING PERIOD COST VALUE]]</f>
        <v>0</v>
      </c>
      <c r="J38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8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8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8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83" s="6">
        <f>TAX_CERTIFICATE[[#This Row],[TOTAL ADDITION AT COST DURING THE PERIOD]]-TAX_CERTIFICATE[[#This Row],[TOTAL REDEMPTION AT COST DURING THE PERIOD]]</f>
        <v>0</v>
      </c>
      <c r="O38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83" s="6"/>
      <c r="Q383" s="6"/>
      <c r="R383" s="6"/>
    </row>
    <row r="384" spans="1:18">
      <c r="A384" t="s">
        <v>712</v>
      </c>
      <c r="B38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8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5.8207660913467407E-11</v>
      </c>
      <c r="D384" s="6">
        <f>TAX_CERTIFICATE[[#This Row],[BEGINNING PERIOD UNITS]]*$AA$2</f>
        <v>0</v>
      </c>
      <c r="E384" s="6">
        <f>TAX_CERTIFICATE[[#This Row],[BEGINNING PERIOD MARKET VALUE]]-TAX_CERTIFICATE[[#This Row],[BEGINNING PERIOD COST VALUE]]</f>
        <v>-5.8207660913467407E-11</v>
      </c>
      <c r="F38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8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5.8207660913467407E-11</v>
      </c>
      <c r="H384" s="6">
        <f>TAX_CERTIFICATE[[#This Row],[ENDING PERIOD UNITS]]*$AA$3</f>
        <v>0</v>
      </c>
      <c r="I384" s="6">
        <f>TAX_CERTIFICATE[[#This Row],[ENDING PERIOD MARKET VALUE]]-TAX_CERTIFICATE[[#This Row],[ENDING PERIOD COST VALUE]]</f>
        <v>-5.8207660913467407E-11</v>
      </c>
      <c r="J38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8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8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8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84" s="6">
        <f>TAX_CERTIFICATE[[#This Row],[TOTAL ADDITION AT COST DURING THE PERIOD]]-TAX_CERTIFICATE[[#This Row],[TOTAL REDEMPTION AT COST DURING THE PERIOD]]</f>
        <v>0</v>
      </c>
      <c r="O38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84" s="6"/>
      <c r="Q384" s="6"/>
      <c r="R384" s="6"/>
    </row>
    <row r="385" spans="1:18">
      <c r="A385" t="s">
        <v>713</v>
      </c>
      <c r="B38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8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85" s="6">
        <f>TAX_CERTIFICATE[[#This Row],[BEGINNING PERIOD UNITS]]*$AA$2</f>
        <v>0</v>
      </c>
      <c r="E385" s="6">
        <f>TAX_CERTIFICATE[[#This Row],[BEGINNING PERIOD MARKET VALUE]]-TAX_CERTIFICATE[[#This Row],[BEGINNING PERIOD COST VALUE]]</f>
        <v>0</v>
      </c>
      <c r="F38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8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85" s="6">
        <f>TAX_CERTIFICATE[[#This Row],[ENDING PERIOD UNITS]]*$AA$3</f>
        <v>0</v>
      </c>
      <c r="I385" s="6">
        <f>TAX_CERTIFICATE[[#This Row],[ENDING PERIOD MARKET VALUE]]-TAX_CERTIFICATE[[#This Row],[ENDING PERIOD COST VALUE]]</f>
        <v>0</v>
      </c>
      <c r="J38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8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8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8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85" s="6">
        <f>TAX_CERTIFICATE[[#This Row],[TOTAL ADDITION AT COST DURING THE PERIOD]]-TAX_CERTIFICATE[[#This Row],[TOTAL REDEMPTION AT COST DURING THE PERIOD]]</f>
        <v>0</v>
      </c>
      <c r="O38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85" s="6"/>
      <c r="Q385" s="6"/>
      <c r="R385" s="6"/>
    </row>
    <row r="386" spans="1:18">
      <c r="A386" t="s">
        <v>715</v>
      </c>
      <c r="B38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8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86" s="6">
        <f>TAX_CERTIFICATE[[#This Row],[BEGINNING PERIOD UNITS]]*$AA$2</f>
        <v>0</v>
      </c>
      <c r="E386" s="6">
        <f>TAX_CERTIFICATE[[#This Row],[BEGINNING PERIOD MARKET VALUE]]-TAX_CERTIFICATE[[#This Row],[BEGINNING PERIOD COST VALUE]]</f>
        <v>0</v>
      </c>
      <c r="F38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8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86" s="6">
        <f>TAX_CERTIFICATE[[#This Row],[ENDING PERIOD UNITS]]*$AA$3</f>
        <v>0</v>
      </c>
      <c r="I386" s="6">
        <f>TAX_CERTIFICATE[[#This Row],[ENDING PERIOD MARKET VALUE]]-TAX_CERTIFICATE[[#This Row],[ENDING PERIOD COST VALUE]]</f>
        <v>0</v>
      </c>
      <c r="J38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8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8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8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86" s="6">
        <f>TAX_CERTIFICATE[[#This Row],[TOTAL ADDITION AT COST DURING THE PERIOD]]-TAX_CERTIFICATE[[#This Row],[TOTAL REDEMPTION AT COST DURING THE PERIOD]]</f>
        <v>0</v>
      </c>
      <c r="O38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86" s="6"/>
      <c r="Q386" s="6"/>
      <c r="R386" s="6"/>
    </row>
    <row r="387" spans="1:18">
      <c r="A387" t="s">
        <v>717</v>
      </c>
      <c r="B38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8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87" s="6">
        <f>TAX_CERTIFICATE[[#This Row],[BEGINNING PERIOD UNITS]]*$AA$2</f>
        <v>0</v>
      </c>
      <c r="E387" s="6">
        <f>TAX_CERTIFICATE[[#This Row],[BEGINNING PERIOD MARKET VALUE]]-TAX_CERTIFICATE[[#This Row],[BEGINNING PERIOD COST VALUE]]</f>
        <v>0</v>
      </c>
      <c r="F38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8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87" s="6">
        <f>TAX_CERTIFICATE[[#This Row],[ENDING PERIOD UNITS]]*$AA$3</f>
        <v>0</v>
      </c>
      <c r="I387" s="6">
        <f>TAX_CERTIFICATE[[#This Row],[ENDING PERIOD MARKET VALUE]]-TAX_CERTIFICATE[[#This Row],[ENDING PERIOD COST VALUE]]</f>
        <v>0</v>
      </c>
      <c r="J38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8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8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8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87" s="6">
        <f>TAX_CERTIFICATE[[#This Row],[TOTAL ADDITION AT COST DURING THE PERIOD]]-TAX_CERTIFICATE[[#This Row],[TOTAL REDEMPTION AT COST DURING THE PERIOD]]</f>
        <v>0</v>
      </c>
      <c r="O38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87" s="6"/>
      <c r="Q387" s="6"/>
      <c r="R387" s="6"/>
    </row>
    <row r="388" spans="1:18">
      <c r="A388" t="s">
        <v>851</v>
      </c>
      <c r="B38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8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88" s="6">
        <f>TAX_CERTIFICATE[[#This Row],[BEGINNING PERIOD UNITS]]*$AA$2</f>
        <v>0</v>
      </c>
      <c r="E388" s="6">
        <f>TAX_CERTIFICATE[[#This Row],[BEGINNING PERIOD MARKET VALUE]]-TAX_CERTIFICATE[[#This Row],[BEGINNING PERIOD COST VALUE]]</f>
        <v>0</v>
      </c>
      <c r="F38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8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88" s="6">
        <f>TAX_CERTIFICATE[[#This Row],[ENDING PERIOD UNITS]]*$AA$3</f>
        <v>0</v>
      </c>
      <c r="I388" s="6">
        <f>TAX_CERTIFICATE[[#This Row],[ENDING PERIOD MARKET VALUE]]-TAX_CERTIFICATE[[#This Row],[ENDING PERIOD COST VALUE]]</f>
        <v>0</v>
      </c>
      <c r="J38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8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8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8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88" s="6">
        <f>TAX_CERTIFICATE[[#This Row],[TOTAL ADDITION AT COST DURING THE PERIOD]]-TAX_CERTIFICATE[[#This Row],[TOTAL REDEMPTION AT COST DURING THE PERIOD]]</f>
        <v>0</v>
      </c>
      <c r="O38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88" s="6"/>
      <c r="Q388" s="6"/>
      <c r="R388" s="6"/>
    </row>
    <row r="389" spans="1:18">
      <c r="A389" t="s">
        <v>853</v>
      </c>
      <c r="B389" s="2">
        <f>SUMIFS(LS[Unit],LS[Investor ID],TAX_CERTIFICATE[[#This Row],[INVESTOR CODE]],LS[Date Value],"&lt;"&amp;$Z$2)+SUMIFS(SIP[Unit],SIP[Investor ID],TAX_CERTIFICATE[[#This Row],[INVESTOR CODE]],SIP[Date Value],"&lt;"&amp;$Z$2)</f>
        <v>15000</v>
      </c>
      <c r="C38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150000</v>
      </c>
      <c r="D389" s="6">
        <f>TAX_CERTIFICATE[[#This Row],[BEGINNING PERIOD UNITS]]*$AA$2</f>
        <v>149550</v>
      </c>
      <c r="E389" s="6">
        <f>TAX_CERTIFICATE[[#This Row],[BEGINNING PERIOD MARKET VALUE]]-TAX_CERTIFICATE[[#This Row],[BEGINNING PERIOD COST VALUE]]</f>
        <v>-450</v>
      </c>
      <c r="F389" s="33">
        <f>SUMIFS(LS[Unit],LS[Investor ID],TAX_CERTIFICATE[[#This Row],[INVESTOR CODE]],LS[Date Value],"&lt;="&amp;$Z$3)+SUMIFS(SIP[Unit],SIP[Investor ID],TAX_CERTIFICATE[[#This Row],[INVESTOR CODE]],SIP[Date Value],"&lt;="&amp;$Z$3)</f>
        <v>15343</v>
      </c>
      <c r="G38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153187.5</v>
      </c>
      <c r="H389" s="6">
        <f>TAX_CERTIFICATE[[#This Row],[ENDING PERIOD UNITS]]*$AA$3</f>
        <v>152570.79200000002</v>
      </c>
      <c r="I389" s="6">
        <f>TAX_CERTIFICATE[[#This Row],[ENDING PERIOD MARKET VALUE]]-TAX_CERTIFICATE[[#This Row],[ENDING PERIOD COST VALUE]]</f>
        <v>-616.70799999998417</v>
      </c>
      <c r="J38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343</v>
      </c>
      <c r="K38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3187.5</v>
      </c>
      <c r="L38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8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89" s="6">
        <f>TAX_CERTIFICATE[[#This Row],[TOTAL ADDITION AT COST DURING THE PERIOD]]-TAX_CERTIFICATE[[#This Row],[TOTAL REDEMPTION AT COST DURING THE PERIOD]]</f>
        <v>3187.5</v>
      </c>
      <c r="O38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89" s="6"/>
      <c r="Q389" s="6"/>
      <c r="R389" s="6"/>
    </row>
    <row r="390" spans="1:18">
      <c r="A390" t="s">
        <v>855</v>
      </c>
      <c r="B39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9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90" s="6">
        <f>TAX_CERTIFICATE[[#This Row],[BEGINNING PERIOD UNITS]]*$AA$2</f>
        <v>0</v>
      </c>
      <c r="E390" s="6">
        <f>TAX_CERTIFICATE[[#This Row],[BEGINNING PERIOD MARKET VALUE]]-TAX_CERTIFICATE[[#This Row],[BEGINNING PERIOD COST VALUE]]</f>
        <v>0</v>
      </c>
      <c r="F39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9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90" s="6">
        <f>TAX_CERTIFICATE[[#This Row],[ENDING PERIOD UNITS]]*$AA$3</f>
        <v>0</v>
      </c>
      <c r="I390" s="6">
        <f>TAX_CERTIFICATE[[#This Row],[ENDING PERIOD MARKET VALUE]]-TAX_CERTIFICATE[[#This Row],[ENDING PERIOD COST VALUE]]</f>
        <v>0</v>
      </c>
      <c r="J39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9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9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9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90" s="6">
        <f>TAX_CERTIFICATE[[#This Row],[TOTAL ADDITION AT COST DURING THE PERIOD]]-TAX_CERTIFICATE[[#This Row],[TOTAL REDEMPTION AT COST DURING THE PERIOD]]</f>
        <v>0</v>
      </c>
      <c r="O39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90" s="6"/>
      <c r="Q390" s="6"/>
      <c r="R390" s="6"/>
    </row>
    <row r="391" spans="1:18">
      <c r="A391" t="s">
        <v>857</v>
      </c>
      <c r="B39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9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91" s="6">
        <f>TAX_CERTIFICATE[[#This Row],[BEGINNING PERIOD UNITS]]*$AA$2</f>
        <v>0</v>
      </c>
      <c r="E391" s="6">
        <f>TAX_CERTIFICATE[[#This Row],[BEGINNING PERIOD MARKET VALUE]]-TAX_CERTIFICATE[[#This Row],[BEGINNING PERIOD COST VALUE]]</f>
        <v>0</v>
      </c>
      <c r="F39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9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91" s="6">
        <f>TAX_CERTIFICATE[[#This Row],[ENDING PERIOD UNITS]]*$AA$3</f>
        <v>0</v>
      </c>
      <c r="I391" s="6">
        <f>TAX_CERTIFICATE[[#This Row],[ENDING PERIOD MARKET VALUE]]-TAX_CERTIFICATE[[#This Row],[ENDING PERIOD COST VALUE]]</f>
        <v>0</v>
      </c>
      <c r="J39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9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9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9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91" s="6">
        <f>TAX_CERTIFICATE[[#This Row],[TOTAL ADDITION AT COST DURING THE PERIOD]]-TAX_CERTIFICATE[[#This Row],[TOTAL REDEMPTION AT COST DURING THE PERIOD]]</f>
        <v>0</v>
      </c>
      <c r="O39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91" s="6"/>
      <c r="Q391" s="6"/>
      <c r="R391" s="6"/>
    </row>
    <row r="392" spans="1:18">
      <c r="A392" t="s">
        <v>859</v>
      </c>
      <c r="B39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9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92" s="6">
        <f>TAX_CERTIFICATE[[#This Row],[BEGINNING PERIOD UNITS]]*$AA$2</f>
        <v>0</v>
      </c>
      <c r="E392" s="6">
        <f>TAX_CERTIFICATE[[#This Row],[BEGINNING PERIOD MARKET VALUE]]-TAX_CERTIFICATE[[#This Row],[BEGINNING PERIOD COST VALUE]]</f>
        <v>0</v>
      </c>
      <c r="F39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9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92" s="6">
        <f>TAX_CERTIFICATE[[#This Row],[ENDING PERIOD UNITS]]*$AA$3</f>
        <v>0</v>
      </c>
      <c r="I392" s="6">
        <f>TAX_CERTIFICATE[[#This Row],[ENDING PERIOD MARKET VALUE]]-TAX_CERTIFICATE[[#This Row],[ENDING PERIOD COST VALUE]]</f>
        <v>0</v>
      </c>
      <c r="J39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9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9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9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92" s="6">
        <f>TAX_CERTIFICATE[[#This Row],[TOTAL ADDITION AT COST DURING THE PERIOD]]-TAX_CERTIFICATE[[#This Row],[TOTAL REDEMPTION AT COST DURING THE PERIOD]]</f>
        <v>0</v>
      </c>
      <c r="O39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92" s="6"/>
      <c r="Q392" s="6"/>
      <c r="R392" s="6"/>
    </row>
    <row r="393" spans="1:18">
      <c r="A393" t="s">
        <v>861</v>
      </c>
      <c r="B39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9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93" s="6">
        <f>TAX_CERTIFICATE[[#This Row],[BEGINNING PERIOD UNITS]]*$AA$2</f>
        <v>0</v>
      </c>
      <c r="E393" s="6">
        <f>TAX_CERTIFICATE[[#This Row],[BEGINNING PERIOD MARKET VALUE]]-TAX_CERTIFICATE[[#This Row],[BEGINNING PERIOD COST VALUE]]</f>
        <v>0</v>
      </c>
      <c r="F39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9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93" s="6">
        <f>TAX_CERTIFICATE[[#This Row],[ENDING PERIOD UNITS]]*$AA$3</f>
        <v>0</v>
      </c>
      <c r="I393" s="6">
        <f>TAX_CERTIFICATE[[#This Row],[ENDING PERIOD MARKET VALUE]]-TAX_CERTIFICATE[[#This Row],[ENDING PERIOD COST VALUE]]</f>
        <v>0</v>
      </c>
      <c r="J39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9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9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9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93" s="6">
        <f>TAX_CERTIFICATE[[#This Row],[TOTAL ADDITION AT COST DURING THE PERIOD]]-TAX_CERTIFICATE[[#This Row],[TOTAL REDEMPTION AT COST DURING THE PERIOD]]</f>
        <v>0</v>
      </c>
      <c r="O39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93" s="6"/>
      <c r="Q393" s="6"/>
      <c r="R393" s="6"/>
    </row>
    <row r="394" spans="1:18">
      <c r="A394" t="s">
        <v>863</v>
      </c>
      <c r="B39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9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7.2759576141834259E-12</v>
      </c>
      <c r="D394" s="6">
        <f>TAX_CERTIFICATE[[#This Row],[BEGINNING PERIOD UNITS]]*$AA$2</f>
        <v>0</v>
      </c>
      <c r="E394" s="6">
        <f>TAX_CERTIFICATE[[#This Row],[BEGINNING PERIOD MARKET VALUE]]-TAX_CERTIFICATE[[#This Row],[BEGINNING PERIOD COST VALUE]]</f>
        <v>-7.2759576141834259E-12</v>
      </c>
      <c r="F39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9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7.2759576141834259E-12</v>
      </c>
      <c r="H394" s="6">
        <f>TAX_CERTIFICATE[[#This Row],[ENDING PERIOD UNITS]]*$AA$3</f>
        <v>0</v>
      </c>
      <c r="I394" s="6">
        <f>TAX_CERTIFICATE[[#This Row],[ENDING PERIOD MARKET VALUE]]-TAX_CERTIFICATE[[#This Row],[ENDING PERIOD COST VALUE]]</f>
        <v>-7.2759576141834259E-12</v>
      </c>
      <c r="J39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9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9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9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94" s="6">
        <f>TAX_CERTIFICATE[[#This Row],[TOTAL ADDITION AT COST DURING THE PERIOD]]-TAX_CERTIFICATE[[#This Row],[TOTAL REDEMPTION AT COST DURING THE PERIOD]]</f>
        <v>0</v>
      </c>
      <c r="O39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94" s="6"/>
      <c r="Q394" s="6"/>
      <c r="R394" s="6"/>
    </row>
    <row r="395" spans="1:18">
      <c r="A395" t="s">
        <v>865</v>
      </c>
      <c r="B39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9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95" s="6">
        <f>TAX_CERTIFICATE[[#This Row],[BEGINNING PERIOD UNITS]]*$AA$2</f>
        <v>0</v>
      </c>
      <c r="E395" s="6">
        <f>TAX_CERTIFICATE[[#This Row],[BEGINNING PERIOD MARKET VALUE]]-TAX_CERTIFICATE[[#This Row],[BEGINNING PERIOD COST VALUE]]</f>
        <v>0</v>
      </c>
      <c r="F39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9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95" s="6">
        <f>TAX_CERTIFICATE[[#This Row],[ENDING PERIOD UNITS]]*$AA$3</f>
        <v>0</v>
      </c>
      <c r="I395" s="6">
        <f>TAX_CERTIFICATE[[#This Row],[ENDING PERIOD MARKET VALUE]]-TAX_CERTIFICATE[[#This Row],[ENDING PERIOD COST VALUE]]</f>
        <v>0</v>
      </c>
      <c r="J39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9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9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9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95" s="6">
        <f>TAX_CERTIFICATE[[#This Row],[TOTAL ADDITION AT COST DURING THE PERIOD]]-TAX_CERTIFICATE[[#This Row],[TOTAL REDEMPTION AT COST DURING THE PERIOD]]</f>
        <v>0</v>
      </c>
      <c r="O39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95" s="6"/>
      <c r="Q395" s="6"/>
      <c r="R395" s="6"/>
    </row>
    <row r="396" spans="1:18">
      <c r="A396" t="s">
        <v>870</v>
      </c>
      <c r="B39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9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96" s="6">
        <f>TAX_CERTIFICATE[[#This Row],[BEGINNING PERIOD UNITS]]*$AA$2</f>
        <v>0</v>
      </c>
      <c r="E396" s="6">
        <f>TAX_CERTIFICATE[[#This Row],[BEGINNING PERIOD MARKET VALUE]]-TAX_CERTIFICATE[[#This Row],[BEGINNING PERIOD COST VALUE]]</f>
        <v>0</v>
      </c>
      <c r="F39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9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96" s="6">
        <f>TAX_CERTIFICATE[[#This Row],[ENDING PERIOD UNITS]]*$AA$3</f>
        <v>0</v>
      </c>
      <c r="I396" s="6">
        <f>TAX_CERTIFICATE[[#This Row],[ENDING PERIOD MARKET VALUE]]-TAX_CERTIFICATE[[#This Row],[ENDING PERIOD COST VALUE]]</f>
        <v>0</v>
      </c>
      <c r="J39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9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9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9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96" s="6">
        <f>TAX_CERTIFICATE[[#This Row],[TOTAL ADDITION AT COST DURING THE PERIOD]]-TAX_CERTIFICATE[[#This Row],[TOTAL REDEMPTION AT COST DURING THE PERIOD]]</f>
        <v>0</v>
      </c>
      <c r="O39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96" s="6"/>
      <c r="Q396" s="6"/>
      <c r="R396" s="6"/>
    </row>
    <row r="397" spans="1:18">
      <c r="A397" t="s">
        <v>871</v>
      </c>
      <c r="B39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9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97" s="6">
        <f>TAX_CERTIFICATE[[#This Row],[BEGINNING PERIOD UNITS]]*$AA$2</f>
        <v>0</v>
      </c>
      <c r="E397" s="6">
        <f>TAX_CERTIFICATE[[#This Row],[BEGINNING PERIOD MARKET VALUE]]-TAX_CERTIFICATE[[#This Row],[BEGINNING PERIOD COST VALUE]]</f>
        <v>0</v>
      </c>
      <c r="F39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9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97" s="6">
        <f>TAX_CERTIFICATE[[#This Row],[ENDING PERIOD UNITS]]*$AA$3</f>
        <v>0</v>
      </c>
      <c r="I397" s="6">
        <f>TAX_CERTIFICATE[[#This Row],[ENDING PERIOD MARKET VALUE]]-TAX_CERTIFICATE[[#This Row],[ENDING PERIOD COST VALUE]]</f>
        <v>0</v>
      </c>
      <c r="J39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9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9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9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97" s="6">
        <f>TAX_CERTIFICATE[[#This Row],[TOTAL ADDITION AT COST DURING THE PERIOD]]-TAX_CERTIFICATE[[#This Row],[TOTAL REDEMPTION AT COST DURING THE PERIOD]]</f>
        <v>0</v>
      </c>
      <c r="O39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97" s="6"/>
      <c r="Q397" s="6"/>
      <c r="R397" s="6"/>
    </row>
    <row r="398" spans="1:18">
      <c r="A398" t="s">
        <v>872</v>
      </c>
      <c r="B39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9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98" s="6">
        <f>TAX_CERTIFICATE[[#This Row],[BEGINNING PERIOD UNITS]]*$AA$2</f>
        <v>0</v>
      </c>
      <c r="E398" s="6">
        <f>TAX_CERTIFICATE[[#This Row],[BEGINNING PERIOD MARKET VALUE]]-TAX_CERTIFICATE[[#This Row],[BEGINNING PERIOD COST VALUE]]</f>
        <v>0</v>
      </c>
      <c r="F39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9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98" s="6">
        <f>TAX_CERTIFICATE[[#This Row],[ENDING PERIOD UNITS]]*$AA$3</f>
        <v>0</v>
      </c>
      <c r="I398" s="6">
        <f>TAX_CERTIFICATE[[#This Row],[ENDING PERIOD MARKET VALUE]]-TAX_CERTIFICATE[[#This Row],[ENDING PERIOD COST VALUE]]</f>
        <v>0</v>
      </c>
      <c r="J39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9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9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9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98" s="6">
        <f>TAX_CERTIFICATE[[#This Row],[TOTAL ADDITION AT COST DURING THE PERIOD]]-TAX_CERTIFICATE[[#This Row],[TOTAL REDEMPTION AT COST DURING THE PERIOD]]</f>
        <v>0</v>
      </c>
      <c r="O39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98" s="6"/>
      <c r="Q398" s="6"/>
      <c r="R398" s="6"/>
    </row>
    <row r="399" spans="1:18">
      <c r="A399" t="s">
        <v>874</v>
      </c>
      <c r="B39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39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399" s="6">
        <f>TAX_CERTIFICATE[[#This Row],[BEGINNING PERIOD UNITS]]*$AA$2</f>
        <v>0</v>
      </c>
      <c r="E399" s="6">
        <f>TAX_CERTIFICATE[[#This Row],[BEGINNING PERIOD MARKET VALUE]]-TAX_CERTIFICATE[[#This Row],[BEGINNING PERIOD COST VALUE]]</f>
        <v>0</v>
      </c>
      <c r="F39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39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399" s="6">
        <f>TAX_CERTIFICATE[[#This Row],[ENDING PERIOD UNITS]]*$AA$3</f>
        <v>0</v>
      </c>
      <c r="I399" s="6">
        <f>TAX_CERTIFICATE[[#This Row],[ENDING PERIOD MARKET VALUE]]-TAX_CERTIFICATE[[#This Row],[ENDING PERIOD COST VALUE]]</f>
        <v>0</v>
      </c>
      <c r="J39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39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39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39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399" s="6">
        <f>TAX_CERTIFICATE[[#This Row],[TOTAL ADDITION AT COST DURING THE PERIOD]]-TAX_CERTIFICATE[[#This Row],[TOTAL REDEMPTION AT COST DURING THE PERIOD]]</f>
        <v>0</v>
      </c>
      <c r="O39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399" s="6"/>
      <c r="Q399" s="6"/>
      <c r="R399" s="6"/>
    </row>
    <row r="400" spans="1:18">
      <c r="A400" t="s">
        <v>876</v>
      </c>
      <c r="B40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0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00" s="6">
        <f>TAX_CERTIFICATE[[#This Row],[BEGINNING PERIOD UNITS]]*$AA$2</f>
        <v>0</v>
      </c>
      <c r="E400" s="6">
        <f>TAX_CERTIFICATE[[#This Row],[BEGINNING PERIOD MARKET VALUE]]-TAX_CERTIFICATE[[#This Row],[BEGINNING PERIOD COST VALUE]]</f>
        <v>0</v>
      </c>
      <c r="F40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0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00" s="6">
        <f>TAX_CERTIFICATE[[#This Row],[ENDING PERIOD UNITS]]*$AA$3</f>
        <v>0</v>
      </c>
      <c r="I400" s="6">
        <f>TAX_CERTIFICATE[[#This Row],[ENDING PERIOD MARKET VALUE]]-TAX_CERTIFICATE[[#This Row],[ENDING PERIOD COST VALUE]]</f>
        <v>0</v>
      </c>
      <c r="J40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0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0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0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00" s="6">
        <f>TAX_CERTIFICATE[[#This Row],[TOTAL ADDITION AT COST DURING THE PERIOD]]-TAX_CERTIFICATE[[#This Row],[TOTAL REDEMPTION AT COST DURING THE PERIOD]]</f>
        <v>0</v>
      </c>
      <c r="O40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00" s="6"/>
      <c r="Q400" s="6"/>
      <c r="R400" s="6"/>
    </row>
    <row r="401" spans="1:18">
      <c r="A401" t="s">
        <v>878</v>
      </c>
      <c r="B40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0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01" s="6">
        <f>TAX_CERTIFICATE[[#This Row],[BEGINNING PERIOD UNITS]]*$AA$2</f>
        <v>0</v>
      </c>
      <c r="E401" s="6">
        <f>TAX_CERTIFICATE[[#This Row],[BEGINNING PERIOD MARKET VALUE]]-TAX_CERTIFICATE[[#This Row],[BEGINNING PERIOD COST VALUE]]</f>
        <v>0</v>
      </c>
      <c r="F40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0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01" s="6">
        <f>TAX_CERTIFICATE[[#This Row],[ENDING PERIOD UNITS]]*$AA$3</f>
        <v>0</v>
      </c>
      <c r="I401" s="6">
        <f>TAX_CERTIFICATE[[#This Row],[ENDING PERIOD MARKET VALUE]]-TAX_CERTIFICATE[[#This Row],[ENDING PERIOD COST VALUE]]</f>
        <v>0</v>
      </c>
      <c r="J40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0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0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0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01" s="6">
        <f>TAX_CERTIFICATE[[#This Row],[TOTAL ADDITION AT COST DURING THE PERIOD]]-TAX_CERTIFICATE[[#This Row],[TOTAL REDEMPTION AT COST DURING THE PERIOD]]</f>
        <v>0</v>
      </c>
      <c r="O40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01" s="6"/>
      <c r="Q401" s="6"/>
      <c r="R401" s="6"/>
    </row>
    <row r="402" spans="1:18">
      <c r="A402" t="s">
        <v>880</v>
      </c>
      <c r="B40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0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02" s="6">
        <f>TAX_CERTIFICATE[[#This Row],[BEGINNING PERIOD UNITS]]*$AA$2</f>
        <v>0</v>
      </c>
      <c r="E402" s="6">
        <f>TAX_CERTIFICATE[[#This Row],[BEGINNING PERIOD MARKET VALUE]]-TAX_CERTIFICATE[[#This Row],[BEGINNING PERIOD COST VALUE]]</f>
        <v>0</v>
      </c>
      <c r="F40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0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02" s="6">
        <f>TAX_CERTIFICATE[[#This Row],[ENDING PERIOD UNITS]]*$AA$3</f>
        <v>0</v>
      </c>
      <c r="I402" s="6">
        <f>TAX_CERTIFICATE[[#This Row],[ENDING PERIOD MARKET VALUE]]-TAX_CERTIFICATE[[#This Row],[ENDING PERIOD COST VALUE]]</f>
        <v>0</v>
      </c>
      <c r="J40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0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0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0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02" s="6">
        <f>TAX_CERTIFICATE[[#This Row],[TOTAL ADDITION AT COST DURING THE PERIOD]]-TAX_CERTIFICATE[[#This Row],[TOTAL REDEMPTION AT COST DURING THE PERIOD]]</f>
        <v>0</v>
      </c>
      <c r="O40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02" s="6"/>
      <c r="Q402" s="6"/>
      <c r="R402" s="6"/>
    </row>
    <row r="403" spans="1:18">
      <c r="A403" t="s">
        <v>888</v>
      </c>
      <c r="B40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0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03" s="6">
        <f>TAX_CERTIFICATE[[#This Row],[BEGINNING PERIOD UNITS]]*$AA$2</f>
        <v>0</v>
      </c>
      <c r="E403" s="6">
        <f>TAX_CERTIFICATE[[#This Row],[BEGINNING PERIOD MARKET VALUE]]-TAX_CERTIFICATE[[#This Row],[BEGINNING PERIOD COST VALUE]]</f>
        <v>0</v>
      </c>
      <c r="F40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0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03" s="6">
        <f>TAX_CERTIFICATE[[#This Row],[ENDING PERIOD UNITS]]*$AA$3</f>
        <v>0</v>
      </c>
      <c r="I403" s="6">
        <f>TAX_CERTIFICATE[[#This Row],[ENDING PERIOD MARKET VALUE]]-TAX_CERTIFICATE[[#This Row],[ENDING PERIOD COST VALUE]]</f>
        <v>0</v>
      </c>
      <c r="J40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0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0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0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03" s="6">
        <f>TAX_CERTIFICATE[[#This Row],[TOTAL ADDITION AT COST DURING THE PERIOD]]-TAX_CERTIFICATE[[#This Row],[TOTAL REDEMPTION AT COST DURING THE PERIOD]]</f>
        <v>0</v>
      </c>
      <c r="O40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03" s="6"/>
      <c r="Q403" s="6"/>
      <c r="R403" s="6"/>
    </row>
    <row r="404" spans="1:18">
      <c r="A404" t="s">
        <v>890</v>
      </c>
      <c r="B40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0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04" s="6">
        <f>TAX_CERTIFICATE[[#This Row],[BEGINNING PERIOD UNITS]]*$AA$2</f>
        <v>0</v>
      </c>
      <c r="E404" s="6">
        <f>TAX_CERTIFICATE[[#This Row],[BEGINNING PERIOD MARKET VALUE]]-TAX_CERTIFICATE[[#This Row],[BEGINNING PERIOD COST VALUE]]</f>
        <v>0</v>
      </c>
      <c r="F40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0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04" s="6">
        <f>TAX_CERTIFICATE[[#This Row],[ENDING PERIOD UNITS]]*$AA$3</f>
        <v>0</v>
      </c>
      <c r="I404" s="6">
        <f>TAX_CERTIFICATE[[#This Row],[ENDING PERIOD MARKET VALUE]]-TAX_CERTIFICATE[[#This Row],[ENDING PERIOD COST VALUE]]</f>
        <v>0</v>
      </c>
      <c r="J40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0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0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0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04" s="6">
        <f>TAX_CERTIFICATE[[#This Row],[TOTAL ADDITION AT COST DURING THE PERIOD]]-TAX_CERTIFICATE[[#This Row],[TOTAL REDEMPTION AT COST DURING THE PERIOD]]</f>
        <v>0</v>
      </c>
      <c r="O40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04" s="6"/>
      <c r="Q404" s="6"/>
      <c r="R404" s="6"/>
    </row>
    <row r="405" spans="1:18">
      <c r="A405" t="s">
        <v>883</v>
      </c>
      <c r="B405" s="2">
        <f>SUMIFS(LS[Unit],LS[Investor ID],TAX_CERTIFICATE[[#This Row],[INVESTOR CODE]],LS[Date Value],"&lt;"&amp;$Z$2)+SUMIFS(SIP[Unit],SIP[Investor ID],TAX_CERTIFICATE[[#This Row],[INVESTOR CODE]],SIP[Date Value],"&lt;"&amp;$Z$2)</f>
        <v>10511</v>
      </c>
      <c r="C40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105000</v>
      </c>
      <c r="D405" s="6">
        <f>TAX_CERTIFICATE[[#This Row],[BEGINNING PERIOD UNITS]]*$AA$2</f>
        <v>104794.67000000001</v>
      </c>
      <c r="E405" s="6">
        <f>TAX_CERTIFICATE[[#This Row],[BEGINNING PERIOD MARKET VALUE]]-TAX_CERTIFICATE[[#This Row],[BEGINNING PERIOD COST VALUE]]</f>
        <v>-205.32999999998719</v>
      </c>
      <c r="F405" s="33">
        <f>SUMIFS(LS[Unit],LS[Investor ID],TAX_CERTIFICATE[[#This Row],[INVESTOR CODE]],LS[Date Value],"&lt;="&amp;$Z$3)+SUMIFS(SIP[Unit],SIP[Investor ID],TAX_CERTIFICATE[[#This Row],[INVESTOR CODE]],SIP[Date Value],"&lt;="&amp;$Z$3)</f>
        <v>10511</v>
      </c>
      <c r="G40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105000</v>
      </c>
      <c r="H405" s="6">
        <f>TAX_CERTIFICATE[[#This Row],[ENDING PERIOD UNITS]]*$AA$3</f>
        <v>104521.38400000001</v>
      </c>
      <c r="I405" s="6">
        <f>TAX_CERTIFICATE[[#This Row],[ENDING PERIOD MARKET VALUE]]-TAX_CERTIFICATE[[#This Row],[ENDING PERIOD COST VALUE]]</f>
        <v>-478.61599999999453</v>
      </c>
      <c r="J40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0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0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0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05" s="6">
        <f>TAX_CERTIFICATE[[#This Row],[TOTAL ADDITION AT COST DURING THE PERIOD]]-TAX_CERTIFICATE[[#This Row],[TOTAL REDEMPTION AT COST DURING THE PERIOD]]</f>
        <v>0</v>
      </c>
      <c r="O40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05" s="6"/>
      <c r="Q405" s="6"/>
      <c r="R405" s="6"/>
    </row>
    <row r="406" spans="1:18">
      <c r="A406" t="s">
        <v>893</v>
      </c>
      <c r="B40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0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06" s="6">
        <f>TAX_CERTIFICATE[[#This Row],[BEGINNING PERIOD UNITS]]*$AA$2</f>
        <v>0</v>
      </c>
      <c r="E406" s="6">
        <f>TAX_CERTIFICATE[[#This Row],[BEGINNING PERIOD MARKET VALUE]]-TAX_CERTIFICATE[[#This Row],[BEGINNING PERIOD COST VALUE]]</f>
        <v>0</v>
      </c>
      <c r="F40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0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06" s="6">
        <f>TAX_CERTIFICATE[[#This Row],[ENDING PERIOD UNITS]]*$AA$3</f>
        <v>0</v>
      </c>
      <c r="I406" s="6">
        <f>TAX_CERTIFICATE[[#This Row],[ENDING PERIOD MARKET VALUE]]-TAX_CERTIFICATE[[#This Row],[ENDING PERIOD COST VALUE]]</f>
        <v>0</v>
      </c>
      <c r="J40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0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0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0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06" s="6">
        <f>TAX_CERTIFICATE[[#This Row],[TOTAL ADDITION AT COST DURING THE PERIOD]]-TAX_CERTIFICATE[[#This Row],[TOTAL REDEMPTION AT COST DURING THE PERIOD]]</f>
        <v>0</v>
      </c>
      <c r="O40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06" s="6"/>
      <c r="Q406" s="6"/>
      <c r="R406" s="6"/>
    </row>
    <row r="407" spans="1:18">
      <c r="A407" t="s">
        <v>894</v>
      </c>
      <c r="B40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0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07" s="6">
        <f>TAX_CERTIFICATE[[#This Row],[BEGINNING PERIOD UNITS]]*$AA$2</f>
        <v>0</v>
      </c>
      <c r="E407" s="6">
        <f>TAX_CERTIFICATE[[#This Row],[BEGINNING PERIOD MARKET VALUE]]-TAX_CERTIFICATE[[#This Row],[BEGINNING PERIOD COST VALUE]]</f>
        <v>0</v>
      </c>
      <c r="F40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0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07" s="6">
        <f>TAX_CERTIFICATE[[#This Row],[ENDING PERIOD UNITS]]*$AA$3</f>
        <v>0</v>
      </c>
      <c r="I407" s="6">
        <f>TAX_CERTIFICATE[[#This Row],[ENDING PERIOD MARKET VALUE]]-TAX_CERTIFICATE[[#This Row],[ENDING PERIOD COST VALUE]]</f>
        <v>0</v>
      </c>
      <c r="J40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0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0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0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07" s="6">
        <f>TAX_CERTIFICATE[[#This Row],[TOTAL ADDITION AT COST DURING THE PERIOD]]-TAX_CERTIFICATE[[#This Row],[TOTAL REDEMPTION AT COST DURING THE PERIOD]]</f>
        <v>0</v>
      </c>
      <c r="O40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07" s="6"/>
      <c r="Q407" s="6"/>
      <c r="R407" s="6"/>
    </row>
    <row r="408" spans="1:18">
      <c r="A408" t="s">
        <v>896</v>
      </c>
      <c r="B40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0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08" s="6">
        <f>TAX_CERTIFICATE[[#This Row],[BEGINNING PERIOD UNITS]]*$AA$2</f>
        <v>0</v>
      </c>
      <c r="E408" s="6">
        <f>TAX_CERTIFICATE[[#This Row],[BEGINNING PERIOD MARKET VALUE]]-TAX_CERTIFICATE[[#This Row],[BEGINNING PERIOD COST VALUE]]</f>
        <v>0</v>
      </c>
      <c r="F40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0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08" s="6">
        <f>TAX_CERTIFICATE[[#This Row],[ENDING PERIOD UNITS]]*$AA$3</f>
        <v>0</v>
      </c>
      <c r="I408" s="6">
        <f>TAX_CERTIFICATE[[#This Row],[ENDING PERIOD MARKET VALUE]]-TAX_CERTIFICATE[[#This Row],[ENDING PERIOD COST VALUE]]</f>
        <v>0</v>
      </c>
      <c r="J40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0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0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0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08" s="6">
        <f>TAX_CERTIFICATE[[#This Row],[TOTAL ADDITION AT COST DURING THE PERIOD]]-TAX_CERTIFICATE[[#This Row],[TOTAL REDEMPTION AT COST DURING THE PERIOD]]</f>
        <v>0</v>
      </c>
      <c r="O40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08" s="6"/>
      <c r="Q408" s="6"/>
      <c r="R408" s="6"/>
    </row>
    <row r="409" spans="1:18">
      <c r="A409" t="s">
        <v>897</v>
      </c>
      <c r="B40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0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09" s="6">
        <f>TAX_CERTIFICATE[[#This Row],[BEGINNING PERIOD UNITS]]*$AA$2</f>
        <v>0</v>
      </c>
      <c r="E409" s="6">
        <f>TAX_CERTIFICATE[[#This Row],[BEGINNING PERIOD MARKET VALUE]]-TAX_CERTIFICATE[[#This Row],[BEGINNING PERIOD COST VALUE]]</f>
        <v>0</v>
      </c>
      <c r="F40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0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09" s="6">
        <f>TAX_CERTIFICATE[[#This Row],[ENDING PERIOD UNITS]]*$AA$3</f>
        <v>0</v>
      </c>
      <c r="I409" s="6">
        <f>TAX_CERTIFICATE[[#This Row],[ENDING PERIOD MARKET VALUE]]-TAX_CERTIFICATE[[#This Row],[ENDING PERIOD COST VALUE]]</f>
        <v>0</v>
      </c>
      <c r="J40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0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0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0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09" s="6">
        <f>TAX_CERTIFICATE[[#This Row],[TOTAL ADDITION AT COST DURING THE PERIOD]]-TAX_CERTIFICATE[[#This Row],[TOTAL REDEMPTION AT COST DURING THE PERIOD]]</f>
        <v>0</v>
      </c>
      <c r="O40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09" s="6"/>
      <c r="Q409" s="6"/>
      <c r="R409" s="6"/>
    </row>
    <row r="410" spans="1:18">
      <c r="A410" t="s">
        <v>899</v>
      </c>
      <c r="B41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1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10" s="6">
        <f>TAX_CERTIFICATE[[#This Row],[BEGINNING PERIOD UNITS]]*$AA$2</f>
        <v>0</v>
      </c>
      <c r="E410" s="6">
        <f>TAX_CERTIFICATE[[#This Row],[BEGINNING PERIOD MARKET VALUE]]-TAX_CERTIFICATE[[#This Row],[BEGINNING PERIOD COST VALUE]]</f>
        <v>0</v>
      </c>
      <c r="F41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1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10" s="6">
        <f>TAX_CERTIFICATE[[#This Row],[ENDING PERIOD UNITS]]*$AA$3</f>
        <v>0</v>
      </c>
      <c r="I410" s="6">
        <f>TAX_CERTIFICATE[[#This Row],[ENDING PERIOD MARKET VALUE]]-TAX_CERTIFICATE[[#This Row],[ENDING PERIOD COST VALUE]]</f>
        <v>0</v>
      </c>
      <c r="J41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1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1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1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10" s="6">
        <f>TAX_CERTIFICATE[[#This Row],[TOTAL ADDITION AT COST DURING THE PERIOD]]-TAX_CERTIFICATE[[#This Row],[TOTAL REDEMPTION AT COST DURING THE PERIOD]]</f>
        <v>0</v>
      </c>
      <c r="O41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10" s="6"/>
      <c r="Q410" s="6"/>
      <c r="R410" s="6"/>
    </row>
    <row r="411" spans="1:18">
      <c r="A411" t="s">
        <v>902</v>
      </c>
      <c r="B41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1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11" s="6">
        <f>TAX_CERTIFICATE[[#This Row],[BEGINNING PERIOD UNITS]]*$AA$2</f>
        <v>0</v>
      </c>
      <c r="E411" s="6">
        <f>TAX_CERTIFICATE[[#This Row],[BEGINNING PERIOD MARKET VALUE]]-TAX_CERTIFICATE[[#This Row],[BEGINNING PERIOD COST VALUE]]</f>
        <v>0</v>
      </c>
      <c r="F41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1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11" s="6">
        <f>TAX_CERTIFICATE[[#This Row],[ENDING PERIOD UNITS]]*$AA$3</f>
        <v>0</v>
      </c>
      <c r="I411" s="6">
        <f>TAX_CERTIFICATE[[#This Row],[ENDING PERIOD MARKET VALUE]]-TAX_CERTIFICATE[[#This Row],[ENDING PERIOD COST VALUE]]</f>
        <v>0</v>
      </c>
      <c r="J41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1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1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1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11" s="6">
        <f>TAX_CERTIFICATE[[#This Row],[TOTAL ADDITION AT COST DURING THE PERIOD]]-TAX_CERTIFICATE[[#This Row],[TOTAL REDEMPTION AT COST DURING THE PERIOD]]</f>
        <v>0</v>
      </c>
      <c r="O41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11" s="6"/>
      <c r="Q411" s="6"/>
      <c r="R411" s="6"/>
    </row>
    <row r="412" spans="1:18">
      <c r="A412" t="s">
        <v>904</v>
      </c>
      <c r="B412" s="2">
        <f>SUMIFS(LS[Unit],LS[Investor ID],TAX_CERTIFICATE[[#This Row],[INVESTOR CODE]],LS[Date Value],"&lt;"&amp;$Z$2)+SUMIFS(SIP[Unit],SIP[Investor ID],TAX_CERTIFICATE[[#This Row],[INVESTOR CODE]],SIP[Date Value],"&lt;"&amp;$Z$2)</f>
        <v>1996</v>
      </c>
      <c r="C41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20000</v>
      </c>
      <c r="D412" s="6">
        <f>TAX_CERTIFICATE[[#This Row],[BEGINNING PERIOD UNITS]]*$AA$2</f>
        <v>19900.120000000003</v>
      </c>
      <c r="E412" s="6">
        <f>TAX_CERTIFICATE[[#This Row],[BEGINNING PERIOD MARKET VALUE]]-TAX_CERTIFICATE[[#This Row],[BEGINNING PERIOD COST VALUE]]</f>
        <v>-99.879999999997381</v>
      </c>
      <c r="F41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1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12" s="6">
        <f>TAX_CERTIFICATE[[#This Row],[ENDING PERIOD UNITS]]*$AA$3</f>
        <v>0</v>
      </c>
      <c r="I412" s="6">
        <f>TAX_CERTIFICATE[[#This Row],[ENDING PERIOD MARKET VALUE]]-TAX_CERTIFICATE[[#This Row],[ENDING PERIOD COST VALUE]]</f>
        <v>0</v>
      </c>
      <c r="J41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1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1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1996</v>
      </c>
      <c r="M41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20000</v>
      </c>
      <c r="N412" s="6">
        <f>TAX_CERTIFICATE[[#This Row],[TOTAL ADDITION AT COST DURING THE PERIOD]]-TAX_CERTIFICATE[[#This Row],[TOTAL REDEMPTION AT COST DURING THE PERIOD]]</f>
        <v>-20000</v>
      </c>
      <c r="O41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578.75999999999692</v>
      </c>
      <c r="P412" s="6"/>
      <c r="Q412" s="6"/>
      <c r="R412" s="6"/>
    </row>
    <row r="413" spans="1:18">
      <c r="A413" t="s">
        <v>906</v>
      </c>
      <c r="B41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1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13" s="6">
        <f>TAX_CERTIFICATE[[#This Row],[BEGINNING PERIOD UNITS]]*$AA$2</f>
        <v>0</v>
      </c>
      <c r="E413" s="6">
        <f>TAX_CERTIFICATE[[#This Row],[BEGINNING PERIOD MARKET VALUE]]-TAX_CERTIFICATE[[#This Row],[BEGINNING PERIOD COST VALUE]]</f>
        <v>0</v>
      </c>
      <c r="F41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1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13" s="6">
        <f>TAX_CERTIFICATE[[#This Row],[ENDING PERIOD UNITS]]*$AA$3</f>
        <v>0</v>
      </c>
      <c r="I413" s="6">
        <f>TAX_CERTIFICATE[[#This Row],[ENDING PERIOD MARKET VALUE]]-TAX_CERTIFICATE[[#This Row],[ENDING PERIOD COST VALUE]]</f>
        <v>0</v>
      </c>
      <c r="J41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1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1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1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13" s="6">
        <f>TAX_CERTIFICATE[[#This Row],[TOTAL ADDITION AT COST DURING THE PERIOD]]-TAX_CERTIFICATE[[#This Row],[TOTAL REDEMPTION AT COST DURING THE PERIOD]]</f>
        <v>0</v>
      </c>
      <c r="O41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13" s="6"/>
      <c r="Q413" s="6"/>
      <c r="R413" s="6"/>
    </row>
    <row r="414" spans="1:18">
      <c r="A414" t="s">
        <v>908</v>
      </c>
      <c r="B41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1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14" s="6">
        <f>TAX_CERTIFICATE[[#This Row],[BEGINNING PERIOD UNITS]]*$AA$2</f>
        <v>0</v>
      </c>
      <c r="E414" s="6">
        <f>TAX_CERTIFICATE[[#This Row],[BEGINNING PERIOD MARKET VALUE]]-TAX_CERTIFICATE[[#This Row],[BEGINNING PERIOD COST VALUE]]</f>
        <v>0</v>
      </c>
      <c r="F41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1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14" s="6">
        <f>TAX_CERTIFICATE[[#This Row],[ENDING PERIOD UNITS]]*$AA$3</f>
        <v>0</v>
      </c>
      <c r="I414" s="6">
        <f>TAX_CERTIFICATE[[#This Row],[ENDING PERIOD MARKET VALUE]]-TAX_CERTIFICATE[[#This Row],[ENDING PERIOD COST VALUE]]</f>
        <v>0</v>
      </c>
      <c r="J41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1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1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1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14" s="6">
        <f>TAX_CERTIFICATE[[#This Row],[TOTAL ADDITION AT COST DURING THE PERIOD]]-TAX_CERTIFICATE[[#This Row],[TOTAL REDEMPTION AT COST DURING THE PERIOD]]</f>
        <v>0</v>
      </c>
      <c r="O41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14" s="6"/>
      <c r="Q414" s="6"/>
      <c r="R414" s="6"/>
    </row>
    <row r="415" spans="1:18">
      <c r="A415" t="s">
        <v>900</v>
      </c>
      <c r="B41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1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15" s="6">
        <f>TAX_CERTIFICATE[[#This Row],[BEGINNING PERIOD UNITS]]*$AA$2</f>
        <v>0</v>
      </c>
      <c r="E415" s="6">
        <f>TAX_CERTIFICATE[[#This Row],[BEGINNING PERIOD MARKET VALUE]]-TAX_CERTIFICATE[[#This Row],[BEGINNING PERIOD COST VALUE]]</f>
        <v>0</v>
      </c>
      <c r="F41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1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15" s="6">
        <f>TAX_CERTIFICATE[[#This Row],[ENDING PERIOD UNITS]]*$AA$3</f>
        <v>0</v>
      </c>
      <c r="I415" s="6">
        <f>TAX_CERTIFICATE[[#This Row],[ENDING PERIOD MARKET VALUE]]-TAX_CERTIFICATE[[#This Row],[ENDING PERIOD COST VALUE]]</f>
        <v>0</v>
      </c>
      <c r="J41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1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1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1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15" s="6">
        <f>TAX_CERTIFICATE[[#This Row],[TOTAL ADDITION AT COST DURING THE PERIOD]]-TAX_CERTIFICATE[[#This Row],[TOTAL REDEMPTION AT COST DURING THE PERIOD]]</f>
        <v>0</v>
      </c>
      <c r="O41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15" s="6"/>
      <c r="Q415" s="6"/>
      <c r="R415" s="6"/>
    </row>
    <row r="416" spans="1:18">
      <c r="A416" t="s">
        <v>911</v>
      </c>
      <c r="B41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1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16" s="6">
        <f>TAX_CERTIFICATE[[#This Row],[BEGINNING PERIOD UNITS]]*$AA$2</f>
        <v>0</v>
      </c>
      <c r="E416" s="6">
        <f>TAX_CERTIFICATE[[#This Row],[BEGINNING PERIOD MARKET VALUE]]-TAX_CERTIFICATE[[#This Row],[BEGINNING PERIOD COST VALUE]]</f>
        <v>0</v>
      </c>
      <c r="F41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1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16" s="6">
        <f>TAX_CERTIFICATE[[#This Row],[ENDING PERIOD UNITS]]*$AA$3</f>
        <v>0</v>
      </c>
      <c r="I416" s="6">
        <f>TAX_CERTIFICATE[[#This Row],[ENDING PERIOD MARKET VALUE]]-TAX_CERTIFICATE[[#This Row],[ENDING PERIOD COST VALUE]]</f>
        <v>0</v>
      </c>
      <c r="J41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1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1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1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16" s="6">
        <f>TAX_CERTIFICATE[[#This Row],[TOTAL ADDITION AT COST DURING THE PERIOD]]-TAX_CERTIFICATE[[#This Row],[TOTAL REDEMPTION AT COST DURING THE PERIOD]]</f>
        <v>0</v>
      </c>
      <c r="O41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16" s="6"/>
      <c r="Q416" s="6"/>
      <c r="R416" s="6"/>
    </row>
    <row r="417" spans="1:18">
      <c r="A417" t="s">
        <v>912</v>
      </c>
      <c r="B417" s="2">
        <f>SUMIFS(LS[Unit],LS[Investor ID],TAX_CERTIFICATE[[#This Row],[INVESTOR CODE]],LS[Date Value],"&lt;"&amp;$Z$2)+SUMIFS(SIP[Unit],SIP[Investor ID],TAX_CERTIFICATE[[#This Row],[INVESTOR CODE]],SIP[Date Value],"&lt;"&amp;$Z$2)</f>
        <v>5332</v>
      </c>
      <c r="C41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52412.606745714802</v>
      </c>
      <c r="D417" s="6">
        <f>TAX_CERTIFICATE[[#This Row],[BEGINNING PERIOD UNITS]]*$AA$2</f>
        <v>53160.04</v>
      </c>
      <c r="E417" s="6">
        <f>TAX_CERTIFICATE[[#This Row],[BEGINNING PERIOD MARKET VALUE]]-TAX_CERTIFICATE[[#This Row],[BEGINNING PERIOD COST VALUE]]</f>
        <v>747.43325428519893</v>
      </c>
      <c r="F41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1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17" s="6">
        <f>TAX_CERTIFICATE[[#This Row],[ENDING PERIOD UNITS]]*$AA$3</f>
        <v>0</v>
      </c>
      <c r="I417" s="6">
        <f>TAX_CERTIFICATE[[#This Row],[ENDING PERIOD MARKET VALUE]]-TAX_CERTIFICATE[[#This Row],[ENDING PERIOD COST VALUE]]</f>
        <v>0</v>
      </c>
      <c r="J41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1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1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5332</v>
      </c>
      <c r="M41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52412.606745714816</v>
      </c>
      <c r="N417" s="6">
        <f>TAX_CERTIFICATE[[#This Row],[TOTAL ADDITION AT COST DURING THE PERIOD]]-TAX_CERTIFICATE[[#This Row],[TOTAL REDEMPTION AT COST DURING THE PERIOD]]</f>
        <v>-52412.606745714816</v>
      </c>
      <c r="O41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800.7532542851867</v>
      </c>
      <c r="P417" s="6"/>
      <c r="Q417" s="6"/>
      <c r="R417" s="6"/>
    </row>
    <row r="418" spans="1:18">
      <c r="A418" t="s">
        <v>914</v>
      </c>
      <c r="B418" s="2">
        <f>SUMIFS(LS[Unit],LS[Investor ID],TAX_CERTIFICATE[[#This Row],[INVESTOR CODE]],LS[Date Value],"&lt;"&amp;$Z$2)+SUMIFS(SIP[Unit],SIP[Investor ID],TAX_CERTIFICATE[[#This Row],[INVESTOR CODE]],SIP[Date Value],"&lt;"&amp;$Z$2)</f>
        <v>50865</v>
      </c>
      <c r="C41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500000</v>
      </c>
      <c r="D418" s="6">
        <f>TAX_CERTIFICATE[[#This Row],[BEGINNING PERIOD UNITS]]*$AA$2</f>
        <v>507124.05000000005</v>
      </c>
      <c r="E418" s="6">
        <f>TAX_CERTIFICATE[[#This Row],[BEGINNING PERIOD MARKET VALUE]]-TAX_CERTIFICATE[[#This Row],[BEGINNING PERIOD COST VALUE]]</f>
        <v>7124.0500000000466</v>
      </c>
      <c r="F418" s="33">
        <f>SUMIFS(LS[Unit],LS[Investor ID],TAX_CERTIFICATE[[#This Row],[INVESTOR CODE]],LS[Date Value],"&lt;="&amp;$Z$3)+SUMIFS(SIP[Unit],SIP[Investor ID],TAX_CERTIFICATE[[#This Row],[INVESTOR CODE]],SIP[Date Value],"&lt;="&amp;$Z$3)</f>
        <v>50865</v>
      </c>
      <c r="G41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500000</v>
      </c>
      <c r="H418" s="6">
        <f>TAX_CERTIFICATE[[#This Row],[ENDING PERIOD UNITS]]*$AA$3</f>
        <v>505801.56000000006</v>
      </c>
      <c r="I418" s="6">
        <f>TAX_CERTIFICATE[[#This Row],[ENDING PERIOD MARKET VALUE]]-TAX_CERTIFICATE[[#This Row],[ENDING PERIOD COST VALUE]]</f>
        <v>5801.5600000000559</v>
      </c>
      <c r="J41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1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1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1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18" s="6">
        <f>TAX_CERTIFICATE[[#This Row],[TOTAL ADDITION AT COST DURING THE PERIOD]]-TAX_CERTIFICATE[[#This Row],[TOTAL REDEMPTION AT COST DURING THE PERIOD]]</f>
        <v>0</v>
      </c>
      <c r="O41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18" s="6"/>
      <c r="Q418" s="6"/>
      <c r="R418" s="6"/>
    </row>
    <row r="419" spans="1:18">
      <c r="A419" t="s">
        <v>913</v>
      </c>
      <c r="B419" s="2">
        <f>SUMIFS(LS[Unit],LS[Investor ID],TAX_CERTIFICATE[[#This Row],[INVESTOR CODE]],LS[Date Value],"&lt;"&amp;$Z$2)+SUMIFS(SIP[Unit],SIP[Investor ID],TAX_CERTIFICATE[[#This Row],[INVESTOR CODE]],SIP[Date Value],"&lt;"&amp;$Z$2)</f>
        <v>59158</v>
      </c>
      <c r="C41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601942.12904493278</v>
      </c>
      <c r="D419" s="6">
        <f>TAX_CERTIFICATE[[#This Row],[BEGINNING PERIOD UNITS]]*$AA$2</f>
        <v>589805.26</v>
      </c>
      <c r="E419" s="6">
        <f>TAX_CERTIFICATE[[#This Row],[BEGINNING PERIOD MARKET VALUE]]-TAX_CERTIFICATE[[#This Row],[BEGINNING PERIOD COST VALUE]]</f>
        <v>-12136.86904493277</v>
      </c>
      <c r="F419" s="33">
        <f>SUMIFS(LS[Unit],LS[Investor ID],TAX_CERTIFICATE[[#This Row],[INVESTOR CODE]],LS[Date Value],"&lt;="&amp;$Z$3)+SUMIFS(SIP[Unit],SIP[Investor ID],TAX_CERTIFICATE[[#This Row],[INVESTOR CODE]],SIP[Date Value],"&lt;="&amp;$Z$3)</f>
        <v>20213</v>
      </c>
      <c r="G41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205670.51378317759</v>
      </c>
      <c r="H419" s="6">
        <f>TAX_CERTIFICATE[[#This Row],[ENDING PERIOD UNITS]]*$AA$3</f>
        <v>200998.07200000001</v>
      </c>
      <c r="I419" s="6">
        <f>TAX_CERTIFICATE[[#This Row],[ENDING PERIOD MARKET VALUE]]-TAX_CERTIFICATE[[#This Row],[ENDING PERIOD COST VALUE]]</f>
        <v>-4672.4417831775791</v>
      </c>
      <c r="J41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1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1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38945</v>
      </c>
      <c r="M41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396271.61526175513</v>
      </c>
      <c r="N419" s="6">
        <f>TAX_CERTIFICATE[[#This Row],[TOTAL ADDITION AT COST DURING THE PERIOD]]-TAX_CERTIFICATE[[#This Row],[TOTAL REDEMPTION AT COST DURING THE PERIOD]]</f>
        <v>-396271.61526175513</v>
      </c>
      <c r="O41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3728.3847382449308</v>
      </c>
      <c r="P419" s="6"/>
      <c r="Q419" s="6"/>
      <c r="R419" s="6"/>
    </row>
    <row r="420" spans="1:18">
      <c r="A420" t="s">
        <v>920</v>
      </c>
      <c r="B420" s="2">
        <f>SUMIFS(LS[Unit],LS[Investor ID],TAX_CERTIFICATE[[#This Row],[INVESTOR CODE]],LS[Date Value],"&lt;"&amp;$Z$2)+SUMIFS(SIP[Unit],SIP[Investor ID],TAX_CERTIFICATE[[#This Row],[INVESTOR CODE]],SIP[Date Value],"&lt;"&amp;$Z$2)</f>
        <v>4113</v>
      </c>
      <c r="C42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40554.988180826098</v>
      </c>
      <c r="D420" s="6">
        <f>TAX_CERTIFICATE[[#This Row],[BEGINNING PERIOD UNITS]]*$AA$2</f>
        <v>41006.61</v>
      </c>
      <c r="E420" s="6">
        <f>TAX_CERTIFICATE[[#This Row],[BEGINNING PERIOD MARKET VALUE]]-TAX_CERTIFICATE[[#This Row],[BEGINNING PERIOD COST VALUE]]</f>
        <v>451.62181917390262</v>
      </c>
      <c r="F42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2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20" s="6">
        <f>TAX_CERTIFICATE[[#This Row],[ENDING PERIOD UNITS]]*$AA$3</f>
        <v>0</v>
      </c>
      <c r="I420" s="6">
        <f>TAX_CERTIFICATE[[#This Row],[ENDING PERIOD MARKET VALUE]]-TAX_CERTIFICATE[[#This Row],[ENDING PERIOD COST VALUE]]</f>
        <v>0</v>
      </c>
      <c r="J42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100</v>
      </c>
      <c r="K42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1028.25</v>
      </c>
      <c r="L42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4213</v>
      </c>
      <c r="M42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41583.238180826091</v>
      </c>
      <c r="N420" s="6">
        <f>TAX_CERTIFICATE[[#This Row],[TOTAL ADDITION AT COST DURING THE PERIOD]]-TAX_CERTIFICATE[[#This Row],[TOTAL REDEMPTION AT COST DURING THE PERIOD]]</f>
        <v>-40554.988180826091</v>
      </c>
      <c r="O42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1072.6818191739053</v>
      </c>
      <c r="P420" s="6"/>
      <c r="Q420" s="6"/>
      <c r="R420" s="6"/>
    </row>
    <row r="421" spans="1:18">
      <c r="A421" t="s">
        <v>918</v>
      </c>
      <c r="B42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2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21" s="6">
        <f>TAX_CERTIFICATE[[#This Row],[BEGINNING PERIOD UNITS]]*$AA$2</f>
        <v>0</v>
      </c>
      <c r="E421" s="6">
        <f>TAX_CERTIFICATE[[#This Row],[BEGINNING PERIOD MARKET VALUE]]-TAX_CERTIFICATE[[#This Row],[BEGINNING PERIOD COST VALUE]]</f>
        <v>0</v>
      </c>
      <c r="F42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2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21" s="6">
        <f>TAX_CERTIFICATE[[#This Row],[ENDING PERIOD UNITS]]*$AA$3</f>
        <v>0</v>
      </c>
      <c r="I421" s="6">
        <f>TAX_CERTIFICATE[[#This Row],[ENDING PERIOD MARKET VALUE]]-TAX_CERTIFICATE[[#This Row],[ENDING PERIOD COST VALUE]]</f>
        <v>0</v>
      </c>
      <c r="J42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2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2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2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21" s="6">
        <f>TAX_CERTIFICATE[[#This Row],[TOTAL ADDITION AT COST DURING THE PERIOD]]-TAX_CERTIFICATE[[#This Row],[TOTAL REDEMPTION AT COST DURING THE PERIOD]]</f>
        <v>0</v>
      </c>
      <c r="O42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21" s="6"/>
      <c r="Q421" s="6"/>
      <c r="R421" s="6"/>
    </row>
    <row r="422" spans="1:18">
      <c r="A422" t="s">
        <v>923</v>
      </c>
      <c r="B42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2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22" s="6">
        <f>TAX_CERTIFICATE[[#This Row],[BEGINNING PERIOD UNITS]]*$AA$2</f>
        <v>0</v>
      </c>
      <c r="E422" s="6">
        <f>TAX_CERTIFICATE[[#This Row],[BEGINNING PERIOD MARKET VALUE]]-TAX_CERTIFICATE[[#This Row],[BEGINNING PERIOD COST VALUE]]</f>
        <v>0</v>
      </c>
      <c r="F42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2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22" s="6">
        <f>TAX_CERTIFICATE[[#This Row],[ENDING PERIOD UNITS]]*$AA$3</f>
        <v>0</v>
      </c>
      <c r="I422" s="6">
        <f>TAX_CERTIFICATE[[#This Row],[ENDING PERIOD MARKET VALUE]]-TAX_CERTIFICATE[[#This Row],[ENDING PERIOD COST VALUE]]</f>
        <v>0</v>
      </c>
      <c r="J42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2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2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2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22" s="6">
        <f>TAX_CERTIFICATE[[#This Row],[TOTAL ADDITION AT COST DURING THE PERIOD]]-TAX_CERTIFICATE[[#This Row],[TOTAL REDEMPTION AT COST DURING THE PERIOD]]</f>
        <v>0</v>
      </c>
      <c r="O42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22" s="6"/>
      <c r="Q422" s="6"/>
      <c r="R422" s="6"/>
    </row>
    <row r="423" spans="1:18">
      <c r="A423" t="s">
        <v>925</v>
      </c>
      <c r="B423" s="2">
        <f>SUMIFS(LS[Unit],LS[Investor ID],TAX_CERTIFICATE[[#This Row],[INVESTOR CODE]],LS[Date Value],"&lt;"&amp;$Z$2)+SUMIFS(SIP[Unit],SIP[Investor ID],TAX_CERTIFICATE[[#This Row],[INVESTOR CODE]],SIP[Date Value],"&lt;"&amp;$Z$2)</f>
        <v>50916</v>
      </c>
      <c r="C42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500000</v>
      </c>
      <c r="D423" s="6">
        <f>TAX_CERTIFICATE[[#This Row],[BEGINNING PERIOD UNITS]]*$AA$2</f>
        <v>507632.52</v>
      </c>
      <c r="E423" s="6">
        <f>TAX_CERTIFICATE[[#This Row],[BEGINNING PERIOD MARKET VALUE]]-TAX_CERTIFICATE[[#This Row],[BEGINNING PERIOD COST VALUE]]</f>
        <v>7632.5200000000186</v>
      </c>
      <c r="F423" s="33">
        <f>SUMIFS(LS[Unit],LS[Investor ID],TAX_CERTIFICATE[[#This Row],[INVESTOR CODE]],LS[Date Value],"&lt;="&amp;$Z$3)+SUMIFS(SIP[Unit],SIP[Investor ID],TAX_CERTIFICATE[[#This Row],[INVESTOR CODE]],SIP[Date Value],"&lt;="&amp;$Z$3)</f>
        <v>50916</v>
      </c>
      <c r="G42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500000</v>
      </c>
      <c r="H423" s="6">
        <f>TAX_CERTIFICATE[[#This Row],[ENDING PERIOD UNITS]]*$AA$3</f>
        <v>506308.70400000003</v>
      </c>
      <c r="I423" s="6">
        <f>TAX_CERTIFICATE[[#This Row],[ENDING PERIOD MARKET VALUE]]-TAX_CERTIFICATE[[#This Row],[ENDING PERIOD COST VALUE]]</f>
        <v>6308.704000000027</v>
      </c>
      <c r="J42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2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2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2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23" s="6">
        <f>TAX_CERTIFICATE[[#This Row],[TOTAL ADDITION AT COST DURING THE PERIOD]]-TAX_CERTIFICATE[[#This Row],[TOTAL REDEMPTION AT COST DURING THE PERIOD]]</f>
        <v>0</v>
      </c>
      <c r="O42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23" s="6"/>
      <c r="Q423" s="6"/>
      <c r="R423" s="6"/>
    </row>
    <row r="424" spans="1:18">
      <c r="A424" t="s">
        <v>927</v>
      </c>
      <c r="B424" s="2">
        <f>SUMIFS(LS[Unit],LS[Investor ID],TAX_CERTIFICATE[[#This Row],[INVESTOR CODE]],LS[Date Value],"&lt;"&amp;$Z$2)+SUMIFS(SIP[Unit],SIP[Investor ID],TAX_CERTIFICATE[[#This Row],[INVESTOR CODE]],SIP[Date Value],"&lt;"&amp;$Z$2)</f>
        <v>1222</v>
      </c>
      <c r="C42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12000</v>
      </c>
      <c r="D424" s="6">
        <f>TAX_CERTIFICATE[[#This Row],[BEGINNING PERIOD UNITS]]*$AA$2</f>
        <v>12183.34</v>
      </c>
      <c r="E424" s="6">
        <f>TAX_CERTIFICATE[[#This Row],[BEGINNING PERIOD MARKET VALUE]]-TAX_CERTIFICATE[[#This Row],[BEGINNING PERIOD COST VALUE]]</f>
        <v>183.34000000000015</v>
      </c>
      <c r="F42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2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24" s="6">
        <f>TAX_CERTIFICATE[[#This Row],[ENDING PERIOD UNITS]]*$AA$3</f>
        <v>0</v>
      </c>
      <c r="I424" s="6">
        <f>TAX_CERTIFICATE[[#This Row],[ENDING PERIOD MARKET VALUE]]-TAX_CERTIFICATE[[#This Row],[ENDING PERIOD COST VALUE]]</f>
        <v>0</v>
      </c>
      <c r="J42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2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2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1222</v>
      </c>
      <c r="M42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12000</v>
      </c>
      <c r="N424" s="6">
        <f>TAX_CERTIFICATE[[#This Row],[TOTAL ADDITION AT COST DURING THE PERIOD]]-TAX_CERTIFICATE[[#This Row],[TOTAL REDEMPTION AT COST DURING THE PERIOD]]</f>
        <v>-12000</v>
      </c>
      <c r="O42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532.83000000000027</v>
      </c>
      <c r="P424" s="6"/>
      <c r="Q424" s="6"/>
      <c r="R424" s="6"/>
    </row>
    <row r="425" spans="1:18">
      <c r="A425" t="s">
        <v>929</v>
      </c>
      <c r="B42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2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25" s="6">
        <f>TAX_CERTIFICATE[[#This Row],[BEGINNING PERIOD UNITS]]*$AA$2</f>
        <v>0</v>
      </c>
      <c r="E425" s="6">
        <f>TAX_CERTIFICATE[[#This Row],[BEGINNING PERIOD MARKET VALUE]]-TAX_CERTIFICATE[[#This Row],[BEGINNING PERIOD COST VALUE]]</f>
        <v>0</v>
      </c>
      <c r="F42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2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25" s="6">
        <f>TAX_CERTIFICATE[[#This Row],[ENDING PERIOD UNITS]]*$AA$3</f>
        <v>0</v>
      </c>
      <c r="I425" s="6">
        <f>TAX_CERTIFICATE[[#This Row],[ENDING PERIOD MARKET VALUE]]-TAX_CERTIFICATE[[#This Row],[ENDING PERIOD COST VALUE]]</f>
        <v>0</v>
      </c>
      <c r="J42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2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2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2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25" s="6">
        <f>TAX_CERTIFICATE[[#This Row],[TOTAL ADDITION AT COST DURING THE PERIOD]]-TAX_CERTIFICATE[[#This Row],[TOTAL REDEMPTION AT COST DURING THE PERIOD]]</f>
        <v>0</v>
      </c>
      <c r="O42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25" s="6"/>
      <c r="Q425" s="6"/>
      <c r="R425" s="6"/>
    </row>
    <row r="426" spans="1:18">
      <c r="A426" t="s">
        <v>931</v>
      </c>
      <c r="B42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2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26" s="6">
        <f>TAX_CERTIFICATE[[#This Row],[BEGINNING PERIOD UNITS]]*$AA$2</f>
        <v>0</v>
      </c>
      <c r="E426" s="6">
        <f>TAX_CERTIFICATE[[#This Row],[BEGINNING PERIOD MARKET VALUE]]-TAX_CERTIFICATE[[#This Row],[BEGINNING PERIOD COST VALUE]]</f>
        <v>0</v>
      </c>
      <c r="F42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2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26" s="6">
        <f>TAX_CERTIFICATE[[#This Row],[ENDING PERIOD UNITS]]*$AA$3</f>
        <v>0</v>
      </c>
      <c r="I426" s="6">
        <f>TAX_CERTIFICATE[[#This Row],[ENDING PERIOD MARKET VALUE]]-TAX_CERTIFICATE[[#This Row],[ENDING PERIOD COST VALUE]]</f>
        <v>0</v>
      </c>
      <c r="J42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2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2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2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26" s="6">
        <f>TAX_CERTIFICATE[[#This Row],[TOTAL ADDITION AT COST DURING THE PERIOD]]-TAX_CERTIFICATE[[#This Row],[TOTAL REDEMPTION AT COST DURING THE PERIOD]]</f>
        <v>0</v>
      </c>
      <c r="O42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26" s="6"/>
      <c r="Q426" s="6"/>
      <c r="R426" s="6"/>
    </row>
    <row r="427" spans="1:18">
      <c r="A427" t="s">
        <v>933</v>
      </c>
      <c r="B42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2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27" s="6">
        <f>TAX_CERTIFICATE[[#This Row],[BEGINNING PERIOD UNITS]]*$AA$2</f>
        <v>0</v>
      </c>
      <c r="E427" s="6">
        <f>TAX_CERTIFICATE[[#This Row],[BEGINNING PERIOD MARKET VALUE]]-TAX_CERTIFICATE[[#This Row],[BEGINNING PERIOD COST VALUE]]</f>
        <v>0</v>
      </c>
      <c r="F42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2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27" s="6">
        <f>TAX_CERTIFICATE[[#This Row],[ENDING PERIOD UNITS]]*$AA$3</f>
        <v>0</v>
      </c>
      <c r="I427" s="6">
        <f>TAX_CERTIFICATE[[#This Row],[ENDING PERIOD MARKET VALUE]]-TAX_CERTIFICATE[[#This Row],[ENDING PERIOD COST VALUE]]</f>
        <v>0</v>
      </c>
      <c r="J42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2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2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2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27" s="6">
        <f>TAX_CERTIFICATE[[#This Row],[TOTAL ADDITION AT COST DURING THE PERIOD]]-TAX_CERTIFICATE[[#This Row],[TOTAL REDEMPTION AT COST DURING THE PERIOD]]</f>
        <v>0</v>
      </c>
      <c r="O42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27" s="6"/>
      <c r="Q427" s="6"/>
      <c r="R427" s="6"/>
    </row>
    <row r="428" spans="1:18">
      <c r="A428" t="s">
        <v>935</v>
      </c>
      <c r="B428" s="2">
        <f>SUMIFS(LS[Unit],LS[Investor ID],TAX_CERTIFICATE[[#This Row],[INVESTOR CODE]],LS[Date Value],"&lt;"&amp;$Z$2)+SUMIFS(SIP[Unit],SIP[Investor ID],TAX_CERTIFICATE[[#This Row],[INVESTOR CODE]],SIP[Date Value],"&lt;"&amp;$Z$2)</f>
        <v>59211</v>
      </c>
      <c r="C42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602430.40212107822</v>
      </c>
      <c r="D428" s="6">
        <f>TAX_CERTIFICATE[[#This Row],[BEGINNING PERIOD UNITS]]*$AA$2</f>
        <v>590333.67000000004</v>
      </c>
      <c r="E428" s="6">
        <f>TAX_CERTIFICATE[[#This Row],[BEGINNING PERIOD MARKET VALUE]]-TAX_CERTIFICATE[[#This Row],[BEGINNING PERIOD COST VALUE]]</f>
        <v>-12096.732121078181</v>
      </c>
      <c r="F428" s="33">
        <f>SUMIFS(LS[Unit],LS[Investor ID],TAX_CERTIFICATE[[#This Row],[INVESTOR CODE]],LS[Date Value],"&lt;="&amp;$Z$3)+SUMIFS(SIP[Unit],SIP[Investor ID],TAX_CERTIFICATE[[#This Row],[INVESTOR CODE]],SIP[Date Value],"&lt;="&amp;$Z$3)</f>
        <v>10771</v>
      </c>
      <c r="G42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109504.61563028744</v>
      </c>
      <c r="H428" s="6">
        <f>TAX_CERTIFICATE[[#This Row],[ENDING PERIOD UNITS]]*$AA$3</f>
        <v>107106.82400000001</v>
      </c>
      <c r="I428" s="6">
        <f>TAX_CERTIFICATE[[#This Row],[ENDING PERIOD MARKET VALUE]]-TAX_CERTIFICATE[[#This Row],[ENDING PERIOD COST VALUE]]</f>
        <v>-2397.7916302874364</v>
      </c>
      <c r="J42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241</v>
      </c>
      <c r="K42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2369.25</v>
      </c>
      <c r="L42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48681</v>
      </c>
      <c r="M42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495295.03649079072</v>
      </c>
      <c r="N428" s="6">
        <f>TAX_CERTIFICATE[[#This Row],[TOTAL ADDITION AT COST DURING THE PERIOD]]-TAX_CERTIFICATE[[#This Row],[TOTAL REDEMPTION AT COST DURING THE PERIOD]]</f>
        <v>-492925.78649079072</v>
      </c>
      <c r="O42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4704.9635092093031</v>
      </c>
      <c r="P428" s="6"/>
      <c r="Q428" s="6"/>
      <c r="R428" s="6"/>
    </row>
    <row r="429" spans="1:18">
      <c r="A429" t="s">
        <v>937</v>
      </c>
      <c r="B42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2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1.4551915228366852E-11</v>
      </c>
      <c r="D429" s="6">
        <f>TAX_CERTIFICATE[[#This Row],[BEGINNING PERIOD UNITS]]*$AA$2</f>
        <v>0</v>
      </c>
      <c r="E429" s="6">
        <f>TAX_CERTIFICATE[[#This Row],[BEGINNING PERIOD MARKET VALUE]]-TAX_CERTIFICATE[[#This Row],[BEGINNING PERIOD COST VALUE]]</f>
        <v>-1.4551915228366852E-11</v>
      </c>
      <c r="F42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2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1.4551915228366852E-11</v>
      </c>
      <c r="H429" s="6">
        <f>TAX_CERTIFICATE[[#This Row],[ENDING PERIOD UNITS]]*$AA$3</f>
        <v>0</v>
      </c>
      <c r="I429" s="6">
        <f>TAX_CERTIFICATE[[#This Row],[ENDING PERIOD MARKET VALUE]]-TAX_CERTIFICATE[[#This Row],[ENDING PERIOD COST VALUE]]</f>
        <v>-1.4551915228366852E-11</v>
      </c>
      <c r="J42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2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2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2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29" s="6">
        <f>TAX_CERTIFICATE[[#This Row],[TOTAL ADDITION AT COST DURING THE PERIOD]]-TAX_CERTIFICATE[[#This Row],[TOTAL REDEMPTION AT COST DURING THE PERIOD]]</f>
        <v>0</v>
      </c>
      <c r="O42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29" s="6"/>
      <c r="Q429" s="6"/>
      <c r="R429" s="6"/>
    </row>
    <row r="430" spans="1:18">
      <c r="A430" t="s">
        <v>939</v>
      </c>
      <c r="B43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3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30" s="6">
        <f>TAX_CERTIFICATE[[#This Row],[BEGINNING PERIOD UNITS]]*$AA$2</f>
        <v>0</v>
      </c>
      <c r="E430" s="6">
        <f>TAX_CERTIFICATE[[#This Row],[BEGINNING PERIOD MARKET VALUE]]-TAX_CERTIFICATE[[#This Row],[BEGINNING PERIOD COST VALUE]]</f>
        <v>0</v>
      </c>
      <c r="F43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3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30" s="6">
        <f>TAX_CERTIFICATE[[#This Row],[ENDING PERIOD UNITS]]*$AA$3</f>
        <v>0</v>
      </c>
      <c r="I430" s="6">
        <f>TAX_CERTIFICATE[[#This Row],[ENDING PERIOD MARKET VALUE]]-TAX_CERTIFICATE[[#This Row],[ENDING PERIOD COST VALUE]]</f>
        <v>0</v>
      </c>
      <c r="J43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3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3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3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30" s="6">
        <f>TAX_CERTIFICATE[[#This Row],[TOTAL ADDITION AT COST DURING THE PERIOD]]-TAX_CERTIFICATE[[#This Row],[TOTAL REDEMPTION AT COST DURING THE PERIOD]]</f>
        <v>0</v>
      </c>
      <c r="O43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30" s="6"/>
      <c r="Q430" s="6"/>
      <c r="R430" s="6"/>
    </row>
    <row r="431" spans="1:18">
      <c r="A431" t="s">
        <v>941</v>
      </c>
      <c r="B43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3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31" s="6">
        <f>TAX_CERTIFICATE[[#This Row],[BEGINNING PERIOD UNITS]]*$AA$2</f>
        <v>0</v>
      </c>
      <c r="E431" s="6">
        <f>TAX_CERTIFICATE[[#This Row],[BEGINNING PERIOD MARKET VALUE]]-TAX_CERTIFICATE[[#This Row],[BEGINNING PERIOD COST VALUE]]</f>
        <v>0</v>
      </c>
      <c r="F43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3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31" s="6">
        <f>TAX_CERTIFICATE[[#This Row],[ENDING PERIOD UNITS]]*$AA$3</f>
        <v>0</v>
      </c>
      <c r="I431" s="6">
        <f>TAX_CERTIFICATE[[#This Row],[ENDING PERIOD MARKET VALUE]]-TAX_CERTIFICATE[[#This Row],[ENDING PERIOD COST VALUE]]</f>
        <v>0</v>
      </c>
      <c r="J43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3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3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3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31" s="6">
        <f>TAX_CERTIFICATE[[#This Row],[TOTAL ADDITION AT COST DURING THE PERIOD]]-TAX_CERTIFICATE[[#This Row],[TOTAL REDEMPTION AT COST DURING THE PERIOD]]</f>
        <v>0</v>
      </c>
      <c r="O43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31" s="6"/>
      <c r="Q431" s="6"/>
      <c r="R431" s="6"/>
    </row>
    <row r="432" spans="1:18">
      <c r="A432" t="s">
        <v>943</v>
      </c>
      <c r="B432" s="2">
        <f>SUMIFS(LS[Unit],LS[Investor ID],TAX_CERTIFICATE[[#This Row],[INVESTOR CODE]],LS[Date Value],"&lt;"&amp;$Z$2)+SUMIFS(SIP[Unit],SIP[Investor ID],TAX_CERTIFICATE[[#This Row],[INVESTOR CODE]],SIP[Date Value],"&lt;"&amp;$Z$2)</f>
        <v>6003</v>
      </c>
      <c r="C43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60000</v>
      </c>
      <c r="D432" s="6">
        <f>TAX_CERTIFICATE[[#This Row],[BEGINNING PERIOD UNITS]]*$AA$2</f>
        <v>59849.91</v>
      </c>
      <c r="E432" s="6">
        <f>TAX_CERTIFICATE[[#This Row],[BEGINNING PERIOD MARKET VALUE]]-TAX_CERTIFICATE[[#This Row],[BEGINNING PERIOD COST VALUE]]</f>
        <v>-150.08999999999651</v>
      </c>
      <c r="F43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3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1.4551915228366852E-11</v>
      </c>
      <c r="H432" s="6">
        <f>TAX_CERTIFICATE[[#This Row],[ENDING PERIOD UNITS]]*$AA$3</f>
        <v>0</v>
      </c>
      <c r="I432" s="6">
        <f>TAX_CERTIFICATE[[#This Row],[ENDING PERIOD MARKET VALUE]]-TAX_CERTIFICATE[[#This Row],[ENDING PERIOD COST VALUE]]</f>
        <v>-1.4551915228366852E-11</v>
      </c>
      <c r="J43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488</v>
      </c>
      <c r="K43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5000</v>
      </c>
      <c r="L43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6491</v>
      </c>
      <c r="M43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64999.999999999985</v>
      </c>
      <c r="N432" s="6">
        <f>TAX_CERTIFICATE[[#This Row],[TOTAL ADDITION AT COST DURING THE PERIOD]]-TAX_CERTIFICATE[[#This Row],[TOTAL REDEMPTION AT COST DURING THE PERIOD]]</f>
        <v>-59999.999999999985</v>
      </c>
      <c r="O43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1688.53000000001</v>
      </c>
      <c r="P432" s="6"/>
      <c r="Q432" s="6"/>
      <c r="R432" s="6"/>
    </row>
    <row r="433" spans="1:18">
      <c r="A433" t="s">
        <v>945</v>
      </c>
      <c r="B43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3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33" s="6">
        <f>TAX_CERTIFICATE[[#This Row],[BEGINNING PERIOD UNITS]]*$AA$2</f>
        <v>0</v>
      </c>
      <c r="E433" s="6">
        <f>TAX_CERTIFICATE[[#This Row],[BEGINNING PERIOD MARKET VALUE]]-TAX_CERTIFICATE[[#This Row],[BEGINNING PERIOD COST VALUE]]</f>
        <v>0</v>
      </c>
      <c r="F43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3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33" s="6">
        <f>TAX_CERTIFICATE[[#This Row],[ENDING PERIOD UNITS]]*$AA$3</f>
        <v>0</v>
      </c>
      <c r="I433" s="6">
        <f>TAX_CERTIFICATE[[#This Row],[ENDING PERIOD MARKET VALUE]]-TAX_CERTIFICATE[[#This Row],[ENDING PERIOD COST VALUE]]</f>
        <v>0</v>
      </c>
      <c r="J43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3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3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3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33" s="6">
        <f>TAX_CERTIFICATE[[#This Row],[TOTAL ADDITION AT COST DURING THE PERIOD]]-TAX_CERTIFICATE[[#This Row],[TOTAL REDEMPTION AT COST DURING THE PERIOD]]</f>
        <v>0</v>
      </c>
      <c r="O43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33" s="6"/>
      <c r="Q433" s="6"/>
      <c r="R433" s="6"/>
    </row>
    <row r="434" spans="1:18">
      <c r="A434" t="s">
        <v>947</v>
      </c>
      <c r="B43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3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34" s="6">
        <f>TAX_CERTIFICATE[[#This Row],[BEGINNING PERIOD UNITS]]*$AA$2</f>
        <v>0</v>
      </c>
      <c r="E434" s="6">
        <f>TAX_CERTIFICATE[[#This Row],[BEGINNING PERIOD MARKET VALUE]]-TAX_CERTIFICATE[[#This Row],[BEGINNING PERIOD COST VALUE]]</f>
        <v>0</v>
      </c>
      <c r="F43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3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34" s="6">
        <f>TAX_CERTIFICATE[[#This Row],[ENDING PERIOD UNITS]]*$AA$3</f>
        <v>0</v>
      </c>
      <c r="I434" s="6">
        <f>TAX_CERTIFICATE[[#This Row],[ENDING PERIOD MARKET VALUE]]-TAX_CERTIFICATE[[#This Row],[ENDING PERIOD COST VALUE]]</f>
        <v>0</v>
      </c>
      <c r="J43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3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3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3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34" s="6">
        <f>TAX_CERTIFICATE[[#This Row],[TOTAL ADDITION AT COST DURING THE PERIOD]]-TAX_CERTIFICATE[[#This Row],[TOTAL REDEMPTION AT COST DURING THE PERIOD]]</f>
        <v>0</v>
      </c>
      <c r="O43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34" s="6"/>
      <c r="Q434" s="6"/>
      <c r="R434" s="6"/>
    </row>
    <row r="435" spans="1:18">
      <c r="A435" t="s">
        <v>949</v>
      </c>
      <c r="B43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3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35" s="6">
        <f>TAX_CERTIFICATE[[#This Row],[BEGINNING PERIOD UNITS]]*$AA$2</f>
        <v>0</v>
      </c>
      <c r="E435" s="6">
        <f>TAX_CERTIFICATE[[#This Row],[BEGINNING PERIOD MARKET VALUE]]-TAX_CERTIFICATE[[#This Row],[BEGINNING PERIOD COST VALUE]]</f>
        <v>0</v>
      </c>
      <c r="F43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3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35" s="6">
        <f>TAX_CERTIFICATE[[#This Row],[ENDING PERIOD UNITS]]*$AA$3</f>
        <v>0</v>
      </c>
      <c r="I435" s="6">
        <f>TAX_CERTIFICATE[[#This Row],[ENDING PERIOD MARKET VALUE]]-TAX_CERTIFICATE[[#This Row],[ENDING PERIOD COST VALUE]]</f>
        <v>0</v>
      </c>
      <c r="J43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3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3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3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35" s="6">
        <f>TAX_CERTIFICATE[[#This Row],[TOTAL ADDITION AT COST DURING THE PERIOD]]-TAX_CERTIFICATE[[#This Row],[TOTAL REDEMPTION AT COST DURING THE PERIOD]]</f>
        <v>0</v>
      </c>
      <c r="O43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35" s="6"/>
      <c r="Q435" s="6"/>
      <c r="R435" s="6"/>
    </row>
    <row r="436" spans="1:18">
      <c r="A436" t="s">
        <v>951</v>
      </c>
      <c r="B43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3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36" s="6">
        <f>TAX_CERTIFICATE[[#This Row],[BEGINNING PERIOD UNITS]]*$AA$2</f>
        <v>0</v>
      </c>
      <c r="E436" s="6">
        <f>TAX_CERTIFICATE[[#This Row],[BEGINNING PERIOD MARKET VALUE]]-TAX_CERTIFICATE[[#This Row],[BEGINNING PERIOD COST VALUE]]</f>
        <v>0</v>
      </c>
      <c r="F43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3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36" s="6">
        <f>TAX_CERTIFICATE[[#This Row],[ENDING PERIOD UNITS]]*$AA$3</f>
        <v>0</v>
      </c>
      <c r="I436" s="6">
        <f>TAX_CERTIFICATE[[#This Row],[ENDING PERIOD MARKET VALUE]]-TAX_CERTIFICATE[[#This Row],[ENDING PERIOD COST VALUE]]</f>
        <v>0</v>
      </c>
      <c r="J43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3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3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3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36" s="6">
        <f>TAX_CERTIFICATE[[#This Row],[TOTAL ADDITION AT COST DURING THE PERIOD]]-TAX_CERTIFICATE[[#This Row],[TOTAL REDEMPTION AT COST DURING THE PERIOD]]</f>
        <v>0</v>
      </c>
      <c r="O43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36" s="6"/>
      <c r="Q436" s="6"/>
      <c r="R436" s="6"/>
    </row>
    <row r="437" spans="1:18">
      <c r="A437" t="s">
        <v>953</v>
      </c>
      <c r="B43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3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37" s="6">
        <f>TAX_CERTIFICATE[[#This Row],[BEGINNING PERIOD UNITS]]*$AA$2</f>
        <v>0</v>
      </c>
      <c r="E437" s="6">
        <f>TAX_CERTIFICATE[[#This Row],[BEGINNING PERIOD MARKET VALUE]]-TAX_CERTIFICATE[[#This Row],[BEGINNING PERIOD COST VALUE]]</f>
        <v>0</v>
      </c>
      <c r="F43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3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37" s="6">
        <f>TAX_CERTIFICATE[[#This Row],[ENDING PERIOD UNITS]]*$AA$3</f>
        <v>0</v>
      </c>
      <c r="I437" s="6">
        <f>TAX_CERTIFICATE[[#This Row],[ENDING PERIOD MARKET VALUE]]-TAX_CERTIFICATE[[#This Row],[ENDING PERIOD COST VALUE]]</f>
        <v>0</v>
      </c>
      <c r="J43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3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3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3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37" s="6">
        <f>TAX_CERTIFICATE[[#This Row],[TOTAL ADDITION AT COST DURING THE PERIOD]]-TAX_CERTIFICATE[[#This Row],[TOTAL REDEMPTION AT COST DURING THE PERIOD]]</f>
        <v>0</v>
      </c>
      <c r="O43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37" s="6"/>
      <c r="Q437" s="6"/>
      <c r="R437" s="6"/>
    </row>
    <row r="438" spans="1:18">
      <c r="A438" t="s">
        <v>955</v>
      </c>
      <c r="B43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3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38" s="6">
        <f>TAX_CERTIFICATE[[#This Row],[BEGINNING PERIOD UNITS]]*$AA$2</f>
        <v>0</v>
      </c>
      <c r="E438" s="6">
        <f>TAX_CERTIFICATE[[#This Row],[BEGINNING PERIOD MARKET VALUE]]-TAX_CERTIFICATE[[#This Row],[BEGINNING PERIOD COST VALUE]]</f>
        <v>0</v>
      </c>
      <c r="F43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3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38" s="6">
        <f>TAX_CERTIFICATE[[#This Row],[ENDING PERIOD UNITS]]*$AA$3</f>
        <v>0</v>
      </c>
      <c r="I438" s="6">
        <f>TAX_CERTIFICATE[[#This Row],[ENDING PERIOD MARKET VALUE]]-TAX_CERTIFICATE[[#This Row],[ENDING PERIOD COST VALUE]]</f>
        <v>0</v>
      </c>
      <c r="J43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3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3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3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38" s="6">
        <f>TAX_CERTIFICATE[[#This Row],[TOTAL ADDITION AT COST DURING THE PERIOD]]-TAX_CERTIFICATE[[#This Row],[TOTAL REDEMPTION AT COST DURING THE PERIOD]]</f>
        <v>0</v>
      </c>
      <c r="O43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38" s="6"/>
      <c r="Q438" s="6"/>
      <c r="R438" s="6"/>
    </row>
    <row r="439" spans="1:18">
      <c r="A439" t="s">
        <v>963</v>
      </c>
      <c r="B43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3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39" s="6">
        <f>TAX_CERTIFICATE[[#This Row],[BEGINNING PERIOD UNITS]]*$AA$2</f>
        <v>0</v>
      </c>
      <c r="E439" s="6">
        <f>TAX_CERTIFICATE[[#This Row],[BEGINNING PERIOD MARKET VALUE]]-TAX_CERTIFICATE[[#This Row],[BEGINNING PERIOD COST VALUE]]</f>
        <v>0</v>
      </c>
      <c r="F43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3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39" s="6">
        <f>TAX_CERTIFICATE[[#This Row],[ENDING PERIOD UNITS]]*$AA$3</f>
        <v>0</v>
      </c>
      <c r="I439" s="6">
        <f>TAX_CERTIFICATE[[#This Row],[ENDING PERIOD MARKET VALUE]]-TAX_CERTIFICATE[[#This Row],[ENDING PERIOD COST VALUE]]</f>
        <v>0</v>
      </c>
      <c r="J43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3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3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3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39" s="6">
        <f>TAX_CERTIFICATE[[#This Row],[TOTAL ADDITION AT COST DURING THE PERIOD]]-TAX_CERTIFICATE[[#This Row],[TOTAL REDEMPTION AT COST DURING THE PERIOD]]</f>
        <v>0</v>
      </c>
      <c r="O43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39" s="6"/>
      <c r="Q439" s="6"/>
      <c r="R439" s="6"/>
    </row>
    <row r="440" spans="1:18">
      <c r="A440" t="s">
        <v>965</v>
      </c>
      <c r="B44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4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40" s="6">
        <f>TAX_CERTIFICATE[[#This Row],[BEGINNING PERIOD UNITS]]*$AA$2</f>
        <v>0</v>
      </c>
      <c r="E440" s="6">
        <f>TAX_CERTIFICATE[[#This Row],[BEGINNING PERIOD MARKET VALUE]]-TAX_CERTIFICATE[[#This Row],[BEGINNING PERIOD COST VALUE]]</f>
        <v>0</v>
      </c>
      <c r="F44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4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40" s="6">
        <f>TAX_CERTIFICATE[[#This Row],[ENDING PERIOD UNITS]]*$AA$3</f>
        <v>0</v>
      </c>
      <c r="I440" s="6">
        <f>TAX_CERTIFICATE[[#This Row],[ENDING PERIOD MARKET VALUE]]-TAX_CERTIFICATE[[#This Row],[ENDING PERIOD COST VALUE]]</f>
        <v>0</v>
      </c>
      <c r="J44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4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4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4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40" s="6">
        <f>TAX_CERTIFICATE[[#This Row],[TOTAL ADDITION AT COST DURING THE PERIOD]]-TAX_CERTIFICATE[[#This Row],[TOTAL REDEMPTION AT COST DURING THE PERIOD]]</f>
        <v>0</v>
      </c>
      <c r="O44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40" s="6"/>
      <c r="Q440" s="6"/>
      <c r="R440" s="6"/>
    </row>
    <row r="441" spans="1:18">
      <c r="A441" t="s">
        <v>967</v>
      </c>
      <c r="B44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4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41" s="6">
        <f>TAX_CERTIFICATE[[#This Row],[BEGINNING PERIOD UNITS]]*$AA$2</f>
        <v>0</v>
      </c>
      <c r="E441" s="6">
        <f>TAX_CERTIFICATE[[#This Row],[BEGINNING PERIOD MARKET VALUE]]-TAX_CERTIFICATE[[#This Row],[BEGINNING PERIOD COST VALUE]]</f>
        <v>0</v>
      </c>
      <c r="F44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4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41" s="6">
        <f>TAX_CERTIFICATE[[#This Row],[ENDING PERIOD UNITS]]*$AA$3</f>
        <v>0</v>
      </c>
      <c r="I441" s="6">
        <f>TAX_CERTIFICATE[[#This Row],[ENDING PERIOD MARKET VALUE]]-TAX_CERTIFICATE[[#This Row],[ENDING PERIOD COST VALUE]]</f>
        <v>0</v>
      </c>
      <c r="J44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4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4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4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41" s="6">
        <f>TAX_CERTIFICATE[[#This Row],[TOTAL ADDITION AT COST DURING THE PERIOD]]-TAX_CERTIFICATE[[#This Row],[TOTAL REDEMPTION AT COST DURING THE PERIOD]]</f>
        <v>0</v>
      </c>
      <c r="O44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41" s="6"/>
      <c r="Q441" s="6"/>
      <c r="R441" s="6"/>
    </row>
    <row r="442" spans="1:18">
      <c r="A442" t="s">
        <v>969</v>
      </c>
      <c r="B44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4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42" s="6">
        <f>TAX_CERTIFICATE[[#This Row],[BEGINNING PERIOD UNITS]]*$AA$2</f>
        <v>0</v>
      </c>
      <c r="E442" s="6">
        <f>TAX_CERTIFICATE[[#This Row],[BEGINNING PERIOD MARKET VALUE]]-TAX_CERTIFICATE[[#This Row],[BEGINNING PERIOD COST VALUE]]</f>
        <v>0</v>
      </c>
      <c r="F44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4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42" s="6">
        <f>TAX_CERTIFICATE[[#This Row],[ENDING PERIOD UNITS]]*$AA$3</f>
        <v>0</v>
      </c>
      <c r="I442" s="6">
        <f>TAX_CERTIFICATE[[#This Row],[ENDING PERIOD MARKET VALUE]]-TAX_CERTIFICATE[[#This Row],[ENDING PERIOD COST VALUE]]</f>
        <v>0</v>
      </c>
      <c r="J44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4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4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4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42" s="6">
        <f>TAX_CERTIFICATE[[#This Row],[TOTAL ADDITION AT COST DURING THE PERIOD]]-TAX_CERTIFICATE[[#This Row],[TOTAL REDEMPTION AT COST DURING THE PERIOD]]</f>
        <v>0</v>
      </c>
      <c r="O44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42" s="6"/>
      <c r="Q442" s="6"/>
      <c r="R442" s="6"/>
    </row>
    <row r="443" spans="1:18">
      <c r="A443" t="s">
        <v>971</v>
      </c>
      <c r="B44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4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43" s="6">
        <f>TAX_CERTIFICATE[[#This Row],[BEGINNING PERIOD UNITS]]*$AA$2</f>
        <v>0</v>
      </c>
      <c r="E443" s="6">
        <f>TAX_CERTIFICATE[[#This Row],[BEGINNING PERIOD MARKET VALUE]]-TAX_CERTIFICATE[[#This Row],[BEGINNING PERIOD COST VALUE]]</f>
        <v>0</v>
      </c>
      <c r="F44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4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43" s="6">
        <f>TAX_CERTIFICATE[[#This Row],[ENDING PERIOD UNITS]]*$AA$3</f>
        <v>0</v>
      </c>
      <c r="I443" s="6">
        <f>TAX_CERTIFICATE[[#This Row],[ENDING PERIOD MARKET VALUE]]-TAX_CERTIFICATE[[#This Row],[ENDING PERIOD COST VALUE]]</f>
        <v>0</v>
      </c>
      <c r="J44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4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4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4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43" s="6">
        <f>TAX_CERTIFICATE[[#This Row],[TOTAL ADDITION AT COST DURING THE PERIOD]]-TAX_CERTIFICATE[[#This Row],[TOTAL REDEMPTION AT COST DURING THE PERIOD]]</f>
        <v>0</v>
      </c>
      <c r="O44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43" s="6"/>
      <c r="Q443" s="6"/>
      <c r="R443" s="6"/>
    </row>
    <row r="444" spans="1:18">
      <c r="A444" t="s">
        <v>995</v>
      </c>
      <c r="B44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4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44" s="6">
        <f>TAX_CERTIFICATE[[#This Row],[BEGINNING PERIOD UNITS]]*$AA$2</f>
        <v>0</v>
      </c>
      <c r="E444" s="6">
        <f>TAX_CERTIFICATE[[#This Row],[BEGINNING PERIOD MARKET VALUE]]-TAX_CERTIFICATE[[#This Row],[BEGINNING PERIOD COST VALUE]]</f>
        <v>0</v>
      </c>
      <c r="F44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4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44" s="6">
        <f>TAX_CERTIFICATE[[#This Row],[ENDING PERIOD UNITS]]*$AA$3</f>
        <v>0</v>
      </c>
      <c r="I444" s="6">
        <f>TAX_CERTIFICATE[[#This Row],[ENDING PERIOD MARKET VALUE]]-TAX_CERTIFICATE[[#This Row],[ENDING PERIOD COST VALUE]]</f>
        <v>0</v>
      </c>
      <c r="J44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4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4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4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44" s="6">
        <f>TAX_CERTIFICATE[[#This Row],[TOTAL ADDITION AT COST DURING THE PERIOD]]-TAX_CERTIFICATE[[#This Row],[TOTAL REDEMPTION AT COST DURING THE PERIOD]]</f>
        <v>0</v>
      </c>
      <c r="O44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44" s="6"/>
      <c r="Q444" s="6"/>
      <c r="R444" s="6"/>
    </row>
    <row r="445" spans="1:18">
      <c r="A445" t="s">
        <v>997</v>
      </c>
      <c r="B44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4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45" s="6">
        <f>TAX_CERTIFICATE[[#This Row],[BEGINNING PERIOD UNITS]]*$AA$2</f>
        <v>0</v>
      </c>
      <c r="E445" s="6">
        <f>TAX_CERTIFICATE[[#This Row],[BEGINNING PERIOD MARKET VALUE]]-TAX_CERTIFICATE[[#This Row],[BEGINNING PERIOD COST VALUE]]</f>
        <v>0</v>
      </c>
      <c r="F44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4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45" s="6">
        <f>TAX_CERTIFICATE[[#This Row],[ENDING PERIOD UNITS]]*$AA$3</f>
        <v>0</v>
      </c>
      <c r="I445" s="6">
        <f>TAX_CERTIFICATE[[#This Row],[ENDING PERIOD MARKET VALUE]]-TAX_CERTIFICATE[[#This Row],[ENDING PERIOD COST VALUE]]</f>
        <v>0</v>
      </c>
      <c r="J44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4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4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4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45" s="6">
        <f>TAX_CERTIFICATE[[#This Row],[TOTAL ADDITION AT COST DURING THE PERIOD]]-TAX_CERTIFICATE[[#This Row],[TOTAL REDEMPTION AT COST DURING THE PERIOD]]</f>
        <v>0</v>
      </c>
      <c r="O44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45" s="6"/>
      <c r="Q445" s="6"/>
      <c r="R445" s="6"/>
    </row>
    <row r="446" spans="1:18">
      <c r="A446" t="s">
        <v>999</v>
      </c>
      <c r="B44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4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46" s="6">
        <f>TAX_CERTIFICATE[[#This Row],[BEGINNING PERIOD UNITS]]*$AA$2</f>
        <v>0</v>
      </c>
      <c r="E446" s="6">
        <f>TAX_CERTIFICATE[[#This Row],[BEGINNING PERIOD MARKET VALUE]]-TAX_CERTIFICATE[[#This Row],[BEGINNING PERIOD COST VALUE]]</f>
        <v>0</v>
      </c>
      <c r="F44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4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46" s="6">
        <f>TAX_CERTIFICATE[[#This Row],[ENDING PERIOD UNITS]]*$AA$3</f>
        <v>0</v>
      </c>
      <c r="I446" s="6">
        <f>TAX_CERTIFICATE[[#This Row],[ENDING PERIOD MARKET VALUE]]-TAX_CERTIFICATE[[#This Row],[ENDING PERIOD COST VALUE]]</f>
        <v>0</v>
      </c>
      <c r="J44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4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4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4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46" s="6">
        <f>TAX_CERTIFICATE[[#This Row],[TOTAL ADDITION AT COST DURING THE PERIOD]]-TAX_CERTIFICATE[[#This Row],[TOTAL REDEMPTION AT COST DURING THE PERIOD]]</f>
        <v>0</v>
      </c>
      <c r="O44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46" s="6"/>
      <c r="Q446" s="6"/>
      <c r="R446" s="6"/>
    </row>
    <row r="447" spans="1:18">
      <c r="A447" t="s">
        <v>1001</v>
      </c>
      <c r="B44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4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47" s="6">
        <f>TAX_CERTIFICATE[[#This Row],[BEGINNING PERIOD UNITS]]*$AA$2</f>
        <v>0</v>
      </c>
      <c r="E447" s="6">
        <f>TAX_CERTIFICATE[[#This Row],[BEGINNING PERIOD MARKET VALUE]]-TAX_CERTIFICATE[[#This Row],[BEGINNING PERIOD COST VALUE]]</f>
        <v>0</v>
      </c>
      <c r="F44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4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47" s="6">
        <f>TAX_CERTIFICATE[[#This Row],[ENDING PERIOD UNITS]]*$AA$3</f>
        <v>0</v>
      </c>
      <c r="I447" s="6">
        <f>TAX_CERTIFICATE[[#This Row],[ENDING PERIOD MARKET VALUE]]-TAX_CERTIFICATE[[#This Row],[ENDING PERIOD COST VALUE]]</f>
        <v>0</v>
      </c>
      <c r="J44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4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4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4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47" s="6">
        <f>TAX_CERTIFICATE[[#This Row],[TOTAL ADDITION AT COST DURING THE PERIOD]]-TAX_CERTIFICATE[[#This Row],[TOTAL REDEMPTION AT COST DURING THE PERIOD]]</f>
        <v>0</v>
      </c>
      <c r="O44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47" s="6"/>
      <c r="Q447" s="6"/>
      <c r="R447" s="6"/>
    </row>
    <row r="448" spans="1:18">
      <c r="A448" t="s">
        <v>1003</v>
      </c>
      <c r="B44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4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48" s="6">
        <f>TAX_CERTIFICATE[[#This Row],[BEGINNING PERIOD UNITS]]*$AA$2</f>
        <v>0</v>
      </c>
      <c r="E448" s="6">
        <f>TAX_CERTIFICATE[[#This Row],[BEGINNING PERIOD MARKET VALUE]]-TAX_CERTIFICATE[[#This Row],[BEGINNING PERIOD COST VALUE]]</f>
        <v>0</v>
      </c>
      <c r="F44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4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48" s="6">
        <f>TAX_CERTIFICATE[[#This Row],[ENDING PERIOD UNITS]]*$AA$3</f>
        <v>0</v>
      </c>
      <c r="I448" s="6">
        <f>TAX_CERTIFICATE[[#This Row],[ENDING PERIOD MARKET VALUE]]-TAX_CERTIFICATE[[#This Row],[ENDING PERIOD COST VALUE]]</f>
        <v>0</v>
      </c>
      <c r="J44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4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4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4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48" s="6">
        <f>TAX_CERTIFICATE[[#This Row],[TOTAL ADDITION AT COST DURING THE PERIOD]]-TAX_CERTIFICATE[[#This Row],[TOTAL REDEMPTION AT COST DURING THE PERIOD]]</f>
        <v>0</v>
      </c>
      <c r="O44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48" s="6"/>
      <c r="Q448" s="6"/>
      <c r="R448" s="6"/>
    </row>
    <row r="449" spans="1:18">
      <c r="A449" t="s">
        <v>1004</v>
      </c>
      <c r="B44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4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49" s="6">
        <f>TAX_CERTIFICATE[[#This Row],[BEGINNING PERIOD UNITS]]*$AA$2</f>
        <v>0</v>
      </c>
      <c r="E449" s="6">
        <f>TAX_CERTIFICATE[[#This Row],[BEGINNING PERIOD MARKET VALUE]]-TAX_CERTIFICATE[[#This Row],[BEGINNING PERIOD COST VALUE]]</f>
        <v>0</v>
      </c>
      <c r="F44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4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49" s="6">
        <f>TAX_CERTIFICATE[[#This Row],[ENDING PERIOD UNITS]]*$AA$3</f>
        <v>0</v>
      </c>
      <c r="I449" s="6">
        <f>TAX_CERTIFICATE[[#This Row],[ENDING PERIOD MARKET VALUE]]-TAX_CERTIFICATE[[#This Row],[ENDING PERIOD COST VALUE]]</f>
        <v>0</v>
      </c>
      <c r="J44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4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4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4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49" s="6">
        <f>TAX_CERTIFICATE[[#This Row],[TOTAL ADDITION AT COST DURING THE PERIOD]]-TAX_CERTIFICATE[[#This Row],[TOTAL REDEMPTION AT COST DURING THE PERIOD]]</f>
        <v>0</v>
      </c>
      <c r="O44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49" s="6"/>
      <c r="Q449" s="6"/>
      <c r="R449" s="6"/>
    </row>
    <row r="450" spans="1:18">
      <c r="A450" t="s">
        <v>1006</v>
      </c>
      <c r="B45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5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50" s="6">
        <f>TAX_CERTIFICATE[[#This Row],[BEGINNING PERIOD UNITS]]*$AA$2</f>
        <v>0</v>
      </c>
      <c r="E450" s="6">
        <f>TAX_CERTIFICATE[[#This Row],[BEGINNING PERIOD MARKET VALUE]]-TAX_CERTIFICATE[[#This Row],[BEGINNING PERIOD COST VALUE]]</f>
        <v>0</v>
      </c>
      <c r="F45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5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50" s="6">
        <f>TAX_CERTIFICATE[[#This Row],[ENDING PERIOD UNITS]]*$AA$3</f>
        <v>0</v>
      </c>
      <c r="I450" s="6">
        <f>TAX_CERTIFICATE[[#This Row],[ENDING PERIOD MARKET VALUE]]-TAX_CERTIFICATE[[#This Row],[ENDING PERIOD COST VALUE]]</f>
        <v>0</v>
      </c>
      <c r="J45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5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5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5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50" s="6">
        <f>TAX_CERTIFICATE[[#This Row],[TOTAL ADDITION AT COST DURING THE PERIOD]]-TAX_CERTIFICATE[[#This Row],[TOTAL REDEMPTION AT COST DURING THE PERIOD]]</f>
        <v>0</v>
      </c>
      <c r="O45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50" s="6"/>
      <c r="Q450" s="6"/>
      <c r="R450" s="6"/>
    </row>
    <row r="451" spans="1:18">
      <c r="A451" t="s">
        <v>1008</v>
      </c>
      <c r="B45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5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51" s="6">
        <f>TAX_CERTIFICATE[[#This Row],[BEGINNING PERIOD UNITS]]*$AA$2</f>
        <v>0</v>
      </c>
      <c r="E451" s="6">
        <f>TAX_CERTIFICATE[[#This Row],[BEGINNING PERIOD MARKET VALUE]]-TAX_CERTIFICATE[[#This Row],[BEGINNING PERIOD COST VALUE]]</f>
        <v>0</v>
      </c>
      <c r="F45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5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51" s="6">
        <f>TAX_CERTIFICATE[[#This Row],[ENDING PERIOD UNITS]]*$AA$3</f>
        <v>0</v>
      </c>
      <c r="I451" s="6">
        <f>TAX_CERTIFICATE[[#This Row],[ENDING PERIOD MARKET VALUE]]-TAX_CERTIFICATE[[#This Row],[ENDING PERIOD COST VALUE]]</f>
        <v>0</v>
      </c>
      <c r="J45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5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5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5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51" s="6">
        <f>TAX_CERTIFICATE[[#This Row],[TOTAL ADDITION AT COST DURING THE PERIOD]]-TAX_CERTIFICATE[[#This Row],[TOTAL REDEMPTION AT COST DURING THE PERIOD]]</f>
        <v>0</v>
      </c>
      <c r="O45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51" s="6"/>
      <c r="Q451" s="6"/>
      <c r="R451" s="6"/>
    </row>
    <row r="452" spans="1:18">
      <c r="A452" t="s">
        <v>1010</v>
      </c>
      <c r="B45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5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52" s="6">
        <f>TAX_CERTIFICATE[[#This Row],[BEGINNING PERIOD UNITS]]*$AA$2</f>
        <v>0</v>
      </c>
      <c r="E452" s="6">
        <f>TAX_CERTIFICATE[[#This Row],[BEGINNING PERIOD MARKET VALUE]]-TAX_CERTIFICATE[[#This Row],[BEGINNING PERIOD COST VALUE]]</f>
        <v>0</v>
      </c>
      <c r="F45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5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52" s="6">
        <f>TAX_CERTIFICATE[[#This Row],[ENDING PERIOD UNITS]]*$AA$3</f>
        <v>0</v>
      </c>
      <c r="I452" s="6">
        <f>TAX_CERTIFICATE[[#This Row],[ENDING PERIOD MARKET VALUE]]-TAX_CERTIFICATE[[#This Row],[ENDING PERIOD COST VALUE]]</f>
        <v>0</v>
      </c>
      <c r="J45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5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5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5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52" s="6">
        <f>TAX_CERTIFICATE[[#This Row],[TOTAL ADDITION AT COST DURING THE PERIOD]]-TAX_CERTIFICATE[[#This Row],[TOTAL REDEMPTION AT COST DURING THE PERIOD]]</f>
        <v>0</v>
      </c>
      <c r="O45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52" s="6"/>
      <c r="Q452" s="6"/>
      <c r="R452" s="6"/>
    </row>
    <row r="453" spans="1:18">
      <c r="A453" t="s">
        <v>1012</v>
      </c>
      <c r="B45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5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53" s="6">
        <f>TAX_CERTIFICATE[[#This Row],[BEGINNING PERIOD UNITS]]*$AA$2</f>
        <v>0</v>
      </c>
      <c r="E453" s="6">
        <f>TAX_CERTIFICATE[[#This Row],[BEGINNING PERIOD MARKET VALUE]]-TAX_CERTIFICATE[[#This Row],[BEGINNING PERIOD COST VALUE]]</f>
        <v>0</v>
      </c>
      <c r="F45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5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53" s="6">
        <f>TAX_CERTIFICATE[[#This Row],[ENDING PERIOD UNITS]]*$AA$3</f>
        <v>0</v>
      </c>
      <c r="I453" s="6">
        <f>TAX_CERTIFICATE[[#This Row],[ENDING PERIOD MARKET VALUE]]-TAX_CERTIFICATE[[#This Row],[ENDING PERIOD COST VALUE]]</f>
        <v>0</v>
      </c>
      <c r="J45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5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5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5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53" s="6">
        <f>TAX_CERTIFICATE[[#This Row],[TOTAL ADDITION AT COST DURING THE PERIOD]]-TAX_CERTIFICATE[[#This Row],[TOTAL REDEMPTION AT COST DURING THE PERIOD]]</f>
        <v>0</v>
      </c>
      <c r="O45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53" s="6"/>
      <c r="Q453" s="6"/>
      <c r="R453" s="6"/>
    </row>
    <row r="454" spans="1:18">
      <c r="A454" t="s">
        <v>1014</v>
      </c>
      <c r="B45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5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54" s="6">
        <f>TAX_CERTIFICATE[[#This Row],[BEGINNING PERIOD UNITS]]*$AA$2</f>
        <v>0</v>
      </c>
      <c r="E454" s="6">
        <f>TAX_CERTIFICATE[[#This Row],[BEGINNING PERIOD MARKET VALUE]]-TAX_CERTIFICATE[[#This Row],[BEGINNING PERIOD COST VALUE]]</f>
        <v>0</v>
      </c>
      <c r="F45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5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54" s="6">
        <f>TAX_CERTIFICATE[[#This Row],[ENDING PERIOD UNITS]]*$AA$3</f>
        <v>0</v>
      </c>
      <c r="I454" s="6">
        <f>TAX_CERTIFICATE[[#This Row],[ENDING PERIOD MARKET VALUE]]-TAX_CERTIFICATE[[#This Row],[ENDING PERIOD COST VALUE]]</f>
        <v>0</v>
      </c>
      <c r="J45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5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5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5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54" s="6">
        <f>TAX_CERTIFICATE[[#This Row],[TOTAL ADDITION AT COST DURING THE PERIOD]]-TAX_CERTIFICATE[[#This Row],[TOTAL REDEMPTION AT COST DURING THE PERIOD]]</f>
        <v>0</v>
      </c>
      <c r="O45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54" s="6"/>
      <c r="Q454" s="6"/>
      <c r="R454" s="6"/>
    </row>
    <row r="455" spans="1:18">
      <c r="A455" t="s">
        <v>1016</v>
      </c>
      <c r="B45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5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55" s="6">
        <f>TAX_CERTIFICATE[[#This Row],[BEGINNING PERIOD UNITS]]*$AA$2</f>
        <v>0</v>
      </c>
      <c r="E455" s="6">
        <f>TAX_CERTIFICATE[[#This Row],[BEGINNING PERIOD MARKET VALUE]]-TAX_CERTIFICATE[[#This Row],[BEGINNING PERIOD COST VALUE]]</f>
        <v>0</v>
      </c>
      <c r="F45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5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55" s="6">
        <f>TAX_CERTIFICATE[[#This Row],[ENDING PERIOD UNITS]]*$AA$3</f>
        <v>0</v>
      </c>
      <c r="I455" s="6">
        <f>TAX_CERTIFICATE[[#This Row],[ENDING PERIOD MARKET VALUE]]-TAX_CERTIFICATE[[#This Row],[ENDING PERIOD COST VALUE]]</f>
        <v>0</v>
      </c>
      <c r="J45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5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5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5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55" s="6">
        <f>TAX_CERTIFICATE[[#This Row],[TOTAL ADDITION AT COST DURING THE PERIOD]]-TAX_CERTIFICATE[[#This Row],[TOTAL REDEMPTION AT COST DURING THE PERIOD]]</f>
        <v>0</v>
      </c>
      <c r="O45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55" s="6"/>
      <c r="Q455" s="6"/>
      <c r="R455" s="6"/>
    </row>
    <row r="456" spans="1:18">
      <c r="A456" t="s">
        <v>1017</v>
      </c>
      <c r="B45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5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56" s="6">
        <f>TAX_CERTIFICATE[[#This Row],[BEGINNING PERIOD UNITS]]*$AA$2</f>
        <v>0</v>
      </c>
      <c r="E456" s="6">
        <f>TAX_CERTIFICATE[[#This Row],[BEGINNING PERIOD MARKET VALUE]]-TAX_CERTIFICATE[[#This Row],[BEGINNING PERIOD COST VALUE]]</f>
        <v>0</v>
      </c>
      <c r="F45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5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56" s="6">
        <f>TAX_CERTIFICATE[[#This Row],[ENDING PERIOD UNITS]]*$AA$3</f>
        <v>0</v>
      </c>
      <c r="I456" s="6">
        <f>TAX_CERTIFICATE[[#This Row],[ENDING PERIOD MARKET VALUE]]-TAX_CERTIFICATE[[#This Row],[ENDING PERIOD COST VALUE]]</f>
        <v>0</v>
      </c>
      <c r="J45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5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5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5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56" s="6">
        <f>TAX_CERTIFICATE[[#This Row],[TOTAL ADDITION AT COST DURING THE PERIOD]]-TAX_CERTIFICATE[[#This Row],[TOTAL REDEMPTION AT COST DURING THE PERIOD]]</f>
        <v>0</v>
      </c>
      <c r="O45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56" s="6"/>
      <c r="Q456" s="6"/>
      <c r="R456" s="6"/>
    </row>
    <row r="457" spans="1:18">
      <c r="A457" t="s">
        <v>1019</v>
      </c>
      <c r="B45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5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57" s="6">
        <f>TAX_CERTIFICATE[[#This Row],[BEGINNING PERIOD UNITS]]*$AA$2</f>
        <v>0</v>
      </c>
      <c r="E457" s="6">
        <f>TAX_CERTIFICATE[[#This Row],[BEGINNING PERIOD MARKET VALUE]]-TAX_CERTIFICATE[[#This Row],[BEGINNING PERIOD COST VALUE]]</f>
        <v>0</v>
      </c>
      <c r="F45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5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57" s="6">
        <f>TAX_CERTIFICATE[[#This Row],[ENDING PERIOD UNITS]]*$AA$3</f>
        <v>0</v>
      </c>
      <c r="I457" s="6">
        <f>TAX_CERTIFICATE[[#This Row],[ENDING PERIOD MARKET VALUE]]-TAX_CERTIFICATE[[#This Row],[ENDING PERIOD COST VALUE]]</f>
        <v>0</v>
      </c>
      <c r="J45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5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5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5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57" s="6">
        <f>TAX_CERTIFICATE[[#This Row],[TOTAL ADDITION AT COST DURING THE PERIOD]]-TAX_CERTIFICATE[[#This Row],[TOTAL REDEMPTION AT COST DURING THE PERIOD]]</f>
        <v>0</v>
      </c>
      <c r="O45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57" s="6"/>
      <c r="Q457" s="6"/>
      <c r="R457" s="6"/>
    </row>
    <row r="458" spans="1:18">
      <c r="A458" t="s">
        <v>1021</v>
      </c>
      <c r="B45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5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58" s="6">
        <f>TAX_CERTIFICATE[[#This Row],[BEGINNING PERIOD UNITS]]*$AA$2</f>
        <v>0</v>
      </c>
      <c r="E458" s="6">
        <f>TAX_CERTIFICATE[[#This Row],[BEGINNING PERIOD MARKET VALUE]]-TAX_CERTIFICATE[[#This Row],[BEGINNING PERIOD COST VALUE]]</f>
        <v>0</v>
      </c>
      <c r="F45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5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58" s="6">
        <f>TAX_CERTIFICATE[[#This Row],[ENDING PERIOD UNITS]]*$AA$3</f>
        <v>0</v>
      </c>
      <c r="I458" s="6">
        <f>TAX_CERTIFICATE[[#This Row],[ENDING PERIOD MARKET VALUE]]-TAX_CERTIFICATE[[#This Row],[ENDING PERIOD COST VALUE]]</f>
        <v>0</v>
      </c>
      <c r="J45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5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5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5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58" s="6">
        <f>TAX_CERTIFICATE[[#This Row],[TOTAL ADDITION AT COST DURING THE PERIOD]]-TAX_CERTIFICATE[[#This Row],[TOTAL REDEMPTION AT COST DURING THE PERIOD]]</f>
        <v>0</v>
      </c>
      <c r="O45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58" s="6"/>
      <c r="Q458" s="6"/>
      <c r="R458" s="6"/>
    </row>
    <row r="459" spans="1:18">
      <c r="A459" t="s">
        <v>1023</v>
      </c>
      <c r="B45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5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59" s="6">
        <f>TAX_CERTIFICATE[[#This Row],[BEGINNING PERIOD UNITS]]*$AA$2</f>
        <v>0</v>
      </c>
      <c r="E459" s="6">
        <f>TAX_CERTIFICATE[[#This Row],[BEGINNING PERIOD MARKET VALUE]]-TAX_CERTIFICATE[[#This Row],[BEGINNING PERIOD COST VALUE]]</f>
        <v>0</v>
      </c>
      <c r="F45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5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59" s="6">
        <f>TAX_CERTIFICATE[[#This Row],[ENDING PERIOD UNITS]]*$AA$3</f>
        <v>0</v>
      </c>
      <c r="I459" s="6">
        <f>TAX_CERTIFICATE[[#This Row],[ENDING PERIOD MARKET VALUE]]-TAX_CERTIFICATE[[#This Row],[ENDING PERIOD COST VALUE]]</f>
        <v>0</v>
      </c>
      <c r="J45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5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5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5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59" s="6">
        <f>TAX_CERTIFICATE[[#This Row],[TOTAL ADDITION AT COST DURING THE PERIOD]]-TAX_CERTIFICATE[[#This Row],[TOTAL REDEMPTION AT COST DURING THE PERIOD]]</f>
        <v>0</v>
      </c>
      <c r="O45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59" s="6"/>
      <c r="Q459" s="6"/>
      <c r="R459" s="6"/>
    </row>
    <row r="460" spans="1:18">
      <c r="A460" t="s">
        <v>1025</v>
      </c>
      <c r="B46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6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60" s="6">
        <f>TAX_CERTIFICATE[[#This Row],[BEGINNING PERIOD UNITS]]*$AA$2</f>
        <v>0</v>
      </c>
      <c r="E460" s="6">
        <f>TAX_CERTIFICATE[[#This Row],[BEGINNING PERIOD MARKET VALUE]]-TAX_CERTIFICATE[[#This Row],[BEGINNING PERIOD COST VALUE]]</f>
        <v>0</v>
      </c>
      <c r="F46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6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60" s="6">
        <f>TAX_CERTIFICATE[[#This Row],[ENDING PERIOD UNITS]]*$AA$3</f>
        <v>0</v>
      </c>
      <c r="I460" s="6">
        <f>TAX_CERTIFICATE[[#This Row],[ENDING PERIOD MARKET VALUE]]-TAX_CERTIFICATE[[#This Row],[ENDING PERIOD COST VALUE]]</f>
        <v>0</v>
      </c>
      <c r="J46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6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6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6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60" s="6">
        <f>TAX_CERTIFICATE[[#This Row],[TOTAL ADDITION AT COST DURING THE PERIOD]]-TAX_CERTIFICATE[[#This Row],[TOTAL REDEMPTION AT COST DURING THE PERIOD]]</f>
        <v>0</v>
      </c>
      <c r="O46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60" s="6"/>
      <c r="Q460" s="6"/>
      <c r="R460" s="6"/>
    </row>
    <row r="461" spans="1:18">
      <c r="A461" t="s">
        <v>1026</v>
      </c>
      <c r="B46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6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61" s="6">
        <f>TAX_CERTIFICATE[[#This Row],[BEGINNING PERIOD UNITS]]*$AA$2</f>
        <v>0</v>
      </c>
      <c r="E461" s="6">
        <f>TAX_CERTIFICATE[[#This Row],[BEGINNING PERIOD MARKET VALUE]]-TAX_CERTIFICATE[[#This Row],[BEGINNING PERIOD COST VALUE]]</f>
        <v>0</v>
      </c>
      <c r="F46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6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61" s="6">
        <f>TAX_CERTIFICATE[[#This Row],[ENDING PERIOD UNITS]]*$AA$3</f>
        <v>0</v>
      </c>
      <c r="I461" s="6">
        <f>TAX_CERTIFICATE[[#This Row],[ENDING PERIOD MARKET VALUE]]-TAX_CERTIFICATE[[#This Row],[ENDING PERIOD COST VALUE]]</f>
        <v>0</v>
      </c>
      <c r="J46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6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6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6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61" s="6">
        <f>TAX_CERTIFICATE[[#This Row],[TOTAL ADDITION AT COST DURING THE PERIOD]]-TAX_CERTIFICATE[[#This Row],[TOTAL REDEMPTION AT COST DURING THE PERIOD]]</f>
        <v>0</v>
      </c>
      <c r="O46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61" s="6"/>
      <c r="Q461" s="6"/>
      <c r="R461" s="6"/>
    </row>
    <row r="462" spans="1:18">
      <c r="A462" t="s">
        <v>1028</v>
      </c>
      <c r="B46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6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62" s="6">
        <f>TAX_CERTIFICATE[[#This Row],[BEGINNING PERIOD UNITS]]*$AA$2</f>
        <v>0</v>
      </c>
      <c r="E462" s="6">
        <f>TAX_CERTIFICATE[[#This Row],[BEGINNING PERIOD MARKET VALUE]]-TAX_CERTIFICATE[[#This Row],[BEGINNING PERIOD COST VALUE]]</f>
        <v>0</v>
      </c>
      <c r="F46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6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62" s="6">
        <f>TAX_CERTIFICATE[[#This Row],[ENDING PERIOD UNITS]]*$AA$3</f>
        <v>0</v>
      </c>
      <c r="I462" s="6">
        <f>TAX_CERTIFICATE[[#This Row],[ENDING PERIOD MARKET VALUE]]-TAX_CERTIFICATE[[#This Row],[ENDING PERIOD COST VALUE]]</f>
        <v>0</v>
      </c>
      <c r="J46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6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6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6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62" s="6">
        <f>TAX_CERTIFICATE[[#This Row],[TOTAL ADDITION AT COST DURING THE PERIOD]]-TAX_CERTIFICATE[[#This Row],[TOTAL REDEMPTION AT COST DURING THE PERIOD]]</f>
        <v>0</v>
      </c>
      <c r="O46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62" s="6"/>
      <c r="Q462" s="6"/>
      <c r="R462" s="6"/>
    </row>
    <row r="463" spans="1:18">
      <c r="A463" t="s">
        <v>1030</v>
      </c>
      <c r="B46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6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63" s="6">
        <f>TAX_CERTIFICATE[[#This Row],[BEGINNING PERIOD UNITS]]*$AA$2</f>
        <v>0</v>
      </c>
      <c r="E463" s="6">
        <f>TAX_CERTIFICATE[[#This Row],[BEGINNING PERIOD MARKET VALUE]]-TAX_CERTIFICATE[[#This Row],[BEGINNING PERIOD COST VALUE]]</f>
        <v>0</v>
      </c>
      <c r="F46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6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63" s="6">
        <f>TAX_CERTIFICATE[[#This Row],[ENDING PERIOD UNITS]]*$AA$3</f>
        <v>0</v>
      </c>
      <c r="I463" s="6">
        <f>TAX_CERTIFICATE[[#This Row],[ENDING PERIOD MARKET VALUE]]-TAX_CERTIFICATE[[#This Row],[ENDING PERIOD COST VALUE]]</f>
        <v>0</v>
      </c>
      <c r="J46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6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6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6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63" s="6">
        <f>TAX_CERTIFICATE[[#This Row],[TOTAL ADDITION AT COST DURING THE PERIOD]]-TAX_CERTIFICATE[[#This Row],[TOTAL REDEMPTION AT COST DURING THE PERIOD]]</f>
        <v>0</v>
      </c>
      <c r="O46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63" s="6"/>
      <c r="Q463" s="6"/>
      <c r="R463" s="6"/>
    </row>
    <row r="464" spans="1:18">
      <c r="A464" t="s">
        <v>1032</v>
      </c>
      <c r="B46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6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64" s="6">
        <f>TAX_CERTIFICATE[[#This Row],[BEGINNING PERIOD UNITS]]*$AA$2</f>
        <v>0</v>
      </c>
      <c r="E464" s="6">
        <f>TAX_CERTIFICATE[[#This Row],[BEGINNING PERIOD MARKET VALUE]]-TAX_CERTIFICATE[[#This Row],[BEGINNING PERIOD COST VALUE]]</f>
        <v>0</v>
      </c>
      <c r="F46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6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64" s="6">
        <f>TAX_CERTIFICATE[[#This Row],[ENDING PERIOD UNITS]]*$AA$3</f>
        <v>0</v>
      </c>
      <c r="I464" s="6">
        <f>TAX_CERTIFICATE[[#This Row],[ENDING PERIOD MARKET VALUE]]-TAX_CERTIFICATE[[#This Row],[ENDING PERIOD COST VALUE]]</f>
        <v>0</v>
      </c>
      <c r="J46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6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6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6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64" s="6">
        <f>TAX_CERTIFICATE[[#This Row],[TOTAL ADDITION AT COST DURING THE PERIOD]]-TAX_CERTIFICATE[[#This Row],[TOTAL REDEMPTION AT COST DURING THE PERIOD]]</f>
        <v>0</v>
      </c>
      <c r="O46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64" s="6"/>
      <c r="Q464" s="6"/>
      <c r="R464" s="6"/>
    </row>
    <row r="465" spans="1:18">
      <c r="A465" t="s">
        <v>1034</v>
      </c>
      <c r="B46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6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65" s="6">
        <f>TAX_CERTIFICATE[[#This Row],[BEGINNING PERIOD UNITS]]*$AA$2</f>
        <v>0</v>
      </c>
      <c r="E465" s="6">
        <f>TAX_CERTIFICATE[[#This Row],[BEGINNING PERIOD MARKET VALUE]]-TAX_CERTIFICATE[[#This Row],[BEGINNING PERIOD COST VALUE]]</f>
        <v>0</v>
      </c>
      <c r="F46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6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65" s="6">
        <f>TAX_CERTIFICATE[[#This Row],[ENDING PERIOD UNITS]]*$AA$3</f>
        <v>0</v>
      </c>
      <c r="I465" s="6">
        <f>TAX_CERTIFICATE[[#This Row],[ENDING PERIOD MARKET VALUE]]-TAX_CERTIFICATE[[#This Row],[ENDING PERIOD COST VALUE]]</f>
        <v>0</v>
      </c>
      <c r="J46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6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6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6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65" s="6">
        <f>TAX_CERTIFICATE[[#This Row],[TOTAL ADDITION AT COST DURING THE PERIOD]]-TAX_CERTIFICATE[[#This Row],[TOTAL REDEMPTION AT COST DURING THE PERIOD]]</f>
        <v>0</v>
      </c>
      <c r="O46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65" s="6"/>
      <c r="Q465" s="6"/>
      <c r="R465" s="6"/>
    </row>
    <row r="466" spans="1:18">
      <c r="A466" t="s">
        <v>1036</v>
      </c>
      <c r="B466" s="2">
        <f>SUMIFS(LS[Unit],LS[Investor ID],TAX_CERTIFICATE[[#This Row],[INVESTOR CODE]],LS[Date Value],"&lt;"&amp;$Z$2)+SUMIFS(SIP[Unit],SIP[Investor ID],TAX_CERTIFICATE[[#This Row],[INVESTOR CODE]],SIP[Date Value],"&lt;"&amp;$Z$2)</f>
        <v>390750</v>
      </c>
      <c r="C46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3999717</v>
      </c>
      <c r="D466" s="6">
        <f>TAX_CERTIFICATE[[#This Row],[BEGINNING PERIOD UNITS]]*$AA$2</f>
        <v>3895777.5000000005</v>
      </c>
      <c r="E466" s="6">
        <f>TAX_CERTIFICATE[[#This Row],[BEGINNING PERIOD MARKET VALUE]]-TAX_CERTIFICATE[[#This Row],[BEGINNING PERIOD COST VALUE]]</f>
        <v>-103939.49999999953</v>
      </c>
      <c r="F46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6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-4.6566128730773926E-10</v>
      </c>
      <c r="H466" s="6">
        <f>TAX_CERTIFICATE[[#This Row],[ENDING PERIOD UNITS]]*$AA$3</f>
        <v>0</v>
      </c>
      <c r="I466" s="6">
        <f>TAX_CERTIFICATE[[#This Row],[ENDING PERIOD MARKET VALUE]]-TAX_CERTIFICATE[[#This Row],[ENDING PERIOD COST VALUE]]</f>
        <v>4.6566128730773926E-10</v>
      </c>
      <c r="J46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9915</v>
      </c>
      <c r="K46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97687.5</v>
      </c>
      <c r="L46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400665</v>
      </c>
      <c r="M46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4097404.5000000005</v>
      </c>
      <c r="N466" s="6">
        <f>TAX_CERTIFICATE[[#This Row],[TOTAL ADDITION AT COST DURING THE PERIOD]]-TAX_CERTIFICATE[[#This Row],[TOTAL REDEMPTION AT COST DURING THE PERIOD]]</f>
        <v>-3999717.0000000005</v>
      </c>
      <c r="O46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43373.249999999469</v>
      </c>
      <c r="P466" s="6"/>
      <c r="Q466" s="6"/>
      <c r="R466" s="6"/>
    </row>
    <row r="467" spans="1:18">
      <c r="A467" t="s">
        <v>1037</v>
      </c>
      <c r="B46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6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67" s="6">
        <f>TAX_CERTIFICATE[[#This Row],[BEGINNING PERIOD UNITS]]*$AA$2</f>
        <v>0</v>
      </c>
      <c r="E467" s="6">
        <f>TAX_CERTIFICATE[[#This Row],[BEGINNING PERIOD MARKET VALUE]]-TAX_CERTIFICATE[[#This Row],[BEGINNING PERIOD COST VALUE]]</f>
        <v>0</v>
      </c>
      <c r="F46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6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67" s="6">
        <f>TAX_CERTIFICATE[[#This Row],[ENDING PERIOD UNITS]]*$AA$3</f>
        <v>0</v>
      </c>
      <c r="I467" s="6">
        <f>TAX_CERTIFICATE[[#This Row],[ENDING PERIOD MARKET VALUE]]-TAX_CERTIFICATE[[#This Row],[ENDING PERIOD COST VALUE]]</f>
        <v>0</v>
      </c>
      <c r="J46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6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6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6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67" s="6">
        <f>TAX_CERTIFICATE[[#This Row],[TOTAL ADDITION AT COST DURING THE PERIOD]]-TAX_CERTIFICATE[[#This Row],[TOTAL REDEMPTION AT COST DURING THE PERIOD]]</f>
        <v>0</v>
      </c>
      <c r="O46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67" s="6"/>
      <c r="Q467" s="6"/>
      <c r="R467" s="6"/>
    </row>
    <row r="468" spans="1:18">
      <c r="A468" t="s">
        <v>1038</v>
      </c>
      <c r="B46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6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68" s="6">
        <f>TAX_CERTIFICATE[[#This Row],[BEGINNING PERIOD UNITS]]*$AA$2</f>
        <v>0</v>
      </c>
      <c r="E468" s="6">
        <f>TAX_CERTIFICATE[[#This Row],[BEGINNING PERIOD MARKET VALUE]]-TAX_CERTIFICATE[[#This Row],[BEGINNING PERIOD COST VALUE]]</f>
        <v>0</v>
      </c>
      <c r="F46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6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68" s="6">
        <f>TAX_CERTIFICATE[[#This Row],[ENDING PERIOD UNITS]]*$AA$3</f>
        <v>0</v>
      </c>
      <c r="I468" s="6">
        <f>TAX_CERTIFICATE[[#This Row],[ENDING PERIOD MARKET VALUE]]-TAX_CERTIFICATE[[#This Row],[ENDING PERIOD COST VALUE]]</f>
        <v>0</v>
      </c>
      <c r="J46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6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6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6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68" s="6">
        <f>TAX_CERTIFICATE[[#This Row],[TOTAL ADDITION AT COST DURING THE PERIOD]]-TAX_CERTIFICATE[[#This Row],[TOTAL REDEMPTION AT COST DURING THE PERIOD]]</f>
        <v>0</v>
      </c>
      <c r="O46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68" s="6"/>
      <c r="Q468" s="6"/>
      <c r="R468" s="6"/>
    </row>
    <row r="469" spans="1:18">
      <c r="A469" t="s">
        <v>1040</v>
      </c>
      <c r="B46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6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69" s="6">
        <f>TAX_CERTIFICATE[[#This Row],[BEGINNING PERIOD UNITS]]*$AA$2</f>
        <v>0</v>
      </c>
      <c r="E469" s="6">
        <f>TAX_CERTIFICATE[[#This Row],[BEGINNING PERIOD MARKET VALUE]]-TAX_CERTIFICATE[[#This Row],[BEGINNING PERIOD COST VALUE]]</f>
        <v>0</v>
      </c>
      <c r="F46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6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69" s="6">
        <f>TAX_CERTIFICATE[[#This Row],[ENDING PERIOD UNITS]]*$AA$3</f>
        <v>0</v>
      </c>
      <c r="I469" s="6">
        <f>TAX_CERTIFICATE[[#This Row],[ENDING PERIOD MARKET VALUE]]-TAX_CERTIFICATE[[#This Row],[ENDING PERIOD COST VALUE]]</f>
        <v>0</v>
      </c>
      <c r="J46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6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6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6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69" s="6">
        <f>TAX_CERTIFICATE[[#This Row],[TOTAL ADDITION AT COST DURING THE PERIOD]]-TAX_CERTIFICATE[[#This Row],[TOTAL REDEMPTION AT COST DURING THE PERIOD]]</f>
        <v>0</v>
      </c>
      <c r="O46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69" s="6"/>
      <c r="Q469" s="6"/>
      <c r="R469" s="6"/>
    </row>
    <row r="470" spans="1:18">
      <c r="A470" t="s">
        <v>1043</v>
      </c>
      <c r="B47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7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70" s="6">
        <f>TAX_CERTIFICATE[[#This Row],[BEGINNING PERIOD UNITS]]*$AA$2</f>
        <v>0</v>
      </c>
      <c r="E470" s="6">
        <f>TAX_CERTIFICATE[[#This Row],[BEGINNING PERIOD MARKET VALUE]]-TAX_CERTIFICATE[[#This Row],[BEGINNING PERIOD COST VALUE]]</f>
        <v>0</v>
      </c>
      <c r="F47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7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70" s="6">
        <f>TAX_CERTIFICATE[[#This Row],[ENDING PERIOD UNITS]]*$AA$3</f>
        <v>0</v>
      </c>
      <c r="I470" s="6">
        <f>TAX_CERTIFICATE[[#This Row],[ENDING PERIOD MARKET VALUE]]-TAX_CERTIFICATE[[#This Row],[ENDING PERIOD COST VALUE]]</f>
        <v>0</v>
      </c>
      <c r="J47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7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7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7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70" s="6">
        <f>TAX_CERTIFICATE[[#This Row],[TOTAL ADDITION AT COST DURING THE PERIOD]]-TAX_CERTIFICATE[[#This Row],[TOTAL REDEMPTION AT COST DURING THE PERIOD]]</f>
        <v>0</v>
      </c>
      <c r="O47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70" s="6"/>
      <c r="Q470" s="6"/>
      <c r="R470" s="6"/>
    </row>
    <row r="471" spans="1:18">
      <c r="A471" t="s">
        <v>1045</v>
      </c>
      <c r="B47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7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71" s="6">
        <f>TAX_CERTIFICATE[[#This Row],[BEGINNING PERIOD UNITS]]*$AA$2</f>
        <v>0</v>
      </c>
      <c r="E471" s="6">
        <f>TAX_CERTIFICATE[[#This Row],[BEGINNING PERIOD MARKET VALUE]]-TAX_CERTIFICATE[[#This Row],[BEGINNING PERIOD COST VALUE]]</f>
        <v>0</v>
      </c>
      <c r="F47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7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71" s="6">
        <f>TAX_CERTIFICATE[[#This Row],[ENDING PERIOD UNITS]]*$AA$3</f>
        <v>0</v>
      </c>
      <c r="I471" s="6">
        <f>TAX_CERTIFICATE[[#This Row],[ENDING PERIOD MARKET VALUE]]-TAX_CERTIFICATE[[#This Row],[ENDING PERIOD COST VALUE]]</f>
        <v>0</v>
      </c>
      <c r="J47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7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7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7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71" s="6">
        <f>TAX_CERTIFICATE[[#This Row],[TOTAL ADDITION AT COST DURING THE PERIOD]]-TAX_CERTIFICATE[[#This Row],[TOTAL REDEMPTION AT COST DURING THE PERIOD]]</f>
        <v>0</v>
      </c>
      <c r="O47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71" s="6"/>
      <c r="Q471" s="6"/>
      <c r="R471" s="6"/>
    </row>
    <row r="472" spans="1:18">
      <c r="A472" t="s">
        <v>1047</v>
      </c>
      <c r="B47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7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72" s="6">
        <f>TAX_CERTIFICATE[[#This Row],[BEGINNING PERIOD UNITS]]*$AA$2</f>
        <v>0</v>
      </c>
      <c r="E472" s="6">
        <f>TAX_CERTIFICATE[[#This Row],[BEGINNING PERIOD MARKET VALUE]]-TAX_CERTIFICATE[[#This Row],[BEGINNING PERIOD COST VALUE]]</f>
        <v>0</v>
      </c>
      <c r="F47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7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72" s="6">
        <f>TAX_CERTIFICATE[[#This Row],[ENDING PERIOD UNITS]]*$AA$3</f>
        <v>0</v>
      </c>
      <c r="I472" s="6">
        <f>TAX_CERTIFICATE[[#This Row],[ENDING PERIOD MARKET VALUE]]-TAX_CERTIFICATE[[#This Row],[ENDING PERIOD COST VALUE]]</f>
        <v>0</v>
      </c>
      <c r="J47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7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7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7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72" s="6">
        <f>TAX_CERTIFICATE[[#This Row],[TOTAL ADDITION AT COST DURING THE PERIOD]]-TAX_CERTIFICATE[[#This Row],[TOTAL REDEMPTION AT COST DURING THE PERIOD]]</f>
        <v>0</v>
      </c>
      <c r="O47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72" s="6"/>
      <c r="Q472" s="6"/>
      <c r="R472" s="6"/>
    </row>
    <row r="473" spans="1:18">
      <c r="A473" t="s">
        <v>1053</v>
      </c>
      <c r="B47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7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73" s="6">
        <f>TAX_CERTIFICATE[[#This Row],[BEGINNING PERIOD UNITS]]*$AA$2</f>
        <v>0</v>
      </c>
      <c r="E473" s="6">
        <f>TAX_CERTIFICATE[[#This Row],[BEGINNING PERIOD MARKET VALUE]]-TAX_CERTIFICATE[[#This Row],[BEGINNING PERIOD COST VALUE]]</f>
        <v>0</v>
      </c>
      <c r="F47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7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73" s="6">
        <f>TAX_CERTIFICATE[[#This Row],[ENDING PERIOD UNITS]]*$AA$3</f>
        <v>0</v>
      </c>
      <c r="I473" s="6">
        <f>TAX_CERTIFICATE[[#This Row],[ENDING PERIOD MARKET VALUE]]-TAX_CERTIFICATE[[#This Row],[ENDING PERIOD COST VALUE]]</f>
        <v>0</v>
      </c>
      <c r="J47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7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7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7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73" s="6">
        <f>TAX_CERTIFICATE[[#This Row],[TOTAL ADDITION AT COST DURING THE PERIOD]]-TAX_CERTIFICATE[[#This Row],[TOTAL REDEMPTION AT COST DURING THE PERIOD]]</f>
        <v>0</v>
      </c>
      <c r="O47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73" s="6"/>
      <c r="Q473" s="6"/>
      <c r="R473" s="6"/>
    </row>
    <row r="474" spans="1:18">
      <c r="A474" t="s">
        <v>1055</v>
      </c>
      <c r="B47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7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74" s="6">
        <f>TAX_CERTIFICATE[[#This Row],[BEGINNING PERIOD UNITS]]*$AA$2</f>
        <v>0</v>
      </c>
      <c r="E474" s="6">
        <f>TAX_CERTIFICATE[[#This Row],[BEGINNING PERIOD MARKET VALUE]]-TAX_CERTIFICATE[[#This Row],[BEGINNING PERIOD COST VALUE]]</f>
        <v>0</v>
      </c>
      <c r="F47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7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74" s="6">
        <f>TAX_CERTIFICATE[[#This Row],[ENDING PERIOD UNITS]]*$AA$3</f>
        <v>0</v>
      </c>
      <c r="I474" s="6">
        <f>TAX_CERTIFICATE[[#This Row],[ENDING PERIOD MARKET VALUE]]-TAX_CERTIFICATE[[#This Row],[ENDING PERIOD COST VALUE]]</f>
        <v>0</v>
      </c>
      <c r="J47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7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7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7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74" s="6">
        <f>TAX_CERTIFICATE[[#This Row],[TOTAL ADDITION AT COST DURING THE PERIOD]]-TAX_CERTIFICATE[[#This Row],[TOTAL REDEMPTION AT COST DURING THE PERIOD]]</f>
        <v>0</v>
      </c>
      <c r="O47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74" s="6"/>
      <c r="Q474" s="6"/>
      <c r="R474" s="6"/>
    </row>
    <row r="475" spans="1:18">
      <c r="A475" t="s">
        <v>1057</v>
      </c>
      <c r="B47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7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75" s="6">
        <f>TAX_CERTIFICATE[[#This Row],[BEGINNING PERIOD UNITS]]*$AA$2</f>
        <v>0</v>
      </c>
      <c r="E475" s="6">
        <f>TAX_CERTIFICATE[[#This Row],[BEGINNING PERIOD MARKET VALUE]]-TAX_CERTIFICATE[[#This Row],[BEGINNING PERIOD COST VALUE]]</f>
        <v>0</v>
      </c>
      <c r="F47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7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75" s="6">
        <f>TAX_CERTIFICATE[[#This Row],[ENDING PERIOD UNITS]]*$AA$3</f>
        <v>0</v>
      </c>
      <c r="I475" s="6">
        <f>TAX_CERTIFICATE[[#This Row],[ENDING PERIOD MARKET VALUE]]-TAX_CERTIFICATE[[#This Row],[ENDING PERIOD COST VALUE]]</f>
        <v>0</v>
      </c>
      <c r="J47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7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7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7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75" s="6">
        <f>TAX_CERTIFICATE[[#This Row],[TOTAL ADDITION AT COST DURING THE PERIOD]]-TAX_CERTIFICATE[[#This Row],[TOTAL REDEMPTION AT COST DURING THE PERIOD]]</f>
        <v>0</v>
      </c>
      <c r="O47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75" s="6"/>
      <c r="Q475" s="6"/>
      <c r="R475" s="6"/>
    </row>
    <row r="476" spans="1:18">
      <c r="A476" t="s">
        <v>1059</v>
      </c>
      <c r="B47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7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76" s="6">
        <f>TAX_CERTIFICATE[[#This Row],[BEGINNING PERIOD UNITS]]*$AA$2</f>
        <v>0</v>
      </c>
      <c r="E476" s="6">
        <f>TAX_CERTIFICATE[[#This Row],[BEGINNING PERIOD MARKET VALUE]]-TAX_CERTIFICATE[[#This Row],[BEGINNING PERIOD COST VALUE]]</f>
        <v>0</v>
      </c>
      <c r="F47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7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76" s="6">
        <f>TAX_CERTIFICATE[[#This Row],[ENDING PERIOD UNITS]]*$AA$3</f>
        <v>0</v>
      </c>
      <c r="I476" s="6">
        <f>TAX_CERTIFICATE[[#This Row],[ENDING PERIOD MARKET VALUE]]-TAX_CERTIFICATE[[#This Row],[ENDING PERIOD COST VALUE]]</f>
        <v>0</v>
      </c>
      <c r="J47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7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7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7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76" s="6">
        <f>TAX_CERTIFICATE[[#This Row],[TOTAL ADDITION AT COST DURING THE PERIOD]]-TAX_CERTIFICATE[[#This Row],[TOTAL REDEMPTION AT COST DURING THE PERIOD]]</f>
        <v>0</v>
      </c>
      <c r="O47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76" s="6"/>
      <c r="Q476" s="6"/>
      <c r="R476" s="6"/>
    </row>
    <row r="477" spans="1:18">
      <c r="A477" t="s">
        <v>1065</v>
      </c>
      <c r="B47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7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77" s="6">
        <f>TAX_CERTIFICATE[[#This Row],[BEGINNING PERIOD UNITS]]*$AA$2</f>
        <v>0</v>
      </c>
      <c r="E477" s="6">
        <f>TAX_CERTIFICATE[[#This Row],[BEGINNING PERIOD MARKET VALUE]]-TAX_CERTIFICATE[[#This Row],[BEGINNING PERIOD COST VALUE]]</f>
        <v>0</v>
      </c>
      <c r="F47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7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77" s="6">
        <f>TAX_CERTIFICATE[[#This Row],[ENDING PERIOD UNITS]]*$AA$3</f>
        <v>0</v>
      </c>
      <c r="I477" s="6">
        <f>TAX_CERTIFICATE[[#This Row],[ENDING PERIOD MARKET VALUE]]-TAX_CERTIFICATE[[#This Row],[ENDING PERIOD COST VALUE]]</f>
        <v>0</v>
      </c>
      <c r="J47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7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7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7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77" s="6">
        <f>TAX_CERTIFICATE[[#This Row],[TOTAL ADDITION AT COST DURING THE PERIOD]]-TAX_CERTIFICATE[[#This Row],[TOTAL REDEMPTION AT COST DURING THE PERIOD]]</f>
        <v>0</v>
      </c>
      <c r="O47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77" s="6"/>
      <c r="Q477" s="6"/>
      <c r="R477" s="6"/>
    </row>
    <row r="478" spans="1:18">
      <c r="A478" t="s">
        <v>1067</v>
      </c>
      <c r="B47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7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78" s="6">
        <f>TAX_CERTIFICATE[[#This Row],[BEGINNING PERIOD UNITS]]*$AA$2</f>
        <v>0</v>
      </c>
      <c r="E478" s="6">
        <f>TAX_CERTIFICATE[[#This Row],[BEGINNING PERIOD MARKET VALUE]]-TAX_CERTIFICATE[[#This Row],[BEGINNING PERIOD COST VALUE]]</f>
        <v>0</v>
      </c>
      <c r="F47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7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78" s="6">
        <f>TAX_CERTIFICATE[[#This Row],[ENDING PERIOD UNITS]]*$AA$3</f>
        <v>0</v>
      </c>
      <c r="I478" s="6">
        <f>TAX_CERTIFICATE[[#This Row],[ENDING PERIOD MARKET VALUE]]-TAX_CERTIFICATE[[#This Row],[ENDING PERIOD COST VALUE]]</f>
        <v>0</v>
      </c>
      <c r="J47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7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7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7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78" s="6">
        <f>TAX_CERTIFICATE[[#This Row],[TOTAL ADDITION AT COST DURING THE PERIOD]]-TAX_CERTIFICATE[[#This Row],[TOTAL REDEMPTION AT COST DURING THE PERIOD]]</f>
        <v>0</v>
      </c>
      <c r="O47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78" s="6"/>
      <c r="Q478" s="6"/>
      <c r="R478" s="6"/>
    </row>
    <row r="479" spans="1:18">
      <c r="A479" t="s">
        <v>1069</v>
      </c>
      <c r="B47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7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79" s="6">
        <f>TAX_CERTIFICATE[[#This Row],[BEGINNING PERIOD UNITS]]*$AA$2</f>
        <v>0</v>
      </c>
      <c r="E479" s="6">
        <f>TAX_CERTIFICATE[[#This Row],[BEGINNING PERIOD MARKET VALUE]]-TAX_CERTIFICATE[[#This Row],[BEGINNING PERIOD COST VALUE]]</f>
        <v>0</v>
      </c>
      <c r="F47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7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79" s="6">
        <f>TAX_CERTIFICATE[[#This Row],[ENDING PERIOD UNITS]]*$AA$3</f>
        <v>0</v>
      </c>
      <c r="I479" s="6">
        <f>TAX_CERTIFICATE[[#This Row],[ENDING PERIOD MARKET VALUE]]-TAX_CERTIFICATE[[#This Row],[ENDING PERIOD COST VALUE]]</f>
        <v>0</v>
      </c>
      <c r="J47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7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7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7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79" s="6">
        <f>TAX_CERTIFICATE[[#This Row],[TOTAL ADDITION AT COST DURING THE PERIOD]]-TAX_CERTIFICATE[[#This Row],[TOTAL REDEMPTION AT COST DURING THE PERIOD]]</f>
        <v>0</v>
      </c>
      <c r="O47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79" s="6"/>
      <c r="Q479" s="6"/>
      <c r="R479" s="6"/>
    </row>
    <row r="480" spans="1:18">
      <c r="A480" t="s">
        <v>1071</v>
      </c>
      <c r="B48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8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80" s="6">
        <f>TAX_CERTIFICATE[[#This Row],[BEGINNING PERIOD UNITS]]*$AA$2</f>
        <v>0</v>
      </c>
      <c r="E480" s="6">
        <f>TAX_CERTIFICATE[[#This Row],[BEGINNING PERIOD MARKET VALUE]]-TAX_CERTIFICATE[[#This Row],[BEGINNING PERIOD COST VALUE]]</f>
        <v>0</v>
      </c>
      <c r="F48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8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80" s="6">
        <f>TAX_CERTIFICATE[[#This Row],[ENDING PERIOD UNITS]]*$AA$3</f>
        <v>0</v>
      </c>
      <c r="I480" s="6">
        <f>TAX_CERTIFICATE[[#This Row],[ENDING PERIOD MARKET VALUE]]-TAX_CERTIFICATE[[#This Row],[ENDING PERIOD COST VALUE]]</f>
        <v>0</v>
      </c>
      <c r="J48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8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8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8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80" s="6">
        <f>TAX_CERTIFICATE[[#This Row],[TOTAL ADDITION AT COST DURING THE PERIOD]]-TAX_CERTIFICATE[[#This Row],[TOTAL REDEMPTION AT COST DURING THE PERIOD]]</f>
        <v>0</v>
      </c>
      <c r="O48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80" s="6"/>
      <c r="Q480" s="6"/>
      <c r="R480" s="6"/>
    </row>
    <row r="481" spans="1:18">
      <c r="A481" t="s">
        <v>1073</v>
      </c>
      <c r="B48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8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81" s="6">
        <f>TAX_CERTIFICATE[[#This Row],[BEGINNING PERIOD UNITS]]*$AA$2</f>
        <v>0</v>
      </c>
      <c r="E481" s="6">
        <f>TAX_CERTIFICATE[[#This Row],[BEGINNING PERIOD MARKET VALUE]]-TAX_CERTIFICATE[[#This Row],[BEGINNING PERIOD COST VALUE]]</f>
        <v>0</v>
      </c>
      <c r="F48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8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81" s="6">
        <f>TAX_CERTIFICATE[[#This Row],[ENDING PERIOD UNITS]]*$AA$3</f>
        <v>0</v>
      </c>
      <c r="I481" s="6">
        <f>TAX_CERTIFICATE[[#This Row],[ENDING PERIOD MARKET VALUE]]-TAX_CERTIFICATE[[#This Row],[ENDING PERIOD COST VALUE]]</f>
        <v>0</v>
      </c>
      <c r="J48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8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8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8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81" s="6">
        <f>TAX_CERTIFICATE[[#This Row],[TOTAL ADDITION AT COST DURING THE PERIOD]]-TAX_CERTIFICATE[[#This Row],[TOTAL REDEMPTION AT COST DURING THE PERIOD]]</f>
        <v>0</v>
      </c>
      <c r="O48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81" s="6"/>
      <c r="Q481" s="6"/>
      <c r="R481" s="6"/>
    </row>
    <row r="482" spans="1:18">
      <c r="A482" t="s">
        <v>1075</v>
      </c>
      <c r="B48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8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82" s="6">
        <f>TAX_CERTIFICATE[[#This Row],[BEGINNING PERIOD UNITS]]*$AA$2</f>
        <v>0</v>
      </c>
      <c r="E482" s="6">
        <f>TAX_CERTIFICATE[[#This Row],[BEGINNING PERIOD MARKET VALUE]]-TAX_CERTIFICATE[[#This Row],[BEGINNING PERIOD COST VALUE]]</f>
        <v>0</v>
      </c>
      <c r="F48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8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82" s="6">
        <f>TAX_CERTIFICATE[[#This Row],[ENDING PERIOD UNITS]]*$AA$3</f>
        <v>0</v>
      </c>
      <c r="I482" s="6">
        <f>TAX_CERTIFICATE[[#This Row],[ENDING PERIOD MARKET VALUE]]-TAX_CERTIFICATE[[#This Row],[ENDING PERIOD COST VALUE]]</f>
        <v>0</v>
      </c>
      <c r="J48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8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8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8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82" s="6">
        <f>TAX_CERTIFICATE[[#This Row],[TOTAL ADDITION AT COST DURING THE PERIOD]]-TAX_CERTIFICATE[[#This Row],[TOTAL REDEMPTION AT COST DURING THE PERIOD]]</f>
        <v>0</v>
      </c>
      <c r="O48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82" s="6"/>
      <c r="Q482" s="6"/>
      <c r="R482" s="6"/>
    </row>
    <row r="483" spans="1:18">
      <c r="A483" t="s">
        <v>1077</v>
      </c>
      <c r="B48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8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83" s="6">
        <f>TAX_CERTIFICATE[[#This Row],[BEGINNING PERIOD UNITS]]*$AA$2</f>
        <v>0</v>
      </c>
      <c r="E483" s="6">
        <f>TAX_CERTIFICATE[[#This Row],[BEGINNING PERIOD MARKET VALUE]]-TAX_CERTIFICATE[[#This Row],[BEGINNING PERIOD COST VALUE]]</f>
        <v>0</v>
      </c>
      <c r="F48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8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83" s="6">
        <f>TAX_CERTIFICATE[[#This Row],[ENDING PERIOD UNITS]]*$AA$3</f>
        <v>0</v>
      </c>
      <c r="I483" s="6">
        <f>TAX_CERTIFICATE[[#This Row],[ENDING PERIOD MARKET VALUE]]-TAX_CERTIFICATE[[#This Row],[ENDING PERIOD COST VALUE]]</f>
        <v>0</v>
      </c>
      <c r="J48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8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8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8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83" s="6">
        <f>TAX_CERTIFICATE[[#This Row],[TOTAL ADDITION AT COST DURING THE PERIOD]]-TAX_CERTIFICATE[[#This Row],[TOTAL REDEMPTION AT COST DURING THE PERIOD]]</f>
        <v>0</v>
      </c>
      <c r="O48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83" s="6"/>
      <c r="Q483" s="6"/>
      <c r="R483" s="6"/>
    </row>
    <row r="484" spans="1:18">
      <c r="A484" t="s">
        <v>1079</v>
      </c>
      <c r="B48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8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84" s="6">
        <f>TAX_CERTIFICATE[[#This Row],[BEGINNING PERIOD UNITS]]*$AA$2</f>
        <v>0</v>
      </c>
      <c r="E484" s="6">
        <f>TAX_CERTIFICATE[[#This Row],[BEGINNING PERIOD MARKET VALUE]]-TAX_CERTIFICATE[[#This Row],[BEGINNING PERIOD COST VALUE]]</f>
        <v>0</v>
      </c>
      <c r="F48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8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84" s="6">
        <f>TAX_CERTIFICATE[[#This Row],[ENDING PERIOD UNITS]]*$AA$3</f>
        <v>0</v>
      </c>
      <c r="I484" s="6">
        <f>TAX_CERTIFICATE[[#This Row],[ENDING PERIOD MARKET VALUE]]-TAX_CERTIFICATE[[#This Row],[ENDING PERIOD COST VALUE]]</f>
        <v>0</v>
      </c>
      <c r="J48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8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8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8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84" s="6">
        <f>TAX_CERTIFICATE[[#This Row],[TOTAL ADDITION AT COST DURING THE PERIOD]]-TAX_CERTIFICATE[[#This Row],[TOTAL REDEMPTION AT COST DURING THE PERIOD]]</f>
        <v>0</v>
      </c>
      <c r="O48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84" s="6"/>
      <c r="Q484" s="6"/>
      <c r="R484" s="6"/>
    </row>
    <row r="485" spans="1:18">
      <c r="A485" t="s">
        <v>1081</v>
      </c>
      <c r="B48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8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85" s="6">
        <f>TAX_CERTIFICATE[[#This Row],[BEGINNING PERIOD UNITS]]*$AA$2</f>
        <v>0</v>
      </c>
      <c r="E485" s="6">
        <f>TAX_CERTIFICATE[[#This Row],[BEGINNING PERIOD MARKET VALUE]]-TAX_CERTIFICATE[[#This Row],[BEGINNING PERIOD COST VALUE]]</f>
        <v>0</v>
      </c>
      <c r="F48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8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85" s="6">
        <f>TAX_CERTIFICATE[[#This Row],[ENDING PERIOD UNITS]]*$AA$3</f>
        <v>0</v>
      </c>
      <c r="I485" s="6">
        <f>TAX_CERTIFICATE[[#This Row],[ENDING PERIOD MARKET VALUE]]-TAX_CERTIFICATE[[#This Row],[ENDING PERIOD COST VALUE]]</f>
        <v>0</v>
      </c>
      <c r="J48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8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8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8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85" s="6">
        <f>TAX_CERTIFICATE[[#This Row],[TOTAL ADDITION AT COST DURING THE PERIOD]]-TAX_CERTIFICATE[[#This Row],[TOTAL REDEMPTION AT COST DURING THE PERIOD]]</f>
        <v>0</v>
      </c>
      <c r="O48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85" s="6"/>
      <c r="Q485" s="6"/>
      <c r="R485" s="6"/>
    </row>
    <row r="486" spans="1:18">
      <c r="A486" t="s">
        <v>1083</v>
      </c>
      <c r="B48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8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86" s="6">
        <f>TAX_CERTIFICATE[[#This Row],[BEGINNING PERIOD UNITS]]*$AA$2</f>
        <v>0</v>
      </c>
      <c r="E486" s="6">
        <f>TAX_CERTIFICATE[[#This Row],[BEGINNING PERIOD MARKET VALUE]]-TAX_CERTIFICATE[[#This Row],[BEGINNING PERIOD COST VALUE]]</f>
        <v>0</v>
      </c>
      <c r="F48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8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86" s="6">
        <f>TAX_CERTIFICATE[[#This Row],[ENDING PERIOD UNITS]]*$AA$3</f>
        <v>0</v>
      </c>
      <c r="I486" s="6">
        <f>TAX_CERTIFICATE[[#This Row],[ENDING PERIOD MARKET VALUE]]-TAX_CERTIFICATE[[#This Row],[ENDING PERIOD COST VALUE]]</f>
        <v>0</v>
      </c>
      <c r="J48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8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8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8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86" s="6">
        <f>TAX_CERTIFICATE[[#This Row],[TOTAL ADDITION AT COST DURING THE PERIOD]]-TAX_CERTIFICATE[[#This Row],[TOTAL REDEMPTION AT COST DURING THE PERIOD]]</f>
        <v>0</v>
      </c>
      <c r="O48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86" s="6"/>
      <c r="Q486" s="6"/>
      <c r="R486" s="6"/>
    </row>
    <row r="487" spans="1:18">
      <c r="A487" t="s">
        <v>1085</v>
      </c>
      <c r="B48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8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87" s="6">
        <f>TAX_CERTIFICATE[[#This Row],[BEGINNING PERIOD UNITS]]*$AA$2</f>
        <v>0</v>
      </c>
      <c r="E487" s="6">
        <f>TAX_CERTIFICATE[[#This Row],[BEGINNING PERIOD MARKET VALUE]]-TAX_CERTIFICATE[[#This Row],[BEGINNING PERIOD COST VALUE]]</f>
        <v>0</v>
      </c>
      <c r="F48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8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87" s="6">
        <f>TAX_CERTIFICATE[[#This Row],[ENDING PERIOD UNITS]]*$AA$3</f>
        <v>0</v>
      </c>
      <c r="I487" s="6">
        <f>TAX_CERTIFICATE[[#This Row],[ENDING PERIOD MARKET VALUE]]-TAX_CERTIFICATE[[#This Row],[ENDING PERIOD COST VALUE]]</f>
        <v>0</v>
      </c>
      <c r="J48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8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8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8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87" s="6">
        <f>TAX_CERTIFICATE[[#This Row],[TOTAL ADDITION AT COST DURING THE PERIOD]]-TAX_CERTIFICATE[[#This Row],[TOTAL REDEMPTION AT COST DURING THE PERIOD]]</f>
        <v>0</v>
      </c>
      <c r="O48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87" s="6"/>
      <c r="Q487" s="6"/>
      <c r="R487" s="6"/>
    </row>
    <row r="488" spans="1:18">
      <c r="A488" t="s">
        <v>1087</v>
      </c>
      <c r="B48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8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88" s="6">
        <f>TAX_CERTIFICATE[[#This Row],[BEGINNING PERIOD UNITS]]*$AA$2</f>
        <v>0</v>
      </c>
      <c r="E488" s="6">
        <f>TAX_CERTIFICATE[[#This Row],[BEGINNING PERIOD MARKET VALUE]]-TAX_CERTIFICATE[[#This Row],[BEGINNING PERIOD COST VALUE]]</f>
        <v>0</v>
      </c>
      <c r="F48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8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88" s="6">
        <f>TAX_CERTIFICATE[[#This Row],[ENDING PERIOD UNITS]]*$AA$3</f>
        <v>0</v>
      </c>
      <c r="I488" s="6">
        <f>TAX_CERTIFICATE[[#This Row],[ENDING PERIOD MARKET VALUE]]-TAX_CERTIFICATE[[#This Row],[ENDING PERIOD COST VALUE]]</f>
        <v>0</v>
      </c>
      <c r="J48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8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8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8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88" s="6">
        <f>TAX_CERTIFICATE[[#This Row],[TOTAL ADDITION AT COST DURING THE PERIOD]]-TAX_CERTIFICATE[[#This Row],[TOTAL REDEMPTION AT COST DURING THE PERIOD]]</f>
        <v>0</v>
      </c>
      <c r="O48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88" s="6"/>
      <c r="Q488" s="6"/>
      <c r="R488" s="6"/>
    </row>
    <row r="489" spans="1:18">
      <c r="A489" t="s">
        <v>1089</v>
      </c>
      <c r="B48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8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89" s="6">
        <f>TAX_CERTIFICATE[[#This Row],[BEGINNING PERIOD UNITS]]*$AA$2</f>
        <v>0</v>
      </c>
      <c r="E489" s="6">
        <f>TAX_CERTIFICATE[[#This Row],[BEGINNING PERIOD MARKET VALUE]]-TAX_CERTIFICATE[[#This Row],[BEGINNING PERIOD COST VALUE]]</f>
        <v>0</v>
      </c>
      <c r="F48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8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89" s="6">
        <f>TAX_CERTIFICATE[[#This Row],[ENDING PERIOD UNITS]]*$AA$3</f>
        <v>0</v>
      </c>
      <c r="I489" s="6">
        <f>TAX_CERTIFICATE[[#This Row],[ENDING PERIOD MARKET VALUE]]-TAX_CERTIFICATE[[#This Row],[ENDING PERIOD COST VALUE]]</f>
        <v>0</v>
      </c>
      <c r="J48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8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8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8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89" s="6">
        <f>TAX_CERTIFICATE[[#This Row],[TOTAL ADDITION AT COST DURING THE PERIOD]]-TAX_CERTIFICATE[[#This Row],[TOTAL REDEMPTION AT COST DURING THE PERIOD]]</f>
        <v>0</v>
      </c>
      <c r="O48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89" s="6"/>
      <c r="Q489" s="6"/>
      <c r="R489" s="6"/>
    </row>
    <row r="490" spans="1:18">
      <c r="A490" t="s">
        <v>1092</v>
      </c>
      <c r="B49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9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90" s="6">
        <f>TAX_CERTIFICATE[[#This Row],[BEGINNING PERIOD UNITS]]*$AA$2</f>
        <v>0</v>
      </c>
      <c r="E490" s="6">
        <f>TAX_CERTIFICATE[[#This Row],[BEGINNING PERIOD MARKET VALUE]]-TAX_CERTIFICATE[[#This Row],[BEGINNING PERIOD COST VALUE]]</f>
        <v>0</v>
      </c>
      <c r="F49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9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90" s="6">
        <f>TAX_CERTIFICATE[[#This Row],[ENDING PERIOD UNITS]]*$AA$3</f>
        <v>0</v>
      </c>
      <c r="I490" s="6">
        <f>TAX_CERTIFICATE[[#This Row],[ENDING PERIOD MARKET VALUE]]-TAX_CERTIFICATE[[#This Row],[ENDING PERIOD COST VALUE]]</f>
        <v>0</v>
      </c>
      <c r="J49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9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9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9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90" s="6">
        <f>TAX_CERTIFICATE[[#This Row],[TOTAL ADDITION AT COST DURING THE PERIOD]]-TAX_CERTIFICATE[[#This Row],[TOTAL REDEMPTION AT COST DURING THE PERIOD]]</f>
        <v>0</v>
      </c>
      <c r="O49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90" s="6"/>
      <c r="Q490" s="6"/>
      <c r="R490" s="6"/>
    </row>
    <row r="491" spans="1:18">
      <c r="A491" t="s">
        <v>1094</v>
      </c>
      <c r="B49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9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91" s="6">
        <f>TAX_CERTIFICATE[[#This Row],[BEGINNING PERIOD UNITS]]*$AA$2</f>
        <v>0</v>
      </c>
      <c r="E491" s="6">
        <f>TAX_CERTIFICATE[[#This Row],[BEGINNING PERIOD MARKET VALUE]]-TAX_CERTIFICATE[[#This Row],[BEGINNING PERIOD COST VALUE]]</f>
        <v>0</v>
      </c>
      <c r="F49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9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91" s="6">
        <f>TAX_CERTIFICATE[[#This Row],[ENDING PERIOD UNITS]]*$AA$3</f>
        <v>0</v>
      </c>
      <c r="I491" s="6">
        <f>TAX_CERTIFICATE[[#This Row],[ENDING PERIOD MARKET VALUE]]-TAX_CERTIFICATE[[#This Row],[ENDING PERIOD COST VALUE]]</f>
        <v>0</v>
      </c>
      <c r="J49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9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9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9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91" s="6">
        <f>TAX_CERTIFICATE[[#This Row],[TOTAL ADDITION AT COST DURING THE PERIOD]]-TAX_CERTIFICATE[[#This Row],[TOTAL REDEMPTION AT COST DURING THE PERIOD]]</f>
        <v>0</v>
      </c>
      <c r="O49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91" s="6"/>
      <c r="Q491" s="6"/>
      <c r="R491" s="6"/>
    </row>
    <row r="492" spans="1:18">
      <c r="A492" t="s">
        <v>1096</v>
      </c>
      <c r="B49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9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92" s="6">
        <f>TAX_CERTIFICATE[[#This Row],[BEGINNING PERIOD UNITS]]*$AA$2</f>
        <v>0</v>
      </c>
      <c r="E492" s="6">
        <f>TAX_CERTIFICATE[[#This Row],[BEGINNING PERIOD MARKET VALUE]]-TAX_CERTIFICATE[[#This Row],[BEGINNING PERIOD COST VALUE]]</f>
        <v>0</v>
      </c>
      <c r="F49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9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92" s="6">
        <f>TAX_CERTIFICATE[[#This Row],[ENDING PERIOD UNITS]]*$AA$3</f>
        <v>0</v>
      </c>
      <c r="I492" s="6">
        <f>TAX_CERTIFICATE[[#This Row],[ENDING PERIOD MARKET VALUE]]-TAX_CERTIFICATE[[#This Row],[ENDING PERIOD COST VALUE]]</f>
        <v>0</v>
      </c>
      <c r="J49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9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9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9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92" s="6">
        <f>TAX_CERTIFICATE[[#This Row],[TOTAL ADDITION AT COST DURING THE PERIOD]]-TAX_CERTIFICATE[[#This Row],[TOTAL REDEMPTION AT COST DURING THE PERIOD]]</f>
        <v>0</v>
      </c>
      <c r="O49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92" s="6"/>
      <c r="Q492" s="6"/>
      <c r="R492" s="6"/>
    </row>
    <row r="493" spans="1:18">
      <c r="A493" t="s">
        <v>1098</v>
      </c>
      <c r="B49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9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93" s="6">
        <f>TAX_CERTIFICATE[[#This Row],[BEGINNING PERIOD UNITS]]*$AA$2</f>
        <v>0</v>
      </c>
      <c r="E493" s="6">
        <f>TAX_CERTIFICATE[[#This Row],[BEGINNING PERIOD MARKET VALUE]]-TAX_CERTIFICATE[[#This Row],[BEGINNING PERIOD COST VALUE]]</f>
        <v>0</v>
      </c>
      <c r="F49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9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93" s="6">
        <f>TAX_CERTIFICATE[[#This Row],[ENDING PERIOD UNITS]]*$AA$3</f>
        <v>0</v>
      </c>
      <c r="I493" s="6">
        <f>TAX_CERTIFICATE[[#This Row],[ENDING PERIOD MARKET VALUE]]-TAX_CERTIFICATE[[#This Row],[ENDING PERIOD COST VALUE]]</f>
        <v>0</v>
      </c>
      <c r="J49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9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9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9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93" s="6">
        <f>TAX_CERTIFICATE[[#This Row],[TOTAL ADDITION AT COST DURING THE PERIOD]]-TAX_CERTIFICATE[[#This Row],[TOTAL REDEMPTION AT COST DURING THE PERIOD]]</f>
        <v>0</v>
      </c>
      <c r="O49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93" s="6"/>
      <c r="Q493" s="6"/>
      <c r="R493" s="6"/>
    </row>
    <row r="494" spans="1:18">
      <c r="A494" t="s">
        <v>1101</v>
      </c>
      <c r="B49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9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94" s="6">
        <f>TAX_CERTIFICATE[[#This Row],[BEGINNING PERIOD UNITS]]*$AA$2</f>
        <v>0</v>
      </c>
      <c r="E494" s="6">
        <f>TAX_CERTIFICATE[[#This Row],[BEGINNING PERIOD MARKET VALUE]]-TAX_CERTIFICATE[[#This Row],[BEGINNING PERIOD COST VALUE]]</f>
        <v>0</v>
      </c>
      <c r="F49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9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94" s="6">
        <f>TAX_CERTIFICATE[[#This Row],[ENDING PERIOD UNITS]]*$AA$3</f>
        <v>0</v>
      </c>
      <c r="I494" s="6">
        <f>TAX_CERTIFICATE[[#This Row],[ENDING PERIOD MARKET VALUE]]-TAX_CERTIFICATE[[#This Row],[ENDING PERIOD COST VALUE]]</f>
        <v>0</v>
      </c>
      <c r="J49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9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9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9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94" s="6">
        <f>TAX_CERTIFICATE[[#This Row],[TOTAL ADDITION AT COST DURING THE PERIOD]]-TAX_CERTIFICATE[[#This Row],[TOTAL REDEMPTION AT COST DURING THE PERIOD]]</f>
        <v>0</v>
      </c>
      <c r="O49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94" s="6"/>
      <c r="Q494" s="6"/>
      <c r="R494" s="6"/>
    </row>
    <row r="495" spans="1:18">
      <c r="A495" t="s">
        <v>1103</v>
      </c>
      <c r="B49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9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95" s="6">
        <f>TAX_CERTIFICATE[[#This Row],[BEGINNING PERIOD UNITS]]*$AA$2</f>
        <v>0</v>
      </c>
      <c r="E495" s="6">
        <f>TAX_CERTIFICATE[[#This Row],[BEGINNING PERIOD MARKET VALUE]]-TAX_CERTIFICATE[[#This Row],[BEGINNING PERIOD COST VALUE]]</f>
        <v>0</v>
      </c>
      <c r="F49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9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95" s="6">
        <f>TAX_CERTIFICATE[[#This Row],[ENDING PERIOD UNITS]]*$AA$3</f>
        <v>0</v>
      </c>
      <c r="I495" s="6">
        <f>TAX_CERTIFICATE[[#This Row],[ENDING PERIOD MARKET VALUE]]-TAX_CERTIFICATE[[#This Row],[ENDING PERIOD COST VALUE]]</f>
        <v>0</v>
      </c>
      <c r="J49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9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9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9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95" s="6">
        <f>TAX_CERTIFICATE[[#This Row],[TOTAL ADDITION AT COST DURING THE PERIOD]]-TAX_CERTIFICATE[[#This Row],[TOTAL REDEMPTION AT COST DURING THE PERIOD]]</f>
        <v>0</v>
      </c>
      <c r="O49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95" s="6"/>
      <c r="Q495" s="6"/>
      <c r="R495" s="6"/>
    </row>
    <row r="496" spans="1:18">
      <c r="A496" t="s">
        <v>1105</v>
      </c>
      <c r="B49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9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96" s="6">
        <f>TAX_CERTIFICATE[[#This Row],[BEGINNING PERIOD UNITS]]*$AA$2</f>
        <v>0</v>
      </c>
      <c r="E496" s="6">
        <f>TAX_CERTIFICATE[[#This Row],[BEGINNING PERIOD MARKET VALUE]]-TAX_CERTIFICATE[[#This Row],[BEGINNING PERIOD COST VALUE]]</f>
        <v>0</v>
      </c>
      <c r="F49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9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96" s="6">
        <f>TAX_CERTIFICATE[[#This Row],[ENDING PERIOD UNITS]]*$AA$3</f>
        <v>0</v>
      </c>
      <c r="I496" s="6">
        <f>TAX_CERTIFICATE[[#This Row],[ENDING PERIOD MARKET VALUE]]-TAX_CERTIFICATE[[#This Row],[ENDING PERIOD COST VALUE]]</f>
        <v>0</v>
      </c>
      <c r="J49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9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9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9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96" s="6">
        <f>TAX_CERTIFICATE[[#This Row],[TOTAL ADDITION AT COST DURING THE PERIOD]]-TAX_CERTIFICATE[[#This Row],[TOTAL REDEMPTION AT COST DURING THE PERIOD]]</f>
        <v>0</v>
      </c>
      <c r="O49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96" s="6"/>
      <c r="Q496" s="6"/>
      <c r="R496" s="6"/>
    </row>
    <row r="497" spans="1:18">
      <c r="A497" t="s">
        <v>1107</v>
      </c>
      <c r="B49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9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97" s="6">
        <f>TAX_CERTIFICATE[[#This Row],[BEGINNING PERIOD UNITS]]*$AA$2</f>
        <v>0</v>
      </c>
      <c r="E497" s="6">
        <f>TAX_CERTIFICATE[[#This Row],[BEGINNING PERIOD MARKET VALUE]]-TAX_CERTIFICATE[[#This Row],[BEGINNING PERIOD COST VALUE]]</f>
        <v>0</v>
      </c>
      <c r="F49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9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97" s="6">
        <f>TAX_CERTIFICATE[[#This Row],[ENDING PERIOD UNITS]]*$AA$3</f>
        <v>0</v>
      </c>
      <c r="I497" s="6">
        <f>TAX_CERTIFICATE[[#This Row],[ENDING PERIOD MARKET VALUE]]-TAX_CERTIFICATE[[#This Row],[ENDING PERIOD COST VALUE]]</f>
        <v>0</v>
      </c>
      <c r="J49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9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9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9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97" s="6">
        <f>TAX_CERTIFICATE[[#This Row],[TOTAL ADDITION AT COST DURING THE PERIOD]]-TAX_CERTIFICATE[[#This Row],[TOTAL REDEMPTION AT COST DURING THE PERIOD]]</f>
        <v>0</v>
      </c>
      <c r="O49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97" s="6"/>
      <c r="Q497" s="6"/>
      <c r="R497" s="6"/>
    </row>
    <row r="498" spans="1:18">
      <c r="A498" t="s">
        <v>1109</v>
      </c>
      <c r="B49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49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498" s="6">
        <f>TAX_CERTIFICATE[[#This Row],[BEGINNING PERIOD UNITS]]*$AA$2</f>
        <v>0</v>
      </c>
      <c r="E498" s="6">
        <f>TAX_CERTIFICATE[[#This Row],[BEGINNING PERIOD MARKET VALUE]]-TAX_CERTIFICATE[[#This Row],[BEGINNING PERIOD COST VALUE]]</f>
        <v>0</v>
      </c>
      <c r="F49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9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98" s="6">
        <f>TAX_CERTIFICATE[[#This Row],[ENDING PERIOD UNITS]]*$AA$3</f>
        <v>0</v>
      </c>
      <c r="I498" s="6">
        <f>TAX_CERTIFICATE[[#This Row],[ENDING PERIOD MARKET VALUE]]-TAX_CERTIFICATE[[#This Row],[ENDING PERIOD COST VALUE]]</f>
        <v>0</v>
      </c>
      <c r="J49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9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9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49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498" s="6">
        <f>TAX_CERTIFICATE[[#This Row],[TOTAL ADDITION AT COST DURING THE PERIOD]]-TAX_CERTIFICATE[[#This Row],[TOTAL REDEMPTION AT COST DURING THE PERIOD]]</f>
        <v>0</v>
      </c>
      <c r="O49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498" s="6"/>
      <c r="Q498" s="6"/>
      <c r="R498" s="6"/>
    </row>
    <row r="499" spans="1:18">
      <c r="A499" t="s">
        <v>1099</v>
      </c>
      <c r="B499" s="2">
        <f>SUMIFS(LS[Unit],LS[Investor ID],TAX_CERTIFICATE[[#This Row],[INVESTOR CODE]],LS[Date Value],"&lt;"&amp;$Z$2)+SUMIFS(SIP[Unit],SIP[Investor ID],TAX_CERTIFICATE[[#This Row],[INVESTOR CODE]],SIP[Date Value],"&lt;"&amp;$Z$2)</f>
        <v>24402</v>
      </c>
      <c r="C49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250000</v>
      </c>
      <c r="D499" s="6">
        <f>TAX_CERTIFICATE[[#This Row],[BEGINNING PERIOD UNITS]]*$AA$2</f>
        <v>243287.94</v>
      </c>
      <c r="E499" s="6">
        <f>TAX_CERTIFICATE[[#This Row],[BEGINNING PERIOD MARKET VALUE]]-TAX_CERTIFICATE[[#This Row],[BEGINNING PERIOD COST VALUE]]</f>
        <v>-6712.0599999999977</v>
      </c>
      <c r="F49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49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499" s="6">
        <f>TAX_CERTIFICATE[[#This Row],[ENDING PERIOD UNITS]]*$AA$3</f>
        <v>0</v>
      </c>
      <c r="I499" s="6">
        <f>TAX_CERTIFICATE[[#This Row],[ENDING PERIOD MARKET VALUE]]-TAX_CERTIFICATE[[#This Row],[ENDING PERIOD COST VALUE]]</f>
        <v>0</v>
      </c>
      <c r="J49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49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49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24402</v>
      </c>
      <c r="M49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250000</v>
      </c>
      <c r="N499" s="6">
        <f>TAX_CERTIFICATE[[#This Row],[TOTAL ADDITION AT COST DURING THE PERIOD]]-TAX_CERTIFICATE[[#This Row],[TOTAL REDEMPTION AT COST DURING THE PERIOD]]</f>
        <v>-250000</v>
      </c>
      <c r="O49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1535.8200000000172</v>
      </c>
      <c r="P499" s="6"/>
      <c r="Q499" s="6"/>
      <c r="R499" s="6"/>
    </row>
    <row r="500" spans="1:18">
      <c r="A500" t="s">
        <v>1112</v>
      </c>
      <c r="B50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0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00" s="6">
        <f>TAX_CERTIFICATE[[#This Row],[BEGINNING PERIOD UNITS]]*$AA$2</f>
        <v>0</v>
      </c>
      <c r="E500" s="6">
        <f>TAX_CERTIFICATE[[#This Row],[BEGINNING PERIOD MARKET VALUE]]-TAX_CERTIFICATE[[#This Row],[BEGINNING PERIOD COST VALUE]]</f>
        <v>0</v>
      </c>
      <c r="F50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0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00" s="6">
        <f>TAX_CERTIFICATE[[#This Row],[ENDING PERIOD UNITS]]*$AA$3</f>
        <v>0</v>
      </c>
      <c r="I500" s="6">
        <f>TAX_CERTIFICATE[[#This Row],[ENDING PERIOD MARKET VALUE]]-TAX_CERTIFICATE[[#This Row],[ENDING PERIOD COST VALUE]]</f>
        <v>0</v>
      </c>
      <c r="J50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0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0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0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00" s="6">
        <f>TAX_CERTIFICATE[[#This Row],[TOTAL ADDITION AT COST DURING THE PERIOD]]-TAX_CERTIFICATE[[#This Row],[TOTAL REDEMPTION AT COST DURING THE PERIOD]]</f>
        <v>0</v>
      </c>
      <c r="O50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00" s="6"/>
      <c r="Q500" s="6"/>
      <c r="R500" s="6"/>
    </row>
    <row r="501" spans="1:18">
      <c r="A501" t="s">
        <v>1114</v>
      </c>
      <c r="B50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0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01" s="6">
        <f>TAX_CERTIFICATE[[#This Row],[BEGINNING PERIOD UNITS]]*$AA$2</f>
        <v>0</v>
      </c>
      <c r="E501" s="6">
        <f>TAX_CERTIFICATE[[#This Row],[BEGINNING PERIOD MARKET VALUE]]-TAX_CERTIFICATE[[#This Row],[BEGINNING PERIOD COST VALUE]]</f>
        <v>0</v>
      </c>
      <c r="F50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0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01" s="6">
        <f>TAX_CERTIFICATE[[#This Row],[ENDING PERIOD UNITS]]*$AA$3</f>
        <v>0</v>
      </c>
      <c r="I501" s="6">
        <f>TAX_CERTIFICATE[[#This Row],[ENDING PERIOD MARKET VALUE]]-TAX_CERTIFICATE[[#This Row],[ENDING PERIOD COST VALUE]]</f>
        <v>0</v>
      </c>
      <c r="J50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0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0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0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01" s="6">
        <f>TAX_CERTIFICATE[[#This Row],[TOTAL ADDITION AT COST DURING THE PERIOD]]-TAX_CERTIFICATE[[#This Row],[TOTAL REDEMPTION AT COST DURING THE PERIOD]]</f>
        <v>0</v>
      </c>
      <c r="O50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01" s="6"/>
      <c r="Q501" s="6"/>
      <c r="R501" s="6"/>
    </row>
    <row r="502" spans="1:18">
      <c r="A502" t="s">
        <v>1116</v>
      </c>
      <c r="B50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0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02" s="6">
        <f>TAX_CERTIFICATE[[#This Row],[BEGINNING PERIOD UNITS]]*$AA$2</f>
        <v>0</v>
      </c>
      <c r="E502" s="6">
        <f>TAX_CERTIFICATE[[#This Row],[BEGINNING PERIOD MARKET VALUE]]-TAX_CERTIFICATE[[#This Row],[BEGINNING PERIOD COST VALUE]]</f>
        <v>0</v>
      </c>
      <c r="F50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0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02" s="6">
        <f>TAX_CERTIFICATE[[#This Row],[ENDING PERIOD UNITS]]*$AA$3</f>
        <v>0</v>
      </c>
      <c r="I502" s="6">
        <f>TAX_CERTIFICATE[[#This Row],[ENDING PERIOD MARKET VALUE]]-TAX_CERTIFICATE[[#This Row],[ENDING PERIOD COST VALUE]]</f>
        <v>0</v>
      </c>
      <c r="J50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0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0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0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02" s="6">
        <f>TAX_CERTIFICATE[[#This Row],[TOTAL ADDITION AT COST DURING THE PERIOD]]-TAX_CERTIFICATE[[#This Row],[TOTAL REDEMPTION AT COST DURING THE PERIOD]]</f>
        <v>0</v>
      </c>
      <c r="O50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02" s="6"/>
      <c r="Q502" s="6"/>
      <c r="R502" s="6"/>
    </row>
    <row r="503" spans="1:18">
      <c r="A503" t="s">
        <v>1118</v>
      </c>
      <c r="B50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0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03" s="6">
        <f>TAX_CERTIFICATE[[#This Row],[BEGINNING PERIOD UNITS]]*$AA$2</f>
        <v>0</v>
      </c>
      <c r="E503" s="6">
        <f>TAX_CERTIFICATE[[#This Row],[BEGINNING PERIOD MARKET VALUE]]-TAX_CERTIFICATE[[#This Row],[BEGINNING PERIOD COST VALUE]]</f>
        <v>0</v>
      </c>
      <c r="F50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0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03" s="6">
        <f>TAX_CERTIFICATE[[#This Row],[ENDING PERIOD UNITS]]*$AA$3</f>
        <v>0</v>
      </c>
      <c r="I503" s="6">
        <f>TAX_CERTIFICATE[[#This Row],[ENDING PERIOD MARKET VALUE]]-TAX_CERTIFICATE[[#This Row],[ENDING PERIOD COST VALUE]]</f>
        <v>0</v>
      </c>
      <c r="J50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0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0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0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03" s="6">
        <f>TAX_CERTIFICATE[[#This Row],[TOTAL ADDITION AT COST DURING THE PERIOD]]-TAX_CERTIFICATE[[#This Row],[TOTAL REDEMPTION AT COST DURING THE PERIOD]]</f>
        <v>0</v>
      </c>
      <c r="O50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03" s="6"/>
      <c r="Q503" s="6"/>
      <c r="R503" s="6"/>
    </row>
    <row r="504" spans="1:18">
      <c r="A504" t="s">
        <v>1120</v>
      </c>
      <c r="B50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0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04" s="6">
        <f>TAX_CERTIFICATE[[#This Row],[BEGINNING PERIOD UNITS]]*$AA$2</f>
        <v>0</v>
      </c>
      <c r="E504" s="6">
        <f>TAX_CERTIFICATE[[#This Row],[BEGINNING PERIOD MARKET VALUE]]-TAX_CERTIFICATE[[#This Row],[BEGINNING PERIOD COST VALUE]]</f>
        <v>0</v>
      </c>
      <c r="F50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0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04" s="6">
        <f>TAX_CERTIFICATE[[#This Row],[ENDING PERIOD UNITS]]*$AA$3</f>
        <v>0</v>
      </c>
      <c r="I504" s="6">
        <f>TAX_CERTIFICATE[[#This Row],[ENDING PERIOD MARKET VALUE]]-TAX_CERTIFICATE[[#This Row],[ENDING PERIOD COST VALUE]]</f>
        <v>0</v>
      </c>
      <c r="J50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0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0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0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04" s="6">
        <f>TAX_CERTIFICATE[[#This Row],[TOTAL ADDITION AT COST DURING THE PERIOD]]-TAX_CERTIFICATE[[#This Row],[TOTAL REDEMPTION AT COST DURING THE PERIOD]]</f>
        <v>0</v>
      </c>
      <c r="O50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04" s="6"/>
      <c r="Q504" s="6"/>
      <c r="R504" s="6"/>
    </row>
    <row r="505" spans="1:18">
      <c r="A505" t="s">
        <v>1122</v>
      </c>
      <c r="B50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0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05" s="6">
        <f>TAX_CERTIFICATE[[#This Row],[BEGINNING PERIOD UNITS]]*$AA$2</f>
        <v>0</v>
      </c>
      <c r="E505" s="6">
        <f>TAX_CERTIFICATE[[#This Row],[BEGINNING PERIOD MARKET VALUE]]-TAX_CERTIFICATE[[#This Row],[BEGINNING PERIOD COST VALUE]]</f>
        <v>0</v>
      </c>
      <c r="F50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0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05" s="6">
        <f>TAX_CERTIFICATE[[#This Row],[ENDING PERIOD UNITS]]*$AA$3</f>
        <v>0</v>
      </c>
      <c r="I505" s="6">
        <f>TAX_CERTIFICATE[[#This Row],[ENDING PERIOD MARKET VALUE]]-TAX_CERTIFICATE[[#This Row],[ENDING PERIOD COST VALUE]]</f>
        <v>0</v>
      </c>
      <c r="J50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0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0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0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05" s="6">
        <f>TAX_CERTIFICATE[[#This Row],[TOTAL ADDITION AT COST DURING THE PERIOD]]-TAX_CERTIFICATE[[#This Row],[TOTAL REDEMPTION AT COST DURING THE PERIOD]]</f>
        <v>0</v>
      </c>
      <c r="O50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05" s="6"/>
      <c r="Q505" s="6"/>
      <c r="R505" s="6"/>
    </row>
    <row r="506" spans="1:18">
      <c r="A506" t="s">
        <v>1123</v>
      </c>
      <c r="B50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0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06" s="6">
        <f>TAX_CERTIFICATE[[#This Row],[BEGINNING PERIOD UNITS]]*$AA$2</f>
        <v>0</v>
      </c>
      <c r="E506" s="6">
        <f>TAX_CERTIFICATE[[#This Row],[BEGINNING PERIOD MARKET VALUE]]-TAX_CERTIFICATE[[#This Row],[BEGINNING PERIOD COST VALUE]]</f>
        <v>0</v>
      </c>
      <c r="F50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0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06" s="6">
        <f>TAX_CERTIFICATE[[#This Row],[ENDING PERIOD UNITS]]*$AA$3</f>
        <v>0</v>
      </c>
      <c r="I506" s="6">
        <f>TAX_CERTIFICATE[[#This Row],[ENDING PERIOD MARKET VALUE]]-TAX_CERTIFICATE[[#This Row],[ENDING PERIOD COST VALUE]]</f>
        <v>0</v>
      </c>
      <c r="J50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0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0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0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06" s="6">
        <f>TAX_CERTIFICATE[[#This Row],[TOTAL ADDITION AT COST DURING THE PERIOD]]-TAX_CERTIFICATE[[#This Row],[TOTAL REDEMPTION AT COST DURING THE PERIOD]]</f>
        <v>0</v>
      </c>
      <c r="O50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06" s="6"/>
      <c r="Q506" s="6"/>
      <c r="R506" s="6"/>
    </row>
    <row r="507" spans="1:18">
      <c r="A507" t="s">
        <v>1125</v>
      </c>
      <c r="B50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0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07" s="6">
        <f>TAX_CERTIFICATE[[#This Row],[BEGINNING PERIOD UNITS]]*$AA$2</f>
        <v>0</v>
      </c>
      <c r="E507" s="6">
        <f>TAX_CERTIFICATE[[#This Row],[BEGINNING PERIOD MARKET VALUE]]-TAX_CERTIFICATE[[#This Row],[BEGINNING PERIOD COST VALUE]]</f>
        <v>0</v>
      </c>
      <c r="F50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0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07" s="6">
        <f>TAX_CERTIFICATE[[#This Row],[ENDING PERIOD UNITS]]*$AA$3</f>
        <v>0</v>
      </c>
      <c r="I507" s="6">
        <f>TAX_CERTIFICATE[[#This Row],[ENDING PERIOD MARKET VALUE]]-TAX_CERTIFICATE[[#This Row],[ENDING PERIOD COST VALUE]]</f>
        <v>0</v>
      </c>
      <c r="J50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0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0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0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07" s="6">
        <f>TAX_CERTIFICATE[[#This Row],[TOTAL ADDITION AT COST DURING THE PERIOD]]-TAX_CERTIFICATE[[#This Row],[TOTAL REDEMPTION AT COST DURING THE PERIOD]]</f>
        <v>0</v>
      </c>
      <c r="O50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07" s="6"/>
      <c r="Q507" s="6"/>
      <c r="R507" s="6"/>
    </row>
    <row r="508" spans="1:18">
      <c r="A508" t="s">
        <v>1127</v>
      </c>
      <c r="B50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0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08" s="6">
        <f>TAX_CERTIFICATE[[#This Row],[BEGINNING PERIOD UNITS]]*$AA$2</f>
        <v>0</v>
      </c>
      <c r="E508" s="6">
        <f>TAX_CERTIFICATE[[#This Row],[BEGINNING PERIOD MARKET VALUE]]-TAX_CERTIFICATE[[#This Row],[BEGINNING PERIOD COST VALUE]]</f>
        <v>0</v>
      </c>
      <c r="F50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0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08" s="6">
        <f>TAX_CERTIFICATE[[#This Row],[ENDING PERIOD UNITS]]*$AA$3</f>
        <v>0</v>
      </c>
      <c r="I508" s="6">
        <f>TAX_CERTIFICATE[[#This Row],[ENDING PERIOD MARKET VALUE]]-TAX_CERTIFICATE[[#This Row],[ENDING PERIOD COST VALUE]]</f>
        <v>0</v>
      </c>
      <c r="J50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0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0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0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08" s="6">
        <f>TAX_CERTIFICATE[[#This Row],[TOTAL ADDITION AT COST DURING THE PERIOD]]-TAX_CERTIFICATE[[#This Row],[TOTAL REDEMPTION AT COST DURING THE PERIOD]]</f>
        <v>0</v>
      </c>
      <c r="O50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08" s="6"/>
      <c r="Q508" s="6"/>
      <c r="R508" s="6"/>
    </row>
    <row r="509" spans="1:18">
      <c r="A509" t="s">
        <v>1129</v>
      </c>
      <c r="B50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0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09" s="6">
        <f>TAX_CERTIFICATE[[#This Row],[BEGINNING PERIOD UNITS]]*$AA$2</f>
        <v>0</v>
      </c>
      <c r="E509" s="6">
        <f>TAX_CERTIFICATE[[#This Row],[BEGINNING PERIOD MARKET VALUE]]-TAX_CERTIFICATE[[#This Row],[BEGINNING PERIOD COST VALUE]]</f>
        <v>0</v>
      </c>
      <c r="F50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0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09" s="6">
        <f>TAX_CERTIFICATE[[#This Row],[ENDING PERIOD UNITS]]*$AA$3</f>
        <v>0</v>
      </c>
      <c r="I509" s="6">
        <f>TAX_CERTIFICATE[[#This Row],[ENDING PERIOD MARKET VALUE]]-TAX_CERTIFICATE[[#This Row],[ENDING PERIOD COST VALUE]]</f>
        <v>0</v>
      </c>
      <c r="J50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0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0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0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09" s="6">
        <f>TAX_CERTIFICATE[[#This Row],[TOTAL ADDITION AT COST DURING THE PERIOD]]-TAX_CERTIFICATE[[#This Row],[TOTAL REDEMPTION AT COST DURING THE PERIOD]]</f>
        <v>0</v>
      </c>
      <c r="O50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09" s="6"/>
      <c r="Q509" s="6"/>
      <c r="R509" s="6"/>
    </row>
    <row r="510" spans="1:18">
      <c r="A510" t="s">
        <v>1210</v>
      </c>
      <c r="B51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1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10" s="6">
        <f>TAX_CERTIFICATE[[#This Row],[BEGINNING PERIOD UNITS]]*$AA$2</f>
        <v>0</v>
      </c>
      <c r="E510" s="6">
        <f>TAX_CERTIFICATE[[#This Row],[BEGINNING PERIOD MARKET VALUE]]-TAX_CERTIFICATE[[#This Row],[BEGINNING PERIOD COST VALUE]]</f>
        <v>0</v>
      </c>
      <c r="F51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1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10" s="6">
        <f>TAX_CERTIFICATE[[#This Row],[ENDING PERIOD UNITS]]*$AA$3</f>
        <v>0</v>
      </c>
      <c r="I510" s="6">
        <f>TAX_CERTIFICATE[[#This Row],[ENDING PERIOD MARKET VALUE]]-TAX_CERTIFICATE[[#This Row],[ENDING PERIOD COST VALUE]]</f>
        <v>0</v>
      </c>
      <c r="J51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1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1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1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10" s="6">
        <f>TAX_CERTIFICATE[[#This Row],[TOTAL ADDITION AT COST DURING THE PERIOD]]-TAX_CERTIFICATE[[#This Row],[TOTAL REDEMPTION AT COST DURING THE PERIOD]]</f>
        <v>0</v>
      </c>
      <c r="O51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10" s="6"/>
      <c r="Q510" s="6"/>
      <c r="R510" s="6"/>
    </row>
    <row r="511" spans="1:18">
      <c r="A511" t="s">
        <v>1212</v>
      </c>
      <c r="B51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1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11" s="6">
        <f>TAX_CERTIFICATE[[#This Row],[BEGINNING PERIOD UNITS]]*$AA$2</f>
        <v>0</v>
      </c>
      <c r="E511" s="6">
        <f>TAX_CERTIFICATE[[#This Row],[BEGINNING PERIOD MARKET VALUE]]-TAX_CERTIFICATE[[#This Row],[BEGINNING PERIOD COST VALUE]]</f>
        <v>0</v>
      </c>
      <c r="F51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1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11" s="6">
        <f>TAX_CERTIFICATE[[#This Row],[ENDING PERIOD UNITS]]*$AA$3</f>
        <v>0</v>
      </c>
      <c r="I511" s="6">
        <f>TAX_CERTIFICATE[[#This Row],[ENDING PERIOD MARKET VALUE]]-TAX_CERTIFICATE[[#This Row],[ENDING PERIOD COST VALUE]]</f>
        <v>0</v>
      </c>
      <c r="J51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1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1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1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11" s="6">
        <f>TAX_CERTIFICATE[[#This Row],[TOTAL ADDITION AT COST DURING THE PERIOD]]-TAX_CERTIFICATE[[#This Row],[TOTAL REDEMPTION AT COST DURING THE PERIOD]]</f>
        <v>0</v>
      </c>
      <c r="O51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11" s="6"/>
      <c r="Q511" s="6"/>
      <c r="R511" s="6"/>
    </row>
    <row r="512" spans="1:18">
      <c r="A512" t="s">
        <v>1214</v>
      </c>
      <c r="B51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1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12" s="6">
        <f>TAX_CERTIFICATE[[#This Row],[BEGINNING PERIOD UNITS]]*$AA$2</f>
        <v>0</v>
      </c>
      <c r="E512" s="6">
        <f>TAX_CERTIFICATE[[#This Row],[BEGINNING PERIOD MARKET VALUE]]-TAX_CERTIFICATE[[#This Row],[BEGINNING PERIOD COST VALUE]]</f>
        <v>0</v>
      </c>
      <c r="F51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1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12" s="6">
        <f>TAX_CERTIFICATE[[#This Row],[ENDING PERIOD UNITS]]*$AA$3</f>
        <v>0</v>
      </c>
      <c r="I512" s="6">
        <f>TAX_CERTIFICATE[[#This Row],[ENDING PERIOD MARKET VALUE]]-TAX_CERTIFICATE[[#This Row],[ENDING PERIOD COST VALUE]]</f>
        <v>0</v>
      </c>
      <c r="J51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1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1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1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12" s="6">
        <f>TAX_CERTIFICATE[[#This Row],[TOTAL ADDITION AT COST DURING THE PERIOD]]-TAX_CERTIFICATE[[#This Row],[TOTAL REDEMPTION AT COST DURING THE PERIOD]]</f>
        <v>0</v>
      </c>
      <c r="O51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12" s="6"/>
      <c r="Q512" s="6"/>
      <c r="R512" s="6"/>
    </row>
    <row r="513" spans="1:18">
      <c r="A513" t="s">
        <v>1216</v>
      </c>
      <c r="B51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1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13" s="6">
        <f>TAX_CERTIFICATE[[#This Row],[BEGINNING PERIOD UNITS]]*$AA$2</f>
        <v>0</v>
      </c>
      <c r="E513" s="6">
        <f>TAX_CERTIFICATE[[#This Row],[BEGINNING PERIOD MARKET VALUE]]-TAX_CERTIFICATE[[#This Row],[BEGINNING PERIOD COST VALUE]]</f>
        <v>0</v>
      </c>
      <c r="F51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1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13" s="6">
        <f>TAX_CERTIFICATE[[#This Row],[ENDING PERIOD UNITS]]*$AA$3</f>
        <v>0</v>
      </c>
      <c r="I513" s="6">
        <f>TAX_CERTIFICATE[[#This Row],[ENDING PERIOD MARKET VALUE]]-TAX_CERTIFICATE[[#This Row],[ENDING PERIOD COST VALUE]]</f>
        <v>0</v>
      </c>
      <c r="J51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1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1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1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13" s="6">
        <f>TAX_CERTIFICATE[[#This Row],[TOTAL ADDITION AT COST DURING THE PERIOD]]-TAX_CERTIFICATE[[#This Row],[TOTAL REDEMPTION AT COST DURING THE PERIOD]]</f>
        <v>0</v>
      </c>
      <c r="O51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13" s="6"/>
      <c r="Q513" s="6"/>
      <c r="R513" s="6"/>
    </row>
    <row r="514" spans="1:18">
      <c r="A514" t="s">
        <v>1218</v>
      </c>
      <c r="B51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1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14" s="6">
        <f>TAX_CERTIFICATE[[#This Row],[BEGINNING PERIOD UNITS]]*$AA$2</f>
        <v>0</v>
      </c>
      <c r="E514" s="6">
        <f>TAX_CERTIFICATE[[#This Row],[BEGINNING PERIOD MARKET VALUE]]-TAX_CERTIFICATE[[#This Row],[BEGINNING PERIOD COST VALUE]]</f>
        <v>0</v>
      </c>
      <c r="F51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1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14" s="6">
        <f>TAX_CERTIFICATE[[#This Row],[ENDING PERIOD UNITS]]*$AA$3</f>
        <v>0</v>
      </c>
      <c r="I514" s="6">
        <f>TAX_CERTIFICATE[[#This Row],[ENDING PERIOD MARKET VALUE]]-TAX_CERTIFICATE[[#This Row],[ENDING PERIOD COST VALUE]]</f>
        <v>0</v>
      </c>
      <c r="J51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1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1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1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14" s="6">
        <f>TAX_CERTIFICATE[[#This Row],[TOTAL ADDITION AT COST DURING THE PERIOD]]-TAX_CERTIFICATE[[#This Row],[TOTAL REDEMPTION AT COST DURING THE PERIOD]]</f>
        <v>0</v>
      </c>
      <c r="O51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14" s="6"/>
      <c r="Q514" s="6"/>
      <c r="R514" s="6"/>
    </row>
    <row r="515" spans="1:18">
      <c r="A515" t="s">
        <v>1220</v>
      </c>
      <c r="B51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1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15" s="6">
        <f>TAX_CERTIFICATE[[#This Row],[BEGINNING PERIOD UNITS]]*$AA$2</f>
        <v>0</v>
      </c>
      <c r="E515" s="6">
        <f>TAX_CERTIFICATE[[#This Row],[BEGINNING PERIOD MARKET VALUE]]-TAX_CERTIFICATE[[#This Row],[BEGINNING PERIOD COST VALUE]]</f>
        <v>0</v>
      </c>
      <c r="F51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1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15" s="6">
        <f>TAX_CERTIFICATE[[#This Row],[ENDING PERIOD UNITS]]*$AA$3</f>
        <v>0</v>
      </c>
      <c r="I515" s="6">
        <f>TAX_CERTIFICATE[[#This Row],[ENDING PERIOD MARKET VALUE]]-TAX_CERTIFICATE[[#This Row],[ENDING PERIOD COST VALUE]]</f>
        <v>0</v>
      </c>
      <c r="J51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1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1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1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15" s="6">
        <f>TAX_CERTIFICATE[[#This Row],[TOTAL ADDITION AT COST DURING THE PERIOD]]-TAX_CERTIFICATE[[#This Row],[TOTAL REDEMPTION AT COST DURING THE PERIOD]]</f>
        <v>0</v>
      </c>
      <c r="O51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15" s="6"/>
      <c r="Q515" s="6"/>
      <c r="R515" s="6"/>
    </row>
    <row r="516" spans="1:18">
      <c r="A516" t="s">
        <v>1222</v>
      </c>
      <c r="B51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1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16" s="6">
        <f>TAX_CERTIFICATE[[#This Row],[BEGINNING PERIOD UNITS]]*$AA$2</f>
        <v>0</v>
      </c>
      <c r="E516" s="6">
        <f>TAX_CERTIFICATE[[#This Row],[BEGINNING PERIOD MARKET VALUE]]-TAX_CERTIFICATE[[#This Row],[BEGINNING PERIOD COST VALUE]]</f>
        <v>0</v>
      </c>
      <c r="F51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1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16" s="6">
        <f>TAX_CERTIFICATE[[#This Row],[ENDING PERIOD UNITS]]*$AA$3</f>
        <v>0</v>
      </c>
      <c r="I516" s="6">
        <f>TAX_CERTIFICATE[[#This Row],[ENDING PERIOD MARKET VALUE]]-TAX_CERTIFICATE[[#This Row],[ENDING PERIOD COST VALUE]]</f>
        <v>0</v>
      </c>
      <c r="J51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1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1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1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16" s="6">
        <f>TAX_CERTIFICATE[[#This Row],[TOTAL ADDITION AT COST DURING THE PERIOD]]-TAX_CERTIFICATE[[#This Row],[TOTAL REDEMPTION AT COST DURING THE PERIOD]]</f>
        <v>0</v>
      </c>
      <c r="O51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16" s="6"/>
      <c r="Q516" s="6"/>
      <c r="R516" s="6"/>
    </row>
    <row r="517" spans="1:18">
      <c r="A517" t="s">
        <v>1224</v>
      </c>
      <c r="B51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1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17" s="6">
        <f>TAX_CERTIFICATE[[#This Row],[BEGINNING PERIOD UNITS]]*$AA$2</f>
        <v>0</v>
      </c>
      <c r="E517" s="6">
        <f>TAX_CERTIFICATE[[#This Row],[BEGINNING PERIOD MARKET VALUE]]-TAX_CERTIFICATE[[#This Row],[BEGINNING PERIOD COST VALUE]]</f>
        <v>0</v>
      </c>
      <c r="F51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1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17" s="6">
        <f>TAX_CERTIFICATE[[#This Row],[ENDING PERIOD UNITS]]*$AA$3</f>
        <v>0</v>
      </c>
      <c r="I517" s="6">
        <f>TAX_CERTIFICATE[[#This Row],[ENDING PERIOD MARKET VALUE]]-TAX_CERTIFICATE[[#This Row],[ENDING PERIOD COST VALUE]]</f>
        <v>0</v>
      </c>
      <c r="J51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1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1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1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17" s="6">
        <f>TAX_CERTIFICATE[[#This Row],[TOTAL ADDITION AT COST DURING THE PERIOD]]-TAX_CERTIFICATE[[#This Row],[TOTAL REDEMPTION AT COST DURING THE PERIOD]]</f>
        <v>0</v>
      </c>
      <c r="O51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17" s="6"/>
      <c r="Q517" s="6"/>
      <c r="R517" s="6"/>
    </row>
    <row r="518" spans="1:18">
      <c r="A518" t="s">
        <v>1226</v>
      </c>
      <c r="B51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1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18" s="6">
        <f>TAX_CERTIFICATE[[#This Row],[BEGINNING PERIOD UNITS]]*$AA$2</f>
        <v>0</v>
      </c>
      <c r="E518" s="6">
        <f>TAX_CERTIFICATE[[#This Row],[BEGINNING PERIOD MARKET VALUE]]-TAX_CERTIFICATE[[#This Row],[BEGINNING PERIOD COST VALUE]]</f>
        <v>0</v>
      </c>
      <c r="F51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1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18" s="6">
        <f>TAX_CERTIFICATE[[#This Row],[ENDING PERIOD UNITS]]*$AA$3</f>
        <v>0</v>
      </c>
      <c r="I518" s="6">
        <f>TAX_CERTIFICATE[[#This Row],[ENDING PERIOD MARKET VALUE]]-TAX_CERTIFICATE[[#This Row],[ENDING PERIOD COST VALUE]]</f>
        <v>0</v>
      </c>
      <c r="J51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1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1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1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18" s="6">
        <f>TAX_CERTIFICATE[[#This Row],[TOTAL ADDITION AT COST DURING THE PERIOD]]-TAX_CERTIFICATE[[#This Row],[TOTAL REDEMPTION AT COST DURING THE PERIOD]]</f>
        <v>0</v>
      </c>
      <c r="O51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18" s="6"/>
      <c r="Q518" s="6"/>
      <c r="R518" s="6"/>
    </row>
    <row r="519" spans="1:18">
      <c r="A519" t="s">
        <v>1228</v>
      </c>
      <c r="B51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1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19" s="6">
        <f>TAX_CERTIFICATE[[#This Row],[BEGINNING PERIOD UNITS]]*$AA$2</f>
        <v>0</v>
      </c>
      <c r="E519" s="6">
        <f>TAX_CERTIFICATE[[#This Row],[BEGINNING PERIOD MARKET VALUE]]-TAX_CERTIFICATE[[#This Row],[BEGINNING PERIOD COST VALUE]]</f>
        <v>0</v>
      </c>
      <c r="F51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1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19" s="6">
        <f>TAX_CERTIFICATE[[#This Row],[ENDING PERIOD UNITS]]*$AA$3</f>
        <v>0</v>
      </c>
      <c r="I519" s="6">
        <f>TAX_CERTIFICATE[[#This Row],[ENDING PERIOD MARKET VALUE]]-TAX_CERTIFICATE[[#This Row],[ENDING PERIOD COST VALUE]]</f>
        <v>0</v>
      </c>
      <c r="J51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1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1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1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19" s="6">
        <f>TAX_CERTIFICATE[[#This Row],[TOTAL ADDITION AT COST DURING THE PERIOD]]-TAX_CERTIFICATE[[#This Row],[TOTAL REDEMPTION AT COST DURING THE PERIOD]]</f>
        <v>0</v>
      </c>
      <c r="O51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19" s="6"/>
      <c r="Q519" s="6"/>
      <c r="R519" s="6"/>
    </row>
    <row r="520" spans="1:18">
      <c r="A520" t="s">
        <v>1230</v>
      </c>
      <c r="B52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2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20" s="6">
        <f>TAX_CERTIFICATE[[#This Row],[BEGINNING PERIOD UNITS]]*$AA$2</f>
        <v>0</v>
      </c>
      <c r="E520" s="6">
        <f>TAX_CERTIFICATE[[#This Row],[BEGINNING PERIOD MARKET VALUE]]-TAX_CERTIFICATE[[#This Row],[BEGINNING PERIOD COST VALUE]]</f>
        <v>0</v>
      </c>
      <c r="F52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2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20" s="6">
        <f>TAX_CERTIFICATE[[#This Row],[ENDING PERIOD UNITS]]*$AA$3</f>
        <v>0</v>
      </c>
      <c r="I520" s="6">
        <f>TAX_CERTIFICATE[[#This Row],[ENDING PERIOD MARKET VALUE]]-TAX_CERTIFICATE[[#This Row],[ENDING PERIOD COST VALUE]]</f>
        <v>0</v>
      </c>
      <c r="J52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2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2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2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20" s="6">
        <f>TAX_CERTIFICATE[[#This Row],[TOTAL ADDITION AT COST DURING THE PERIOD]]-TAX_CERTIFICATE[[#This Row],[TOTAL REDEMPTION AT COST DURING THE PERIOD]]</f>
        <v>0</v>
      </c>
      <c r="O52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20" s="6"/>
      <c r="Q520" s="6"/>
      <c r="R520" s="6"/>
    </row>
    <row r="521" spans="1:18">
      <c r="A521" t="s">
        <v>1232</v>
      </c>
      <c r="B52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2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21" s="6">
        <f>TAX_CERTIFICATE[[#This Row],[BEGINNING PERIOD UNITS]]*$AA$2</f>
        <v>0</v>
      </c>
      <c r="E521" s="6">
        <f>TAX_CERTIFICATE[[#This Row],[BEGINNING PERIOD MARKET VALUE]]-TAX_CERTIFICATE[[#This Row],[BEGINNING PERIOD COST VALUE]]</f>
        <v>0</v>
      </c>
      <c r="F52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2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21" s="6">
        <f>TAX_CERTIFICATE[[#This Row],[ENDING PERIOD UNITS]]*$AA$3</f>
        <v>0</v>
      </c>
      <c r="I521" s="6">
        <f>TAX_CERTIFICATE[[#This Row],[ENDING PERIOD MARKET VALUE]]-TAX_CERTIFICATE[[#This Row],[ENDING PERIOD COST VALUE]]</f>
        <v>0</v>
      </c>
      <c r="J52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2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2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2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21" s="6">
        <f>TAX_CERTIFICATE[[#This Row],[TOTAL ADDITION AT COST DURING THE PERIOD]]-TAX_CERTIFICATE[[#This Row],[TOTAL REDEMPTION AT COST DURING THE PERIOD]]</f>
        <v>0</v>
      </c>
      <c r="O52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21" s="6"/>
      <c r="Q521" s="6"/>
      <c r="R521" s="6"/>
    </row>
    <row r="522" spans="1:18">
      <c r="A522" t="s">
        <v>1234</v>
      </c>
      <c r="B52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2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22" s="6">
        <f>TAX_CERTIFICATE[[#This Row],[BEGINNING PERIOD UNITS]]*$AA$2</f>
        <v>0</v>
      </c>
      <c r="E522" s="6">
        <f>TAX_CERTIFICATE[[#This Row],[BEGINNING PERIOD MARKET VALUE]]-TAX_CERTIFICATE[[#This Row],[BEGINNING PERIOD COST VALUE]]</f>
        <v>0</v>
      </c>
      <c r="F52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2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22" s="6">
        <f>TAX_CERTIFICATE[[#This Row],[ENDING PERIOD UNITS]]*$AA$3</f>
        <v>0</v>
      </c>
      <c r="I522" s="6">
        <f>TAX_CERTIFICATE[[#This Row],[ENDING PERIOD MARKET VALUE]]-TAX_CERTIFICATE[[#This Row],[ENDING PERIOD COST VALUE]]</f>
        <v>0</v>
      </c>
      <c r="J52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2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2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2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22" s="6">
        <f>TAX_CERTIFICATE[[#This Row],[TOTAL ADDITION AT COST DURING THE PERIOD]]-TAX_CERTIFICATE[[#This Row],[TOTAL REDEMPTION AT COST DURING THE PERIOD]]</f>
        <v>0</v>
      </c>
      <c r="O52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22" s="6"/>
      <c r="Q522" s="6"/>
      <c r="R522" s="6"/>
    </row>
    <row r="523" spans="1:18">
      <c r="A523" t="s">
        <v>1236</v>
      </c>
      <c r="B52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2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23" s="6">
        <f>TAX_CERTIFICATE[[#This Row],[BEGINNING PERIOD UNITS]]*$AA$2</f>
        <v>0</v>
      </c>
      <c r="E523" s="6">
        <f>TAX_CERTIFICATE[[#This Row],[BEGINNING PERIOD MARKET VALUE]]-TAX_CERTIFICATE[[#This Row],[BEGINNING PERIOD COST VALUE]]</f>
        <v>0</v>
      </c>
      <c r="F52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2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23" s="6">
        <f>TAX_CERTIFICATE[[#This Row],[ENDING PERIOD UNITS]]*$AA$3</f>
        <v>0</v>
      </c>
      <c r="I523" s="6">
        <f>TAX_CERTIFICATE[[#This Row],[ENDING PERIOD MARKET VALUE]]-TAX_CERTIFICATE[[#This Row],[ENDING PERIOD COST VALUE]]</f>
        <v>0</v>
      </c>
      <c r="J52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2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2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2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23" s="6">
        <f>TAX_CERTIFICATE[[#This Row],[TOTAL ADDITION AT COST DURING THE PERIOD]]-TAX_CERTIFICATE[[#This Row],[TOTAL REDEMPTION AT COST DURING THE PERIOD]]</f>
        <v>0</v>
      </c>
      <c r="O52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23" s="6"/>
      <c r="Q523" s="6"/>
      <c r="R523" s="6"/>
    </row>
    <row r="524" spans="1:18">
      <c r="A524" t="s">
        <v>1238</v>
      </c>
      <c r="B52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2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24" s="6">
        <f>TAX_CERTIFICATE[[#This Row],[BEGINNING PERIOD UNITS]]*$AA$2</f>
        <v>0</v>
      </c>
      <c r="E524" s="6">
        <f>TAX_CERTIFICATE[[#This Row],[BEGINNING PERIOD MARKET VALUE]]-TAX_CERTIFICATE[[#This Row],[BEGINNING PERIOD COST VALUE]]</f>
        <v>0</v>
      </c>
      <c r="F52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2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24" s="6">
        <f>TAX_CERTIFICATE[[#This Row],[ENDING PERIOD UNITS]]*$AA$3</f>
        <v>0</v>
      </c>
      <c r="I524" s="6">
        <f>TAX_CERTIFICATE[[#This Row],[ENDING PERIOD MARKET VALUE]]-TAX_CERTIFICATE[[#This Row],[ENDING PERIOD COST VALUE]]</f>
        <v>0</v>
      </c>
      <c r="J52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2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2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2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24" s="6">
        <f>TAX_CERTIFICATE[[#This Row],[TOTAL ADDITION AT COST DURING THE PERIOD]]-TAX_CERTIFICATE[[#This Row],[TOTAL REDEMPTION AT COST DURING THE PERIOD]]</f>
        <v>0</v>
      </c>
      <c r="O52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24" s="6"/>
      <c r="Q524" s="6"/>
      <c r="R524" s="6"/>
    </row>
    <row r="525" spans="1:18">
      <c r="A525" t="s">
        <v>1240</v>
      </c>
      <c r="B52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2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25" s="6">
        <f>TAX_CERTIFICATE[[#This Row],[BEGINNING PERIOD UNITS]]*$AA$2</f>
        <v>0</v>
      </c>
      <c r="E525" s="6">
        <f>TAX_CERTIFICATE[[#This Row],[BEGINNING PERIOD MARKET VALUE]]-TAX_CERTIFICATE[[#This Row],[BEGINNING PERIOD COST VALUE]]</f>
        <v>0</v>
      </c>
      <c r="F52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2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25" s="6">
        <f>TAX_CERTIFICATE[[#This Row],[ENDING PERIOD UNITS]]*$AA$3</f>
        <v>0</v>
      </c>
      <c r="I525" s="6">
        <f>TAX_CERTIFICATE[[#This Row],[ENDING PERIOD MARKET VALUE]]-TAX_CERTIFICATE[[#This Row],[ENDING PERIOD COST VALUE]]</f>
        <v>0</v>
      </c>
      <c r="J52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2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2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2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25" s="6">
        <f>TAX_CERTIFICATE[[#This Row],[TOTAL ADDITION AT COST DURING THE PERIOD]]-TAX_CERTIFICATE[[#This Row],[TOTAL REDEMPTION AT COST DURING THE PERIOD]]</f>
        <v>0</v>
      </c>
      <c r="O52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25" s="6"/>
      <c r="Q525" s="6"/>
      <c r="R525" s="6"/>
    </row>
    <row r="526" spans="1:18">
      <c r="A526" t="s">
        <v>1242</v>
      </c>
      <c r="B52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2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26" s="6">
        <f>TAX_CERTIFICATE[[#This Row],[BEGINNING PERIOD UNITS]]*$AA$2</f>
        <v>0</v>
      </c>
      <c r="E526" s="6">
        <f>TAX_CERTIFICATE[[#This Row],[BEGINNING PERIOD MARKET VALUE]]-TAX_CERTIFICATE[[#This Row],[BEGINNING PERIOD COST VALUE]]</f>
        <v>0</v>
      </c>
      <c r="F52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2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26" s="6">
        <f>TAX_CERTIFICATE[[#This Row],[ENDING PERIOD UNITS]]*$AA$3</f>
        <v>0</v>
      </c>
      <c r="I526" s="6">
        <f>TAX_CERTIFICATE[[#This Row],[ENDING PERIOD MARKET VALUE]]-TAX_CERTIFICATE[[#This Row],[ENDING PERIOD COST VALUE]]</f>
        <v>0</v>
      </c>
      <c r="J52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2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2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2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26" s="6">
        <f>TAX_CERTIFICATE[[#This Row],[TOTAL ADDITION AT COST DURING THE PERIOD]]-TAX_CERTIFICATE[[#This Row],[TOTAL REDEMPTION AT COST DURING THE PERIOD]]</f>
        <v>0</v>
      </c>
      <c r="O52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26" s="6"/>
      <c r="Q526" s="6"/>
      <c r="R526" s="6"/>
    </row>
    <row r="527" spans="1:18">
      <c r="A527" t="s">
        <v>1244</v>
      </c>
      <c r="B52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2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27" s="6">
        <f>TAX_CERTIFICATE[[#This Row],[BEGINNING PERIOD UNITS]]*$AA$2</f>
        <v>0</v>
      </c>
      <c r="E527" s="6">
        <f>TAX_CERTIFICATE[[#This Row],[BEGINNING PERIOD MARKET VALUE]]-TAX_CERTIFICATE[[#This Row],[BEGINNING PERIOD COST VALUE]]</f>
        <v>0</v>
      </c>
      <c r="F52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2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27" s="6">
        <f>TAX_CERTIFICATE[[#This Row],[ENDING PERIOD UNITS]]*$AA$3</f>
        <v>0</v>
      </c>
      <c r="I527" s="6">
        <f>TAX_CERTIFICATE[[#This Row],[ENDING PERIOD MARKET VALUE]]-TAX_CERTIFICATE[[#This Row],[ENDING PERIOD COST VALUE]]</f>
        <v>0</v>
      </c>
      <c r="J52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2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2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2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27" s="6">
        <f>TAX_CERTIFICATE[[#This Row],[TOTAL ADDITION AT COST DURING THE PERIOD]]-TAX_CERTIFICATE[[#This Row],[TOTAL REDEMPTION AT COST DURING THE PERIOD]]</f>
        <v>0</v>
      </c>
      <c r="O52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27" s="6"/>
      <c r="Q527" s="6"/>
      <c r="R527" s="6"/>
    </row>
    <row r="528" spans="1:18">
      <c r="A528" t="s">
        <v>1246</v>
      </c>
      <c r="B52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2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28" s="6">
        <f>TAX_CERTIFICATE[[#This Row],[BEGINNING PERIOD UNITS]]*$AA$2</f>
        <v>0</v>
      </c>
      <c r="E528" s="6">
        <f>TAX_CERTIFICATE[[#This Row],[BEGINNING PERIOD MARKET VALUE]]-TAX_CERTIFICATE[[#This Row],[BEGINNING PERIOD COST VALUE]]</f>
        <v>0</v>
      </c>
      <c r="F52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2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28" s="6">
        <f>TAX_CERTIFICATE[[#This Row],[ENDING PERIOD UNITS]]*$AA$3</f>
        <v>0</v>
      </c>
      <c r="I528" s="6">
        <f>TAX_CERTIFICATE[[#This Row],[ENDING PERIOD MARKET VALUE]]-TAX_CERTIFICATE[[#This Row],[ENDING PERIOD COST VALUE]]</f>
        <v>0</v>
      </c>
      <c r="J52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2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2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2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28" s="6">
        <f>TAX_CERTIFICATE[[#This Row],[TOTAL ADDITION AT COST DURING THE PERIOD]]-TAX_CERTIFICATE[[#This Row],[TOTAL REDEMPTION AT COST DURING THE PERIOD]]</f>
        <v>0</v>
      </c>
      <c r="O52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28" s="6"/>
      <c r="Q528" s="6"/>
      <c r="R528" s="6"/>
    </row>
    <row r="529" spans="1:18">
      <c r="A529" t="s">
        <v>1248</v>
      </c>
      <c r="B52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2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29" s="6">
        <f>TAX_CERTIFICATE[[#This Row],[BEGINNING PERIOD UNITS]]*$AA$2</f>
        <v>0</v>
      </c>
      <c r="E529" s="6">
        <f>TAX_CERTIFICATE[[#This Row],[BEGINNING PERIOD MARKET VALUE]]-TAX_CERTIFICATE[[#This Row],[BEGINNING PERIOD COST VALUE]]</f>
        <v>0</v>
      </c>
      <c r="F52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2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29" s="6">
        <f>TAX_CERTIFICATE[[#This Row],[ENDING PERIOD UNITS]]*$AA$3</f>
        <v>0</v>
      </c>
      <c r="I529" s="6">
        <f>TAX_CERTIFICATE[[#This Row],[ENDING PERIOD MARKET VALUE]]-TAX_CERTIFICATE[[#This Row],[ENDING PERIOD COST VALUE]]</f>
        <v>0</v>
      </c>
      <c r="J52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2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2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2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29" s="6">
        <f>TAX_CERTIFICATE[[#This Row],[TOTAL ADDITION AT COST DURING THE PERIOD]]-TAX_CERTIFICATE[[#This Row],[TOTAL REDEMPTION AT COST DURING THE PERIOD]]</f>
        <v>0</v>
      </c>
      <c r="O52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29" s="6"/>
      <c r="Q529" s="6"/>
      <c r="R529" s="6"/>
    </row>
    <row r="530" spans="1:18">
      <c r="A530" t="s">
        <v>1250</v>
      </c>
      <c r="B53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3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30" s="6">
        <f>TAX_CERTIFICATE[[#This Row],[BEGINNING PERIOD UNITS]]*$AA$2</f>
        <v>0</v>
      </c>
      <c r="E530" s="6">
        <f>TAX_CERTIFICATE[[#This Row],[BEGINNING PERIOD MARKET VALUE]]-TAX_CERTIFICATE[[#This Row],[BEGINNING PERIOD COST VALUE]]</f>
        <v>0</v>
      </c>
      <c r="F53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3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30" s="6">
        <f>TAX_CERTIFICATE[[#This Row],[ENDING PERIOD UNITS]]*$AA$3</f>
        <v>0</v>
      </c>
      <c r="I530" s="6">
        <f>TAX_CERTIFICATE[[#This Row],[ENDING PERIOD MARKET VALUE]]-TAX_CERTIFICATE[[#This Row],[ENDING PERIOD COST VALUE]]</f>
        <v>0</v>
      </c>
      <c r="J53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3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3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3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30" s="6">
        <f>TAX_CERTIFICATE[[#This Row],[TOTAL ADDITION AT COST DURING THE PERIOD]]-TAX_CERTIFICATE[[#This Row],[TOTAL REDEMPTION AT COST DURING THE PERIOD]]</f>
        <v>0</v>
      </c>
      <c r="O53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30" s="6"/>
      <c r="Q530" s="6"/>
      <c r="R530" s="6"/>
    </row>
    <row r="531" spans="1:18">
      <c r="A531" t="s">
        <v>1252</v>
      </c>
      <c r="B53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3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31" s="6">
        <f>TAX_CERTIFICATE[[#This Row],[BEGINNING PERIOD UNITS]]*$AA$2</f>
        <v>0</v>
      </c>
      <c r="E531" s="6">
        <f>TAX_CERTIFICATE[[#This Row],[BEGINNING PERIOD MARKET VALUE]]-TAX_CERTIFICATE[[#This Row],[BEGINNING PERIOD COST VALUE]]</f>
        <v>0</v>
      </c>
      <c r="F53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3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31" s="6">
        <f>TAX_CERTIFICATE[[#This Row],[ENDING PERIOD UNITS]]*$AA$3</f>
        <v>0</v>
      </c>
      <c r="I531" s="6">
        <f>TAX_CERTIFICATE[[#This Row],[ENDING PERIOD MARKET VALUE]]-TAX_CERTIFICATE[[#This Row],[ENDING PERIOD COST VALUE]]</f>
        <v>0</v>
      </c>
      <c r="J53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3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3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3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31" s="6">
        <f>TAX_CERTIFICATE[[#This Row],[TOTAL ADDITION AT COST DURING THE PERIOD]]-TAX_CERTIFICATE[[#This Row],[TOTAL REDEMPTION AT COST DURING THE PERIOD]]</f>
        <v>0</v>
      </c>
      <c r="O53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31" s="6"/>
      <c r="Q531" s="6"/>
      <c r="R531" s="6"/>
    </row>
    <row r="532" spans="1:18">
      <c r="A532" t="s">
        <v>1254</v>
      </c>
      <c r="B53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3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32" s="6">
        <f>TAX_CERTIFICATE[[#This Row],[BEGINNING PERIOD UNITS]]*$AA$2</f>
        <v>0</v>
      </c>
      <c r="E532" s="6">
        <f>TAX_CERTIFICATE[[#This Row],[BEGINNING PERIOD MARKET VALUE]]-TAX_CERTIFICATE[[#This Row],[BEGINNING PERIOD COST VALUE]]</f>
        <v>0</v>
      </c>
      <c r="F53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3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32" s="6">
        <f>TAX_CERTIFICATE[[#This Row],[ENDING PERIOD UNITS]]*$AA$3</f>
        <v>0</v>
      </c>
      <c r="I532" s="6">
        <f>TAX_CERTIFICATE[[#This Row],[ENDING PERIOD MARKET VALUE]]-TAX_CERTIFICATE[[#This Row],[ENDING PERIOD COST VALUE]]</f>
        <v>0</v>
      </c>
      <c r="J53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3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3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3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32" s="6">
        <f>TAX_CERTIFICATE[[#This Row],[TOTAL ADDITION AT COST DURING THE PERIOD]]-TAX_CERTIFICATE[[#This Row],[TOTAL REDEMPTION AT COST DURING THE PERIOD]]</f>
        <v>0</v>
      </c>
      <c r="O53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32" s="6"/>
      <c r="Q532" s="6"/>
      <c r="R532" s="6"/>
    </row>
    <row r="533" spans="1:18">
      <c r="A533" t="s">
        <v>1256</v>
      </c>
      <c r="B53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3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33" s="6">
        <f>TAX_CERTIFICATE[[#This Row],[BEGINNING PERIOD UNITS]]*$AA$2</f>
        <v>0</v>
      </c>
      <c r="E533" s="6">
        <f>TAX_CERTIFICATE[[#This Row],[BEGINNING PERIOD MARKET VALUE]]-TAX_CERTIFICATE[[#This Row],[BEGINNING PERIOD COST VALUE]]</f>
        <v>0</v>
      </c>
      <c r="F53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3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33" s="6">
        <f>TAX_CERTIFICATE[[#This Row],[ENDING PERIOD UNITS]]*$AA$3</f>
        <v>0</v>
      </c>
      <c r="I533" s="6">
        <f>TAX_CERTIFICATE[[#This Row],[ENDING PERIOD MARKET VALUE]]-TAX_CERTIFICATE[[#This Row],[ENDING PERIOD COST VALUE]]</f>
        <v>0</v>
      </c>
      <c r="J53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3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3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3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33" s="6">
        <f>TAX_CERTIFICATE[[#This Row],[TOTAL ADDITION AT COST DURING THE PERIOD]]-TAX_CERTIFICATE[[#This Row],[TOTAL REDEMPTION AT COST DURING THE PERIOD]]</f>
        <v>0</v>
      </c>
      <c r="O53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33" s="6"/>
      <c r="Q533" s="6"/>
      <c r="R533" s="6"/>
    </row>
    <row r="534" spans="1:18">
      <c r="A534" t="s">
        <v>1258</v>
      </c>
      <c r="B53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3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34" s="6">
        <f>TAX_CERTIFICATE[[#This Row],[BEGINNING PERIOD UNITS]]*$AA$2</f>
        <v>0</v>
      </c>
      <c r="E534" s="6">
        <f>TAX_CERTIFICATE[[#This Row],[BEGINNING PERIOD MARKET VALUE]]-TAX_CERTIFICATE[[#This Row],[BEGINNING PERIOD COST VALUE]]</f>
        <v>0</v>
      </c>
      <c r="F53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3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34" s="6">
        <f>TAX_CERTIFICATE[[#This Row],[ENDING PERIOD UNITS]]*$AA$3</f>
        <v>0</v>
      </c>
      <c r="I534" s="6">
        <f>TAX_CERTIFICATE[[#This Row],[ENDING PERIOD MARKET VALUE]]-TAX_CERTIFICATE[[#This Row],[ENDING PERIOD COST VALUE]]</f>
        <v>0</v>
      </c>
      <c r="J53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3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3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3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34" s="6">
        <f>TAX_CERTIFICATE[[#This Row],[TOTAL ADDITION AT COST DURING THE PERIOD]]-TAX_CERTIFICATE[[#This Row],[TOTAL REDEMPTION AT COST DURING THE PERIOD]]</f>
        <v>0</v>
      </c>
      <c r="O53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34" s="6"/>
      <c r="Q534" s="6"/>
      <c r="R534" s="6"/>
    </row>
    <row r="535" spans="1:18">
      <c r="A535" t="s">
        <v>1259</v>
      </c>
      <c r="B53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3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35" s="6">
        <f>TAX_CERTIFICATE[[#This Row],[BEGINNING PERIOD UNITS]]*$AA$2</f>
        <v>0</v>
      </c>
      <c r="E535" s="6">
        <f>TAX_CERTIFICATE[[#This Row],[BEGINNING PERIOD MARKET VALUE]]-TAX_CERTIFICATE[[#This Row],[BEGINNING PERIOD COST VALUE]]</f>
        <v>0</v>
      </c>
      <c r="F53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3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35" s="6">
        <f>TAX_CERTIFICATE[[#This Row],[ENDING PERIOD UNITS]]*$AA$3</f>
        <v>0</v>
      </c>
      <c r="I535" s="6">
        <f>TAX_CERTIFICATE[[#This Row],[ENDING PERIOD MARKET VALUE]]-TAX_CERTIFICATE[[#This Row],[ENDING PERIOD COST VALUE]]</f>
        <v>0</v>
      </c>
      <c r="J53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3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3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3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35" s="6">
        <f>TAX_CERTIFICATE[[#This Row],[TOTAL ADDITION AT COST DURING THE PERIOD]]-TAX_CERTIFICATE[[#This Row],[TOTAL REDEMPTION AT COST DURING THE PERIOD]]</f>
        <v>0</v>
      </c>
      <c r="O53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35" s="6"/>
      <c r="Q535" s="6"/>
      <c r="R535" s="6"/>
    </row>
    <row r="536" spans="1:18">
      <c r="A536" t="s">
        <v>1261</v>
      </c>
      <c r="B53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3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36" s="6">
        <f>TAX_CERTIFICATE[[#This Row],[BEGINNING PERIOD UNITS]]*$AA$2</f>
        <v>0</v>
      </c>
      <c r="E536" s="6">
        <f>TAX_CERTIFICATE[[#This Row],[BEGINNING PERIOD MARKET VALUE]]-TAX_CERTIFICATE[[#This Row],[BEGINNING PERIOD COST VALUE]]</f>
        <v>0</v>
      </c>
      <c r="F53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3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36" s="6">
        <f>TAX_CERTIFICATE[[#This Row],[ENDING PERIOD UNITS]]*$AA$3</f>
        <v>0</v>
      </c>
      <c r="I536" s="6">
        <f>TAX_CERTIFICATE[[#This Row],[ENDING PERIOD MARKET VALUE]]-TAX_CERTIFICATE[[#This Row],[ENDING PERIOD COST VALUE]]</f>
        <v>0</v>
      </c>
      <c r="J53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3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3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3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36" s="6">
        <f>TAX_CERTIFICATE[[#This Row],[TOTAL ADDITION AT COST DURING THE PERIOD]]-TAX_CERTIFICATE[[#This Row],[TOTAL REDEMPTION AT COST DURING THE PERIOD]]</f>
        <v>0</v>
      </c>
      <c r="O53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36" s="6"/>
      <c r="Q536" s="6"/>
      <c r="R536" s="6"/>
    </row>
    <row r="537" spans="1:18">
      <c r="A537" t="s">
        <v>1263</v>
      </c>
      <c r="B53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3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37" s="6">
        <f>TAX_CERTIFICATE[[#This Row],[BEGINNING PERIOD UNITS]]*$AA$2</f>
        <v>0</v>
      </c>
      <c r="E537" s="6">
        <f>TAX_CERTIFICATE[[#This Row],[BEGINNING PERIOD MARKET VALUE]]-TAX_CERTIFICATE[[#This Row],[BEGINNING PERIOD COST VALUE]]</f>
        <v>0</v>
      </c>
      <c r="F53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3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37" s="6">
        <f>TAX_CERTIFICATE[[#This Row],[ENDING PERIOD UNITS]]*$AA$3</f>
        <v>0</v>
      </c>
      <c r="I537" s="6">
        <f>TAX_CERTIFICATE[[#This Row],[ENDING PERIOD MARKET VALUE]]-TAX_CERTIFICATE[[#This Row],[ENDING PERIOD COST VALUE]]</f>
        <v>0</v>
      </c>
      <c r="J53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3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3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3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37" s="6">
        <f>TAX_CERTIFICATE[[#This Row],[TOTAL ADDITION AT COST DURING THE PERIOD]]-TAX_CERTIFICATE[[#This Row],[TOTAL REDEMPTION AT COST DURING THE PERIOD]]</f>
        <v>0</v>
      </c>
      <c r="O53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37" s="6"/>
      <c r="Q537" s="6"/>
      <c r="R537" s="6"/>
    </row>
    <row r="538" spans="1:18">
      <c r="A538" t="s">
        <v>1265</v>
      </c>
      <c r="B53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3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38" s="6">
        <f>TAX_CERTIFICATE[[#This Row],[BEGINNING PERIOD UNITS]]*$AA$2</f>
        <v>0</v>
      </c>
      <c r="E538" s="6">
        <f>TAX_CERTIFICATE[[#This Row],[BEGINNING PERIOD MARKET VALUE]]-TAX_CERTIFICATE[[#This Row],[BEGINNING PERIOD COST VALUE]]</f>
        <v>0</v>
      </c>
      <c r="F53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3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38" s="6">
        <f>TAX_CERTIFICATE[[#This Row],[ENDING PERIOD UNITS]]*$AA$3</f>
        <v>0</v>
      </c>
      <c r="I538" s="6">
        <f>TAX_CERTIFICATE[[#This Row],[ENDING PERIOD MARKET VALUE]]-TAX_CERTIFICATE[[#This Row],[ENDING PERIOD COST VALUE]]</f>
        <v>0</v>
      </c>
      <c r="J53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3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3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3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38" s="6">
        <f>TAX_CERTIFICATE[[#This Row],[TOTAL ADDITION AT COST DURING THE PERIOD]]-TAX_CERTIFICATE[[#This Row],[TOTAL REDEMPTION AT COST DURING THE PERIOD]]</f>
        <v>0</v>
      </c>
      <c r="O53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38" s="6"/>
      <c r="Q538" s="6"/>
      <c r="R538" s="6"/>
    </row>
    <row r="539" spans="1:18">
      <c r="A539" t="s">
        <v>1267</v>
      </c>
      <c r="B53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3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39" s="6">
        <f>TAX_CERTIFICATE[[#This Row],[BEGINNING PERIOD UNITS]]*$AA$2</f>
        <v>0</v>
      </c>
      <c r="E539" s="6">
        <f>TAX_CERTIFICATE[[#This Row],[BEGINNING PERIOD MARKET VALUE]]-TAX_CERTIFICATE[[#This Row],[BEGINNING PERIOD COST VALUE]]</f>
        <v>0</v>
      </c>
      <c r="F53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3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39" s="6">
        <f>TAX_CERTIFICATE[[#This Row],[ENDING PERIOD UNITS]]*$AA$3</f>
        <v>0</v>
      </c>
      <c r="I539" s="6">
        <f>TAX_CERTIFICATE[[#This Row],[ENDING PERIOD MARKET VALUE]]-TAX_CERTIFICATE[[#This Row],[ENDING PERIOD COST VALUE]]</f>
        <v>0</v>
      </c>
      <c r="J53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3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3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3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39" s="6">
        <f>TAX_CERTIFICATE[[#This Row],[TOTAL ADDITION AT COST DURING THE PERIOD]]-TAX_CERTIFICATE[[#This Row],[TOTAL REDEMPTION AT COST DURING THE PERIOD]]</f>
        <v>0</v>
      </c>
      <c r="O53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39" s="6"/>
      <c r="Q539" s="6"/>
      <c r="R539" s="6"/>
    </row>
    <row r="540" spans="1:18">
      <c r="A540" t="s">
        <v>1269</v>
      </c>
      <c r="B54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4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40" s="6">
        <f>TAX_CERTIFICATE[[#This Row],[BEGINNING PERIOD UNITS]]*$AA$2</f>
        <v>0</v>
      </c>
      <c r="E540" s="6">
        <f>TAX_CERTIFICATE[[#This Row],[BEGINNING PERIOD MARKET VALUE]]-TAX_CERTIFICATE[[#This Row],[BEGINNING PERIOD COST VALUE]]</f>
        <v>0</v>
      </c>
      <c r="F54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4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40" s="6">
        <f>TAX_CERTIFICATE[[#This Row],[ENDING PERIOD UNITS]]*$AA$3</f>
        <v>0</v>
      </c>
      <c r="I540" s="6">
        <f>TAX_CERTIFICATE[[#This Row],[ENDING PERIOD MARKET VALUE]]-TAX_CERTIFICATE[[#This Row],[ENDING PERIOD COST VALUE]]</f>
        <v>0</v>
      </c>
      <c r="J54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4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4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4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40" s="6">
        <f>TAX_CERTIFICATE[[#This Row],[TOTAL ADDITION AT COST DURING THE PERIOD]]-TAX_CERTIFICATE[[#This Row],[TOTAL REDEMPTION AT COST DURING THE PERIOD]]</f>
        <v>0</v>
      </c>
      <c r="O54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40" s="6"/>
      <c r="Q540" s="6"/>
      <c r="R540" s="6"/>
    </row>
    <row r="541" spans="1:18">
      <c r="A541" t="s">
        <v>1271</v>
      </c>
      <c r="B54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4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41" s="6">
        <f>TAX_CERTIFICATE[[#This Row],[BEGINNING PERIOD UNITS]]*$AA$2</f>
        <v>0</v>
      </c>
      <c r="E541" s="6">
        <f>TAX_CERTIFICATE[[#This Row],[BEGINNING PERIOD MARKET VALUE]]-TAX_CERTIFICATE[[#This Row],[BEGINNING PERIOD COST VALUE]]</f>
        <v>0</v>
      </c>
      <c r="F54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4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41" s="6">
        <f>TAX_CERTIFICATE[[#This Row],[ENDING PERIOD UNITS]]*$AA$3</f>
        <v>0</v>
      </c>
      <c r="I541" s="6">
        <f>TAX_CERTIFICATE[[#This Row],[ENDING PERIOD MARKET VALUE]]-TAX_CERTIFICATE[[#This Row],[ENDING PERIOD COST VALUE]]</f>
        <v>0</v>
      </c>
      <c r="J54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4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4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4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41" s="6">
        <f>TAX_CERTIFICATE[[#This Row],[TOTAL ADDITION AT COST DURING THE PERIOD]]-TAX_CERTIFICATE[[#This Row],[TOTAL REDEMPTION AT COST DURING THE PERIOD]]</f>
        <v>0</v>
      </c>
      <c r="O54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41" s="6"/>
      <c r="Q541" s="6"/>
      <c r="R541" s="6"/>
    </row>
    <row r="542" spans="1:18">
      <c r="A542" t="s">
        <v>1273</v>
      </c>
      <c r="B54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4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42" s="6">
        <f>TAX_CERTIFICATE[[#This Row],[BEGINNING PERIOD UNITS]]*$AA$2</f>
        <v>0</v>
      </c>
      <c r="E542" s="6">
        <f>TAX_CERTIFICATE[[#This Row],[BEGINNING PERIOD MARKET VALUE]]-TAX_CERTIFICATE[[#This Row],[BEGINNING PERIOD COST VALUE]]</f>
        <v>0</v>
      </c>
      <c r="F54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4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42" s="6">
        <f>TAX_CERTIFICATE[[#This Row],[ENDING PERIOD UNITS]]*$AA$3</f>
        <v>0</v>
      </c>
      <c r="I542" s="6">
        <f>TAX_CERTIFICATE[[#This Row],[ENDING PERIOD MARKET VALUE]]-TAX_CERTIFICATE[[#This Row],[ENDING PERIOD COST VALUE]]</f>
        <v>0</v>
      </c>
      <c r="J54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4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4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4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42" s="6">
        <f>TAX_CERTIFICATE[[#This Row],[TOTAL ADDITION AT COST DURING THE PERIOD]]-TAX_CERTIFICATE[[#This Row],[TOTAL REDEMPTION AT COST DURING THE PERIOD]]</f>
        <v>0</v>
      </c>
      <c r="O54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42" s="6"/>
      <c r="Q542" s="6"/>
      <c r="R542" s="6"/>
    </row>
    <row r="543" spans="1:18">
      <c r="A543" t="s">
        <v>1275</v>
      </c>
      <c r="B54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4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43" s="6">
        <f>TAX_CERTIFICATE[[#This Row],[BEGINNING PERIOD UNITS]]*$AA$2</f>
        <v>0</v>
      </c>
      <c r="E543" s="6">
        <f>TAX_CERTIFICATE[[#This Row],[BEGINNING PERIOD MARKET VALUE]]-TAX_CERTIFICATE[[#This Row],[BEGINNING PERIOD COST VALUE]]</f>
        <v>0</v>
      </c>
      <c r="F54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4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43" s="6">
        <f>TAX_CERTIFICATE[[#This Row],[ENDING PERIOD UNITS]]*$AA$3</f>
        <v>0</v>
      </c>
      <c r="I543" s="6">
        <f>TAX_CERTIFICATE[[#This Row],[ENDING PERIOD MARKET VALUE]]-TAX_CERTIFICATE[[#This Row],[ENDING PERIOD COST VALUE]]</f>
        <v>0</v>
      </c>
      <c r="J54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4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4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4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43" s="6">
        <f>TAX_CERTIFICATE[[#This Row],[TOTAL ADDITION AT COST DURING THE PERIOD]]-TAX_CERTIFICATE[[#This Row],[TOTAL REDEMPTION AT COST DURING THE PERIOD]]</f>
        <v>0</v>
      </c>
      <c r="O54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43" s="6"/>
      <c r="Q543" s="6"/>
      <c r="R543" s="6"/>
    </row>
    <row r="544" spans="1:18">
      <c r="A544" t="s">
        <v>1276</v>
      </c>
      <c r="B54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4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44" s="6">
        <f>TAX_CERTIFICATE[[#This Row],[BEGINNING PERIOD UNITS]]*$AA$2</f>
        <v>0</v>
      </c>
      <c r="E544" s="6">
        <f>TAX_CERTIFICATE[[#This Row],[BEGINNING PERIOD MARKET VALUE]]-TAX_CERTIFICATE[[#This Row],[BEGINNING PERIOD COST VALUE]]</f>
        <v>0</v>
      </c>
      <c r="F54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4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44" s="6">
        <f>TAX_CERTIFICATE[[#This Row],[ENDING PERIOD UNITS]]*$AA$3</f>
        <v>0</v>
      </c>
      <c r="I544" s="6">
        <f>TAX_CERTIFICATE[[#This Row],[ENDING PERIOD MARKET VALUE]]-TAX_CERTIFICATE[[#This Row],[ENDING PERIOD COST VALUE]]</f>
        <v>0</v>
      </c>
      <c r="J54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4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4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4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44" s="6">
        <f>TAX_CERTIFICATE[[#This Row],[TOTAL ADDITION AT COST DURING THE PERIOD]]-TAX_CERTIFICATE[[#This Row],[TOTAL REDEMPTION AT COST DURING THE PERIOD]]</f>
        <v>0</v>
      </c>
      <c r="O54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44" s="6"/>
      <c r="Q544" s="6"/>
      <c r="R544" s="6"/>
    </row>
    <row r="545" spans="1:18">
      <c r="A545" t="s">
        <v>1278</v>
      </c>
      <c r="B54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4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45" s="6">
        <f>TAX_CERTIFICATE[[#This Row],[BEGINNING PERIOD UNITS]]*$AA$2</f>
        <v>0</v>
      </c>
      <c r="E545" s="6">
        <f>TAX_CERTIFICATE[[#This Row],[BEGINNING PERIOD MARKET VALUE]]-TAX_CERTIFICATE[[#This Row],[BEGINNING PERIOD COST VALUE]]</f>
        <v>0</v>
      </c>
      <c r="F54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4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45" s="6">
        <f>TAX_CERTIFICATE[[#This Row],[ENDING PERIOD UNITS]]*$AA$3</f>
        <v>0</v>
      </c>
      <c r="I545" s="6">
        <f>TAX_CERTIFICATE[[#This Row],[ENDING PERIOD MARKET VALUE]]-TAX_CERTIFICATE[[#This Row],[ENDING PERIOD COST VALUE]]</f>
        <v>0</v>
      </c>
      <c r="J54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4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4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4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45" s="6">
        <f>TAX_CERTIFICATE[[#This Row],[TOTAL ADDITION AT COST DURING THE PERIOD]]-TAX_CERTIFICATE[[#This Row],[TOTAL REDEMPTION AT COST DURING THE PERIOD]]</f>
        <v>0</v>
      </c>
      <c r="O54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45" s="6"/>
      <c r="Q545" s="6"/>
      <c r="R545" s="6"/>
    </row>
    <row r="546" spans="1:18">
      <c r="A546" t="s">
        <v>1280</v>
      </c>
      <c r="B54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4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46" s="6">
        <f>TAX_CERTIFICATE[[#This Row],[BEGINNING PERIOD UNITS]]*$AA$2</f>
        <v>0</v>
      </c>
      <c r="E546" s="6">
        <f>TAX_CERTIFICATE[[#This Row],[BEGINNING PERIOD MARKET VALUE]]-TAX_CERTIFICATE[[#This Row],[BEGINNING PERIOD COST VALUE]]</f>
        <v>0</v>
      </c>
      <c r="F54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4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46" s="6">
        <f>TAX_CERTIFICATE[[#This Row],[ENDING PERIOD UNITS]]*$AA$3</f>
        <v>0</v>
      </c>
      <c r="I546" s="6">
        <f>TAX_CERTIFICATE[[#This Row],[ENDING PERIOD MARKET VALUE]]-TAX_CERTIFICATE[[#This Row],[ENDING PERIOD COST VALUE]]</f>
        <v>0</v>
      </c>
      <c r="J54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4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4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4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46" s="6">
        <f>TAX_CERTIFICATE[[#This Row],[TOTAL ADDITION AT COST DURING THE PERIOD]]-TAX_CERTIFICATE[[#This Row],[TOTAL REDEMPTION AT COST DURING THE PERIOD]]</f>
        <v>0</v>
      </c>
      <c r="O54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46" s="6"/>
      <c r="Q546" s="6"/>
      <c r="R546" s="6"/>
    </row>
    <row r="547" spans="1:18">
      <c r="A547" t="s">
        <v>1282</v>
      </c>
      <c r="B54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4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47" s="6">
        <f>TAX_CERTIFICATE[[#This Row],[BEGINNING PERIOD UNITS]]*$AA$2</f>
        <v>0</v>
      </c>
      <c r="E547" s="6">
        <f>TAX_CERTIFICATE[[#This Row],[BEGINNING PERIOD MARKET VALUE]]-TAX_CERTIFICATE[[#This Row],[BEGINNING PERIOD COST VALUE]]</f>
        <v>0</v>
      </c>
      <c r="F54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4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47" s="6">
        <f>TAX_CERTIFICATE[[#This Row],[ENDING PERIOD UNITS]]*$AA$3</f>
        <v>0</v>
      </c>
      <c r="I547" s="6">
        <f>TAX_CERTIFICATE[[#This Row],[ENDING PERIOD MARKET VALUE]]-TAX_CERTIFICATE[[#This Row],[ENDING PERIOD COST VALUE]]</f>
        <v>0</v>
      </c>
      <c r="J54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4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4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4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47" s="6">
        <f>TAX_CERTIFICATE[[#This Row],[TOTAL ADDITION AT COST DURING THE PERIOD]]-TAX_CERTIFICATE[[#This Row],[TOTAL REDEMPTION AT COST DURING THE PERIOD]]</f>
        <v>0</v>
      </c>
      <c r="O54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47" s="6"/>
      <c r="Q547" s="6"/>
      <c r="R547" s="6"/>
    </row>
    <row r="548" spans="1:18">
      <c r="A548" t="s">
        <v>1284</v>
      </c>
      <c r="B54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4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48" s="6">
        <f>TAX_CERTIFICATE[[#This Row],[BEGINNING PERIOD UNITS]]*$AA$2</f>
        <v>0</v>
      </c>
      <c r="E548" s="6">
        <f>TAX_CERTIFICATE[[#This Row],[BEGINNING PERIOD MARKET VALUE]]-TAX_CERTIFICATE[[#This Row],[BEGINNING PERIOD COST VALUE]]</f>
        <v>0</v>
      </c>
      <c r="F54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4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48" s="6">
        <f>TAX_CERTIFICATE[[#This Row],[ENDING PERIOD UNITS]]*$AA$3</f>
        <v>0</v>
      </c>
      <c r="I548" s="6">
        <f>TAX_CERTIFICATE[[#This Row],[ENDING PERIOD MARKET VALUE]]-TAX_CERTIFICATE[[#This Row],[ENDING PERIOD COST VALUE]]</f>
        <v>0</v>
      </c>
      <c r="J54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4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4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4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48" s="6">
        <f>TAX_CERTIFICATE[[#This Row],[TOTAL ADDITION AT COST DURING THE PERIOD]]-TAX_CERTIFICATE[[#This Row],[TOTAL REDEMPTION AT COST DURING THE PERIOD]]</f>
        <v>0</v>
      </c>
      <c r="O54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48" s="6"/>
      <c r="Q548" s="6"/>
      <c r="R548" s="6"/>
    </row>
    <row r="549" spans="1:18">
      <c r="A549" t="s">
        <v>1286</v>
      </c>
      <c r="B54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4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49" s="6">
        <f>TAX_CERTIFICATE[[#This Row],[BEGINNING PERIOD UNITS]]*$AA$2</f>
        <v>0</v>
      </c>
      <c r="E549" s="6">
        <f>TAX_CERTIFICATE[[#This Row],[BEGINNING PERIOD MARKET VALUE]]-TAX_CERTIFICATE[[#This Row],[BEGINNING PERIOD COST VALUE]]</f>
        <v>0</v>
      </c>
      <c r="F54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4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49" s="6">
        <f>TAX_CERTIFICATE[[#This Row],[ENDING PERIOD UNITS]]*$AA$3</f>
        <v>0</v>
      </c>
      <c r="I549" s="6">
        <f>TAX_CERTIFICATE[[#This Row],[ENDING PERIOD MARKET VALUE]]-TAX_CERTIFICATE[[#This Row],[ENDING PERIOD COST VALUE]]</f>
        <v>0</v>
      </c>
      <c r="J54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4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4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4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49" s="6">
        <f>TAX_CERTIFICATE[[#This Row],[TOTAL ADDITION AT COST DURING THE PERIOD]]-TAX_CERTIFICATE[[#This Row],[TOTAL REDEMPTION AT COST DURING THE PERIOD]]</f>
        <v>0</v>
      </c>
      <c r="O54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49" s="6"/>
      <c r="Q549" s="6"/>
      <c r="R549" s="6"/>
    </row>
    <row r="550" spans="1:18">
      <c r="A550" t="s">
        <v>1288</v>
      </c>
      <c r="B55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5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50" s="6">
        <f>TAX_CERTIFICATE[[#This Row],[BEGINNING PERIOD UNITS]]*$AA$2</f>
        <v>0</v>
      </c>
      <c r="E550" s="6">
        <f>TAX_CERTIFICATE[[#This Row],[BEGINNING PERIOD MARKET VALUE]]-TAX_CERTIFICATE[[#This Row],[BEGINNING PERIOD COST VALUE]]</f>
        <v>0</v>
      </c>
      <c r="F55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5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50" s="6">
        <f>TAX_CERTIFICATE[[#This Row],[ENDING PERIOD UNITS]]*$AA$3</f>
        <v>0</v>
      </c>
      <c r="I550" s="6">
        <f>TAX_CERTIFICATE[[#This Row],[ENDING PERIOD MARKET VALUE]]-TAX_CERTIFICATE[[#This Row],[ENDING PERIOD COST VALUE]]</f>
        <v>0</v>
      </c>
      <c r="J55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5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5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5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50" s="6">
        <f>TAX_CERTIFICATE[[#This Row],[TOTAL ADDITION AT COST DURING THE PERIOD]]-TAX_CERTIFICATE[[#This Row],[TOTAL REDEMPTION AT COST DURING THE PERIOD]]</f>
        <v>0</v>
      </c>
      <c r="O55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50" s="6"/>
      <c r="Q550" s="6"/>
      <c r="R550" s="6"/>
    </row>
    <row r="551" spans="1:18">
      <c r="A551" t="s">
        <v>1290</v>
      </c>
      <c r="B55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5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51" s="6">
        <f>TAX_CERTIFICATE[[#This Row],[BEGINNING PERIOD UNITS]]*$AA$2</f>
        <v>0</v>
      </c>
      <c r="E551" s="6">
        <f>TAX_CERTIFICATE[[#This Row],[BEGINNING PERIOD MARKET VALUE]]-TAX_CERTIFICATE[[#This Row],[BEGINNING PERIOD COST VALUE]]</f>
        <v>0</v>
      </c>
      <c r="F55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5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51" s="6">
        <f>TAX_CERTIFICATE[[#This Row],[ENDING PERIOD UNITS]]*$AA$3</f>
        <v>0</v>
      </c>
      <c r="I551" s="6">
        <f>TAX_CERTIFICATE[[#This Row],[ENDING PERIOD MARKET VALUE]]-TAX_CERTIFICATE[[#This Row],[ENDING PERIOD COST VALUE]]</f>
        <v>0</v>
      </c>
      <c r="J55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5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5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5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51" s="6">
        <f>TAX_CERTIFICATE[[#This Row],[TOTAL ADDITION AT COST DURING THE PERIOD]]-TAX_CERTIFICATE[[#This Row],[TOTAL REDEMPTION AT COST DURING THE PERIOD]]</f>
        <v>0</v>
      </c>
      <c r="O55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51" s="6"/>
      <c r="Q551" s="6"/>
      <c r="R551" s="6"/>
    </row>
    <row r="552" spans="1:18">
      <c r="A552" t="s">
        <v>1292</v>
      </c>
      <c r="B55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5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52" s="6">
        <f>TAX_CERTIFICATE[[#This Row],[BEGINNING PERIOD UNITS]]*$AA$2</f>
        <v>0</v>
      </c>
      <c r="E552" s="6">
        <f>TAX_CERTIFICATE[[#This Row],[BEGINNING PERIOD MARKET VALUE]]-TAX_CERTIFICATE[[#This Row],[BEGINNING PERIOD COST VALUE]]</f>
        <v>0</v>
      </c>
      <c r="F55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5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52" s="6">
        <f>TAX_CERTIFICATE[[#This Row],[ENDING PERIOD UNITS]]*$AA$3</f>
        <v>0</v>
      </c>
      <c r="I552" s="6">
        <f>TAX_CERTIFICATE[[#This Row],[ENDING PERIOD MARKET VALUE]]-TAX_CERTIFICATE[[#This Row],[ENDING PERIOD COST VALUE]]</f>
        <v>0</v>
      </c>
      <c r="J55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5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5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5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52" s="6">
        <f>TAX_CERTIFICATE[[#This Row],[TOTAL ADDITION AT COST DURING THE PERIOD]]-TAX_CERTIFICATE[[#This Row],[TOTAL REDEMPTION AT COST DURING THE PERIOD]]</f>
        <v>0</v>
      </c>
      <c r="O55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52" s="6"/>
      <c r="Q552" s="6"/>
      <c r="R552" s="6"/>
    </row>
    <row r="553" spans="1:18">
      <c r="A553" t="s">
        <v>1294</v>
      </c>
      <c r="B55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5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53" s="6">
        <f>TAX_CERTIFICATE[[#This Row],[BEGINNING PERIOD UNITS]]*$AA$2</f>
        <v>0</v>
      </c>
      <c r="E553" s="6">
        <f>TAX_CERTIFICATE[[#This Row],[BEGINNING PERIOD MARKET VALUE]]-TAX_CERTIFICATE[[#This Row],[BEGINNING PERIOD COST VALUE]]</f>
        <v>0</v>
      </c>
      <c r="F55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5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53" s="6">
        <f>TAX_CERTIFICATE[[#This Row],[ENDING PERIOD UNITS]]*$AA$3</f>
        <v>0</v>
      </c>
      <c r="I553" s="6">
        <f>TAX_CERTIFICATE[[#This Row],[ENDING PERIOD MARKET VALUE]]-TAX_CERTIFICATE[[#This Row],[ENDING PERIOD COST VALUE]]</f>
        <v>0</v>
      </c>
      <c r="J55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5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5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5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53" s="6">
        <f>TAX_CERTIFICATE[[#This Row],[TOTAL ADDITION AT COST DURING THE PERIOD]]-TAX_CERTIFICATE[[#This Row],[TOTAL REDEMPTION AT COST DURING THE PERIOD]]</f>
        <v>0</v>
      </c>
      <c r="O55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53" s="6"/>
      <c r="Q553" s="6"/>
      <c r="R553" s="6"/>
    </row>
    <row r="554" spans="1:18">
      <c r="A554" t="s">
        <v>1296</v>
      </c>
      <c r="B55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5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54" s="6">
        <f>TAX_CERTIFICATE[[#This Row],[BEGINNING PERIOD UNITS]]*$AA$2</f>
        <v>0</v>
      </c>
      <c r="E554" s="6">
        <f>TAX_CERTIFICATE[[#This Row],[BEGINNING PERIOD MARKET VALUE]]-TAX_CERTIFICATE[[#This Row],[BEGINNING PERIOD COST VALUE]]</f>
        <v>0</v>
      </c>
      <c r="F55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5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54" s="6">
        <f>TAX_CERTIFICATE[[#This Row],[ENDING PERIOD UNITS]]*$AA$3</f>
        <v>0</v>
      </c>
      <c r="I554" s="6">
        <f>TAX_CERTIFICATE[[#This Row],[ENDING PERIOD MARKET VALUE]]-TAX_CERTIFICATE[[#This Row],[ENDING PERIOD COST VALUE]]</f>
        <v>0</v>
      </c>
      <c r="J55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5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5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5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54" s="6">
        <f>TAX_CERTIFICATE[[#This Row],[TOTAL ADDITION AT COST DURING THE PERIOD]]-TAX_CERTIFICATE[[#This Row],[TOTAL REDEMPTION AT COST DURING THE PERIOD]]</f>
        <v>0</v>
      </c>
      <c r="O55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54" s="6"/>
      <c r="Q554" s="6"/>
      <c r="R554" s="6"/>
    </row>
    <row r="555" spans="1:18">
      <c r="A555" t="s">
        <v>1298</v>
      </c>
      <c r="B55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5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55" s="6">
        <f>TAX_CERTIFICATE[[#This Row],[BEGINNING PERIOD UNITS]]*$AA$2</f>
        <v>0</v>
      </c>
      <c r="E555" s="6">
        <f>TAX_CERTIFICATE[[#This Row],[BEGINNING PERIOD MARKET VALUE]]-TAX_CERTIFICATE[[#This Row],[BEGINNING PERIOD COST VALUE]]</f>
        <v>0</v>
      </c>
      <c r="F55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5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55" s="6">
        <f>TAX_CERTIFICATE[[#This Row],[ENDING PERIOD UNITS]]*$AA$3</f>
        <v>0</v>
      </c>
      <c r="I555" s="6">
        <f>TAX_CERTIFICATE[[#This Row],[ENDING PERIOD MARKET VALUE]]-TAX_CERTIFICATE[[#This Row],[ENDING PERIOD COST VALUE]]</f>
        <v>0</v>
      </c>
      <c r="J55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5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5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5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55" s="6">
        <f>TAX_CERTIFICATE[[#This Row],[TOTAL ADDITION AT COST DURING THE PERIOD]]-TAX_CERTIFICATE[[#This Row],[TOTAL REDEMPTION AT COST DURING THE PERIOD]]</f>
        <v>0</v>
      </c>
      <c r="O55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55" s="6"/>
      <c r="Q555" s="6"/>
      <c r="R555" s="6"/>
    </row>
    <row r="556" spans="1:18">
      <c r="A556" t="s">
        <v>1300</v>
      </c>
      <c r="B55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5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56" s="6">
        <f>TAX_CERTIFICATE[[#This Row],[BEGINNING PERIOD UNITS]]*$AA$2</f>
        <v>0</v>
      </c>
      <c r="E556" s="6">
        <f>TAX_CERTIFICATE[[#This Row],[BEGINNING PERIOD MARKET VALUE]]-TAX_CERTIFICATE[[#This Row],[BEGINNING PERIOD COST VALUE]]</f>
        <v>0</v>
      </c>
      <c r="F55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5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56" s="6">
        <f>TAX_CERTIFICATE[[#This Row],[ENDING PERIOD UNITS]]*$AA$3</f>
        <v>0</v>
      </c>
      <c r="I556" s="6">
        <f>TAX_CERTIFICATE[[#This Row],[ENDING PERIOD MARKET VALUE]]-TAX_CERTIFICATE[[#This Row],[ENDING PERIOD COST VALUE]]</f>
        <v>0</v>
      </c>
      <c r="J55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5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5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5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56" s="6">
        <f>TAX_CERTIFICATE[[#This Row],[TOTAL ADDITION AT COST DURING THE PERIOD]]-TAX_CERTIFICATE[[#This Row],[TOTAL REDEMPTION AT COST DURING THE PERIOD]]</f>
        <v>0</v>
      </c>
      <c r="O55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56" s="6"/>
      <c r="Q556" s="6"/>
      <c r="R556" s="6"/>
    </row>
    <row r="557" spans="1:18">
      <c r="A557" t="s">
        <v>1302</v>
      </c>
      <c r="B55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5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57" s="6">
        <f>TAX_CERTIFICATE[[#This Row],[BEGINNING PERIOD UNITS]]*$AA$2</f>
        <v>0</v>
      </c>
      <c r="E557" s="6">
        <f>TAX_CERTIFICATE[[#This Row],[BEGINNING PERIOD MARKET VALUE]]-TAX_CERTIFICATE[[#This Row],[BEGINNING PERIOD COST VALUE]]</f>
        <v>0</v>
      </c>
      <c r="F55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5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57" s="6">
        <f>TAX_CERTIFICATE[[#This Row],[ENDING PERIOD UNITS]]*$AA$3</f>
        <v>0</v>
      </c>
      <c r="I557" s="6">
        <f>TAX_CERTIFICATE[[#This Row],[ENDING PERIOD MARKET VALUE]]-TAX_CERTIFICATE[[#This Row],[ENDING PERIOD COST VALUE]]</f>
        <v>0</v>
      </c>
      <c r="J55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5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5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5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57" s="6">
        <f>TAX_CERTIFICATE[[#This Row],[TOTAL ADDITION AT COST DURING THE PERIOD]]-TAX_CERTIFICATE[[#This Row],[TOTAL REDEMPTION AT COST DURING THE PERIOD]]</f>
        <v>0</v>
      </c>
      <c r="O55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57" s="6"/>
      <c r="Q557" s="6"/>
      <c r="R557" s="6"/>
    </row>
    <row r="558" spans="1:18">
      <c r="A558" t="s">
        <v>1304</v>
      </c>
      <c r="B55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5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58" s="6">
        <f>TAX_CERTIFICATE[[#This Row],[BEGINNING PERIOD UNITS]]*$AA$2</f>
        <v>0</v>
      </c>
      <c r="E558" s="6">
        <f>TAX_CERTIFICATE[[#This Row],[BEGINNING PERIOD MARKET VALUE]]-TAX_CERTIFICATE[[#This Row],[BEGINNING PERIOD COST VALUE]]</f>
        <v>0</v>
      </c>
      <c r="F55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5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58" s="6">
        <f>TAX_CERTIFICATE[[#This Row],[ENDING PERIOD UNITS]]*$AA$3</f>
        <v>0</v>
      </c>
      <c r="I558" s="6">
        <f>TAX_CERTIFICATE[[#This Row],[ENDING PERIOD MARKET VALUE]]-TAX_CERTIFICATE[[#This Row],[ENDING PERIOD COST VALUE]]</f>
        <v>0</v>
      </c>
      <c r="J55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5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5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5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58" s="6">
        <f>TAX_CERTIFICATE[[#This Row],[TOTAL ADDITION AT COST DURING THE PERIOD]]-TAX_CERTIFICATE[[#This Row],[TOTAL REDEMPTION AT COST DURING THE PERIOD]]</f>
        <v>0</v>
      </c>
      <c r="O55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58" s="6"/>
      <c r="Q558" s="6"/>
      <c r="R558" s="6"/>
    </row>
    <row r="559" spans="1:18">
      <c r="A559" t="s">
        <v>1306</v>
      </c>
      <c r="B55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5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59" s="6">
        <f>TAX_CERTIFICATE[[#This Row],[BEGINNING PERIOD UNITS]]*$AA$2</f>
        <v>0</v>
      </c>
      <c r="E559" s="6">
        <f>TAX_CERTIFICATE[[#This Row],[BEGINNING PERIOD MARKET VALUE]]-TAX_CERTIFICATE[[#This Row],[BEGINNING PERIOD COST VALUE]]</f>
        <v>0</v>
      </c>
      <c r="F55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5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59" s="6">
        <f>TAX_CERTIFICATE[[#This Row],[ENDING PERIOD UNITS]]*$AA$3</f>
        <v>0</v>
      </c>
      <c r="I559" s="6">
        <f>TAX_CERTIFICATE[[#This Row],[ENDING PERIOD MARKET VALUE]]-TAX_CERTIFICATE[[#This Row],[ENDING PERIOD COST VALUE]]</f>
        <v>0</v>
      </c>
      <c r="J55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5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5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5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59" s="6">
        <f>TAX_CERTIFICATE[[#This Row],[TOTAL ADDITION AT COST DURING THE PERIOD]]-TAX_CERTIFICATE[[#This Row],[TOTAL REDEMPTION AT COST DURING THE PERIOD]]</f>
        <v>0</v>
      </c>
      <c r="O55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59" s="6"/>
      <c r="Q559" s="6"/>
      <c r="R559" s="6"/>
    </row>
    <row r="560" spans="1:18">
      <c r="A560" t="s">
        <v>1308</v>
      </c>
      <c r="B56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6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60" s="6">
        <f>TAX_CERTIFICATE[[#This Row],[BEGINNING PERIOD UNITS]]*$AA$2</f>
        <v>0</v>
      </c>
      <c r="E560" s="6">
        <f>TAX_CERTIFICATE[[#This Row],[BEGINNING PERIOD MARKET VALUE]]-TAX_CERTIFICATE[[#This Row],[BEGINNING PERIOD COST VALUE]]</f>
        <v>0</v>
      </c>
      <c r="F56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6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60" s="6">
        <f>TAX_CERTIFICATE[[#This Row],[ENDING PERIOD UNITS]]*$AA$3</f>
        <v>0</v>
      </c>
      <c r="I560" s="6">
        <f>TAX_CERTIFICATE[[#This Row],[ENDING PERIOD MARKET VALUE]]-TAX_CERTIFICATE[[#This Row],[ENDING PERIOD COST VALUE]]</f>
        <v>0</v>
      </c>
      <c r="J56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6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6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6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60" s="6">
        <f>TAX_CERTIFICATE[[#This Row],[TOTAL ADDITION AT COST DURING THE PERIOD]]-TAX_CERTIFICATE[[#This Row],[TOTAL REDEMPTION AT COST DURING THE PERIOD]]</f>
        <v>0</v>
      </c>
      <c r="O56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60" s="6"/>
      <c r="Q560" s="6"/>
      <c r="R560" s="6"/>
    </row>
    <row r="561" spans="1:18">
      <c r="A561" t="s">
        <v>1310</v>
      </c>
      <c r="B56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6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61" s="6">
        <f>TAX_CERTIFICATE[[#This Row],[BEGINNING PERIOD UNITS]]*$AA$2</f>
        <v>0</v>
      </c>
      <c r="E561" s="6">
        <f>TAX_CERTIFICATE[[#This Row],[BEGINNING PERIOD MARKET VALUE]]-TAX_CERTIFICATE[[#This Row],[BEGINNING PERIOD COST VALUE]]</f>
        <v>0</v>
      </c>
      <c r="F56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6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61" s="6">
        <f>TAX_CERTIFICATE[[#This Row],[ENDING PERIOD UNITS]]*$AA$3</f>
        <v>0</v>
      </c>
      <c r="I561" s="6">
        <f>TAX_CERTIFICATE[[#This Row],[ENDING PERIOD MARKET VALUE]]-TAX_CERTIFICATE[[#This Row],[ENDING PERIOD COST VALUE]]</f>
        <v>0</v>
      </c>
      <c r="J56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6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6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6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61" s="6">
        <f>TAX_CERTIFICATE[[#This Row],[TOTAL ADDITION AT COST DURING THE PERIOD]]-TAX_CERTIFICATE[[#This Row],[TOTAL REDEMPTION AT COST DURING THE PERIOD]]</f>
        <v>0</v>
      </c>
      <c r="O56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61" s="6"/>
      <c r="Q561" s="6"/>
      <c r="R561" s="6"/>
    </row>
    <row r="562" spans="1:18">
      <c r="A562" t="s">
        <v>1312</v>
      </c>
      <c r="B56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6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62" s="6">
        <f>TAX_CERTIFICATE[[#This Row],[BEGINNING PERIOD UNITS]]*$AA$2</f>
        <v>0</v>
      </c>
      <c r="E562" s="6">
        <f>TAX_CERTIFICATE[[#This Row],[BEGINNING PERIOD MARKET VALUE]]-TAX_CERTIFICATE[[#This Row],[BEGINNING PERIOD COST VALUE]]</f>
        <v>0</v>
      </c>
      <c r="F56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6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62" s="6">
        <f>TAX_CERTIFICATE[[#This Row],[ENDING PERIOD UNITS]]*$AA$3</f>
        <v>0</v>
      </c>
      <c r="I562" s="6">
        <f>TAX_CERTIFICATE[[#This Row],[ENDING PERIOD MARKET VALUE]]-TAX_CERTIFICATE[[#This Row],[ENDING PERIOD COST VALUE]]</f>
        <v>0</v>
      </c>
      <c r="J56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6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6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6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62" s="6">
        <f>TAX_CERTIFICATE[[#This Row],[TOTAL ADDITION AT COST DURING THE PERIOD]]-TAX_CERTIFICATE[[#This Row],[TOTAL REDEMPTION AT COST DURING THE PERIOD]]</f>
        <v>0</v>
      </c>
      <c r="O56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62" s="6"/>
      <c r="Q562" s="6"/>
      <c r="R562" s="6"/>
    </row>
    <row r="563" spans="1:18">
      <c r="A563" t="s">
        <v>1314</v>
      </c>
      <c r="B56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6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63" s="6">
        <f>TAX_CERTIFICATE[[#This Row],[BEGINNING PERIOD UNITS]]*$AA$2</f>
        <v>0</v>
      </c>
      <c r="E563" s="6">
        <f>TAX_CERTIFICATE[[#This Row],[BEGINNING PERIOD MARKET VALUE]]-TAX_CERTIFICATE[[#This Row],[BEGINNING PERIOD COST VALUE]]</f>
        <v>0</v>
      </c>
      <c r="F56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6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63" s="6">
        <f>TAX_CERTIFICATE[[#This Row],[ENDING PERIOD UNITS]]*$AA$3</f>
        <v>0</v>
      </c>
      <c r="I563" s="6">
        <f>TAX_CERTIFICATE[[#This Row],[ENDING PERIOD MARKET VALUE]]-TAX_CERTIFICATE[[#This Row],[ENDING PERIOD COST VALUE]]</f>
        <v>0</v>
      </c>
      <c r="J56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6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6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6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63" s="6">
        <f>TAX_CERTIFICATE[[#This Row],[TOTAL ADDITION AT COST DURING THE PERIOD]]-TAX_CERTIFICATE[[#This Row],[TOTAL REDEMPTION AT COST DURING THE PERIOD]]</f>
        <v>0</v>
      </c>
      <c r="O56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63" s="6"/>
      <c r="Q563" s="6"/>
      <c r="R563" s="6"/>
    </row>
    <row r="564" spans="1:18">
      <c r="A564" t="s">
        <v>1316</v>
      </c>
      <c r="B56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6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64" s="6">
        <f>TAX_CERTIFICATE[[#This Row],[BEGINNING PERIOD UNITS]]*$AA$2</f>
        <v>0</v>
      </c>
      <c r="E564" s="6">
        <f>TAX_CERTIFICATE[[#This Row],[BEGINNING PERIOD MARKET VALUE]]-TAX_CERTIFICATE[[#This Row],[BEGINNING PERIOD COST VALUE]]</f>
        <v>0</v>
      </c>
      <c r="F56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6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64" s="6">
        <f>TAX_CERTIFICATE[[#This Row],[ENDING PERIOD UNITS]]*$AA$3</f>
        <v>0</v>
      </c>
      <c r="I564" s="6">
        <f>TAX_CERTIFICATE[[#This Row],[ENDING PERIOD MARKET VALUE]]-TAX_CERTIFICATE[[#This Row],[ENDING PERIOD COST VALUE]]</f>
        <v>0</v>
      </c>
      <c r="J56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6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6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6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64" s="6">
        <f>TAX_CERTIFICATE[[#This Row],[TOTAL ADDITION AT COST DURING THE PERIOD]]-TAX_CERTIFICATE[[#This Row],[TOTAL REDEMPTION AT COST DURING THE PERIOD]]</f>
        <v>0</v>
      </c>
      <c r="O56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64" s="6"/>
      <c r="Q564" s="6"/>
      <c r="R564" s="6"/>
    </row>
    <row r="565" spans="1:18">
      <c r="A565" t="s">
        <v>1318</v>
      </c>
      <c r="B56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6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65" s="6">
        <f>TAX_CERTIFICATE[[#This Row],[BEGINNING PERIOD UNITS]]*$AA$2</f>
        <v>0</v>
      </c>
      <c r="E565" s="6">
        <f>TAX_CERTIFICATE[[#This Row],[BEGINNING PERIOD MARKET VALUE]]-TAX_CERTIFICATE[[#This Row],[BEGINNING PERIOD COST VALUE]]</f>
        <v>0</v>
      </c>
      <c r="F56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6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65" s="6">
        <f>TAX_CERTIFICATE[[#This Row],[ENDING PERIOD UNITS]]*$AA$3</f>
        <v>0</v>
      </c>
      <c r="I565" s="6">
        <f>TAX_CERTIFICATE[[#This Row],[ENDING PERIOD MARKET VALUE]]-TAX_CERTIFICATE[[#This Row],[ENDING PERIOD COST VALUE]]</f>
        <v>0</v>
      </c>
      <c r="J56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6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6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6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65" s="6">
        <f>TAX_CERTIFICATE[[#This Row],[TOTAL ADDITION AT COST DURING THE PERIOD]]-TAX_CERTIFICATE[[#This Row],[TOTAL REDEMPTION AT COST DURING THE PERIOD]]</f>
        <v>0</v>
      </c>
      <c r="O56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65" s="6"/>
      <c r="Q565" s="6"/>
      <c r="R565" s="6"/>
    </row>
    <row r="566" spans="1:18">
      <c r="A566" t="s">
        <v>1208</v>
      </c>
      <c r="B56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6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66" s="6">
        <f>TAX_CERTIFICATE[[#This Row],[BEGINNING PERIOD UNITS]]*$AA$2</f>
        <v>0</v>
      </c>
      <c r="E566" s="6">
        <f>TAX_CERTIFICATE[[#This Row],[BEGINNING PERIOD MARKET VALUE]]-TAX_CERTIFICATE[[#This Row],[BEGINNING PERIOD COST VALUE]]</f>
        <v>0</v>
      </c>
      <c r="F56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6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66" s="6">
        <f>TAX_CERTIFICATE[[#This Row],[ENDING PERIOD UNITS]]*$AA$3</f>
        <v>0</v>
      </c>
      <c r="I566" s="6">
        <f>TAX_CERTIFICATE[[#This Row],[ENDING PERIOD MARKET VALUE]]-TAX_CERTIFICATE[[#This Row],[ENDING PERIOD COST VALUE]]</f>
        <v>0</v>
      </c>
      <c r="J56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6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6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6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66" s="6">
        <f>TAX_CERTIFICATE[[#This Row],[TOTAL ADDITION AT COST DURING THE PERIOD]]-TAX_CERTIFICATE[[#This Row],[TOTAL REDEMPTION AT COST DURING THE PERIOD]]</f>
        <v>0</v>
      </c>
      <c r="O56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66" s="6"/>
      <c r="Q566" s="6"/>
      <c r="R566" s="6"/>
    </row>
    <row r="567" spans="1:18">
      <c r="A567" t="s">
        <v>1321</v>
      </c>
      <c r="B56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6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67" s="6">
        <f>TAX_CERTIFICATE[[#This Row],[BEGINNING PERIOD UNITS]]*$AA$2</f>
        <v>0</v>
      </c>
      <c r="E567" s="6">
        <f>TAX_CERTIFICATE[[#This Row],[BEGINNING PERIOD MARKET VALUE]]-TAX_CERTIFICATE[[#This Row],[BEGINNING PERIOD COST VALUE]]</f>
        <v>0</v>
      </c>
      <c r="F56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6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67" s="6">
        <f>TAX_CERTIFICATE[[#This Row],[ENDING PERIOD UNITS]]*$AA$3</f>
        <v>0</v>
      </c>
      <c r="I567" s="6">
        <f>TAX_CERTIFICATE[[#This Row],[ENDING PERIOD MARKET VALUE]]-TAX_CERTIFICATE[[#This Row],[ENDING PERIOD COST VALUE]]</f>
        <v>0</v>
      </c>
      <c r="J56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6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6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6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67" s="6">
        <f>TAX_CERTIFICATE[[#This Row],[TOTAL ADDITION AT COST DURING THE PERIOD]]-TAX_CERTIFICATE[[#This Row],[TOTAL REDEMPTION AT COST DURING THE PERIOD]]</f>
        <v>0</v>
      </c>
      <c r="O56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67" s="6"/>
      <c r="Q567" s="6"/>
      <c r="R567" s="6"/>
    </row>
    <row r="568" spans="1:18">
      <c r="A568" t="s">
        <v>1323</v>
      </c>
      <c r="B56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6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68" s="6">
        <f>TAX_CERTIFICATE[[#This Row],[BEGINNING PERIOD UNITS]]*$AA$2</f>
        <v>0</v>
      </c>
      <c r="E568" s="6">
        <f>TAX_CERTIFICATE[[#This Row],[BEGINNING PERIOD MARKET VALUE]]-TAX_CERTIFICATE[[#This Row],[BEGINNING PERIOD COST VALUE]]</f>
        <v>0</v>
      </c>
      <c r="F56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6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68" s="6">
        <f>TAX_CERTIFICATE[[#This Row],[ENDING PERIOD UNITS]]*$AA$3</f>
        <v>0</v>
      </c>
      <c r="I568" s="6">
        <f>TAX_CERTIFICATE[[#This Row],[ENDING PERIOD MARKET VALUE]]-TAX_CERTIFICATE[[#This Row],[ENDING PERIOD COST VALUE]]</f>
        <v>0</v>
      </c>
      <c r="J56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6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6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6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68" s="6">
        <f>TAX_CERTIFICATE[[#This Row],[TOTAL ADDITION AT COST DURING THE PERIOD]]-TAX_CERTIFICATE[[#This Row],[TOTAL REDEMPTION AT COST DURING THE PERIOD]]</f>
        <v>0</v>
      </c>
      <c r="O56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68" s="6"/>
      <c r="Q568" s="6"/>
      <c r="R568" s="6"/>
    </row>
    <row r="569" spans="1:18">
      <c r="A569" t="s">
        <v>1325</v>
      </c>
      <c r="B56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6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69" s="6">
        <f>TAX_CERTIFICATE[[#This Row],[BEGINNING PERIOD UNITS]]*$AA$2</f>
        <v>0</v>
      </c>
      <c r="E569" s="6">
        <f>TAX_CERTIFICATE[[#This Row],[BEGINNING PERIOD MARKET VALUE]]-TAX_CERTIFICATE[[#This Row],[BEGINNING PERIOD COST VALUE]]</f>
        <v>0</v>
      </c>
      <c r="F56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6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69" s="6">
        <f>TAX_CERTIFICATE[[#This Row],[ENDING PERIOD UNITS]]*$AA$3</f>
        <v>0</v>
      </c>
      <c r="I569" s="6">
        <f>TAX_CERTIFICATE[[#This Row],[ENDING PERIOD MARKET VALUE]]-TAX_CERTIFICATE[[#This Row],[ENDING PERIOD COST VALUE]]</f>
        <v>0</v>
      </c>
      <c r="J56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6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6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6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69" s="6">
        <f>TAX_CERTIFICATE[[#This Row],[TOTAL ADDITION AT COST DURING THE PERIOD]]-TAX_CERTIFICATE[[#This Row],[TOTAL REDEMPTION AT COST DURING THE PERIOD]]</f>
        <v>0</v>
      </c>
      <c r="O56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69" s="6"/>
      <c r="Q569" s="6"/>
      <c r="R569" s="6"/>
    </row>
    <row r="570" spans="1:18">
      <c r="A570" t="s">
        <v>1327</v>
      </c>
      <c r="B57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7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70" s="6">
        <f>TAX_CERTIFICATE[[#This Row],[BEGINNING PERIOD UNITS]]*$AA$2</f>
        <v>0</v>
      </c>
      <c r="E570" s="6">
        <f>TAX_CERTIFICATE[[#This Row],[BEGINNING PERIOD MARKET VALUE]]-TAX_CERTIFICATE[[#This Row],[BEGINNING PERIOD COST VALUE]]</f>
        <v>0</v>
      </c>
      <c r="F570" s="33">
        <f>SUMIFS(LS[Unit],LS[Investor ID],TAX_CERTIFICATE[[#This Row],[INVESTOR CODE]],LS[Date Value],"&lt;="&amp;$Z$3)+SUMIFS(SIP[Unit],SIP[Investor ID],TAX_CERTIFICATE[[#This Row],[INVESTOR CODE]],SIP[Date Value],"&lt;="&amp;$Z$3)</f>
        <v>13202</v>
      </c>
      <c r="G57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130000</v>
      </c>
      <c r="H570" s="6">
        <f>TAX_CERTIFICATE[[#This Row],[ENDING PERIOD UNITS]]*$AA$3</f>
        <v>131280.68800000002</v>
      </c>
      <c r="I570" s="6">
        <f>TAX_CERTIFICATE[[#This Row],[ENDING PERIOD MARKET VALUE]]-TAX_CERTIFICATE[[#This Row],[ENDING PERIOD COST VALUE]]</f>
        <v>1280.6880000000237</v>
      </c>
      <c r="J57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13202</v>
      </c>
      <c r="K57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130000</v>
      </c>
      <c r="L57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7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70" s="6">
        <f>TAX_CERTIFICATE[[#This Row],[TOTAL ADDITION AT COST DURING THE PERIOD]]-TAX_CERTIFICATE[[#This Row],[TOTAL REDEMPTION AT COST DURING THE PERIOD]]</f>
        <v>130000</v>
      </c>
      <c r="O57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70" s="6"/>
      <c r="Q570" s="6"/>
      <c r="R570" s="6"/>
    </row>
    <row r="571" spans="1:18">
      <c r="A571" t="s">
        <v>1329</v>
      </c>
      <c r="B57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7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71" s="6">
        <f>TAX_CERTIFICATE[[#This Row],[BEGINNING PERIOD UNITS]]*$AA$2</f>
        <v>0</v>
      </c>
      <c r="E571" s="6">
        <f>TAX_CERTIFICATE[[#This Row],[BEGINNING PERIOD MARKET VALUE]]-TAX_CERTIFICATE[[#This Row],[BEGINNING PERIOD COST VALUE]]</f>
        <v>0</v>
      </c>
      <c r="F57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7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71" s="6">
        <f>TAX_CERTIFICATE[[#This Row],[ENDING PERIOD UNITS]]*$AA$3</f>
        <v>0</v>
      </c>
      <c r="I571" s="6">
        <f>TAX_CERTIFICATE[[#This Row],[ENDING PERIOD MARKET VALUE]]-TAX_CERTIFICATE[[#This Row],[ENDING PERIOD COST VALUE]]</f>
        <v>0</v>
      </c>
      <c r="J57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7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7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7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71" s="6">
        <f>TAX_CERTIFICATE[[#This Row],[TOTAL ADDITION AT COST DURING THE PERIOD]]-TAX_CERTIFICATE[[#This Row],[TOTAL REDEMPTION AT COST DURING THE PERIOD]]</f>
        <v>0</v>
      </c>
      <c r="O57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71" s="6"/>
      <c r="Q571" s="6"/>
      <c r="R571" s="6"/>
    </row>
    <row r="572" spans="1:18">
      <c r="A572" t="s">
        <v>1331</v>
      </c>
      <c r="B57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7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72" s="6">
        <f>TAX_CERTIFICATE[[#This Row],[BEGINNING PERIOD UNITS]]*$AA$2</f>
        <v>0</v>
      </c>
      <c r="E572" s="6">
        <f>TAX_CERTIFICATE[[#This Row],[BEGINNING PERIOD MARKET VALUE]]-TAX_CERTIFICATE[[#This Row],[BEGINNING PERIOD COST VALUE]]</f>
        <v>0</v>
      </c>
      <c r="F57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7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72" s="6">
        <f>TAX_CERTIFICATE[[#This Row],[ENDING PERIOD UNITS]]*$AA$3</f>
        <v>0</v>
      </c>
      <c r="I572" s="6">
        <f>TAX_CERTIFICATE[[#This Row],[ENDING PERIOD MARKET VALUE]]-TAX_CERTIFICATE[[#This Row],[ENDING PERIOD COST VALUE]]</f>
        <v>0</v>
      </c>
      <c r="J57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7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7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7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72" s="6">
        <f>TAX_CERTIFICATE[[#This Row],[TOTAL ADDITION AT COST DURING THE PERIOD]]-TAX_CERTIFICATE[[#This Row],[TOTAL REDEMPTION AT COST DURING THE PERIOD]]</f>
        <v>0</v>
      </c>
      <c r="O57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72" s="6"/>
      <c r="Q572" s="6"/>
      <c r="R572" s="6"/>
    </row>
    <row r="573" spans="1:18">
      <c r="A573" t="s">
        <v>1333</v>
      </c>
      <c r="B573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73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73" s="6">
        <f>TAX_CERTIFICATE[[#This Row],[BEGINNING PERIOD UNITS]]*$AA$2</f>
        <v>0</v>
      </c>
      <c r="E573" s="6">
        <f>TAX_CERTIFICATE[[#This Row],[BEGINNING PERIOD MARKET VALUE]]-TAX_CERTIFICATE[[#This Row],[BEGINNING PERIOD COST VALUE]]</f>
        <v>0</v>
      </c>
      <c r="F573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73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73" s="6">
        <f>TAX_CERTIFICATE[[#This Row],[ENDING PERIOD UNITS]]*$AA$3</f>
        <v>0</v>
      </c>
      <c r="I573" s="6">
        <f>TAX_CERTIFICATE[[#This Row],[ENDING PERIOD MARKET VALUE]]-TAX_CERTIFICATE[[#This Row],[ENDING PERIOD COST VALUE]]</f>
        <v>0</v>
      </c>
      <c r="J573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73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73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73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73" s="6">
        <f>TAX_CERTIFICATE[[#This Row],[TOTAL ADDITION AT COST DURING THE PERIOD]]-TAX_CERTIFICATE[[#This Row],[TOTAL REDEMPTION AT COST DURING THE PERIOD]]</f>
        <v>0</v>
      </c>
      <c r="O573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73" s="6"/>
      <c r="Q573" s="6"/>
      <c r="R573" s="6"/>
    </row>
    <row r="574" spans="1:18">
      <c r="A574" t="s">
        <v>1335</v>
      </c>
      <c r="B574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74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74" s="6">
        <f>TAX_CERTIFICATE[[#This Row],[BEGINNING PERIOD UNITS]]*$AA$2</f>
        <v>0</v>
      </c>
      <c r="E574" s="6">
        <f>TAX_CERTIFICATE[[#This Row],[BEGINNING PERIOD MARKET VALUE]]-TAX_CERTIFICATE[[#This Row],[BEGINNING PERIOD COST VALUE]]</f>
        <v>0</v>
      </c>
      <c r="F574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74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74" s="6">
        <f>TAX_CERTIFICATE[[#This Row],[ENDING PERIOD UNITS]]*$AA$3</f>
        <v>0</v>
      </c>
      <c r="I574" s="6">
        <f>TAX_CERTIFICATE[[#This Row],[ENDING PERIOD MARKET VALUE]]-TAX_CERTIFICATE[[#This Row],[ENDING PERIOD COST VALUE]]</f>
        <v>0</v>
      </c>
      <c r="J574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74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74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74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74" s="6">
        <f>TAX_CERTIFICATE[[#This Row],[TOTAL ADDITION AT COST DURING THE PERIOD]]-TAX_CERTIFICATE[[#This Row],[TOTAL REDEMPTION AT COST DURING THE PERIOD]]</f>
        <v>0</v>
      </c>
      <c r="O574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74" s="6"/>
      <c r="Q574" s="6"/>
      <c r="R574" s="6"/>
    </row>
    <row r="575" spans="1:18">
      <c r="A575" t="s">
        <v>1337</v>
      </c>
      <c r="B575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75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75" s="6">
        <f>TAX_CERTIFICATE[[#This Row],[BEGINNING PERIOD UNITS]]*$AA$2</f>
        <v>0</v>
      </c>
      <c r="E575" s="6">
        <f>TAX_CERTIFICATE[[#This Row],[BEGINNING PERIOD MARKET VALUE]]-TAX_CERTIFICATE[[#This Row],[BEGINNING PERIOD COST VALUE]]</f>
        <v>0</v>
      </c>
      <c r="F575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75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75" s="6">
        <f>TAX_CERTIFICATE[[#This Row],[ENDING PERIOD UNITS]]*$AA$3</f>
        <v>0</v>
      </c>
      <c r="I575" s="6">
        <f>TAX_CERTIFICATE[[#This Row],[ENDING PERIOD MARKET VALUE]]-TAX_CERTIFICATE[[#This Row],[ENDING PERIOD COST VALUE]]</f>
        <v>0</v>
      </c>
      <c r="J575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75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75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75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75" s="6">
        <f>TAX_CERTIFICATE[[#This Row],[TOTAL ADDITION AT COST DURING THE PERIOD]]-TAX_CERTIFICATE[[#This Row],[TOTAL REDEMPTION AT COST DURING THE PERIOD]]</f>
        <v>0</v>
      </c>
      <c r="O575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75" s="6"/>
      <c r="Q575" s="6"/>
      <c r="R575" s="6"/>
    </row>
    <row r="576" spans="1:18">
      <c r="A576" t="s">
        <v>1339</v>
      </c>
      <c r="B576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76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76" s="6">
        <f>TAX_CERTIFICATE[[#This Row],[BEGINNING PERIOD UNITS]]*$AA$2</f>
        <v>0</v>
      </c>
      <c r="E576" s="6">
        <f>TAX_CERTIFICATE[[#This Row],[BEGINNING PERIOD MARKET VALUE]]-TAX_CERTIFICATE[[#This Row],[BEGINNING PERIOD COST VALUE]]</f>
        <v>0</v>
      </c>
      <c r="F576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76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76" s="6">
        <f>TAX_CERTIFICATE[[#This Row],[ENDING PERIOD UNITS]]*$AA$3</f>
        <v>0</v>
      </c>
      <c r="I576" s="6">
        <f>TAX_CERTIFICATE[[#This Row],[ENDING PERIOD MARKET VALUE]]-TAX_CERTIFICATE[[#This Row],[ENDING PERIOD COST VALUE]]</f>
        <v>0</v>
      </c>
      <c r="J576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76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76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76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76" s="6">
        <f>TAX_CERTIFICATE[[#This Row],[TOTAL ADDITION AT COST DURING THE PERIOD]]-TAX_CERTIFICATE[[#This Row],[TOTAL REDEMPTION AT COST DURING THE PERIOD]]</f>
        <v>0</v>
      </c>
      <c r="O576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76" s="6"/>
      <c r="Q576" s="6"/>
      <c r="R576" s="6"/>
    </row>
    <row r="577" spans="1:18">
      <c r="A577" t="s">
        <v>1341</v>
      </c>
      <c r="B577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77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77" s="6">
        <f>TAX_CERTIFICATE[[#This Row],[BEGINNING PERIOD UNITS]]*$AA$2</f>
        <v>0</v>
      </c>
      <c r="E577" s="6">
        <f>TAX_CERTIFICATE[[#This Row],[BEGINNING PERIOD MARKET VALUE]]-TAX_CERTIFICATE[[#This Row],[BEGINNING PERIOD COST VALUE]]</f>
        <v>0</v>
      </c>
      <c r="F577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77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77" s="6">
        <f>TAX_CERTIFICATE[[#This Row],[ENDING PERIOD UNITS]]*$AA$3</f>
        <v>0</v>
      </c>
      <c r="I577" s="6">
        <f>TAX_CERTIFICATE[[#This Row],[ENDING PERIOD MARKET VALUE]]-TAX_CERTIFICATE[[#This Row],[ENDING PERIOD COST VALUE]]</f>
        <v>0</v>
      </c>
      <c r="J577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77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77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77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77" s="6">
        <f>TAX_CERTIFICATE[[#This Row],[TOTAL ADDITION AT COST DURING THE PERIOD]]-TAX_CERTIFICATE[[#This Row],[TOTAL REDEMPTION AT COST DURING THE PERIOD]]</f>
        <v>0</v>
      </c>
      <c r="O577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77" s="6"/>
      <c r="Q577" s="6"/>
      <c r="R577" s="6"/>
    </row>
    <row r="578" spans="1:18">
      <c r="A578" t="s">
        <v>1343</v>
      </c>
      <c r="B578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78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78" s="6">
        <f>TAX_CERTIFICATE[[#This Row],[BEGINNING PERIOD UNITS]]*$AA$2</f>
        <v>0</v>
      </c>
      <c r="E578" s="6">
        <f>TAX_CERTIFICATE[[#This Row],[BEGINNING PERIOD MARKET VALUE]]-TAX_CERTIFICATE[[#This Row],[BEGINNING PERIOD COST VALUE]]</f>
        <v>0</v>
      </c>
      <c r="F578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78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78" s="6">
        <f>TAX_CERTIFICATE[[#This Row],[ENDING PERIOD UNITS]]*$AA$3</f>
        <v>0</v>
      </c>
      <c r="I578" s="6">
        <f>TAX_CERTIFICATE[[#This Row],[ENDING PERIOD MARKET VALUE]]-TAX_CERTIFICATE[[#This Row],[ENDING PERIOD COST VALUE]]</f>
        <v>0</v>
      </c>
      <c r="J578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78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78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78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78" s="6">
        <f>TAX_CERTIFICATE[[#This Row],[TOTAL ADDITION AT COST DURING THE PERIOD]]-TAX_CERTIFICATE[[#This Row],[TOTAL REDEMPTION AT COST DURING THE PERIOD]]</f>
        <v>0</v>
      </c>
      <c r="O578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78" s="6"/>
      <c r="Q578" s="6"/>
      <c r="R578" s="6"/>
    </row>
    <row r="579" spans="1:18">
      <c r="A579" t="s">
        <v>1345</v>
      </c>
      <c r="B579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79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79" s="6">
        <f>TAX_CERTIFICATE[[#This Row],[BEGINNING PERIOD UNITS]]*$AA$2</f>
        <v>0</v>
      </c>
      <c r="E579" s="6">
        <f>TAX_CERTIFICATE[[#This Row],[BEGINNING PERIOD MARKET VALUE]]-TAX_CERTIFICATE[[#This Row],[BEGINNING PERIOD COST VALUE]]</f>
        <v>0</v>
      </c>
      <c r="F579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79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79" s="6">
        <f>TAX_CERTIFICATE[[#This Row],[ENDING PERIOD UNITS]]*$AA$3</f>
        <v>0</v>
      </c>
      <c r="I579" s="6">
        <f>TAX_CERTIFICATE[[#This Row],[ENDING PERIOD MARKET VALUE]]-TAX_CERTIFICATE[[#This Row],[ENDING PERIOD COST VALUE]]</f>
        <v>0</v>
      </c>
      <c r="J579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79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79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79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79" s="6">
        <f>TAX_CERTIFICATE[[#This Row],[TOTAL ADDITION AT COST DURING THE PERIOD]]-TAX_CERTIFICATE[[#This Row],[TOTAL REDEMPTION AT COST DURING THE PERIOD]]</f>
        <v>0</v>
      </c>
      <c r="O579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79" s="6"/>
      <c r="Q579" s="6"/>
      <c r="R579" s="6"/>
    </row>
    <row r="580" spans="1:18">
      <c r="A580" t="s">
        <v>1347</v>
      </c>
      <c r="B580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80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80" s="6">
        <f>TAX_CERTIFICATE[[#This Row],[BEGINNING PERIOD UNITS]]*$AA$2</f>
        <v>0</v>
      </c>
      <c r="E580" s="6">
        <f>TAX_CERTIFICATE[[#This Row],[BEGINNING PERIOD MARKET VALUE]]-TAX_CERTIFICATE[[#This Row],[BEGINNING PERIOD COST VALUE]]</f>
        <v>0</v>
      </c>
      <c r="F580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80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80" s="6">
        <f>TAX_CERTIFICATE[[#This Row],[ENDING PERIOD UNITS]]*$AA$3</f>
        <v>0</v>
      </c>
      <c r="I580" s="6">
        <f>TAX_CERTIFICATE[[#This Row],[ENDING PERIOD MARKET VALUE]]-TAX_CERTIFICATE[[#This Row],[ENDING PERIOD COST VALUE]]</f>
        <v>0</v>
      </c>
      <c r="J580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80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80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80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80" s="6">
        <f>TAX_CERTIFICATE[[#This Row],[TOTAL ADDITION AT COST DURING THE PERIOD]]-TAX_CERTIFICATE[[#This Row],[TOTAL REDEMPTION AT COST DURING THE PERIOD]]</f>
        <v>0</v>
      </c>
      <c r="O580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80" s="6"/>
      <c r="Q580" s="6"/>
      <c r="R580" s="6"/>
    </row>
    <row r="581" spans="1:18">
      <c r="A581" t="s">
        <v>1349</v>
      </c>
      <c r="B581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81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81" s="6">
        <f>TAX_CERTIFICATE[[#This Row],[BEGINNING PERIOD UNITS]]*$AA$2</f>
        <v>0</v>
      </c>
      <c r="E581" s="6">
        <f>TAX_CERTIFICATE[[#This Row],[BEGINNING PERIOD MARKET VALUE]]-TAX_CERTIFICATE[[#This Row],[BEGINNING PERIOD COST VALUE]]</f>
        <v>0</v>
      </c>
      <c r="F581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81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81" s="6">
        <f>TAX_CERTIFICATE[[#This Row],[ENDING PERIOD UNITS]]*$AA$3</f>
        <v>0</v>
      </c>
      <c r="I581" s="6">
        <f>TAX_CERTIFICATE[[#This Row],[ENDING PERIOD MARKET VALUE]]-TAX_CERTIFICATE[[#This Row],[ENDING PERIOD COST VALUE]]</f>
        <v>0</v>
      </c>
      <c r="J581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81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81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81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81" s="6">
        <f>TAX_CERTIFICATE[[#This Row],[TOTAL ADDITION AT COST DURING THE PERIOD]]-TAX_CERTIFICATE[[#This Row],[TOTAL REDEMPTION AT COST DURING THE PERIOD]]</f>
        <v>0</v>
      </c>
      <c r="O581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81" s="6"/>
      <c r="Q581" s="6"/>
      <c r="R581" s="6"/>
    </row>
    <row r="582" spans="1:18">
      <c r="A582" t="s">
        <v>1351</v>
      </c>
      <c r="B582" s="2">
        <f>SUMIFS(LS[Unit],LS[Investor ID],TAX_CERTIFICATE[[#This Row],[INVESTOR CODE]],LS[Date Value],"&lt;"&amp;$Z$2)+SUMIFS(SIP[Unit],SIP[Investor ID],TAX_CERTIFICATE[[#This Row],[INVESTOR CODE]],SIP[Date Value],"&lt;"&amp;$Z$2)</f>
        <v>0</v>
      </c>
      <c r="C582" s="6">
        <f>(SUMIFS(LS[Amount],LS[B/S],"B",LS[Investor ID],TAX_CERTIFICATE[[#This Row],[INVESTOR CODE]],LS[Date Value],"&lt;"&amp;$Z$2)-SUMIFS(LS[Cost of Units Sold],LS[B/S],"S",LS[Investor ID],TAX_CERTIFICATE[[#This Row],[INVESTOR CODE]],LS[Date Value],"&lt;"&amp;$Z$2))+(SUMIFS(SIP[Amount],SIP[B/S],"B",SIP[Investor ID],TAX_CERTIFICATE[[#This Row],[INVESTOR CODE]],SIP[Date Value],"&lt;"&amp;$Z$2)-SUMIFS(SIP[Cost of Units Sold],SIP[B/S],"S",SIP[Investor ID],TAX_CERTIFICATE[[#This Row],[INVESTOR CODE]],SIP[Date Value],"&lt;"&amp;$Z$2))</f>
        <v>0</v>
      </c>
      <c r="D582" s="6">
        <f>TAX_CERTIFICATE[[#This Row],[BEGINNING PERIOD UNITS]]*$AA$2</f>
        <v>0</v>
      </c>
      <c r="E582" s="6">
        <f>TAX_CERTIFICATE[[#This Row],[BEGINNING PERIOD MARKET VALUE]]-TAX_CERTIFICATE[[#This Row],[BEGINNING PERIOD COST VALUE]]</f>
        <v>0</v>
      </c>
      <c r="F582" s="33">
        <f>SUMIFS(LS[Unit],LS[Investor ID],TAX_CERTIFICATE[[#This Row],[INVESTOR CODE]],LS[Date Value],"&lt;="&amp;$Z$3)+SUMIFS(SIP[Unit],SIP[Investor ID],TAX_CERTIFICATE[[#This Row],[INVESTOR CODE]],SIP[Date Value],"&lt;="&amp;$Z$3)</f>
        <v>0</v>
      </c>
      <c r="G582" s="6">
        <f>(SUMIFS(LS[Amount],LS[B/S],"B",LS[Investor ID],TAX_CERTIFICATE[[#This Row],[INVESTOR CODE]],LS[Date Value],"&lt;="&amp;$Z$3)-SUMIFS(LS[Cost of Units Sold],LS[B/S],"S",LS[Investor ID],TAX_CERTIFICATE[[#This Row],[INVESTOR CODE]],LS[Date Value],"&lt;="&amp;$Z$3))+(SUMIFS(SIP[Amount],SIP[B/S],"B",SIP[Investor ID],TAX_CERTIFICATE[[#This Row],[INVESTOR CODE]],SIP[Date Value],"&lt;="&amp;$Z$3)-SUMIFS(SIP[Cost of Units Sold],SIP[B/S],"S",SIP[Investor ID],TAX_CERTIFICATE[[#This Row],[INVESTOR CODE]],SIP[Date Value],"&lt;="&amp;$Z$3))</f>
        <v>0</v>
      </c>
      <c r="H582" s="6">
        <f>TAX_CERTIFICATE[[#This Row],[ENDING PERIOD UNITS]]*$AA$3</f>
        <v>0</v>
      </c>
      <c r="I582" s="6">
        <f>TAX_CERTIFICATE[[#This Row],[ENDING PERIOD MARKET VALUE]]-TAX_CERTIFICATE[[#This Row],[ENDING PERIOD COST VALUE]]</f>
        <v>0</v>
      </c>
      <c r="J582" s="33">
        <f>(SUMIFS(LS[Unit],LS[Investor ID],TAX_CERTIFICATE[[#This Row],[INVESTOR CODE]],LS[B/S],"B",LS[Date Value],"&gt;="&amp;$Z$2,LS[Date Value],"&lt;="&amp;$Z$3))+(SUMIFS(SIP[Unit],SIP[Investor ID],TAX_CERTIFICATE[[#This Row],[INVESTOR CODE]],SIP[B/S],"B",SIP[Date Value],"&gt;="&amp;$Z$2,SIP[Date Value],"&lt;="&amp;$Z$3))</f>
        <v>0</v>
      </c>
      <c r="K582" s="6">
        <f>(SUMIFS(LS[Amount],LS[Investor ID],TAX_CERTIFICATE[[#This Row],[INVESTOR CODE]],LS[B/S],"B",LS[Date Value],"&gt;="&amp;$Z$2,LS[Date Value],"&lt;="&amp;$Z$3))+(SUMIFS(SIP[Amount],SIP[Investor ID],TAX_CERTIFICATE[[#This Row],[INVESTOR CODE]],SIP[B/S],"B",SIP[Date Value],"&gt;="&amp;$Z$2,SIP[Date Value],"&lt;="&amp;$Z$3))</f>
        <v>0</v>
      </c>
      <c r="L582" s="33">
        <f>(-SUMIFS(LS[Unit],LS[Investor ID],TAX_CERTIFICATE[[#This Row],[INVESTOR CODE]],LS[B/S],"S",LS[Date Value],"&gt;="&amp;$Z$2,LS[Date Value],"&lt;="&amp;$Z$3))+(-SUMIFS(SIP[Unit],SIP[Investor ID],TAX_CERTIFICATE[[#This Row],[INVESTOR CODE]],SIP[B/S],"S",SIP[Date Value],"&gt;="&amp;$Z$2,SIP[Date Value],"&lt;="&amp;$Z$3))</f>
        <v>0</v>
      </c>
      <c r="M582" s="6">
        <f>(SUMIFS(LS[Cost of Units Sold],LS[Investor ID],TAX_CERTIFICATE[[#This Row],[INVESTOR CODE]],LS[B/S],"S",LS[Date Value],"&gt;="&amp;$Z$2,LS[Date Value],"&lt;="&amp;$Z$3))+(SUMIFS(SIP[Cost of Units Sold],SIP[Investor ID],TAX_CERTIFICATE[[#This Row],[INVESTOR CODE]],SIP[B/S],"S",SIP[Date Value],"&gt;="&amp;$Z$2,SIP[Date Value],"&lt;="&amp;$Z$3))</f>
        <v>0</v>
      </c>
      <c r="N582" s="6">
        <f>TAX_CERTIFICATE[[#This Row],[TOTAL ADDITION AT COST DURING THE PERIOD]]-TAX_CERTIFICATE[[#This Row],[TOTAL REDEMPTION AT COST DURING THE PERIOD]]</f>
        <v>0</v>
      </c>
      <c r="O582" s="6">
        <f>(SUMIFS(LS[Realized Gain],LS[Investor ID],TAX_CERTIFICATE[[#This Row],[INVESTOR CODE]],LS[Date Value],"&gt;="&amp;$Z$2,LS[Date Value],"&lt;="&amp;$Z$3))+(SUMIFS(SIP[Realized Gain],SIP[Investor ID],TAX_CERTIFICATE[[#This Row],[INVESTOR CODE]],SIP[Date Value],"&gt;="&amp;$Z$2,SIP[Date Value],"&lt;="&amp;$Z$3))</f>
        <v>0</v>
      </c>
      <c r="P582" s="6"/>
      <c r="Q582" s="6"/>
      <c r="R582" s="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7250-27DD-4833-86FE-7D38D2CE677C}">
  <sheetPr codeName="Sheet2">
    <pageSetUpPr fitToPage="1"/>
  </sheetPr>
  <dimension ref="A1:Z162"/>
  <sheetViews>
    <sheetView tabSelected="1" zoomScale="115" zoomScaleNormal="115" workbookViewId="0">
      <selection activeCell="E2" sqref="B2:V141"/>
    </sheetView>
  </sheetViews>
  <sheetFormatPr defaultColWidth="8.85546875" defaultRowHeight="12.75"/>
  <cols>
    <col min="1" max="1" width="8.85546875" style="126" customWidth="1"/>
    <col min="2" max="2" width="19.28515625" style="130" hidden="1" customWidth="1"/>
    <col min="3" max="3" width="25.85546875" style="126" hidden="1" customWidth="1"/>
    <col min="4" max="4" width="9.28515625" style="126" hidden="1" customWidth="1"/>
    <col min="5" max="5" width="20.140625" style="130" customWidth="1"/>
    <col min="6" max="6" width="12" style="123" hidden="1" customWidth="1"/>
    <col min="7" max="7" width="16" style="131" hidden="1" customWidth="1"/>
    <col min="8" max="8" width="11.42578125" style="132" hidden="1" customWidth="1"/>
    <col min="9" max="9" width="11.28515625" style="133" hidden="1" customWidth="1"/>
    <col min="10" max="10" width="12.28515625" style="133" customWidth="1"/>
    <col min="11" max="11" width="16.85546875" style="132" hidden="1" customWidth="1"/>
    <col min="12" max="12" width="14.85546875" style="131" customWidth="1"/>
    <col min="13" max="13" width="13.7109375" style="131" hidden="1" customWidth="1"/>
    <col min="14" max="14" width="11.42578125" style="134" customWidth="1"/>
    <col min="15" max="15" width="16.28515625" style="134" customWidth="1"/>
    <col min="16" max="16" width="16.28515625" style="126" customWidth="1"/>
    <col min="17" max="17" width="10.28515625" style="126" hidden="1" customWidth="1"/>
    <col min="18" max="18" width="14.7109375" style="135" hidden="1" customWidth="1"/>
    <col min="19" max="19" width="11.7109375" style="135" customWidth="1"/>
    <col min="20" max="20" width="13" style="126" hidden="1" customWidth="1"/>
    <col min="21" max="21" width="10" style="126" customWidth="1"/>
    <col min="22" max="22" width="12.7109375" style="126" customWidth="1"/>
    <col min="23" max="23" width="8.85546875" style="126" hidden="1" customWidth="1"/>
    <col min="24" max="24" width="19.42578125" style="126" hidden="1" customWidth="1"/>
    <col min="25" max="25" width="8.85546875" style="126"/>
    <col min="26" max="26" width="12.7109375" style="126" customWidth="1"/>
    <col min="27" max="16384" width="8.85546875" style="126"/>
  </cols>
  <sheetData>
    <row r="1" spans="1:26" ht="28.5" customHeight="1" thickBot="1">
      <c r="A1" s="316"/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124"/>
      <c r="P1" s="123"/>
      <c r="Q1" s="123"/>
      <c r="R1" s="125"/>
      <c r="S1" s="125"/>
      <c r="T1" s="123"/>
      <c r="U1" s="123"/>
      <c r="V1" s="123"/>
      <c r="Z1" s="280" t="s">
        <v>1004</v>
      </c>
    </row>
    <row r="2" spans="1:26" ht="12" customHeight="1">
      <c r="B2" s="128"/>
      <c r="C2" s="128"/>
      <c r="D2" s="128"/>
      <c r="E2" s="317" t="s">
        <v>992</v>
      </c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128"/>
      <c r="X2" s="128"/>
      <c r="Y2" s="128"/>
    </row>
    <row r="3" spans="1:26" ht="13.5" customHeight="1">
      <c r="B3" s="128"/>
      <c r="C3" s="128"/>
      <c r="D3" s="128"/>
      <c r="E3" s="317" t="s">
        <v>1585</v>
      </c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128"/>
      <c r="X3" s="128"/>
      <c r="Y3" s="128"/>
    </row>
    <row r="6" spans="1:26" ht="16.149999999999999" customHeight="1">
      <c r="E6" s="210" t="s">
        <v>972</v>
      </c>
      <c r="J6" s="313" t="str" cm="1">
        <f t="array" ref="J6">_xlfn.IFNA(_xlfn.XLOOKUP($Z$1,INVESTORS_LIST[[#All],[INVESTOR CODE]],INVESTORS_LIST[[#All],[INVESTOR NAME]]),"")</f>
        <v>KHAN MUHAMMAD KAWSER AHMED</v>
      </c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</row>
    <row r="7" spans="1:26" ht="14.45" customHeight="1">
      <c r="E7" s="210" t="s">
        <v>973</v>
      </c>
      <c r="J7" s="313" t="str">
        <f>$Z$1</f>
        <v>A00449</v>
      </c>
      <c r="K7" s="313"/>
      <c r="L7" s="313"/>
      <c r="M7" s="313"/>
      <c r="N7" s="313"/>
      <c r="O7" s="313"/>
      <c r="P7" s="313"/>
    </row>
    <row r="8" spans="1:26" ht="14.45" customHeight="1">
      <c r="J8" s="136"/>
      <c r="K8" s="136"/>
      <c r="L8" s="136"/>
    </row>
    <row r="9" spans="1:26">
      <c r="E9" s="233" t="s">
        <v>1655</v>
      </c>
      <c r="F9" s="234"/>
      <c r="G9" s="235"/>
      <c r="H9" s="236"/>
      <c r="I9" s="237"/>
      <c r="J9" s="238">
        <f ca="1">XIRR(L13:L132,E13:E132)</f>
        <v>8.9068087935447696E-2</v>
      </c>
    </row>
    <row r="11" spans="1:26" s="137" customFormat="1" ht="28.9" customHeight="1">
      <c r="B11" s="138" t="s">
        <v>285</v>
      </c>
      <c r="C11" s="139" t="s">
        <v>286</v>
      </c>
      <c r="D11" s="139" t="s">
        <v>287</v>
      </c>
      <c r="E11" s="138" t="s">
        <v>974</v>
      </c>
      <c r="F11" s="139" t="s">
        <v>0</v>
      </c>
      <c r="G11" s="140" t="s">
        <v>289</v>
      </c>
      <c r="H11" s="141" t="s">
        <v>290</v>
      </c>
      <c r="I11" s="142" t="s">
        <v>291</v>
      </c>
      <c r="J11" s="142" t="s">
        <v>975</v>
      </c>
      <c r="K11" s="141" t="s">
        <v>292</v>
      </c>
      <c r="L11" s="140" t="s">
        <v>293</v>
      </c>
      <c r="M11" s="141" t="s">
        <v>958</v>
      </c>
      <c r="N11" s="142" t="s">
        <v>294</v>
      </c>
      <c r="O11" s="142" t="s">
        <v>295</v>
      </c>
      <c r="P11" s="141" t="s">
        <v>296</v>
      </c>
      <c r="Q11" s="141" t="s">
        <v>297</v>
      </c>
      <c r="R11" s="140" t="s">
        <v>298</v>
      </c>
      <c r="S11" s="140" t="s">
        <v>299</v>
      </c>
      <c r="T11" s="141" t="s">
        <v>303</v>
      </c>
      <c r="U11" s="141" t="s">
        <v>300</v>
      </c>
      <c r="V11" s="141" t="s">
        <v>460</v>
      </c>
      <c r="W11" s="137" t="s">
        <v>976</v>
      </c>
      <c r="X11" s="137" t="s">
        <v>959</v>
      </c>
    </row>
    <row r="12" spans="1:26" ht="13.5" customHeight="1">
      <c r="A12" s="143"/>
      <c r="B12" s="318" t="s">
        <v>977</v>
      </c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</row>
    <row r="13" spans="1:26">
      <c r="B13" s="144" cm="1">
        <f t="array" ref="B13:X18">_xlfn._xlws.FILTER(LS[#All],LS[[#All],[Investor ID]]=Z1,"No Data Found")</f>
        <v>2025</v>
      </c>
      <c r="C13" s="127">
        <v>9</v>
      </c>
      <c r="D13" s="127">
        <v>1</v>
      </c>
      <c r="E13" s="145">
        <v>45901</v>
      </c>
      <c r="F13" s="129" t="str">
        <v>KHAN MUHAMMAD KAWSER AHMED</v>
      </c>
      <c r="G13" s="146" t="str">
        <v>A00449</v>
      </c>
      <c r="H13" s="147">
        <v>1</v>
      </c>
      <c r="I13" s="148" t="str">
        <v>1A00449</v>
      </c>
      <c r="J13" s="149" t="str">
        <v>BUY</v>
      </c>
      <c r="K13" s="147" t="str">
        <v>B</v>
      </c>
      <c r="L13" s="148">
        <v>10000000</v>
      </c>
      <c r="M13" s="148" t="str">
        <v>YES</v>
      </c>
      <c r="N13" s="231">
        <v>12.339996520120982</v>
      </c>
      <c r="O13" s="148">
        <v>810373</v>
      </c>
      <c r="P13" s="148">
        <v>810373</v>
      </c>
      <c r="Q13" s="209">
        <v>8103730</v>
      </c>
      <c r="R13" s="148">
        <v>1896270</v>
      </c>
      <c r="S13" s="231">
        <v>12.339996520120982</v>
      </c>
      <c r="T13" s="148">
        <v>12.552</v>
      </c>
      <c r="U13" s="148">
        <v>0</v>
      </c>
      <c r="V13" s="148">
        <v>0</v>
      </c>
      <c r="W13" s="126">
        <v>810373</v>
      </c>
      <c r="X13" s="150">
        <v>810373</v>
      </c>
    </row>
    <row r="14" spans="1:26">
      <c r="B14" s="144">
        <v>2025</v>
      </c>
      <c r="C14" s="127">
        <v>11</v>
      </c>
      <c r="D14" s="127">
        <v>19</v>
      </c>
      <c r="E14" s="145">
        <v>45980</v>
      </c>
      <c r="F14" s="129" t="str">
        <v>KHAN MUHAMMAD KAWSER AHMED</v>
      </c>
      <c r="G14" s="146" t="str">
        <v>A00449</v>
      </c>
      <c r="H14" s="147">
        <v>2</v>
      </c>
      <c r="I14" s="148" t="str">
        <v>2A00449</v>
      </c>
      <c r="J14" s="149" t="str">
        <v>BUY</v>
      </c>
      <c r="K14" s="147" t="str">
        <v>B</v>
      </c>
      <c r="L14" s="148">
        <v>5000000</v>
      </c>
      <c r="M14" s="148" t="str">
        <v>YES</v>
      </c>
      <c r="N14" s="231">
        <v>11.661997980141949</v>
      </c>
      <c r="O14" s="148">
        <v>428743</v>
      </c>
      <c r="P14" s="148">
        <v>1239116</v>
      </c>
      <c r="Q14" s="209">
        <v>4287430</v>
      </c>
      <c r="R14" s="148">
        <v>712570</v>
      </c>
      <c r="S14" s="231">
        <v>12.105404175234604</v>
      </c>
      <c r="T14" s="148">
        <v>12.552</v>
      </c>
      <c r="U14" s="148">
        <v>0</v>
      </c>
      <c r="V14" s="148">
        <v>0</v>
      </c>
      <c r="W14" s="126">
        <v>428743</v>
      </c>
      <c r="X14" s="150">
        <v>1239116</v>
      </c>
    </row>
    <row r="15" spans="1:26">
      <c r="B15" s="144">
        <v>2026</v>
      </c>
      <c r="C15" s="127">
        <v>2</v>
      </c>
      <c r="D15" s="127">
        <v>15</v>
      </c>
      <c r="E15" s="145">
        <v>46068</v>
      </c>
      <c r="F15" s="129" t="str">
        <v>KHAN MUHAMMAD KAWSER AHMED</v>
      </c>
      <c r="G15" s="146" t="str">
        <v>A00449</v>
      </c>
      <c r="H15" s="147">
        <v>3</v>
      </c>
      <c r="I15" s="148" t="str">
        <v>3A00449</v>
      </c>
      <c r="J15" s="149" t="str">
        <v>BUY</v>
      </c>
      <c r="K15" s="147" t="str">
        <v>B</v>
      </c>
      <c r="L15" s="148">
        <v>7500000</v>
      </c>
      <c r="M15" s="148" t="str">
        <v>YES</v>
      </c>
      <c r="N15" s="231">
        <v>12.846997399767726</v>
      </c>
      <c r="O15" s="148">
        <v>583794</v>
      </c>
      <c r="P15" s="148">
        <v>1822910</v>
      </c>
      <c r="Q15" s="209">
        <v>5837940</v>
      </c>
      <c r="R15" s="148">
        <v>1662060</v>
      </c>
      <c r="S15" s="231">
        <v>12.342902282614062</v>
      </c>
      <c r="T15" s="148">
        <v>12.552</v>
      </c>
      <c r="U15" s="148">
        <v>0</v>
      </c>
      <c r="V15" s="148">
        <v>0</v>
      </c>
      <c r="W15" s="126">
        <v>583794</v>
      </c>
      <c r="X15" s="150">
        <v>1822910</v>
      </c>
      <c r="Y15" s="152"/>
    </row>
    <row r="16" spans="1:26">
      <c r="B16" s="144">
        <v>2026</v>
      </c>
      <c r="C16" s="127">
        <v>2</v>
      </c>
      <c r="D16" s="127">
        <v>16</v>
      </c>
      <c r="E16" s="145">
        <v>46069</v>
      </c>
      <c r="F16" s="129" t="str">
        <v>KHAN MUHAMMAD KAWSER AHMED</v>
      </c>
      <c r="G16" s="146" t="str">
        <v>A00449</v>
      </c>
      <c r="H16" s="147">
        <v>4</v>
      </c>
      <c r="I16" s="148" t="str">
        <v>4A00449</v>
      </c>
      <c r="J16" s="149" t="str">
        <v>BUY</v>
      </c>
      <c r="K16" s="147" t="str">
        <v>B</v>
      </c>
      <c r="L16" s="148">
        <v>433690.6</v>
      </c>
      <c r="M16" s="148" t="str">
        <v>YES</v>
      </c>
      <c r="N16" s="231">
        <v>13.19612353567625</v>
      </c>
      <c r="O16" s="148">
        <v>32865</v>
      </c>
      <c r="P16" s="148">
        <v>1855775</v>
      </c>
      <c r="Q16" s="209">
        <v>328650</v>
      </c>
      <c r="R16" s="148">
        <v>105040.59999999998</v>
      </c>
      <c r="S16" s="231">
        <v>12.358012474572618</v>
      </c>
      <c r="T16" s="148">
        <v>12.552</v>
      </c>
      <c r="U16" s="148">
        <v>0</v>
      </c>
      <c r="V16" s="148">
        <v>0</v>
      </c>
      <c r="W16" s="126">
        <v>32865</v>
      </c>
      <c r="X16" s="126">
        <v>1855775</v>
      </c>
    </row>
    <row r="17" spans="2:24">
      <c r="B17" s="144">
        <v>2026</v>
      </c>
      <c r="C17" s="127">
        <v>2</v>
      </c>
      <c r="D17" s="127">
        <v>24</v>
      </c>
      <c r="E17" s="145">
        <v>46077</v>
      </c>
      <c r="F17" s="129" t="str">
        <v>KHAN MUHAMMAD KAWSER AHMED</v>
      </c>
      <c r="G17" s="146" t="str">
        <v>A00449</v>
      </c>
      <c r="H17" s="147">
        <v>5</v>
      </c>
      <c r="I17" s="148" t="str">
        <v>5A00449</v>
      </c>
      <c r="J17" s="149" t="str">
        <v>BUY</v>
      </c>
      <c r="K17" s="147" t="str">
        <v>B</v>
      </c>
      <c r="L17" s="148">
        <v>2500000</v>
      </c>
      <c r="M17" s="148" t="str">
        <v>YES</v>
      </c>
      <c r="N17" s="231">
        <v>13.101008777675881</v>
      </c>
      <c r="O17" s="148">
        <v>190825</v>
      </c>
      <c r="P17" s="148">
        <v>2046600</v>
      </c>
      <c r="Q17" s="209">
        <v>1908250</v>
      </c>
      <c r="R17" s="148">
        <v>591750</v>
      </c>
      <c r="S17" s="231">
        <v>12.427289455682596</v>
      </c>
      <c r="T17" s="148">
        <v>12.552</v>
      </c>
      <c r="U17" s="148">
        <v>0</v>
      </c>
      <c r="V17" s="148">
        <v>0</v>
      </c>
      <c r="W17" s="126">
        <v>190825</v>
      </c>
      <c r="X17" s="126">
        <v>2046600</v>
      </c>
    </row>
    <row r="18" spans="2:24">
      <c r="B18" s="144">
        <v>2026</v>
      </c>
      <c r="C18" s="127">
        <v>3</v>
      </c>
      <c r="D18" s="127">
        <v>9</v>
      </c>
      <c r="E18" s="145">
        <v>46090</v>
      </c>
      <c r="F18" s="129" t="str">
        <v>KHAN MUHAMMAD KAWSER AHMED</v>
      </c>
      <c r="G18" s="146" t="str">
        <v>A00449</v>
      </c>
      <c r="H18" s="147">
        <v>6</v>
      </c>
      <c r="I18" s="148" t="str">
        <v>6A00449</v>
      </c>
      <c r="J18" s="149" t="str">
        <v>BUY</v>
      </c>
      <c r="K18" s="147" t="str">
        <v>B</v>
      </c>
      <c r="L18" s="148">
        <v>3000000</v>
      </c>
      <c r="M18" s="148">
        <v>0</v>
      </c>
      <c r="N18" s="231">
        <v>12.251999117856064</v>
      </c>
      <c r="O18" s="148">
        <v>244858</v>
      </c>
      <c r="P18" s="148">
        <v>2291458</v>
      </c>
      <c r="Q18" s="209">
        <v>2448580</v>
      </c>
      <c r="R18" s="148">
        <v>551420</v>
      </c>
      <c r="S18" s="231">
        <v>12.408558481106789</v>
      </c>
      <c r="T18" s="148">
        <v>12.552</v>
      </c>
      <c r="U18" s="148">
        <v>0</v>
      </c>
      <c r="V18" s="148">
        <v>0</v>
      </c>
      <c r="W18" s="126">
        <v>0</v>
      </c>
      <c r="X18" s="151">
        <v>2046600</v>
      </c>
    </row>
    <row r="19" spans="2:24" hidden="1">
      <c r="B19" s="144"/>
      <c r="C19" s="127"/>
      <c r="D19" s="127"/>
      <c r="E19" s="145"/>
      <c r="F19" s="129"/>
      <c r="G19" s="146"/>
      <c r="H19" s="147"/>
      <c r="I19" s="148"/>
      <c r="J19" s="149"/>
      <c r="K19" s="147"/>
      <c r="L19" s="148"/>
      <c r="M19" s="148"/>
      <c r="N19" s="231"/>
      <c r="O19" s="148"/>
      <c r="P19" s="148"/>
      <c r="Q19" s="209"/>
      <c r="R19" s="148"/>
      <c r="S19" s="231"/>
      <c r="T19" s="148"/>
      <c r="U19" s="148"/>
      <c r="V19" s="148"/>
    </row>
    <row r="20" spans="2:24" hidden="1">
      <c r="B20" s="144"/>
      <c r="C20" s="127"/>
      <c r="D20" s="127"/>
      <c r="E20" s="145"/>
      <c r="F20" s="129"/>
      <c r="G20" s="146"/>
      <c r="H20" s="147"/>
      <c r="I20" s="148"/>
      <c r="J20" s="149"/>
      <c r="K20" s="147"/>
      <c r="L20" s="148"/>
      <c r="M20" s="148"/>
      <c r="N20" s="231"/>
      <c r="O20" s="148"/>
      <c r="P20" s="148"/>
      <c r="Q20" s="209"/>
      <c r="R20" s="148"/>
      <c r="S20" s="231"/>
      <c r="T20" s="148"/>
      <c r="U20" s="148"/>
      <c r="V20" s="148"/>
    </row>
    <row r="21" spans="2:24" hidden="1">
      <c r="B21" s="144"/>
      <c r="C21" s="127"/>
      <c r="D21" s="127"/>
      <c r="E21" s="145"/>
      <c r="F21" s="129"/>
      <c r="G21" s="146"/>
      <c r="H21" s="147"/>
      <c r="I21" s="148"/>
      <c r="J21" s="149"/>
      <c r="K21" s="147"/>
      <c r="L21" s="148"/>
      <c r="M21" s="148"/>
      <c r="N21" s="231"/>
      <c r="O21" s="148"/>
      <c r="P21" s="148"/>
      <c r="Q21" s="209"/>
      <c r="R21" s="148"/>
      <c r="S21" s="231"/>
      <c r="T21" s="148"/>
      <c r="U21" s="148"/>
      <c r="V21" s="148"/>
    </row>
    <row r="22" spans="2:24" hidden="1">
      <c r="B22" s="144"/>
      <c r="C22" s="127"/>
      <c r="D22" s="127"/>
      <c r="E22" s="145"/>
      <c r="F22" s="129"/>
      <c r="G22" s="146"/>
      <c r="H22" s="147"/>
      <c r="I22" s="148"/>
      <c r="J22" s="149"/>
      <c r="K22" s="147"/>
      <c r="L22" s="148"/>
      <c r="M22" s="148"/>
      <c r="N22" s="231"/>
      <c r="O22" s="148"/>
      <c r="P22" s="148"/>
      <c r="Q22" s="209"/>
      <c r="R22" s="148"/>
      <c r="S22" s="231"/>
      <c r="T22" s="148"/>
      <c r="U22" s="148"/>
      <c r="V22" s="148"/>
    </row>
    <row r="23" spans="2:24" hidden="1">
      <c r="B23" s="144"/>
      <c r="C23" s="127"/>
      <c r="D23" s="127"/>
      <c r="E23" s="145"/>
      <c r="F23" s="129"/>
      <c r="G23" s="146"/>
      <c r="H23" s="147"/>
      <c r="I23" s="148"/>
      <c r="J23" s="149"/>
      <c r="K23" s="147"/>
      <c r="L23" s="148"/>
      <c r="M23" s="148"/>
      <c r="N23" s="231"/>
      <c r="O23" s="148"/>
      <c r="P23" s="148"/>
      <c r="Q23" s="209"/>
      <c r="R23" s="148"/>
      <c r="S23" s="231"/>
      <c r="T23" s="148"/>
      <c r="U23" s="148"/>
      <c r="V23" s="148"/>
    </row>
    <row r="24" spans="2:24" hidden="1">
      <c r="B24" s="144"/>
      <c r="C24" s="127"/>
      <c r="D24" s="127"/>
      <c r="E24" s="145"/>
      <c r="F24" s="129"/>
      <c r="G24" s="146"/>
      <c r="H24" s="147"/>
      <c r="I24" s="148"/>
      <c r="J24" s="149"/>
      <c r="K24" s="147"/>
      <c r="L24" s="148"/>
      <c r="M24" s="148"/>
      <c r="N24" s="231"/>
      <c r="O24" s="148"/>
      <c r="P24" s="148"/>
      <c r="Q24" s="209"/>
      <c r="R24" s="148"/>
      <c r="S24" s="231"/>
      <c r="T24" s="148"/>
      <c r="U24" s="148"/>
      <c r="V24" s="148"/>
    </row>
    <row r="25" spans="2:24" hidden="1">
      <c r="B25" s="144"/>
      <c r="C25" s="127"/>
      <c r="D25" s="127"/>
      <c r="E25" s="145"/>
      <c r="F25" s="129"/>
      <c r="G25" s="146"/>
      <c r="H25" s="147"/>
      <c r="I25" s="148"/>
      <c r="J25" s="149"/>
      <c r="K25" s="147"/>
      <c r="L25" s="148"/>
      <c r="M25" s="148"/>
      <c r="N25" s="231"/>
      <c r="O25" s="148"/>
      <c r="P25" s="148"/>
      <c r="Q25" s="209"/>
      <c r="R25" s="148"/>
      <c r="S25" s="231"/>
      <c r="T25" s="148"/>
      <c r="U25" s="148"/>
      <c r="V25" s="148"/>
    </row>
    <row r="26" spans="2:24" hidden="1">
      <c r="B26" s="144"/>
      <c r="C26" s="127"/>
      <c r="D26" s="127"/>
      <c r="E26" s="145"/>
      <c r="F26" s="129"/>
      <c r="G26" s="146"/>
      <c r="H26" s="147"/>
      <c r="I26" s="148"/>
      <c r="J26" s="149"/>
      <c r="K26" s="147"/>
      <c r="L26" s="148"/>
      <c r="M26" s="148"/>
      <c r="N26" s="231"/>
      <c r="O26" s="148"/>
      <c r="P26" s="148"/>
      <c r="Q26" s="209"/>
      <c r="R26" s="148"/>
      <c r="S26" s="231"/>
      <c r="T26" s="148"/>
      <c r="U26" s="148"/>
      <c r="V26" s="148"/>
    </row>
    <row r="27" spans="2:24" hidden="1">
      <c r="B27" s="144"/>
      <c r="C27" s="127"/>
      <c r="D27" s="127"/>
      <c r="E27" s="145"/>
      <c r="F27" s="129"/>
      <c r="G27" s="146"/>
      <c r="H27" s="147"/>
      <c r="I27" s="148"/>
      <c r="J27" s="149"/>
      <c r="K27" s="147"/>
      <c r="L27" s="148"/>
      <c r="M27" s="148"/>
      <c r="N27" s="231"/>
      <c r="O27" s="148"/>
      <c r="P27" s="148"/>
      <c r="Q27" s="209"/>
      <c r="R27" s="148"/>
      <c r="S27" s="231"/>
      <c r="T27" s="148"/>
      <c r="U27" s="148"/>
      <c r="V27" s="148"/>
    </row>
    <row r="28" spans="2:24" hidden="1">
      <c r="B28" s="144"/>
      <c r="C28" s="127"/>
      <c r="D28" s="127"/>
      <c r="E28" s="145"/>
      <c r="F28" s="129"/>
      <c r="G28" s="146"/>
      <c r="H28" s="147"/>
      <c r="I28" s="148"/>
      <c r="J28" s="149"/>
      <c r="K28" s="147"/>
      <c r="L28" s="148"/>
      <c r="M28" s="148"/>
      <c r="N28" s="231"/>
      <c r="O28" s="148"/>
      <c r="P28" s="148"/>
      <c r="Q28" s="209"/>
      <c r="R28" s="148"/>
      <c r="S28" s="231"/>
      <c r="T28" s="148"/>
      <c r="U28" s="148"/>
      <c r="V28" s="148"/>
    </row>
    <row r="29" spans="2:24" hidden="1">
      <c r="B29" s="144"/>
      <c r="C29" s="127"/>
      <c r="D29" s="127"/>
      <c r="E29" s="145"/>
      <c r="F29" s="129"/>
      <c r="G29" s="146"/>
      <c r="H29" s="147"/>
      <c r="I29" s="148"/>
      <c r="J29" s="149"/>
      <c r="K29" s="147"/>
      <c r="L29" s="148"/>
      <c r="M29" s="148"/>
      <c r="N29" s="231"/>
      <c r="O29" s="148"/>
      <c r="P29" s="148"/>
      <c r="Q29" s="209"/>
      <c r="R29" s="148"/>
      <c r="S29" s="231"/>
      <c r="T29" s="148"/>
      <c r="U29" s="148"/>
      <c r="V29" s="148"/>
    </row>
    <row r="30" spans="2:24" hidden="1">
      <c r="B30" s="144"/>
      <c r="C30" s="127"/>
      <c r="D30" s="127"/>
      <c r="E30" s="145"/>
      <c r="F30" s="129"/>
      <c r="G30" s="146"/>
      <c r="H30" s="147"/>
      <c r="I30" s="148"/>
      <c r="J30" s="149"/>
      <c r="K30" s="147"/>
      <c r="L30" s="148"/>
      <c r="M30" s="148"/>
      <c r="N30" s="231"/>
      <c r="O30" s="148"/>
      <c r="P30" s="148"/>
      <c r="Q30" s="209"/>
      <c r="R30" s="148"/>
      <c r="S30" s="231"/>
      <c r="T30" s="148"/>
      <c r="U30" s="148"/>
      <c r="V30" s="148"/>
    </row>
    <row r="31" spans="2:24" hidden="1">
      <c r="B31" s="144"/>
      <c r="C31" s="127"/>
      <c r="D31" s="127"/>
      <c r="E31" s="145"/>
      <c r="F31" s="129"/>
      <c r="G31" s="146"/>
      <c r="H31" s="147"/>
      <c r="I31" s="148"/>
      <c r="J31" s="149"/>
      <c r="K31" s="147"/>
      <c r="L31" s="148"/>
      <c r="M31" s="148"/>
      <c r="N31" s="231"/>
      <c r="O31" s="148"/>
      <c r="P31" s="148"/>
      <c r="Q31" s="209"/>
      <c r="R31" s="148"/>
      <c r="S31" s="231"/>
      <c r="T31" s="148"/>
      <c r="U31" s="148"/>
      <c r="V31" s="148"/>
    </row>
    <row r="32" spans="2:24" hidden="1">
      <c r="B32" s="144"/>
      <c r="C32" s="127"/>
      <c r="D32" s="127"/>
      <c r="E32" s="145"/>
      <c r="F32" s="129"/>
      <c r="G32" s="146"/>
      <c r="H32" s="147"/>
      <c r="I32" s="148"/>
      <c r="J32" s="149"/>
      <c r="K32" s="147"/>
      <c r="L32" s="148"/>
      <c r="M32" s="148"/>
      <c r="N32" s="231"/>
      <c r="O32" s="148"/>
      <c r="P32" s="148"/>
      <c r="Q32" s="209"/>
      <c r="R32" s="148"/>
      <c r="S32" s="231"/>
      <c r="T32" s="148"/>
      <c r="U32" s="148"/>
      <c r="V32" s="148"/>
    </row>
    <row r="33" spans="2:22" hidden="1">
      <c r="B33" s="144"/>
      <c r="C33" s="127"/>
      <c r="D33" s="127"/>
      <c r="E33" s="145"/>
      <c r="F33" s="129"/>
      <c r="G33" s="146"/>
      <c r="H33" s="147"/>
      <c r="I33" s="148"/>
      <c r="J33" s="149"/>
      <c r="K33" s="147"/>
      <c r="L33" s="148"/>
      <c r="M33" s="148"/>
      <c r="N33" s="231"/>
      <c r="O33" s="148"/>
      <c r="P33" s="148"/>
      <c r="Q33" s="209"/>
      <c r="R33" s="148"/>
      <c r="S33" s="231"/>
      <c r="T33" s="148"/>
      <c r="U33" s="148"/>
      <c r="V33" s="148"/>
    </row>
    <row r="34" spans="2:22" hidden="1">
      <c r="B34" s="144"/>
      <c r="C34" s="127"/>
      <c r="D34" s="127"/>
      <c r="E34" s="145"/>
      <c r="F34" s="129"/>
      <c r="G34" s="146"/>
      <c r="H34" s="147"/>
      <c r="I34" s="148"/>
      <c r="J34" s="149"/>
      <c r="K34" s="147"/>
      <c r="L34" s="148"/>
      <c r="M34" s="148"/>
      <c r="N34" s="231"/>
      <c r="O34" s="148"/>
      <c r="P34" s="148"/>
      <c r="Q34" s="209"/>
      <c r="R34" s="148"/>
      <c r="S34" s="231"/>
      <c r="T34" s="148"/>
      <c r="U34" s="148"/>
      <c r="V34" s="148"/>
    </row>
    <row r="35" spans="2:22" hidden="1">
      <c r="B35" s="144"/>
      <c r="C35" s="127"/>
      <c r="D35" s="127"/>
      <c r="E35" s="145"/>
      <c r="F35" s="129"/>
      <c r="G35" s="146"/>
      <c r="H35" s="147"/>
      <c r="I35" s="148"/>
      <c r="J35" s="149"/>
      <c r="K35" s="147"/>
      <c r="L35" s="148"/>
      <c r="M35" s="148"/>
      <c r="N35" s="231"/>
      <c r="O35" s="148"/>
      <c r="P35" s="148"/>
      <c r="Q35" s="209"/>
      <c r="R35" s="148"/>
      <c r="S35" s="231"/>
      <c r="T35" s="148"/>
      <c r="U35" s="148"/>
      <c r="V35" s="148"/>
    </row>
    <row r="36" spans="2:22" hidden="1">
      <c r="B36" s="144"/>
      <c r="C36" s="127"/>
      <c r="D36" s="127"/>
      <c r="E36" s="145"/>
      <c r="F36" s="129"/>
      <c r="G36" s="146"/>
      <c r="H36" s="147"/>
      <c r="I36" s="148"/>
      <c r="J36" s="149"/>
      <c r="K36" s="147"/>
      <c r="L36" s="148"/>
      <c r="M36" s="148"/>
      <c r="N36" s="231"/>
      <c r="O36" s="148"/>
      <c r="P36" s="148"/>
      <c r="Q36" s="209"/>
      <c r="R36" s="148"/>
      <c r="S36" s="231"/>
      <c r="T36" s="148"/>
      <c r="U36" s="148"/>
      <c r="V36" s="148"/>
    </row>
    <row r="37" spans="2:22" hidden="1">
      <c r="B37" s="144"/>
      <c r="C37" s="127"/>
      <c r="D37" s="127"/>
      <c r="E37" s="145"/>
      <c r="F37" s="129"/>
      <c r="G37" s="146"/>
      <c r="H37" s="147"/>
      <c r="I37" s="148"/>
      <c r="J37" s="149"/>
      <c r="K37" s="147"/>
      <c r="L37" s="148"/>
      <c r="M37" s="148"/>
      <c r="N37" s="231"/>
      <c r="O37" s="148"/>
      <c r="P37" s="148"/>
      <c r="Q37" s="209"/>
      <c r="R37" s="148"/>
      <c r="S37" s="231"/>
      <c r="T37" s="148"/>
      <c r="U37" s="148"/>
      <c r="V37" s="148"/>
    </row>
    <row r="38" spans="2:22" hidden="1">
      <c r="B38" s="144"/>
      <c r="C38" s="127"/>
      <c r="D38" s="127"/>
      <c r="E38" s="145"/>
      <c r="F38" s="129"/>
      <c r="G38" s="146"/>
      <c r="H38" s="147"/>
      <c r="I38" s="148"/>
      <c r="J38" s="149"/>
      <c r="K38" s="147"/>
      <c r="L38" s="148"/>
      <c r="M38" s="148"/>
      <c r="N38" s="231"/>
      <c r="O38" s="148"/>
      <c r="P38" s="148"/>
      <c r="Q38" s="209"/>
      <c r="R38" s="148"/>
      <c r="S38" s="231"/>
      <c r="T38" s="148"/>
      <c r="U38" s="148"/>
      <c r="V38" s="148"/>
    </row>
    <row r="39" spans="2:22" hidden="1">
      <c r="B39" s="144"/>
      <c r="C39" s="127"/>
      <c r="D39" s="127"/>
      <c r="E39" s="145"/>
      <c r="F39" s="129"/>
      <c r="G39" s="146"/>
      <c r="H39" s="147"/>
      <c r="I39" s="148"/>
      <c r="J39" s="149"/>
      <c r="K39" s="147"/>
      <c r="L39" s="148"/>
      <c r="M39" s="148"/>
      <c r="N39" s="231"/>
      <c r="O39" s="148"/>
      <c r="P39" s="148"/>
      <c r="Q39" s="209"/>
      <c r="R39" s="148"/>
      <c r="S39" s="231"/>
      <c r="T39" s="148"/>
      <c r="U39" s="148"/>
      <c r="V39" s="148"/>
    </row>
    <row r="40" spans="2:22" hidden="1">
      <c r="B40" s="144"/>
      <c r="C40" s="127"/>
      <c r="D40" s="127"/>
      <c r="E40" s="145"/>
      <c r="F40" s="129"/>
      <c r="G40" s="146"/>
      <c r="H40" s="147"/>
      <c r="I40" s="148"/>
      <c r="J40" s="149"/>
      <c r="K40" s="147"/>
      <c r="L40" s="148"/>
      <c r="M40" s="148"/>
      <c r="N40" s="231"/>
      <c r="O40" s="148"/>
      <c r="P40" s="148"/>
      <c r="Q40" s="209"/>
      <c r="R40" s="148"/>
      <c r="S40" s="231"/>
      <c r="T40" s="148"/>
      <c r="U40" s="148"/>
      <c r="V40" s="148"/>
    </row>
    <row r="41" spans="2:22" hidden="1">
      <c r="B41" s="144"/>
      <c r="C41" s="127"/>
      <c r="D41" s="127"/>
      <c r="E41" s="145"/>
      <c r="F41" s="129"/>
      <c r="G41" s="146"/>
      <c r="H41" s="147"/>
      <c r="I41" s="148"/>
      <c r="J41" s="149"/>
      <c r="K41" s="147"/>
      <c r="L41" s="148"/>
      <c r="M41" s="148"/>
      <c r="N41" s="231"/>
      <c r="O41" s="148"/>
      <c r="P41" s="148"/>
      <c r="Q41" s="209"/>
      <c r="R41" s="148"/>
      <c r="S41" s="231"/>
      <c r="T41" s="148"/>
      <c r="U41" s="148"/>
      <c r="V41" s="148"/>
    </row>
    <row r="42" spans="2:22" hidden="1">
      <c r="B42" s="144"/>
      <c r="C42" s="127"/>
      <c r="D42" s="127"/>
      <c r="E42" s="145"/>
      <c r="F42" s="129"/>
      <c r="G42" s="146"/>
      <c r="H42" s="147"/>
      <c r="I42" s="148"/>
      <c r="J42" s="149"/>
      <c r="K42" s="147"/>
      <c r="L42" s="148"/>
      <c r="M42" s="148"/>
      <c r="N42" s="231"/>
      <c r="O42" s="148"/>
      <c r="P42" s="148"/>
      <c r="Q42" s="209"/>
      <c r="R42" s="148"/>
      <c r="S42" s="231"/>
      <c r="T42" s="148"/>
      <c r="U42" s="148"/>
      <c r="V42" s="148"/>
    </row>
    <row r="43" spans="2:22" hidden="1">
      <c r="B43" s="144"/>
      <c r="C43" s="127"/>
      <c r="D43" s="127"/>
      <c r="E43" s="145"/>
      <c r="F43" s="129"/>
      <c r="G43" s="146"/>
      <c r="H43" s="147"/>
      <c r="I43" s="148"/>
      <c r="J43" s="149"/>
      <c r="K43" s="147"/>
      <c r="L43" s="148"/>
      <c r="M43" s="148"/>
      <c r="N43" s="231"/>
      <c r="O43" s="148"/>
      <c r="P43" s="148"/>
      <c r="Q43" s="209"/>
      <c r="R43" s="148"/>
      <c r="S43" s="231"/>
      <c r="T43" s="148"/>
      <c r="U43" s="148"/>
      <c r="V43" s="148"/>
    </row>
    <row r="44" spans="2:22" hidden="1">
      <c r="B44" s="144"/>
      <c r="C44" s="127"/>
      <c r="D44" s="127"/>
      <c r="E44" s="145"/>
      <c r="F44" s="129"/>
      <c r="G44" s="146"/>
      <c r="H44" s="147"/>
      <c r="I44" s="148"/>
      <c r="J44" s="149"/>
      <c r="K44" s="147"/>
      <c r="L44" s="148"/>
      <c r="M44" s="148"/>
      <c r="N44" s="231"/>
      <c r="O44" s="148"/>
      <c r="P44" s="148"/>
      <c r="Q44" s="209"/>
      <c r="R44" s="148"/>
      <c r="S44" s="231"/>
      <c r="T44" s="148"/>
      <c r="U44" s="148"/>
      <c r="V44" s="148"/>
    </row>
    <row r="45" spans="2:22" ht="15.6" hidden="1" customHeight="1">
      <c r="B45" s="153"/>
      <c r="C45" s="154"/>
      <c r="D45" s="154"/>
      <c r="E45" s="165"/>
      <c r="F45" s="166"/>
      <c r="G45" s="166"/>
      <c r="H45" s="166"/>
      <c r="I45" s="166"/>
      <c r="J45" s="166"/>
      <c r="K45" s="166"/>
      <c r="L45" s="166"/>
      <c r="M45" s="166"/>
      <c r="N45" s="320" t="s">
        <v>978</v>
      </c>
      <c r="O45" s="320"/>
      <c r="P45" s="320"/>
      <c r="Q45" s="166"/>
      <c r="R45" s="166"/>
      <c r="S45" s="166"/>
      <c r="T45" s="166"/>
      <c r="U45" s="166"/>
      <c r="V45" s="167"/>
    </row>
    <row r="46" spans="2:22" hidden="1">
      <c r="B46" s="144" t="str" cm="1">
        <f t="array" ref="B46">_xlfn._xlws.FILTER(SIP[#All],SIP[[#All],[Investor ID]]=Z1,"No Data Found")</f>
        <v>No Data Found</v>
      </c>
      <c r="C46" s="127"/>
      <c r="D46" s="127"/>
      <c r="E46" s="155"/>
      <c r="F46" s="156"/>
      <c r="G46" s="157"/>
      <c r="H46" s="158"/>
      <c r="I46" s="159"/>
      <c r="J46" s="160"/>
      <c r="K46" s="158"/>
      <c r="L46" s="148"/>
      <c r="M46" s="148"/>
      <c r="N46" s="231"/>
      <c r="O46" s="148"/>
      <c r="P46" s="148"/>
      <c r="Q46" s="209"/>
      <c r="R46" s="148"/>
      <c r="S46" s="231"/>
      <c r="T46" s="148"/>
      <c r="U46" s="148"/>
      <c r="V46" s="148"/>
    </row>
    <row r="47" spans="2:22" hidden="1">
      <c r="B47" s="144"/>
      <c r="C47" s="127"/>
      <c r="D47" s="127"/>
      <c r="E47" s="145"/>
      <c r="F47" s="129"/>
      <c r="G47" s="146"/>
      <c r="H47" s="147"/>
      <c r="I47" s="148"/>
      <c r="J47" s="149"/>
      <c r="K47" s="147"/>
      <c r="L47" s="148"/>
      <c r="M47" s="148"/>
      <c r="N47" s="231"/>
      <c r="O47" s="148"/>
      <c r="P47" s="148"/>
      <c r="Q47" s="209"/>
      <c r="R47" s="148"/>
      <c r="S47" s="231"/>
      <c r="T47" s="148"/>
      <c r="U47" s="148"/>
      <c r="V47" s="148"/>
    </row>
    <row r="48" spans="2:22" hidden="1">
      <c r="B48" s="144"/>
      <c r="C48" s="127"/>
      <c r="D48" s="127"/>
      <c r="E48" s="145"/>
      <c r="F48" s="129"/>
      <c r="G48" s="146"/>
      <c r="H48" s="147"/>
      <c r="I48" s="148"/>
      <c r="J48" s="149"/>
      <c r="K48" s="147"/>
      <c r="L48" s="148"/>
      <c r="M48" s="148"/>
      <c r="N48" s="231"/>
      <c r="O48" s="148"/>
      <c r="P48" s="148"/>
      <c r="Q48" s="209"/>
      <c r="R48" s="148"/>
      <c r="S48" s="231"/>
      <c r="T48" s="148"/>
      <c r="U48" s="148"/>
      <c r="V48" s="148"/>
    </row>
    <row r="49" spans="2:22" hidden="1">
      <c r="B49" s="144"/>
      <c r="C49" s="127"/>
      <c r="D49" s="127"/>
      <c r="E49" s="145"/>
      <c r="F49" s="129"/>
      <c r="G49" s="146"/>
      <c r="H49" s="147"/>
      <c r="I49" s="148"/>
      <c r="J49" s="149"/>
      <c r="K49" s="147"/>
      <c r="L49" s="148"/>
      <c r="M49" s="148"/>
      <c r="N49" s="231"/>
      <c r="O49" s="148"/>
      <c r="P49" s="148"/>
      <c r="Q49" s="209"/>
      <c r="R49" s="148"/>
      <c r="S49" s="231"/>
      <c r="T49" s="148"/>
      <c r="U49" s="148"/>
      <c r="V49" s="148"/>
    </row>
    <row r="50" spans="2:22" hidden="1">
      <c r="B50" s="144"/>
      <c r="C50" s="127"/>
      <c r="D50" s="127"/>
      <c r="E50" s="145"/>
      <c r="F50" s="129"/>
      <c r="G50" s="146"/>
      <c r="H50" s="147"/>
      <c r="I50" s="148"/>
      <c r="J50" s="149"/>
      <c r="K50" s="147"/>
      <c r="L50" s="148"/>
      <c r="M50" s="148"/>
      <c r="N50" s="231"/>
      <c r="O50" s="148"/>
      <c r="P50" s="148"/>
      <c r="Q50" s="209"/>
      <c r="R50" s="148"/>
      <c r="S50" s="231"/>
      <c r="T50" s="148"/>
      <c r="U50" s="148"/>
      <c r="V50" s="148"/>
    </row>
    <row r="51" spans="2:22" hidden="1">
      <c r="B51" s="144"/>
      <c r="C51" s="127"/>
      <c r="D51" s="127"/>
      <c r="E51" s="145"/>
      <c r="F51" s="129"/>
      <c r="G51" s="146"/>
      <c r="H51" s="147"/>
      <c r="I51" s="148"/>
      <c r="J51" s="149"/>
      <c r="K51" s="147"/>
      <c r="L51" s="148"/>
      <c r="M51" s="148"/>
      <c r="N51" s="231"/>
      <c r="O51" s="148"/>
      <c r="P51" s="148"/>
      <c r="Q51" s="209"/>
      <c r="R51" s="148"/>
      <c r="S51" s="231"/>
      <c r="T51" s="148"/>
      <c r="U51" s="148"/>
      <c r="V51" s="148"/>
    </row>
    <row r="52" spans="2:22" hidden="1">
      <c r="B52" s="144"/>
      <c r="C52" s="127"/>
      <c r="D52" s="127"/>
      <c r="E52" s="145"/>
      <c r="F52" s="129"/>
      <c r="G52" s="146"/>
      <c r="H52" s="147"/>
      <c r="I52" s="148"/>
      <c r="J52" s="149"/>
      <c r="K52" s="147"/>
      <c r="L52" s="148"/>
      <c r="M52" s="148"/>
      <c r="N52" s="231"/>
      <c r="O52" s="148"/>
      <c r="P52" s="148"/>
      <c r="Q52" s="209"/>
      <c r="R52" s="148"/>
      <c r="S52" s="231"/>
      <c r="T52" s="148"/>
      <c r="U52" s="148"/>
      <c r="V52" s="148"/>
    </row>
    <row r="53" spans="2:22" hidden="1">
      <c r="B53" s="144"/>
      <c r="C53" s="127"/>
      <c r="D53" s="127"/>
      <c r="E53" s="145"/>
      <c r="F53" s="129"/>
      <c r="G53" s="146"/>
      <c r="H53" s="147"/>
      <c r="I53" s="148"/>
      <c r="J53" s="149"/>
      <c r="K53" s="147"/>
      <c r="L53" s="148"/>
      <c r="M53" s="148"/>
      <c r="N53" s="231"/>
      <c r="O53" s="148"/>
      <c r="P53" s="148"/>
      <c r="Q53" s="209"/>
      <c r="R53" s="148"/>
      <c r="S53" s="231"/>
      <c r="T53" s="148"/>
      <c r="U53" s="148"/>
      <c r="V53" s="148"/>
    </row>
    <row r="54" spans="2:22" hidden="1">
      <c r="B54" s="144"/>
      <c r="C54" s="127"/>
      <c r="D54" s="127"/>
      <c r="E54" s="145"/>
      <c r="F54" s="129"/>
      <c r="G54" s="146"/>
      <c r="H54" s="147"/>
      <c r="I54" s="148"/>
      <c r="J54" s="149"/>
      <c r="K54" s="147"/>
      <c r="L54" s="148"/>
      <c r="M54" s="148"/>
      <c r="N54" s="231"/>
      <c r="O54" s="148"/>
      <c r="P54" s="148"/>
      <c r="Q54" s="209"/>
      <c r="R54" s="148"/>
      <c r="S54" s="231"/>
      <c r="T54" s="148"/>
      <c r="U54" s="148"/>
      <c r="V54" s="148"/>
    </row>
    <row r="55" spans="2:22" hidden="1">
      <c r="B55" s="144"/>
      <c r="C55" s="127"/>
      <c r="D55" s="127"/>
      <c r="E55" s="145"/>
      <c r="F55" s="129"/>
      <c r="G55" s="146"/>
      <c r="H55" s="147"/>
      <c r="I55" s="148"/>
      <c r="J55" s="149"/>
      <c r="K55" s="147"/>
      <c r="L55" s="148"/>
      <c r="M55" s="148"/>
      <c r="N55" s="231"/>
      <c r="O55" s="148"/>
      <c r="P55" s="148"/>
      <c r="Q55" s="209"/>
      <c r="R55" s="148"/>
      <c r="S55" s="231"/>
      <c r="T55" s="148"/>
      <c r="U55" s="148"/>
      <c r="V55" s="148"/>
    </row>
    <row r="56" spans="2:22" hidden="1">
      <c r="B56" s="144"/>
      <c r="C56" s="127"/>
      <c r="D56" s="127"/>
      <c r="E56" s="145"/>
      <c r="F56" s="129"/>
      <c r="G56" s="146"/>
      <c r="H56" s="147"/>
      <c r="I56" s="148"/>
      <c r="J56" s="149"/>
      <c r="K56" s="147"/>
      <c r="L56" s="148"/>
      <c r="M56" s="148"/>
      <c r="N56" s="231"/>
      <c r="O56" s="148"/>
      <c r="P56" s="148"/>
      <c r="Q56" s="209"/>
      <c r="R56" s="148"/>
      <c r="S56" s="231"/>
      <c r="T56" s="148"/>
      <c r="U56" s="148"/>
      <c r="V56" s="148"/>
    </row>
    <row r="57" spans="2:22" hidden="1">
      <c r="B57" s="144"/>
      <c r="C57" s="127"/>
      <c r="D57" s="127"/>
      <c r="E57" s="145"/>
      <c r="F57" s="129"/>
      <c r="G57" s="146"/>
      <c r="H57" s="147"/>
      <c r="I57" s="148"/>
      <c r="J57" s="149"/>
      <c r="K57" s="147"/>
      <c r="L57" s="148"/>
      <c r="M57" s="148"/>
      <c r="N57" s="231"/>
      <c r="O57" s="148"/>
      <c r="P57" s="148"/>
      <c r="Q57" s="209"/>
      <c r="R57" s="148"/>
      <c r="S57" s="231"/>
      <c r="T57" s="148"/>
      <c r="U57" s="148"/>
      <c r="V57" s="148"/>
    </row>
    <row r="58" spans="2:22" hidden="1">
      <c r="B58" s="144"/>
      <c r="C58" s="127"/>
      <c r="D58" s="127"/>
      <c r="E58" s="145"/>
      <c r="F58" s="129"/>
      <c r="G58" s="146"/>
      <c r="H58" s="147"/>
      <c r="I58" s="148"/>
      <c r="J58" s="149"/>
      <c r="K58" s="147"/>
      <c r="L58" s="148"/>
      <c r="M58" s="148"/>
      <c r="N58" s="231"/>
      <c r="O58" s="148"/>
      <c r="P58" s="148"/>
      <c r="Q58" s="209"/>
      <c r="R58" s="148"/>
      <c r="S58" s="231"/>
      <c r="T58" s="148"/>
      <c r="U58" s="148"/>
      <c r="V58" s="148"/>
    </row>
    <row r="59" spans="2:22" hidden="1">
      <c r="B59" s="144"/>
      <c r="C59" s="127"/>
      <c r="D59" s="127"/>
      <c r="E59" s="145"/>
      <c r="F59" s="129"/>
      <c r="G59" s="146"/>
      <c r="H59" s="147"/>
      <c r="I59" s="148"/>
      <c r="J59" s="149"/>
      <c r="K59" s="147"/>
      <c r="L59" s="148"/>
      <c r="M59" s="148"/>
      <c r="N59" s="231"/>
      <c r="O59" s="148"/>
      <c r="P59" s="148"/>
      <c r="Q59" s="209"/>
      <c r="R59" s="148"/>
      <c r="S59" s="231"/>
      <c r="T59" s="148"/>
      <c r="U59" s="148"/>
      <c r="V59" s="148"/>
    </row>
    <row r="60" spans="2:22" hidden="1">
      <c r="B60" s="144"/>
      <c r="C60" s="127"/>
      <c r="D60" s="127"/>
      <c r="E60" s="145"/>
      <c r="F60" s="129"/>
      <c r="G60" s="146"/>
      <c r="H60" s="147"/>
      <c r="I60" s="148"/>
      <c r="J60" s="149"/>
      <c r="K60" s="147"/>
      <c r="L60" s="148"/>
      <c r="M60" s="148"/>
      <c r="N60" s="231"/>
      <c r="O60" s="148"/>
      <c r="P60" s="148"/>
      <c r="Q60" s="209"/>
      <c r="R60" s="148"/>
      <c r="S60" s="231"/>
      <c r="T60" s="148"/>
      <c r="U60" s="148"/>
      <c r="V60" s="148"/>
    </row>
    <row r="61" spans="2:22" hidden="1">
      <c r="B61" s="144"/>
      <c r="C61" s="127"/>
      <c r="D61" s="127"/>
      <c r="E61" s="145"/>
      <c r="F61" s="129"/>
      <c r="G61" s="146"/>
      <c r="H61" s="147"/>
      <c r="I61" s="148"/>
      <c r="J61" s="149"/>
      <c r="K61" s="147"/>
      <c r="L61" s="148"/>
      <c r="M61" s="148"/>
      <c r="N61" s="231"/>
      <c r="O61" s="148"/>
      <c r="P61" s="148"/>
      <c r="Q61" s="209"/>
      <c r="R61" s="148"/>
      <c r="S61" s="231"/>
      <c r="T61" s="148"/>
      <c r="U61" s="148"/>
      <c r="V61" s="148"/>
    </row>
    <row r="62" spans="2:22" hidden="1">
      <c r="B62" s="144"/>
      <c r="C62" s="127"/>
      <c r="D62" s="127"/>
      <c r="E62" s="145"/>
      <c r="F62" s="129"/>
      <c r="G62" s="146"/>
      <c r="H62" s="147"/>
      <c r="I62" s="148"/>
      <c r="J62" s="149"/>
      <c r="K62" s="147"/>
      <c r="L62" s="148"/>
      <c r="M62" s="148"/>
      <c r="N62" s="231"/>
      <c r="O62" s="148"/>
      <c r="P62" s="148"/>
      <c r="Q62" s="209"/>
      <c r="R62" s="148"/>
      <c r="S62" s="231"/>
      <c r="T62" s="148"/>
      <c r="U62" s="148"/>
      <c r="V62" s="148"/>
    </row>
    <row r="63" spans="2:22" hidden="1">
      <c r="B63" s="144"/>
      <c r="C63" s="127"/>
      <c r="D63" s="127"/>
      <c r="E63" s="145"/>
      <c r="F63" s="129"/>
      <c r="G63" s="146"/>
      <c r="H63" s="147"/>
      <c r="I63" s="148"/>
      <c r="J63" s="149"/>
      <c r="K63" s="147"/>
      <c r="L63" s="148"/>
      <c r="M63" s="148"/>
      <c r="N63" s="231"/>
      <c r="O63" s="148"/>
      <c r="P63" s="148"/>
      <c r="Q63" s="209"/>
      <c r="R63" s="148"/>
      <c r="S63" s="231"/>
      <c r="T63" s="148"/>
      <c r="U63" s="148"/>
      <c r="V63" s="148"/>
    </row>
    <row r="64" spans="2:22" hidden="1">
      <c r="B64" s="144"/>
      <c r="C64" s="127"/>
      <c r="D64" s="127"/>
      <c r="E64" s="145"/>
      <c r="F64" s="129"/>
      <c r="G64" s="146"/>
      <c r="H64" s="147"/>
      <c r="I64" s="148"/>
      <c r="J64" s="149"/>
      <c r="K64" s="147"/>
      <c r="L64" s="148"/>
      <c r="M64" s="148"/>
      <c r="N64" s="231"/>
      <c r="O64" s="148"/>
      <c r="P64" s="148"/>
      <c r="Q64" s="209"/>
      <c r="R64" s="148"/>
      <c r="S64" s="231"/>
      <c r="T64" s="148"/>
      <c r="U64" s="148"/>
      <c r="V64" s="148"/>
    </row>
    <row r="65" spans="2:22" hidden="1">
      <c r="B65" s="144"/>
      <c r="C65" s="127"/>
      <c r="D65" s="127"/>
      <c r="E65" s="145"/>
      <c r="F65" s="129"/>
      <c r="G65" s="146"/>
      <c r="H65" s="147"/>
      <c r="I65" s="148"/>
      <c r="J65" s="149"/>
      <c r="K65" s="147"/>
      <c r="L65" s="148"/>
      <c r="M65" s="148"/>
      <c r="N65" s="231"/>
      <c r="O65" s="148"/>
      <c r="P65" s="148"/>
      <c r="Q65" s="209"/>
      <c r="R65" s="148"/>
      <c r="S65" s="231"/>
      <c r="T65" s="148"/>
      <c r="U65" s="148"/>
      <c r="V65" s="148"/>
    </row>
    <row r="66" spans="2:22" hidden="1">
      <c r="B66" s="144"/>
      <c r="C66" s="127"/>
      <c r="D66" s="127"/>
      <c r="E66" s="145"/>
      <c r="F66" s="129"/>
      <c r="G66" s="146"/>
      <c r="H66" s="147"/>
      <c r="I66" s="148"/>
      <c r="J66" s="149"/>
      <c r="K66" s="147"/>
      <c r="L66" s="148"/>
      <c r="M66" s="148"/>
      <c r="N66" s="231"/>
      <c r="O66" s="148"/>
      <c r="P66" s="148"/>
      <c r="Q66" s="209"/>
      <c r="R66" s="148"/>
      <c r="S66" s="231"/>
      <c r="T66" s="148"/>
      <c r="U66" s="148"/>
      <c r="V66" s="148"/>
    </row>
    <row r="67" spans="2:22" hidden="1">
      <c r="B67" s="144"/>
      <c r="C67" s="127"/>
      <c r="D67" s="127"/>
      <c r="E67" s="145"/>
      <c r="F67" s="129"/>
      <c r="G67" s="146"/>
      <c r="H67" s="147"/>
      <c r="I67" s="148"/>
      <c r="J67" s="149"/>
      <c r="K67" s="147"/>
      <c r="L67" s="148"/>
      <c r="M67" s="148"/>
      <c r="N67" s="231"/>
      <c r="O67" s="148"/>
      <c r="P67" s="148"/>
      <c r="Q67" s="209"/>
      <c r="R67" s="148"/>
      <c r="S67" s="231"/>
      <c r="T67" s="148"/>
      <c r="U67" s="148"/>
      <c r="V67" s="148"/>
    </row>
    <row r="68" spans="2:22" hidden="1">
      <c r="B68" s="144"/>
      <c r="C68" s="127"/>
      <c r="D68" s="127"/>
      <c r="E68" s="145"/>
      <c r="F68" s="129"/>
      <c r="G68" s="146"/>
      <c r="H68" s="147"/>
      <c r="I68" s="148"/>
      <c r="J68" s="149"/>
      <c r="K68" s="147"/>
      <c r="L68" s="148"/>
      <c r="M68" s="148"/>
      <c r="N68" s="231"/>
      <c r="O68" s="148"/>
      <c r="P68" s="148"/>
      <c r="Q68" s="209"/>
      <c r="R68" s="148"/>
      <c r="S68" s="231"/>
      <c r="T68" s="148"/>
      <c r="U68" s="148"/>
      <c r="V68" s="148"/>
    </row>
    <row r="69" spans="2:22" hidden="1">
      <c r="B69" s="144"/>
      <c r="C69" s="127"/>
      <c r="D69" s="127"/>
      <c r="E69" s="145"/>
      <c r="F69" s="129"/>
      <c r="G69" s="146"/>
      <c r="H69" s="147"/>
      <c r="I69" s="148"/>
      <c r="J69" s="149"/>
      <c r="K69" s="147"/>
      <c r="L69" s="148"/>
      <c r="M69" s="148"/>
      <c r="N69" s="231"/>
      <c r="O69" s="148"/>
      <c r="P69" s="148"/>
      <c r="Q69" s="209"/>
      <c r="R69" s="148"/>
      <c r="S69" s="231"/>
      <c r="T69" s="148"/>
      <c r="U69" s="148"/>
      <c r="V69" s="148"/>
    </row>
    <row r="70" spans="2:22" hidden="1">
      <c r="B70" s="144"/>
      <c r="C70" s="127"/>
      <c r="D70" s="127"/>
      <c r="E70" s="145"/>
      <c r="F70" s="129"/>
      <c r="G70" s="146"/>
      <c r="H70" s="147"/>
      <c r="I70" s="148"/>
      <c r="J70" s="149"/>
      <c r="K70" s="147"/>
      <c r="L70" s="148"/>
      <c r="M70" s="148"/>
      <c r="N70" s="231"/>
      <c r="O70" s="148"/>
      <c r="P70" s="148"/>
      <c r="Q70" s="209"/>
      <c r="R70" s="148"/>
      <c r="S70" s="231"/>
      <c r="T70" s="148"/>
      <c r="U70" s="148"/>
      <c r="V70" s="148"/>
    </row>
    <row r="71" spans="2:22" hidden="1">
      <c r="B71" s="144"/>
      <c r="C71" s="127"/>
      <c r="D71" s="127"/>
      <c r="E71" s="145"/>
      <c r="F71" s="129"/>
      <c r="G71" s="146"/>
      <c r="H71" s="147"/>
      <c r="I71" s="148"/>
      <c r="J71" s="149"/>
      <c r="K71" s="147"/>
      <c r="L71" s="148"/>
      <c r="M71" s="148"/>
      <c r="N71" s="231"/>
      <c r="O71" s="148"/>
      <c r="P71" s="148"/>
      <c r="Q71" s="209"/>
      <c r="R71" s="148"/>
      <c r="S71" s="231"/>
      <c r="T71" s="148"/>
      <c r="U71" s="148"/>
      <c r="V71" s="148"/>
    </row>
    <row r="72" spans="2:22" hidden="1">
      <c r="B72" s="144"/>
      <c r="C72" s="127"/>
      <c r="D72" s="127"/>
      <c r="E72" s="145"/>
      <c r="F72" s="129"/>
      <c r="G72" s="146"/>
      <c r="H72" s="147"/>
      <c r="I72" s="148"/>
      <c r="J72" s="149"/>
      <c r="K72" s="147"/>
      <c r="L72" s="148"/>
      <c r="M72" s="148"/>
      <c r="N72" s="231"/>
      <c r="O72" s="148"/>
      <c r="P72" s="148"/>
      <c r="Q72" s="209"/>
      <c r="R72" s="148"/>
      <c r="S72" s="231"/>
      <c r="T72" s="148"/>
      <c r="U72" s="148"/>
      <c r="V72" s="148"/>
    </row>
    <row r="73" spans="2:22" hidden="1">
      <c r="B73" s="144"/>
      <c r="C73" s="127"/>
      <c r="D73" s="127"/>
      <c r="E73" s="145"/>
      <c r="F73" s="129"/>
      <c r="G73" s="146"/>
      <c r="H73" s="147"/>
      <c r="I73" s="148"/>
      <c r="J73" s="149"/>
      <c r="K73" s="147"/>
      <c r="L73" s="148"/>
      <c r="M73" s="148"/>
      <c r="N73" s="231"/>
      <c r="O73" s="148"/>
      <c r="P73" s="148"/>
      <c r="Q73" s="209"/>
      <c r="R73" s="148"/>
      <c r="S73" s="231"/>
      <c r="T73" s="148"/>
      <c r="U73" s="148"/>
      <c r="V73" s="148"/>
    </row>
    <row r="74" spans="2:22" hidden="1">
      <c r="B74" s="144"/>
      <c r="C74" s="127"/>
      <c r="D74" s="127"/>
      <c r="E74" s="145"/>
      <c r="F74" s="129"/>
      <c r="G74" s="146"/>
      <c r="H74" s="147"/>
      <c r="I74" s="148"/>
      <c r="J74" s="149"/>
      <c r="K74" s="147"/>
      <c r="L74" s="148"/>
      <c r="M74" s="148"/>
      <c r="N74" s="231"/>
      <c r="O74" s="148"/>
      <c r="P74" s="148"/>
      <c r="Q74" s="209"/>
      <c r="R74" s="148"/>
      <c r="S74" s="231"/>
      <c r="T74" s="148"/>
      <c r="U74" s="148"/>
      <c r="V74" s="148"/>
    </row>
    <row r="75" spans="2:22" hidden="1">
      <c r="B75" s="144"/>
      <c r="C75" s="127"/>
      <c r="D75" s="127"/>
      <c r="E75" s="145"/>
      <c r="F75" s="129"/>
      <c r="G75" s="146"/>
      <c r="H75" s="147"/>
      <c r="I75" s="148"/>
      <c r="J75" s="149"/>
      <c r="K75" s="147"/>
      <c r="L75" s="148"/>
      <c r="M75" s="148"/>
      <c r="N75" s="231"/>
      <c r="O75" s="148"/>
      <c r="P75" s="148"/>
      <c r="Q75" s="209"/>
      <c r="R75" s="148"/>
      <c r="S75" s="231"/>
      <c r="T75" s="148"/>
      <c r="U75" s="148"/>
      <c r="V75" s="148"/>
    </row>
    <row r="76" spans="2:22" hidden="1">
      <c r="B76" s="144"/>
      <c r="C76" s="127"/>
      <c r="D76" s="127"/>
      <c r="E76" s="145"/>
      <c r="F76" s="129"/>
      <c r="G76" s="146"/>
      <c r="H76" s="147"/>
      <c r="I76" s="148"/>
      <c r="J76" s="149"/>
      <c r="K76" s="147"/>
      <c r="L76" s="148"/>
      <c r="M76" s="148"/>
      <c r="N76" s="231"/>
      <c r="O76" s="148"/>
      <c r="P76" s="148"/>
      <c r="Q76" s="209"/>
      <c r="R76" s="148"/>
      <c r="S76" s="231"/>
      <c r="T76" s="148"/>
      <c r="U76" s="148"/>
      <c r="V76" s="148"/>
    </row>
    <row r="77" spans="2:22" hidden="1">
      <c r="B77" s="144"/>
      <c r="C77" s="127"/>
      <c r="D77" s="127"/>
      <c r="E77" s="145"/>
      <c r="F77" s="129"/>
      <c r="G77" s="146"/>
      <c r="H77" s="147"/>
      <c r="I77" s="148"/>
      <c r="J77" s="149"/>
      <c r="K77" s="147"/>
      <c r="L77" s="148"/>
      <c r="M77" s="148"/>
      <c r="N77" s="231"/>
      <c r="O77" s="148"/>
      <c r="P77" s="148"/>
      <c r="Q77" s="209"/>
      <c r="R77" s="148"/>
      <c r="S77" s="231"/>
      <c r="T77" s="148"/>
      <c r="U77" s="148"/>
      <c r="V77" s="148"/>
    </row>
    <row r="78" spans="2:22" hidden="1">
      <c r="B78" s="144"/>
      <c r="C78" s="127"/>
      <c r="D78" s="127"/>
      <c r="E78" s="145"/>
      <c r="F78" s="129"/>
      <c r="G78" s="146"/>
      <c r="H78" s="147"/>
      <c r="I78" s="148"/>
      <c r="J78" s="149"/>
      <c r="K78" s="147"/>
      <c r="L78" s="148"/>
      <c r="M78" s="148"/>
      <c r="N78" s="231"/>
      <c r="O78" s="148"/>
      <c r="P78" s="148"/>
      <c r="Q78" s="209"/>
      <c r="R78" s="148"/>
      <c r="S78" s="231"/>
      <c r="T78" s="148"/>
      <c r="U78" s="148"/>
      <c r="V78" s="148"/>
    </row>
    <row r="79" spans="2:22" hidden="1">
      <c r="B79" s="144"/>
      <c r="C79" s="127"/>
      <c r="D79" s="127"/>
      <c r="E79" s="145"/>
      <c r="F79" s="129"/>
      <c r="G79" s="146"/>
      <c r="H79" s="147"/>
      <c r="I79" s="148"/>
      <c r="J79" s="149"/>
      <c r="K79" s="147"/>
      <c r="L79" s="148"/>
      <c r="M79" s="148"/>
      <c r="N79" s="231"/>
      <c r="O79" s="148"/>
      <c r="P79" s="148"/>
      <c r="Q79" s="209"/>
      <c r="R79" s="148"/>
      <c r="S79" s="231"/>
      <c r="T79" s="148"/>
      <c r="U79" s="148"/>
      <c r="V79" s="148"/>
    </row>
    <row r="80" spans="2:22" hidden="1">
      <c r="B80" s="144"/>
      <c r="C80" s="127"/>
      <c r="D80" s="127"/>
      <c r="E80" s="145"/>
      <c r="F80" s="129"/>
      <c r="G80" s="146"/>
      <c r="H80" s="147"/>
      <c r="I80" s="148"/>
      <c r="J80" s="149"/>
      <c r="K80" s="147"/>
      <c r="L80" s="148"/>
      <c r="M80" s="148"/>
      <c r="N80" s="231"/>
      <c r="O80" s="148"/>
      <c r="P80" s="148"/>
      <c r="Q80" s="209"/>
      <c r="R80" s="148"/>
      <c r="S80" s="231"/>
      <c r="T80" s="148"/>
      <c r="U80" s="148"/>
      <c r="V80" s="148"/>
    </row>
    <row r="81" spans="2:22" hidden="1">
      <c r="B81" s="144"/>
      <c r="C81" s="127"/>
      <c r="D81" s="127"/>
      <c r="E81" s="145"/>
      <c r="F81" s="129"/>
      <c r="G81" s="146"/>
      <c r="H81" s="147"/>
      <c r="I81" s="148"/>
      <c r="J81" s="149"/>
      <c r="K81" s="147"/>
      <c r="L81" s="148"/>
      <c r="M81" s="148"/>
      <c r="N81" s="231"/>
      <c r="O81" s="148"/>
      <c r="P81" s="148"/>
      <c r="Q81" s="209"/>
      <c r="R81" s="148"/>
      <c r="S81" s="231"/>
      <c r="T81" s="148"/>
      <c r="U81" s="148"/>
      <c r="V81" s="148"/>
    </row>
    <row r="82" spans="2:22" hidden="1">
      <c r="B82" s="144"/>
      <c r="C82" s="127"/>
      <c r="D82" s="127"/>
      <c r="E82" s="145"/>
      <c r="F82" s="129"/>
      <c r="G82" s="146"/>
      <c r="H82" s="147"/>
      <c r="I82" s="148"/>
      <c r="J82" s="149"/>
      <c r="K82" s="147"/>
      <c r="L82" s="148"/>
      <c r="M82" s="148"/>
      <c r="N82" s="231"/>
      <c r="O82" s="148"/>
      <c r="P82" s="148"/>
      <c r="Q82" s="209"/>
      <c r="R82" s="148"/>
      <c r="S82" s="231"/>
      <c r="T82" s="148"/>
      <c r="U82" s="148"/>
      <c r="V82" s="148"/>
    </row>
    <row r="83" spans="2:22" hidden="1">
      <c r="B83" s="144"/>
      <c r="C83" s="127"/>
      <c r="D83" s="127"/>
      <c r="E83" s="145"/>
      <c r="F83" s="129"/>
      <c r="G83" s="146"/>
      <c r="H83" s="147"/>
      <c r="I83" s="148"/>
      <c r="J83" s="149"/>
      <c r="K83" s="147"/>
      <c r="L83" s="148"/>
      <c r="M83" s="148"/>
      <c r="N83" s="231"/>
      <c r="O83" s="148"/>
      <c r="P83" s="148"/>
      <c r="Q83" s="209"/>
      <c r="R83" s="148"/>
      <c r="S83" s="231"/>
      <c r="T83" s="148"/>
      <c r="U83" s="148"/>
      <c r="V83" s="148"/>
    </row>
    <row r="84" spans="2:22" hidden="1">
      <c r="B84" s="144"/>
      <c r="C84" s="127"/>
      <c r="D84" s="127"/>
      <c r="E84" s="145"/>
      <c r="F84" s="129"/>
      <c r="G84" s="146"/>
      <c r="H84" s="147"/>
      <c r="I84" s="148"/>
      <c r="J84" s="149"/>
      <c r="K84" s="147"/>
      <c r="L84" s="148"/>
      <c r="M84" s="148"/>
      <c r="N84" s="231"/>
      <c r="O84" s="148"/>
      <c r="P84" s="148"/>
      <c r="Q84" s="209"/>
      <c r="R84" s="148"/>
      <c r="S84" s="231"/>
      <c r="T84" s="148"/>
      <c r="U84" s="148"/>
      <c r="V84" s="148"/>
    </row>
    <row r="85" spans="2:22" hidden="1">
      <c r="B85" s="144"/>
      <c r="C85" s="127"/>
      <c r="D85" s="127"/>
      <c r="E85" s="145"/>
      <c r="F85" s="129"/>
      <c r="G85" s="146"/>
      <c r="H85" s="147"/>
      <c r="I85" s="148"/>
      <c r="J85" s="149"/>
      <c r="K85" s="147"/>
      <c r="L85" s="148"/>
      <c r="M85" s="148"/>
      <c r="N85" s="231"/>
      <c r="O85" s="148"/>
      <c r="P85" s="148"/>
      <c r="Q85" s="209"/>
      <c r="R85" s="148"/>
      <c r="S85" s="231"/>
      <c r="T85" s="148"/>
      <c r="U85" s="148"/>
      <c r="V85" s="148"/>
    </row>
    <row r="86" spans="2:22" hidden="1">
      <c r="B86" s="144"/>
      <c r="C86" s="127"/>
      <c r="D86" s="127"/>
      <c r="E86" s="145"/>
      <c r="F86" s="129"/>
      <c r="G86" s="146"/>
      <c r="H86" s="147"/>
      <c r="I86" s="148"/>
      <c r="J86" s="149"/>
      <c r="K86" s="147"/>
      <c r="L86" s="148"/>
      <c r="M86" s="148"/>
      <c r="N86" s="231"/>
      <c r="O86" s="148"/>
      <c r="P86" s="148"/>
      <c r="Q86" s="209"/>
      <c r="R86" s="148"/>
      <c r="S86" s="231"/>
      <c r="T86" s="148"/>
      <c r="U86" s="148"/>
      <c r="V86" s="148"/>
    </row>
    <row r="87" spans="2:22" hidden="1">
      <c r="B87" s="144"/>
      <c r="C87" s="127"/>
      <c r="D87" s="127"/>
      <c r="E87" s="145"/>
      <c r="F87" s="129"/>
      <c r="G87" s="146"/>
      <c r="H87" s="147"/>
      <c r="I87" s="148"/>
      <c r="J87" s="149"/>
      <c r="K87" s="147"/>
      <c r="L87" s="148"/>
      <c r="M87" s="148"/>
      <c r="N87" s="231"/>
      <c r="O87" s="148"/>
      <c r="P87" s="148"/>
      <c r="Q87" s="209"/>
      <c r="R87" s="148"/>
      <c r="S87" s="231"/>
      <c r="T87" s="148"/>
      <c r="U87" s="148"/>
      <c r="V87" s="148"/>
    </row>
    <row r="88" spans="2:22" hidden="1">
      <c r="B88" s="144"/>
      <c r="C88" s="127"/>
      <c r="D88" s="127"/>
      <c r="E88" s="145"/>
      <c r="F88" s="129"/>
      <c r="G88" s="146"/>
      <c r="H88" s="147"/>
      <c r="I88" s="148"/>
      <c r="J88" s="149"/>
      <c r="K88" s="147"/>
      <c r="L88" s="148"/>
      <c r="M88" s="148"/>
      <c r="N88" s="231"/>
      <c r="O88" s="148"/>
      <c r="P88" s="148"/>
      <c r="Q88" s="209"/>
      <c r="R88" s="148"/>
      <c r="S88" s="231"/>
      <c r="T88" s="148"/>
      <c r="U88" s="148"/>
      <c r="V88" s="148"/>
    </row>
    <row r="89" spans="2:22" hidden="1">
      <c r="B89" s="144"/>
      <c r="C89" s="127"/>
      <c r="D89" s="127"/>
      <c r="E89" s="145"/>
      <c r="F89" s="129"/>
      <c r="G89" s="146"/>
      <c r="H89" s="147"/>
      <c r="I89" s="148"/>
      <c r="J89" s="149"/>
      <c r="K89" s="147"/>
      <c r="L89" s="148"/>
      <c r="M89" s="148"/>
      <c r="N89" s="231"/>
      <c r="O89" s="148"/>
      <c r="P89" s="148"/>
      <c r="Q89" s="209"/>
      <c r="R89" s="148"/>
      <c r="S89" s="231"/>
      <c r="T89" s="148"/>
      <c r="U89" s="148"/>
      <c r="V89" s="148"/>
    </row>
    <row r="90" spans="2:22" hidden="1">
      <c r="B90" s="144"/>
      <c r="C90" s="127"/>
      <c r="D90" s="127"/>
      <c r="E90" s="145"/>
      <c r="F90" s="129"/>
      <c r="G90" s="146"/>
      <c r="H90" s="147"/>
      <c r="I90" s="148"/>
      <c r="J90" s="149"/>
      <c r="K90" s="147"/>
      <c r="L90" s="148"/>
      <c r="M90" s="148"/>
      <c r="N90" s="231"/>
      <c r="O90" s="148"/>
      <c r="P90" s="148"/>
      <c r="Q90" s="209"/>
      <c r="R90" s="148"/>
      <c r="S90" s="231"/>
      <c r="T90" s="148"/>
      <c r="U90" s="148"/>
      <c r="V90" s="148"/>
    </row>
    <row r="91" spans="2:22" hidden="1">
      <c r="B91" s="144"/>
      <c r="C91" s="127"/>
      <c r="D91" s="127"/>
      <c r="E91" s="145"/>
      <c r="F91" s="129"/>
      <c r="G91" s="146"/>
      <c r="H91" s="147"/>
      <c r="I91" s="148"/>
      <c r="J91" s="149"/>
      <c r="K91" s="147"/>
      <c r="L91" s="148"/>
      <c r="M91" s="148"/>
      <c r="N91" s="231"/>
      <c r="O91" s="148"/>
      <c r="P91" s="148"/>
      <c r="Q91" s="209"/>
      <c r="R91" s="148"/>
      <c r="S91" s="231"/>
      <c r="T91" s="148"/>
      <c r="U91" s="148"/>
      <c r="V91" s="148"/>
    </row>
    <row r="92" spans="2:22" hidden="1">
      <c r="B92" s="144"/>
      <c r="C92" s="127"/>
      <c r="D92" s="127"/>
      <c r="E92" s="145"/>
      <c r="F92" s="129"/>
      <c r="G92" s="146"/>
      <c r="H92" s="147"/>
      <c r="I92" s="148"/>
      <c r="J92" s="149"/>
      <c r="K92" s="147"/>
      <c r="L92" s="148"/>
      <c r="M92" s="148"/>
      <c r="N92" s="231"/>
      <c r="O92" s="148"/>
      <c r="P92" s="148"/>
      <c r="Q92" s="209"/>
      <c r="R92" s="148"/>
      <c r="S92" s="231"/>
      <c r="T92" s="148"/>
      <c r="U92" s="148"/>
      <c r="V92" s="148"/>
    </row>
    <row r="93" spans="2:22" hidden="1">
      <c r="B93" s="144"/>
      <c r="C93" s="127"/>
      <c r="D93" s="127"/>
      <c r="E93" s="145"/>
      <c r="F93" s="129"/>
      <c r="G93" s="146"/>
      <c r="H93" s="147"/>
      <c r="I93" s="148"/>
      <c r="J93" s="149"/>
      <c r="K93" s="147"/>
      <c r="L93" s="148"/>
      <c r="M93" s="148"/>
      <c r="N93" s="231"/>
      <c r="O93" s="148"/>
      <c r="P93" s="148"/>
      <c r="Q93" s="209"/>
      <c r="R93" s="148"/>
      <c r="S93" s="231"/>
      <c r="T93" s="148"/>
      <c r="U93" s="148"/>
      <c r="V93" s="148"/>
    </row>
    <row r="94" spans="2:22" hidden="1">
      <c r="B94" s="144"/>
      <c r="C94" s="127"/>
      <c r="D94" s="127"/>
      <c r="E94" s="145"/>
      <c r="F94" s="129"/>
      <c r="G94" s="146"/>
      <c r="H94" s="147"/>
      <c r="I94" s="148"/>
      <c r="J94" s="149"/>
      <c r="K94" s="147"/>
      <c r="L94" s="148"/>
      <c r="M94" s="148"/>
      <c r="N94" s="231"/>
      <c r="O94" s="148"/>
      <c r="P94" s="148"/>
      <c r="Q94" s="209"/>
      <c r="R94" s="148"/>
      <c r="S94" s="231"/>
      <c r="T94" s="148"/>
      <c r="U94" s="148"/>
      <c r="V94" s="148"/>
    </row>
    <row r="95" spans="2:22" hidden="1">
      <c r="B95" s="144"/>
      <c r="C95" s="127"/>
      <c r="D95" s="127"/>
      <c r="E95" s="145"/>
      <c r="F95" s="129"/>
      <c r="G95" s="146"/>
      <c r="H95" s="147"/>
      <c r="I95" s="148"/>
      <c r="J95" s="149"/>
      <c r="K95" s="147"/>
      <c r="L95" s="148"/>
      <c r="M95" s="148"/>
      <c r="N95" s="231"/>
      <c r="O95" s="148"/>
      <c r="P95" s="148"/>
      <c r="Q95" s="209"/>
      <c r="R95" s="148"/>
      <c r="S95" s="231"/>
      <c r="T95" s="148"/>
      <c r="U95" s="148"/>
      <c r="V95" s="148"/>
    </row>
    <row r="96" spans="2:22" hidden="1">
      <c r="B96" s="144"/>
      <c r="C96" s="127"/>
      <c r="D96" s="127"/>
      <c r="E96" s="145"/>
      <c r="F96" s="129"/>
      <c r="G96" s="146"/>
      <c r="H96" s="147"/>
      <c r="I96" s="148"/>
      <c r="J96" s="149"/>
      <c r="K96" s="147"/>
      <c r="L96" s="148"/>
      <c r="M96" s="148"/>
      <c r="N96" s="231"/>
      <c r="O96" s="148"/>
      <c r="P96" s="148"/>
      <c r="Q96" s="209"/>
      <c r="R96" s="148"/>
      <c r="S96" s="231"/>
      <c r="T96" s="148"/>
      <c r="U96" s="148"/>
      <c r="V96" s="148"/>
    </row>
    <row r="97" spans="2:22" hidden="1">
      <c r="B97" s="144"/>
      <c r="C97" s="127"/>
      <c r="D97" s="127"/>
      <c r="E97" s="145"/>
      <c r="F97" s="129"/>
      <c r="G97" s="146"/>
      <c r="H97" s="147"/>
      <c r="I97" s="148"/>
      <c r="J97" s="149"/>
      <c r="K97" s="147"/>
      <c r="L97" s="148"/>
      <c r="M97" s="148"/>
      <c r="N97" s="231"/>
      <c r="O97" s="148"/>
      <c r="P97" s="148"/>
      <c r="Q97" s="209"/>
      <c r="R97" s="148"/>
      <c r="S97" s="231"/>
      <c r="T97" s="148"/>
      <c r="U97" s="148"/>
      <c r="V97" s="148"/>
    </row>
    <row r="98" spans="2:22" hidden="1">
      <c r="B98" s="144"/>
      <c r="C98" s="127"/>
      <c r="D98" s="127"/>
      <c r="E98" s="145"/>
      <c r="F98" s="129"/>
      <c r="G98" s="146"/>
      <c r="H98" s="147"/>
      <c r="I98" s="148"/>
      <c r="J98" s="149"/>
      <c r="K98" s="147"/>
      <c r="L98" s="148"/>
      <c r="M98" s="148"/>
      <c r="N98" s="231"/>
      <c r="O98" s="148"/>
      <c r="P98" s="148"/>
      <c r="Q98" s="209"/>
      <c r="R98" s="148"/>
      <c r="S98" s="231"/>
      <c r="T98" s="148"/>
      <c r="U98" s="148"/>
      <c r="V98" s="148"/>
    </row>
    <row r="99" spans="2:22" hidden="1">
      <c r="B99" s="144"/>
      <c r="C99" s="127"/>
      <c r="D99" s="127"/>
      <c r="E99" s="145"/>
      <c r="F99" s="129"/>
      <c r="G99" s="146"/>
      <c r="H99" s="147"/>
      <c r="I99" s="148"/>
      <c r="J99" s="149"/>
      <c r="K99" s="147"/>
      <c r="L99" s="148"/>
      <c r="M99" s="148"/>
      <c r="N99" s="231"/>
      <c r="O99" s="148"/>
      <c r="P99" s="148"/>
      <c r="Q99" s="209"/>
      <c r="R99" s="148"/>
      <c r="S99" s="231"/>
      <c r="T99" s="148"/>
      <c r="U99" s="148"/>
      <c r="V99" s="148"/>
    </row>
    <row r="100" spans="2:22" hidden="1">
      <c r="B100" s="144"/>
      <c r="C100" s="127"/>
      <c r="D100" s="127"/>
      <c r="E100" s="145"/>
      <c r="F100" s="129"/>
      <c r="G100" s="146"/>
      <c r="H100" s="147"/>
      <c r="I100" s="148"/>
      <c r="J100" s="149"/>
      <c r="K100" s="147"/>
      <c r="L100" s="148"/>
      <c r="M100" s="148"/>
      <c r="N100" s="231"/>
      <c r="O100" s="148"/>
      <c r="P100" s="148"/>
      <c r="Q100" s="209"/>
      <c r="R100" s="148"/>
      <c r="S100" s="231"/>
      <c r="T100" s="148"/>
      <c r="U100" s="148"/>
      <c r="V100" s="148"/>
    </row>
    <row r="101" spans="2:22" hidden="1">
      <c r="B101" s="144"/>
      <c r="C101" s="127"/>
      <c r="D101" s="127"/>
      <c r="E101" s="145"/>
      <c r="F101" s="129"/>
      <c r="G101" s="146"/>
      <c r="H101" s="147"/>
      <c r="I101" s="148"/>
      <c r="J101" s="149"/>
      <c r="K101" s="147"/>
      <c r="L101" s="148"/>
      <c r="M101" s="148"/>
      <c r="N101" s="231"/>
      <c r="O101" s="148"/>
      <c r="P101" s="148"/>
      <c r="Q101" s="209"/>
      <c r="R101" s="148"/>
      <c r="S101" s="231"/>
      <c r="T101" s="148"/>
      <c r="U101" s="148"/>
      <c r="V101" s="148"/>
    </row>
    <row r="102" spans="2:22" hidden="1">
      <c r="B102" s="144"/>
      <c r="C102" s="127"/>
      <c r="D102" s="127"/>
      <c r="E102" s="145"/>
      <c r="F102" s="129"/>
      <c r="G102" s="146"/>
      <c r="H102" s="147"/>
      <c r="I102" s="148"/>
      <c r="J102" s="149"/>
      <c r="K102" s="147"/>
      <c r="L102" s="148"/>
      <c r="M102" s="148"/>
      <c r="N102" s="231"/>
      <c r="O102" s="148"/>
      <c r="P102" s="148"/>
      <c r="Q102" s="209"/>
      <c r="R102" s="148"/>
      <c r="S102" s="231"/>
      <c r="T102" s="148"/>
      <c r="U102" s="148"/>
      <c r="V102" s="148"/>
    </row>
    <row r="103" spans="2:22" hidden="1">
      <c r="B103" s="144"/>
      <c r="C103" s="127"/>
      <c r="D103" s="127"/>
      <c r="E103" s="145"/>
      <c r="F103" s="129"/>
      <c r="G103" s="146"/>
      <c r="H103" s="147"/>
      <c r="I103" s="148"/>
      <c r="J103" s="149"/>
      <c r="K103" s="147"/>
      <c r="L103" s="148"/>
      <c r="M103" s="148"/>
      <c r="N103" s="231"/>
      <c r="O103" s="148"/>
      <c r="P103" s="148"/>
      <c r="Q103" s="209"/>
      <c r="R103" s="148"/>
      <c r="S103" s="231"/>
      <c r="T103" s="148"/>
      <c r="U103" s="148"/>
      <c r="V103" s="148"/>
    </row>
    <row r="104" spans="2:22" hidden="1">
      <c r="B104" s="144"/>
      <c r="C104" s="127"/>
      <c r="D104" s="127"/>
      <c r="E104" s="145"/>
      <c r="F104" s="129"/>
      <c r="G104" s="146"/>
      <c r="H104" s="147"/>
      <c r="I104" s="148"/>
      <c r="J104" s="149"/>
      <c r="K104" s="147"/>
      <c r="L104" s="148"/>
      <c r="M104" s="148"/>
      <c r="N104" s="231"/>
      <c r="O104" s="148"/>
      <c r="P104" s="148"/>
      <c r="Q104" s="209"/>
      <c r="R104" s="148"/>
      <c r="S104" s="231"/>
      <c r="T104" s="148"/>
      <c r="U104" s="148"/>
      <c r="V104" s="148"/>
    </row>
    <row r="105" spans="2:22" hidden="1">
      <c r="B105" s="144"/>
      <c r="C105" s="127"/>
      <c r="D105" s="127"/>
      <c r="E105" s="145"/>
      <c r="F105" s="129"/>
      <c r="G105" s="146"/>
      <c r="H105" s="147"/>
      <c r="I105" s="148"/>
      <c r="J105" s="149"/>
      <c r="K105" s="147"/>
      <c r="L105" s="148"/>
      <c r="M105" s="148"/>
      <c r="N105" s="231"/>
      <c r="O105" s="148"/>
      <c r="P105" s="148"/>
      <c r="Q105" s="209"/>
      <c r="R105" s="148"/>
      <c r="S105" s="231"/>
      <c r="T105" s="148"/>
      <c r="U105" s="148"/>
      <c r="V105" s="148"/>
    </row>
    <row r="106" spans="2:22" hidden="1">
      <c r="B106" s="144"/>
      <c r="C106" s="127"/>
      <c r="D106" s="127"/>
      <c r="E106" s="145"/>
      <c r="F106" s="129"/>
      <c r="G106" s="146"/>
      <c r="H106" s="147"/>
      <c r="I106" s="148"/>
      <c r="J106" s="149"/>
      <c r="K106" s="147"/>
      <c r="L106" s="148"/>
      <c r="M106" s="148"/>
      <c r="N106" s="231"/>
      <c r="O106" s="148"/>
      <c r="P106" s="148"/>
      <c r="Q106" s="209"/>
      <c r="R106" s="148"/>
      <c r="S106" s="231"/>
      <c r="T106" s="148"/>
      <c r="U106" s="148"/>
      <c r="V106" s="148"/>
    </row>
    <row r="107" spans="2:22" hidden="1">
      <c r="B107" s="144"/>
      <c r="C107" s="127"/>
      <c r="D107" s="127"/>
      <c r="E107" s="145"/>
      <c r="F107" s="129"/>
      <c r="G107" s="146"/>
      <c r="H107" s="147"/>
      <c r="I107" s="148"/>
      <c r="J107" s="149"/>
      <c r="K107" s="147"/>
      <c r="L107" s="148"/>
      <c r="M107" s="148"/>
      <c r="N107" s="231"/>
      <c r="O107" s="148"/>
      <c r="P107" s="148"/>
      <c r="Q107" s="209"/>
      <c r="R107" s="148"/>
      <c r="S107" s="231"/>
      <c r="T107" s="148"/>
      <c r="U107" s="148"/>
      <c r="V107" s="148"/>
    </row>
    <row r="108" spans="2:22" hidden="1">
      <c r="B108" s="144"/>
      <c r="C108" s="127"/>
      <c r="D108" s="127"/>
      <c r="E108" s="145"/>
      <c r="F108" s="129"/>
      <c r="G108" s="146"/>
      <c r="H108" s="147"/>
      <c r="I108" s="148"/>
      <c r="J108" s="149"/>
      <c r="K108" s="147"/>
      <c r="L108" s="148"/>
      <c r="M108" s="148"/>
      <c r="N108" s="231"/>
      <c r="O108" s="148"/>
      <c r="P108" s="148"/>
      <c r="Q108" s="209"/>
      <c r="R108" s="148"/>
      <c r="S108" s="231"/>
      <c r="T108" s="148"/>
      <c r="U108" s="148"/>
      <c r="V108" s="148"/>
    </row>
    <row r="109" spans="2:22" hidden="1">
      <c r="B109" s="144"/>
      <c r="C109" s="127"/>
      <c r="D109" s="127"/>
      <c r="E109" s="145"/>
      <c r="F109" s="129"/>
      <c r="G109" s="146"/>
      <c r="H109" s="147"/>
      <c r="I109" s="148"/>
      <c r="J109" s="149"/>
      <c r="K109" s="147"/>
      <c r="L109" s="148"/>
      <c r="M109" s="148"/>
      <c r="N109" s="231"/>
      <c r="O109" s="148"/>
      <c r="P109" s="148"/>
      <c r="Q109" s="209"/>
      <c r="R109" s="148"/>
      <c r="S109" s="231"/>
      <c r="T109" s="148"/>
      <c r="U109" s="148"/>
      <c r="V109" s="148"/>
    </row>
    <row r="110" spans="2:22" hidden="1">
      <c r="B110" s="144"/>
      <c r="C110" s="127"/>
      <c r="D110" s="127"/>
      <c r="E110" s="145"/>
      <c r="F110" s="129"/>
      <c r="G110" s="146"/>
      <c r="H110" s="147"/>
      <c r="I110" s="148"/>
      <c r="J110" s="149"/>
      <c r="K110" s="147"/>
      <c r="L110" s="148"/>
      <c r="M110" s="148"/>
      <c r="N110" s="231"/>
      <c r="O110" s="148"/>
      <c r="P110" s="148"/>
      <c r="Q110" s="209"/>
      <c r="R110" s="148"/>
      <c r="S110" s="231"/>
      <c r="T110" s="148"/>
      <c r="U110" s="148"/>
      <c r="V110" s="148"/>
    </row>
    <row r="111" spans="2:22" hidden="1">
      <c r="B111" s="144"/>
      <c r="C111" s="127"/>
      <c r="D111" s="127"/>
      <c r="E111" s="145"/>
      <c r="F111" s="129"/>
      <c r="G111" s="146"/>
      <c r="H111" s="147"/>
      <c r="I111" s="148"/>
      <c r="J111" s="149"/>
      <c r="K111" s="147"/>
      <c r="L111" s="148"/>
      <c r="M111" s="148"/>
      <c r="N111" s="231"/>
      <c r="O111" s="148"/>
      <c r="P111" s="148"/>
      <c r="Q111" s="209"/>
      <c r="R111" s="148"/>
      <c r="S111" s="231"/>
      <c r="T111" s="148"/>
      <c r="U111" s="148"/>
      <c r="V111" s="148"/>
    </row>
    <row r="112" spans="2:22" hidden="1">
      <c r="B112" s="144"/>
      <c r="C112" s="127"/>
      <c r="D112" s="127"/>
      <c r="E112" s="145"/>
      <c r="F112" s="129"/>
      <c r="G112" s="146"/>
      <c r="H112" s="147"/>
      <c r="I112" s="148"/>
      <c r="J112" s="149"/>
      <c r="K112" s="147"/>
      <c r="L112" s="148"/>
      <c r="M112" s="148"/>
      <c r="N112" s="231"/>
      <c r="O112" s="148"/>
      <c r="P112" s="148"/>
      <c r="Q112" s="209"/>
      <c r="R112" s="148"/>
      <c r="S112" s="231"/>
      <c r="T112" s="148"/>
      <c r="U112" s="148"/>
      <c r="V112" s="148"/>
    </row>
    <row r="113" spans="2:22" hidden="1">
      <c r="B113" s="144"/>
      <c r="C113" s="127"/>
      <c r="D113" s="127"/>
      <c r="E113" s="145"/>
      <c r="F113" s="129"/>
      <c r="G113" s="146"/>
      <c r="H113" s="147"/>
      <c r="I113" s="148"/>
      <c r="J113" s="149"/>
      <c r="K113" s="147"/>
      <c r="L113" s="148"/>
      <c r="M113" s="148"/>
      <c r="N113" s="231"/>
      <c r="O113" s="148"/>
      <c r="P113" s="148"/>
      <c r="Q113" s="209"/>
      <c r="R113" s="148"/>
      <c r="S113" s="231"/>
      <c r="T113" s="148"/>
      <c r="U113" s="148"/>
      <c r="V113" s="148"/>
    </row>
    <row r="114" spans="2:22" hidden="1">
      <c r="B114" s="144"/>
      <c r="C114" s="127"/>
      <c r="D114" s="127"/>
      <c r="E114" s="145"/>
      <c r="F114" s="129"/>
      <c r="G114" s="146"/>
      <c r="H114" s="147"/>
      <c r="I114" s="148"/>
      <c r="J114" s="149"/>
      <c r="K114" s="147"/>
      <c r="L114" s="148"/>
      <c r="M114" s="148"/>
      <c r="N114" s="231"/>
      <c r="O114" s="148"/>
      <c r="P114" s="148"/>
      <c r="Q114" s="209"/>
      <c r="R114" s="148"/>
      <c r="S114" s="231"/>
      <c r="T114" s="148"/>
      <c r="U114" s="148"/>
      <c r="V114" s="148"/>
    </row>
    <row r="115" spans="2:22" hidden="1">
      <c r="B115" s="144"/>
      <c r="C115" s="127"/>
      <c r="D115" s="127"/>
      <c r="E115" s="145"/>
      <c r="F115" s="129"/>
      <c r="G115" s="146"/>
      <c r="H115" s="147"/>
      <c r="I115" s="148"/>
      <c r="J115" s="149"/>
      <c r="K115" s="147"/>
      <c r="L115" s="148"/>
      <c r="M115" s="148"/>
      <c r="N115" s="231"/>
      <c r="O115" s="148"/>
      <c r="P115" s="148"/>
      <c r="Q115" s="209"/>
      <c r="R115" s="148"/>
      <c r="S115" s="231"/>
      <c r="T115" s="148"/>
      <c r="U115" s="148"/>
      <c r="V115" s="148"/>
    </row>
    <row r="116" spans="2:22" hidden="1">
      <c r="B116" s="144"/>
      <c r="C116" s="127"/>
      <c r="D116" s="127"/>
      <c r="E116" s="145"/>
      <c r="F116" s="129"/>
      <c r="G116" s="146"/>
      <c r="H116" s="147"/>
      <c r="I116" s="148"/>
      <c r="J116" s="149"/>
      <c r="K116" s="147"/>
      <c r="L116" s="148"/>
      <c r="M116" s="148"/>
      <c r="N116" s="231"/>
      <c r="O116" s="148"/>
      <c r="P116" s="148"/>
      <c r="Q116" s="209"/>
      <c r="R116" s="148"/>
      <c r="S116" s="231"/>
      <c r="T116" s="148"/>
      <c r="U116" s="148"/>
      <c r="V116" s="148"/>
    </row>
    <row r="117" spans="2:22" hidden="1">
      <c r="B117" s="144"/>
      <c r="C117" s="127"/>
      <c r="D117" s="127"/>
      <c r="E117" s="145"/>
      <c r="F117" s="129"/>
      <c r="G117" s="146"/>
      <c r="H117" s="147"/>
      <c r="I117" s="148"/>
      <c r="J117" s="149"/>
      <c r="K117" s="147"/>
      <c r="L117" s="148"/>
      <c r="M117" s="148"/>
      <c r="N117" s="231"/>
      <c r="O117" s="148"/>
      <c r="P117" s="148"/>
      <c r="Q117" s="209"/>
      <c r="R117" s="148"/>
      <c r="S117" s="231"/>
      <c r="T117" s="148"/>
      <c r="U117" s="148"/>
      <c r="V117" s="148"/>
    </row>
    <row r="118" spans="2:22" hidden="1">
      <c r="B118" s="144"/>
      <c r="C118" s="127"/>
      <c r="D118" s="127"/>
      <c r="E118" s="145"/>
      <c r="F118" s="129"/>
      <c r="G118" s="146"/>
      <c r="H118" s="147"/>
      <c r="I118" s="148"/>
      <c r="J118" s="149"/>
      <c r="K118" s="147"/>
      <c r="L118" s="148"/>
      <c r="M118" s="148"/>
      <c r="N118" s="231"/>
      <c r="O118" s="148"/>
      <c r="P118" s="148"/>
      <c r="Q118" s="209"/>
      <c r="R118" s="148"/>
      <c r="S118" s="231"/>
      <c r="T118" s="148"/>
      <c r="U118" s="148"/>
      <c r="V118" s="148"/>
    </row>
    <row r="119" spans="2:22" hidden="1">
      <c r="B119" s="144"/>
      <c r="C119" s="127"/>
      <c r="D119" s="127"/>
      <c r="E119" s="145"/>
      <c r="F119" s="129"/>
      <c r="G119" s="146"/>
      <c r="H119" s="147"/>
      <c r="I119" s="148"/>
      <c r="J119" s="149"/>
      <c r="K119" s="147"/>
      <c r="L119" s="148"/>
      <c r="M119" s="148"/>
      <c r="N119" s="231"/>
      <c r="O119" s="148"/>
      <c r="P119" s="148"/>
      <c r="Q119" s="209"/>
      <c r="R119" s="148"/>
      <c r="S119" s="231"/>
      <c r="T119" s="148"/>
      <c r="U119" s="148"/>
      <c r="V119" s="148"/>
    </row>
    <row r="120" spans="2:22" hidden="1">
      <c r="B120" s="144"/>
      <c r="C120" s="127"/>
      <c r="D120" s="127"/>
      <c r="E120" s="145"/>
      <c r="F120" s="129"/>
      <c r="G120" s="146"/>
      <c r="H120" s="147"/>
      <c r="I120" s="148"/>
      <c r="J120" s="149"/>
      <c r="K120" s="147"/>
      <c r="L120" s="148"/>
      <c r="M120" s="148"/>
      <c r="N120" s="231"/>
      <c r="O120" s="148"/>
      <c r="P120" s="148"/>
      <c r="Q120" s="209"/>
      <c r="R120" s="148"/>
      <c r="S120" s="231"/>
      <c r="T120" s="148"/>
      <c r="U120" s="148"/>
      <c r="V120" s="148"/>
    </row>
    <row r="121" spans="2:22" hidden="1">
      <c r="B121" s="144"/>
      <c r="C121" s="127"/>
      <c r="D121" s="127"/>
      <c r="E121" s="145"/>
      <c r="F121" s="129"/>
      <c r="G121" s="146"/>
      <c r="H121" s="147"/>
      <c r="I121" s="148"/>
      <c r="J121" s="149"/>
      <c r="K121" s="147"/>
      <c r="L121" s="148"/>
      <c r="M121" s="148"/>
      <c r="N121" s="231"/>
      <c r="O121" s="148"/>
      <c r="P121" s="148"/>
      <c r="Q121" s="209"/>
      <c r="R121" s="148"/>
      <c r="S121" s="231"/>
      <c r="T121" s="148"/>
      <c r="U121" s="148"/>
      <c r="V121" s="148"/>
    </row>
    <row r="122" spans="2:22" hidden="1">
      <c r="B122" s="144"/>
      <c r="C122" s="127"/>
      <c r="D122" s="127"/>
      <c r="E122" s="145"/>
      <c r="F122" s="129"/>
      <c r="G122" s="146"/>
      <c r="H122" s="147"/>
      <c r="I122" s="148"/>
      <c r="J122" s="149"/>
      <c r="K122" s="147"/>
      <c r="L122" s="148"/>
      <c r="M122" s="148"/>
      <c r="N122" s="231"/>
      <c r="O122" s="148"/>
      <c r="P122" s="148"/>
      <c r="Q122" s="209"/>
      <c r="R122" s="148"/>
      <c r="S122" s="231"/>
      <c r="T122" s="148"/>
      <c r="U122" s="148"/>
      <c r="V122" s="148"/>
    </row>
    <row r="123" spans="2:22" hidden="1">
      <c r="B123" s="144"/>
      <c r="C123" s="127"/>
      <c r="D123" s="127"/>
      <c r="E123" s="145"/>
      <c r="F123" s="129"/>
      <c r="G123" s="146"/>
      <c r="H123" s="147"/>
      <c r="I123" s="148"/>
      <c r="J123" s="149"/>
      <c r="K123" s="147"/>
      <c r="L123" s="148"/>
      <c r="M123" s="148"/>
      <c r="N123" s="231"/>
      <c r="O123" s="148"/>
      <c r="P123" s="148"/>
      <c r="Q123" s="209"/>
      <c r="R123" s="148"/>
      <c r="S123" s="231"/>
      <c r="T123" s="148"/>
      <c r="U123" s="148"/>
      <c r="V123" s="148"/>
    </row>
    <row r="124" spans="2:22" hidden="1">
      <c r="B124" s="144"/>
      <c r="C124" s="127"/>
      <c r="D124" s="127"/>
      <c r="E124" s="145"/>
      <c r="F124" s="129"/>
      <c r="G124" s="146"/>
      <c r="H124" s="147"/>
      <c r="I124" s="148"/>
      <c r="J124" s="149"/>
      <c r="K124" s="147"/>
      <c r="L124" s="148"/>
      <c r="M124" s="148"/>
      <c r="N124" s="231"/>
      <c r="O124" s="148"/>
      <c r="P124" s="148"/>
      <c r="Q124" s="209"/>
      <c r="R124" s="148"/>
      <c r="S124" s="231"/>
      <c r="T124" s="148"/>
      <c r="U124" s="148"/>
      <c r="V124" s="148"/>
    </row>
    <row r="125" spans="2:22" hidden="1">
      <c r="B125" s="144"/>
      <c r="C125" s="127"/>
      <c r="D125" s="127"/>
      <c r="E125" s="145"/>
      <c r="F125" s="129"/>
      <c r="G125" s="146"/>
      <c r="H125" s="147"/>
      <c r="I125" s="148"/>
      <c r="J125" s="149"/>
      <c r="K125" s="147"/>
      <c r="L125" s="148"/>
      <c r="M125" s="148"/>
      <c r="N125" s="231"/>
      <c r="O125" s="148"/>
      <c r="P125" s="148"/>
      <c r="Q125" s="209"/>
      <c r="R125" s="148"/>
      <c r="S125" s="231"/>
      <c r="T125" s="148"/>
      <c r="U125" s="148"/>
      <c r="V125" s="148"/>
    </row>
    <row r="126" spans="2:22" hidden="1">
      <c r="B126" s="144"/>
      <c r="C126" s="127"/>
      <c r="D126" s="127"/>
      <c r="E126" s="145"/>
      <c r="F126" s="129"/>
      <c r="G126" s="146"/>
      <c r="H126" s="147"/>
      <c r="I126" s="148"/>
      <c r="J126" s="149"/>
      <c r="K126" s="147"/>
      <c r="L126" s="148"/>
      <c r="M126" s="148"/>
      <c r="N126" s="231"/>
      <c r="O126" s="148"/>
      <c r="P126" s="148"/>
      <c r="Q126" s="209"/>
      <c r="R126" s="148"/>
      <c r="S126" s="231"/>
      <c r="T126" s="148"/>
      <c r="U126" s="148"/>
      <c r="V126" s="148"/>
    </row>
    <row r="127" spans="2:22" hidden="1">
      <c r="B127" s="144"/>
      <c r="C127" s="127"/>
      <c r="D127" s="127"/>
      <c r="E127" s="145"/>
      <c r="F127" s="129"/>
      <c r="G127" s="146"/>
      <c r="H127" s="147"/>
      <c r="I127" s="148"/>
      <c r="J127" s="149"/>
      <c r="K127" s="147"/>
      <c r="L127" s="148"/>
      <c r="M127" s="148"/>
      <c r="N127" s="231"/>
      <c r="O127" s="148"/>
      <c r="P127" s="148"/>
      <c r="Q127" s="209"/>
      <c r="R127" s="148"/>
      <c r="S127" s="231"/>
      <c r="T127" s="148"/>
      <c r="U127" s="148"/>
      <c r="V127" s="148"/>
    </row>
    <row r="128" spans="2:22" hidden="1">
      <c r="J128" s="161"/>
      <c r="N128" s="133"/>
      <c r="O128" s="133"/>
      <c r="R128" s="131"/>
      <c r="S128" s="131"/>
      <c r="T128" s="131"/>
      <c r="U128" s="131"/>
    </row>
    <row r="129" spans="2:21" hidden="1">
      <c r="E129" s="259">
        <f>IF(E145="Error",0,E145)</f>
        <v>0</v>
      </c>
      <c r="F129" s="260"/>
      <c r="G129" s="261"/>
      <c r="H129" s="262"/>
      <c r="I129" s="263"/>
      <c r="J129" s="264">
        <v>2023</v>
      </c>
      <c r="K129" s="262"/>
      <c r="L129" s="261">
        <f>IF(L145="Error",0,-L145)</f>
        <v>0</v>
      </c>
      <c r="N129" s="133"/>
      <c r="O129" s="133"/>
      <c r="R129" s="131"/>
      <c r="S129" s="131"/>
      <c r="T129" s="131"/>
      <c r="U129" s="131"/>
    </row>
    <row r="130" spans="2:21" hidden="1">
      <c r="E130" s="259">
        <f>IF(E146="Error",0,E146)</f>
        <v>0</v>
      </c>
      <c r="F130" s="260"/>
      <c r="G130" s="261"/>
      <c r="H130" s="262"/>
      <c r="I130" s="263"/>
      <c r="J130" s="264">
        <v>2024</v>
      </c>
      <c r="K130" s="262"/>
      <c r="L130" s="261">
        <f>IF(L146="Error",0,-L146)</f>
        <v>0</v>
      </c>
    </row>
    <row r="131" spans="2:21" hidden="1">
      <c r="E131" s="259">
        <f>IF(E147="Error",0,E147)</f>
        <v>46069</v>
      </c>
      <c r="F131" s="260"/>
      <c r="G131" s="261"/>
      <c r="H131" s="262"/>
      <c r="I131" s="263"/>
      <c r="J131" s="264">
        <v>2025</v>
      </c>
      <c r="K131" s="262"/>
      <c r="L131" s="261">
        <f>IF(L147="Error",0,-L147)</f>
        <v>-433690.6</v>
      </c>
    </row>
    <row r="132" spans="2:21" hidden="1">
      <c r="E132" s="259">
        <f ca="1">TODAY()</f>
        <v>46110</v>
      </c>
      <c r="F132" s="260"/>
      <c r="G132" s="261"/>
      <c r="H132" s="262"/>
      <c r="I132" s="263"/>
      <c r="J132" s="265" t="s">
        <v>979</v>
      </c>
      <c r="K132" s="262"/>
      <c r="L132" s="261">
        <f>-_xlfn.XLOOKUP(Z1,INVESTORS_LIST[INVESTOR CODE],INVESTORS_LIST[TOTAL MARKET VALUE])</f>
        <v>-28762380.816</v>
      </c>
    </row>
    <row r="133" spans="2:21" ht="13.5" thickBot="1">
      <c r="J133" s="161"/>
    </row>
    <row r="134" spans="2:21" ht="15" customHeight="1">
      <c r="E134" s="314" t="s">
        <v>980</v>
      </c>
      <c r="F134" s="315"/>
      <c r="G134" s="315"/>
      <c r="H134" s="315"/>
      <c r="I134" s="315"/>
      <c r="J134" s="315"/>
      <c r="K134" s="227"/>
      <c r="L134" s="228">
        <f>_xlfn.XLOOKUP(J7,INVESTORS_LIST[INVESTOR CODE],INVESTORS_LIST[TOTAL COST VALUE OF CURRENT INVESTMENT])</f>
        <v>28433690.600000001</v>
      </c>
    </row>
    <row r="135" spans="2:21" ht="15" customHeight="1">
      <c r="E135" s="311" t="s">
        <v>1507</v>
      </c>
      <c r="F135" s="312"/>
      <c r="G135" s="312"/>
      <c r="H135" s="312"/>
      <c r="I135" s="312"/>
      <c r="J135" s="312"/>
      <c r="K135" s="147"/>
      <c r="L135" s="232">
        <f>_xlfn.XLOOKUP(Z1,INVESTORS_LIST[INVESTOR CODE],INVESTORS_LIST[TOTAL CURRENT UNITS])</f>
        <v>2291458</v>
      </c>
    </row>
    <row r="136" spans="2:21" ht="15" customHeight="1" thickBot="1">
      <c r="E136" s="309" t="s">
        <v>981</v>
      </c>
      <c r="F136" s="310"/>
      <c r="G136" s="310"/>
      <c r="H136" s="310"/>
      <c r="I136" s="310"/>
      <c r="J136" s="310"/>
      <c r="K136" s="248"/>
      <c r="L136" s="250">
        <f>LS!U1</f>
        <v>12.552</v>
      </c>
    </row>
    <row r="137" spans="2:21" ht="13.5" thickBot="1">
      <c r="E137" s="252" t="s">
        <v>1586</v>
      </c>
      <c r="F137" s="253"/>
      <c r="G137" s="253"/>
      <c r="H137" s="253"/>
      <c r="I137" s="253"/>
      <c r="J137" s="254">
        <f ca="1">TODAY()</f>
        <v>46110</v>
      </c>
      <c r="K137" s="255"/>
      <c r="L137" s="256">
        <f>_xlfn.XLOOKUP(Z1,INVESTORS_LIST[INVESTOR CODE],INVESTORS_LIST[TOTAL MARKET VALUE])</f>
        <v>28762380.816</v>
      </c>
    </row>
    <row r="138" spans="2:21">
      <c r="E138" s="307" t="s">
        <v>1508</v>
      </c>
      <c r="F138" s="308"/>
      <c r="G138" s="308"/>
      <c r="H138" s="308"/>
      <c r="I138" s="308"/>
      <c r="J138" s="308"/>
      <c r="K138" s="158"/>
      <c r="L138" s="251">
        <f>L137-L134</f>
        <v>328690.21599999815</v>
      </c>
    </row>
    <row r="139" spans="2:21">
      <c r="E139" s="311" t="s">
        <v>1509</v>
      </c>
      <c r="F139" s="312"/>
      <c r="G139" s="312"/>
      <c r="H139" s="312"/>
      <c r="I139" s="312"/>
      <c r="J139" s="312"/>
      <c r="K139" s="147"/>
      <c r="L139" s="229">
        <f>_xlfn.XLOOKUP(Z1,INVESTORS_LIST[INVESTOR CODE],INVESTORS_LIST[TOTAL REALIZED GAIN])</f>
        <v>0</v>
      </c>
    </row>
    <row r="140" spans="2:21" ht="13.5" thickBot="1">
      <c r="E140" s="309" t="s">
        <v>1565</v>
      </c>
      <c r="F140" s="310"/>
      <c r="G140" s="310"/>
      <c r="H140" s="310"/>
      <c r="I140" s="310"/>
      <c r="J140" s="310"/>
      <c r="K140" s="248"/>
      <c r="L140" s="249">
        <f>_xlfn.XLOOKUP(Z1,INVESTORS_LIST[INVESTOR CODE],INVESTORS_LIST[TOTAL GROSS DIVIDEND])</f>
        <v>433690.6</v>
      </c>
    </row>
    <row r="141" spans="2:21" ht="13.5" thickBot="1">
      <c r="E141" s="305" t="s">
        <v>1510</v>
      </c>
      <c r="F141" s="306"/>
      <c r="G141" s="306"/>
      <c r="H141" s="306"/>
      <c r="I141" s="306"/>
      <c r="J141" s="306"/>
      <c r="K141" s="257"/>
      <c r="L141" s="258">
        <f>SUM(L138:L140)</f>
        <v>762380.81599999813</v>
      </c>
    </row>
    <row r="142" spans="2:21">
      <c r="F142" s="162"/>
      <c r="G142" s="162"/>
      <c r="H142" s="162"/>
      <c r="I142" s="162"/>
      <c r="J142" s="163"/>
    </row>
    <row r="143" spans="2:21" ht="36.75" customHeight="1">
      <c r="B143" s="266"/>
      <c r="C143" s="266"/>
      <c r="D143" s="266"/>
      <c r="E143" s="266" t="s">
        <v>982</v>
      </c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6"/>
      <c r="Q143" s="266"/>
      <c r="R143" s="266"/>
      <c r="S143" s="266"/>
      <c r="T143" s="266"/>
      <c r="U143" s="266"/>
    </row>
    <row r="144" spans="2:21">
      <c r="E144" s="244" t="s">
        <v>1562</v>
      </c>
      <c r="F144" s="242"/>
      <c r="G144" s="245"/>
      <c r="H144" s="246"/>
      <c r="I144" s="243"/>
      <c r="J144" s="243" t="s">
        <v>1563</v>
      </c>
      <c r="K144" s="246"/>
      <c r="L144" s="245" t="s">
        <v>1566</v>
      </c>
      <c r="M144" s="245"/>
      <c r="N144" s="243" t="s">
        <v>1135</v>
      </c>
      <c r="O144" s="243" t="s">
        <v>988</v>
      </c>
      <c r="P144" s="243" t="s">
        <v>989</v>
      </c>
    </row>
    <row r="145" spans="5:16" hidden="1">
      <c r="E145" s="239" t="str" cm="1">
        <f t="array" ref="E145">_xlfn.XLOOKUP(1,(DivAndTax[Investor ID]='T. History'!$Z$1)*(DivAndTax[Accounting Year]='T. History'!J145),DivAndTax[Paid Date],"Error")</f>
        <v>Error</v>
      </c>
      <c r="F145" s="129"/>
      <c r="G145" s="146"/>
      <c r="H145" s="147"/>
      <c r="I145" s="149"/>
      <c r="J145" s="241">
        <v>2023</v>
      </c>
      <c r="K145" s="147"/>
      <c r="L145" s="146" t="str" cm="1">
        <f t="array" ref="L145">_xlfn.XLOOKUP(1,(DivAndTax[Investor ID]='T. History'!$Z$1)*(DivAndTax[Accounting Year]='T. History'!J145),DivAndTax[Gross Dividend],"Error")</f>
        <v>Error</v>
      </c>
      <c r="M145" s="146"/>
      <c r="N145" s="149" t="str" cm="1">
        <f t="array" ref="N145">_xlfn.XLOOKUP(1,(DivAndTax[Investor ID]='T. History'!$Z$1)*(DivAndTax[Accounting Year]='T. History'!J145),DivAndTax[Dividend Option],"Error")</f>
        <v>Error</v>
      </c>
      <c r="O145" s="148" t="str" cm="1">
        <f t="array" ref="O145">_xlfn.XLOOKUP(1,(DivAndTax[Investor ID]='T. History'!$Z$1)*(DivAndTax[Accounting Year]='T. History'!J145),DivAndTax[Tax Amount],"Error")</f>
        <v>Error</v>
      </c>
      <c r="P145" s="146" t="str" cm="1">
        <f t="array" ref="P145">_xlfn.XLOOKUP(1,(DivAndTax[Investor ID]='T. History'!$Z$1)*(DivAndTax[Accounting Year]='T. History'!J145),DivAndTax[Net Dividend],"Error")</f>
        <v>Error</v>
      </c>
    </row>
    <row r="146" spans="5:16" hidden="1">
      <c r="E146" s="239" t="str" cm="1">
        <f t="array" ref="E146">_xlfn.XLOOKUP(1,(DivAndTax[Investor ID]='T. History'!$Z$1)*(DivAndTax[Accounting Year]='T. History'!J146),DivAndTax[Paid Date],"Error")</f>
        <v>Error</v>
      </c>
      <c r="F146" s="129"/>
      <c r="G146" s="146"/>
      <c r="H146" s="147"/>
      <c r="I146" s="149"/>
      <c r="J146" s="241">
        <v>2024</v>
      </c>
      <c r="K146" s="147"/>
      <c r="L146" s="146" t="str" cm="1">
        <f t="array" ref="L146">_xlfn.XLOOKUP(1,(DivAndTax[Investor ID]='T. History'!$Z$1)*(DivAndTax[Accounting Year]='T. History'!J146),DivAndTax[Gross Dividend],"Error")</f>
        <v>Error</v>
      </c>
      <c r="M146" s="146"/>
      <c r="N146" s="149" t="str" cm="1">
        <f t="array" ref="N146">_xlfn.XLOOKUP(1,(DivAndTax[Investor ID]='T. History'!$Z$1)*(DivAndTax[Accounting Year]='T. History'!J146),DivAndTax[Dividend Option],"Error")</f>
        <v>Error</v>
      </c>
      <c r="O146" s="148" t="str" cm="1">
        <f t="array" ref="O146">_xlfn.XLOOKUP(1,(DivAndTax[Investor ID]='T. History'!$Z$1)*(DivAndTax[Accounting Year]='T. History'!J146),DivAndTax[Tax Amount],"Error")</f>
        <v>Error</v>
      </c>
      <c r="P146" s="146" t="str" cm="1">
        <f t="array" ref="P146">_xlfn.XLOOKUP(1,(DivAndTax[Investor ID]='T. History'!$Z$1)*(DivAndTax[Accounting Year]='T. History'!J146),DivAndTax[Net Dividend],"Error")</f>
        <v>Error</v>
      </c>
    </row>
    <row r="147" spans="5:16">
      <c r="E147" s="239" cm="1">
        <f t="array" ref="E147">_xlfn.XLOOKUP(1,(DivAndTax[Investor ID]='T. History'!$Z$1)*(DivAndTax[Accounting Year]='T. History'!J147),DivAndTax[Paid Date],"Error")</f>
        <v>46069</v>
      </c>
      <c r="F147" s="129"/>
      <c r="G147" s="146"/>
      <c r="H147" s="147"/>
      <c r="I147" s="149"/>
      <c r="J147" s="241">
        <v>2025</v>
      </c>
      <c r="K147" s="147"/>
      <c r="L147" s="146" cm="1">
        <f t="array" ref="L147">_xlfn.XLOOKUP(1,(DivAndTax[Investor ID]='T. History'!$Z$1)*(DivAndTax[Accounting Year]='T. History'!J147),DivAndTax[Gross Dividend],"Error")</f>
        <v>433690.6</v>
      </c>
      <c r="M147" s="146"/>
      <c r="N147" s="149" t="str" cm="1">
        <f t="array" ref="N147">_xlfn.XLOOKUP(1,(DivAndTax[Investor ID]='T. History'!$Z$1)*(DivAndTax[Accounting Year]='T. History'!J147),DivAndTax[Dividend Option],"Error")</f>
        <v>CIP</v>
      </c>
      <c r="O147" s="148" cm="1">
        <f t="array" ref="O147">_xlfn.XLOOKUP(1,(DivAndTax[Investor ID]='T. History'!$Z$1)*(DivAndTax[Accounting Year]='T. History'!J147),DivAndTax[Tax Amount],"Error")</f>
        <v>65053.59</v>
      </c>
      <c r="P147" s="146" cm="1">
        <f t="array" ref="P147">_xlfn.XLOOKUP(1,(DivAndTax[Investor ID]='T. History'!$Z$1)*(DivAndTax[Accounting Year]='T. History'!J147),DivAndTax[Net Dividend],"Error")</f>
        <v>368637.01</v>
      </c>
    </row>
    <row r="148" spans="5:16" hidden="1">
      <c r="E148" s="239" t="str" cm="1">
        <f t="array" ref="E148">_xlfn.XLOOKUP(1,(DivAndTax[Investor ID]='T. History'!$Z$1)*(DivAndTax[Accounting Year]='T. History'!J148),DivAndTax[Paid Date],"Error")</f>
        <v>Error</v>
      </c>
      <c r="F148" s="129"/>
      <c r="G148" s="146"/>
      <c r="H148" s="147"/>
      <c r="I148" s="149"/>
      <c r="J148" s="241">
        <v>2026</v>
      </c>
      <c r="K148" s="147"/>
      <c r="L148" s="146" t="str" cm="1">
        <f t="array" ref="L148">_xlfn.XLOOKUP(1,(DivAndTax[Investor ID]='T. History'!$Z$1)*(DivAndTax[Accounting Year]='T. History'!J148),DivAndTax[Gross Dividend],"Error")</f>
        <v>Error</v>
      </c>
      <c r="M148" s="146"/>
      <c r="N148" s="149" t="str" cm="1">
        <f t="array" ref="N148">_xlfn.XLOOKUP(1,(DivAndTax[Investor ID]='T. History'!$Z$1)*(DivAndTax[Accounting Year]='T. History'!J148),DivAndTax[Dividend Option],"Error")</f>
        <v>Error</v>
      </c>
      <c r="O148" s="148" t="str" cm="1">
        <f t="array" ref="O148">_xlfn.XLOOKUP(1,(DivAndTax[Investor ID]='T. History'!$Z$1)*(DivAndTax[Accounting Year]='T. History'!J148),DivAndTax[Tax Amount],"Error")</f>
        <v>Error</v>
      </c>
      <c r="P148" s="146" t="str" cm="1">
        <f t="array" ref="P148">_xlfn.XLOOKUP(1,(DivAndTax[Investor ID]='T. History'!$Z$1)*(DivAndTax[Accounting Year]='T. History'!J148),DivAndTax[Net Dividend],"Error")</f>
        <v>Error</v>
      </c>
    </row>
    <row r="149" spans="5:16" hidden="1">
      <c r="E149" s="239" t="str" cm="1">
        <f t="array" ref="E149">_xlfn.XLOOKUP(1,(DivAndTax[Investor ID]='T. History'!$Z$1)*(DivAndTax[Accounting Year]='T. History'!J149),DivAndTax[Paid Date],"Error")</f>
        <v>Error</v>
      </c>
      <c r="F149" s="129"/>
      <c r="G149" s="146"/>
      <c r="H149" s="147"/>
      <c r="I149" s="149"/>
      <c r="J149" s="241">
        <v>2027</v>
      </c>
      <c r="K149" s="147"/>
      <c r="L149" s="146" t="str" cm="1">
        <f t="array" ref="L149">_xlfn.XLOOKUP(1,(DivAndTax[Investor ID]='T. History'!$Z$1)*(DivAndTax[Accounting Year]='T. History'!J149),DivAndTax[Gross Dividend],"Error")</f>
        <v>Error</v>
      </c>
      <c r="M149" s="146"/>
      <c r="N149" s="149" t="str" cm="1">
        <f t="array" ref="N149">_xlfn.XLOOKUP(1,(DivAndTax[Investor ID]='T. History'!$Z$1)*(DivAndTax[Accounting Year]='T. History'!J149),DivAndTax[Dividend Option],"Error")</f>
        <v>Error</v>
      </c>
      <c r="O149" s="148" t="str" cm="1">
        <f t="array" ref="O149">_xlfn.XLOOKUP(1,(DivAndTax[Investor ID]='T. History'!$Z$1)*(DivAndTax[Accounting Year]='T. History'!J149),DivAndTax[Tax Amount],"Error")</f>
        <v>Error</v>
      </c>
      <c r="P149" s="146" t="str" cm="1">
        <f t="array" ref="P149">_xlfn.XLOOKUP(1,(DivAndTax[Investor ID]='T. History'!$Z$1)*(DivAndTax[Accounting Year]='T. History'!J149),DivAndTax[Net Dividend],"Error")</f>
        <v>Error</v>
      </c>
    </row>
    <row r="150" spans="5:16" hidden="1">
      <c r="E150" s="239" t="str" cm="1">
        <f t="array" ref="E150">_xlfn.XLOOKUP(1,(DivAndTax[Investor ID]='T. History'!$Z$1)*(DivAndTax[Accounting Year]='T. History'!J150),DivAndTax[Paid Date],"Error")</f>
        <v>Error</v>
      </c>
      <c r="F150" s="129"/>
      <c r="G150" s="146"/>
      <c r="H150" s="147"/>
      <c r="I150" s="149"/>
      <c r="J150" s="241">
        <v>2028</v>
      </c>
      <c r="K150" s="147"/>
      <c r="L150" s="146" t="str" cm="1">
        <f t="array" ref="L150">_xlfn.XLOOKUP(1,(DivAndTax[Investor ID]='T. History'!$Z$1)*(DivAndTax[Accounting Year]='T. History'!J150),DivAndTax[Gross Dividend],"Error")</f>
        <v>Error</v>
      </c>
      <c r="M150" s="146"/>
      <c r="N150" s="149" t="str" cm="1">
        <f t="array" ref="N150">_xlfn.XLOOKUP(1,(DivAndTax[Investor ID]='T. History'!$Z$1)*(DivAndTax[Accounting Year]='T. History'!J150),DivAndTax[Dividend Option],"Error")</f>
        <v>Error</v>
      </c>
      <c r="O150" s="148" t="str" cm="1">
        <f t="array" ref="O150">_xlfn.XLOOKUP(1,(DivAndTax[Investor ID]='T. History'!$Z$1)*(DivAndTax[Accounting Year]='T. History'!J150),DivAndTax[Tax Amount],"Error")</f>
        <v>Error</v>
      </c>
      <c r="P150" s="146" t="str" cm="1">
        <f t="array" ref="P150">_xlfn.XLOOKUP(1,(DivAndTax[Investor ID]='T. History'!$Z$1)*(DivAndTax[Accounting Year]='T. History'!J150),DivAndTax[Net Dividend],"Error")</f>
        <v>Error</v>
      </c>
    </row>
    <row r="151" spans="5:16" hidden="1">
      <c r="E151" s="239" t="str" cm="1">
        <f t="array" ref="E151">_xlfn.XLOOKUP(1,(DivAndTax[Investor ID]='T. History'!$Z$1)*(DivAndTax[Accounting Year]='T. History'!J151),DivAndTax[Paid Date],"Error")</f>
        <v>Error</v>
      </c>
      <c r="F151" s="129"/>
      <c r="G151" s="146"/>
      <c r="H151" s="147"/>
      <c r="I151" s="149"/>
      <c r="J151" s="241">
        <v>2029</v>
      </c>
      <c r="K151" s="147"/>
      <c r="L151" s="146" t="str" cm="1">
        <f t="array" ref="L151">_xlfn.XLOOKUP(1,(DivAndTax[Investor ID]='T. History'!$Z$1)*(DivAndTax[Accounting Year]='T. History'!J151),DivAndTax[Gross Dividend],"Error")</f>
        <v>Error</v>
      </c>
      <c r="M151" s="146"/>
      <c r="N151" s="149" t="str" cm="1">
        <f t="array" ref="N151">_xlfn.XLOOKUP(1,(DivAndTax[Investor ID]='T. History'!$Z$1)*(DivAndTax[Accounting Year]='T. History'!J151),DivAndTax[Dividend Option],"Error")</f>
        <v>Error</v>
      </c>
      <c r="O151" s="148" t="str" cm="1">
        <f t="array" ref="O151">_xlfn.XLOOKUP(1,(DivAndTax[Investor ID]='T. History'!$Z$1)*(DivAndTax[Accounting Year]='T. History'!J151),DivAndTax[Tax Amount],"Error")</f>
        <v>Error</v>
      </c>
      <c r="P151" s="146" t="str" cm="1">
        <f t="array" ref="P151">_xlfn.XLOOKUP(1,(DivAndTax[Investor ID]='T. History'!$Z$1)*(DivAndTax[Accounting Year]='T. History'!J151),DivAndTax[Net Dividend],"Error")</f>
        <v>Error</v>
      </c>
    </row>
    <row r="152" spans="5:16" hidden="1">
      <c r="E152" s="239" t="str" cm="1">
        <f t="array" ref="E152">_xlfn.XLOOKUP(1,(DivAndTax[Investor ID]='T. History'!$Z$1)*(DivAndTax[Accounting Year]='T. History'!J152),DivAndTax[Paid Date],"Error")</f>
        <v>Error</v>
      </c>
      <c r="F152" s="129"/>
      <c r="G152" s="146"/>
      <c r="H152" s="147"/>
      <c r="I152" s="149"/>
      <c r="J152" s="241">
        <v>2030</v>
      </c>
      <c r="K152" s="147"/>
      <c r="L152" s="146" t="str" cm="1">
        <f t="array" ref="L152">_xlfn.XLOOKUP(1,(DivAndTax[Investor ID]='T. History'!$Z$1)*(DivAndTax[Accounting Year]='T. History'!J152),DivAndTax[Gross Dividend],"Error")</f>
        <v>Error</v>
      </c>
      <c r="M152" s="146"/>
      <c r="N152" s="149" t="str" cm="1">
        <f t="array" ref="N152">_xlfn.XLOOKUP(1,(DivAndTax[Investor ID]='T. History'!$Z$1)*(DivAndTax[Accounting Year]='T. History'!J152),DivAndTax[Dividend Option],"Error")</f>
        <v>Error</v>
      </c>
      <c r="O152" s="148" t="str" cm="1">
        <f t="array" ref="O152">_xlfn.XLOOKUP(1,(DivAndTax[Investor ID]='T. History'!$Z$1)*(DivAndTax[Accounting Year]='T. History'!J152),DivAndTax[Tax Amount],"Error")</f>
        <v>Error</v>
      </c>
      <c r="P152" s="146" t="str" cm="1">
        <f t="array" ref="P152">_xlfn.XLOOKUP(1,(DivAndTax[Investor ID]='T. History'!$Z$1)*(DivAndTax[Accounting Year]='T. History'!J152),DivAndTax[Net Dividend],"Error")</f>
        <v>Error</v>
      </c>
    </row>
    <row r="153" spans="5:16" hidden="1">
      <c r="E153" s="239" t="str" cm="1">
        <f t="array" ref="E153">_xlfn.XLOOKUP(1,(DivAndTax[Investor ID]='T. History'!$Z$1)*(DivAndTax[Accounting Year]='T. History'!J153),DivAndTax[Paid Date],"Error")</f>
        <v>Error</v>
      </c>
      <c r="F153" s="129"/>
      <c r="G153" s="146"/>
      <c r="H153" s="147"/>
      <c r="I153" s="149"/>
      <c r="J153" s="241">
        <v>2031</v>
      </c>
      <c r="K153" s="147"/>
      <c r="L153" s="146" t="str" cm="1">
        <f t="array" ref="L153">_xlfn.XLOOKUP(1,(DivAndTax[Investor ID]='T. History'!$Z$1)*(DivAndTax[Accounting Year]='T. History'!J153),DivAndTax[Gross Dividend],"Error")</f>
        <v>Error</v>
      </c>
      <c r="M153" s="146"/>
      <c r="N153" s="149" t="str" cm="1">
        <f t="array" ref="N153">_xlfn.XLOOKUP(1,(DivAndTax[Investor ID]='T. History'!$Z$1)*(DivAndTax[Accounting Year]='T. History'!J153),DivAndTax[Dividend Option],"Error")</f>
        <v>Error</v>
      </c>
      <c r="O153" s="148" t="str" cm="1">
        <f t="array" ref="O153">_xlfn.XLOOKUP(1,(DivAndTax[Investor ID]='T. History'!$Z$1)*(DivAndTax[Accounting Year]='T. History'!J153),DivAndTax[Tax Amount],"Error")</f>
        <v>Error</v>
      </c>
      <c r="P153" s="146" t="str" cm="1">
        <f t="array" ref="P153">_xlfn.XLOOKUP(1,(DivAndTax[Investor ID]='T. History'!$Z$1)*(DivAndTax[Accounting Year]='T. History'!J153),DivAndTax[Net Dividend],"Error")</f>
        <v>Error</v>
      </c>
    </row>
    <row r="154" spans="5:16" hidden="1">
      <c r="E154" s="239" t="str" cm="1">
        <f t="array" ref="E154">_xlfn.XLOOKUP(1,(DivAndTax[Investor ID]='T. History'!$Z$1)*(DivAndTax[Accounting Year]='T. History'!J154),DivAndTax[Paid Date],"Error")</f>
        <v>Error</v>
      </c>
      <c r="F154" s="129"/>
      <c r="G154" s="146"/>
      <c r="H154" s="147"/>
      <c r="I154" s="149"/>
      <c r="J154" s="241">
        <v>2032</v>
      </c>
      <c r="K154" s="147"/>
      <c r="L154" s="146" t="str" cm="1">
        <f t="array" ref="L154">_xlfn.XLOOKUP(1,(DivAndTax[Investor ID]='T. History'!$Z$1)*(DivAndTax[Accounting Year]='T. History'!J154),DivAndTax[Gross Dividend],"Error")</f>
        <v>Error</v>
      </c>
      <c r="M154" s="146"/>
      <c r="N154" s="149" t="str" cm="1">
        <f t="array" ref="N154">_xlfn.XLOOKUP(1,(DivAndTax[Investor ID]='T. History'!$Z$1)*(DivAndTax[Accounting Year]='T. History'!J154),DivAndTax[Dividend Option],"Error")</f>
        <v>Error</v>
      </c>
      <c r="O154" s="148" t="str" cm="1">
        <f t="array" ref="O154">_xlfn.XLOOKUP(1,(DivAndTax[Investor ID]='T. History'!$Z$1)*(DivAndTax[Accounting Year]='T. History'!J154),DivAndTax[Tax Amount],"Error")</f>
        <v>Error</v>
      </c>
      <c r="P154" s="146" t="str" cm="1">
        <f t="array" ref="P154">_xlfn.XLOOKUP(1,(DivAndTax[Investor ID]='T. History'!$Z$1)*(DivAndTax[Accounting Year]='T. History'!J154),DivAndTax[Net Dividend],"Error")</f>
        <v>Error</v>
      </c>
    </row>
    <row r="155" spans="5:16" hidden="1">
      <c r="E155" s="239" t="str" cm="1">
        <f t="array" ref="E155">_xlfn.XLOOKUP(1,(DivAndTax[Investor ID]='T. History'!$Z$1)*(DivAndTax[Accounting Year]='T. History'!J155),DivAndTax[Paid Date],"Error")</f>
        <v>Error</v>
      </c>
      <c r="F155" s="129"/>
      <c r="G155" s="146"/>
      <c r="H155" s="147"/>
      <c r="I155" s="149"/>
      <c r="J155" s="241">
        <v>2033</v>
      </c>
      <c r="K155" s="147"/>
      <c r="L155" s="146" t="str" cm="1">
        <f t="array" ref="L155">_xlfn.XLOOKUP(1,(DivAndTax[Investor ID]='T. History'!$Z$1)*(DivAndTax[Accounting Year]='T. History'!J155),DivAndTax[Gross Dividend],"Error")</f>
        <v>Error</v>
      </c>
      <c r="M155" s="146"/>
      <c r="N155" s="149" t="str" cm="1">
        <f t="array" ref="N155">_xlfn.XLOOKUP(1,(DivAndTax[Investor ID]='T. History'!$Z$1)*(DivAndTax[Accounting Year]='T. History'!J155),DivAndTax[Dividend Option],"Error")</f>
        <v>Error</v>
      </c>
      <c r="O155" s="148" t="str" cm="1">
        <f t="array" ref="O155">_xlfn.XLOOKUP(1,(DivAndTax[Investor ID]='T. History'!$Z$1)*(DivAndTax[Accounting Year]='T. History'!J155),DivAndTax[Tax Amount],"Error")</f>
        <v>Error</v>
      </c>
      <c r="P155" s="146" t="str" cm="1">
        <f t="array" ref="P155">_xlfn.XLOOKUP(1,(DivAndTax[Investor ID]='T. History'!$Z$1)*(DivAndTax[Accounting Year]='T. History'!J155),DivAndTax[Net Dividend],"Error")</f>
        <v>Error</v>
      </c>
    </row>
    <row r="156" spans="5:16" hidden="1">
      <c r="E156" s="239" t="str" cm="1">
        <f t="array" ref="E156">_xlfn.XLOOKUP(1,(DivAndTax[Investor ID]='T. History'!$Z$1)*(DivAndTax[Accounting Year]='T. History'!J156),DivAndTax[Paid Date],"Error")</f>
        <v>Error</v>
      </c>
      <c r="F156" s="129"/>
      <c r="G156" s="146"/>
      <c r="H156" s="147"/>
      <c r="I156" s="149"/>
      <c r="J156" s="241">
        <v>2034</v>
      </c>
      <c r="K156" s="147"/>
      <c r="L156" s="146" t="str" cm="1">
        <f t="array" ref="L156">_xlfn.XLOOKUP(1,(DivAndTax[Investor ID]='T. History'!$Z$1)*(DivAndTax[Accounting Year]='T. History'!J156),DivAndTax[Gross Dividend],"Error")</f>
        <v>Error</v>
      </c>
      <c r="M156" s="146"/>
      <c r="N156" s="149" t="str" cm="1">
        <f t="array" ref="N156">_xlfn.XLOOKUP(1,(DivAndTax[Investor ID]='T. History'!$Z$1)*(DivAndTax[Accounting Year]='T. History'!J156),DivAndTax[Dividend Option],"Error")</f>
        <v>Error</v>
      </c>
      <c r="O156" s="148" t="str" cm="1">
        <f t="array" ref="O156">_xlfn.XLOOKUP(1,(DivAndTax[Investor ID]='T. History'!$Z$1)*(DivAndTax[Accounting Year]='T. History'!J156),DivAndTax[Tax Amount],"Error")</f>
        <v>Error</v>
      </c>
      <c r="P156" s="146" t="str" cm="1">
        <f t="array" ref="P156">_xlfn.XLOOKUP(1,(DivAndTax[Investor ID]='T. History'!$Z$1)*(DivAndTax[Accounting Year]='T. History'!J156),DivAndTax[Net Dividend],"Error")</f>
        <v>Error</v>
      </c>
    </row>
    <row r="157" spans="5:16" hidden="1">
      <c r="E157" s="239" t="str" cm="1">
        <f t="array" ref="E157">_xlfn.XLOOKUP(1,(DivAndTax[Investor ID]='T. History'!$Z$1)*(DivAndTax[Accounting Year]='T. History'!J157),DivAndTax[Paid Date],"Error")</f>
        <v>Error</v>
      </c>
      <c r="F157" s="129"/>
      <c r="G157" s="146"/>
      <c r="H157" s="147"/>
      <c r="I157" s="149"/>
      <c r="J157" s="241">
        <v>2035</v>
      </c>
      <c r="K157" s="147"/>
      <c r="L157" s="146" t="str" cm="1">
        <f t="array" ref="L157">_xlfn.XLOOKUP(1,(DivAndTax[Investor ID]='T. History'!$Z$1)*(DivAndTax[Accounting Year]='T. History'!J157),DivAndTax[Gross Dividend],"Error")</f>
        <v>Error</v>
      </c>
      <c r="M157" s="146"/>
      <c r="N157" s="149" t="str" cm="1">
        <f t="array" ref="N157">_xlfn.XLOOKUP(1,(DivAndTax[Investor ID]='T. History'!$Z$1)*(DivAndTax[Accounting Year]='T. History'!J157),DivAndTax[Dividend Option],"Error")</f>
        <v>Error</v>
      </c>
      <c r="O157" s="148" t="str" cm="1">
        <f t="array" ref="O157">_xlfn.XLOOKUP(1,(DivAndTax[Investor ID]='T. History'!$Z$1)*(DivAndTax[Accounting Year]='T. History'!J157),DivAndTax[Tax Amount],"Error")</f>
        <v>Error</v>
      </c>
      <c r="P157" s="146" t="str" cm="1">
        <f t="array" ref="P157">_xlfn.XLOOKUP(1,(DivAndTax[Investor ID]='T. History'!$Z$1)*(DivAndTax[Accounting Year]='T. History'!J157),DivAndTax[Net Dividend],"Error")</f>
        <v>Error</v>
      </c>
    </row>
    <row r="158" spans="5:16" hidden="1">
      <c r="E158" s="239" t="str" cm="1">
        <f t="array" ref="E158">_xlfn.XLOOKUP(1,(DivAndTax[Investor ID]='T. History'!$Z$1)*(DivAndTax[Accounting Year]='T. History'!J158),DivAndTax[Paid Date],"Error")</f>
        <v>Error</v>
      </c>
      <c r="F158" s="129"/>
      <c r="G158" s="146"/>
      <c r="H158" s="147"/>
      <c r="I158" s="149"/>
      <c r="J158" s="241">
        <v>2036</v>
      </c>
      <c r="K158" s="147"/>
      <c r="L158" s="146" t="str" cm="1">
        <f t="array" ref="L158">_xlfn.XLOOKUP(1,(DivAndTax[Investor ID]='T. History'!$Z$1)*(DivAndTax[Accounting Year]='T. History'!J158),DivAndTax[Gross Dividend],"Error")</f>
        <v>Error</v>
      </c>
      <c r="M158" s="146"/>
      <c r="N158" s="149" t="str" cm="1">
        <f t="array" ref="N158">_xlfn.XLOOKUP(1,(DivAndTax[Investor ID]='T. History'!$Z$1)*(DivAndTax[Accounting Year]='T. History'!J158),DivAndTax[Dividend Option],"Error")</f>
        <v>Error</v>
      </c>
      <c r="O158" s="148" t="str" cm="1">
        <f t="array" ref="O158">_xlfn.XLOOKUP(1,(DivAndTax[Investor ID]='T. History'!$Z$1)*(DivAndTax[Accounting Year]='T. History'!J158),DivAndTax[Tax Amount],"Error")</f>
        <v>Error</v>
      </c>
      <c r="P158" s="146" t="str" cm="1">
        <f t="array" ref="P158">_xlfn.XLOOKUP(1,(DivAndTax[Investor ID]='T. History'!$Z$1)*(DivAndTax[Accounting Year]='T. History'!J158),DivAndTax[Net Dividend],"Error")</f>
        <v>Error</v>
      </c>
    </row>
    <row r="159" spans="5:16" hidden="1">
      <c r="E159" s="239" t="str" cm="1">
        <f t="array" ref="E159">_xlfn.XLOOKUP(1,(DivAndTax[Investor ID]='T. History'!$Z$1)*(DivAndTax[Accounting Year]='T. History'!J159),DivAndTax[Paid Date],"Error")</f>
        <v>Error</v>
      </c>
      <c r="F159" s="129"/>
      <c r="G159" s="146"/>
      <c r="H159" s="147"/>
      <c r="I159" s="149"/>
      <c r="J159" s="241">
        <v>2037</v>
      </c>
      <c r="K159" s="147"/>
      <c r="L159" s="146" t="str" cm="1">
        <f t="array" ref="L159">_xlfn.XLOOKUP(1,(DivAndTax[Investor ID]='T. History'!$Z$1)*(DivAndTax[Accounting Year]='T. History'!J159),DivAndTax[Gross Dividend],"Error")</f>
        <v>Error</v>
      </c>
      <c r="M159" s="146"/>
      <c r="N159" s="149" t="str" cm="1">
        <f t="array" ref="N159">_xlfn.XLOOKUP(1,(DivAndTax[Investor ID]='T. History'!$Z$1)*(DivAndTax[Accounting Year]='T. History'!J159),DivAndTax[Dividend Option],"Error")</f>
        <v>Error</v>
      </c>
      <c r="O159" s="148" t="str" cm="1">
        <f t="array" ref="O159">_xlfn.XLOOKUP(1,(DivAndTax[Investor ID]='T. History'!$Z$1)*(DivAndTax[Accounting Year]='T. History'!J159),DivAndTax[Tax Amount],"Error")</f>
        <v>Error</v>
      </c>
      <c r="P159" s="146" t="str" cm="1">
        <f t="array" ref="P159">_xlfn.XLOOKUP(1,(DivAndTax[Investor ID]='T. History'!$Z$1)*(DivAndTax[Accounting Year]='T. History'!J159),DivAndTax[Net Dividend],"Error")</f>
        <v>Error</v>
      </c>
    </row>
    <row r="160" spans="5:16" hidden="1">
      <c r="E160" s="239" t="str" cm="1">
        <f t="array" ref="E160">_xlfn.XLOOKUP(1,(DivAndTax[Investor ID]='T. History'!$Z$1)*(DivAndTax[Accounting Year]='T. History'!J160),DivAndTax[Paid Date],"Error")</f>
        <v>Error</v>
      </c>
      <c r="F160" s="129"/>
      <c r="G160" s="146"/>
      <c r="H160" s="147"/>
      <c r="I160" s="149"/>
      <c r="J160" s="241">
        <v>2038</v>
      </c>
      <c r="K160" s="147"/>
      <c r="L160" s="146" t="str" cm="1">
        <f t="array" ref="L160">_xlfn.XLOOKUP(1,(DivAndTax[Investor ID]='T. History'!$Z$1)*(DivAndTax[Accounting Year]='T. History'!J160),DivAndTax[Gross Dividend],"Error")</f>
        <v>Error</v>
      </c>
      <c r="M160" s="146"/>
      <c r="N160" s="149" t="str" cm="1">
        <f t="array" ref="N160">_xlfn.XLOOKUP(1,(DivAndTax[Investor ID]='T. History'!$Z$1)*(DivAndTax[Accounting Year]='T. History'!J160),DivAndTax[Dividend Option],"Error")</f>
        <v>Error</v>
      </c>
      <c r="O160" s="148" t="str" cm="1">
        <f t="array" ref="O160">_xlfn.XLOOKUP(1,(DivAndTax[Investor ID]='T. History'!$Z$1)*(DivAndTax[Accounting Year]='T. History'!J160),DivAndTax[Tax Amount],"Error")</f>
        <v>Error</v>
      </c>
      <c r="P160" s="146" t="str" cm="1">
        <f t="array" ref="P160">_xlfn.XLOOKUP(1,(DivAndTax[Investor ID]='T. History'!$Z$1)*(DivAndTax[Accounting Year]='T. History'!J160),DivAndTax[Net Dividend],"Error")</f>
        <v>Error</v>
      </c>
    </row>
    <row r="161" spans="5:16" hidden="1">
      <c r="E161" s="239" t="str" cm="1">
        <f t="array" ref="E161">_xlfn.XLOOKUP(1,(DivAndTax[Investor ID]='T. History'!$Z$1)*(DivAndTax[Accounting Year]='T. History'!J161),DivAndTax[Paid Date],"Error")</f>
        <v>Error</v>
      </c>
      <c r="F161" s="129"/>
      <c r="G161" s="146"/>
      <c r="H161" s="147"/>
      <c r="I161" s="149"/>
      <c r="J161" s="241">
        <v>2039</v>
      </c>
      <c r="K161" s="147"/>
      <c r="L161" s="146" t="str" cm="1">
        <f t="array" ref="L161">_xlfn.XLOOKUP(1,(DivAndTax[Investor ID]='T. History'!$Z$1)*(DivAndTax[Accounting Year]='T. History'!J161),DivAndTax[Gross Dividend],"Error")</f>
        <v>Error</v>
      </c>
      <c r="M161" s="146"/>
      <c r="N161" s="149" t="str" cm="1">
        <f t="array" ref="N161">_xlfn.XLOOKUP(1,(DivAndTax[Investor ID]='T. History'!$Z$1)*(DivAndTax[Accounting Year]='T. History'!J161),DivAndTax[Dividend Option],"Error")</f>
        <v>Error</v>
      </c>
      <c r="O161" s="148" t="str" cm="1">
        <f t="array" ref="O161">_xlfn.XLOOKUP(1,(DivAndTax[Investor ID]='T. History'!$Z$1)*(DivAndTax[Accounting Year]='T. History'!J161),DivAndTax[Tax Amount],"Error")</f>
        <v>Error</v>
      </c>
      <c r="P161" s="146" t="str" cm="1">
        <f t="array" ref="P161">_xlfn.XLOOKUP(1,(DivAndTax[Investor ID]='T. History'!$Z$1)*(DivAndTax[Accounting Year]='T. History'!J161),DivAndTax[Net Dividend],"Error")</f>
        <v>Error</v>
      </c>
    </row>
    <row r="162" spans="5:16" hidden="1">
      <c r="E162" s="239" t="str" cm="1">
        <f t="array" ref="E162">_xlfn.XLOOKUP(1,(DivAndTax[Investor ID]='T. History'!$Z$1)*(DivAndTax[Accounting Year]='T. History'!J162),DivAndTax[Paid Date],"Error")</f>
        <v>Error</v>
      </c>
      <c r="F162" s="129"/>
      <c r="G162" s="146"/>
      <c r="H162" s="147"/>
      <c r="I162" s="149"/>
      <c r="J162" s="241">
        <v>2040</v>
      </c>
      <c r="K162" s="147"/>
      <c r="L162" s="146" t="str" cm="1">
        <f t="array" ref="L162">_xlfn.XLOOKUP(1,(DivAndTax[Investor ID]='T. History'!$Z$1)*(DivAndTax[Accounting Year]='T. History'!J162),DivAndTax[Gross Dividend],"Error")</f>
        <v>Error</v>
      </c>
      <c r="M162" s="146"/>
      <c r="N162" s="149" t="str" cm="1">
        <f t="array" ref="N162">_xlfn.XLOOKUP(1,(DivAndTax[Investor ID]='T. History'!$Z$1)*(DivAndTax[Accounting Year]='T. History'!J162),DivAndTax[Dividend Option],"Error")</f>
        <v>Error</v>
      </c>
      <c r="O162" s="148" t="str" cm="1">
        <f t="array" ref="O162">_xlfn.XLOOKUP(1,(DivAndTax[Investor ID]='T. History'!$Z$1)*(DivAndTax[Accounting Year]='T. History'!J162),DivAndTax[Tax Amount],"Error")</f>
        <v>Error</v>
      </c>
      <c r="P162" s="146" t="str" cm="1">
        <f t="array" ref="P162">_xlfn.XLOOKUP(1,(DivAndTax[Investor ID]='T. History'!$Z$1)*(DivAndTax[Accounting Year]='T. History'!J162),DivAndTax[Net Dividend],"Error")</f>
        <v>Error</v>
      </c>
    </row>
  </sheetData>
  <mergeCells count="14">
    <mergeCell ref="J7:P7"/>
    <mergeCell ref="E134:J134"/>
    <mergeCell ref="E136:J136"/>
    <mergeCell ref="A1:N1"/>
    <mergeCell ref="E2:V2"/>
    <mergeCell ref="E3:V3"/>
    <mergeCell ref="B12:V12"/>
    <mergeCell ref="N45:P45"/>
    <mergeCell ref="J6:U6"/>
    <mergeCell ref="E141:J141"/>
    <mergeCell ref="E138:J138"/>
    <mergeCell ref="E140:J140"/>
    <mergeCell ref="E135:J135"/>
    <mergeCell ref="E139:J139"/>
  </mergeCells>
  <conditionalFormatting sqref="E145:P162">
    <cfRule type="cellIs" dxfId="0" priority="1" operator="equal">
      <formula>"Error"</formula>
    </cfRule>
  </conditionalFormatting>
  <pageMargins left="0.25" right="0.25" top="1.5" bottom="0.75" header="0.3" footer="0.3"/>
  <pageSetup paperSize="9" scale="6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060DE69-A775-4BA8-B887-E31FCE681E07}">
  <ds:schemaRefs/>
</ds:datastoreItem>
</file>

<file path=customXml/itemProps2.xml><?xml version="1.0" encoding="utf-8"?>
<ds:datastoreItem xmlns:ds="http://schemas.openxmlformats.org/officeDocument/2006/customXml" ds:itemID="{542D2376-2514-4A46-A65E-018E42C6FE23}">
  <ds:schemaRefs/>
</ds:datastoreItem>
</file>

<file path=customXml/itemProps3.xml><?xml version="1.0" encoding="utf-8"?>
<ds:datastoreItem xmlns:ds="http://schemas.openxmlformats.org/officeDocument/2006/customXml" ds:itemID="{58D19059-5403-4740-9FDE-5ECDBFD37BCD}">
  <ds:schemaRefs/>
</ds:datastoreItem>
</file>

<file path=customXml/itemProps4.xml><?xml version="1.0" encoding="utf-8"?>
<ds:datastoreItem xmlns:ds="http://schemas.openxmlformats.org/officeDocument/2006/customXml" ds:itemID="{0A7C2B72-01A3-4B10-ABA9-7C2CDBC60EBC}">
  <ds:schemaRefs/>
</ds:datastoreItem>
</file>

<file path=customXml/itemProps5.xml><?xml version="1.0" encoding="utf-8"?>
<ds:datastoreItem xmlns:ds="http://schemas.openxmlformats.org/officeDocument/2006/customXml" ds:itemID="{E409B406-A029-4E5D-8CEA-5479923C9B0B}">
  <ds:schemaRefs/>
</ds:datastoreItem>
</file>

<file path=customXml/itemProps6.xml><?xml version="1.0" encoding="utf-8"?>
<ds:datastoreItem xmlns:ds="http://schemas.openxmlformats.org/officeDocument/2006/customXml" ds:itemID="{74669029-3F22-473A-8740-630B4487650B}">
  <ds:schemaRefs/>
</ds:datastoreItem>
</file>

<file path=customXml/itemProps7.xml><?xml version="1.0" encoding="utf-8"?>
<ds:datastoreItem xmlns:ds="http://schemas.openxmlformats.org/officeDocument/2006/customXml" ds:itemID="{9D3487C8-BE2E-4B73-9F90-3EE435AE1ABC}">
  <ds:schemaRefs/>
</ds:datastoreItem>
</file>

<file path=customXml/itemProps8.xml><?xml version="1.0" encoding="utf-8"?>
<ds:datastoreItem xmlns:ds="http://schemas.openxmlformats.org/officeDocument/2006/customXml" ds:itemID="{9DCEA003-3BA9-4767-A20E-59BE3D67AFCC}">
  <ds:schemaRefs/>
</ds:datastoreItem>
</file>

<file path=customXml/itemProps9.xml><?xml version="1.0" encoding="utf-8"?>
<ds:datastoreItem xmlns:ds="http://schemas.openxmlformats.org/officeDocument/2006/customXml" ds:itemID="{E59FD284-AFBB-4F69-8388-E561B8911F48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0C8B9B3C-8C3F-480D-B265-E6BEA97DAE58}">
  <ds:schemaRefs/>
</ds:datastoreItem>
</file>

<file path=customXml/itemProps11.xml><?xml version="1.0" encoding="utf-8"?>
<ds:datastoreItem xmlns:ds="http://schemas.openxmlformats.org/officeDocument/2006/customXml" ds:itemID="{33135DEA-6ADC-4129-9A19-161DCA240B2D}">
  <ds:schemaRefs/>
</ds:datastoreItem>
</file>

<file path=customXml/itemProps12.xml><?xml version="1.0" encoding="utf-8"?>
<ds:datastoreItem xmlns:ds="http://schemas.openxmlformats.org/officeDocument/2006/customXml" ds:itemID="{2C4B4228-5471-4EA8-B200-593154A5F370}">
  <ds:schemaRefs/>
</ds:datastoreItem>
</file>

<file path=customXml/itemProps13.xml><?xml version="1.0" encoding="utf-8"?>
<ds:datastoreItem xmlns:ds="http://schemas.openxmlformats.org/officeDocument/2006/customXml" ds:itemID="{9950369B-E0A7-48D7-B5AE-F38D105FCE1C}">
  <ds:schemaRefs/>
</ds:datastoreItem>
</file>

<file path=customXml/itemProps14.xml><?xml version="1.0" encoding="utf-8"?>
<ds:datastoreItem xmlns:ds="http://schemas.openxmlformats.org/officeDocument/2006/customXml" ds:itemID="{F12FFA8C-E5C6-4C0D-BD7B-5F758F940BAA}">
  <ds:schemaRefs/>
</ds:datastoreItem>
</file>

<file path=customXml/itemProps15.xml><?xml version="1.0" encoding="utf-8"?>
<ds:datastoreItem xmlns:ds="http://schemas.openxmlformats.org/officeDocument/2006/customXml" ds:itemID="{0C67CC21-D27B-4FB3-A293-A020C4271BCC}">
  <ds:schemaRefs/>
</ds:datastoreItem>
</file>

<file path=customXml/itemProps16.xml><?xml version="1.0" encoding="utf-8"?>
<ds:datastoreItem xmlns:ds="http://schemas.openxmlformats.org/officeDocument/2006/customXml" ds:itemID="{49B03201-E9FE-4CEA-88CE-2ECD3A6D1A03}">
  <ds:schemaRefs/>
</ds:datastoreItem>
</file>

<file path=customXml/itemProps17.xml><?xml version="1.0" encoding="utf-8"?>
<ds:datastoreItem xmlns:ds="http://schemas.openxmlformats.org/officeDocument/2006/customXml" ds:itemID="{A5490692-E0CD-40AD-A4BD-A6D40517C02B}">
  <ds:schemaRefs/>
</ds:datastoreItem>
</file>

<file path=customXml/itemProps18.xml><?xml version="1.0" encoding="utf-8"?>
<ds:datastoreItem xmlns:ds="http://schemas.openxmlformats.org/officeDocument/2006/customXml" ds:itemID="{E7C09C27-DF0F-4D6B-BC69-400FF7FA75B6}">
  <ds:schemaRefs/>
</ds:datastoreItem>
</file>

<file path=customXml/itemProps19.xml><?xml version="1.0" encoding="utf-8"?>
<ds:datastoreItem xmlns:ds="http://schemas.openxmlformats.org/officeDocument/2006/customXml" ds:itemID="{6297F58A-88CD-4684-A03E-2454CE89CC2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DASHBOARD</vt:lpstr>
      <vt:lpstr>INVESTORS</vt:lpstr>
      <vt:lpstr>Data Validation</vt:lpstr>
      <vt:lpstr>LS</vt:lpstr>
      <vt:lpstr>SIP</vt:lpstr>
      <vt:lpstr>Dividend &amp; Tax</vt:lpstr>
      <vt:lpstr>TAX CERTIFICATE</vt:lpstr>
      <vt:lpstr>T. History</vt:lpstr>
      <vt:lpstr>NAV_MKT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Srijon Ghosh</cp:lastModifiedBy>
  <cp:lastPrinted>2026-03-16T09:47:38Z</cp:lastPrinted>
  <dcterms:created xsi:type="dcterms:W3CDTF">2021-04-07T17:24:57Z</dcterms:created>
  <dcterms:modified xsi:type="dcterms:W3CDTF">2026-03-29T04:50:56Z</dcterms:modified>
</cp:coreProperties>
</file>